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1.xml" ContentType="application/vnd.openxmlformats-officedocument.spreadsheetml.pivotTable+xml"/>
  <Override PartName="/xl/drawings/drawing3.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5.xml" ContentType="application/vnd.openxmlformats-officedocument.themeOverrid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7.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codeName="ThisWorkbook" hidePivotFieldList="1" defaultThemeVersion="166925"/>
  <mc:AlternateContent xmlns:mc="http://schemas.openxmlformats.org/markup-compatibility/2006">
    <mc:Choice Requires="x15">
      <x15ac:absPath xmlns:x15ac="http://schemas.microsoft.com/office/spreadsheetml/2010/11/ac" url="C:\Users\daniellesalt\Desktop\OneDrive - California State University, Sacramento\EFC\Final drafts\"/>
    </mc:Choice>
  </mc:AlternateContent>
  <xr:revisionPtr revIDLastSave="0" documentId="13_ncr:1_{E695FB81-5235-421F-BD7C-A9920216E288}" xr6:coauthVersionLast="36" xr6:coauthVersionMax="36" xr10:uidLastSave="{00000000-0000-0000-0000-000000000000}"/>
  <bookViews>
    <workbookView xWindow="0" yWindow="0" windowWidth="28800" windowHeight="11625" firstSheet="2" activeTab="2" xr2:uid="{7433DF5B-95F3-47AF-BDA1-834B1BB181B3}"/>
  </bookViews>
  <sheets>
    <sheet name="Activities (LA only filtered)" sheetId="24" state="hidden" r:id="rId1"/>
    <sheet name="Activities (2012+ ExpensesOnly)" sheetId="27" state="hidden" r:id="rId2"/>
    <sheet name="README" sheetId="54" r:id="rId3"/>
    <sheet name="Data--&gt;" sheetId="55" r:id="rId4"/>
    <sheet name="Budgets" sheetId="21" r:id="rId5"/>
    <sheet name="Expenditures" sheetId="51" r:id="rId6"/>
    <sheet name="Categorized_Activities" sheetId="2" r:id="rId7"/>
    <sheet name="Analyses--&gt;" sheetId="59" r:id="rId8"/>
    <sheet name="III. Data Availability" sheetId="58" r:id="rId9"/>
    <sheet name="IV.A. Jurisdictional Type" sheetId="60" r:id="rId10"/>
    <sheet name="IV.B. Regional Boards" sheetId="61" r:id="rId11"/>
    <sheet name="IV.C. Category" sheetId="62" r:id="rId12"/>
    <sheet name="IV.D. Population and Area" sheetId="63" r:id="rId13"/>
    <sheet name="IV.E. Over Time" sheetId="64" r:id="rId14"/>
    <sheet name="App.A. Supplemental" sheetId="65" r:id="rId15"/>
    <sheet name="Reference Data --&gt;" sheetId="53" r:id="rId16"/>
    <sheet name="Jurisdiction_info" sheetId="50" r:id="rId17"/>
    <sheet name="Inflation_info" sheetId="52" r:id="rId18"/>
    <sheet name="Sheet1" sheetId="28" state="hidden" r:id="rId19"/>
  </sheets>
  <definedNames>
    <definedName name="_xlcn.ActivitiesData" hidden="1">Activities[#Data]</definedName>
    <definedName name="_xlcn.BudgetsAll" hidden="1">Budgets[#All]</definedName>
    <definedName name="_xlcn.BudgetsAll_2" hidden="1">Budgets[#All]</definedName>
    <definedName name="_xlcn.ExpendituresAll" hidden="1">Expenditures[#All]</definedName>
    <definedName name="_xlcn.ExpendituresAll_2" hidden="1">Expenditures[#All]</definedName>
    <definedName name="_xlcn.ExpendituresAll_3" hidden="1">Expenditures[#All]</definedName>
    <definedName name="Slicer_Category">#N/A</definedName>
    <definedName name="x" localSheetId="7">Expenditures[#All]</definedName>
    <definedName name="x">Expenditures[#All]</definedName>
  </definedNames>
  <calcPr calcId="191029"/>
  <pivotCaches>
    <pivotCache cacheId="0" r:id="rId20"/>
    <pivotCache cacheId="1" r:id="rId21"/>
    <pivotCache cacheId="2" r:id="rId22"/>
    <pivotCache cacheId="3" r:id="rId23"/>
    <pivotCache cacheId="4" r:id="rId24"/>
    <pivotCache cacheId="5" r:id="rId25"/>
    <pivotCache cacheId="6" r:id="rId26"/>
    <pivotCache cacheId="7" r:id="rId27"/>
    <pivotCache cacheId="8" r:id="rId28"/>
    <pivotCache cacheId="9" r:id="rId29"/>
    <pivotCache cacheId="10" r:id="rId30"/>
  </pivotCaches>
  <extLst>
    <ext xmlns:x14="http://schemas.microsoft.com/office/spreadsheetml/2009/9/main" uri="{876F7934-8845-4945-9796-88D515C7AA90}">
      <x14:pivotCaches>
        <pivotCache cacheId="11" r:id="rId31"/>
      </x14:pivotCaches>
    </ext>
    <ext xmlns:x14="http://schemas.microsoft.com/office/spreadsheetml/2009/9/main" uri="{BBE1A952-AA13-448e-AADC-164F8A28A991}">
      <x14:slicerCaches>
        <x14:slicerCache r:id="rId32"/>
      </x14:slicerCaches>
    </ext>
    <ext xmlns:x14="http://schemas.microsoft.com/office/spreadsheetml/2009/9/main" uri="{79F54976-1DA5-4618-B147-4CDE4B953A38}">
      <x14:workbookPr/>
    </ext>
    <ext xmlns:x15="http://schemas.microsoft.com/office/spreadsheetml/2010/11/main" uri="{841E416B-1EF1-43b6-AB56-02D37102CBD5}">
      <x15:pivotCaches>
        <pivotCache cacheId="12" r:id="rId33"/>
        <pivotCache cacheId="13" r:id="rId34"/>
        <pivotCache cacheId="14" r:id="rId35"/>
        <pivotCache cacheId="15" r:id="rId36"/>
      </x15:pivotCaches>
    </ext>
    <ext xmlns:x15="http://schemas.microsoft.com/office/spreadsheetml/2010/11/main" uri="{983426D0-5260-488c-9760-48F4B6AC55F4}">
      <x15:pivotTableReferences>
        <x15:pivotTableReference r:id="rId37"/>
        <x15:pivotTableReference r:id="rId38"/>
        <x15:pivotTableReference r:id="rId39"/>
        <x15:pivotTableReference r:id="rId40"/>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Expenditures-7f24d2b9-f6d9-435a-8c14-5a12e7e89e9c" name="Expenditures 2" connection="Expenditures[#All]_3"/>
          <x15:modelTable id="Expenditures-576d6ec1-8d42-41de-acab-2e10d218b4a7" name="Expenditures 1" connection="Expenditures[#All]_2"/>
          <x15:modelTable id="Expenditures-1a10c507-7ae8-4477-a3a8-afe2d04ae91e" name="Expenditures" connection="Expenditures[#All]"/>
          <x15:modelTable id="Budgets-a674e75a-e805-4191-85ab-5c341a8e4adf" name="Budgets 1" connection="Budgets[#All]_2"/>
          <x15:modelTable id="Budgets-54eae935-2f99-43a6-a0cb-28f2cff771d0" name="Budgets" connection="Budgets[#All]"/>
          <x15:modelTable id="Activities-ab924fe9-3f8f-4c37-8fb0-d6e2102ca63d" name="Activities" connection="Activities[#Data]"/>
        </x15:modelTables>
      </x15:dataModel>
    </ext>
  </extLst>
</workbook>
</file>

<file path=xl/calcChain.xml><?xml version="1.0" encoding="utf-8"?>
<calcChain xmlns="http://schemas.openxmlformats.org/spreadsheetml/2006/main">
  <c r="B66" i="62" l="1"/>
  <c r="B92" i="62" s="1"/>
  <c r="C66" i="62"/>
  <c r="B67" i="62"/>
  <c r="B93" i="62" s="1"/>
  <c r="I203" i="65"/>
  <c r="H203" i="65"/>
  <c r="D203" i="65"/>
  <c r="C203" i="65"/>
  <c r="I202" i="65"/>
  <c r="H202" i="65"/>
  <c r="D202" i="65"/>
  <c r="C202" i="65"/>
  <c r="I201" i="65"/>
  <c r="H201" i="65"/>
  <c r="D201" i="65"/>
  <c r="C201" i="65"/>
  <c r="I200" i="65"/>
  <c r="H200" i="65"/>
  <c r="D200" i="65"/>
  <c r="C200" i="65"/>
  <c r="I199" i="65"/>
  <c r="H199" i="65"/>
  <c r="D199" i="65"/>
  <c r="C199" i="65"/>
  <c r="I198" i="65"/>
  <c r="H198" i="65"/>
  <c r="D198" i="65"/>
  <c r="C198" i="65"/>
  <c r="I197" i="65"/>
  <c r="H197" i="65"/>
  <c r="D197" i="65"/>
  <c r="C197" i="65"/>
  <c r="I196" i="65"/>
  <c r="H196" i="65"/>
  <c r="D196" i="65"/>
  <c r="C196" i="65"/>
  <c r="I195" i="65"/>
  <c r="H195" i="65"/>
  <c r="D195" i="65"/>
  <c r="C195" i="65"/>
  <c r="I194" i="65"/>
  <c r="H194" i="65"/>
  <c r="D194" i="65"/>
  <c r="C194" i="65"/>
  <c r="I193" i="65"/>
  <c r="H193" i="65"/>
  <c r="D193" i="65"/>
  <c r="C193" i="65"/>
  <c r="I192" i="65"/>
  <c r="H192" i="65"/>
  <c r="D192" i="65"/>
  <c r="C192" i="65"/>
  <c r="I191" i="65"/>
  <c r="H191" i="65"/>
  <c r="D191" i="65"/>
  <c r="C191" i="65"/>
  <c r="I190" i="65"/>
  <c r="H190" i="65"/>
  <c r="D190" i="65"/>
  <c r="C190" i="65"/>
  <c r="I189" i="65"/>
  <c r="H189" i="65"/>
  <c r="D189" i="65"/>
  <c r="C189" i="65"/>
  <c r="I188" i="65"/>
  <c r="H188" i="65"/>
  <c r="D188" i="65"/>
  <c r="C188" i="65"/>
  <c r="I187" i="65"/>
  <c r="H187" i="65"/>
  <c r="D187" i="65"/>
  <c r="C187" i="65"/>
  <c r="I186" i="65"/>
  <c r="H186" i="65"/>
  <c r="D186" i="65"/>
  <c r="C186" i="65"/>
  <c r="I185" i="65"/>
  <c r="H185" i="65"/>
  <c r="D185" i="65"/>
  <c r="C185" i="65"/>
  <c r="I184" i="65"/>
  <c r="H184" i="65"/>
  <c r="D184" i="65"/>
  <c r="C184" i="65"/>
  <c r="I183" i="65"/>
  <c r="H183" i="65"/>
  <c r="D183" i="65"/>
  <c r="C183" i="65"/>
  <c r="I182" i="65"/>
  <c r="H182" i="65"/>
  <c r="D182" i="65"/>
  <c r="C182" i="65"/>
  <c r="I181" i="65"/>
  <c r="H181" i="65"/>
  <c r="D181" i="65"/>
  <c r="C181" i="65"/>
  <c r="I180" i="65"/>
  <c r="H180" i="65"/>
  <c r="D180" i="65"/>
  <c r="C180" i="65"/>
  <c r="I179" i="65"/>
  <c r="H179" i="65"/>
  <c r="D179" i="65"/>
  <c r="C179" i="65"/>
  <c r="I178" i="65"/>
  <c r="H178" i="65"/>
  <c r="D178" i="65"/>
  <c r="C178" i="65"/>
  <c r="I177" i="65"/>
  <c r="H177" i="65"/>
  <c r="D177" i="65"/>
  <c r="C177" i="65"/>
  <c r="I176" i="65"/>
  <c r="H176" i="65"/>
  <c r="D176" i="65"/>
  <c r="C176" i="65"/>
  <c r="I175" i="65"/>
  <c r="H175" i="65"/>
  <c r="D175" i="65"/>
  <c r="C175" i="65"/>
  <c r="I174" i="65"/>
  <c r="H174" i="65"/>
  <c r="D174" i="65"/>
  <c r="C174" i="65"/>
  <c r="I173" i="65"/>
  <c r="H173" i="65"/>
  <c r="D173" i="65"/>
  <c r="C173" i="65"/>
  <c r="I172" i="65"/>
  <c r="H172" i="65"/>
  <c r="D172" i="65"/>
  <c r="C172" i="65"/>
  <c r="I171" i="65"/>
  <c r="H171" i="65"/>
  <c r="D171" i="65"/>
  <c r="C171" i="65"/>
  <c r="I170" i="65"/>
  <c r="H170" i="65"/>
  <c r="D170" i="65"/>
  <c r="C170" i="65"/>
  <c r="I169" i="65"/>
  <c r="H169" i="65"/>
  <c r="D169" i="65"/>
  <c r="C169" i="65"/>
  <c r="I168" i="65"/>
  <c r="H168" i="65"/>
  <c r="D168" i="65"/>
  <c r="C168" i="65"/>
  <c r="I167" i="65"/>
  <c r="H167" i="65"/>
  <c r="D167" i="65"/>
  <c r="C167" i="65"/>
  <c r="I166" i="65"/>
  <c r="H166" i="65"/>
  <c r="D166" i="65"/>
  <c r="C166" i="65"/>
  <c r="I165" i="65"/>
  <c r="H165" i="65"/>
  <c r="D165" i="65"/>
  <c r="C165" i="65"/>
  <c r="I164" i="65"/>
  <c r="H164" i="65"/>
  <c r="D164" i="65"/>
  <c r="C164" i="65"/>
  <c r="I163" i="65"/>
  <c r="H163" i="65"/>
  <c r="D163" i="65"/>
  <c r="C163" i="65"/>
  <c r="I162" i="65"/>
  <c r="H162" i="65"/>
  <c r="D162" i="65"/>
  <c r="C162" i="65"/>
  <c r="I161" i="65"/>
  <c r="H161" i="65"/>
  <c r="D161" i="65"/>
  <c r="C161" i="65"/>
  <c r="I160" i="65"/>
  <c r="H160" i="65"/>
  <c r="D160" i="65"/>
  <c r="C160" i="65"/>
  <c r="I159" i="65"/>
  <c r="H159" i="65"/>
  <c r="D159" i="65"/>
  <c r="C159" i="65"/>
  <c r="I158" i="65"/>
  <c r="H158" i="65"/>
  <c r="D158" i="65"/>
  <c r="C158" i="65"/>
  <c r="I157" i="65"/>
  <c r="H157" i="65"/>
  <c r="D157" i="65"/>
  <c r="C157" i="65"/>
  <c r="I156" i="65"/>
  <c r="H156" i="65"/>
  <c r="D156" i="65"/>
  <c r="C156" i="65"/>
  <c r="I155" i="65"/>
  <c r="H155" i="65"/>
  <c r="D155" i="65"/>
  <c r="C155" i="65"/>
  <c r="I154" i="65"/>
  <c r="H154" i="65"/>
  <c r="D154" i="65"/>
  <c r="C154" i="65"/>
  <c r="I153" i="65"/>
  <c r="H153" i="65"/>
  <c r="D153" i="65"/>
  <c r="C153" i="65"/>
  <c r="I152" i="65"/>
  <c r="H152" i="65"/>
  <c r="D152" i="65"/>
  <c r="C152" i="65"/>
  <c r="I151" i="65"/>
  <c r="H151" i="65"/>
  <c r="D151" i="65"/>
  <c r="C151" i="65"/>
  <c r="I150" i="65"/>
  <c r="H150" i="65"/>
  <c r="D150" i="65"/>
  <c r="C150" i="65"/>
  <c r="I149" i="65"/>
  <c r="H149" i="65"/>
  <c r="D149" i="65"/>
  <c r="C149" i="65"/>
  <c r="I148" i="65"/>
  <c r="H148" i="65"/>
  <c r="D148" i="65"/>
  <c r="C148" i="65"/>
  <c r="I147" i="65"/>
  <c r="H147" i="65"/>
  <c r="D147" i="65"/>
  <c r="C147" i="65"/>
  <c r="I146" i="65"/>
  <c r="H146" i="65"/>
  <c r="D146" i="65"/>
  <c r="C146" i="65"/>
  <c r="I145" i="65"/>
  <c r="H145" i="65"/>
  <c r="D145" i="65"/>
  <c r="C145" i="65"/>
  <c r="I144" i="65"/>
  <c r="H144" i="65"/>
  <c r="D144" i="65"/>
  <c r="C144" i="65"/>
  <c r="I143" i="65"/>
  <c r="H143" i="65"/>
  <c r="D143" i="65"/>
  <c r="C143" i="65"/>
  <c r="I142" i="65"/>
  <c r="H142" i="65"/>
  <c r="D142" i="65"/>
  <c r="C142" i="65"/>
  <c r="I141" i="65"/>
  <c r="H141" i="65"/>
  <c r="D141" i="65"/>
  <c r="C141" i="65"/>
  <c r="I140" i="65"/>
  <c r="H140" i="65"/>
  <c r="D140" i="65"/>
  <c r="C140" i="65"/>
  <c r="I139" i="65"/>
  <c r="H139" i="65"/>
  <c r="D139" i="65"/>
  <c r="C139" i="65"/>
  <c r="I138" i="65"/>
  <c r="H138" i="65"/>
  <c r="D138" i="65"/>
  <c r="C138" i="65"/>
  <c r="I137" i="65"/>
  <c r="H137" i="65"/>
  <c r="D137" i="65"/>
  <c r="C137" i="65"/>
  <c r="I136" i="65"/>
  <c r="H136" i="65"/>
  <c r="D136" i="65"/>
  <c r="C136" i="65"/>
  <c r="I135" i="65"/>
  <c r="H135" i="65"/>
  <c r="D135" i="65"/>
  <c r="C135" i="65"/>
  <c r="I134" i="65"/>
  <c r="H134" i="65"/>
  <c r="D134" i="65"/>
  <c r="C134" i="65"/>
  <c r="I133" i="65"/>
  <c r="H133" i="65"/>
  <c r="D133" i="65"/>
  <c r="C133" i="65"/>
  <c r="I132" i="65"/>
  <c r="H132" i="65"/>
  <c r="D132" i="65"/>
  <c r="C132" i="65"/>
  <c r="I131" i="65"/>
  <c r="H131" i="65"/>
  <c r="D131" i="65"/>
  <c r="C131" i="65"/>
  <c r="I130" i="65"/>
  <c r="H130" i="65"/>
  <c r="D130" i="65"/>
  <c r="C130" i="65"/>
  <c r="I129" i="65"/>
  <c r="H129" i="65"/>
  <c r="D129" i="65"/>
  <c r="C129" i="65"/>
  <c r="I128" i="65"/>
  <c r="H128" i="65"/>
  <c r="D128" i="65"/>
  <c r="C128" i="65"/>
  <c r="I127" i="65"/>
  <c r="H127" i="65"/>
  <c r="D127" i="65"/>
  <c r="C127" i="65"/>
  <c r="I126" i="65"/>
  <c r="H126" i="65"/>
  <c r="D126" i="65"/>
  <c r="C126" i="65"/>
  <c r="I125" i="65"/>
  <c r="H125" i="65"/>
  <c r="D125" i="65"/>
  <c r="C125" i="65"/>
  <c r="I124" i="65"/>
  <c r="H124" i="65"/>
  <c r="D124" i="65"/>
  <c r="C124" i="65"/>
  <c r="I123" i="65"/>
  <c r="H123" i="65"/>
  <c r="D123" i="65"/>
  <c r="C123" i="65"/>
  <c r="I122" i="65"/>
  <c r="H122" i="65"/>
  <c r="D122" i="65"/>
  <c r="C122" i="65"/>
  <c r="I121" i="65"/>
  <c r="H121" i="65"/>
  <c r="D121" i="65"/>
  <c r="C121" i="65"/>
  <c r="I120" i="65"/>
  <c r="H120" i="65"/>
  <c r="D120" i="65"/>
  <c r="C120" i="65"/>
  <c r="I119" i="65"/>
  <c r="H119" i="65"/>
  <c r="D119" i="65"/>
  <c r="C119" i="65"/>
  <c r="I118" i="65"/>
  <c r="H118" i="65"/>
  <c r="D118" i="65"/>
  <c r="C118" i="65"/>
  <c r="I117" i="65"/>
  <c r="H117" i="65"/>
  <c r="D117" i="65"/>
  <c r="C117" i="65"/>
  <c r="I116" i="65"/>
  <c r="H116" i="65"/>
  <c r="D116" i="65"/>
  <c r="C116" i="65"/>
  <c r="I115" i="65"/>
  <c r="H115" i="65"/>
  <c r="D115" i="65"/>
  <c r="C115" i="65"/>
  <c r="I114" i="65"/>
  <c r="H114" i="65"/>
  <c r="D114" i="65"/>
  <c r="C114" i="65"/>
  <c r="I113" i="65"/>
  <c r="H113" i="65"/>
  <c r="D113" i="65"/>
  <c r="C113" i="65"/>
  <c r="I112" i="65"/>
  <c r="H112" i="65"/>
  <c r="D112" i="65"/>
  <c r="C112" i="65"/>
  <c r="I111" i="65"/>
  <c r="H111" i="65"/>
  <c r="D111" i="65"/>
  <c r="C111" i="65"/>
  <c r="I110" i="65"/>
  <c r="H110" i="65"/>
  <c r="D110" i="65"/>
  <c r="C110" i="65"/>
  <c r="I109" i="65"/>
  <c r="H109" i="65"/>
  <c r="D109" i="65"/>
  <c r="C109" i="65"/>
  <c r="I108" i="65"/>
  <c r="H108" i="65"/>
  <c r="D108" i="65"/>
  <c r="C108" i="65"/>
  <c r="I107" i="65"/>
  <c r="H107" i="65"/>
  <c r="D107" i="65"/>
  <c r="C107" i="65"/>
  <c r="I106" i="65"/>
  <c r="H106" i="65"/>
  <c r="D106" i="65"/>
  <c r="C106" i="65"/>
  <c r="I105" i="65"/>
  <c r="H105" i="65"/>
  <c r="D105" i="65"/>
  <c r="C105" i="65"/>
  <c r="I104" i="65"/>
  <c r="H104" i="65"/>
  <c r="D104" i="65"/>
  <c r="C104" i="65"/>
  <c r="I103" i="65"/>
  <c r="H103" i="65"/>
  <c r="D103" i="65"/>
  <c r="C103" i="65"/>
  <c r="I102" i="65"/>
  <c r="H102" i="65"/>
  <c r="D102" i="65"/>
  <c r="C102" i="65"/>
  <c r="I101" i="65"/>
  <c r="H101" i="65"/>
  <c r="D101" i="65"/>
  <c r="C101" i="65"/>
  <c r="I100" i="65"/>
  <c r="H100" i="65"/>
  <c r="D100" i="65"/>
  <c r="C100" i="65"/>
  <c r="I99" i="65"/>
  <c r="H99" i="65"/>
  <c r="D99" i="65"/>
  <c r="C99" i="65"/>
  <c r="I98" i="65"/>
  <c r="H98" i="65"/>
  <c r="D98" i="65"/>
  <c r="C98" i="65"/>
  <c r="I97" i="65"/>
  <c r="H97" i="65"/>
  <c r="D97" i="65"/>
  <c r="C97" i="65"/>
  <c r="I96" i="65"/>
  <c r="H96" i="65"/>
  <c r="D96" i="65"/>
  <c r="C96" i="65"/>
  <c r="I95" i="65"/>
  <c r="H95" i="65"/>
  <c r="D95" i="65"/>
  <c r="C95" i="65"/>
  <c r="I94" i="65"/>
  <c r="H94" i="65"/>
  <c r="D94" i="65"/>
  <c r="C94" i="65"/>
  <c r="I93" i="65"/>
  <c r="H93" i="65"/>
  <c r="D93" i="65"/>
  <c r="C93" i="65"/>
  <c r="I92" i="65"/>
  <c r="H92" i="65"/>
  <c r="D92" i="65"/>
  <c r="C92" i="65"/>
  <c r="I91" i="65"/>
  <c r="H91" i="65"/>
  <c r="D91" i="65"/>
  <c r="C91" i="65"/>
  <c r="I90" i="65"/>
  <c r="H90" i="65"/>
  <c r="D90" i="65"/>
  <c r="C90" i="65"/>
  <c r="I89" i="65"/>
  <c r="H89" i="65"/>
  <c r="D89" i="65"/>
  <c r="C89" i="65"/>
  <c r="I88" i="65"/>
  <c r="H88" i="65"/>
  <c r="D88" i="65"/>
  <c r="C88" i="65"/>
  <c r="I87" i="65"/>
  <c r="H87" i="65"/>
  <c r="D87" i="65"/>
  <c r="C87" i="65"/>
  <c r="I86" i="65"/>
  <c r="H86" i="65"/>
  <c r="D86" i="65"/>
  <c r="C86" i="65"/>
  <c r="I85" i="65"/>
  <c r="H85" i="65"/>
  <c r="D85" i="65"/>
  <c r="C85" i="65"/>
  <c r="I84" i="65"/>
  <c r="H84" i="65"/>
  <c r="D84" i="65"/>
  <c r="C84" i="65"/>
  <c r="I83" i="65"/>
  <c r="H83" i="65"/>
  <c r="D83" i="65"/>
  <c r="C83" i="65"/>
  <c r="I82" i="65"/>
  <c r="H82" i="65"/>
  <c r="D82" i="65"/>
  <c r="C82" i="65"/>
  <c r="I81" i="65"/>
  <c r="H81" i="65"/>
  <c r="D81" i="65"/>
  <c r="C81" i="65"/>
  <c r="I80" i="65"/>
  <c r="H80" i="65"/>
  <c r="D80" i="65"/>
  <c r="C80" i="65"/>
  <c r="I79" i="65"/>
  <c r="H79" i="65"/>
  <c r="D79" i="65"/>
  <c r="C79" i="65"/>
  <c r="I78" i="65"/>
  <c r="H78" i="65"/>
  <c r="D78" i="65"/>
  <c r="C78" i="65"/>
  <c r="I77" i="65"/>
  <c r="H77" i="65"/>
  <c r="D77" i="65"/>
  <c r="C77" i="65"/>
  <c r="I76" i="65"/>
  <c r="H76" i="65"/>
  <c r="D76" i="65"/>
  <c r="C76" i="65"/>
  <c r="I75" i="65"/>
  <c r="H75" i="65"/>
  <c r="D75" i="65"/>
  <c r="C75" i="65"/>
  <c r="I74" i="65"/>
  <c r="H74" i="65"/>
  <c r="D74" i="65"/>
  <c r="C74" i="65"/>
  <c r="I73" i="65"/>
  <c r="H73" i="65"/>
  <c r="D73" i="65"/>
  <c r="C73" i="65"/>
  <c r="I72" i="65"/>
  <c r="H72" i="65"/>
  <c r="D72" i="65"/>
  <c r="C72" i="65"/>
  <c r="I71" i="65"/>
  <c r="H71" i="65"/>
  <c r="D71" i="65"/>
  <c r="C71" i="65"/>
  <c r="I70" i="65"/>
  <c r="H70" i="65"/>
  <c r="D70" i="65"/>
  <c r="C70" i="65"/>
  <c r="I69" i="65"/>
  <c r="H69" i="65"/>
  <c r="D69" i="65"/>
  <c r="C69" i="65"/>
  <c r="I68" i="65"/>
  <c r="H68" i="65"/>
  <c r="D68" i="65"/>
  <c r="C68" i="65"/>
  <c r="I67" i="65"/>
  <c r="H67" i="65"/>
  <c r="D67" i="65"/>
  <c r="C67" i="65"/>
  <c r="I66" i="65"/>
  <c r="H66" i="65"/>
  <c r="D66" i="65"/>
  <c r="C66" i="65"/>
  <c r="I65" i="65"/>
  <c r="H65" i="65"/>
  <c r="D65" i="65"/>
  <c r="C65" i="65"/>
  <c r="I64" i="65"/>
  <c r="H64" i="65"/>
  <c r="D64" i="65"/>
  <c r="C64" i="65"/>
  <c r="I63" i="65"/>
  <c r="H63" i="65"/>
  <c r="D63" i="65"/>
  <c r="C63" i="65"/>
  <c r="I62" i="65"/>
  <c r="H62" i="65"/>
  <c r="D62" i="65"/>
  <c r="C62" i="65"/>
  <c r="I61" i="65"/>
  <c r="H61" i="65"/>
  <c r="D61" i="65"/>
  <c r="C61" i="65"/>
  <c r="I60" i="65"/>
  <c r="H60" i="65"/>
  <c r="D60" i="65"/>
  <c r="C60" i="65"/>
  <c r="I59" i="65"/>
  <c r="H59" i="65"/>
  <c r="D59" i="65"/>
  <c r="C59" i="65"/>
  <c r="I58" i="65"/>
  <c r="H58" i="65"/>
  <c r="D58" i="65"/>
  <c r="C58" i="65"/>
  <c r="I57" i="65"/>
  <c r="H57" i="65"/>
  <c r="D57" i="65"/>
  <c r="C57" i="65"/>
  <c r="I56" i="65"/>
  <c r="H56" i="65"/>
  <c r="D56" i="65"/>
  <c r="C56" i="65"/>
  <c r="I55" i="65"/>
  <c r="H55" i="65"/>
  <c r="D55" i="65"/>
  <c r="C55" i="65"/>
  <c r="I54" i="65"/>
  <c r="H54" i="65"/>
  <c r="D54" i="65"/>
  <c r="C54" i="65"/>
  <c r="I53" i="65"/>
  <c r="H53" i="65"/>
  <c r="D53" i="65"/>
  <c r="C53" i="65"/>
  <c r="I52" i="65"/>
  <c r="H52" i="65"/>
  <c r="D52" i="65"/>
  <c r="C52" i="65"/>
  <c r="I51" i="65"/>
  <c r="H51" i="65"/>
  <c r="D51" i="65"/>
  <c r="C51" i="65"/>
  <c r="I50" i="65"/>
  <c r="H50" i="65"/>
  <c r="D50" i="65"/>
  <c r="C50" i="65"/>
  <c r="I49" i="65"/>
  <c r="H49" i="65"/>
  <c r="D49" i="65"/>
  <c r="C49" i="65"/>
  <c r="I48" i="65"/>
  <c r="H48" i="65"/>
  <c r="D48" i="65"/>
  <c r="C48" i="65"/>
  <c r="I47" i="65"/>
  <c r="H47" i="65"/>
  <c r="D47" i="65"/>
  <c r="C47" i="65"/>
  <c r="I46" i="65"/>
  <c r="H46" i="65"/>
  <c r="D46" i="65"/>
  <c r="C46" i="65"/>
  <c r="I45" i="65"/>
  <c r="H45" i="65"/>
  <c r="D45" i="65"/>
  <c r="C45" i="65"/>
  <c r="I44" i="65"/>
  <c r="H44" i="65"/>
  <c r="D44" i="65"/>
  <c r="C44" i="65"/>
  <c r="I43" i="65"/>
  <c r="H43" i="65"/>
  <c r="D43" i="65"/>
  <c r="C43" i="65"/>
  <c r="I42" i="65"/>
  <c r="H42" i="65"/>
  <c r="D42" i="65"/>
  <c r="C42" i="65"/>
  <c r="I41" i="65"/>
  <c r="H41" i="65"/>
  <c r="D41" i="65"/>
  <c r="C41" i="65"/>
  <c r="I40" i="65"/>
  <c r="H40" i="65"/>
  <c r="D40" i="65"/>
  <c r="C40" i="65"/>
  <c r="I39" i="65"/>
  <c r="H39" i="65"/>
  <c r="D39" i="65"/>
  <c r="C39" i="65"/>
  <c r="I38" i="65"/>
  <c r="H38" i="65"/>
  <c r="D38" i="65"/>
  <c r="C38" i="65"/>
  <c r="I37" i="65"/>
  <c r="H37" i="65"/>
  <c r="D37" i="65"/>
  <c r="C37" i="65"/>
  <c r="I36" i="65"/>
  <c r="H36" i="65"/>
  <c r="D36" i="65"/>
  <c r="C36" i="65"/>
  <c r="I35" i="65"/>
  <c r="H35" i="65"/>
  <c r="D35" i="65"/>
  <c r="C35" i="65"/>
  <c r="I34" i="65"/>
  <c r="H34" i="65"/>
  <c r="D34" i="65"/>
  <c r="C34" i="65"/>
  <c r="I33" i="65"/>
  <c r="H33" i="65"/>
  <c r="D33" i="65"/>
  <c r="C33" i="65"/>
  <c r="AJ204" i="63"/>
  <c r="AI204" i="63"/>
  <c r="AH204" i="63"/>
  <c r="AH203" i="63"/>
  <c r="AJ203" i="63" s="1"/>
  <c r="AI202" i="63"/>
  <c r="AH202" i="63"/>
  <c r="AJ202" i="63" s="1"/>
  <c r="AJ201" i="63"/>
  <c r="AI201" i="63"/>
  <c r="AH201" i="63"/>
  <c r="AJ200" i="63"/>
  <c r="AI200" i="63"/>
  <c r="AH200" i="63"/>
  <c r="AJ199" i="63"/>
  <c r="AH199" i="63"/>
  <c r="AI199" i="63" s="1"/>
  <c r="AH198" i="63"/>
  <c r="AJ198" i="63" s="1"/>
  <c r="AH197" i="63"/>
  <c r="AJ197" i="63" s="1"/>
  <c r="AH196" i="63"/>
  <c r="AI196" i="63" s="1"/>
  <c r="AH195" i="63"/>
  <c r="AJ195" i="63" s="1"/>
  <c r="AH194" i="63"/>
  <c r="AJ194" i="63" s="1"/>
  <c r="AH193" i="63"/>
  <c r="AJ193" i="63" s="1"/>
  <c r="AH192" i="63"/>
  <c r="AI192" i="63" s="1"/>
  <c r="AH191" i="63"/>
  <c r="AI191" i="63" s="1"/>
  <c r="AH190" i="63"/>
  <c r="AJ190" i="63" s="1"/>
  <c r="AH189" i="63"/>
  <c r="AJ189" i="63" s="1"/>
  <c r="AH188" i="63"/>
  <c r="AI188" i="63" s="1"/>
  <c r="AH187" i="63"/>
  <c r="AJ187" i="63" s="1"/>
  <c r="AH186" i="63"/>
  <c r="AJ186" i="63" s="1"/>
  <c r="AH185" i="63"/>
  <c r="AJ185" i="63" s="1"/>
  <c r="AH184" i="63"/>
  <c r="AI184" i="63" s="1"/>
  <c r="AH183" i="63"/>
  <c r="AI183" i="63" s="1"/>
  <c r="AH182" i="63"/>
  <c r="AJ182" i="63" s="1"/>
  <c r="AH181" i="63"/>
  <c r="AJ181" i="63" s="1"/>
  <c r="AH180" i="63"/>
  <c r="AJ180" i="63" s="1"/>
  <c r="AH179" i="63"/>
  <c r="AJ179" i="63" s="1"/>
  <c r="AH178" i="63"/>
  <c r="AJ178" i="63" s="1"/>
  <c r="AH177" i="63"/>
  <c r="AJ177" i="63" s="1"/>
  <c r="AH176" i="63"/>
  <c r="AI176" i="63" s="1"/>
  <c r="AH175" i="63"/>
  <c r="AI175" i="63" s="1"/>
  <c r="AH174" i="63"/>
  <c r="AI174" i="63" s="1"/>
  <c r="AH173" i="63"/>
  <c r="AJ173" i="63" s="1"/>
  <c r="AH172" i="63"/>
  <c r="AJ172" i="63" s="1"/>
  <c r="AH171" i="63"/>
  <c r="AJ171" i="63" s="1"/>
  <c r="AH170" i="63"/>
  <c r="AJ170" i="63" s="1"/>
  <c r="AH169" i="63"/>
  <c r="AJ169" i="63" s="1"/>
  <c r="AH168" i="63"/>
  <c r="AI168" i="63" s="1"/>
  <c r="AH167" i="63"/>
  <c r="AI167" i="63" s="1"/>
  <c r="AH166" i="63"/>
  <c r="AI166" i="63" s="1"/>
  <c r="AH165" i="63"/>
  <c r="AJ165" i="63" s="1"/>
  <c r="AH164" i="63"/>
  <c r="AJ164" i="63" s="1"/>
  <c r="AH163" i="63"/>
  <c r="AJ163" i="63" s="1"/>
  <c r="AH162" i="63"/>
  <c r="AJ162" i="63" s="1"/>
  <c r="AH161" i="63"/>
  <c r="AI161" i="63" s="1"/>
  <c r="AH160" i="63"/>
  <c r="AJ160" i="63" s="1"/>
  <c r="AH159" i="63"/>
  <c r="AI159" i="63" s="1"/>
  <c r="AH158" i="63"/>
  <c r="AI158" i="63" s="1"/>
  <c r="AH157" i="63"/>
  <c r="AJ157" i="63" s="1"/>
  <c r="AH156" i="63"/>
  <c r="AJ156" i="63" s="1"/>
  <c r="AH155" i="63"/>
  <c r="AJ155" i="63" s="1"/>
  <c r="AH154" i="63"/>
  <c r="AJ154" i="63" s="1"/>
  <c r="AH153" i="63"/>
  <c r="AI153" i="63" s="1"/>
  <c r="AH152" i="63"/>
  <c r="AJ152" i="63" s="1"/>
  <c r="AH151" i="63"/>
  <c r="AI151" i="63" s="1"/>
  <c r="AH150" i="63"/>
  <c r="AI150" i="63" s="1"/>
  <c r="AH149" i="63"/>
  <c r="AJ149" i="63" s="1"/>
  <c r="AH148" i="63"/>
  <c r="AJ148" i="63" s="1"/>
  <c r="AH147" i="63"/>
  <c r="AJ147" i="63" s="1"/>
  <c r="AH146" i="63"/>
  <c r="AJ146" i="63" s="1"/>
  <c r="AH145" i="63"/>
  <c r="AI145" i="63" s="1"/>
  <c r="AH144" i="63"/>
  <c r="AJ144" i="63" s="1"/>
  <c r="AH143" i="63"/>
  <c r="AI143" i="63" s="1"/>
  <c r="AH142" i="63"/>
  <c r="AI142" i="63" s="1"/>
  <c r="AH141" i="63"/>
  <c r="AJ141" i="63" s="1"/>
  <c r="AH140" i="63"/>
  <c r="AJ140" i="63" s="1"/>
  <c r="AH139" i="63"/>
  <c r="AJ139" i="63" s="1"/>
  <c r="AH138" i="63"/>
  <c r="AJ138" i="63" s="1"/>
  <c r="AH137" i="63"/>
  <c r="AJ137" i="63" s="1"/>
  <c r="AH136" i="63"/>
  <c r="AJ136" i="63" s="1"/>
  <c r="AH135" i="63"/>
  <c r="AI135" i="63" s="1"/>
  <c r="AH134" i="63"/>
  <c r="AI134" i="63" s="1"/>
  <c r="AH133" i="63"/>
  <c r="AJ133" i="63" s="1"/>
  <c r="AH132" i="63"/>
  <c r="AJ132" i="63" s="1"/>
  <c r="AH131" i="63"/>
  <c r="AJ131" i="63" s="1"/>
  <c r="AH130" i="63"/>
  <c r="AJ130" i="63" s="1"/>
  <c r="AH129" i="63"/>
  <c r="AI129" i="63" s="1"/>
  <c r="AH128" i="63"/>
  <c r="AJ128" i="63" s="1"/>
  <c r="AH127" i="63"/>
  <c r="AI127" i="63" s="1"/>
  <c r="AH126" i="63"/>
  <c r="AI126" i="63" s="1"/>
  <c r="AH125" i="63"/>
  <c r="AJ125" i="63" s="1"/>
  <c r="AH124" i="63"/>
  <c r="AJ124" i="63" s="1"/>
  <c r="AH123" i="63"/>
  <c r="AJ123" i="63" s="1"/>
  <c r="AH122" i="63"/>
  <c r="AJ122" i="63" s="1"/>
  <c r="AH121" i="63"/>
  <c r="AJ121" i="63" s="1"/>
  <c r="AH120" i="63"/>
  <c r="AI120" i="63" s="1"/>
  <c r="AH119" i="63"/>
  <c r="AI119" i="63" s="1"/>
  <c r="AH118" i="63"/>
  <c r="AI118" i="63" s="1"/>
  <c r="AH117" i="63"/>
  <c r="AJ117" i="63" s="1"/>
  <c r="AH116" i="63"/>
  <c r="AJ116" i="63" s="1"/>
  <c r="AH115" i="63"/>
  <c r="AJ115" i="63" s="1"/>
  <c r="AH114" i="63"/>
  <c r="AJ114" i="63" s="1"/>
  <c r="AH113" i="63"/>
  <c r="AJ113" i="63" s="1"/>
  <c r="AH112" i="63"/>
  <c r="AJ112" i="63" s="1"/>
  <c r="AH111" i="63"/>
  <c r="AI111" i="63" s="1"/>
  <c r="AH110" i="63"/>
  <c r="AI110" i="63" s="1"/>
  <c r="AH109" i="63"/>
  <c r="AJ109" i="63" s="1"/>
  <c r="AH108" i="63"/>
  <c r="AJ108" i="63" s="1"/>
  <c r="AH107" i="63"/>
  <c r="AJ107" i="63" s="1"/>
  <c r="AH106" i="63"/>
  <c r="AJ106" i="63" s="1"/>
  <c r="AH105" i="63"/>
  <c r="AJ105" i="63" s="1"/>
  <c r="AH104" i="63"/>
  <c r="AI104" i="63" s="1"/>
  <c r="AH103" i="63"/>
  <c r="AI103" i="63" s="1"/>
  <c r="AH102" i="63"/>
  <c r="AI102" i="63" s="1"/>
  <c r="AH101" i="63"/>
  <c r="AJ101" i="63" s="1"/>
  <c r="AH100" i="63"/>
  <c r="AJ100" i="63" s="1"/>
  <c r="AH99" i="63"/>
  <c r="AJ99" i="63" s="1"/>
  <c r="AH98" i="63"/>
  <c r="AJ98" i="63" s="1"/>
  <c r="AH97" i="63"/>
  <c r="AJ97" i="63" s="1"/>
  <c r="AH96" i="63"/>
  <c r="AJ96" i="63" s="1"/>
  <c r="AH95" i="63"/>
  <c r="AI95" i="63" s="1"/>
  <c r="AH94" i="63"/>
  <c r="AI94" i="63" s="1"/>
  <c r="AH93" i="63"/>
  <c r="AJ93" i="63" s="1"/>
  <c r="AH92" i="63"/>
  <c r="AJ92" i="63" s="1"/>
  <c r="AH91" i="63"/>
  <c r="AJ91" i="63" s="1"/>
  <c r="AH90" i="63"/>
  <c r="AJ90" i="63" s="1"/>
  <c r="AH89" i="63"/>
  <c r="AJ89" i="63" s="1"/>
  <c r="AH88" i="63"/>
  <c r="AJ88" i="63" s="1"/>
  <c r="AH87" i="63"/>
  <c r="AI87" i="63" s="1"/>
  <c r="AH86" i="63"/>
  <c r="AI86" i="63" s="1"/>
  <c r="AH85" i="63"/>
  <c r="AJ85" i="63" s="1"/>
  <c r="AH84" i="63"/>
  <c r="AJ84" i="63" s="1"/>
  <c r="AH83" i="63"/>
  <c r="AJ83" i="63" s="1"/>
  <c r="AH82" i="63"/>
  <c r="AJ82" i="63" s="1"/>
  <c r="AH81" i="63"/>
  <c r="AI81" i="63" s="1"/>
  <c r="AH80" i="63"/>
  <c r="AJ80" i="63" s="1"/>
  <c r="AH79" i="63"/>
  <c r="AI79" i="63" s="1"/>
  <c r="D79" i="63"/>
  <c r="AH78" i="63"/>
  <c r="AJ78" i="63" s="1"/>
  <c r="AH77" i="63"/>
  <c r="AJ77" i="63" s="1"/>
  <c r="AH76" i="63"/>
  <c r="AJ76" i="63" s="1"/>
  <c r="AH75" i="63"/>
  <c r="AJ75" i="63" s="1"/>
  <c r="AH74" i="63"/>
  <c r="AJ74" i="63" s="1"/>
  <c r="AH73" i="63"/>
  <c r="AJ73" i="63" s="1"/>
  <c r="AH72" i="63"/>
  <c r="AJ72" i="63" s="1"/>
  <c r="AH71" i="63"/>
  <c r="AJ71" i="63" s="1"/>
  <c r="AH70" i="63"/>
  <c r="AI70" i="63" s="1"/>
  <c r="AH69" i="63"/>
  <c r="AJ69" i="63" s="1"/>
  <c r="AH68" i="63"/>
  <c r="AI68" i="63" s="1"/>
  <c r="AH67" i="63"/>
  <c r="AI67" i="63" s="1"/>
  <c r="AH66" i="63"/>
  <c r="AJ66" i="63" s="1"/>
  <c r="AH65" i="63"/>
  <c r="AI65" i="63" s="1"/>
  <c r="AH64" i="63"/>
  <c r="AJ64" i="63" s="1"/>
  <c r="AH63" i="63"/>
  <c r="AJ63" i="63" s="1"/>
  <c r="AH62" i="63"/>
  <c r="AJ62" i="63" s="1"/>
  <c r="AH61" i="63"/>
  <c r="AJ61" i="63" s="1"/>
  <c r="AH60" i="63"/>
  <c r="AJ60" i="63" s="1"/>
  <c r="AH59" i="63"/>
  <c r="AI59" i="63" s="1"/>
  <c r="AH58" i="63"/>
  <c r="AJ58" i="63" s="1"/>
  <c r="AH57" i="63"/>
  <c r="AI57" i="63" s="1"/>
  <c r="D57" i="63"/>
  <c r="AH56" i="63"/>
  <c r="AJ56" i="63" s="1"/>
  <c r="C56" i="63"/>
  <c r="C78" i="63" s="1"/>
  <c r="B56" i="63"/>
  <c r="B78" i="63" s="1"/>
  <c r="AH55" i="63"/>
  <c r="AJ55" i="63" s="1"/>
  <c r="D55" i="63"/>
  <c r="D77" i="63" s="1"/>
  <c r="C55" i="63"/>
  <c r="C77" i="63" s="1"/>
  <c r="B55" i="63"/>
  <c r="B77" i="63" s="1"/>
  <c r="AH54" i="63"/>
  <c r="AJ54" i="63" s="1"/>
  <c r="C54" i="63"/>
  <c r="C76" i="63" s="1"/>
  <c r="B54" i="63"/>
  <c r="B76" i="63" s="1"/>
  <c r="AH53" i="63"/>
  <c r="AJ53" i="63" s="1"/>
  <c r="D53" i="63"/>
  <c r="D75" i="63" s="1"/>
  <c r="C53" i="63"/>
  <c r="C75" i="63" s="1"/>
  <c r="B53" i="63"/>
  <c r="B75" i="63" s="1"/>
  <c r="AH52" i="63"/>
  <c r="AJ52" i="63" s="1"/>
  <c r="C52" i="63"/>
  <c r="C74" i="63" s="1"/>
  <c r="B52" i="63"/>
  <c r="B74" i="63" s="1"/>
  <c r="AH51" i="63"/>
  <c r="AJ51" i="63" s="1"/>
  <c r="D51" i="63"/>
  <c r="D73" i="63" s="1"/>
  <c r="C51" i="63"/>
  <c r="C73" i="63" s="1"/>
  <c r="B51" i="63"/>
  <c r="B73" i="63" s="1"/>
  <c r="AH50" i="63"/>
  <c r="AJ50" i="63" s="1"/>
  <c r="C50" i="63"/>
  <c r="C72" i="63" s="1"/>
  <c r="B50" i="63"/>
  <c r="B72" i="63" s="1"/>
  <c r="AH49" i="63"/>
  <c r="AJ49" i="63" s="1"/>
  <c r="D49" i="63"/>
  <c r="D71" i="63" s="1"/>
  <c r="C49" i="63"/>
  <c r="C71" i="63" s="1"/>
  <c r="B49" i="63"/>
  <c r="B71" i="63" s="1"/>
  <c r="AH48" i="63"/>
  <c r="AI48" i="63" s="1"/>
  <c r="C48" i="63"/>
  <c r="C70" i="63" s="1"/>
  <c r="B48" i="63"/>
  <c r="B70" i="63" s="1"/>
  <c r="AH47" i="63"/>
  <c r="AI47" i="63" s="1"/>
  <c r="D47" i="63"/>
  <c r="D69" i="63" s="1"/>
  <c r="C47" i="63"/>
  <c r="C69" i="63" s="1"/>
  <c r="B47" i="63"/>
  <c r="B69" i="63" s="1"/>
  <c r="AH46" i="63"/>
  <c r="AI46" i="63" s="1"/>
  <c r="C46" i="63"/>
  <c r="C68" i="63" s="1"/>
  <c r="B46" i="63"/>
  <c r="B68" i="63" s="1"/>
  <c r="AH45" i="63"/>
  <c r="AI45" i="63" s="1"/>
  <c r="J45" i="63"/>
  <c r="D45" i="63"/>
  <c r="D67" i="63" s="1"/>
  <c r="C45" i="63"/>
  <c r="C67" i="63" s="1"/>
  <c r="B45" i="63"/>
  <c r="B67" i="63" s="1"/>
  <c r="AH44" i="63"/>
  <c r="AJ44" i="63" s="1"/>
  <c r="J44" i="63"/>
  <c r="K44" i="63" s="1"/>
  <c r="C44" i="63"/>
  <c r="C66" i="63" s="1"/>
  <c r="B44" i="63"/>
  <c r="B66" i="63" s="1"/>
  <c r="AH43" i="63"/>
  <c r="AJ43" i="63" s="1"/>
  <c r="J43" i="63"/>
  <c r="K43" i="63" s="1"/>
  <c r="D43" i="63"/>
  <c r="D65" i="63" s="1"/>
  <c r="C43" i="63"/>
  <c r="C65" i="63" s="1"/>
  <c r="B43" i="63"/>
  <c r="B65" i="63" s="1"/>
  <c r="AH42" i="63"/>
  <c r="AI42" i="63" s="1"/>
  <c r="J42" i="63"/>
  <c r="C42" i="63"/>
  <c r="C64" i="63" s="1"/>
  <c r="B42" i="63"/>
  <c r="B64" i="63" s="1"/>
  <c r="AH41" i="63"/>
  <c r="AJ41" i="63" s="1"/>
  <c r="J41" i="63"/>
  <c r="D41" i="63"/>
  <c r="D63" i="63" s="1"/>
  <c r="C41" i="63"/>
  <c r="C63" i="63" s="1"/>
  <c r="B41" i="63"/>
  <c r="B63" i="63" s="1"/>
  <c r="AH40" i="63"/>
  <c r="AI40" i="63" s="1"/>
  <c r="J40" i="63"/>
  <c r="K40" i="63" s="1"/>
  <c r="C40" i="63"/>
  <c r="C62" i="63" s="1"/>
  <c r="B40" i="63"/>
  <c r="B62" i="63" s="1"/>
  <c r="AH39" i="63"/>
  <c r="AJ39" i="63" s="1"/>
  <c r="J39" i="63"/>
  <c r="K39" i="63" s="1"/>
  <c r="D39" i="63"/>
  <c r="D61" i="63" s="1"/>
  <c r="C39" i="63"/>
  <c r="C61" i="63" s="1"/>
  <c r="B39" i="63"/>
  <c r="B61" i="63" s="1"/>
  <c r="AH38" i="63"/>
  <c r="AJ38" i="63" s="1"/>
  <c r="AH37" i="63"/>
  <c r="AJ37" i="63" s="1"/>
  <c r="AH36" i="63"/>
  <c r="AJ36" i="63" s="1"/>
  <c r="AH35" i="63"/>
  <c r="AI35" i="63" s="1"/>
  <c r="AH34" i="63"/>
  <c r="AI34" i="63" s="1"/>
  <c r="AH33" i="63"/>
  <c r="AI33" i="63" s="1"/>
  <c r="AH32" i="63"/>
  <c r="AI32" i="63" s="1"/>
  <c r="AH31" i="63"/>
  <c r="AJ31" i="63" s="1"/>
  <c r="AH30" i="63"/>
  <c r="AJ30" i="63" s="1"/>
  <c r="AH29" i="63"/>
  <c r="AJ29" i="63" s="1"/>
  <c r="D114" i="62"/>
  <c r="D15" i="62" s="1"/>
  <c r="D112" i="62"/>
  <c r="D14" i="62" s="1"/>
  <c r="D110" i="62"/>
  <c r="D13" i="62" s="1"/>
  <c r="D108" i="62"/>
  <c r="D12" i="62" s="1"/>
  <c r="D106" i="62"/>
  <c r="D11" i="62" s="1"/>
  <c r="D104" i="62"/>
  <c r="D10" i="62" s="1"/>
  <c r="D102" i="62"/>
  <c r="D9" i="62" s="1"/>
  <c r="D100" i="62"/>
  <c r="D8" i="62" s="1"/>
  <c r="D98" i="62"/>
  <c r="D7" i="62" s="1"/>
  <c r="D96" i="62"/>
  <c r="D6" i="62" s="1"/>
  <c r="D94" i="62"/>
  <c r="D5" i="62" s="1"/>
  <c r="D92" i="62"/>
  <c r="D4" i="62" s="1"/>
  <c r="B89" i="62"/>
  <c r="B115" i="62" s="1"/>
  <c r="D88" i="62"/>
  <c r="C88" i="62"/>
  <c r="C114" i="62" s="1"/>
  <c r="C15" i="62" s="1"/>
  <c r="B88" i="62"/>
  <c r="B114" i="62" s="1"/>
  <c r="B87" i="62"/>
  <c r="B113" i="62" s="1"/>
  <c r="D86" i="62"/>
  <c r="C86" i="62"/>
  <c r="C112" i="62" s="1"/>
  <c r="C14" i="62" s="1"/>
  <c r="B86" i="62"/>
  <c r="B112" i="62" s="1"/>
  <c r="B85" i="62"/>
  <c r="B111" i="62" s="1"/>
  <c r="D84" i="62"/>
  <c r="C84" i="62"/>
  <c r="C110" i="62" s="1"/>
  <c r="C13" i="62" s="1"/>
  <c r="B84" i="62"/>
  <c r="B110" i="62" s="1"/>
  <c r="B83" i="62"/>
  <c r="B109" i="62" s="1"/>
  <c r="D82" i="62"/>
  <c r="C82" i="62"/>
  <c r="C108" i="62" s="1"/>
  <c r="C12" i="62" s="1"/>
  <c r="B82" i="62"/>
  <c r="B108" i="62" s="1"/>
  <c r="B81" i="62"/>
  <c r="B107" i="62" s="1"/>
  <c r="D80" i="62"/>
  <c r="C80" i="62"/>
  <c r="C106" i="62" s="1"/>
  <c r="C11" i="62" s="1"/>
  <c r="B80" i="62"/>
  <c r="B106" i="62" s="1"/>
  <c r="B79" i="62"/>
  <c r="B105" i="62" s="1"/>
  <c r="D78" i="62"/>
  <c r="C78" i="62"/>
  <c r="C104" i="62" s="1"/>
  <c r="C10" i="62" s="1"/>
  <c r="B78" i="62"/>
  <c r="B104" i="62" s="1"/>
  <c r="I77" i="62"/>
  <c r="H77" i="62" s="1"/>
  <c r="B77" i="62"/>
  <c r="B103" i="62" s="1"/>
  <c r="I76" i="62"/>
  <c r="H76" i="62" s="1"/>
  <c r="D76" i="62"/>
  <c r="C76" i="62"/>
  <c r="C102" i="62" s="1"/>
  <c r="C9" i="62" s="1"/>
  <c r="B76" i="62"/>
  <c r="B102" i="62" s="1"/>
  <c r="I75" i="62"/>
  <c r="H75" i="62" s="1"/>
  <c r="B75" i="62"/>
  <c r="B101" i="62" s="1"/>
  <c r="I74" i="62"/>
  <c r="J74" i="62" s="1"/>
  <c r="D74" i="62"/>
  <c r="C74" i="62"/>
  <c r="C100" i="62" s="1"/>
  <c r="C8" i="62" s="1"/>
  <c r="B74" i="62"/>
  <c r="B100" i="62" s="1"/>
  <c r="T73" i="62"/>
  <c r="I73" i="62"/>
  <c r="J73" i="62" s="1"/>
  <c r="B73" i="62"/>
  <c r="B99" i="62" s="1"/>
  <c r="T72" i="62"/>
  <c r="I72" i="62"/>
  <c r="J72" i="62" s="1"/>
  <c r="D72" i="62"/>
  <c r="C72" i="62"/>
  <c r="C98" i="62" s="1"/>
  <c r="C7" i="62" s="1"/>
  <c r="B72" i="62"/>
  <c r="B98" i="62" s="1"/>
  <c r="T71" i="62"/>
  <c r="I71" i="62"/>
  <c r="J71" i="62" s="1"/>
  <c r="B71" i="62"/>
  <c r="B97" i="62" s="1"/>
  <c r="T70" i="62"/>
  <c r="I70" i="62"/>
  <c r="H70" i="62" s="1"/>
  <c r="D70" i="62"/>
  <c r="C70" i="62"/>
  <c r="C96" i="62" s="1"/>
  <c r="C6" i="62" s="1"/>
  <c r="B70" i="62"/>
  <c r="B96" i="62" s="1"/>
  <c r="T69" i="62"/>
  <c r="I69" i="62"/>
  <c r="H69" i="62" s="1"/>
  <c r="B69" i="62"/>
  <c r="B95" i="62" s="1"/>
  <c r="T68" i="62"/>
  <c r="I68" i="62"/>
  <c r="J68" i="62" s="1"/>
  <c r="D68" i="62"/>
  <c r="C68" i="62"/>
  <c r="C94" i="62" s="1"/>
  <c r="C5" i="62" s="1"/>
  <c r="B68" i="62"/>
  <c r="B94" i="62" s="1"/>
  <c r="I67" i="62"/>
  <c r="J67" i="62" s="1"/>
  <c r="I66" i="62"/>
  <c r="J66" i="62" s="1"/>
  <c r="D66" i="62"/>
  <c r="C92" i="62"/>
  <c r="C4" i="62" s="1"/>
  <c r="Z64" i="62"/>
  <c r="Y64" i="62"/>
  <c r="X64" i="62"/>
  <c r="W64" i="62"/>
  <c r="V64" i="62"/>
  <c r="U64" i="62"/>
  <c r="T64" i="62"/>
  <c r="S64" i="62"/>
  <c r="R64" i="62"/>
  <c r="Q64" i="62"/>
  <c r="P64" i="62"/>
  <c r="O64" i="62"/>
  <c r="Z63" i="62"/>
  <c r="Y63" i="62"/>
  <c r="X63" i="62"/>
  <c r="W63" i="62"/>
  <c r="V63" i="62"/>
  <c r="U63" i="62"/>
  <c r="T63" i="62"/>
  <c r="S63" i="62"/>
  <c r="R63" i="62"/>
  <c r="Q63" i="62"/>
  <c r="P63" i="62"/>
  <c r="O63" i="62"/>
  <c r="Z62" i="62"/>
  <c r="Y62" i="62"/>
  <c r="X62" i="62"/>
  <c r="W62" i="62"/>
  <c r="V62" i="62"/>
  <c r="U62" i="62"/>
  <c r="T62" i="62"/>
  <c r="S62" i="62"/>
  <c r="R62" i="62"/>
  <c r="Q62" i="62"/>
  <c r="P62" i="62"/>
  <c r="O62" i="62"/>
  <c r="Z61" i="62"/>
  <c r="Y61" i="62"/>
  <c r="X61" i="62"/>
  <c r="W61" i="62"/>
  <c r="V61" i="62"/>
  <c r="U61" i="62"/>
  <c r="T61" i="62"/>
  <c r="S61" i="62"/>
  <c r="R61" i="62"/>
  <c r="Q61" i="62"/>
  <c r="P61" i="62"/>
  <c r="O61" i="62"/>
  <c r="Z60" i="62"/>
  <c r="Y60" i="62"/>
  <c r="X60" i="62"/>
  <c r="W60" i="62"/>
  <c r="V60" i="62"/>
  <c r="U60" i="62"/>
  <c r="T60" i="62"/>
  <c r="S60" i="62"/>
  <c r="R60" i="62"/>
  <c r="Q60" i="62"/>
  <c r="P60" i="62"/>
  <c r="O60" i="62"/>
  <c r="I63" i="61"/>
  <c r="H63" i="61" s="1"/>
  <c r="I62" i="61"/>
  <c r="J62" i="61" s="1"/>
  <c r="I61" i="61"/>
  <c r="J61" i="61" s="1"/>
  <c r="I60" i="61"/>
  <c r="H60" i="61" s="1"/>
  <c r="I59" i="61"/>
  <c r="J59" i="61" s="1"/>
  <c r="I58" i="61"/>
  <c r="J58" i="61" s="1"/>
  <c r="I57" i="61"/>
  <c r="J57" i="61" s="1"/>
  <c r="I56" i="61"/>
  <c r="J56" i="61" s="1"/>
  <c r="S73" i="58"/>
  <c r="R73" i="58"/>
  <c r="Q73" i="58"/>
  <c r="P73" i="58"/>
  <c r="S72" i="58"/>
  <c r="R72" i="58"/>
  <c r="Q72" i="58"/>
  <c r="P72" i="58"/>
  <c r="S71" i="58"/>
  <c r="R71" i="58"/>
  <c r="Q71" i="58"/>
  <c r="P71" i="58"/>
  <c r="S70" i="58"/>
  <c r="R70" i="58"/>
  <c r="Q70" i="58"/>
  <c r="P70" i="58"/>
  <c r="S69" i="58"/>
  <c r="R69" i="58"/>
  <c r="Q69" i="58"/>
  <c r="P69" i="58"/>
  <c r="S68" i="58"/>
  <c r="R68" i="58"/>
  <c r="Q68" i="58"/>
  <c r="P68" i="58"/>
  <c r="S67" i="58"/>
  <c r="R67" i="58"/>
  <c r="Q67" i="58"/>
  <c r="P67" i="58"/>
  <c r="S66" i="58"/>
  <c r="R66" i="58"/>
  <c r="Q66" i="58"/>
  <c r="P66" i="58"/>
  <c r="S65" i="58"/>
  <c r="R65" i="58"/>
  <c r="Q65" i="58"/>
  <c r="P65" i="58"/>
  <c r="S64" i="58"/>
  <c r="R64" i="58"/>
  <c r="Q64" i="58"/>
  <c r="P64" i="58"/>
  <c r="S63" i="58"/>
  <c r="R63" i="58"/>
  <c r="Q63" i="58"/>
  <c r="P63" i="58"/>
  <c r="S62" i="58"/>
  <c r="R62" i="58"/>
  <c r="Q62" i="58"/>
  <c r="P62" i="58"/>
  <c r="S61" i="58"/>
  <c r="R61" i="58"/>
  <c r="Q61" i="58"/>
  <c r="P61" i="58"/>
  <c r="S60" i="58"/>
  <c r="R60" i="58"/>
  <c r="Q60" i="58"/>
  <c r="P60" i="58"/>
  <c r="S59" i="58"/>
  <c r="R59" i="58"/>
  <c r="Q59" i="58"/>
  <c r="P59" i="58"/>
  <c r="S58" i="58"/>
  <c r="R58" i="58"/>
  <c r="Q58" i="58"/>
  <c r="P58" i="58"/>
  <c r="S57" i="58"/>
  <c r="R57" i="58"/>
  <c r="Q57" i="58"/>
  <c r="P57" i="58"/>
  <c r="S56" i="58"/>
  <c r="R56" i="58"/>
  <c r="Q56" i="58"/>
  <c r="P56" i="58"/>
  <c r="S55" i="58"/>
  <c r="R55" i="58"/>
  <c r="Q55" i="58"/>
  <c r="P55" i="58"/>
  <c r="S54" i="58"/>
  <c r="R54" i="58"/>
  <c r="Q54" i="58"/>
  <c r="P54" i="58"/>
  <c r="S53" i="58"/>
  <c r="R53" i="58"/>
  <c r="Q53" i="58"/>
  <c r="P53" i="58"/>
  <c r="S52" i="58"/>
  <c r="R52" i="58"/>
  <c r="Q52" i="58"/>
  <c r="P52" i="58"/>
  <c r="S51" i="58"/>
  <c r="R51" i="58"/>
  <c r="Q51" i="58"/>
  <c r="P51" i="58"/>
  <c r="AF49" i="58"/>
  <c r="AB49" i="58"/>
  <c r="AF48" i="58"/>
  <c r="AB48" i="58"/>
  <c r="AF47" i="58"/>
  <c r="AB47" i="58"/>
  <c r="AF46" i="58"/>
  <c r="AB46" i="58"/>
  <c r="AF45" i="58"/>
  <c r="AB45" i="58"/>
  <c r="AF44" i="58"/>
  <c r="AB44" i="58"/>
  <c r="AF43" i="58"/>
  <c r="AB43" i="58"/>
  <c r="AF42" i="58"/>
  <c r="AB42" i="58"/>
  <c r="AF41" i="58"/>
  <c r="AB41" i="58"/>
  <c r="AF40" i="58"/>
  <c r="AB40" i="58"/>
  <c r="C12" i="58"/>
  <c r="B12" i="58"/>
  <c r="C11" i="58"/>
  <c r="B11" i="58"/>
  <c r="C10" i="58"/>
  <c r="B10" i="58"/>
  <c r="C9" i="58"/>
  <c r="B9" i="58"/>
  <c r="C8" i="58"/>
  <c r="B8" i="58"/>
  <c r="C7" i="58"/>
  <c r="B7" i="58"/>
  <c r="C6" i="58"/>
  <c r="B6" i="58"/>
  <c r="C5" i="58"/>
  <c r="B5" i="58"/>
  <c r="C4" i="58"/>
  <c r="B4" i="58"/>
  <c r="M44" i="63"/>
  <c r="N43" i="63"/>
  <c r="M43" i="63"/>
  <c r="AI177" i="63" l="1"/>
  <c r="AI146" i="63"/>
  <c r="AI156" i="63"/>
  <c r="AI178" i="63"/>
  <c r="AJ168" i="63"/>
  <c r="AJ196" i="63"/>
  <c r="AI82" i="63"/>
  <c r="AI89" i="63"/>
  <c r="AJ35" i="63"/>
  <c r="AI154" i="63"/>
  <c r="AJ79" i="63"/>
  <c r="C4" i="63"/>
  <c r="AJ95" i="63"/>
  <c r="AJ59" i="63"/>
  <c r="AI128" i="63"/>
  <c r="AI122" i="63"/>
  <c r="AJ67" i="63"/>
  <c r="AJ129" i="63"/>
  <c r="AI136" i="63"/>
  <c r="AJ188" i="63"/>
  <c r="AJ151" i="63"/>
  <c r="AI170" i="63"/>
  <c r="AI52" i="63"/>
  <c r="B12" i="62"/>
  <c r="B14" i="62"/>
  <c r="AI112" i="63"/>
  <c r="AJ184" i="63"/>
  <c r="B6" i="63"/>
  <c r="C10" i="63"/>
  <c r="B10" i="62"/>
  <c r="AJ176" i="63"/>
  <c r="AI96" i="63"/>
  <c r="AJ119" i="63"/>
  <c r="AJ145" i="63"/>
  <c r="AJ150" i="63"/>
  <c r="AI97" i="63"/>
  <c r="AJ102" i="63"/>
  <c r="AI114" i="63"/>
  <c r="AJ120" i="63"/>
  <c r="AI36" i="63"/>
  <c r="AI39" i="63"/>
  <c r="AJ57" i="63"/>
  <c r="AJ33" i="63"/>
  <c r="AJ68" i="63"/>
  <c r="AJ142" i="63"/>
  <c r="AI169" i="63"/>
  <c r="AI76" i="63"/>
  <c r="AJ81" i="63"/>
  <c r="AJ94" i="63"/>
  <c r="AJ111" i="63"/>
  <c r="AI121" i="63"/>
  <c r="AJ126" i="63"/>
  <c r="AI137" i="63"/>
  <c r="AJ192" i="63"/>
  <c r="AI60" i="63"/>
  <c r="AI58" i="63"/>
  <c r="AI43" i="63"/>
  <c r="AJ47" i="63"/>
  <c r="AI98" i="63"/>
  <c r="AJ143" i="63"/>
  <c r="AI148" i="63"/>
  <c r="AJ153" i="63"/>
  <c r="AJ158" i="63"/>
  <c r="AJ104" i="63"/>
  <c r="AJ32" i="63"/>
  <c r="AI49" i="63"/>
  <c r="AI54" i="63"/>
  <c r="AJ40" i="63"/>
  <c r="AJ46" i="63"/>
  <c r="B11" i="63"/>
  <c r="B12" i="63"/>
  <c r="AJ70" i="63"/>
  <c r="AI73" i="63"/>
  <c r="AJ86" i="63"/>
  <c r="AJ103" i="63"/>
  <c r="AI106" i="63"/>
  <c r="AJ161" i="63"/>
  <c r="AJ166" i="63"/>
  <c r="AJ174" i="63"/>
  <c r="AI186" i="63"/>
  <c r="AJ191" i="63"/>
  <c r="AI194" i="63"/>
  <c r="AJ42" i="63"/>
  <c r="AJ48" i="63"/>
  <c r="AI51" i="63"/>
  <c r="AI71" i="63"/>
  <c r="AI74" i="63"/>
  <c r="AJ87" i="63"/>
  <c r="AI90" i="63"/>
  <c r="AJ134" i="63"/>
  <c r="AI162" i="63"/>
  <c r="AJ34" i="63"/>
  <c r="AJ45" i="63"/>
  <c r="AI50" i="63"/>
  <c r="AJ65" i="63"/>
  <c r="AI113" i="63"/>
  <c r="AJ118" i="63"/>
  <c r="AJ135" i="63"/>
  <c r="AI138" i="63"/>
  <c r="AI160" i="63"/>
  <c r="AI172" i="63"/>
  <c r="AI180" i="63"/>
  <c r="B4" i="63"/>
  <c r="AI88" i="63"/>
  <c r="AI69" i="63"/>
  <c r="AI72" i="63"/>
  <c r="AI80" i="63"/>
  <c r="AI105" i="63"/>
  <c r="AJ110" i="63"/>
  <c r="AJ127" i="63"/>
  <c r="AI130" i="63"/>
  <c r="AI144" i="63"/>
  <c r="AI152" i="63"/>
  <c r="AI164" i="63"/>
  <c r="AI185" i="63"/>
  <c r="AI193" i="63"/>
  <c r="B10" i="63"/>
  <c r="B11" i="62"/>
  <c r="B13" i="62"/>
  <c r="B15" i="62"/>
  <c r="H59" i="61"/>
  <c r="K59" i="61" s="1"/>
  <c r="J75" i="62"/>
  <c r="K75" i="62" s="1"/>
  <c r="B9" i="62"/>
  <c r="B8" i="62"/>
  <c r="H56" i="61"/>
  <c r="K56" i="61" s="1"/>
  <c r="H58" i="61"/>
  <c r="K58" i="61" s="1"/>
  <c r="H62" i="61"/>
  <c r="K62" i="61" s="1"/>
  <c r="J60" i="61"/>
  <c r="K60" i="61" s="1"/>
  <c r="H67" i="62"/>
  <c r="K67" i="62" s="1"/>
  <c r="J77" i="62"/>
  <c r="K77" i="62" s="1"/>
  <c r="B6" i="62"/>
  <c r="O43" i="63"/>
  <c r="L40" i="63"/>
  <c r="L39" i="63"/>
  <c r="C7" i="63"/>
  <c r="B7" i="63"/>
  <c r="B5" i="63"/>
  <c r="B8" i="63"/>
  <c r="C8" i="63"/>
  <c r="B9" i="63"/>
  <c r="C11" i="63"/>
  <c r="C12" i="63"/>
  <c r="C5" i="63"/>
  <c r="C6" i="63"/>
  <c r="C9" i="63"/>
  <c r="AJ159" i="63"/>
  <c r="AJ167" i="63"/>
  <c r="AJ175" i="63"/>
  <c r="AJ183" i="63"/>
  <c r="AI31" i="63"/>
  <c r="AI41" i="63"/>
  <c r="K45" i="63"/>
  <c r="L45" i="63" s="1"/>
  <c r="AI63" i="63"/>
  <c r="AI66" i="63"/>
  <c r="AI85" i="63"/>
  <c r="AI93" i="63"/>
  <c r="AI101" i="63"/>
  <c r="AI109" i="63"/>
  <c r="AI117" i="63"/>
  <c r="AI125" i="63"/>
  <c r="AI133" i="63"/>
  <c r="AI141" i="63"/>
  <c r="AI149" i="63"/>
  <c r="AI157" i="63"/>
  <c r="AI165" i="63"/>
  <c r="AI173" i="63"/>
  <c r="AI181" i="63"/>
  <c r="AI189" i="63"/>
  <c r="AI197" i="63"/>
  <c r="AI29" i="63"/>
  <c r="K41" i="63"/>
  <c r="L43" i="63"/>
  <c r="AI44" i="63"/>
  <c r="AI62" i="63"/>
  <c r="AI75" i="63"/>
  <c r="AI78" i="63"/>
  <c r="AI99" i="63"/>
  <c r="AI123" i="63"/>
  <c r="AI139" i="63"/>
  <c r="AI147" i="63"/>
  <c r="AI163" i="63"/>
  <c r="AI179" i="63"/>
  <c r="AI195" i="63"/>
  <c r="AI203" i="63"/>
  <c r="AI37" i="63"/>
  <c r="AI53" i="63"/>
  <c r="AI56" i="63"/>
  <c r="AI83" i="63"/>
  <c r="AI91" i="63"/>
  <c r="AI107" i="63"/>
  <c r="AI115" i="63"/>
  <c r="AI131" i="63"/>
  <c r="AI155" i="63"/>
  <c r="AI171" i="63"/>
  <c r="AI187" i="63"/>
  <c r="AI182" i="63"/>
  <c r="AI190" i="63"/>
  <c r="AI198" i="63"/>
  <c r="AI30" i="63"/>
  <c r="AI77" i="63"/>
  <c r="AI92" i="63"/>
  <c r="AI108" i="63"/>
  <c r="AI124" i="63"/>
  <c r="AI132" i="63"/>
  <c r="AI140" i="63"/>
  <c r="AI38" i="63"/>
  <c r="K42" i="63"/>
  <c r="L44" i="63"/>
  <c r="AI55" i="63"/>
  <c r="AI61" i="63"/>
  <c r="AI64" i="63"/>
  <c r="AI84" i="63"/>
  <c r="AI100" i="63"/>
  <c r="AI116" i="63"/>
  <c r="B5" i="62"/>
  <c r="B7" i="62"/>
  <c r="B4" i="62"/>
  <c r="H68" i="62"/>
  <c r="K68" i="62" s="1"/>
  <c r="J69" i="62"/>
  <c r="K69" i="62" s="1"/>
  <c r="J70" i="62"/>
  <c r="K70" i="62" s="1"/>
  <c r="J76" i="62"/>
  <c r="K76" i="62" s="1"/>
  <c r="H73" i="62"/>
  <c r="K73" i="62" s="1"/>
  <c r="H74" i="62"/>
  <c r="K74" i="62" s="1"/>
  <c r="H66" i="62"/>
  <c r="K66" i="62" s="1"/>
  <c r="H71" i="62"/>
  <c r="K71" i="62" s="1"/>
  <c r="H72" i="62"/>
  <c r="K72" i="62" s="1"/>
  <c r="H57" i="61"/>
  <c r="K57" i="61" s="1"/>
  <c r="J63" i="61"/>
  <c r="K63" i="61" s="1"/>
  <c r="H61" i="61"/>
  <c r="K61" i="61" s="1"/>
  <c r="B13" i="58"/>
  <c r="C13" i="58"/>
  <c r="M39" i="63"/>
  <c r="M40" i="63"/>
  <c r="N39" i="63"/>
  <c r="N44" i="63"/>
  <c r="N40" i="63"/>
  <c r="O44" i="63" l="1"/>
  <c r="O39" i="63"/>
  <c r="O40" i="63"/>
  <c r="L41" i="63"/>
  <c r="L42" i="63"/>
  <c r="N41" i="63"/>
  <c r="M42" i="63"/>
  <c r="M45" i="63"/>
  <c r="N45" i="63"/>
  <c r="N42" i="63"/>
  <c r="M41" i="63"/>
  <c r="O42" i="63" l="1"/>
  <c r="O45" i="63"/>
  <c r="O41" i="63"/>
  <c r="B3" i="21" l="1"/>
  <c r="C25" i="52" l="1"/>
  <c r="C24" i="52"/>
  <c r="C23" i="52"/>
  <c r="C22" i="52"/>
  <c r="C21" i="52"/>
  <c r="C20" i="52"/>
  <c r="C19" i="52"/>
  <c r="C18" i="52"/>
  <c r="C17" i="52"/>
  <c r="C16" i="52"/>
  <c r="C15" i="52"/>
  <c r="C14" i="52"/>
  <c r="C13" i="52"/>
  <c r="C12" i="52"/>
  <c r="C11" i="52"/>
  <c r="C10" i="52"/>
  <c r="C9" i="52"/>
  <c r="C8" i="52"/>
  <c r="C7" i="52"/>
  <c r="C6" i="52"/>
  <c r="C5" i="52"/>
  <c r="C4" i="52"/>
  <c r="O1121" i="2" s="1"/>
  <c r="O1120" i="2" l="1"/>
  <c r="O1562" i="2"/>
  <c r="O516" i="2"/>
  <c r="O776" i="2"/>
  <c r="O778" i="2"/>
  <c r="O1119" i="2"/>
  <c r="O1141" i="2"/>
  <c r="O251" i="2"/>
  <c r="O250" i="2"/>
  <c r="O254" i="2"/>
  <c r="O255" i="2"/>
  <c r="O253" i="2"/>
  <c r="O252" i="2"/>
  <c r="I559" i="21"/>
  <c r="K559" i="21" s="1"/>
  <c r="E559" i="21"/>
  <c r="B559" i="21"/>
  <c r="C559" i="21"/>
  <c r="D559" i="21"/>
  <c r="F559" i="21"/>
  <c r="I525" i="21"/>
  <c r="K525" i="21" s="1"/>
  <c r="I526" i="21"/>
  <c r="K526" i="21" s="1"/>
  <c r="E524" i="21"/>
  <c r="E525" i="21"/>
  <c r="B525" i="21"/>
  <c r="C525" i="21"/>
  <c r="D525" i="21"/>
  <c r="F525" i="21"/>
  <c r="I492" i="21"/>
  <c r="K492" i="21" s="1"/>
  <c r="E492" i="21"/>
  <c r="B492" i="21"/>
  <c r="C492" i="21"/>
  <c r="D492" i="21"/>
  <c r="F492" i="21"/>
  <c r="M559" i="21" l="1"/>
  <c r="I374" i="21"/>
  <c r="K374" i="21" s="1"/>
  <c r="E374" i="21"/>
  <c r="B374" i="21"/>
  <c r="C374" i="21"/>
  <c r="D374" i="21"/>
  <c r="F374" i="21"/>
  <c r="E350" i="21"/>
  <c r="F350" i="21"/>
  <c r="I350" i="21"/>
  <c r="K350" i="21" s="1"/>
  <c r="B350" i="21"/>
  <c r="C350" i="21"/>
  <c r="D350" i="21"/>
  <c r="I319" i="21"/>
  <c r="K319" i="21" s="1"/>
  <c r="E319" i="21"/>
  <c r="F319" i="21"/>
  <c r="B319" i="21"/>
  <c r="C319" i="21"/>
  <c r="D319" i="21"/>
  <c r="I306" i="21"/>
  <c r="K306" i="21" s="1"/>
  <c r="E306" i="21"/>
  <c r="B306" i="21"/>
  <c r="C306" i="21"/>
  <c r="D306" i="21"/>
  <c r="F306" i="21"/>
  <c r="E247" i="21"/>
  <c r="E248" i="21"/>
  <c r="E249" i="21"/>
  <c r="E250" i="21"/>
  <c r="E251" i="21"/>
  <c r="I247" i="21"/>
  <c r="K247" i="21" s="1"/>
  <c r="I248" i="21"/>
  <c r="K248" i="21" s="1"/>
  <c r="I249" i="21"/>
  <c r="K249" i="21" s="1"/>
  <c r="B263" i="51"/>
  <c r="C263" i="51"/>
  <c r="D263" i="51"/>
  <c r="E263" i="51"/>
  <c r="F263" i="51"/>
  <c r="I263" i="51"/>
  <c r="K263" i="51" s="1"/>
  <c r="I141" i="21"/>
  <c r="K141" i="21" s="1"/>
  <c r="I142" i="21"/>
  <c r="K142" i="21" s="1"/>
  <c r="I143" i="21"/>
  <c r="K143" i="21" s="1"/>
  <c r="I144" i="21"/>
  <c r="K144" i="21" s="1"/>
  <c r="I145" i="21"/>
  <c r="K145" i="21" s="1"/>
  <c r="I146" i="21"/>
  <c r="K146" i="21" s="1"/>
  <c r="I147" i="21"/>
  <c r="K147" i="21" s="1"/>
  <c r="I148" i="21"/>
  <c r="K148" i="21" s="1"/>
  <c r="I149" i="21"/>
  <c r="K149" i="21" s="1"/>
  <c r="I150" i="21"/>
  <c r="K150" i="21" s="1"/>
  <c r="I151" i="21"/>
  <c r="K151" i="21" s="1"/>
  <c r="I152" i="21"/>
  <c r="K152" i="21" s="1"/>
  <c r="I153" i="21"/>
  <c r="K153" i="21" s="1"/>
  <c r="I154" i="21"/>
  <c r="K154" i="21" s="1"/>
  <c r="I155" i="21"/>
  <c r="K155" i="21" s="1"/>
  <c r="I156" i="21"/>
  <c r="K156" i="21" s="1"/>
  <c r="I157" i="21"/>
  <c r="K157" i="21" s="1"/>
  <c r="I158" i="21"/>
  <c r="K158" i="21" s="1"/>
  <c r="I159" i="21"/>
  <c r="K159" i="21" s="1"/>
  <c r="I160" i="21"/>
  <c r="K160" i="21" s="1"/>
  <c r="I161" i="21"/>
  <c r="K161" i="21" s="1"/>
  <c r="I162" i="21"/>
  <c r="K162" i="21" s="1"/>
  <c r="I163" i="21"/>
  <c r="K163" i="21" s="1"/>
  <c r="I164" i="21"/>
  <c r="K164" i="21" s="1"/>
  <c r="I165" i="21"/>
  <c r="K165" i="21" s="1"/>
  <c r="I166" i="21"/>
  <c r="K166" i="21" s="1"/>
  <c r="I167" i="21"/>
  <c r="K167" i="21" s="1"/>
  <c r="I168" i="21"/>
  <c r="K168" i="21" s="1"/>
  <c r="I169" i="21"/>
  <c r="K169" i="21" s="1"/>
  <c r="I170" i="21"/>
  <c r="K170" i="21" s="1"/>
  <c r="I171" i="21"/>
  <c r="K171" i="21" s="1"/>
  <c r="I172" i="21"/>
  <c r="K172" i="21" s="1"/>
  <c r="I173" i="21"/>
  <c r="K173" i="21" s="1"/>
  <c r="I174" i="21"/>
  <c r="K174" i="21" s="1"/>
  <c r="I175" i="21"/>
  <c r="K175" i="21" s="1"/>
  <c r="I176" i="21"/>
  <c r="K176" i="21" s="1"/>
  <c r="I177" i="21"/>
  <c r="K177" i="21" s="1"/>
  <c r="I178" i="21"/>
  <c r="K178" i="21" s="1"/>
  <c r="I179" i="21"/>
  <c r="K179" i="21" s="1"/>
  <c r="I180" i="21"/>
  <c r="K180" i="21" s="1"/>
  <c r="I181" i="21"/>
  <c r="K181" i="21" s="1"/>
  <c r="I182" i="21"/>
  <c r="K182" i="21" s="1"/>
  <c r="I183" i="21"/>
  <c r="K183" i="21" s="1"/>
  <c r="I184" i="21"/>
  <c r="K184" i="21" s="1"/>
  <c r="I185" i="21"/>
  <c r="K185" i="21" s="1"/>
  <c r="I186" i="21"/>
  <c r="K186" i="21" s="1"/>
  <c r="I187" i="21"/>
  <c r="K187" i="21" s="1"/>
  <c r="I188" i="21"/>
  <c r="K188" i="21" s="1"/>
  <c r="I189" i="21"/>
  <c r="K189" i="21" s="1"/>
  <c r="I190" i="21"/>
  <c r="K190" i="21" s="1"/>
  <c r="I191" i="21"/>
  <c r="K191" i="21" s="1"/>
  <c r="I192" i="21"/>
  <c r="K192" i="21" s="1"/>
  <c r="I193" i="21"/>
  <c r="K193" i="21" s="1"/>
  <c r="I194" i="21"/>
  <c r="K194" i="21" s="1"/>
  <c r="I195" i="21"/>
  <c r="K195" i="21" s="1"/>
  <c r="I196" i="21"/>
  <c r="K196" i="21" s="1"/>
  <c r="I197" i="21"/>
  <c r="K197" i="21" s="1"/>
  <c r="I198" i="21"/>
  <c r="K198" i="21" s="1"/>
  <c r="I199" i="21"/>
  <c r="K199" i="21" s="1"/>
  <c r="I200" i="21"/>
  <c r="K200" i="21" s="1"/>
  <c r="I201" i="21"/>
  <c r="K201" i="21" s="1"/>
  <c r="I202" i="21"/>
  <c r="K202" i="21" s="1"/>
  <c r="I203" i="21"/>
  <c r="K203" i="21" s="1"/>
  <c r="I204" i="21"/>
  <c r="K204" i="21" s="1"/>
  <c r="I205" i="21"/>
  <c r="K205" i="21" s="1"/>
  <c r="I206" i="21"/>
  <c r="K206" i="21" s="1"/>
  <c r="I207" i="21"/>
  <c r="K207" i="21" s="1"/>
  <c r="I208" i="21"/>
  <c r="K208" i="21" s="1"/>
  <c r="I209" i="21"/>
  <c r="K209" i="21" s="1"/>
  <c r="I210" i="21"/>
  <c r="K210" i="21" s="1"/>
  <c r="I211" i="21"/>
  <c r="K211" i="21" s="1"/>
  <c r="I212" i="21"/>
  <c r="K212" i="21" s="1"/>
  <c r="I213" i="21"/>
  <c r="K213" i="21" s="1"/>
  <c r="I214" i="21"/>
  <c r="K214" i="21" s="1"/>
  <c r="I215" i="21"/>
  <c r="K215" i="21" s="1"/>
  <c r="I216" i="21"/>
  <c r="K216" i="21" s="1"/>
  <c r="I217" i="21"/>
  <c r="K217" i="21" s="1"/>
  <c r="I218" i="21"/>
  <c r="K218" i="21" s="1"/>
  <c r="I219" i="21"/>
  <c r="K219" i="21" s="1"/>
  <c r="I220" i="21"/>
  <c r="K220" i="21" s="1"/>
  <c r="I221" i="21"/>
  <c r="K221" i="21" s="1"/>
  <c r="I222" i="21"/>
  <c r="K222" i="21" s="1"/>
  <c r="I223" i="21"/>
  <c r="K223" i="21" s="1"/>
  <c r="I224" i="21"/>
  <c r="K224" i="21" s="1"/>
  <c r="I225" i="21"/>
  <c r="K225" i="21" s="1"/>
  <c r="I226" i="21"/>
  <c r="K226" i="21" s="1"/>
  <c r="I227" i="21"/>
  <c r="K227" i="21" s="1"/>
  <c r="I228" i="21"/>
  <c r="K228" i="21" s="1"/>
  <c r="I229" i="21"/>
  <c r="K229" i="21" s="1"/>
  <c r="I230" i="21"/>
  <c r="K230" i="21" s="1"/>
  <c r="I231" i="21"/>
  <c r="K231" i="21" s="1"/>
  <c r="I232" i="21"/>
  <c r="K232" i="21" s="1"/>
  <c r="I233" i="21"/>
  <c r="K233" i="21" s="1"/>
  <c r="I234" i="21"/>
  <c r="K234" i="21" s="1"/>
  <c r="I235" i="21"/>
  <c r="K235" i="21" s="1"/>
  <c r="I236" i="21"/>
  <c r="K236" i="21" s="1"/>
  <c r="I237" i="21"/>
  <c r="K237" i="21" s="1"/>
  <c r="I238" i="21"/>
  <c r="K238" i="21" s="1"/>
  <c r="I239" i="21"/>
  <c r="K239" i="21" s="1"/>
  <c r="I240" i="21"/>
  <c r="K240" i="21" s="1"/>
  <c r="I241" i="21"/>
  <c r="K241" i="21" s="1"/>
  <c r="I242" i="21"/>
  <c r="K242" i="21" s="1"/>
  <c r="I243" i="21"/>
  <c r="K243" i="21" s="1"/>
  <c r="I244" i="21"/>
  <c r="K244" i="21" s="1"/>
  <c r="I245" i="21"/>
  <c r="K245" i="21" s="1"/>
  <c r="I246" i="21"/>
  <c r="K246" i="21" s="1"/>
  <c r="I250" i="21"/>
  <c r="K250" i="21" s="1"/>
  <c r="I251" i="21"/>
  <c r="K251" i="21" s="1"/>
  <c r="I252" i="21"/>
  <c r="K252" i="21" s="1"/>
  <c r="I253" i="21"/>
  <c r="K253" i="21" s="1"/>
  <c r="I254" i="21"/>
  <c r="K254" i="21" s="1"/>
  <c r="I255" i="21"/>
  <c r="K255" i="21" s="1"/>
  <c r="I256" i="21"/>
  <c r="K256" i="21" s="1"/>
  <c r="I257" i="21"/>
  <c r="K257" i="21" s="1"/>
  <c r="I258" i="21"/>
  <c r="K258" i="21" s="1"/>
  <c r="I259" i="21"/>
  <c r="K259" i="21" s="1"/>
  <c r="I260" i="21"/>
  <c r="K260" i="21" s="1"/>
  <c r="I261" i="21"/>
  <c r="K261" i="21" s="1"/>
  <c r="I262" i="21"/>
  <c r="K262" i="21" s="1"/>
  <c r="I263" i="21"/>
  <c r="K263" i="21" s="1"/>
  <c r="I264" i="21"/>
  <c r="K264" i="21" s="1"/>
  <c r="I265" i="21"/>
  <c r="K265" i="21" s="1"/>
  <c r="I266" i="21"/>
  <c r="K266" i="21" s="1"/>
  <c r="I267" i="21"/>
  <c r="K267" i="21" s="1"/>
  <c r="I268" i="21"/>
  <c r="K268" i="21" s="1"/>
  <c r="I269" i="21"/>
  <c r="K269" i="21" s="1"/>
  <c r="I270" i="21"/>
  <c r="K270" i="21" s="1"/>
  <c r="I271" i="21"/>
  <c r="K271" i="21" s="1"/>
  <c r="I272" i="21"/>
  <c r="K272" i="21" s="1"/>
  <c r="I273" i="21"/>
  <c r="K273" i="21" s="1"/>
  <c r="I274" i="21"/>
  <c r="K274" i="21" s="1"/>
  <c r="I275" i="21"/>
  <c r="K275" i="21" s="1"/>
  <c r="I276" i="21"/>
  <c r="K276" i="21" s="1"/>
  <c r="I277" i="21"/>
  <c r="K277" i="21" s="1"/>
  <c r="I278" i="21"/>
  <c r="K278" i="21" s="1"/>
  <c r="I279" i="21"/>
  <c r="K279" i="21" s="1"/>
  <c r="I280" i="21"/>
  <c r="K280" i="21" s="1"/>
  <c r="I281" i="21"/>
  <c r="K281" i="21" s="1"/>
  <c r="I282" i="21"/>
  <c r="K282" i="21" s="1"/>
  <c r="I283" i="21"/>
  <c r="K283" i="21" s="1"/>
  <c r="I284" i="21"/>
  <c r="K284" i="21" s="1"/>
  <c r="I285" i="21"/>
  <c r="K285" i="21" s="1"/>
  <c r="I286" i="21"/>
  <c r="K286" i="21" s="1"/>
  <c r="I287" i="21"/>
  <c r="K287" i="21" s="1"/>
  <c r="I288" i="21"/>
  <c r="K288" i="21" s="1"/>
  <c r="I289" i="21"/>
  <c r="K289" i="21" s="1"/>
  <c r="I290" i="21"/>
  <c r="K290" i="21" s="1"/>
  <c r="I291" i="21"/>
  <c r="K291" i="21" s="1"/>
  <c r="I292" i="21"/>
  <c r="K292" i="21" s="1"/>
  <c r="I293" i="21"/>
  <c r="K293" i="21" s="1"/>
  <c r="I294" i="21"/>
  <c r="K294" i="21" s="1"/>
  <c r="I295" i="21"/>
  <c r="K295" i="21" s="1"/>
  <c r="I296" i="21"/>
  <c r="K296" i="21" s="1"/>
  <c r="I297" i="21"/>
  <c r="K297" i="21" s="1"/>
  <c r="I298" i="21"/>
  <c r="K298" i="21" s="1"/>
  <c r="I299" i="21"/>
  <c r="K299" i="21" s="1"/>
  <c r="I300" i="21"/>
  <c r="K300" i="21" s="1"/>
  <c r="I301" i="21"/>
  <c r="K301" i="21" s="1"/>
  <c r="I302" i="21"/>
  <c r="K302" i="21" s="1"/>
  <c r="I303" i="21"/>
  <c r="K303" i="21" s="1"/>
  <c r="I304" i="21"/>
  <c r="K304" i="21" s="1"/>
  <c r="I305" i="21"/>
  <c r="K305" i="21" s="1"/>
  <c r="I307" i="21"/>
  <c r="K307" i="21" s="1"/>
  <c r="I308" i="21"/>
  <c r="K308" i="21" s="1"/>
  <c r="I309" i="21"/>
  <c r="K309" i="21" s="1"/>
  <c r="I310" i="21"/>
  <c r="K310" i="21" s="1"/>
  <c r="I311" i="21"/>
  <c r="K311" i="21" s="1"/>
  <c r="I312" i="21"/>
  <c r="K312" i="21" s="1"/>
  <c r="I313" i="21"/>
  <c r="K313" i="21" s="1"/>
  <c r="I314" i="21"/>
  <c r="K314" i="21" s="1"/>
  <c r="I315" i="21"/>
  <c r="K315" i="21" s="1"/>
  <c r="I316" i="21"/>
  <c r="K316" i="21" s="1"/>
  <c r="I317" i="21"/>
  <c r="K317" i="21" s="1"/>
  <c r="I318" i="21"/>
  <c r="K318" i="21" s="1"/>
  <c r="I320" i="21"/>
  <c r="K320" i="21" s="1"/>
  <c r="I321" i="21"/>
  <c r="K321" i="21" s="1"/>
  <c r="I322" i="21"/>
  <c r="K322" i="21" s="1"/>
  <c r="I323" i="21"/>
  <c r="K323" i="21" s="1"/>
  <c r="I324" i="21"/>
  <c r="K324" i="21" s="1"/>
  <c r="I325" i="21"/>
  <c r="K325" i="21" s="1"/>
  <c r="I326" i="21"/>
  <c r="K326" i="21" s="1"/>
  <c r="I327" i="21"/>
  <c r="K327" i="21" s="1"/>
  <c r="I328" i="21"/>
  <c r="K328" i="21" s="1"/>
  <c r="I329" i="21"/>
  <c r="K329" i="21" s="1"/>
  <c r="I330" i="21"/>
  <c r="K330" i="21" s="1"/>
  <c r="I331" i="21"/>
  <c r="K331" i="21" s="1"/>
  <c r="I332" i="21"/>
  <c r="K332" i="21" s="1"/>
  <c r="I333" i="21"/>
  <c r="K333" i="21" s="1"/>
  <c r="I334" i="21"/>
  <c r="K334" i="21" s="1"/>
  <c r="I335" i="21"/>
  <c r="K335" i="21" s="1"/>
  <c r="I336" i="21"/>
  <c r="K336" i="21" s="1"/>
  <c r="I337" i="21"/>
  <c r="K337" i="21" s="1"/>
  <c r="I338" i="21"/>
  <c r="K338" i="21" s="1"/>
  <c r="I339" i="21"/>
  <c r="K339" i="21" s="1"/>
  <c r="I340" i="21"/>
  <c r="K340" i="21" s="1"/>
  <c r="I341" i="21"/>
  <c r="K341" i="21" s="1"/>
  <c r="I342" i="21"/>
  <c r="K342" i="21" s="1"/>
  <c r="I343" i="21"/>
  <c r="K343" i="21" s="1"/>
  <c r="I344" i="21"/>
  <c r="K344" i="21" s="1"/>
  <c r="I345" i="21"/>
  <c r="K345" i="21" s="1"/>
  <c r="I346" i="21"/>
  <c r="K346" i="21" s="1"/>
  <c r="I347" i="21"/>
  <c r="K347" i="21" s="1"/>
  <c r="I348" i="21"/>
  <c r="K348" i="21" s="1"/>
  <c r="I349" i="21"/>
  <c r="K349" i="21" s="1"/>
  <c r="I351" i="21"/>
  <c r="K351" i="21" s="1"/>
  <c r="I352" i="21"/>
  <c r="K352" i="21" s="1"/>
  <c r="I353" i="21"/>
  <c r="K353" i="21" s="1"/>
  <c r="I354" i="21"/>
  <c r="K354" i="21" s="1"/>
  <c r="I355" i="21"/>
  <c r="K355" i="21" s="1"/>
  <c r="I356" i="21"/>
  <c r="K356" i="21" s="1"/>
  <c r="I357" i="21"/>
  <c r="K357" i="21" s="1"/>
  <c r="I358" i="21"/>
  <c r="K358" i="21" s="1"/>
  <c r="I359" i="21"/>
  <c r="K359" i="21" s="1"/>
  <c r="I360" i="21"/>
  <c r="K360" i="21" s="1"/>
  <c r="I361" i="21"/>
  <c r="K361" i="21" s="1"/>
  <c r="I362" i="21"/>
  <c r="K362" i="21" s="1"/>
  <c r="I363" i="21"/>
  <c r="K363" i="21" s="1"/>
  <c r="I364" i="21"/>
  <c r="K364" i="21" s="1"/>
  <c r="I365" i="21"/>
  <c r="K365" i="21" s="1"/>
  <c r="I366" i="21"/>
  <c r="K366" i="21" s="1"/>
  <c r="I367" i="21"/>
  <c r="K367" i="21" s="1"/>
  <c r="I368" i="21"/>
  <c r="K368" i="21" s="1"/>
  <c r="I369" i="21"/>
  <c r="K369" i="21" s="1"/>
  <c r="I370" i="21"/>
  <c r="K370" i="21" s="1"/>
  <c r="I371" i="21"/>
  <c r="K371" i="21" s="1"/>
  <c r="I372" i="21"/>
  <c r="K372" i="21" s="1"/>
  <c r="I373" i="21"/>
  <c r="K373" i="21" s="1"/>
  <c r="I375" i="21"/>
  <c r="K375" i="21" s="1"/>
  <c r="I376" i="21"/>
  <c r="K376" i="21" s="1"/>
  <c r="I377" i="21"/>
  <c r="K377" i="21" s="1"/>
  <c r="I378" i="21"/>
  <c r="K378" i="21" s="1"/>
  <c r="I379" i="21"/>
  <c r="K379" i="21" s="1"/>
  <c r="I380" i="21"/>
  <c r="K380" i="21" s="1"/>
  <c r="I381" i="21"/>
  <c r="K381" i="21" s="1"/>
  <c r="I382" i="21"/>
  <c r="K382" i="21" s="1"/>
  <c r="I383" i="21"/>
  <c r="K383" i="21" s="1"/>
  <c r="I384" i="21"/>
  <c r="K384" i="21" s="1"/>
  <c r="I385" i="21"/>
  <c r="K385" i="21" s="1"/>
  <c r="I386" i="21"/>
  <c r="K386" i="21" s="1"/>
  <c r="I387" i="21"/>
  <c r="K387" i="21" s="1"/>
  <c r="I388" i="21"/>
  <c r="K388" i="21" s="1"/>
  <c r="I389" i="21"/>
  <c r="K389" i="21" s="1"/>
  <c r="I390" i="21"/>
  <c r="K390" i="21" s="1"/>
  <c r="I391" i="21"/>
  <c r="K391" i="21" s="1"/>
  <c r="I392" i="21"/>
  <c r="K392" i="21" s="1"/>
  <c r="I393" i="21"/>
  <c r="K393" i="21" s="1"/>
  <c r="I394" i="21"/>
  <c r="K394" i="21" s="1"/>
  <c r="I395" i="21"/>
  <c r="K395" i="21" s="1"/>
  <c r="I396" i="21"/>
  <c r="K396" i="21" s="1"/>
  <c r="I397" i="21"/>
  <c r="K397" i="21" s="1"/>
  <c r="I398" i="21"/>
  <c r="K398" i="21" s="1"/>
  <c r="I399" i="21"/>
  <c r="K399" i="21" s="1"/>
  <c r="I400" i="21"/>
  <c r="K400" i="21" s="1"/>
  <c r="I401" i="21"/>
  <c r="K401" i="21" s="1"/>
  <c r="I402" i="21"/>
  <c r="K402" i="21" s="1"/>
  <c r="I403" i="21"/>
  <c r="K403" i="21" s="1"/>
  <c r="I404" i="21"/>
  <c r="K404" i="21" s="1"/>
  <c r="I405" i="21"/>
  <c r="K405" i="21" s="1"/>
  <c r="I406" i="21"/>
  <c r="K406" i="21" s="1"/>
  <c r="I407" i="21"/>
  <c r="K407" i="21" s="1"/>
  <c r="I408" i="21"/>
  <c r="K408" i="21" s="1"/>
  <c r="I409" i="21"/>
  <c r="K409" i="21" s="1"/>
  <c r="I410" i="21"/>
  <c r="K410" i="21" s="1"/>
  <c r="I411" i="21"/>
  <c r="K411" i="21" s="1"/>
  <c r="I412" i="21"/>
  <c r="K412" i="21" s="1"/>
  <c r="I413" i="21"/>
  <c r="K413" i="21" s="1"/>
  <c r="I414" i="21"/>
  <c r="K414" i="21" s="1"/>
  <c r="I415" i="21"/>
  <c r="K415" i="21" s="1"/>
  <c r="I416" i="21"/>
  <c r="K416" i="21" s="1"/>
  <c r="I417" i="21"/>
  <c r="K417" i="21" s="1"/>
  <c r="I418" i="21"/>
  <c r="K418" i="21" s="1"/>
  <c r="I419" i="21"/>
  <c r="K419" i="21" s="1"/>
  <c r="I420" i="21"/>
  <c r="K420" i="21" s="1"/>
  <c r="I421" i="21"/>
  <c r="K421" i="21" s="1"/>
  <c r="I422" i="21"/>
  <c r="K422" i="21" s="1"/>
  <c r="I423" i="21"/>
  <c r="K423" i="21" s="1"/>
  <c r="I424" i="21"/>
  <c r="K424" i="21" s="1"/>
  <c r="I425" i="21"/>
  <c r="K425" i="21" s="1"/>
  <c r="I426" i="21"/>
  <c r="K426" i="21" s="1"/>
  <c r="I427" i="21"/>
  <c r="K427" i="21" s="1"/>
  <c r="I428" i="21"/>
  <c r="K428" i="21" s="1"/>
  <c r="I429" i="21"/>
  <c r="K429" i="21" s="1"/>
  <c r="I430" i="21"/>
  <c r="K430" i="21" s="1"/>
  <c r="I431" i="21"/>
  <c r="K431" i="21" s="1"/>
  <c r="I432" i="21"/>
  <c r="K432" i="21" s="1"/>
  <c r="I433" i="21"/>
  <c r="K433" i="21" s="1"/>
  <c r="I434" i="21"/>
  <c r="K434" i="21" s="1"/>
  <c r="I435" i="21"/>
  <c r="K435" i="21" s="1"/>
  <c r="I436" i="21"/>
  <c r="K436" i="21" s="1"/>
  <c r="I437" i="21"/>
  <c r="K437" i="21" s="1"/>
  <c r="I438" i="21"/>
  <c r="K438" i="21" s="1"/>
  <c r="I439" i="21"/>
  <c r="K439" i="21" s="1"/>
  <c r="I440" i="21"/>
  <c r="K440" i="21" s="1"/>
  <c r="I441" i="21"/>
  <c r="K441" i="21" s="1"/>
  <c r="I442" i="21"/>
  <c r="K442" i="21" s="1"/>
  <c r="I443" i="21"/>
  <c r="K443" i="21" s="1"/>
  <c r="I444" i="21"/>
  <c r="K444" i="21" s="1"/>
  <c r="I445" i="21"/>
  <c r="K445" i="21" s="1"/>
  <c r="I446" i="21"/>
  <c r="K446" i="21" s="1"/>
  <c r="I447" i="21"/>
  <c r="K447" i="21" s="1"/>
  <c r="I448" i="21"/>
  <c r="K448" i="21" s="1"/>
  <c r="I449" i="21"/>
  <c r="K449" i="21" s="1"/>
  <c r="I450" i="21"/>
  <c r="K450" i="21" s="1"/>
  <c r="I451" i="21"/>
  <c r="K451" i="21" s="1"/>
  <c r="I452" i="21"/>
  <c r="K452" i="21" s="1"/>
  <c r="I453" i="21"/>
  <c r="K453" i="21" s="1"/>
  <c r="I454" i="21"/>
  <c r="K454" i="21" s="1"/>
  <c r="I455" i="21"/>
  <c r="K455" i="21" s="1"/>
  <c r="I456" i="21"/>
  <c r="K456" i="21" s="1"/>
  <c r="I457" i="21"/>
  <c r="K457" i="21" s="1"/>
  <c r="I458" i="21"/>
  <c r="K458" i="21" s="1"/>
  <c r="I459" i="21"/>
  <c r="K459" i="21" s="1"/>
  <c r="I460" i="21"/>
  <c r="K460" i="21" s="1"/>
  <c r="I461" i="21"/>
  <c r="K461" i="21" s="1"/>
  <c r="I462" i="21"/>
  <c r="K462" i="21" s="1"/>
  <c r="I463" i="21"/>
  <c r="K463" i="21" s="1"/>
  <c r="I464" i="21"/>
  <c r="K464" i="21" s="1"/>
  <c r="I465" i="21"/>
  <c r="K465" i="21" s="1"/>
  <c r="I466" i="21"/>
  <c r="K466" i="21" s="1"/>
  <c r="I467" i="21"/>
  <c r="K467" i="21" s="1"/>
  <c r="I468" i="21"/>
  <c r="K468" i="21" s="1"/>
  <c r="I469" i="21"/>
  <c r="K469" i="21" s="1"/>
  <c r="I470" i="21"/>
  <c r="K470" i="21" s="1"/>
  <c r="I471" i="21"/>
  <c r="K471" i="21" s="1"/>
  <c r="I472" i="21"/>
  <c r="K472" i="21" s="1"/>
  <c r="I473" i="21"/>
  <c r="K473" i="21" s="1"/>
  <c r="I474" i="21"/>
  <c r="K474" i="21" s="1"/>
  <c r="I475" i="21"/>
  <c r="K475" i="21" s="1"/>
  <c r="I476" i="21"/>
  <c r="K476" i="21" s="1"/>
  <c r="I477" i="21"/>
  <c r="K477" i="21" s="1"/>
  <c r="I478" i="21"/>
  <c r="K478" i="21" s="1"/>
  <c r="I479" i="21"/>
  <c r="K479" i="21" s="1"/>
  <c r="I480" i="21"/>
  <c r="K480" i="21" s="1"/>
  <c r="I481" i="21"/>
  <c r="K481" i="21" s="1"/>
  <c r="I482" i="21"/>
  <c r="K482" i="21" s="1"/>
  <c r="I483" i="21"/>
  <c r="K483" i="21" s="1"/>
  <c r="I484" i="21"/>
  <c r="K484" i="21" s="1"/>
  <c r="I485" i="21"/>
  <c r="K485" i="21" s="1"/>
  <c r="I486" i="21"/>
  <c r="K486" i="21" s="1"/>
  <c r="I487" i="21"/>
  <c r="K487" i="21" s="1"/>
  <c r="I488" i="21"/>
  <c r="K488" i="21" s="1"/>
  <c r="I489" i="21"/>
  <c r="K489" i="21" s="1"/>
  <c r="I490" i="21"/>
  <c r="K490" i="21" s="1"/>
  <c r="I491" i="21"/>
  <c r="K491" i="21" s="1"/>
  <c r="I493" i="21"/>
  <c r="K493" i="21" s="1"/>
  <c r="I494" i="21"/>
  <c r="K494" i="21" s="1"/>
  <c r="I495" i="21"/>
  <c r="K495" i="21" s="1"/>
  <c r="I496" i="21"/>
  <c r="K496" i="21" s="1"/>
  <c r="I497" i="21"/>
  <c r="K497" i="21" s="1"/>
  <c r="I498" i="21"/>
  <c r="K498" i="21" s="1"/>
  <c r="I499" i="21"/>
  <c r="K499" i="21" s="1"/>
  <c r="I500" i="21"/>
  <c r="K500" i="21" s="1"/>
  <c r="I501" i="21"/>
  <c r="K501" i="21" s="1"/>
  <c r="I502" i="21"/>
  <c r="K502" i="21" s="1"/>
  <c r="I503" i="21"/>
  <c r="K503" i="21" s="1"/>
  <c r="I504" i="21"/>
  <c r="K504" i="21" s="1"/>
  <c r="I505" i="21"/>
  <c r="K505" i="21" s="1"/>
  <c r="I506" i="21"/>
  <c r="K506" i="21" s="1"/>
  <c r="I507" i="21"/>
  <c r="K507" i="21" s="1"/>
  <c r="I508" i="21"/>
  <c r="K508" i="21" s="1"/>
  <c r="I509" i="21"/>
  <c r="K509" i="21" s="1"/>
  <c r="I510" i="21"/>
  <c r="K510" i="21" s="1"/>
  <c r="I511" i="21"/>
  <c r="K511" i="21" s="1"/>
  <c r="I512" i="21"/>
  <c r="K512" i="21" s="1"/>
  <c r="I513" i="21"/>
  <c r="K513" i="21" s="1"/>
  <c r="I514" i="21"/>
  <c r="K514" i="21" s="1"/>
  <c r="I515" i="21"/>
  <c r="K515" i="21" s="1"/>
  <c r="I516" i="21"/>
  <c r="K516" i="21" s="1"/>
  <c r="I517" i="21"/>
  <c r="K517" i="21" s="1"/>
  <c r="I518" i="21"/>
  <c r="K518" i="21" s="1"/>
  <c r="I519" i="21"/>
  <c r="K519" i="21" s="1"/>
  <c r="I520" i="21"/>
  <c r="K520" i="21" s="1"/>
  <c r="I521" i="21"/>
  <c r="K521" i="21" s="1"/>
  <c r="I522" i="21"/>
  <c r="K522" i="21" s="1"/>
  <c r="I523" i="21"/>
  <c r="K523" i="21" s="1"/>
  <c r="I524" i="21"/>
  <c r="K524" i="21" s="1"/>
  <c r="I527" i="21"/>
  <c r="K527" i="21" s="1"/>
  <c r="I528" i="21"/>
  <c r="K528" i="21" s="1"/>
  <c r="I529" i="21"/>
  <c r="K529" i="21" s="1"/>
  <c r="I530" i="21"/>
  <c r="K530" i="21" s="1"/>
  <c r="I531" i="21"/>
  <c r="K531" i="21" s="1"/>
  <c r="I532" i="21"/>
  <c r="K532" i="21" s="1"/>
  <c r="I533" i="21"/>
  <c r="K533" i="21" s="1"/>
  <c r="I534" i="21"/>
  <c r="K534" i="21" s="1"/>
  <c r="I535" i="21"/>
  <c r="K535" i="21" s="1"/>
  <c r="I536" i="21"/>
  <c r="K536" i="21" s="1"/>
  <c r="I537" i="21"/>
  <c r="K537" i="21" s="1"/>
  <c r="I538" i="21"/>
  <c r="K538" i="21" s="1"/>
  <c r="I539" i="21"/>
  <c r="K539" i="21" s="1"/>
  <c r="I540" i="21"/>
  <c r="K540" i="21" s="1"/>
  <c r="I541" i="21"/>
  <c r="K541" i="21" s="1"/>
  <c r="I542" i="21"/>
  <c r="K542" i="21" s="1"/>
  <c r="I543" i="21"/>
  <c r="K543" i="21" s="1"/>
  <c r="I544" i="21"/>
  <c r="K544" i="21" s="1"/>
  <c r="I545" i="21"/>
  <c r="K545" i="21" s="1"/>
  <c r="I546" i="21"/>
  <c r="K546" i="21" s="1"/>
  <c r="I547" i="21"/>
  <c r="K547" i="21" s="1"/>
  <c r="I548" i="21"/>
  <c r="K548" i="21" s="1"/>
  <c r="I549" i="21"/>
  <c r="K549" i="21" s="1"/>
  <c r="I550" i="21"/>
  <c r="K550" i="21" s="1"/>
  <c r="I551" i="21"/>
  <c r="K551" i="21" s="1"/>
  <c r="I552" i="21"/>
  <c r="K552" i="21" s="1"/>
  <c r="I553" i="21"/>
  <c r="K553" i="21" s="1"/>
  <c r="I554" i="21"/>
  <c r="K554" i="21" s="1"/>
  <c r="I555" i="21"/>
  <c r="K555" i="21" s="1"/>
  <c r="I556" i="21"/>
  <c r="K556" i="21" s="1"/>
  <c r="I557" i="21"/>
  <c r="K557" i="21" s="1"/>
  <c r="I558" i="21"/>
  <c r="K558" i="21" s="1"/>
  <c r="I560" i="21"/>
  <c r="K560" i="21" s="1"/>
  <c r="I561" i="21"/>
  <c r="K561" i="21" s="1"/>
  <c r="I562" i="21"/>
  <c r="K562" i="21" s="1"/>
  <c r="I563" i="21"/>
  <c r="K563" i="21" s="1"/>
  <c r="I564" i="21"/>
  <c r="K564" i="21" s="1"/>
  <c r="I565" i="21"/>
  <c r="K565" i="21" s="1"/>
  <c r="I566" i="21"/>
  <c r="K566" i="21" s="1"/>
  <c r="I567" i="21"/>
  <c r="K567" i="21" s="1"/>
  <c r="I568" i="21"/>
  <c r="K568" i="21" s="1"/>
  <c r="I569" i="21"/>
  <c r="K569" i="21" s="1"/>
  <c r="I570" i="21"/>
  <c r="K570" i="21" s="1"/>
  <c r="I571" i="21"/>
  <c r="K571" i="21" s="1"/>
  <c r="I572" i="21"/>
  <c r="K572" i="21" s="1"/>
  <c r="I573" i="21"/>
  <c r="K573" i="21" s="1"/>
  <c r="I574" i="21"/>
  <c r="K574" i="21" s="1"/>
  <c r="I575" i="21"/>
  <c r="K575" i="21" s="1"/>
  <c r="I576" i="21"/>
  <c r="K576" i="21" s="1"/>
  <c r="I577" i="21"/>
  <c r="K577" i="21" s="1"/>
  <c r="I578" i="21"/>
  <c r="K578" i="21" s="1"/>
  <c r="I579" i="21"/>
  <c r="K579" i="21" s="1"/>
  <c r="I580" i="21"/>
  <c r="K580" i="21" s="1"/>
  <c r="I581" i="21"/>
  <c r="K581" i="21" s="1"/>
  <c r="I582" i="21"/>
  <c r="K582" i="21" s="1"/>
  <c r="I583" i="21"/>
  <c r="K583" i="21" s="1"/>
  <c r="I584" i="21"/>
  <c r="K584" i="21" s="1"/>
  <c r="I585" i="21"/>
  <c r="K585" i="21" s="1"/>
  <c r="I586" i="21"/>
  <c r="K586" i="21" s="1"/>
  <c r="I587" i="21"/>
  <c r="K587" i="21" s="1"/>
  <c r="I588" i="21"/>
  <c r="K588" i="21" s="1"/>
  <c r="I589" i="21"/>
  <c r="K589" i="21" s="1"/>
  <c r="I590" i="21"/>
  <c r="K590" i="21" s="1"/>
  <c r="I591" i="21"/>
  <c r="K591" i="21" s="1"/>
  <c r="I592" i="21"/>
  <c r="K592" i="21" s="1"/>
  <c r="I593" i="21"/>
  <c r="K593" i="21" s="1"/>
  <c r="I594" i="21"/>
  <c r="K594" i="21" s="1"/>
  <c r="I595" i="21"/>
  <c r="K595" i="21" s="1"/>
  <c r="I596" i="21"/>
  <c r="K596" i="21" s="1"/>
  <c r="I597" i="21"/>
  <c r="K597" i="21" s="1"/>
  <c r="I598" i="21"/>
  <c r="K598" i="21" s="1"/>
  <c r="I599" i="21"/>
  <c r="K599" i="21" s="1"/>
  <c r="I600" i="21"/>
  <c r="K600" i="21" s="1"/>
  <c r="I601" i="21"/>
  <c r="K601" i="21" s="1"/>
  <c r="I602" i="21"/>
  <c r="K602" i="21" s="1"/>
  <c r="I603" i="21"/>
  <c r="K603" i="21" s="1"/>
  <c r="I604" i="21"/>
  <c r="K604" i="21" s="1"/>
  <c r="I140" i="21"/>
  <c r="K140" i="21" s="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03" i="21"/>
  <c r="E304" i="21"/>
  <c r="E305" i="21"/>
  <c r="E307" i="21"/>
  <c r="E308" i="21"/>
  <c r="E309" i="21"/>
  <c r="E310" i="21"/>
  <c r="E311" i="21"/>
  <c r="E312" i="21"/>
  <c r="E313" i="21"/>
  <c r="E314" i="21"/>
  <c r="E315" i="21"/>
  <c r="E316" i="21"/>
  <c r="E317" i="21"/>
  <c r="E318" i="21"/>
  <c r="E320" i="21"/>
  <c r="E321" i="21"/>
  <c r="E322" i="21"/>
  <c r="E323" i="21"/>
  <c r="E324" i="21"/>
  <c r="E325" i="21"/>
  <c r="E326" i="21"/>
  <c r="E327" i="21"/>
  <c r="E328" i="21"/>
  <c r="E329" i="21"/>
  <c r="E330" i="21"/>
  <c r="E331" i="21"/>
  <c r="E332" i="21"/>
  <c r="E333" i="21"/>
  <c r="E334" i="21"/>
  <c r="E335" i="21"/>
  <c r="E336" i="21"/>
  <c r="E337" i="21"/>
  <c r="E338" i="21"/>
  <c r="E339" i="21"/>
  <c r="E340" i="21"/>
  <c r="E341" i="21"/>
  <c r="E342" i="21"/>
  <c r="E343" i="21"/>
  <c r="E344" i="21"/>
  <c r="E345" i="21"/>
  <c r="E346" i="21"/>
  <c r="E347" i="21"/>
  <c r="E348" i="21"/>
  <c r="E349" i="21"/>
  <c r="E351" i="21"/>
  <c r="E352" i="21"/>
  <c r="E353" i="21"/>
  <c r="E354" i="21"/>
  <c r="E355" i="21"/>
  <c r="E356" i="21"/>
  <c r="E357" i="21"/>
  <c r="E358" i="21"/>
  <c r="E359" i="21"/>
  <c r="E360" i="21"/>
  <c r="E361" i="21"/>
  <c r="E362" i="21"/>
  <c r="E363" i="21"/>
  <c r="E364" i="21"/>
  <c r="E365" i="21"/>
  <c r="E366" i="21"/>
  <c r="E367" i="21"/>
  <c r="E368" i="21"/>
  <c r="E369" i="21"/>
  <c r="E370" i="21"/>
  <c r="E371" i="21"/>
  <c r="E372" i="21"/>
  <c r="E373" i="21"/>
  <c r="E375" i="21"/>
  <c r="E376" i="21"/>
  <c r="E377" i="21"/>
  <c r="E378" i="21"/>
  <c r="E379" i="21"/>
  <c r="E380" i="21"/>
  <c r="E381" i="21"/>
  <c r="E382" i="21"/>
  <c r="E383" i="21"/>
  <c r="E384" i="21"/>
  <c r="E385" i="21"/>
  <c r="E386" i="21"/>
  <c r="E387" i="21"/>
  <c r="E388" i="21"/>
  <c r="E389" i="21"/>
  <c r="E390" i="21"/>
  <c r="E391" i="21"/>
  <c r="E392" i="21"/>
  <c r="E393" i="21"/>
  <c r="E394" i="21"/>
  <c r="E395" i="21"/>
  <c r="E396" i="21"/>
  <c r="E397" i="21"/>
  <c r="E398" i="21"/>
  <c r="E399" i="21"/>
  <c r="E400" i="21"/>
  <c r="E401" i="21"/>
  <c r="E402" i="21"/>
  <c r="E403" i="21"/>
  <c r="E404" i="21"/>
  <c r="E405" i="21"/>
  <c r="E406" i="21"/>
  <c r="E407" i="21"/>
  <c r="E408" i="21"/>
  <c r="E409" i="21"/>
  <c r="E410" i="21"/>
  <c r="E411" i="21"/>
  <c r="E412" i="21"/>
  <c r="E413" i="21"/>
  <c r="E414" i="21"/>
  <c r="E415" i="21"/>
  <c r="E416" i="21"/>
  <c r="E417" i="21"/>
  <c r="E418" i="21"/>
  <c r="E419" i="21"/>
  <c r="E420" i="21"/>
  <c r="E421" i="21"/>
  <c r="E422" i="21"/>
  <c r="E423" i="21"/>
  <c r="E424" i="21"/>
  <c r="E425" i="21"/>
  <c r="E426" i="21"/>
  <c r="E427" i="21"/>
  <c r="E428" i="21"/>
  <c r="E429" i="21"/>
  <c r="E430" i="21"/>
  <c r="E431" i="21"/>
  <c r="E432" i="21"/>
  <c r="E433" i="21"/>
  <c r="E434" i="21"/>
  <c r="E435" i="21"/>
  <c r="E436" i="21"/>
  <c r="E437" i="21"/>
  <c r="E438" i="21"/>
  <c r="E439" i="21"/>
  <c r="E440" i="21"/>
  <c r="E441" i="21"/>
  <c r="E442" i="21"/>
  <c r="E443" i="21"/>
  <c r="E444" i="21"/>
  <c r="E445" i="21"/>
  <c r="E446" i="21"/>
  <c r="E447" i="21"/>
  <c r="E448" i="21"/>
  <c r="E449" i="21"/>
  <c r="E450" i="21"/>
  <c r="E451" i="21"/>
  <c r="E452" i="21"/>
  <c r="E453" i="21"/>
  <c r="E454" i="21"/>
  <c r="E455" i="21"/>
  <c r="E456" i="21"/>
  <c r="E457" i="21"/>
  <c r="E458" i="21"/>
  <c r="E459" i="21"/>
  <c r="E460" i="21"/>
  <c r="E461" i="21"/>
  <c r="E462" i="21"/>
  <c r="E463" i="21"/>
  <c r="E464" i="21"/>
  <c r="E465" i="21"/>
  <c r="E466" i="21"/>
  <c r="E467" i="21"/>
  <c r="E468" i="21"/>
  <c r="E469" i="21"/>
  <c r="E470" i="21"/>
  <c r="E471" i="21"/>
  <c r="E472" i="21"/>
  <c r="E473" i="21"/>
  <c r="E474" i="21"/>
  <c r="E475" i="21"/>
  <c r="E476" i="21"/>
  <c r="E477" i="21"/>
  <c r="E478" i="21"/>
  <c r="E479" i="21"/>
  <c r="E480" i="21"/>
  <c r="E481" i="21"/>
  <c r="E482" i="21"/>
  <c r="E483" i="21"/>
  <c r="E484" i="21"/>
  <c r="E485" i="21"/>
  <c r="E486" i="21"/>
  <c r="E487" i="21"/>
  <c r="E488" i="21"/>
  <c r="E489" i="21"/>
  <c r="E490" i="21"/>
  <c r="E491" i="21"/>
  <c r="E493" i="21"/>
  <c r="E494" i="21"/>
  <c r="E495" i="21"/>
  <c r="E496" i="21"/>
  <c r="E497" i="21"/>
  <c r="E498" i="21"/>
  <c r="E499" i="21"/>
  <c r="E500" i="21"/>
  <c r="E501" i="21"/>
  <c r="E502" i="21"/>
  <c r="E503" i="21"/>
  <c r="E504" i="21"/>
  <c r="E505" i="21"/>
  <c r="E506" i="21"/>
  <c r="E507" i="21"/>
  <c r="E508" i="21"/>
  <c r="E509" i="21"/>
  <c r="E510" i="21"/>
  <c r="E511" i="21"/>
  <c r="E512" i="21"/>
  <c r="E513" i="21"/>
  <c r="E514" i="21"/>
  <c r="E515" i="21"/>
  <c r="E516" i="21"/>
  <c r="E517" i="21"/>
  <c r="E518" i="21"/>
  <c r="E519" i="21"/>
  <c r="E520" i="21"/>
  <c r="E521" i="21"/>
  <c r="E522" i="21"/>
  <c r="E523" i="21"/>
  <c r="E526" i="21"/>
  <c r="E527" i="21"/>
  <c r="E528" i="21"/>
  <c r="E529" i="21"/>
  <c r="E530" i="21"/>
  <c r="E531" i="21"/>
  <c r="E532" i="21"/>
  <c r="E533" i="21"/>
  <c r="E534" i="21"/>
  <c r="E535" i="21"/>
  <c r="E536" i="21"/>
  <c r="E537" i="21"/>
  <c r="E538" i="21"/>
  <c r="E539" i="21"/>
  <c r="E540" i="21"/>
  <c r="E541" i="21"/>
  <c r="E542" i="21"/>
  <c r="E543" i="21"/>
  <c r="E544" i="21"/>
  <c r="E545" i="21"/>
  <c r="E546" i="21"/>
  <c r="E547" i="21"/>
  <c r="E548" i="21"/>
  <c r="E549" i="21"/>
  <c r="E550" i="21"/>
  <c r="E551" i="21"/>
  <c r="E552" i="21"/>
  <c r="E553" i="21"/>
  <c r="E554" i="21"/>
  <c r="E555" i="21"/>
  <c r="E556" i="21"/>
  <c r="E557" i="21"/>
  <c r="E558" i="21"/>
  <c r="E560" i="21"/>
  <c r="E561" i="21"/>
  <c r="E562" i="21"/>
  <c r="E563" i="21"/>
  <c r="E564" i="21"/>
  <c r="E565" i="21"/>
  <c r="E566" i="21"/>
  <c r="E567" i="21"/>
  <c r="E568" i="21"/>
  <c r="E569" i="21"/>
  <c r="E570" i="21"/>
  <c r="E571" i="21"/>
  <c r="E572" i="21"/>
  <c r="E573" i="21"/>
  <c r="E574" i="21"/>
  <c r="E575" i="21"/>
  <c r="E576" i="21"/>
  <c r="E577" i="21"/>
  <c r="E578" i="21"/>
  <c r="E579" i="21"/>
  <c r="E580" i="21"/>
  <c r="E581" i="21"/>
  <c r="E582" i="21"/>
  <c r="E583" i="21"/>
  <c r="E584" i="21"/>
  <c r="E585" i="21"/>
  <c r="E586" i="21"/>
  <c r="E587" i="21"/>
  <c r="E588" i="21"/>
  <c r="E589" i="21"/>
  <c r="E590" i="21"/>
  <c r="E591" i="21"/>
  <c r="E592" i="21"/>
  <c r="E593" i="21"/>
  <c r="E594" i="21"/>
  <c r="E595" i="21"/>
  <c r="E596" i="21"/>
  <c r="E597" i="21"/>
  <c r="E598" i="21"/>
  <c r="E599" i="21"/>
  <c r="E600" i="21"/>
  <c r="E601" i="21"/>
  <c r="E602" i="21"/>
  <c r="E603" i="21"/>
  <c r="E604" i="21"/>
  <c r="E140" i="21"/>
  <c r="F140" i="21"/>
  <c r="D140" i="21"/>
  <c r="C140" i="21"/>
  <c r="B140" i="21"/>
  <c r="I93" i="21"/>
  <c r="K93" i="21" s="1"/>
  <c r="E93" i="21"/>
  <c r="B93" i="21"/>
  <c r="C93" i="21"/>
  <c r="D93" i="21"/>
  <c r="F93" i="21"/>
  <c r="M263" i="51" l="1"/>
  <c r="L263" i="51"/>
  <c r="L306" i="21"/>
  <c r="M374" i="21"/>
  <c r="L559" i="21"/>
  <c r="L525" i="21"/>
  <c r="M525" i="21"/>
  <c r="M458" i="21"/>
  <c r="M470" i="21"/>
  <c r="L458" i="21"/>
  <c r="L470" i="21"/>
  <c r="I64" i="21"/>
  <c r="K64" i="21" s="1"/>
  <c r="I65" i="21"/>
  <c r="K65" i="21" s="1"/>
  <c r="I66" i="21"/>
  <c r="K66" i="21" s="1"/>
  <c r="I67" i="21"/>
  <c r="K67" i="21" s="1"/>
  <c r="I68" i="21"/>
  <c r="K68" i="21" s="1"/>
  <c r="I69" i="21"/>
  <c r="K69" i="21" s="1"/>
  <c r="I70" i="21"/>
  <c r="K70" i="21" s="1"/>
  <c r="I71" i="21"/>
  <c r="K71" i="21" s="1"/>
  <c r="I72" i="21"/>
  <c r="K72" i="21" s="1"/>
  <c r="I73" i="21"/>
  <c r="K73" i="21" s="1"/>
  <c r="I74" i="21"/>
  <c r="K74" i="21" s="1"/>
  <c r="I75" i="21"/>
  <c r="K75" i="21" s="1"/>
  <c r="I76" i="21"/>
  <c r="K76" i="21" s="1"/>
  <c r="I77" i="21"/>
  <c r="K77" i="21" s="1"/>
  <c r="I78" i="21"/>
  <c r="K78" i="21" s="1"/>
  <c r="I79" i="21"/>
  <c r="K79" i="21" s="1"/>
  <c r="I80" i="21"/>
  <c r="K80" i="21" s="1"/>
  <c r="I81" i="21"/>
  <c r="K81" i="21" s="1"/>
  <c r="I82" i="21"/>
  <c r="K82" i="21" s="1"/>
  <c r="I83" i="21"/>
  <c r="K83" i="21" s="1"/>
  <c r="I84" i="21"/>
  <c r="K84" i="21" s="1"/>
  <c r="I85" i="21"/>
  <c r="K85" i="21" s="1"/>
  <c r="I86" i="21"/>
  <c r="K86" i="21" s="1"/>
  <c r="I87" i="21"/>
  <c r="K87" i="21" s="1"/>
  <c r="I88" i="21"/>
  <c r="K88" i="21" s="1"/>
  <c r="I89" i="21"/>
  <c r="K89" i="21" s="1"/>
  <c r="I90" i="21"/>
  <c r="K90" i="21" s="1"/>
  <c r="I91" i="21"/>
  <c r="K91" i="21" s="1"/>
  <c r="I92" i="21"/>
  <c r="K92" i="21" s="1"/>
  <c r="I94" i="21"/>
  <c r="K94" i="21" s="1"/>
  <c r="I95" i="21"/>
  <c r="K95" i="21" s="1"/>
  <c r="I96" i="21"/>
  <c r="K96" i="21" s="1"/>
  <c r="I97" i="21"/>
  <c r="K97" i="21" s="1"/>
  <c r="I98" i="21"/>
  <c r="K98" i="21" s="1"/>
  <c r="I99" i="21"/>
  <c r="K99" i="21" s="1"/>
  <c r="I100" i="21"/>
  <c r="K100" i="21" s="1"/>
  <c r="I101" i="21"/>
  <c r="K101" i="21" s="1"/>
  <c r="I102" i="21"/>
  <c r="K102" i="21" s="1"/>
  <c r="I103" i="21"/>
  <c r="K103" i="21" s="1"/>
  <c r="I104" i="21"/>
  <c r="K104" i="21" s="1"/>
  <c r="I105" i="21"/>
  <c r="K105" i="21" s="1"/>
  <c r="I106" i="21"/>
  <c r="K106" i="21" s="1"/>
  <c r="I107" i="21"/>
  <c r="K107" i="21" s="1"/>
  <c r="I108" i="21"/>
  <c r="K108" i="21" s="1"/>
  <c r="I109" i="21"/>
  <c r="K109" i="21" s="1"/>
  <c r="I110" i="21"/>
  <c r="K110" i="21" s="1"/>
  <c r="I111" i="21"/>
  <c r="K111" i="21" s="1"/>
  <c r="I112" i="21"/>
  <c r="K112" i="21" s="1"/>
  <c r="I113" i="21"/>
  <c r="K113" i="21" s="1"/>
  <c r="I114" i="21"/>
  <c r="K114" i="21" s="1"/>
  <c r="I115" i="21"/>
  <c r="K115" i="21" s="1"/>
  <c r="I116" i="21"/>
  <c r="K116" i="21" s="1"/>
  <c r="I117" i="21"/>
  <c r="K117" i="21" s="1"/>
  <c r="I118" i="21"/>
  <c r="K118" i="21" s="1"/>
  <c r="I119" i="21"/>
  <c r="K119" i="21" s="1"/>
  <c r="I120" i="21"/>
  <c r="K120" i="21" s="1"/>
  <c r="I121" i="21"/>
  <c r="K121" i="21" s="1"/>
  <c r="I122" i="21"/>
  <c r="K122" i="21" s="1"/>
  <c r="I123" i="21"/>
  <c r="K123" i="21" s="1"/>
  <c r="I124" i="21"/>
  <c r="K124" i="21" s="1"/>
  <c r="I125" i="21"/>
  <c r="K125" i="21" s="1"/>
  <c r="I126" i="21"/>
  <c r="K126" i="21" s="1"/>
  <c r="I127" i="21"/>
  <c r="K127" i="21" s="1"/>
  <c r="I128" i="21"/>
  <c r="K128" i="21" s="1"/>
  <c r="I129" i="21"/>
  <c r="K129" i="21" s="1"/>
  <c r="I130" i="21"/>
  <c r="K130" i="21" s="1"/>
  <c r="I131" i="21"/>
  <c r="K131" i="21" s="1"/>
  <c r="I132" i="21"/>
  <c r="K132" i="21" s="1"/>
  <c r="I133" i="21"/>
  <c r="K133" i="21" s="1"/>
  <c r="I134" i="21"/>
  <c r="K134" i="21" s="1"/>
  <c r="I135" i="21"/>
  <c r="K135" i="21" s="1"/>
  <c r="I136" i="21"/>
  <c r="K136" i="21" s="1"/>
  <c r="I137" i="21"/>
  <c r="K137" i="21" s="1"/>
  <c r="I138" i="21"/>
  <c r="K138" i="21" s="1"/>
  <c r="I139" i="21"/>
  <c r="K139" i="21" s="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7" i="21"/>
  <c r="F308" i="21"/>
  <c r="F309" i="21"/>
  <c r="F310" i="21"/>
  <c r="F311" i="21"/>
  <c r="F312" i="21"/>
  <c r="F313" i="21"/>
  <c r="F314" i="21"/>
  <c r="F315" i="21"/>
  <c r="F316" i="21"/>
  <c r="F317" i="21"/>
  <c r="F318"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464" i="21"/>
  <c r="F465" i="21"/>
  <c r="F466" i="21"/>
  <c r="F467" i="21"/>
  <c r="F468" i="21"/>
  <c r="F469" i="21"/>
  <c r="F470" i="21"/>
  <c r="F471" i="21"/>
  <c r="F472" i="21"/>
  <c r="F473" i="21"/>
  <c r="F474" i="21"/>
  <c r="F475" i="21"/>
  <c r="F476" i="21"/>
  <c r="F477" i="21"/>
  <c r="F478" i="21"/>
  <c r="F479" i="21"/>
  <c r="F480" i="21"/>
  <c r="F481" i="21"/>
  <c r="F482" i="21"/>
  <c r="F483" i="21"/>
  <c r="F484" i="21"/>
  <c r="F485" i="21"/>
  <c r="F486" i="21"/>
  <c r="F487" i="21"/>
  <c r="F488" i="21"/>
  <c r="F489" i="21"/>
  <c r="F490" i="21"/>
  <c r="F491" i="21"/>
  <c r="F493" i="21"/>
  <c r="F494" i="21"/>
  <c r="F495" i="21"/>
  <c r="F496" i="21"/>
  <c r="F497" i="21"/>
  <c r="F498" i="21"/>
  <c r="F499" i="21"/>
  <c r="F500" i="21"/>
  <c r="F501" i="21"/>
  <c r="F502" i="21"/>
  <c r="F503" i="21"/>
  <c r="F504" i="21"/>
  <c r="F505" i="21"/>
  <c r="F506" i="21"/>
  <c r="F507" i="21"/>
  <c r="F508" i="21"/>
  <c r="F509" i="21"/>
  <c r="F510" i="21"/>
  <c r="F511" i="21"/>
  <c r="F512" i="21"/>
  <c r="F513" i="21"/>
  <c r="F514" i="21"/>
  <c r="F515" i="21"/>
  <c r="F516" i="21"/>
  <c r="F517" i="21"/>
  <c r="F518" i="21"/>
  <c r="F519" i="21"/>
  <c r="F520" i="21"/>
  <c r="F521" i="21"/>
  <c r="F522" i="21"/>
  <c r="F523" i="21"/>
  <c r="F524" i="21"/>
  <c r="F526" i="21"/>
  <c r="F527" i="21"/>
  <c r="F528" i="21"/>
  <c r="F529" i="21"/>
  <c r="F530" i="21"/>
  <c r="F531" i="21"/>
  <c r="F532" i="21"/>
  <c r="F533" i="21"/>
  <c r="F534" i="21"/>
  <c r="F535" i="21"/>
  <c r="F536" i="21"/>
  <c r="F537" i="21"/>
  <c r="F538" i="21"/>
  <c r="F539" i="21"/>
  <c r="F540" i="21"/>
  <c r="F541" i="21"/>
  <c r="F542" i="21"/>
  <c r="F543" i="21"/>
  <c r="F544" i="21"/>
  <c r="F545" i="21"/>
  <c r="F546" i="21"/>
  <c r="F547" i="21"/>
  <c r="F548" i="21"/>
  <c r="F549" i="21"/>
  <c r="F550" i="21"/>
  <c r="F551" i="21"/>
  <c r="F552" i="21"/>
  <c r="F553" i="21"/>
  <c r="F554" i="21"/>
  <c r="F555" i="21"/>
  <c r="F556" i="21"/>
  <c r="F557" i="21"/>
  <c r="F558" i="21"/>
  <c r="F560" i="21"/>
  <c r="F561" i="21"/>
  <c r="F562" i="21"/>
  <c r="F563" i="21"/>
  <c r="F564" i="21"/>
  <c r="F565" i="21"/>
  <c r="F566" i="21"/>
  <c r="F567" i="21"/>
  <c r="F568" i="21"/>
  <c r="F569" i="21"/>
  <c r="F570" i="21"/>
  <c r="F571" i="21"/>
  <c r="F572" i="21"/>
  <c r="F573" i="21"/>
  <c r="F574" i="21"/>
  <c r="F575" i="21"/>
  <c r="F576" i="21"/>
  <c r="F577" i="21"/>
  <c r="F578" i="21"/>
  <c r="F579" i="21"/>
  <c r="F580" i="21"/>
  <c r="F581" i="21"/>
  <c r="F582" i="21"/>
  <c r="F583" i="21"/>
  <c r="F584" i="21"/>
  <c r="F585" i="21"/>
  <c r="F586" i="21"/>
  <c r="F587" i="21"/>
  <c r="F588" i="21"/>
  <c r="F589" i="21"/>
  <c r="F590" i="21"/>
  <c r="F591" i="21"/>
  <c r="F592" i="21"/>
  <c r="F593" i="21"/>
  <c r="F594" i="21"/>
  <c r="F595" i="21"/>
  <c r="F596" i="21"/>
  <c r="F597" i="21"/>
  <c r="F598" i="21"/>
  <c r="F599" i="21"/>
  <c r="F600" i="21"/>
  <c r="F601" i="21"/>
  <c r="F602" i="21"/>
  <c r="F603" i="21"/>
  <c r="F604" i="21"/>
  <c r="D3"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7" i="21"/>
  <c r="D308" i="21"/>
  <c r="D309" i="21"/>
  <c r="D310" i="21"/>
  <c r="D311" i="21"/>
  <c r="D312" i="21"/>
  <c r="D313" i="21"/>
  <c r="D314" i="21"/>
  <c r="D315" i="21"/>
  <c r="D316" i="21"/>
  <c r="D317" i="21"/>
  <c r="D318"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3" i="21"/>
  <c r="D494" i="21"/>
  <c r="D495" i="21"/>
  <c r="D496" i="21"/>
  <c r="D497" i="21"/>
  <c r="D498" i="21"/>
  <c r="D499" i="21"/>
  <c r="D500" i="21"/>
  <c r="D501" i="21"/>
  <c r="D502" i="21"/>
  <c r="D503" i="21"/>
  <c r="D504" i="21"/>
  <c r="D505" i="21"/>
  <c r="D506" i="21"/>
  <c r="D507" i="21"/>
  <c r="D508" i="21"/>
  <c r="D509" i="21"/>
  <c r="D510" i="21"/>
  <c r="D511" i="21"/>
  <c r="D512" i="21"/>
  <c r="D513" i="21"/>
  <c r="D514" i="21"/>
  <c r="D515" i="21"/>
  <c r="D516" i="21"/>
  <c r="D517" i="21"/>
  <c r="D518" i="21"/>
  <c r="D519" i="21"/>
  <c r="D520" i="21"/>
  <c r="D521" i="21"/>
  <c r="D522" i="21"/>
  <c r="D523" i="21"/>
  <c r="D524" i="21"/>
  <c r="D526" i="21"/>
  <c r="D527" i="21"/>
  <c r="D528" i="21"/>
  <c r="D529" i="21"/>
  <c r="D530" i="21"/>
  <c r="D531" i="21"/>
  <c r="D532" i="21"/>
  <c r="D533" i="21"/>
  <c r="D534" i="21"/>
  <c r="D535" i="21"/>
  <c r="D536" i="21"/>
  <c r="D537" i="21"/>
  <c r="D538" i="21"/>
  <c r="D539" i="21"/>
  <c r="D540" i="21"/>
  <c r="D541" i="21"/>
  <c r="D542" i="21"/>
  <c r="D543" i="21"/>
  <c r="D544" i="21"/>
  <c r="D545" i="21"/>
  <c r="D546" i="21"/>
  <c r="D547" i="21"/>
  <c r="D548" i="21"/>
  <c r="D549" i="21"/>
  <c r="D550" i="21"/>
  <c r="D551" i="21"/>
  <c r="D552" i="21"/>
  <c r="D553" i="21"/>
  <c r="D554" i="21"/>
  <c r="D555" i="21"/>
  <c r="D556" i="21"/>
  <c r="D557" i="21"/>
  <c r="D558" i="21"/>
  <c r="D560" i="21"/>
  <c r="D561" i="21"/>
  <c r="D562" i="21"/>
  <c r="D563" i="21"/>
  <c r="D564" i="21"/>
  <c r="D565" i="21"/>
  <c r="D566" i="21"/>
  <c r="D567" i="21"/>
  <c r="D568" i="21"/>
  <c r="D569" i="21"/>
  <c r="D570" i="21"/>
  <c r="D571" i="21"/>
  <c r="D572" i="21"/>
  <c r="D573" i="21"/>
  <c r="D574" i="21"/>
  <c r="D575" i="21"/>
  <c r="D576" i="21"/>
  <c r="D577" i="21"/>
  <c r="D578" i="21"/>
  <c r="D579" i="21"/>
  <c r="D580" i="21"/>
  <c r="D581" i="21"/>
  <c r="D582" i="21"/>
  <c r="D583" i="21"/>
  <c r="D584" i="21"/>
  <c r="D585" i="21"/>
  <c r="D586" i="21"/>
  <c r="D587" i="21"/>
  <c r="D588" i="21"/>
  <c r="D589" i="21"/>
  <c r="D590" i="21"/>
  <c r="D591" i="21"/>
  <c r="D592" i="21"/>
  <c r="D593" i="21"/>
  <c r="D594" i="21"/>
  <c r="D595" i="21"/>
  <c r="D596" i="21"/>
  <c r="D597" i="21"/>
  <c r="D598" i="21"/>
  <c r="D599" i="21"/>
  <c r="D600" i="21"/>
  <c r="D601" i="21"/>
  <c r="D602" i="21"/>
  <c r="D603" i="21"/>
  <c r="D604" i="21"/>
  <c r="C3" i="21"/>
  <c r="C4" i="21"/>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7" i="21"/>
  <c r="C308" i="21"/>
  <c r="C309" i="21"/>
  <c r="C310" i="21"/>
  <c r="C311" i="21"/>
  <c r="C312" i="21"/>
  <c r="C313" i="21"/>
  <c r="C314" i="21"/>
  <c r="C315" i="21"/>
  <c r="C316" i="21"/>
  <c r="C317" i="21"/>
  <c r="C318"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3" i="21"/>
  <c r="C494" i="21"/>
  <c r="C495" i="21"/>
  <c r="C496" i="21"/>
  <c r="C497" i="21"/>
  <c r="C498" i="21"/>
  <c r="C499" i="21"/>
  <c r="C500" i="21"/>
  <c r="C501" i="21"/>
  <c r="C502" i="21"/>
  <c r="C503" i="21"/>
  <c r="C504" i="21"/>
  <c r="C505" i="21"/>
  <c r="C506" i="21"/>
  <c r="C507" i="21"/>
  <c r="C508" i="21"/>
  <c r="C509" i="21"/>
  <c r="C510" i="21"/>
  <c r="C511" i="21"/>
  <c r="C512" i="21"/>
  <c r="C513" i="21"/>
  <c r="C514" i="21"/>
  <c r="C515" i="21"/>
  <c r="C516" i="21"/>
  <c r="C517" i="21"/>
  <c r="C518" i="21"/>
  <c r="C519" i="21"/>
  <c r="C520" i="21"/>
  <c r="C521" i="21"/>
  <c r="C522" i="21"/>
  <c r="C523" i="21"/>
  <c r="C524" i="21"/>
  <c r="C526" i="21"/>
  <c r="C527" i="21"/>
  <c r="C528" i="21"/>
  <c r="C529" i="21"/>
  <c r="C530" i="21"/>
  <c r="C531" i="21"/>
  <c r="C532" i="21"/>
  <c r="C533" i="21"/>
  <c r="C534" i="21"/>
  <c r="C535" i="21"/>
  <c r="C536" i="21"/>
  <c r="C537" i="21"/>
  <c r="C538" i="21"/>
  <c r="C539" i="21"/>
  <c r="C540" i="21"/>
  <c r="C541" i="21"/>
  <c r="C542" i="21"/>
  <c r="C543" i="21"/>
  <c r="C544" i="21"/>
  <c r="C545" i="21"/>
  <c r="C546" i="21"/>
  <c r="C547" i="21"/>
  <c r="C548" i="21"/>
  <c r="C549" i="21"/>
  <c r="C550" i="21"/>
  <c r="C551" i="21"/>
  <c r="C552" i="21"/>
  <c r="C553" i="21"/>
  <c r="C554" i="21"/>
  <c r="C555" i="21"/>
  <c r="C556" i="21"/>
  <c r="C557" i="21"/>
  <c r="C558" i="21"/>
  <c r="C560" i="21"/>
  <c r="C561" i="21"/>
  <c r="C562" i="21"/>
  <c r="C563" i="21"/>
  <c r="C564" i="21"/>
  <c r="C565" i="21"/>
  <c r="C566" i="21"/>
  <c r="C567" i="21"/>
  <c r="C568" i="21"/>
  <c r="C569" i="21"/>
  <c r="C570" i="21"/>
  <c r="C571" i="21"/>
  <c r="C572" i="21"/>
  <c r="C573" i="21"/>
  <c r="C574" i="21"/>
  <c r="C575" i="21"/>
  <c r="C576" i="21"/>
  <c r="C577" i="21"/>
  <c r="C578" i="21"/>
  <c r="C579" i="21"/>
  <c r="C580" i="21"/>
  <c r="C581" i="21"/>
  <c r="C582" i="21"/>
  <c r="C583" i="21"/>
  <c r="C584" i="21"/>
  <c r="C585" i="21"/>
  <c r="C586" i="21"/>
  <c r="C587" i="21"/>
  <c r="C588" i="21"/>
  <c r="C589" i="21"/>
  <c r="C590" i="21"/>
  <c r="C591" i="21"/>
  <c r="C592" i="21"/>
  <c r="C593" i="21"/>
  <c r="C594" i="21"/>
  <c r="C595" i="21"/>
  <c r="C596" i="21"/>
  <c r="C597" i="21"/>
  <c r="C598" i="21"/>
  <c r="C599" i="21"/>
  <c r="C600" i="21"/>
  <c r="C601" i="21"/>
  <c r="C602" i="21"/>
  <c r="C603" i="21"/>
  <c r="C604" i="21"/>
  <c r="B4" i="21"/>
  <c r="B5" i="21"/>
  <c r="B6" i="21"/>
  <c r="B7" i="21"/>
  <c r="B8" i="21"/>
  <c r="B9" i="21"/>
  <c r="B10" i="21"/>
  <c r="B11" i="21"/>
  <c r="B12" i="21"/>
  <c r="B13" i="21"/>
  <c r="B14" i="21"/>
  <c r="B15" i="21"/>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B216"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2" i="21"/>
  <c r="B263" i="21"/>
  <c r="B264" i="21"/>
  <c r="B265" i="21"/>
  <c r="B266" i="21"/>
  <c r="B267" i="21"/>
  <c r="B268" i="21"/>
  <c r="B269" i="21"/>
  <c r="B270" i="21"/>
  <c r="B271" i="21"/>
  <c r="B272" i="21"/>
  <c r="B273" i="21"/>
  <c r="B274" i="21"/>
  <c r="B275" i="21"/>
  <c r="B276" i="21"/>
  <c r="B277" i="21"/>
  <c r="B278" i="21"/>
  <c r="B279" i="21"/>
  <c r="B280" i="21"/>
  <c r="B281" i="21"/>
  <c r="B282" i="21"/>
  <c r="B283" i="21"/>
  <c r="B284" i="21"/>
  <c r="B285" i="21"/>
  <c r="B286" i="21"/>
  <c r="B287" i="21"/>
  <c r="B288" i="21"/>
  <c r="B289" i="21"/>
  <c r="B290" i="21"/>
  <c r="B291" i="21"/>
  <c r="B292" i="21"/>
  <c r="B293" i="21"/>
  <c r="B294" i="21"/>
  <c r="B295" i="21"/>
  <c r="B296" i="21"/>
  <c r="B297" i="21"/>
  <c r="B298" i="21"/>
  <c r="B299" i="21"/>
  <c r="B300" i="21"/>
  <c r="B301" i="21"/>
  <c r="B302" i="21"/>
  <c r="B303" i="21"/>
  <c r="B304" i="21"/>
  <c r="B305" i="21"/>
  <c r="B307" i="21"/>
  <c r="B308" i="21"/>
  <c r="B309" i="21"/>
  <c r="B310" i="21"/>
  <c r="B311" i="21"/>
  <c r="B312" i="21"/>
  <c r="B313" i="21"/>
  <c r="B314" i="21"/>
  <c r="B315" i="21"/>
  <c r="B316" i="21"/>
  <c r="B317" i="21"/>
  <c r="B318" i="21"/>
  <c r="B320" i="21"/>
  <c r="B321" i="21"/>
  <c r="B322" i="21"/>
  <c r="B323" i="21"/>
  <c r="B324" i="21"/>
  <c r="B325" i="21"/>
  <c r="B326" i="21"/>
  <c r="B327" i="21"/>
  <c r="B328" i="21"/>
  <c r="B329" i="21"/>
  <c r="B330" i="21"/>
  <c r="B331" i="21"/>
  <c r="B332" i="21"/>
  <c r="B333" i="21"/>
  <c r="B334" i="21"/>
  <c r="B335" i="21"/>
  <c r="B336" i="21"/>
  <c r="B337" i="21"/>
  <c r="B338" i="21"/>
  <c r="B339" i="21"/>
  <c r="B340" i="21"/>
  <c r="B341" i="21"/>
  <c r="B342" i="21"/>
  <c r="B343" i="21"/>
  <c r="B344" i="21"/>
  <c r="B345" i="21"/>
  <c r="B346" i="21"/>
  <c r="B347" i="21"/>
  <c r="B348" i="21"/>
  <c r="B349" i="21"/>
  <c r="B351" i="21"/>
  <c r="B352" i="21"/>
  <c r="B353" i="21"/>
  <c r="B354" i="21"/>
  <c r="B355" i="21"/>
  <c r="B356" i="21"/>
  <c r="B357" i="21"/>
  <c r="B358" i="21"/>
  <c r="B359" i="21"/>
  <c r="B360" i="21"/>
  <c r="B361" i="21"/>
  <c r="B362" i="21"/>
  <c r="B363" i="21"/>
  <c r="B364" i="21"/>
  <c r="B365" i="21"/>
  <c r="B366" i="21"/>
  <c r="B367" i="21"/>
  <c r="B368" i="21"/>
  <c r="B369" i="21"/>
  <c r="B370" i="21"/>
  <c r="B371" i="21"/>
  <c r="B372" i="21"/>
  <c r="B373"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B435" i="21"/>
  <c r="B436" i="21"/>
  <c r="B437" i="21"/>
  <c r="B438" i="21"/>
  <c r="B439" i="21"/>
  <c r="B440" i="21"/>
  <c r="B441" i="21"/>
  <c r="B442" i="21"/>
  <c r="B443" i="21"/>
  <c r="B444" i="21"/>
  <c r="B445" i="21"/>
  <c r="B446" i="21"/>
  <c r="B447" i="21"/>
  <c r="B448" i="21"/>
  <c r="B449" i="21"/>
  <c r="B450" i="21"/>
  <c r="B451" i="21"/>
  <c r="B452" i="21"/>
  <c r="B453" i="21"/>
  <c r="B454" i="21"/>
  <c r="B455" i="21"/>
  <c r="B456" i="21"/>
  <c r="B457" i="21"/>
  <c r="B458" i="21"/>
  <c r="B459" i="21"/>
  <c r="B460" i="21"/>
  <c r="B461" i="21"/>
  <c r="B462" i="21"/>
  <c r="B463" i="21"/>
  <c r="B464" i="21"/>
  <c r="B465" i="21"/>
  <c r="B466" i="21"/>
  <c r="B467" i="21"/>
  <c r="B468" i="21"/>
  <c r="B469" i="21"/>
  <c r="B470" i="21"/>
  <c r="B471" i="21"/>
  <c r="B472" i="21"/>
  <c r="B473" i="21"/>
  <c r="B474" i="21"/>
  <c r="B475" i="21"/>
  <c r="B476" i="21"/>
  <c r="B477" i="21"/>
  <c r="B478" i="21"/>
  <c r="B479" i="21"/>
  <c r="B480" i="21"/>
  <c r="B481" i="21"/>
  <c r="B482" i="21"/>
  <c r="B483" i="21"/>
  <c r="B484" i="21"/>
  <c r="B485" i="21"/>
  <c r="B486" i="21"/>
  <c r="B487" i="21"/>
  <c r="B488" i="21"/>
  <c r="B489" i="21"/>
  <c r="B490" i="21"/>
  <c r="B491" i="21"/>
  <c r="B493" i="21"/>
  <c r="B494" i="21"/>
  <c r="B495" i="21"/>
  <c r="B496" i="21"/>
  <c r="B497" i="21"/>
  <c r="B498" i="21"/>
  <c r="B499" i="21"/>
  <c r="B500" i="21"/>
  <c r="B501" i="21"/>
  <c r="B502" i="21"/>
  <c r="B503" i="21"/>
  <c r="B504" i="21"/>
  <c r="B505" i="21"/>
  <c r="B506" i="21"/>
  <c r="B507" i="21"/>
  <c r="B508" i="21"/>
  <c r="B509" i="21"/>
  <c r="B510" i="21"/>
  <c r="B511" i="21"/>
  <c r="B512" i="21"/>
  <c r="B513" i="21"/>
  <c r="B514" i="21"/>
  <c r="B515" i="21"/>
  <c r="B516" i="21"/>
  <c r="B517" i="21"/>
  <c r="B518" i="21"/>
  <c r="B519" i="21"/>
  <c r="B520" i="21"/>
  <c r="B521" i="21"/>
  <c r="B522" i="21"/>
  <c r="B523" i="21"/>
  <c r="B524" i="21"/>
  <c r="B526" i="21"/>
  <c r="B527" i="21"/>
  <c r="B528" i="21"/>
  <c r="B529" i="21"/>
  <c r="B530" i="21"/>
  <c r="B531" i="21"/>
  <c r="B532" i="21"/>
  <c r="B533" i="21"/>
  <c r="B534" i="21"/>
  <c r="B535" i="21"/>
  <c r="B536" i="21"/>
  <c r="B537" i="21"/>
  <c r="B538" i="21"/>
  <c r="B539" i="21"/>
  <c r="B540" i="21"/>
  <c r="B541" i="21"/>
  <c r="B542" i="21"/>
  <c r="B543" i="21"/>
  <c r="B544" i="21"/>
  <c r="B545" i="21"/>
  <c r="B546" i="21"/>
  <c r="B547" i="21"/>
  <c r="B548" i="21"/>
  <c r="B549" i="21"/>
  <c r="B550" i="21"/>
  <c r="B551" i="21"/>
  <c r="B552" i="21"/>
  <c r="B553" i="21"/>
  <c r="B554" i="21"/>
  <c r="B555" i="21"/>
  <c r="B556" i="21"/>
  <c r="B557" i="21"/>
  <c r="B558" i="21"/>
  <c r="B560" i="21"/>
  <c r="B561" i="21"/>
  <c r="B562" i="21"/>
  <c r="B563" i="21"/>
  <c r="B564" i="21"/>
  <c r="B565" i="21"/>
  <c r="B566" i="21"/>
  <c r="B567" i="21"/>
  <c r="B568" i="21"/>
  <c r="B569" i="21"/>
  <c r="B570" i="21"/>
  <c r="B571" i="21"/>
  <c r="B572" i="21"/>
  <c r="B573" i="21"/>
  <c r="B574" i="21"/>
  <c r="B575" i="21"/>
  <c r="B576" i="21"/>
  <c r="B577" i="21"/>
  <c r="B578" i="21"/>
  <c r="B579" i="21"/>
  <c r="B580" i="21"/>
  <c r="B581" i="21"/>
  <c r="B582" i="21"/>
  <c r="B583" i="21"/>
  <c r="B584" i="21"/>
  <c r="B585" i="21"/>
  <c r="B586" i="21"/>
  <c r="B587" i="21"/>
  <c r="B588" i="21"/>
  <c r="B589" i="21"/>
  <c r="B590" i="21"/>
  <c r="B591" i="21"/>
  <c r="B592" i="21"/>
  <c r="B593" i="21"/>
  <c r="B594" i="21"/>
  <c r="B595" i="21"/>
  <c r="B596" i="21"/>
  <c r="B597" i="21"/>
  <c r="B598" i="21"/>
  <c r="B599" i="21"/>
  <c r="B600" i="21"/>
  <c r="B601" i="21"/>
  <c r="B602" i="21"/>
  <c r="B603" i="21"/>
  <c r="B604" i="21"/>
  <c r="B1229" i="2"/>
  <c r="M306" i="21" l="1"/>
  <c r="L374" i="21"/>
  <c r="L91" i="21"/>
  <c r="L122" i="21"/>
  <c r="L106" i="21"/>
  <c r="L64" i="21"/>
  <c r="L342" i="21"/>
  <c r="L284" i="21"/>
  <c r="L236" i="21"/>
  <c r="L230" i="21"/>
  <c r="L225" i="21"/>
  <c r="L140" i="21"/>
  <c r="L420" i="21"/>
  <c r="L404" i="21"/>
  <c r="L385" i="21"/>
  <c r="M140" i="21"/>
  <c r="M420" i="21"/>
  <c r="M404" i="21"/>
  <c r="M230" i="21"/>
  <c r="M385" i="21"/>
  <c r="M342" i="21"/>
  <c r="M284" i="21"/>
  <c r="M236" i="21"/>
  <c r="M225" i="21"/>
  <c r="M64" i="21" l="1"/>
  <c r="M106" i="21"/>
  <c r="M91" i="21"/>
  <c r="M122" i="21"/>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3" i="51"/>
  <c r="F392"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27" i="2" l="1"/>
  <c r="F31" i="2"/>
  <c r="F29" i="2"/>
  <c r="F28" i="2"/>
  <c r="F33" i="2"/>
  <c r="F34" i="2"/>
  <c r="F32" i="2"/>
  <c r="F26" i="2"/>
  <c r="F25" i="2"/>
  <c r="F38" i="2"/>
  <c r="F35" i="2"/>
  <c r="F37" i="2"/>
  <c r="F24" i="2"/>
  <c r="F40" i="2"/>
  <c r="F39" i="2"/>
  <c r="F48" i="2"/>
  <c r="F42" i="2"/>
  <c r="F46" i="2"/>
  <c r="F44" i="2"/>
  <c r="F45" i="2"/>
  <c r="F47" i="2"/>
  <c r="F43" i="2"/>
  <c r="F41" i="2"/>
  <c r="F58" i="2"/>
  <c r="F57" i="2"/>
  <c r="F56" i="2"/>
  <c r="F51" i="2"/>
  <c r="F55" i="2"/>
  <c r="F54" i="2"/>
  <c r="F52" i="2"/>
  <c r="F53" i="2"/>
  <c r="F50" i="2"/>
  <c r="F59" i="2"/>
  <c r="F49" i="2"/>
  <c r="F60" i="2"/>
  <c r="F67" i="2"/>
  <c r="F66" i="2"/>
  <c r="F62" i="2"/>
  <c r="F65" i="2"/>
  <c r="F64" i="2"/>
  <c r="F63" i="2"/>
  <c r="F61" i="2"/>
  <c r="F69" i="2"/>
  <c r="F68" i="2"/>
  <c r="F77" i="2"/>
  <c r="F78" i="2"/>
  <c r="F76" i="2"/>
  <c r="F71" i="2"/>
  <c r="F74" i="2"/>
  <c r="F75" i="2"/>
  <c r="F72" i="2"/>
  <c r="F73" i="2"/>
  <c r="F70" i="2"/>
  <c r="F79" i="2"/>
  <c r="F80" i="2"/>
  <c r="F86" i="2"/>
  <c r="F87" i="2"/>
  <c r="F81" i="2"/>
  <c r="F88" i="2"/>
  <c r="F84" i="2"/>
  <c r="F89" i="2"/>
  <c r="F83" i="2"/>
  <c r="F92" i="2"/>
  <c r="F85" i="2"/>
  <c r="F90" i="2"/>
  <c r="F93" i="2"/>
  <c r="F82" i="2"/>
  <c r="F91" i="2"/>
  <c r="F101" i="2"/>
  <c r="F100" i="2"/>
  <c r="F96" i="2"/>
  <c r="F99" i="2"/>
  <c r="F98" i="2"/>
  <c r="F97" i="2"/>
  <c r="F95" i="2"/>
  <c r="F94" i="2"/>
  <c r="F103" i="2"/>
  <c r="F102" i="2"/>
  <c r="F112" i="2"/>
  <c r="F111" i="2"/>
  <c r="F110" i="2"/>
  <c r="F105" i="2"/>
  <c r="F108" i="2"/>
  <c r="F109" i="2"/>
  <c r="F106" i="2"/>
  <c r="F107" i="2"/>
  <c r="F104" i="2"/>
  <c r="F114" i="2"/>
  <c r="F115" i="2"/>
  <c r="F113" i="2"/>
  <c r="F122" i="2"/>
  <c r="F121" i="2"/>
  <c r="F117" i="2"/>
  <c r="F120" i="2"/>
  <c r="F119" i="2"/>
  <c r="F118" i="2"/>
  <c r="F116" i="2"/>
  <c r="F124" i="2"/>
  <c r="F123" i="2"/>
  <c r="F140" i="2"/>
  <c r="F141" i="2"/>
  <c r="F142" i="2"/>
  <c r="F136" i="2"/>
  <c r="F139" i="2"/>
  <c r="F131" i="2"/>
  <c r="F130" i="2"/>
  <c r="F127" i="2"/>
  <c r="F125" i="2"/>
  <c r="F128" i="2"/>
  <c r="F129" i="2"/>
  <c r="F126" i="2"/>
  <c r="F137" i="2"/>
  <c r="F138" i="2"/>
  <c r="F133" i="2"/>
  <c r="F132" i="2"/>
  <c r="F134" i="2"/>
  <c r="F135" i="2"/>
  <c r="F150" i="2"/>
  <c r="F149" i="2"/>
  <c r="F145" i="2"/>
  <c r="F148" i="2"/>
  <c r="F147" i="2"/>
  <c r="F146" i="2"/>
  <c r="F144" i="2"/>
  <c r="F152" i="2"/>
  <c r="F143" i="2"/>
  <c r="F153" i="2"/>
  <c r="F151" i="2"/>
  <c r="F161" i="2"/>
  <c r="F160" i="2"/>
  <c r="F159" i="2"/>
  <c r="F157" i="2"/>
  <c r="F158" i="2"/>
  <c r="F156" i="2"/>
  <c r="F155" i="2"/>
  <c r="F154" i="2"/>
  <c r="F162" i="2"/>
  <c r="F164" i="2"/>
  <c r="F163" i="2"/>
  <c r="F165" i="2"/>
  <c r="F166" i="2"/>
  <c r="F167" i="2"/>
  <c r="F168" i="2"/>
  <c r="F170" i="2"/>
  <c r="F169" i="2"/>
  <c r="F179" i="2"/>
  <c r="F178" i="2"/>
  <c r="F174" i="2"/>
  <c r="F176" i="2"/>
  <c r="F177" i="2"/>
  <c r="F175" i="2"/>
  <c r="F173" i="2"/>
  <c r="F181" i="2"/>
  <c r="F172" i="2"/>
  <c r="F171" i="2"/>
  <c r="F182" i="2"/>
  <c r="F180" i="2"/>
  <c r="F192" i="2"/>
  <c r="F191" i="2"/>
  <c r="F187" i="2"/>
  <c r="F190" i="2"/>
  <c r="F189" i="2"/>
  <c r="F188" i="2"/>
  <c r="F186" i="2"/>
  <c r="F193" i="2"/>
  <c r="F183" i="2"/>
  <c r="F184" i="2"/>
  <c r="F185" i="2"/>
  <c r="F195" i="2"/>
  <c r="F194" i="2"/>
  <c r="F206" i="2"/>
  <c r="F205" i="2"/>
  <c r="F199" i="2"/>
  <c r="F204" i="2"/>
  <c r="F197" i="2"/>
  <c r="F200" i="2"/>
  <c r="F203" i="2"/>
  <c r="F201" i="2"/>
  <c r="F202" i="2"/>
  <c r="F196" i="2"/>
  <c r="F198" i="2"/>
  <c r="F207" i="2"/>
  <c r="F208" i="2"/>
  <c r="F215" i="2"/>
  <c r="F214" i="2"/>
  <c r="F209" i="2"/>
  <c r="F212" i="2"/>
  <c r="F211" i="2"/>
  <c r="F213" i="2"/>
  <c r="F210" i="2"/>
  <c r="F218" i="2"/>
  <c r="F216" i="2"/>
  <c r="F219" i="2"/>
  <c r="F217" i="2"/>
  <c r="F227" i="2"/>
  <c r="F226" i="2"/>
  <c r="F223" i="2"/>
  <c r="F224" i="2"/>
  <c r="F225" i="2"/>
  <c r="F222" i="2"/>
  <c r="F220" i="2"/>
  <c r="F221" i="2"/>
  <c r="F228" i="2"/>
  <c r="F235" i="2"/>
  <c r="F234" i="2"/>
  <c r="F230" i="2"/>
  <c r="F232" i="2"/>
  <c r="F233" i="2"/>
  <c r="F231" i="2"/>
  <c r="F229" i="2"/>
  <c r="F236" i="2"/>
  <c r="F246" i="2"/>
  <c r="F244" i="2"/>
  <c r="F238" i="2"/>
  <c r="F242" i="2"/>
  <c r="F240" i="2"/>
  <c r="F243" i="2"/>
  <c r="F239" i="2"/>
  <c r="F247" i="2"/>
  <c r="F241" i="2"/>
  <c r="F245" i="2"/>
  <c r="F237" i="2"/>
  <c r="F248" i="2"/>
  <c r="F249" i="2"/>
  <c r="F251" i="2"/>
  <c r="F252" i="2"/>
  <c r="F250" i="2"/>
  <c r="F254" i="2"/>
  <c r="F255" i="2"/>
  <c r="F253" i="2"/>
  <c r="F263" i="2"/>
  <c r="F262" i="2"/>
  <c r="F258" i="2"/>
  <c r="F260" i="2"/>
  <c r="F261" i="2"/>
  <c r="F259" i="2"/>
  <c r="F257" i="2"/>
  <c r="F256" i="2"/>
  <c r="F265" i="2"/>
  <c r="F264" i="2"/>
  <c r="F271" i="2"/>
  <c r="F266" i="2"/>
  <c r="F268" i="2"/>
  <c r="F267" i="2"/>
  <c r="F270" i="2"/>
  <c r="F269" i="2"/>
  <c r="F278" i="2"/>
  <c r="F277" i="2"/>
  <c r="F273" i="2"/>
  <c r="F276" i="2"/>
  <c r="F275" i="2"/>
  <c r="F274" i="2"/>
  <c r="F272" i="2"/>
  <c r="F280" i="2"/>
  <c r="F279" i="2"/>
  <c r="F283" i="2"/>
  <c r="F322" i="2"/>
  <c r="F309" i="2"/>
  <c r="F319" i="2"/>
  <c r="F320" i="2"/>
  <c r="F307" i="2"/>
  <c r="F310" i="2"/>
  <c r="F306" i="2"/>
  <c r="F316" i="2"/>
  <c r="F315" i="2"/>
  <c r="F305" i="2"/>
  <c r="F313" i="2"/>
  <c r="F312" i="2"/>
  <c r="F321" i="2"/>
  <c r="F317" i="2"/>
  <c r="F318" i="2"/>
  <c r="F285" i="2"/>
  <c r="F294" i="2"/>
  <c r="F325" i="2"/>
  <c r="F326" i="2"/>
  <c r="F324" i="2"/>
  <c r="F281" i="2"/>
  <c r="F295" i="2"/>
  <c r="F304" i="2"/>
  <c r="F314" i="2"/>
  <c r="F308" i="2"/>
  <c r="F311" i="2"/>
  <c r="F282" i="2"/>
  <c r="F303" i="2"/>
  <c r="F298" i="2"/>
  <c r="F296" i="2"/>
  <c r="F300" i="2"/>
  <c r="F338" i="2"/>
  <c r="F301" i="2"/>
  <c r="F297" i="2"/>
  <c r="F299" i="2"/>
  <c r="F335" i="2"/>
  <c r="F336" i="2"/>
  <c r="F332" i="2"/>
  <c r="F328" i="2"/>
  <c r="F334" i="2"/>
  <c r="F331" i="2"/>
  <c r="F329" i="2"/>
  <c r="F330" i="2"/>
  <c r="F302" i="2"/>
  <c r="F339" i="2"/>
  <c r="F284" i="2"/>
  <c r="F286" i="2"/>
  <c r="F288" i="2"/>
  <c r="F289" i="2"/>
  <c r="F333" i="2"/>
  <c r="F340" i="2"/>
  <c r="F292" i="2"/>
  <c r="F293" i="2"/>
  <c r="F291" i="2"/>
  <c r="F337" i="2"/>
  <c r="F327" i="2"/>
  <c r="F287" i="2"/>
  <c r="F290" i="2"/>
  <c r="F323" i="2"/>
  <c r="F359" i="2"/>
  <c r="F358" i="2"/>
  <c r="F356" i="2"/>
  <c r="F354" i="2"/>
  <c r="F352" i="2"/>
  <c r="F344" i="2"/>
  <c r="F349" i="2"/>
  <c r="F351" i="2"/>
  <c r="F342" i="2"/>
  <c r="F353" i="2"/>
  <c r="F341" i="2"/>
  <c r="F350" i="2"/>
  <c r="F346" i="2"/>
  <c r="F343" i="2"/>
  <c r="F348" i="2"/>
  <c r="F347" i="2"/>
  <c r="F345" i="2"/>
  <c r="F357" i="2"/>
  <c r="F355" i="2"/>
  <c r="F360" i="2"/>
  <c r="F366" i="2"/>
  <c r="F370" i="2"/>
  <c r="F367" i="2"/>
  <c r="F365" i="2"/>
  <c r="F362" i="2"/>
  <c r="F368" i="2"/>
  <c r="F363" i="2"/>
  <c r="F364" i="2"/>
  <c r="F369" i="2"/>
  <c r="F361" i="2"/>
  <c r="F377" i="2"/>
  <c r="F376" i="2"/>
  <c r="F372" i="2"/>
  <c r="F375" i="2"/>
  <c r="F374" i="2"/>
  <c r="F373" i="2"/>
  <c r="F371" i="2"/>
  <c r="F379" i="2"/>
  <c r="F380" i="2"/>
  <c r="F378" i="2"/>
  <c r="F389" i="2"/>
  <c r="F388" i="2"/>
  <c r="F384" i="2"/>
  <c r="F386" i="2"/>
  <c r="F387" i="2"/>
  <c r="F385" i="2"/>
  <c r="F383" i="2"/>
  <c r="F381" i="2"/>
  <c r="F382" i="2"/>
  <c r="F391" i="2"/>
  <c r="F390" i="2"/>
  <c r="F392" i="2"/>
  <c r="F398" i="2"/>
  <c r="F399" i="2"/>
  <c r="F396" i="2"/>
  <c r="F395" i="2"/>
  <c r="F397" i="2"/>
  <c r="F394" i="2"/>
  <c r="F401" i="2"/>
  <c r="F400" i="2"/>
  <c r="F393" i="2"/>
  <c r="F408" i="2"/>
  <c r="F406" i="2"/>
  <c r="F402" i="2"/>
  <c r="F405" i="2"/>
  <c r="F404" i="2"/>
  <c r="F407" i="2"/>
  <c r="F403" i="2"/>
  <c r="F411" i="2"/>
  <c r="F410" i="2"/>
  <c r="F409" i="2"/>
  <c r="F418" i="2"/>
  <c r="F417" i="2"/>
  <c r="F413" i="2"/>
  <c r="F416" i="2"/>
  <c r="F415" i="2"/>
  <c r="F414" i="2"/>
  <c r="F412" i="2"/>
  <c r="F419" i="2"/>
  <c r="F427" i="2"/>
  <c r="F426" i="2"/>
  <c r="F422" i="2"/>
  <c r="F425" i="2"/>
  <c r="F424" i="2"/>
  <c r="F423" i="2"/>
  <c r="F421" i="2"/>
  <c r="F420" i="2"/>
  <c r="F429" i="2"/>
  <c r="F428" i="2"/>
  <c r="F438" i="2"/>
  <c r="F437" i="2"/>
  <c r="F436" i="2"/>
  <c r="F432" i="2"/>
  <c r="F434" i="2"/>
  <c r="F435" i="2"/>
  <c r="F433" i="2"/>
  <c r="F431" i="2"/>
  <c r="F439" i="2"/>
  <c r="F430" i="2"/>
  <c r="F440" i="2"/>
  <c r="F441" i="2"/>
  <c r="F468" i="2"/>
  <c r="F469" i="2"/>
  <c r="F460" i="2"/>
  <c r="F457" i="2"/>
  <c r="F467" i="2"/>
  <c r="F448" i="2"/>
  <c r="F461" i="2"/>
  <c r="F458" i="2"/>
  <c r="F465" i="2"/>
  <c r="F464" i="2"/>
  <c r="F449" i="2"/>
  <c r="F447" i="2"/>
  <c r="F446" i="2"/>
  <c r="F450" i="2"/>
  <c r="F451" i="2"/>
  <c r="F452" i="2"/>
  <c r="F459" i="2"/>
  <c r="F471" i="2"/>
  <c r="F466" i="2"/>
  <c r="F442" i="2"/>
  <c r="F444" i="2"/>
  <c r="F455" i="2"/>
  <c r="F470" i="2"/>
  <c r="F445" i="2"/>
  <c r="F462" i="2"/>
  <c r="F453" i="2"/>
  <c r="F454" i="2"/>
  <c r="F443" i="2"/>
  <c r="F463" i="2"/>
  <c r="F456" i="2"/>
  <c r="F480" i="2"/>
  <c r="F479" i="2"/>
  <c r="F478" i="2"/>
  <c r="F477" i="2"/>
  <c r="F475" i="2"/>
  <c r="F474" i="2"/>
  <c r="F472" i="2"/>
  <c r="F481" i="2"/>
  <c r="F473" i="2"/>
  <c r="F476" i="2"/>
  <c r="F488" i="2"/>
  <c r="F487" i="2"/>
  <c r="F483" i="2"/>
  <c r="F486" i="2"/>
  <c r="F485" i="2"/>
  <c r="F484" i="2"/>
  <c r="F482" i="2"/>
  <c r="F489" i="2"/>
  <c r="F493" i="2"/>
  <c r="F495" i="2"/>
  <c r="F490" i="2"/>
  <c r="F491" i="2"/>
  <c r="F492" i="2"/>
  <c r="F494" i="2"/>
  <c r="F504" i="2"/>
  <c r="F502" i="2"/>
  <c r="F496" i="2"/>
  <c r="F500" i="2"/>
  <c r="F498" i="2"/>
  <c r="F501" i="2"/>
  <c r="F497" i="2"/>
  <c r="F506" i="2"/>
  <c r="F503" i="2"/>
  <c r="F499" i="2"/>
  <c r="F507" i="2"/>
  <c r="F508" i="2"/>
  <c r="F505" i="2"/>
  <c r="F509" i="2"/>
  <c r="F510" i="2"/>
  <c r="F515" i="2"/>
  <c r="F516" i="2"/>
  <c r="F513" i="2"/>
  <c r="F511" i="2"/>
  <c r="F512" i="2"/>
  <c r="F514" i="2"/>
  <c r="F525" i="2"/>
  <c r="F524" i="2"/>
  <c r="F519" i="2"/>
  <c r="F523" i="2"/>
  <c r="F517" i="2"/>
  <c r="F520" i="2"/>
  <c r="F522" i="2"/>
  <c r="F521" i="2"/>
  <c r="F518" i="2"/>
  <c r="F526" i="2"/>
  <c r="F528" i="2"/>
  <c r="F527" i="2"/>
  <c r="F538" i="2"/>
  <c r="F537" i="2"/>
  <c r="F529" i="2"/>
  <c r="F530" i="2"/>
  <c r="F531" i="2"/>
  <c r="F534" i="2"/>
  <c r="F539" i="2"/>
  <c r="F533" i="2"/>
  <c r="F536" i="2"/>
  <c r="F532" i="2"/>
  <c r="F535" i="2"/>
  <c r="F543" i="2"/>
  <c r="F556" i="2"/>
  <c r="F557" i="2"/>
  <c r="F552" i="2"/>
  <c r="F541" i="2"/>
  <c r="F559" i="2"/>
  <c r="F549" i="2"/>
  <c r="F553" i="2"/>
  <c r="F544" i="2"/>
  <c r="F545" i="2"/>
  <c r="F551" i="2"/>
  <c r="F547" i="2"/>
  <c r="F548" i="2"/>
  <c r="F550" i="2"/>
  <c r="F555" i="2"/>
  <c r="F558" i="2"/>
  <c r="F554" i="2"/>
  <c r="F540" i="2"/>
  <c r="F546" i="2"/>
  <c r="F542" i="2"/>
  <c r="F573" i="2"/>
  <c r="F567" i="2"/>
  <c r="F569" i="2"/>
  <c r="F570" i="2"/>
  <c r="F568" i="2"/>
  <c r="F572" i="2"/>
  <c r="F571" i="2"/>
  <c r="F574" i="2"/>
  <c r="F566" i="2"/>
  <c r="F560" i="2"/>
  <c r="F562" i="2"/>
  <c r="F563" i="2"/>
  <c r="F561" i="2"/>
  <c r="F565" i="2"/>
  <c r="F564" i="2"/>
  <c r="F581" i="2"/>
  <c r="F577" i="2"/>
  <c r="F576" i="2"/>
  <c r="F580" i="2"/>
  <c r="F578" i="2"/>
  <c r="F579" i="2"/>
  <c r="F575" i="2"/>
  <c r="F588" i="2"/>
  <c r="F595" i="2"/>
  <c r="F589" i="2"/>
  <c r="F585" i="2"/>
  <c r="F591" i="2"/>
  <c r="F590" i="2"/>
  <c r="F586" i="2"/>
  <c r="F593" i="2"/>
  <c r="F594" i="2"/>
  <c r="F592" i="2"/>
  <c r="F582" i="2"/>
  <c r="F587" i="2"/>
  <c r="F583" i="2"/>
  <c r="F584" i="2"/>
  <c r="F601" i="2"/>
  <c r="F600" i="2"/>
  <c r="F599" i="2"/>
  <c r="F598" i="2"/>
  <c r="F597" i="2"/>
  <c r="F596" i="2"/>
  <c r="F602" i="2"/>
  <c r="F609" i="2"/>
  <c r="F608" i="2"/>
  <c r="F604" i="2"/>
  <c r="F607" i="2"/>
  <c r="F606" i="2"/>
  <c r="F605" i="2"/>
  <c r="F603" i="2"/>
  <c r="F610" i="2"/>
  <c r="F612" i="2"/>
  <c r="F611" i="2"/>
  <c r="F620" i="2"/>
  <c r="F619" i="2"/>
  <c r="F615" i="2"/>
  <c r="F617" i="2"/>
  <c r="F618" i="2"/>
  <c r="F616" i="2"/>
  <c r="F614" i="2"/>
  <c r="F613" i="2"/>
  <c r="F622" i="2"/>
  <c r="F621" i="2"/>
  <c r="F628" i="2"/>
  <c r="F627" i="2"/>
  <c r="F623" i="2"/>
  <c r="F625" i="2"/>
  <c r="F626" i="2"/>
  <c r="F624" i="2"/>
  <c r="F630" i="2"/>
  <c r="F629" i="2"/>
  <c r="F637" i="2"/>
  <c r="F636" i="2"/>
  <c r="F632" i="2"/>
  <c r="F634" i="2"/>
  <c r="F635" i="2"/>
  <c r="F633" i="2"/>
  <c r="F631" i="2"/>
  <c r="F638" i="2"/>
  <c r="F645" i="2"/>
  <c r="F644" i="2"/>
  <c r="F643" i="2"/>
  <c r="F642" i="2"/>
  <c r="F641" i="2"/>
  <c r="F640" i="2"/>
  <c r="F639" i="2"/>
  <c r="F646" i="2"/>
  <c r="F649" i="2"/>
  <c r="F647" i="2"/>
  <c r="F648" i="2"/>
  <c r="F653" i="2"/>
  <c r="F652" i="2"/>
  <c r="F651" i="2"/>
  <c r="F650" i="2"/>
  <c r="F655" i="2"/>
  <c r="F654" i="2"/>
  <c r="F660" i="2"/>
  <c r="F656" i="2"/>
  <c r="F670" i="2"/>
  <c r="F667" i="2"/>
  <c r="F659" i="2"/>
  <c r="F661" i="2"/>
  <c r="F665" i="2"/>
  <c r="F664" i="2"/>
  <c r="F666" i="2"/>
  <c r="F662" i="2"/>
  <c r="F669" i="2"/>
  <c r="F668" i="2"/>
  <c r="F657" i="2"/>
  <c r="F663" i="2"/>
  <c r="F658" i="2"/>
  <c r="F683" i="2"/>
  <c r="F676" i="2"/>
  <c r="F693" i="2"/>
  <c r="F675" i="2"/>
  <c r="F673" i="2"/>
  <c r="F674" i="2"/>
  <c r="F690" i="2"/>
  <c r="F677" i="2"/>
  <c r="F680" i="2"/>
  <c r="F685" i="2"/>
  <c r="F684" i="2"/>
  <c r="F682" i="2"/>
  <c r="F681" i="2"/>
  <c r="F687" i="2"/>
  <c r="F689" i="2"/>
  <c r="F686" i="2"/>
  <c r="F688" i="2"/>
  <c r="F672" i="2"/>
  <c r="F678" i="2"/>
  <c r="F679" i="2"/>
  <c r="F671" i="2"/>
  <c r="F692" i="2"/>
  <c r="F691" i="2"/>
  <c r="F700" i="2"/>
  <c r="F699" i="2"/>
  <c r="F695" i="2"/>
  <c r="F697" i="2"/>
  <c r="F698" i="2"/>
  <c r="F696" i="2"/>
  <c r="F694" i="2"/>
  <c r="F701" i="2"/>
  <c r="F702" i="2"/>
  <c r="F710" i="2"/>
  <c r="F709" i="2"/>
  <c r="F705" i="2"/>
  <c r="F707" i="2"/>
  <c r="F708" i="2"/>
  <c r="F706" i="2"/>
  <c r="F704" i="2"/>
  <c r="F703" i="2"/>
  <c r="F712" i="2"/>
  <c r="F711" i="2"/>
  <c r="F714" i="2"/>
  <c r="F715" i="2"/>
  <c r="F717" i="2"/>
  <c r="F713" i="2"/>
  <c r="F716" i="2"/>
  <c r="F718" i="2"/>
  <c r="F725" i="2"/>
  <c r="F724" i="2"/>
  <c r="F720" i="2"/>
  <c r="F722" i="2"/>
  <c r="F723" i="2"/>
  <c r="F721" i="2"/>
  <c r="F719" i="2"/>
  <c r="F727" i="2"/>
  <c r="F728" i="2"/>
  <c r="F726" i="2"/>
  <c r="F733" i="2"/>
  <c r="F734" i="2"/>
  <c r="F736" i="2"/>
  <c r="F731" i="2"/>
  <c r="F735" i="2"/>
  <c r="F730" i="2"/>
  <c r="F739" i="2"/>
  <c r="F732" i="2"/>
  <c r="F737" i="2"/>
  <c r="F738" i="2"/>
  <c r="F729" i="2"/>
  <c r="F742" i="2"/>
  <c r="F740" i="2"/>
  <c r="F743" i="2"/>
  <c r="F741" i="2"/>
  <c r="F750" i="2"/>
  <c r="F749" i="2"/>
  <c r="F746" i="2"/>
  <c r="F748" i="2"/>
  <c r="F747" i="2"/>
  <c r="F745" i="2"/>
  <c r="F744" i="2"/>
  <c r="F751" i="2"/>
  <c r="F754" i="2"/>
  <c r="F756" i="2"/>
  <c r="F752" i="2"/>
  <c r="F759" i="2"/>
  <c r="F753" i="2"/>
  <c r="F755" i="2"/>
  <c r="F758" i="2"/>
  <c r="F757" i="2"/>
  <c r="F760" i="2"/>
  <c r="F761" i="2"/>
  <c r="F766" i="2"/>
  <c r="F765" i="2"/>
  <c r="F763" i="2"/>
  <c r="F764" i="2"/>
  <c r="F762" i="2"/>
  <c r="F768" i="2"/>
  <c r="F767" i="2"/>
  <c r="F779" i="2"/>
  <c r="F774" i="2"/>
  <c r="F769" i="2"/>
  <c r="F772" i="2"/>
  <c r="F771" i="2"/>
  <c r="F773" i="2"/>
  <c r="F770" i="2"/>
  <c r="F775" i="2"/>
  <c r="F781" i="2"/>
  <c r="F782" i="2"/>
  <c r="F783" i="2"/>
  <c r="F777" i="2"/>
  <c r="F780" i="2"/>
  <c r="F776" i="2"/>
  <c r="F778" i="2"/>
  <c r="F791" i="2"/>
  <c r="F790" i="2"/>
  <c r="F786" i="2"/>
  <c r="F788" i="2"/>
  <c r="F789" i="2"/>
  <c r="F787" i="2"/>
  <c r="F785" i="2"/>
  <c r="F792" i="2"/>
  <c r="F784" i="2"/>
  <c r="F794" i="2"/>
  <c r="F793" i="2"/>
  <c r="F796" i="2"/>
  <c r="F798" i="2"/>
  <c r="F797" i="2"/>
  <c r="F795" i="2"/>
  <c r="F800" i="2"/>
  <c r="F799" i="2"/>
  <c r="F804" i="2"/>
  <c r="F803" i="2"/>
  <c r="F802" i="2"/>
  <c r="F801" i="2"/>
  <c r="F805" i="2"/>
  <c r="F812" i="2"/>
  <c r="F811" i="2"/>
  <c r="F807" i="2"/>
  <c r="F809" i="2"/>
  <c r="F810" i="2"/>
  <c r="F808" i="2"/>
  <c r="F806" i="2"/>
  <c r="F813" i="2"/>
  <c r="F814" i="2"/>
  <c r="F815" i="2"/>
  <c r="F816" i="2"/>
  <c r="F821" i="2"/>
  <c r="F818" i="2"/>
  <c r="F817" i="2"/>
  <c r="F819" i="2"/>
  <c r="F820" i="2"/>
  <c r="F822" i="2"/>
  <c r="F826" i="2"/>
  <c r="F824" i="2"/>
  <c r="F823" i="2"/>
  <c r="F825" i="2"/>
  <c r="F827" i="2"/>
  <c r="F829" i="2"/>
  <c r="F828" i="2"/>
  <c r="F841" i="2"/>
  <c r="F836" i="2"/>
  <c r="F833" i="2"/>
  <c r="F837" i="2"/>
  <c r="F835" i="2"/>
  <c r="F834" i="2"/>
  <c r="F840" i="2"/>
  <c r="F839" i="2"/>
  <c r="F838" i="2"/>
  <c r="F830" i="2"/>
  <c r="F832" i="2"/>
  <c r="F831" i="2"/>
  <c r="F842" i="2"/>
  <c r="F843" i="2"/>
  <c r="F856" i="2"/>
  <c r="F849" i="2"/>
  <c r="F847" i="2"/>
  <c r="F850" i="2"/>
  <c r="F851" i="2"/>
  <c r="F848" i="2"/>
  <c r="F854" i="2"/>
  <c r="F855" i="2"/>
  <c r="F852" i="2"/>
  <c r="F844" i="2"/>
  <c r="F846" i="2"/>
  <c r="F845" i="2"/>
  <c r="F857" i="2"/>
  <c r="F853" i="2"/>
  <c r="F859" i="2"/>
  <c r="F858" i="2"/>
  <c r="F871" i="2"/>
  <c r="F865" i="2"/>
  <c r="F863" i="2"/>
  <c r="F867" i="2"/>
  <c r="F866" i="2"/>
  <c r="F864" i="2"/>
  <c r="F869" i="2"/>
  <c r="F870" i="2"/>
  <c r="F868" i="2"/>
  <c r="F860" i="2"/>
  <c r="F862" i="2"/>
  <c r="F861" i="2"/>
  <c r="F872" i="2"/>
  <c r="F879" i="2"/>
  <c r="F878" i="2"/>
  <c r="F874" i="2"/>
  <c r="F876" i="2"/>
  <c r="F877" i="2"/>
  <c r="F875" i="2"/>
  <c r="F873" i="2"/>
  <c r="F880" i="2"/>
  <c r="F886" i="2"/>
  <c r="F885" i="2"/>
  <c r="F883" i="2"/>
  <c r="F884" i="2"/>
  <c r="F882" i="2"/>
  <c r="F881" i="2"/>
  <c r="F888" i="2"/>
  <c r="F887" i="2"/>
  <c r="F896" i="2"/>
  <c r="F897" i="2"/>
  <c r="F894" i="2"/>
  <c r="F889" i="2"/>
  <c r="F892" i="2"/>
  <c r="F891" i="2"/>
  <c r="F893" i="2"/>
  <c r="F890" i="2"/>
  <c r="F899" i="2"/>
  <c r="F895" i="2"/>
  <c r="F900" i="2"/>
  <c r="F901" i="2"/>
  <c r="F898" i="2"/>
  <c r="F908" i="2"/>
  <c r="F907" i="2"/>
  <c r="F903" i="2"/>
  <c r="F906" i="2"/>
  <c r="F905" i="2"/>
  <c r="F904" i="2"/>
  <c r="F902" i="2"/>
  <c r="F910" i="2"/>
  <c r="F911" i="2"/>
  <c r="F909" i="2"/>
  <c r="F917" i="2"/>
  <c r="F913" i="2"/>
  <c r="F916" i="2"/>
  <c r="F915" i="2"/>
  <c r="F914" i="2"/>
  <c r="F912" i="2"/>
  <c r="F919" i="2"/>
  <c r="F918" i="2"/>
  <c r="F928" i="2"/>
  <c r="F927" i="2"/>
  <c r="F923" i="2"/>
  <c r="F926" i="2"/>
  <c r="F925" i="2"/>
  <c r="F924" i="2"/>
  <c r="F922" i="2"/>
  <c r="F930" i="2"/>
  <c r="F920" i="2"/>
  <c r="F921" i="2"/>
  <c r="F931" i="2"/>
  <c r="F929" i="2"/>
  <c r="F940" i="2"/>
  <c r="F939" i="2"/>
  <c r="F935" i="2"/>
  <c r="F938" i="2"/>
  <c r="F937" i="2"/>
  <c r="F936" i="2"/>
  <c r="F934" i="2"/>
  <c r="F941" i="2"/>
  <c r="F932" i="2"/>
  <c r="F933" i="2"/>
  <c r="F943" i="2"/>
  <c r="F942" i="2"/>
  <c r="F948" i="2"/>
  <c r="F947" i="2"/>
  <c r="F946" i="2"/>
  <c r="F945" i="2"/>
  <c r="F944" i="2"/>
  <c r="F950" i="2"/>
  <c r="F949" i="2"/>
  <c r="F957" i="2"/>
  <c r="F956" i="2"/>
  <c r="F952" i="2"/>
  <c r="F954" i="2"/>
  <c r="F955" i="2"/>
  <c r="F953" i="2"/>
  <c r="F951" i="2"/>
  <c r="F959" i="2"/>
  <c r="F958" i="2"/>
  <c r="F976" i="2"/>
  <c r="F977" i="2"/>
  <c r="F975" i="2"/>
  <c r="F973" i="2"/>
  <c r="F974" i="2"/>
  <c r="F965" i="2"/>
  <c r="F964" i="2"/>
  <c r="F963" i="2"/>
  <c r="F966" i="2"/>
  <c r="F971" i="2"/>
  <c r="F972" i="2"/>
  <c r="F970" i="2"/>
  <c r="F968" i="2"/>
  <c r="F967" i="2"/>
  <c r="F969" i="2"/>
  <c r="F962" i="2"/>
  <c r="F961" i="2"/>
  <c r="F960" i="2"/>
  <c r="F978" i="2"/>
  <c r="F989" i="2"/>
  <c r="F983" i="2"/>
  <c r="F981" i="2"/>
  <c r="F985" i="2"/>
  <c r="F984" i="2"/>
  <c r="F982" i="2"/>
  <c r="F987" i="2"/>
  <c r="F988" i="2"/>
  <c r="F986" i="2"/>
  <c r="F979" i="2"/>
  <c r="F980" i="2"/>
  <c r="F990" i="2"/>
  <c r="F999" i="2"/>
  <c r="F998" i="2"/>
  <c r="F997" i="2"/>
  <c r="F992" i="2"/>
  <c r="F995" i="2"/>
  <c r="F996" i="2"/>
  <c r="F993" i="2"/>
  <c r="F994" i="2"/>
  <c r="F991" i="2"/>
  <c r="F1000" i="2"/>
  <c r="F1002" i="2"/>
  <c r="F1001" i="2"/>
  <c r="F1006" i="2"/>
  <c r="F1005" i="2"/>
  <c r="F1003" i="2"/>
  <c r="F1004" i="2"/>
  <c r="F1008" i="2"/>
  <c r="F1007" i="2"/>
  <c r="F1015" i="2"/>
  <c r="F1014" i="2"/>
  <c r="F1010" i="2"/>
  <c r="F1013" i="2"/>
  <c r="F1012" i="2"/>
  <c r="F1011" i="2"/>
  <c r="F1009" i="2"/>
  <c r="F1016" i="2"/>
  <c r="F1018" i="2"/>
  <c r="F1017" i="2"/>
  <c r="F1029" i="2"/>
  <c r="F1028" i="2"/>
  <c r="F1022" i="2"/>
  <c r="F1027" i="2"/>
  <c r="F1020" i="2"/>
  <c r="F1023" i="2"/>
  <c r="F1026" i="2"/>
  <c r="F1024" i="2"/>
  <c r="F1025" i="2"/>
  <c r="F1019" i="2"/>
  <c r="F1021" i="2"/>
  <c r="F1031" i="2"/>
  <c r="F1032" i="2"/>
  <c r="F1030" i="2"/>
  <c r="F1038" i="2"/>
  <c r="F1041" i="2"/>
  <c r="F1036" i="2"/>
  <c r="F1034" i="2"/>
  <c r="F1033" i="2"/>
  <c r="F1035" i="2"/>
  <c r="F1037" i="2"/>
  <c r="F1042" i="2"/>
  <c r="F1039" i="2"/>
  <c r="F1040" i="2"/>
  <c r="F1050" i="2"/>
  <c r="F1048" i="2"/>
  <c r="F1043" i="2"/>
  <c r="F1046" i="2"/>
  <c r="F1045" i="2"/>
  <c r="F1047" i="2"/>
  <c r="F1044" i="2"/>
  <c r="F1052" i="2"/>
  <c r="F1049" i="2"/>
  <c r="F1051" i="2"/>
  <c r="F1054" i="2"/>
  <c r="F1053" i="2"/>
  <c r="F1066" i="2"/>
  <c r="F1059" i="2"/>
  <c r="F1065" i="2"/>
  <c r="F1055" i="2"/>
  <c r="F1071" i="2"/>
  <c r="F1064" i="2"/>
  <c r="F1068" i="2"/>
  <c r="F1058" i="2"/>
  <c r="F1062" i="2"/>
  <c r="F1067" i="2"/>
  <c r="F1060" i="2"/>
  <c r="F1063" i="2"/>
  <c r="F1061" i="2"/>
  <c r="F1070" i="2"/>
  <c r="F1069" i="2"/>
  <c r="F1056" i="2"/>
  <c r="F1057" i="2"/>
  <c r="F1078" i="2"/>
  <c r="F1077" i="2"/>
  <c r="F1073" i="2"/>
  <c r="F1076" i="2"/>
  <c r="F1075" i="2"/>
  <c r="F1074" i="2"/>
  <c r="F1072" i="2"/>
  <c r="F1080" i="2"/>
  <c r="F1079" i="2"/>
  <c r="F1087" i="2"/>
  <c r="F1085" i="2"/>
  <c r="F1081" i="2"/>
  <c r="F1084" i="2"/>
  <c r="F1083" i="2"/>
  <c r="F1086" i="2"/>
  <c r="F1082" i="2"/>
  <c r="F1090" i="2"/>
  <c r="F1091" i="2"/>
  <c r="F1088" i="2"/>
  <c r="F1089" i="2"/>
  <c r="F1100" i="2"/>
  <c r="F1099" i="2"/>
  <c r="F1094" i="2"/>
  <c r="F1098" i="2"/>
  <c r="F1093" i="2"/>
  <c r="F1095" i="2"/>
  <c r="F1096" i="2"/>
  <c r="F1097" i="2"/>
  <c r="F1092" i="2"/>
  <c r="F1102" i="2"/>
  <c r="F1101" i="2"/>
  <c r="F1103" i="2"/>
  <c r="F1118" i="2"/>
  <c r="F1111" i="2"/>
  <c r="F1112" i="2"/>
  <c r="F1106" i="2"/>
  <c r="F1114" i="2"/>
  <c r="F1110" i="2"/>
  <c r="F1109" i="2"/>
  <c r="F1113" i="2"/>
  <c r="F1116" i="2"/>
  <c r="F1117" i="2"/>
  <c r="F1115" i="2"/>
  <c r="F1104" i="2"/>
  <c r="F1108" i="2"/>
  <c r="F1105" i="2"/>
  <c r="F1107" i="2"/>
  <c r="F1121" i="2"/>
  <c r="F1120" i="2"/>
  <c r="F1119" i="2"/>
  <c r="F1139" i="2"/>
  <c r="F1136" i="2"/>
  <c r="F1132" i="2"/>
  <c r="F1134" i="2"/>
  <c r="F1128" i="2"/>
  <c r="F1131" i="2"/>
  <c r="F1133" i="2"/>
  <c r="F1130" i="2"/>
  <c r="F1126" i="2"/>
  <c r="F1140" i="2"/>
  <c r="F1127" i="2"/>
  <c r="F1129" i="2"/>
  <c r="F1138" i="2"/>
  <c r="F1137" i="2"/>
  <c r="F1135" i="2"/>
  <c r="F1123" i="2"/>
  <c r="F1122" i="2"/>
  <c r="F1125" i="2"/>
  <c r="F1124" i="2"/>
  <c r="F1141" i="2"/>
  <c r="F1147" i="2"/>
  <c r="F1146" i="2"/>
  <c r="F1144" i="2"/>
  <c r="F1142" i="2"/>
  <c r="F1145" i="2"/>
  <c r="F1143" i="2"/>
  <c r="F1150" i="2"/>
  <c r="F1149" i="2"/>
  <c r="F1151" i="2"/>
  <c r="F1148" i="2"/>
  <c r="F1157" i="2"/>
  <c r="F1156" i="2"/>
  <c r="F1153" i="2"/>
  <c r="F1155" i="2"/>
  <c r="F1154" i="2"/>
  <c r="F1152" i="2"/>
  <c r="F1158" i="2"/>
  <c r="F1159" i="2"/>
  <c r="F1168" i="2"/>
  <c r="F1167" i="2"/>
  <c r="F1163" i="2"/>
  <c r="F1166" i="2"/>
  <c r="F1165" i="2"/>
  <c r="F1164" i="2"/>
  <c r="F1162" i="2"/>
  <c r="F1161" i="2"/>
  <c r="F1160" i="2"/>
  <c r="F1170" i="2"/>
  <c r="F1169" i="2"/>
  <c r="F1178" i="2"/>
  <c r="F1177" i="2"/>
  <c r="F1173" i="2"/>
  <c r="F1176" i="2"/>
  <c r="F1175" i="2"/>
  <c r="F1174" i="2"/>
  <c r="F1172" i="2"/>
  <c r="F1179" i="2"/>
  <c r="F1171" i="2"/>
  <c r="F1180" i="2"/>
  <c r="F1187" i="2"/>
  <c r="F1186" i="2"/>
  <c r="F1182" i="2"/>
  <c r="F1185" i="2"/>
  <c r="F1184" i="2"/>
  <c r="F1183" i="2"/>
  <c r="F1181" i="2"/>
  <c r="F1189" i="2"/>
  <c r="F1188" i="2"/>
  <c r="F1208" i="2"/>
  <c r="F1196" i="2"/>
  <c r="F1192" i="2"/>
  <c r="F1202" i="2"/>
  <c r="F1198" i="2"/>
  <c r="F1204" i="2"/>
  <c r="F1195" i="2"/>
  <c r="F1190" i="2"/>
  <c r="F1209" i="2"/>
  <c r="F1200" i="2"/>
  <c r="F1193" i="2"/>
  <c r="F1203" i="2"/>
  <c r="F1201" i="2"/>
  <c r="F1197" i="2"/>
  <c r="F1206" i="2"/>
  <c r="F1207" i="2"/>
  <c r="F1205" i="2"/>
  <c r="F1191" i="2"/>
  <c r="F1199" i="2"/>
  <c r="F1194" i="2"/>
  <c r="F1216" i="2"/>
  <c r="F1215" i="2"/>
  <c r="F1211" i="2"/>
  <c r="F1214" i="2"/>
  <c r="F1213" i="2"/>
  <c r="F1212" i="2"/>
  <c r="F1210" i="2"/>
  <c r="F1217" i="2"/>
  <c r="F1227" i="2"/>
  <c r="F1226" i="2"/>
  <c r="F1220" i="2"/>
  <c r="F1225" i="2"/>
  <c r="F1218" i="2"/>
  <c r="F1221" i="2"/>
  <c r="F1224" i="2"/>
  <c r="F1222" i="2"/>
  <c r="F1223" i="2"/>
  <c r="F1219" i="2"/>
  <c r="F1228" i="2"/>
  <c r="F1235" i="2"/>
  <c r="F1232" i="2"/>
  <c r="F1229" i="2"/>
  <c r="F1231" i="2"/>
  <c r="F1230" i="2"/>
  <c r="F1233" i="2"/>
  <c r="F1236" i="2"/>
  <c r="F1234" i="2"/>
  <c r="F1239" i="2"/>
  <c r="F1238" i="2"/>
  <c r="F1237" i="2"/>
  <c r="F1244" i="2"/>
  <c r="F1240" i="2"/>
  <c r="F1241" i="2"/>
  <c r="F1243" i="2"/>
  <c r="F1245" i="2"/>
  <c r="F1246" i="2"/>
  <c r="F1242" i="2"/>
  <c r="F1253" i="2"/>
  <c r="F1252" i="2"/>
  <c r="F1248" i="2"/>
  <c r="F1250" i="2"/>
  <c r="F1251" i="2"/>
  <c r="F1249" i="2"/>
  <c r="F1247" i="2"/>
  <c r="F1255" i="2"/>
  <c r="F1254" i="2"/>
  <c r="F1257" i="2"/>
  <c r="F1256" i="2"/>
  <c r="F1269" i="2"/>
  <c r="F1264" i="2"/>
  <c r="F1261" i="2"/>
  <c r="F1265" i="2"/>
  <c r="F1263" i="2"/>
  <c r="F1262" i="2"/>
  <c r="F1268" i="2"/>
  <c r="F1267" i="2"/>
  <c r="F1266" i="2"/>
  <c r="F1258" i="2"/>
  <c r="F1260" i="2"/>
  <c r="F1259" i="2"/>
  <c r="F1270" i="2"/>
  <c r="F1279" i="2"/>
  <c r="F1278" i="2"/>
  <c r="F1274" i="2"/>
  <c r="F1276" i="2"/>
  <c r="F1277" i="2"/>
  <c r="F1275" i="2"/>
  <c r="F1273" i="2"/>
  <c r="F1280" i="2"/>
  <c r="F1271" i="2"/>
  <c r="F1272" i="2"/>
  <c r="F1282" i="2"/>
  <c r="F1281" i="2"/>
  <c r="F1296" i="2"/>
  <c r="F1295" i="2"/>
  <c r="F1297" i="2"/>
  <c r="F1291" i="2"/>
  <c r="F1289" i="2"/>
  <c r="F1293" i="2"/>
  <c r="F1283" i="2"/>
  <c r="F1288" i="2"/>
  <c r="F1284" i="2"/>
  <c r="F1286" i="2"/>
  <c r="F1292" i="2"/>
  <c r="F1290" i="2"/>
  <c r="F1287" i="2"/>
  <c r="F1285" i="2"/>
  <c r="F1294" i="2"/>
  <c r="F1301" i="2"/>
  <c r="F1300" i="2"/>
  <c r="F1299" i="2"/>
  <c r="F1298" i="2"/>
  <c r="F1302" i="2"/>
  <c r="F1303" i="2"/>
  <c r="F1310" i="2"/>
  <c r="F1309" i="2"/>
  <c r="F1305" i="2"/>
  <c r="F1307" i="2"/>
  <c r="F1308" i="2"/>
  <c r="F1306" i="2"/>
  <c r="F1304" i="2"/>
  <c r="F1311" i="2"/>
  <c r="F1312" i="2"/>
  <c r="F1314" i="2"/>
  <c r="F1313" i="2"/>
  <c r="F1316" i="2"/>
  <c r="F1315" i="2"/>
  <c r="F1323" i="2"/>
  <c r="F1317" i="2"/>
  <c r="F1319" i="2"/>
  <c r="F1320" i="2"/>
  <c r="F1318" i="2"/>
  <c r="F1322" i="2"/>
  <c r="F1321" i="2"/>
  <c r="F1325" i="2"/>
  <c r="F1324" i="2"/>
  <c r="F1340" i="2"/>
  <c r="F1326" i="2"/>
  <c r="F1330" i="2"/>
  <c r="F1333" i="2"/>
  <c r="F1329" i="2"/>
  <c r="F1339" i="2"/>
  <c r="F1337" i="2"/>
  <c r="F1342" i="2"/>
  <c r="F1331" i="2"/>
  <c r="F1336" i="2"/>
  <c r="F1334" i="2"/>
  <c r="F1335" i="2"/>
  <c r="F1328" i="2"/>
  <c r="F1332" i="2"/>
  <c r="F1327" i="2"/>
  <c r="F1343" i="2"/>
  <c r="F1341" i="2"/>
  <c r="F1338" i="2"/>
  <c r="F1344" i="2"/>
  <c r="F1355" i="2"/>
  <c r="F1348" i="2"/>
  <c r="F1347" i="2"/>
  <c r="F1350" i="2"/>
  <c r="F1346" i="2"/>
  <c r="F1352" i="2"/>
  <c r="F1345" i="2"/>
  <c r="F1351" i="2"/>
  <c r="F1353" i="2"/>
  <c r="F1349" i="2"/>
  <c r="F1358" i="2"/>
  <c r="F1356" i="2"/>
  <c r="F1357" i="2"/>
  <c r="F1354" i="2"/>
  <c r="F1379" i="2"/>
  <c r="F1377" i="2"/>
  <c r="F1373" i="2"/>
  <c r="F1376" i="2"/>
  <c r="F1372" i="2"/>
  <c r="F1375" i="2"/>
  <c r="F1378" i="2"/>
  <c r="F1374" i="2"/>
  <c r="F1382" i="2"/>
  <c r="F1385" i="2"/>
  <c r="F1384" i="2"/>
  <c r="F1383" i="2"/>
  <c r="F1387" i="2"/>
  <c r="F1386" i="2"/>
  <c r="F1380" i="2"/>
  <c r="F1381" i="2"/>
  <c r="F1405" i="2"/>
  <c r="F1406" i="2"/>
  <c r="F1404" i="2"/>
  <c r="F1403" i="2"/>
  <c r="F1434" i="2"/>
  <c r="F1437" i="2"/>
  <c r="F1433" i="2"/>
  <c r="F1397" i="2"/>
  <c r="F1399" i="2"/>
  <c r="F1389" i="2"/>
  <c r="F1392" i="2"/>
  <c r="F1431" i="2"/>
  <c r="F1401" i="2"/>
  <c r="F1400" i="2"/>
  <c r="F1402" i="2"/>
  <c r="F1427" i="2"/>
  <c r="F1428" i="2"/>
  <c r="F1414" i="2"/>
  <c r="F1393" i="2"/>
  <c r="F1429" i="2"/>
  <c r="F1413" i="2"/>
  <c r="F1391" i="2"/>
  <c r="F1424" i="2"/>
  <c r="F1419" i="2"/>
  <c r="F1409" i="2"/>
  <c r="F1390" i="2"/>
  <c r="F1426" i="2"/>
  <c r="F1416" i="2"/>
  <c r="F1410" i="2"/>
  <c r="F1421" i="2"/>
  <c r="F1420" i="2"/>
  <c r="F1412" i="2"/>
  <c r="F1395" i="2"/>
  <c r="F1436" i="2"/>
  <c r="F1408" i="2"/>
  <c r="F1388" i="2"/>
  <c r="F1417" i="2"/>
  <c r="F1407" i="2"/>
  <c r="F1415" i="2"/>
  <c r="F1396" i="2"/>
  <c r="F1418" i="2"/>
  <c r="F1423" i="2"/>
  <c r="F1398" i="2"/>
  <c r="F1425" i="2"/>
  <c r="F1411" i="2"/>
  <c r="F1394" i="2"/>
  <c r="F1422" i="2"/>
  <c r="F1430" i="2"/>
  <c r="F1432" i="2"/>
  <c r="F1435" i="2"/>
  <c r="F1440" i="2"/>
  <c r="F1439" i="2"/>
  <c r="F1441" i="2"/>
  <c r="F1438" i="2"/>
  <c r="F1451" i="2"/>
  <c r="F1448" i="2"/>
  <c r="F1442" i="2"/>
  <c r="F1446" i="2"/>
  <c r="F1444" i="2"/>
  <c r="F1443" i="2"/>
  <c r="F1454" i="2"/>
  <c r="F1449" i="2"/>
  <c r="F1455" i="2"/>
  <c r="F1445" i="2"/>
  <c r="F1450" i="2"/>
  <c r="F1447" i="2"/>
  <c r="F1453" i="2"/>
  <c r="F1456" i="2"/>
  <c r="F1452" i="2"/>
  <c r="F1470" i="2"/>
  <c r="F1468" i="2"/>
  <c r="F1465" i="2"/>
  <c r="F1472" i="2"/>
  <c r="F1469" i="2"/>
  <c r="F1473" i="2"/>
  <c r="F1467" i="2"/>
  <c r="F1475" i="2"/>
  <c r="F1474" i="2"/>
  <c r="F1461" i="2"/>
  <c r="F1459" i="2"/>
  <c r="F1460" i="2"/>
  <c r="F1483" i="2"/>
  <c r="F1507" i="2"/>
  <c r="F1509" i="2"/>
  <c r="F1504" i="2"/>
  <c r="F1502" i="2"/>
  <c r="F1505" i="2"/>
  <c r="F1500" i="2"/>
  <c r="F1498" i="2"/>
  <c r="F1499" i="2"/>
  <c r="F1493" i="2"/>
  <c r="F1494" i="2"/>
  <c r="F1490" i="2"/>
  <c r="F1478" i="2"/>
  <c r="F1488" i="2"/>
  <c r="F1485" i="2"/>
  <c r="F1489" i="2"/>
  <c r="F1487" i="2"/>
  <c r="F1481" i="2"/>
  <c r="F1476" i="2"/>
  <c r="F1482" i="2"/>
  <c r="F1484" i="2"/>
  <c r="F1477" i="2"/>
  <c r="F1480" i="2"/>
  <c r="F1479" i="2"/>
  <c r="F1486" i="2"/>
  <c r="F1495" i="2"/>
  <c r="F1457" i="2"/>
  <c r="F1496" i="2"/>
  <c r="F1463" i="2"/>
  <c r="F1458" i="2"/>
  <c r="F1510" i="2"/>
  <c r="F1506" i="2"/>
  <c r="F1503" i="2"/>
  <c r="F1501" i="2"/>
  <c r="F1497" i="2"/>
  <c r="F1462" i="2"/>
  <c r="F1508" i="2"/>
  <c r="F1492" i="2"/>
  <c r="F1471" i="2"/>
  <c r="F1466" i="2"/>
  <c r="F1491" i="2"/>
  <c r="F1464" i="2"/>
  <c r="F1519" i="2"/>
  <c r="F1518" i="2"/>
  <c r="F1514" i="2"/>
  <c r="F1516" i="2"/>
  <c r="F1517" i="2"/>
  <c r="F1515" i="2"/>
  <c r="F1513" i="2"/>
  <c r="F1511" i="2"/>
  <c r="F1512" i="2"/>
  <c r="F1521" i="2"/>
  <c r="F1520" i="2"/>
  <c r="F1528" i="2"/>
  <c r="F1527" i="2"/>
  <c r="F1523" i="2"/>
  <c r="F1526" i="2"/>
  <c r="F1525" i="2"/>
  <c r="F1524" i="2"/>
  <c r="F1522" i="2"/>
  <c r="F1529" i="2"/>
  <c r="F1532" i="2"/>
  <c r="F1534" i="2"/>
  <c r="F1533" i="2"/>
  <c r="F1531" i="2"/>
  <c r="F1530" i="2"/>
  <c r="F1536" i="2"/>
  <c r="F1535" i="2"/>
  <c r="F1539" i="2"/>
  <c r="F1543" i="2"/>
  <c r="F1538" i="2"/>
  <c r="F1542" i="2"/>
  <c r="F1540" i="2"/>
  <c r="F1537" i="2"/>
  <c r="F1541" i="2"/>
  <c r="F1546" i="2"/>
  <c r="F1545" i="2"/>
  <c r="F1544" i="2"/>
  <c r="F1547" i="2"/>
  <c r="F1549" i="2"/>
  <c r="F1548" i="2"/>
  <c r="F1559" i="2"/>
  <c r="F1555" i="2"/>
  <c r="F1553" i="2"/>
  <c r="F1556" i="2"/>
  <c r="F1554" i="2"/>
  <c r="F1558" i="2"/>
  <c r="F1557" i="2"/>
  <c r="F1550" i="2"/>
  <c r="F1552" i="2"/>
  <c r="F1551" i="2"/>
  <c r="F1560" i="2"/>
  <c r="F1572" i="2"/>
  <c r="F1574" i="2"/>
  <c r="F1565" i="2"/>
  <c r="F1570" i="2"/>
  <c r="F1568" i="2"/>
  <c r="F1567" i="2"/>
  <c r="F1569" i="2"/>
  <c r="F1571" i="2"/>
  <c r="F1573" i="2"/>
  <c r="F1566" i="2"/>
  <c r="F1577" i="2"/>
  <c r="F1563" i="2"/>
  <c r="F1562" i="2"/>
  <c r="F1561" i="2"/>
  <c r="F1575" i="2"/>
  <c r="F1564" i="2"/>
  <c r="F1576" i="2"/>
  <c r="F1583" i="2"/>
  <c r="F1582" i="2"/>
  <c r="F1581" i="2"/>
  <c r="F1578" i="2"/>
  <c r="F1579" i="2"/>
  <c r="F1580" i="2"/>
  <c r="F1584" i="2"/>
  <c r="F1590" i="2"/>
  <c r="F1588" i="2"/>
  <c r="F1595" i="2"/>
  <c r="F1586" i="2"/>
  <c r="F1587" i="2"/>
  <c r="F1593" i="2"/>
  <c r="F1589" i="2"/>
  <c r="F1591" i="2"/>
  <c r="F1592" i="2"/>
  <c r="F1594" i="2"/>
  <c r="F1585" i="2"/>
  <c r="F1602" i="2"/>
  <c r="F1601" i="2"/>
  <c r="F1597" i="2"/>
  <c r="F1599" i="2"/>
  <c r="F1600" i="2"/>
  <c r="F1598" i="2"/>
  <c r="F1596" i="2"/>
  <c r="F1604" i="2"/>
  <c r="F1603" i="2"/>
  <c r="F1609" i="2"/>
  <c r="F1608" i="2"/>
  <c r="F1606" i="2"/>
  <c r="F1607" i="2"/>
  <c r="F1605" i="2"/>
  <c r="F1611" i="2"/>
  <c r="F1610" i="2"/>
  <c r="F1620" i="2"/>
  <c r="F1619" i="2"/>
  <c r="F1615" i="2"/>
  <c r="F1613" i="2"/>
  <c r="F1616" i="2"/>
  <c r="F1617" i="2"/>
  <c r="F1618" i="2"/>
  <c r="F1612" i="2"/>
  <c r="F1614" i="2"/>
  <c r="F1622" i="2"/>
  <c r="F1623" i="2"/>
  <c r="F1621" i="2"/>
  <c r="F1633" i="2"/>
  <c r="F1628" i="2"/>
  <c r="F1634" i="2"/>
  <c r="F1626" i="2"/>
  <c r="F1627" i="2"/>
  <c r="F1625" i="2"/>
  <c r="F1624" i="2"/>
  <c r="F1629" i="2"/>
  <c r="F1631" i="2"/>
  <c r="F1632" i="2"/>
  <c r="F1636" i="2"/>
  <c r="F1630" i="2"/>
  <c r="F1635" i="2"/>
  <c r="F1642" i="2"/>
  <c r="F1637" i="2"/>
  <c r="F1647" i="2"/>
  <c r="F1650" i="2"/>
  <c r="F1641" i="2"/>
  <c r="F1645" i="2"/>
  <c r="F1649" i="2"/>
  <c r="F1648" i="2"/>
  <c r="F1643" i="2"/>
  <c r="F1646" i="2"/>
  <c r="F1652" i="2"/>
  <c r="F1653" i="2"/>
  <c r="F1651" i="2"/>
  <c r="F1638" i="2"/>
  <c r="F1644" i="2"/>
  <c r="F1639" i="2"/>
  <c r="F1640" i="2"/>
  <c r="F1663" i="2"/>
  <c r="F1662" i="2"/>
  <c r="F1661" i="2"/>
  <c r="F1656" i="2"/>
  <c r="F1659" i="2"/>
  <c r="F1660" i="2"/>
  <c r="F1657" i="2"/>
  <c r="F1658" i="2"/>
  <c r="F1664" i="2"/>
  <c r="F1655" i="2"/>
  <c r="F1654" i="2"/>
  <c r="F1665" i="2"/>
  <c r="F1672" i="2"/>
  <c r="F1671" i="2"/>
  <c r="F1667" i="2"/>
  <c r="F1670" i="2"/>
  <c r="F1669" i="2"/>
  <c r="F1668" i="2"/>
  <c r="F1666" i="2"/>
  <c r="F1674" i="2"/>
  <c r="F1673" i="2"/>
  <c r="F1685" i="2"/>
  <c r="F1684" i="2"/>
  <c r="F1678" i="2"/>
  <c r="F1683" i="2"/>
  <c r="F1676" i="2"/>
  <c r="F1679" i="2"/>
  <c r="F1682" i="2"/>
  <c r="F1680" i="2"/>
  <c r="F1681" i="2"/>
  <c r="F1675" i="2"/>
  <c r="F1677" i="2"/>
  <c r="F1688" i="2"/>
  <c r="F1687" i="2"/>
  <c r="F1689" i="2"/>
  <c r="F1686" i="2"/>
  <c r="F1696" i="2"/>
  <c r="F1694" i="2"/>
  <c r="F1690" i="2"/>
  <c r="F1693" i="2"/>
  <c r="F1692" i="2"/>
  <c r="F1695" i="2"/>
  <c r="F1691" i="2"/>
  <c r="F1698" i="2"/>
  <c r="F1699" i="2"/>
  <c r="F1697" i="2"/>
  <c r="F1700" i="2"/>
  <c r="F1702" i="2"/>
  <c r="F1707" i="2"/>
  <c r="F1703" i="2"/>
  <c r="F1701" i="2"/>
  <c r="F1705" i="2"/>
  <c r="F1704" i="2"/>
  <c r="F1708" i="2"/>
  <c r="F1706" i="2"/>
  <c r="F1715" i="2"/>
  <c r="F1714" i="2"/>
  <c r="F1710" i="2"/>
  <c r="F1712" i="2"/>
  <c r="F1713" i="2"/>
  <c r="F1711" i="2"/>
  <c r="F1709" i="2"/>
  <c r="F1716" i="2"/>
  <c r="F1723" i="2"/>
  <c r="F1722" i="2"/>
  <c r="F1718" i="2"/>
  <c r="F1720" i="2"/>
  <c r="F1721" i="2"/>
  <c r="F1719" i="2"/>
  <c r="F1717" i="2"/>
  <c r="F1724" i="2"/>
  <c r="F1726" i="2"/>
  <c r="F1727" i="2"/>
  <c r="F1728" i="2"/>
  <c r="F1729" i="2"/>
  <c r="F1725" i="2"/>
  <c r="F1735" i="2"/>
  <c r="F1734" i="2"/>
  <c r="F1732" i="2"/>
  <c r="F1731" i="2"/>
  <c r="F1730" i="2"/>
  <c r="F1733" i="2"/>
  <c r="F1737" i="2"/>
  <c r="F1736" i="2"/>
  <c r="F1744" i="2"/>
  <c r="F1743" i="2"/>
  <c r="F1746" i="2"/>
  <c r="F1738" i="2"/>
  <c r="F1742" i="2"/>
  <c r="F1740" i="2"/>
  <c r="F1739" i="2"/>
  <c r="F1741" i="2"/>
  <c r="F1745" i="2"/>
  <c r="F1753" i="2"/>
  <c r="F1752" i="2"/>
  <c r="F1748" i="2"/>
  <c r="F1750" i="2"/>
  <c r="F1751" i="2"/>
  <c r="F1749" i="2"/>
  <c r="F1747" i="2"/>
  <c r="F1755" i="2"/>
  <c r="F1756" i="2"/>
  <c r="F1754" i="2"/>
  <c r="F1765" i="2"/>
  <c r="F1764" i="2"/>
  <c r="F1760" i="2"/>
  <c r="F1763" i="2"/>
  <c r="F1758" i="2"/>
  <c r="F1761" i="2"/>
  <c r="F1762" i="2"/>
  <c r="F1757" i="2"/>
  <c r="F1759" i="2"/>
  <c r="F1766" i="2"/>
  <c r="F1772" i="2"/>
  <c r="F1771" i="2"/>
  <c r="F1768" i="2"/>
  <c r="F1770" i="2"/>
  <c r="F1769" i="2"/>
  <c r="F1774" i="2"/>
  <c r="F1767" i="2"/>
  <c r="F1775" i="2"/>
  <c r="F1773" i="2"/>
  <c r="F1780" i="2"/>
  <c r="F1782" i="2"/>
  <c r="F1784" i="2"/>
  <c r="F1787" i="2"/>
  <c r="F1777" i="2"/>
  <c r="F1778" i="2"/>
  <c r="F1776" i="2"/>
  <c r="F1779" i="2"/>
  <c r="F1785" i="2"/>
  <c r="F1781" i="2"/>
  <c r="F1783" i="2"/>
  <c r="F1786" i="2"/>
  <c r="F1369" i="2"/>
  <c r="F1368" i="2"/>
  <c r="F1362" i="2"/>
  <c r="F1367" i="2"/>
  <c r="F1360" i="2"/>
  <c r="F1363" i="2"/>
  <c r="F1366" i="2"/>
  <c r="F1364" i="2"/>
  <c r="F1365" i="2"/>
  <c r="F1359" i="2"/>
  <c r="F1361" i="2"/>
  <c r="F1370" i="2"/>
  <c r="F1371" i="2"/>
  <c r="F1794" i="2"/>
  <c r="F1793" i="2"/>
  <c r="F1790" i="2"/>
  <c r="F1792" i="2"/>
  <c r="F1791" i="2"/>
  <c r="F1788" i="2"/>
  <c r="F1789" i="2"/>
  <c r="F1795" i="2"/>
  <c r="F1796" i="2"/>
  <c r="F1797" i="2"/>
  <c r="F1799" i="2"/>
  <c r="F1800" i="2"/>
  <c r="F1798" i="2"/>
  <c r="F1804" i="2"/>
  <c r="F1802" i="2"/>
  <c r="F1801" i="2"/>
  <c r="F1806" i="2"/>
  <c r="F1803" i="2"/>
  <c r="F1805" i="2"/>
  <c r="F1808" i="2"/>
  <c r="F1807" i="2"/>
  <c r="F1817" i="2"/>
  <c r="F1814" i="2"/>
  <c r="F1809" i="2"/>
  <c r="F1812" i="2"/>
  <c r="F1811" i="2"/>
  <c r="F1813" i="2"/>
  <c r="F1810" i="2"/>
  <c r="F1815" i="2"/>
  <c r="F1819" i="2"/>
  <c r="F1820" i="2"/>
  <c r="F1823" i="2"/>
  <c r="F1821" i="2"/>
  <c r="F1822" i="2"/>
  <c r="F1818" i="2"/>
  <c r="F1816" i="2"/>
  <c r="F1830" i="2"/>
  <c r="F1829" i="2"/>
  <c r="F1825" i="2"/>
  <c r="F1827" i="2"/>
  <c r="F1828" i="2"/>
  <c r="F1826" i="2"/>
  <c r="F1824" i="2"/>
  <c r="F1832" i="2"/>
  <c r="F1831" i="2"/>
  <c r="F1839" i="2"/>
  <c r="F1838" i="2"/>
  <c r="F1834" i="2"/>
  <c r="F1836" i="2"/>
  <c r="F1837" i="2"/>
  <c r="F1835" i="2"/>
  <c r="F1833" i="2"/>
  <c r="F1840" i="2"/>
  <c r="F1842" i="2"/>
  <c r="F1841" i="2"/>
  <c r="F1847" i="2"/>
  <c r="F1846" i="2"/>
  <c r="F1845" i="2"/>
  <c r="F1844" i="2"/>
  <c r="F1843" i="2"/>
  <c r="F1849" i="2"/>
  <c r="F1848" i="2"/>
  <c r="F1858" i="2"/>
  <c r="F1851" i="2"/>
  <c r="F1856" i="2"/>
  <c r="F1853" i="2"/>
  <c r="F1854" i="2"/>
  <c r="F1855" i="2"/>
  <c r="F1857" i="2"/>
  <c r="F1850" i="2"/>
  <c r="F1852" i="2"/>
  <c r="F1866" i="2"/>
  <c r="F1865" i="2"/>
  <c r="F1861" i="2"/>
  <c r="F1863" i="2"/>
  <c r="F1864" i="2"/>
  <c r="F1862" i="2"/>
  <c r="F1860" i="2"/>
  <c r="F1859" i="2"/>
  <c r="F1868" i="2"/>
  <c r="F1867" i="2"/>
  <c r="F1870" i="2"/>
  <c r="F1869" i="2"/>
  <c r="F1871" i="2"/>
  <c r="F1872" i="2"/>
  <c r="F1878" i="2"/>
  <c r="F1873" i="2"/>
  <c r="F1888" i="2"/>
  <c r="F1883" i="2"/>
  <c r="F1882" i="2"/>
  <c r="F1877" i="2"/>
  <c r="F1880" i="2"/>
  <c r="F1884" i="2"/>
  <c r="F1881" i="2"/>
  <c r="F1887" i="2"/>
  <c r="F1886" i="2"/>
  <c r="F1885" i="2"/>
  <c r="F1874" i="2"/>
  <c r="F1879" i="2"/>
  <c r="F1875" i="2"/>
  <c r="F1876" i="2"/>
  <c r="F9" i="2"/>
  <c r="F6" i="2"/>
  <c r="F8" i="2"/>
  <c r="F7" i="2"/>
  <c r="F5" i="2"/>
  <c r="F11" i="2"/>
  <c r="F3" i="2"/>
  <c r="F4" i="2"/>
  <c r="F12" i="2"/>
  <c r="F19" i="2"/>
  <c r="F18" i="2"/>
  <c r="F14" i="2"/>
  <c r="F17" i="2"/>
  <c r="F16" i="2"/>
  <c r="F15" i="2"/>
  <c r="F13" i="2"/>
  <c r="F20" i="2"/>
  <c r="F21" i="2"/>
  <c r="F23" i="2"/>
  <c r="F22" i="2"/>
  <c r="F36" i="2"/>
  <c r="F30" i="2"/>
  <c r="F10" i="2"/>
  <c r="I552" i="51"/>
  <c r="K552" i="51" s="1"/>
  <c r="E552" i="51"/>
  <c r="D552" i="51"/>
  <c r="C552" i="51"/>
  <c r="B552" i="51"/>
  <c r="I551" i="51"/>
  <c r="K551" i="51" s="1"/>
  <c r="E551" i="51"/>
  <c r="D551" i="51"/>
  <c r="C551" i="51"/>
  <c r="B551" i="51"/>
  <c r="I550" i="51"/>
  <c r="K550" i="51" s="1"/>
  <c r="E550" i="51"/>
  <c r="D550" i="51"/>
  <c r="C550" i="51"/>
  <c r="B550" i="51"/>
  <c r="I549" i="51"/>
  <c r="K549" i="51" s="1"/>
  <c r="E549" i="51"/>
  <c r="D549" i="51"/>
  <c r="C549" i="51"/>
  <c r="B549" i="51"/>
  <c r="I548" i="51"/>
  <c r="K548" i="51" s="1"/>
  <c r="E548" i="51"/>
  <c r="D548" i="51"/>
  <c r="C548" i="51"/>
  <c r="B548" i="51"/>
  <c r="I547" i="51"/>
  <c r="K547" i="51" s="1"/>
  <c r="E547" i="51"/>
  <c r="D547" i="51"/>
  <c r="C547" i="51"/>
  <c r="B547" i="51"/>
  <c r="I546" i="51"/>
  <c r="K546" i="51" s="1"/>
  <c r="E546" i="51"/>
  <c r="D546" i="51"/>
  <c r="C546" i="51"/>
  <c r="B546" i="51"/>
  <c r="I545" i="51"/>
  <c r="K545" i="51" s="1"/>
  <c r="E545" i="51"/>
  <c r="D545" i="51"/>
  <c r="C545" i="51"/>
  <c r="B545" i="51"/>
  <c r="I544" i="51"/>
  <c r="K544" i="51" s="1"/>
  <c r="E544" i="51"/>
  <c r="D544" i="51"/>
  <c r="C544" i="51"/>
  <c r="B544" i="51"/>
  <c r="I543" i="51"/>
  <c r="K543" i="51" s="1"/>
  <c r="E543" i="51"/>
  <c r="D543" i="51"/>
  <c r="C543" i="51"/>
  <c r="B543" i="51"/>
  <c r="I542" i="51"/>
  <c r="K542" i="51" s="1"/>
  <c r="E542" i="51"/>
  <c r="D542" i="51"/>
  <c r="C542" i="51"/>
  <c r="B542" i="51"/>
  <c r="I541" i="51"/>
  <c r="K541" i="51" s="1"/>
  <c r="E541" i="51"/>
  <c r="D541" i="51"/>
  <c r="C541" i="51"/>
  <c r="B541" i="51"/>
  <c r="I540" i="51"/>
  <c r="K540" i="51" s="1"/>
  <c r="E540" i="51"/>
  <c r="D540" i="51"/>
  <c r="C540" i="51"/>
  <c r="B540" i="51"/>
  <c r="I539" i="51"/>
  <c r="K539" i="51" s="1"/>
  <c r="E539" i="51"/>
  <c r="D539" i="51"/>
  <c r="C539" i="51"/>
  <c r="B539" i="51"/>
  <c r="I538" i="51"/>
  <c r="K538" i="51" s="1"/>
  <c r="E538" i="51"/>
  <c r="D538" i="51"/>
  <c r="C538" i="51"/>
  <c r="B538" i="51"/>
  <c r="I537" i="51"/>
  <c r="K537" i="51" s="1"/>
  <c r="E537" i="51"/>
  <c r="D537" i="51"/>
  <c r="C537" i="51"/>
  <c r="B537" i="51"/>
  <c r="I536" i="51"/>
  <c r="K536" i="51" s="1"/>
  <c r="E536" i="51"/>
  <c r="D536" i="51"/>
  <c r="C536" i="51"/>
  <c r="B536" i="51"/>
  <c r="I535" i="51"/>
  <c r="K535" i="51" s="1"/>
  <c r="E535" i="51"/>
  <c r="D535" i="51"/>
  <c r="C535" i="51"/>
  <c r="B535" i="51"/>
  <c r="I534" i="51"/>
  <c r="K534" i="51" s="1"/>
  <c r="E534" i="51"/>
  <c r="D534" i="51"/>
  <c r="C534" i="51"/>
  <c r="B534" i="51"/>
  <c r="I533" i="51"/>
  <c r="K533" i="51" s="1"/>
  <c r="E533" i="51"/>
  <c r="D533" i="51"/>
  <c r="C533" i="51"/>
  <c r="B533" i="51"/>
  <c r="I532" i="51"/>
  <c r="K532" i="51" s="1"/>
  <c r="E532" i="51"/>
  <c r="D532" i="51"/>
  <c r="C532" i="51"/>
  <c r="B532" i="51"/>
  <c r="I531" i="51"/>
  <c r="K531" i="51" s="1"/>
  <c r="E531" i="51"/>
  <c r="D531" i="51"/>
  <c r="C531" i="51"/>
  <c r="B531" i="51"/>
  <c r="I530" i="51"/>
  <c r="K530" i="51" s="1"/>
  <c r="E530" i="51"/>
  <c r="D530" i="51"/>
  <c r="C530" i="51"/>
  <c r="B530" i="51"/>
  <c r="I529" i="51"/>
  <c r="K529" i="51" s="1"/>
  <c r="E529" i="51"/>
  <c r="D529" i="51"/>
  <c r="C529" i="51"/>
  <c r="B529" i="51"/>
  <c r="I528" i="51"/>
  <c r="K528" i="51" s="1"/>
  <c r="E528" i="51"/>
  <c r="D528" i="51"/>
  <c r="C528" i="51"/>
  <c r="B528" i="51"/>
  <c r="I527" i="51"/>
  <c r="K527" i="51" s="1"/>
  <c r="E527" i="51"/>
  <c r="D527" i="51"/>
  <c r="C527" i="51"/>
  <c r="B527" i="51"/>
  <c r="I526" i="51"/>
  <c r="K526" i="51" s="1"/>
  <c r="E526" i="51"/>
  <c r="D526" i="51"/>
  <c r="C526" i="51"/>
  <c r="B526" i="51"/>
  <c r="I525" i="51"/>
  <c r="K525" i="51" s="1"/>
  <c r="E525" i="51"/>
  <c r="D525" i="51"/>
  <c r="C525" i="51"/>
  <c r="B525" i="51"/>
  <c r="I524" i="51"/>
  <c r="K524" i="51" s="1"/>
  <c r="E524" i="51"/>
  <c r="D524" i="51"/>
  <c r="C524" i="51"/>
  <c r="B524" i="51"/>
  <c r="I523" i="51"/>
  <c r="K523" i="51" s="1"/>
  <c r="E523" i="51"/>
  <c r="D523" i="51"/>
  <c r="C523" i="51"/>
  <c r="B523" i="51"/>
  <c r="I522" i="51"/>
  <c r="K522" i="51" s="1"/>
  <c r="E522" i="51"/>
  <c r="D522" i="51"/>
  <c r="C522" i="51"/>
  <c r="B522" i="51"/>
  <c r="I521" i="51"/>
  <c r="K521" i="51" s="1"/>
  <c r="E521" i="51"/>
  <c r="D521" i="51"/>
  <c r="C521" i="51"/>
  <c r="B521" i="51"/>
  <c r="I520" i="51"/>
  <c r="K520" i="51" s="1"/>
  <c r="E520" i="51"/>
  <c r="D520" i="51"/>
  <c r="C520" i="51"/>
  <c r="B520" i="51"/>
  <c r="I519" i="51"/>
  <c r="K519" i="51" s="1"/>
  <c r="E519" i="51"/>
  <c r="D519" i="51"/>
  <c r="C519" i="51"/>
  <c r="B519" i="51"/>
  <c r="I518" i="51"/>
  <c r="K518" i="51" s="1"/>
  <c r="E518" i="51"/>
  <c r="D518" i="51"/>
  <c r="C518" i="51"/>
  <c r="B518" i="51"/>
  <c r="I517" i="51"/>
  <c r="K517" i="51" s="1"/>
  <c r="E517" i="51"/>
  <c r="D517" i="51"/>
  <c r="C517" i="51"/>
  <c r="B517" i="51"/>
  <c r="I516" i="51"/>
  <c r="K516" i="51" s="1"/>
  <c r="E516" i="51"/>
  <c r="D516" i="51"/>
  <c r="C516" i="51"/>
  <c r="B516" i="51"/>
  <c r="I515" i="51"/>
  <c r="K515" i="51" s="1"/>
  <c r="E515" i="51"/>
  <c r="D515" i="51"/>
  <c r="C515" i="51"/>
  <c r="B515" i="51"/>
  <c r="I514" i="51"/>
  <c r="K514" i="51" s="1"/>
  <c r="E514" i="51"/>
  <c r="D514" i="51"/>
  <c r="C514" i="51"/>
  <c r="B514" i="51"/>
  <c r="I513" i="51"/>
  <c r="K513" i="51" s="1"/>
  <c r="E513" i="51"/>
  <c r="D513" i="51"/>
  <c r="C513" i="51"/>
  <c r="B513" i="51"/>
  <c r="I512" i="51"/>
  <c r="K512" i="51" s="1"/>
  <c r="E512" i="51"/>
  <c r="D512" i="51"/>
  <c r="C512" i="51"/>
  <c r="B512" i="51"/>
  <c r="I511" i="51"/>
  <c r="K511" i="51" s="1"/>
  <c r="E511" i="51"/>
  <c r="D511" i="51"/>
  <c r="C511" i="51"/>
  <c r="B511" i="51"/>
  <c r="I510" i="51"/>
  <c r="K510" i="51" s="1"/>
  <c r="E510" i="51"/>
  <c r="D510" i="51"/>
  <c r="C510" i="51"/>
  <c r="B510" i="51"/>
  <c r="I509" i="51"/>
  <c r="K509" i="51" s="1"/>
  <c r="E509" i="51"/>
  <c r="D509" i="51"/>
  <c r="C509" i="51"/>
  <c r="B509" i="51"/>
  <c r="I508" i="51"/>
  <c r="K508" i="51" s="1"/>
  <c r="E508" i="51"/>
  <c r="D508" i="51"/>
  <c r="C508" i="51"/>
  <c r="B508" i="51"/>
  <c r="I507" i="51"/>
  <c r="K507" i="51" s="1"/>
  <c r="E507" i="51"/>
  <c r="D507" i="51"/>
  <c r="C507" i="51"/>
  <c r="B507" i="51"/>
  <c r="I506" i="51"/>
  <c r="K506" i="51" s="1"/>
  <c r="E506" i="51"/>
  <c r="D506" i="51"/>
  <c r="C506" i="51"/>
  <c r="B506" i="51"/>
  <c r="I505" i="51"/>
  <c r="K505" i="51" s="1"/>
  <c r="E505" i="51"/>
  <c r="D505" i="51"/>
  <c r="C505" i="51"/>
  <c r="B505" i="51"/>
  <c r="I504" i="51"/>
  <c r="K504" i="51" s="1"/>
  <c r="E504" i="51"/>
  <c r="D504" i="51"/>
  <c r="C504" i="51"/>
  <c r="B504" i="51"/>
  <c r="I503" i="51"/>
  <c r="K503" i="51" s="1"/>
  <c r="E503" i="51"/>
  <c r="D503" i="51"/>
  <c r="C503" i="51"/>
  <c r="B503" i="51"/>
  <c r="I502" i="51"/>
  <c r="K502" i="51" s="1"/>
  <c r="E502" i="51"/>
  <c r="D502" i="51"/>
  <c r="C502" i="51"/>
  <c r="B502" i="51"/>
  <c r="I501" i="51"/>
  <c r="K501" i="51" s="1"/>
  <c r="E501" i="51"/>
  <c r="D501" i="51"/>
  <c r="C501" i="51"/>
  <c r="B501" i="51"/>
  <c r="I500" i="51"/>
  <c r="K500" i="51" s="1"/>
  <c r="E500" i="51"/>
  <c r="D500" i="51"/>
  <c r="C500" i="51"/>
  <c r="B500" i="51"/>
  <c r="I499" i="51"/>
  <c r="K499" i="51" s="1"/>
  <c r="E499" i="51"/>
  <c r="D499" i="51"/>
  <c r="C499" i="51"/>
  <c r="B499" i="51"/>
  <c r="I498" i="51"/>
  <c r="K498" i="51" s="1"/>
  <c r="E498" i="51"/>
  <c r="D498" i="51"/>
  <c r="C498" i="51"/>
  <c r="B498" i="51"/>
  <c r="I497" i="51"/>
  <c r="K497" i="51" s="1"/>
  <c r="E497" i="51"/>
  <c r="D497" i="51"/>
  <c r="C497" i="51"/>
  <c r="B497" i="51"/>
  <c r="I496" i="51"/>
  <c r="K496" i="51" s="1"/>
  <c r="E496" i="51"/>
  <c r="D496" i="51"/>
  <c r="C496" i="51"/>
  <c r="B496" i="51"/>
  <c r="I495" i="51"/>
  <c r="K495" i="51" s="1"/>
  <c r="E495" i="51"/>
  <c r="D495" i="51"/>
  <c r="C495" i="51"/>
  <c r="B495" i="51"/>
  <c r="I494" i="51"/>
  <c r="K494" i="51" s="1"/>
  <c r="E494" i="51"/>
  <c r="D494" i="51"/>
  <c r="C494" i="51"/>
  <c r="B494" i="51"/>
  <c r="I493" i="51"/>
  <c r="K493" i="51" s="1"/>
  <c r="E493" i="51"/>
  <c r="D493" i="51"/>
  <c r="C493" i="51"/>
  <c r="B493" i="51"/>
  <c r="I492" i="51"/>
  <c r="K492" i="51" s="1"/>
  <c r="E492" i="51"/>
  <c r="D492" i="51"/>
  <c r="C492" i="51"/>
  <c r="B492" i="51"/>
  <c r="I491" i="51"/>
  <c r="K491" i="51" s="1"/>
  <c r="E491" i="51"/>
  <c r="D491" i="51"/>
  <c r="C491" i="51"/>
  <c r="B491" i="51"/>
  <c r="I490" i="51"/>
  <c r="K490" i="51" s="1"/>
  <c r="E490" i="51"/>
  <c r="D490" i="51"/>
  <c r="C490" i="51"/>
  <c r="B490" i="51"/>
  <c r="I489" i="51"/>
  <c r="K489" i="51" s="1"/>
  <c r="E489" i="51"/>
  <c r="D489" i="51"/>
  <c r="C489" i="51"/>
  <c r="B489" i="51"/>
  <c r="I488" i="51"/>
  <c r="K488" i="51" s="1"/>
  <c r="E488" i="51"/>
  <c r="D488" i="51"/>
  <c r="C488" i="51"/>
  <c r="B488" i="51"/>
  <c r="I487" i="51"/>
  <c r="K487" i="51" s="1"/>
  <c r="E487" i="51"/>
  <c r="D487" i="51"/>
  <c r="C487" i="51"/>
  <c r="B487" i="51"/>
  <c r="I486" i="51"/>
  <c r="K486" i="51" s="1"/>
  <c r="E486" i="51"/>
  <c r="D486" i="51"/>
  <c r="C486" i="51"/>
  <c r="B486" i="51"/>
  <c r="I485" i="51"/>
  <c r="K485" i="51" s="1"/>
  <c r="E485" i="51"/>
  <c r="D485" i="51"/>
  <c r="C485" i="51"/>
  <c r="B485" i="51"/>
  <c r="I484" i="51"/>
  <c r="K484" i="51" s="1"/>
  <c r="E484" i="51"/>
  <c r="D484" i="51"/>
  <c r="C484" i="51"/>
  <c r="B484" i="51"/>
  <c r="I483" i="51"/>
  <c r="K483" i="51" s="1"/>
  <c r="E483" i="51"/>
  <c r="D483" i="51"/>
  <c r="C483" i="51"/>
  <c r="B483" i="51"/>
  <c r="I482" i="51"/>
  <c r="K482" i="51" s="1"/>
  <c r="E482" i="51"/>
  <c r="D482" i="51"/>
  <c r="C482" i="51"/>
  <c r="B482" i="51"/>
  <c r="I481" i="51"/>
  <c r="K481" i="51" s="1"/>
  <c r="E481" i="51"/>
  <c r="D481" i="51"/>
  <c r="C481" i="51"/>
  <c r="B481" i="51"/>
  <c r="I480" i="51"/>
  <c r="K480" i="51" s="1"/>
  <c r="E480" i="51"/>
  <c r="D480" i="51"/>
  <c r="C480" i="51"/>
  <c r="B480" i="51"/>
  <c r="I479" i="51"/>
  <c r="K479" i="51" s="1"/>
  <c r="E479" i="51"/>
  <c r="D479" i="51"/>
  <c r="C479" i="51"/>
  <c r="B479" i="51"/>
  <c r="I478" i="51"/>
  <c r="K478" i="51" s="1"/>
  <c r="E478" i="51"/>
  <c r="D478" i="51"/>
  <c r="C478" i="51"/>
  <c r="B478" i="51"/>
  <c r="I477" i="51"/>
  <c r="K477" i="51" s="1"/>
  <c r="E477" i="51"/>
  <c r="D477" i="51"/>
  <c r="C477" i="51"/>
  <c r="B477" i="51"/>
  <c r="I476" i="51"/>
  <c r="K476" i="51" s="1"/>
  <c r="E476" i="51"/>
  <c r="D476" i="51"/>
  <c r="C476" i="51"/>
  <c r="B476" i="51"/>
  <c r="I475" i="51"/>
  <c r="K475" i="51" s="1"/>
  <c r="E475" i="51"/>
  <c r="D475" i="51"/>
  <c r="C475" i="51"/>
  <c r="B475" i="51"/>
  <c r="I474" i="51"/>
  <c r="K474" i="51" s="1"/>
  <c r="E474" i="51"/>
  <c r="D474" i="51"/>
  <c r="C474" i="51"/>
  <c r="B474" i="51"/>
  <c r="I473" i="51"/>
  <c r="K473" i="51" s="1"/>
  <c r="E473" i="51"/>
  <c r="D473" i="51"/>
  <c r="C473" i="51"/>
  <c r="B473" i="51"/>
  <c r="I472" i="51"/>
  <c r="K472" i="51" s="1"/>
  <c r="E472" i="51"/>
  <c r="D472" i="51"/>
  <c r="C472" i="51"/>
  <c r="B472" i="51"/>
  <c r="I471" i="51"/>
  <c r="K471" i="51" s="1"/>
  <c r="E471" i="51"/>
  <c r="D471" i="51"/>
  <c r="C471" i="51"/>
  <c r="B471" i="51"/>
  <c r="I470" i="51"/>
  <c r="K470" i="51" s="1"/>
  <c r="E470" i="51"/>
  <c r="D470" i="51"/>
  <c r="C470" i="51"/>
  <c r="B470" i="51"/>
  <c r="I469" i="51"/>
  <c r="K469" i="51" s="1"/>
  <c r="E469" i="51"/>
  <c r="D469" i="51"/>
  <c r="C469" i="51"/>
  <c r="B469" i="51"/>
  <c r="I468" i="51"/>
  <c r="K468" i="51" s="1"/>
  <c r="E468" i="51"/>
  <c r="D468" i="51"/>
  <c r="C468" i="51"/>
  <c r="B468" i="51"/>
  <c r="I467" i="51"/>
  <c r="K467" i="51" s="1"/>
  <c r="E467" i="51"/>
  <c r="D467" i="51"/>
  <c r="C467" i="51"/>
  <c r="B467" i="51"/>
  <c r="I466" i="51"/>
  <c r="K466" i="51" s="1"/>
  <c r="E466" i="51"/>
  <c r="D466" i="51"/>
  <c r="C466" i="51"/>
  <c r="B466" i="51"/>
  <c r="I465" i="51"/>
  <c r="K465" i="51" s="1"/>
  <c r="E465" i="51"/>
  <c r="D465" i="51"/>
  <c r="C465" i="51"/>
  <c r="B465" i="51"/>
  <c r="I464" i="51"/>
  <c r="K464" i="51" s="1"/>
  <c r="E464" i="51"/>
  <c r="D464" i="51"/>
  <c r="C464" i="51"/>
  <c r="B464" i="51"/>
  <c r="I463" i="51"/>
  <c r="K463" i="51" s="1"/>
  <c r="E463" i="51"/>
  <c r="D463" i="51"/>
  <c r="C463" i="51"/>
  <c r="B463" i="51"/>
  <c r="I462" i="51"/>
  <c r="K462" i="51" s="1"/>
  <c r="E462" i="51"/>
  <c r="D462" i="51"/>
  <c r="C462" i="51"/>
  <c r="B462" i="51"/>
  <c r="I461" i="51"/>
  <c r="K461" i="51" s="1"/>
  <c r="E461" i="51"/>
  <c r="D461" i="51"/>
  <c r="C461" i="51"/>
  <c r="B461" i="51"/>
  <c r="I460" i="51"/>
  <c r="K460" i="51" s="1"/>
  <c r="E460" i="51"/>
  <c r="D460" i="51"/>
  <c r="C460" i="51"/>
  <c r="B460" i="51"/>
  <c r="I459" i="51"/>
  <c r="K459" i="51" s="1"/>
  <c r="E459" i="51"/>
  <c r="D459" i="51"/>
  <c r="C459" i="51"/>
  <c r="B459" i="51"/>
  <c r="I458" i="51"/>
  <c r="K458" i="51" s="1"/>
  <c r="E458" i="51"/>
  <c r="D458" i="51"/>
  <c r="C458" i="51"/>
  <c r="B458" i="51"/>
  <c r="I457" i="51"/>
  <c r="K457" i="51" s="1"/>
  <c r="E457" i="51"/>
  <c r="D457" i="51"/>
  <c r="C457" i="51"/>
  <c r="B457" i="51"/>
  <c r="I456" i="51"/>
  <c r="K456" i="51" s="1"/>
  <c r="E456" i="51"/>
  <c r="D456" i="51"/>
  <c r="C456" i="51"/>
  <c r="B456" i="51"/>
  <c r="I455" i="51"/>
  <c r="K455" i="51" s="1"/>
  <c r="E455" i="51"/>
  <c r="D455" i="51"/>
  <c r="C455" i="51"/>
  <c r="B455" i="51"/>
  <c r="I454" i="51"/>
  <c r="K454" i="51" s="1"/>
  <c r="E454" i="51"/>
  <c r="D454" i="51"/>
  <c r="C454" i="51"/>
  <c r="B454" i="51"/>
  <c r="I453" i="51"/>
  <c r="K453" i="51" s="1"/>
  <c r="E453" i="51"/>
  <c r="D453" i="51"/>
  <c r="C453" i="51"/>
  <c r="B453" i="51"/>
  <c r="I452" i="51"/>
  <c r="K452" i="51" s="1"/>
  <c r="E452" i="51"/>
  <c r="D452" i="51"/>
  <c r="C452" i="51"/>
  <c r="B452" i="51"/>
  <c r="I451" i="51"/>
  <c r="K451" i="51" s="1"/>
  <c r="E451" i="51"/>
  <c r="D451" i="51"/>
  <c r="C451" i="51"/>
  <c r="B451" i="51"/>
  <c r="I450" i="51"/>
  <c r="K450" i="51" s="1"/>
  <c r="E450" i="51"/>
  <c r="D450" i="51"/>
  <c r="C450" i="51"/>
  <c r="B450" i="51"/>
  <c r="I449" i="51"/>
  <c r="K449" i="51" s="1"/>
  <c r="E449" i="51"/>
  <c r="D449" i="51"/>
  <c r="C449" i="51"/>
  <c r="B449" i="51"/>
  <c r="I448" i="51"/>
  <c r="K448" i="51" s="1"/>
  <c r="E448" i="51"/>
  <c r="D448" i="51"/>
  <c r="C448" i="51"/>
  <c r="B448" i="51"/>
  <c r="I447" i="51"/>
  <c r="K447" i="51" s="1"/>
  <c r="E447" i="51"/>
  <c r="D447" i="51"/>
  <c r="C447" i="51"/>
  <c r="B447" i="51"/>
  <c r="I446" i="51"/>
  <c r="K446" i="51" s="1"/>
  <c r="E446" i="51"/>
  <c r="D446" i="51"/>
  <c r="C446" i="51"/>
  <c r="B446" i="51"/>
  <c r="I445" i="51"/>
  <c r="K445" i="51" s="1"/>
  <c r="E445" i="51"/>
  <c r="D445" i="51"/>
  <c r="C445" i="51"/>
  <c r="B445" i="51"/>
  <c r="I444" i="51"/>
  <c r="K444" i="51" s="1"/>
  <c r="E444" i="51"/>
  <c r="D444" i="51"/>
  <c r="C444" i="51"/>
  <c r="B444" i="51"/>
  <c r="I443" i="51"/>
  <c r="K443" i="51" s="1"/>
  <c r="E443" i="51"/>
  <c r="D443" i="51"/>
  <c r="C443" i="51"/>
  <c r="B443" i="51"/>
  <c r="I442" i="51"/>
  <c r="K442" i="51" s="1"/>
  <c r="E442" i="51"/>
  <c r="D442" i="51"/>
  <c r="C442" i="51"/>
  <c r="B442" i="51"/>
  <c r="I441" i="51"/>
  <c r="K441" i="51" s="1"/>
  <c r="E441" i="51"/>
  <c r="D441" i="51"/>
  <c r="C441" i="51"/>
  <c r="B441" i="51"/>
  <c r="I440" i="51"/>
  <c r="K440" i="51" s="1"/>
  <c r="E440" i="51"/>
  <c r="D440" i="51"/>
  <c r="C440" i="51"/>
  <c r="B440" i="51"/>
  <c r="I439" i="51"/>
  <c r="K439" i="51" s="1"/>
  <c r="E439" i="51"/>
  <c r="D439" i="51"/>
  <c r="C439" i="51"/>
  <c r="B439" i="51"/>
  <c r="I438" i="51"/>
  <c r="K438" i="51" s="1"/>
  <c r="E438" i="51"/>
  <c r="D438" i="51"/>
  <c r="C438" i="51"/>
  <c r="B438" i="51"/>
  <c r="I437" i="51"/>
  <c r="K437" i="51" s="1"/>
  <c r="E437" i="51"/>
  <c r="D437" i="51"/>
  <c r="C437" i="51"/>
  <c r="B437" i="51"/>
  <c r="I436" i="51"/>
  <c r="K436" i="51" s="1"/>
  <c r="E436" i="51"/>
  <c r="D436" i="51"/>
  <c r="C436" i="51"/>
  <c r="B436" i="51"/>
  <c r="I435" i="51"/>
  <c r="K435" i="51" s="1"/>
  <c r="E435" i="51"/>
  <c r="D435" i="51"/>
  <c r="C435" i="51"/>
  <c r="B435" i="51"/>
  <c r="I434" i="51"/>
  <c r="K434" i="51" s="1"/>
  <c r="E434" i="51"/>
  <c r="D434" i="51"/>
  <c r="C434" i="51"/>
  <c r="B434" i="51"/>
  <c r="I433" i="51"/>
  <c r="K433" i="51" s="1"/>
  <c r="E433" i="51"/>
  <c r="D433" i="51"/>
  <c r="C433" i="51"/>
  <c r="B433" i="51"/>
  <c r="I432" i="51"/>
  <c r="K432" i="51" s="1"/>
  <c r="E432" i="51"/>
  <c r="D432" i="51"/>
  <c r="C432" i="51"/>
  <c r="B432" i="51"/>
  <c r="I431" i="51"/>
  <c r="K431" i="51" s="1"/>
  <c r="E431" i="51"/>
  <c r="D431" i="51"/>
  <c r="C431" i="51"/>
  <c r="B431" i="51"/>
  <c r="I430" i="51"/>
  <c r="K430" i="51" s="1"/>
  <c r="E430" i="51"/>
  <c r="D430" i="51"/>
  <c r="C430" i="51"/>
  <c r="B430" i="51"/>
  <c r="I429" i="51"/>
  <c r="K429" i="51" s="1"/>
  <c r="E429" i="51"/>
  <c r="D429" i="51"/>
  <c r="C429" i="51"/>
  <c r="B429" i="51"/>
  <c r="I428" i="51"/>
  <c r="K428" i="51" s="1"/>
  <c r="E428" i="51"/>
  <c r="D428" i="51"/>
  <c r="C428" i="51"/>
  <c r="B428" i="51"/>
  <c r="I427" i="51"/>
  <c r="K427" i="51" s="1"/>
  <c r="E427" i="51"/>
  <c r="D427" i="51"/>
  <c r="C427" i="51"/>
  <c r="B427" i="51"/>
  <c r="I426" i="51"/>
  <c r="K426" i="51" s="1"/>
  <c r="E426" i="51"/>
  <c r="D426" i="51"/>
  <c r="C426" i="51"/>
  <c r="B426" i="51"/>
  <c r="I425" i="51"/>
  <c r="K425" i="51" s="1"/>
  <c r="E425" i="51"/>
  <c r="D425" i="51"/>
  <c r="C425" i="51"/>
  <c r="B425" i="51"/>
  <c r="I424" i="51"/>
  <c r="K424" i="51" s="1"/>
  <c r="E424" i="51"/>
  <c r="D424" i="51"/>
  <c r="C424" i="51"/>
  <c r="B424" i="51"/>
  <c r="I423" i="51"/>
  <c r="K423" i="51" s="1"/>
  <c r="E423" i="51"/>
  <c r="D423" i="51"/>
  <c r="C423" i="51"/>
  <c r="B423" i="51"/>
  <c r="I422" i="51"/>
  <c r="K422" i="51" s="1"/>
  <c r="E422" i="51"/>
  <c r="D422" i="51"/>
  <c r="C422" i="51"/>
  <c r="B422" i="51"/>
  <c r="I421" i="51"/>
  <c r="K421" i="51" s="1"/>
  <c r="E421" i="51"/>
  <c r="D421" i="51"/>
  <c r="C421" i="51"/>
  <c r="B421" i="51"/>
  <c r="I420" i="51"/>
  <c r="K420" i="51" s="1"/>
  <c r="E420" i="51"/>
  <c r="D420" i="51"/>
  <c r="C420" i="51"/>
  <c r="B420" i="51"/>
  <c r="I419" i="51"/>
  <c r="K419" i="51" s="1"/>
  <c r="E419" i="51"/>
  <c r="D419" i="51"/>
  <c r="C419" i="51"/>
  <c r="B419" i="51"/>
  <c r="I418" i="51"/>
  <c r="K418" i="51" s="1"/>
  <c r="E418" i="51"/>
  <c r="D418" i="51"/>
  <c r="C418" i="51"/>
  <c r="B418" i="51"/>
  <c r="I417" i="51"/>
  <c r="K417" i="51" s="1"/>
  <c r="E417" i="51"/>
  <c r="D417" i="51"/>
  <c r="C417" i="51"/>
  <c r="B417" i="51"/>
  <c r="I416" i="51"/>
  <c r="K416" i="51" s="1"/>
  <c r="E416" i="51"/>
  <c r="D416" i="51"/>
  <c r="C416" i="51"/>
  <c r="B416" i="51"/>
  <c r="I415" i="51"/>
  <c r="K415" i="51" s="1"/>
  <c r="E415" i="51"/>
  <c r="D415" i="51"/>
  <c r="C415" i="51"/>
  <c r="B415" i="51"/>
  <c r="I414" i="51"/>
  <c r="K414" i="51" s="1"/>
  <c r="E414" i="51"/>
  <c r="D414" i="51"/>
  <c r="C414" i="51"/>
  <c r="B414" i="51"/>
  <c r="I413" i="51"/>
  <c r="K413" i="51" s="1"/>
  <c r="E413" i="51"/>
  <c r="D413" i="51"/>
  <c r="C413" i="51"/>
  <c r="B413" i="51"/>
  <c r="I412" i="51"/>
  <c r="K412" i="51" s="1"/>
  <c r="E412" i="51"/>
  <c r="D412" i="51"/>
  <c r="C412" i="51"/>
  <c r="B412" i="51"/>
  <c r="I411" i="51"/>
  <c r="K411" i="51" s="1"/>
  <c r="E411" i="51"/>
  <c r="D411" i="51"/>
  <c r="C411" i="51"/>
  <c r="B411" i="51"/>
  <c r="I410" i="51"/>
  <c r="K410" i="51" s="1"/>
  <c r="E410" i="51"/>
  <c r="D410" i="51"/>
  <c r="C410" i="51"/>
  <c r="B410" i="51"/>
  <c r="I409" i="51"/>
  <c r="K409" i="51" s="1"/>
  <c r="E409" i="51"/>
  <c r="D409" i="51"/>
  <c r="C409" i="51"/>
  <c r="B409" i="51"/>
  <c r="I408" i="51"/>
  <c r="K408" i="51" s="1"/>
  <c r="E408" i="51"/>
  <c r="D408" i="51"/>
  <c r="C408" i="51"/>
  <c r="B408" i="51"/>
  <c r="I407" i="51"/>
  <c r="K407" i="51" s="1"/>
  <c r="E407" i="51"/>
  <c r="D407" i="51"/>
  <c r="C407" i="51"/>
  <c r="B407" i="51"/>
  <c r="I406" i="51"/>
  <c r="K406" i="51" s="1"/>
  <c r="E406" i="51"/>
  <c r="D406" i="51"/>
  <c r="C406" i="51"/>
  <c r="B406" i="51"/>
  <c r="I405" i="51"/>
  <c r="K405" i="51" s="1"/>
  <c r="E405" i="51"/>
  <c r="D405" i="51"/>
  <c r="C405" i="51"/>
  <c r="B405" i="51"/>
  <c r="I404" i="51"/>
  <c r="K404" i="51" s="1"/>
  <c r="E404" i="51"/>
  <c r="D404" i="51"/>
  <c r="C404" i="51"/>
  <c r="B404" i="51"/>
  <c r="I403" i="51"/>
  <c r="K403" i="51" s="1"/>
  <c r="E403" i="51"/>
  <c r="D403" i="51"/>
  <c r="C403" i="51"/>
  <c r="B403" i="51"/>
  <c r="I402" i="51"/>
  <c r="K402" i="51" s="1"/>
  <c r="E402" i="51"/>
  <c r="D402" i="51"/>
  <c r="C402" i="51"/>
  <c r="B402" i="51"/>
  <c r="I401" i="51"/>
  <c r="K401" i="51" s="1"/>
  <c r="E401" i="51"/>
  <c r="D401" i="51"/>
  <c r="C401" i="51"/>
  <c r="B401" i="51"/>
  <c r="I400" i="51"/>
  <c r="K400" i="51" s="1"/>
  <c r="E400" i="51"/>
  <c r="D400" i="51"/>
  <c r="C400" i="51"/>
  <c r="B400" i="51"/>
  <c r="I399" i="51"/>
  <c r="K399" i="51" s="1"/>
  <c r="E399" i="51"/>
  <c r="D399" i="51"/>
  <c r="C399" i="51"/>
  <c r="B399" i="51"/>
  <c r="I398" i="51"/>
  <c r="K398" i="51" s="1"/>
  <c r="E398" i="51"/>
  <c r="D398" i="51"/>
  <c r="C398" i="51"/>
  <c r="B398" i="51"/>
  <c r="I397" i="51"/>
  <c r="K397" i="51" s="1"/>
  <c r="E397" i="51"/>
  <c r="D397" i="51"/>
  <c r="C397" i="51"/>
  <c r="B397" i="51"/>
  <c r="I396" i="51"/>
  <c r="K396" i="51" s="1"/>
  <c r="E396" i="51"/>
  <c r="D396" i="51"/>
  <c r="C396" i="51"/>
  <c r="B396" i="51"/>
  <c r="I395" i="51"/>
  <c r="K395" i="51" s="1"/>
  <c r="E395" i="51"/>
  <c r="D395" i="51"/>
  <c r="C395" i="51"/>
  <c r="B395" i="51"/>
  <c r="I394" i="51"/>
  <c r="K394" i="51" s="1"/>
  <c r="E394" i="51"/>
  <c r="D394" i="51"/>
  <c r="C394" i="51"/>
  <c r="B394" i="51"/>
  <c r="I392" i="51"/>
  <c r="K392" i="51" s="1"/>
  <c r="E392" i="51"/>
  <c r="D392" i="51"/>
  <c r="C392" i="51"/>
  <c r="B392" i="51"/>
  <c r="I393" i="51"/>
  <c r="K393" i="51" s="1"/>
  <c r="E393" i="51"/>
  <c r="D393" i="51"/>
  <c r="C393" i="51"/>
  <c r="B393" i="51"/>
  <c r="I391" i="51"/>
  <c r="K391" i="51" s="1"/>
  <c r="E391" i="51"/>
  <c r="D391" i="51"/>
  <c r="C391" i="51"/>
  <c r="B391" i="51"/>
  <c r="I390" i="51"/>
  <c r="K390" i="51" s="1"/>
  <c r="E390" i="51"/>
  <c r="D390" i="51"/>
  <c r="C390" i="51"/>
  <c r="B390" i="51"/>
  <c r="I389" i="51"/>
  <c r="K389" i="51" s="1"/>
  <c r="E389" i="51"/>
  <c r="D389" i="51"/>
  <c r="C389" i="51"/>
  <c r="B389" i="51"/>
  <c r="I388" i="51"/>
  <c r="K388" i="51" s="1"/>
  <c r="E388" i="51"/>
  <c r="D388" i="51"/>
  <c r="C388" i="51"/>
  <c r="B388" i="51"/>
  <c r="I387" i="51"/>
  <c r="K387" i="51" s="1"/>
  <c r="E387" i="51"/>
  <c r="D387" i="51"/>
  <c r="C387" i="51"/>
  <c r="B387" i="51"/>
  <c r="I386" i="51"/>
  <c r="K386" i="51" s="1"/>
  <c r="E386" i="51"/>
  <c r="D386" i="51"/>
  <c r="C386" i="51"/>
  <c r="B386" i="51"/>
  <c r="I385" i="51"/>
  <c r="K385" i="51" s="1"/>
  <c r="E385" i="51"/>
  <c r="D385" i="51"/>
  <c r="C385" i="51"/>
  <c r="B385" i="51"/>
  <c r="I384" i="51"/>
  <c r="K384" i="51" s="1"/>
  <c r="E384" i="51"/>
  <c r="D384" i="51"/>
  <c r="C384" i="51"/>
  <c r="B384" i="51"/>
  <c r="I383" i="51"/>
  <c r="K383" i="51" s="1"/>
  <c r="E383" i="51"/>
  <c r="D383" i="51"/>
  <c r="C383" i="51"/>
  <c r="B383" i="51"/>
  <c r="I382" i="51"/>
  <c r="K382" i="51" s="1"/>
  <c r="E382" i="51"/>
  <c r="D382" i="51"/>
  <c r="C382" i="51"/>
  <c r="B382" i="51"/>
  <c r="I381" i="51"/>
  <c r="K381" i="51" s="1"/>
  <c r="E381" i="51"/>
  <c r="D381" i="51"/>
  <c r="C381" i="51"/>
  <c r="B381" i="51"/>
  <c r="I380" i="51"/>
  <c r="K380" i="51" s="1"/>
  <c r="E380" i="51"/>
  <c r="D380" i="51"/>
  <c r="C380" i="51"/>
  <c r="B380" i="51"/>
  <c r="I379" i="51"/>
  <c r="K379" i="51" s="1"/>
  <c r="E379" i="51"/>
  <c r="D379" i="51"/>
  <c r="C379" i="51"/>
  <c r="B379" i="51"/>
  <c r="I378" i="51"/>
  <c r="K378" i="51" s="1"/>
  <c r="E378" i="51"/>
  <c r="D378" i="51"/>
  <c r="C378" i="51"/>
  <c r="B378" i="51"/>
  <c r="I377" i="51"/>
  <c r="K377" i="51" s="1"/>
  <c r="E377" i="51"/>
  <c r="D377" i="51"/>
  <c r="C377" i="51"/>
  <c r="B377" i="51"/>
  <c r="I376" i="51"/>
  <c r="K376" i="51" s="1"/>
  <c r="E376" i="51"/>
  <c r="D376" i="51"/>
  <c r="C376" i="51"/>
  <c r="B376" i="51"/>
  <c r="I375" i="51"/>
  <c r="K375" i="51" s="1"/>
  <c r="E375" i="51"/>
  <c r="D375" i="51"/>
  <c r="C375" i="51"/>
  <c r="B375" i="51"/>
  <c r="I374" i="51"/>
  <c r="K374" i="51" s="1"/>
  <c r="E374" i="51"/>
  <c r="D374" i="51"/>
  <c r="C374" i="51"/>
  <c r="B374" i="51"/>
  <c r="I373" i="51"/>
  <c r="K373" i="51" s="1"/>
  <c r="E373" i="51"/>
  <c r="D373" i="51"/>
  <c r="C373" i="51"/>
  <c r="B373" i="51"/>
  <c r="I372" i="51"/>
  <c r="K372" i="51" s="1"/>
  <c r="E372" i="51"/>
  <c r="D372" i="51"/>
  <c r="C372" i="51"/>
  <c r="B372" i="51"/>
  <c r="I371" i="51"/>
  <c r="K371" i="51" s="1"/>
  <c r="E371" i="51"/>
  <c r="D371" i="51"/>
  <c r="C371" i="51"/>
  <c r="B371" i="51"/>
  <c r="I370" i="51"/>
  <c r="K370" i="51" s="1"/>
  <c r="E370" i="51"/>
  <c r="D370" i="51"/>
  <c r="C370" i="51"/>
  <c r="B370" i="51"/>
  <c r="I369" i="51"/>
  <c r="K369" i="51" s="1"/>
  <c r="E369" i="51"/>
  <c r="D369" i="51"/>
  <c r="C369" i="51"/>
  <c r="B369" i="51"/>
  <c r="I368" i="51"/>
  <c r="K368" i="51" s="1"/>
  <c r="E368" i="51"/>
  <c r="D368" i="51"/>
  <c r="C368" i="51"/>
  <c r="B368" i="51"/>
  <c r="I367" i="51"/>
  <c r="K367" i="51" s="1"/>
  <c r="E367" i="51"/>
  <c r="D367" i="51"/>
  <c r="C367" i="51"/>
  <c r="B367" i="51"/>
  <c r="I366" i="51"/>
  <c r="K366" i="51" s="1"/>
  <c r="E366" i="51"/>
  <c r="D366" i="51"/>
  <c r="C366" i="51"/>
  <c r="B366" i="51"/>
  <c r="I365" i="51"/>
  <c r="K365" i="51" s="1"/>
  <c r="E365" i="51"/>
  <c r="D365" i="51"/>
  <c r="C365" i="51"/>
  <c r="B365" i="51"/>
  <c r="I364" i="51"/>
  <c r="K364" i="51" s="1"/>
  <c r="E364" i="51"/>
  <c r="D364" i="51"/>
  <c r="C364" i="51"/>
  <c r="B364" i="51"/>
  <c r="I363" i="51"/>
  <c r="K363" i="51" s="1"/>
  <c r="E363" i="51"/>
  <c r="D363" i="51"/>
  <c r="C363" i="51"/>
  <c r="B363" i="51"/>
  <c r="I362" i="51"/>
  <c r="K362" i="51" s="1"/>
  <c r="E362" i="51"/>
  <c r="D362" i="51"/>
  <c r="C362" i="51"/>
  <c r="B362" i="51"/>
  <c r="I361" i="51"/>
  <c r="K361" i="51" s="1"/>
  <c r="E361" i="51"/>
  <c r="D361" i="51"/>
  <c r="C361" i="51"/>
  <c r="B361" i="51"/>
  <c r="I360" i="51"/>
  <c r="K360" i="51" s="1"/>
  <c r="E360" i="51"/>
  <c r="D360" i="51"/>
  <c r="C360" i="51"/>
  <c r="B360" i="51"/>
  <c r="I359" i="51"/>
  <c r="K359" i="51" s="1"/>
  <c r="E359" i="51"/>
  <c r="D359" i="51"/>
  <c r="C359" i="51"/>
  <c r="B359" i="51"/>
  <c r="I358" i="51"/>
  <c r="K358" i="51" s="1"/>
  <c r="E358" i="51"/>
  <c r="D358" i="51"/>
  <c r="C358" i="51"/>
  <c r="B358" i="51"/>
  <c r="I357" i="51"/>
  <c r="K357" i="51" s="1"/>
  <c r="E357" i="51"/>
  <c r="D357" i="51"/>
  <c r="C357" i="51"/>
  <c r="B357" i="51"/>
  <c r="I356" i="51"/>
  <c r="K356" i="51" s="1"/>
  <c r="E356" i="51"/>
  <c r="D356" i="51"/>
  <c r="C356" i="51"/>
  <c r="B356" i="51"/>
  <c r="I355" i="51"/>
  <c r="K355" i="51" s="1"/>
  <c r="E355" i="51"/>
  <c r="D355" i="51"/>
  <c r="C355" i="51"/>
  <c r="B355" i="51"/>
  <c r="I354" i="51"/>
  <c r="K354" i="51" s="1"/>
  <c r="E354" i="51"/>
  <c r="D354" i="51"/>
  <c r="C354" i="51"/>
  <c r="B354" i="51"/>
  <c r="I353" i="51"/>
  <c r="K353" i="51" s="1"/>
  <c r="E353" i="51"/>
  <c r="D353" i="51"/>
  <c r="C353" i="51"/>
  <c r="B353" i="51"/>
  <c r="I352" i="51"/>
  <c r="K352" i="51" s="1"/>
  <c r="E352" i="51"/>
  <c r="D352" i="51"/>
  <c r="C352" i="51"/>
  <c r="B352" i="51"/>
  <c r="I351" i="51"/>
  <c r="K351" i="51" s="1"/>
  <c r="E351" i="51"/>
  <c r="D351" i="51"/>
  <c r="C351" i="51"/>
  <c r="B351" i="51"/>
  <c r="I350" i="51"/>
  <c r="K350" i="51" s="1"/>
  <c r="E350" i="51"/>
  <c r="D350" i="51"/>
  <c r="C350" i="51"/>
  <c r="B350" i="51"/>
  <c r="I349" i="51"/>
  <c r="K349" i="51" s="1"/>
  <c r="E349" i="51"/>
  <c r="D349" i="51"/>
  <c r="C349" i="51"/>
  <c r="B349" i="51"/>
  <c r="I348" i="51"/>
  <c r="K348" i="51" s="1"/>
  <c r="E348" i="51"/>
  <c r="D348" i="51"/>
  <c r="C348" i="51"/>
  <c r="B348" i="51"/>
  <c r="I347" i="51"/>
  <c r="K347" i="51" s="1"/>
  <c r="E347" i="51"/>
  <c r="D347" i="51"/>
  <c r="C347" i="51"/>
  <c r="B347" i="51"/>
  <c r="I346" i="51"/>
  <c r="K346" i="51" s="1"/>
  <c r="E346" i="51"/>
  <c r="D346" i="51"/>
  <c r="C346" i="51"/>
  <c r="B346" i="51"/>
  <c r="I345" i="51"/>
  <c r="K345" i="51" s="1"/>
  <c r="E345" i="51"/>
  <c r="D345" i="51"/>
  <c r="C345" i="51"/>
  <c r="B345" i="51"/>
  <c r="I344" i="51"/>
  <c r="K344" i="51" s="1"/>
  <c r="E344" i="51"/>
  <c r="D344" i="51"/>
  <c r="C344" i="51"/>
  <c r="B344" i="51"/>
  <c r="I343" i="51"/>
  <c r="K343" i="51" s="1"/>
  <c r="E343" i="51"/>
  <c r="D343" i="51"/>
  <c r="C343" i="51"/>
  <c r="B343" i="51"/>
  <c r="I342" i="51"/>
  <c r="K342" i="51" s="1"/>
  <c r="E342" i="51"/>
  <c r="D342" i="51"/>
  <c r="C342" i="51"/>
  <c r="B342" i="51"/>
  <c r="I341" i="51"/>
  <c r="K341" i="51" s="1"/>
  <c r="E341" i="51"/>
  <c r="D341" i="51"/>
  <c r="C341" i="51"/>
  <c r="B341" i="51"/>
  <c r="I340" i="51"/>
  <c r="K340" i="51" s="1"/>
  <c r="E340" i="51"/>
  <c r="D340" i="51"/>
  <c r="C340" i="51"/>
  <c r="B340" i="51"/>
  <c r="I339" i="51"/>
  <c r="K339" i="51" s="1"/>
  <c r="E339" i="51"/>
  <c r="D339" i="51"/>
  <c r="C339" i="51"/>
  <c r="B339" i="51"/>
  <c r="I338" i="51"/>
  <c r="K338" i="51" s="1"/>
  <c r="E338" i="51"/>
  <c r="D338" i="51"/>
  <c r="C338" i="51"/>
  <c r="B338" i="51"/>
  <c r="I337" i="51"/>
  <c r="K337" i="51" s="1"/>
  <c r="E337" i="51"/>
  <c r="D337" i="51"/>
  <c r="C337" i="51"/>
  <c r="B337" i="51"/>
  <c r="I336" i="51"/>
  <c r="K336" i="51" s="1"/>
  <c r="E336" i="51"/>
  <c r="D336" i="51"/>
  <c r="C336" i="51"/>
  <c r="B336" i="51"/>
  <c r="I335" i="51"/>
  <c r="K335" i="51" s="1"/>
  <c r="E335" i="51"/>
  <c r="D335" i="51"/>
  <c r="C335" i="51"/>
  <c r="B335" i="51"/>
  <c r="I334" i="51"/>
  <c r="K334" i="51" s="1"/>
  <c r="E334" i="51"/>
  <c r="D334" i="51"/>
  <c r="C334" i="51"/>
  <c r="B334" i="51"/>
  <c r="I333" i="51"/>
  <c r="K333" i="51" s="1"/>
  <c r="E333" i="51"/>
  <c r="D333" i="51"/>
  <c r="C333" i="51"/>
  <c r="B333" i="51"/>
  <c r="I332" i="51"/>
  <c r="K332" i="51" s="1"/>
  <c r="E332" i="51"/>
  <c r="D332" i="51"/>
  <c r="C332" i="51"/>
  <c r="B332" i="51"/>
  <c r="I331" i="51"/>
  <c r="K331" i="51" s="1"/>
  <c r="E331" i="51"/>
  <c r="D331" i="51"/>
  <c r="C331" i="51"/>
  <c r="B331" i="51"/>
  <c r="I330" i="51"/>
  <c r="K330" i="51" s="1"/>
  <c r="E330" i="51"/>
  <c r="D330" i="51"/>
  <c r="C330" i="51"/>
  <c r="B330" i="51"/>
  <c r="I329" i="51"/>
  <c r="K329" i="51" s="1"/>
  <c r="E329" i="51"/>
  <c r="D329" i="51"/>
  <c r="C329" i="51"/>
  <c r="B329" i="51"/>
  <c r="I328" i="51"/>
  <c r="K328" i="51" s="1"/>
  <c r="E328" i="51"/>
  <c r="D328" i="51"/>
  <c r="C328" i="51"/>
  <c r="B328" i="51"/>
  <c r="I327" i="51"/>
  <c r="K327" i="51" s="1"/>
  <c r="E327" i="51"/>
  <c r="D327" i="51"/>
  <c r="C327" i="51"/>
  <c r="B327" i="51"/>
  <c r="I326" i="51"/>
  <c r="K326" i="51" s="1"/>
  <c r="E326" i="51"/>
  <c r="D326" i="51"/>
  <c r="C326" i="51"/>
  <c r="B326" i="51"/>
  <c r="I325" i="51"/>
  <c r="K325" i="51" s="1"/>
  <c r="E325" i="51"/>
  <c r="D325" i="51"/>
  <c r="C325" i="51"/>
  <c r="B325" i="51"/>
  <c r="I324" i="51"/>
  <c r="K324" i="51" s="1"/>
  <c r="E324" i="51"/>
  <c r="D324" i="51"/>
  <c r="C324" i="51"/>
  <c r="B324" i="51"/>
  <c r="I323" i="51"/>
  <c r="K323" i="51" s="1"/>
  <c r="E323" i="51"/>
  <c r="D323" i="51"/>
  <c r="C323" i="51"/>
  <c r="B323" i="51"/>
  <c r="I322" i="51"/>
  <c r="K322" i="51" s="1"/>
  <c r="E322" i="51"/>
  <c r="D322" i="51"/>
  <c r="C322" i="51"/>
  <c r="B322" i="51"/>
  <c r="I321" i="51"/>
  <c r="K321" i="51" s="1"/>
  <c r="E321" i="51"/>
  <c r="D321" i="51"/>
  <c r="C321" i="51"/>
  <c r="B321" i="51"/>
  <c r="I320" i="51"/>
  <c r="K320" i="51" s="1"/>
  <c r="E320" i="51"/>
  <c r="D320" i="51"/>
  <c r="C320" i="51"/>
  <c r="B320" i="51"/>
  <c r="I319" i="51"/>
  <c r="K319" i="51" s="1"/>
  <c r="E319" i="51"/>
  <c r="D319" i="51"/>
  <c r="C319" i="51"/>
  <c r="B319" i="51"/>
  <c r="I318" i="51"/>
  <c r="K318" i="51" s="1"/>
  <c r="E318" i="51"/>
  <c r="D318" i="51"/>
  <c r="C318" i="51"/>
  <c r="B318" i="51"/>
  <c r="I317" i="51"/>
  <c r="K317" i="51" s="1"/>
  <c r="E317" i="51"/>
  <c r="D317" i="51"/>
  <c r="C317" i="51"/>
  <c r="B317" i="51"/>
  <c r="I316" i="51"/>
  <c r="K316" i="51" s="1"/>
  <c r="E316" i="51"/>
  <c r="D316" i="51"/>
  <c r="C316" i="51"/>
  <c r="B316" i="51"/>
  <c r="I315" i="51"/>
  <c r="K315" i="51" s="1"/>
  <c r="E315" i="51"/>
  <c r="D315" i="51"/>
  <c r="C315" i="51"/>
  <c r="B315" i="51"/>
  <c r="I314" i="51"/>
  <c r="K314" i="51" s="1"/>
  <c r="E314" i="51"/>
  <c r="D314" i="51"/>
  <c r="C314" i="51"/>
  <c r="B314" i="51"/>
  <c r="I313" i="51"/>
  <c r="K313" i="51" s="1"/>
  <c r="E313" i="51"/>
  <c r="D313" i="51"/>
  <c r="C313" i="51"/>
  <c r="B313" i="51"/>
  <c r="I312" i="51"/>
  <c r="K312" i="51" s="1"/>
  <c r="E312" i="51"/>
  <c r="D312" i="51"/>
  <c r="C312" i="51"/>
  <c r="B312" i="51"/>
  <c r="I311" i="51"/>
  <c r="K311" i="51" s="1"/>
  <c r="E311" i="51"/>
  <c r="D311" i="51"/>
  <c r="C311" i="51"/>
  <c r="B311" i="51"/>
  <c r="I310" i="51"/>
  <c r="K310" i="51" s="1"/>
  <c r="E310" i="51"/>
  <c r="D310" i="51"/>
  <c r="C310" i="51"/>
  <c r="B310" i="51"/>
  <c r="I309" i="51"/>
  <c r="K309" i="51" s="1"/>
  <c r="E309" i="51"/>
  <c r="D309" i="51"/>
  <c r="C309" i="51"/>
  <c r="B309" i="51"/>
  <c r="I308" i="51"/>
  <c r="K308" i="51" s="1"/>
  <c r="E308" i="51"/>
  <c r="D308" i="51"/>
  <c r="C308" i="51"/>
  <c r="B308" i="51"/>
  <c r="I307" i="51"/>
  <c r="K307" i="51" s="1"/>
  <c r="E307" i="51"/>
  <c r="D307" i="51"/>
  <c r="C307" i="51"/>
  <c r="B307" i="51"/>
  <c r="I306" i="51"/>
  <c r="K306" i="51" s="1"/>
  <c r="E306" i="51"/>
  <c r="D306" i="51"/>
  <c r="C306" i="51"/>
  <c r="B306" i="51"/>
  <c r="I305" i="51"/>
  <c r="K305" i="51" s="1"/>
  <c r="E305" i="51"/>
  <c r="D305" i="51"/>
  <c r="C305" i="51"/>
  <c r="B305" i="51"/>
  <c r="I304" i="51"/>
  <c r="K304" i="51" s="1"/>
  <c r="E304" i="51"/>
  <c r="D304" i="51"/>
  <c r="C304" i="51"/>
  <c r="B304" i="51"/>
  <c r="I303" i="51"/>
  <c r="K303" i="51" s="1"/>
  <c r="E303" i="51"/>
  <c r="D303" i="51"/>
  <c r="C303" i="51"/>
  <c r="B303" i="51"/>
  <c r="I302" i="51"/>
  <c r="K302" i="51" s="1"/>
  <c r="E302" i="51"/>
  <c r="D302" i="51"/>
  <c r="C302" i="51"/>
  <c r="B302" i="51"/>
  <c r="I301" i="51"/>
  <c r="K301" i="51" s="1"/>
  <c r="E301" i="51"/>
  <c r="D301" i="51"/>
  <c r="C301" i="51"/>
  <c r="B301" i="51"/>
  <c r="I300" i="51"/>
  <c r="K300" i="51" s="1"/>
  <c r="E300" i="51"/>
  <c r="D300" i="51"/>
  <c r="C300" i="51"/>
  <c r="B300" i="51"/>
  <c r="I299" i="51"/>
  <c r="K299" i="51" s="1"/>
  <c r="E299" i="51"/>
  <c r="D299" i="51"/>
  <c r="C299" i="51"/>
  <c r="B299" i="51"/>
  <c r="I298" i="51"/>
  <c r="K298" i="51" s="1"/>
  <c r="E298" i="51"/>
  <c r="D298" i="51"/>
  <c r="C298" i="51"/>
  <c r="B298" i="51"/>
  <c r="I297" i="51"/>
  <c r="K297" i="51" s="1"/>
  <c r="E297" i="51"/>
  <c r="D297" i="51"/>
  <c r="C297" i="51"/>
  <c r="B297" i="51"/>
  <c r="I296" i="51"/>
  <c r="K296" i="51" s="1"/>
  <c r="E296" i="51"/>
  <c r="D296" i="51"/>
  <c r="C296" i="51"/>
  <c r="B296" i="51"/>
  <c r="I295" i="51"/>
  <c r="K295" i="51" s="1"/>
  <c r="E295" i="51"/>
  <c r="D295" i="51"/>
  <c r="C295" i="51"/>
  <c r="B295" i="51"/>
  <c r="I294" i="51"/>
  <c r="K294" i="51" s="1"/>
  <c r="E294" i="51"/>
  <c r="D294" i="51"/>
  <c r="C294" i="51"/>
  <c r="B294" i="51"/>
  <c r="I293" i="51"/>
  <c r="K293" i="51" s="1"/>
  <c r="E293" i="51"/>
  <c r="D293" i="51"/>
  <c r="C293" i="51"/>
  <c r="B293" i="51"/>
  <c r="I292" i="51"/>
  <c r="K292" i="51" s="1"/>
  <c r="E292" i="51"/>
  <c r="D292" i="51"/>
  <c r="C292" i="51"/>
  <c r="B292" i="51"/>
  <c r="I291" i="51"/>
  <c r="K291" i="51" s="1"/>
  <c r="E291" i="51"/>
  <c r="D291" i="51"/>
  <c r="C291" i="51"/>
  <c r="B291" i="51"/>
  <c r="I290" i="51"/>
  <c r="K290" i="51" s="1"/>
  <c r="E290" i="51"/>
  <c r="D290" i="51"/>
  <c r="C290" i="51"/>
  <c r="B290" i="51"/>
  <c r="I289" i="51"/>
  <c r="K289" i="51" s="1"/>
  <c r="E289" i="51"/>
  <c r="D289" i="51"/>
  <c r="C289" i="51"/>
  <c r="B289" i="51"/>
  <c r="I288" i="51"/>
  <c r="K288" i="51" s="1"/>
  <c r="E288" i="51"/>
  <c r="D288" i="51"/>
  <c r="C288" i="51"/>
  <c r="B288" i="51"/>
  <c r="I287" i="51"/>
  <c r="K287" i="51" s="1"/>
  <c r="E287" i="51"/>
  <c r="D287" i="51"/>
  <c r="C287" i="51"/>
  <c r="B287" i="51"/>
  <c r="I286" i="51"/>
  <c r="K286" i="51" s="1"/>
  <c r="E286" i="51"/>
  <c r="D286" i="51"/>
  <c r="C286" i="51"/>
  <c r="B286" i="51"/>
  <c r="I285" i="51"/>
  <c r="K285" i="51" s="1"/>
  <c r="E285" i="51"/>
  <c r="D285" i="51"/>
  <c r="C285" i="51"/>
  <c r="B285" i="51"/>
  <c r="I284" i="51"/>
  <c r="K284" i="51" s="1"/>
  <c r="E284" i="51"/>
  <c r="D284" i="51"/>
  <c r="C284" i="51"/>
  <c r="B284" i="51"/>
  <c r="I283" i="51"/>
  <c r="K283" i="51" s="1"/>
  <c r="E283" i="51"/>
  <c r="D283" i="51"/>
  <c r="C283" i="51"/>
  <c r="B283" i="51"/>
  <c r="I282" i="51"/>
  <c r="K282" i="51" s="1"/>
  <c r="E282" i="51"/>
  <c r="D282" i="51"/>
  <c r="C282" i="51"/>
  <c r="B282" i="51"/>
  <c r="I281" i="51"/>
  <c r="K281" i="51" s="1"/>
  <c r="E281" i="51"/>
  <c r="D281" i="51"/>
  <c r="C281" i="51"/>
  <c r="B281" i="51"/>
  <c r="I280" i="51"/>
  <c r="K280" i="51" s="1"/>
  <c r="E280" i="51"/>
  <c r="D280" i="51"/>
  <c r="C280" i="51"/>
  <c r="B280" i="51"/>
  <c r="I279" i="51"/>
  <c r="K279" i="51" s="1"/>
  <c r="E279" i="51"/>
  <c r="D279" i="51"/>
  <c r="C279" i="51"/>
  <c r="B279" i="51"/>
  <c r="I278" i="51"/>
  <c r="K278" i="51" s="1"/>
  <c r="E278" i="51"/>
  <c r="D278" i="51"/>
  <c r="C278" i="51"/>
  <c r="B278" i="51"/>
  <c r="I277" i="51"/>
  <c r="K277" i="51" s="1"/>
  <c r="E277" i="51"/>
  <c r="D277" i="51"/>
  <c r="C277" i="51"/>
  <c r="B277" i="51"/>
  <c r="I276" i="51"/>
  <c r="K276" i="51" s="1"/>
  <c r="E276" i="51"/>
  <c r="D276" i="51"/>
  <c r="C276" i="51"/>
  <c r="B276" i="51"/>
  <c r="I275" i="51"/>
  <c r="K275" i="51" s="1"/>
  <c r="E275" i="51"/>
  <c r="D275" i="51"/>
  <c r="C275" i="51"/>
  <c r="B275" i="51"/>
  <c r="I274" i="51"/>
  <c r="K274" i="51" s="1"/>
  <c r="E274" i="51"/>
  <c r="D274" i="51"/>
  <c r="C274" i="51"/>
  <c r="B274" i="51"/>
  <c r="I273" i="51"/>
  <c r="K273" i="51" s="1"/>
  <c r="E273" i="51"/>
  <c r="D273" i="51"/>
  <c r="C273" i="51"/>
  <c r="B273" i="51"/>
  <c r="I272" i="51"/>
  <c r="K272" i="51" s="1"/>
  <c r="E272" i="51"/>
  <c r="D272" i="51"/>
  <c r="C272" i="51"/>
  <c r="B272" i="51"/>
  <c r="I271" i="51"/>
  <c r="K271" i="51" s="1"/>
  <c r="E271" i="51"/>
  <c r="D271" i="51"/>
  <c r="C271" i="51"/>
  <c r="B271" i="51"/>
  <c r="I270" i="51"/>
  <c r="K270" i="51" s="1"/>
  <c r="E270" i="51"/>
  <c r="D270" i="51"/>
  <c r="C270" i="51"/>
  <c r="B270" i="51"/>
  <c r="I269" i="51"/>
  <c r="K269" i="51" s="1"/>
  <c r="E269" i="51"/>
  <c r="D269" i="51"/>
  <c r="C269" i="51"/>
  <c r="B269" i="51"/>
  <c r="I268" i="51"/>
  <c r="K268" i="51" s="1"/>
  <c r="E268" i="51"/>
  <c r="D268" i="51"/>
  <c r="C268" i="51"/>
  <c r="B268" i="51"/>
  <c r="I267" i="51"/>
  <c r="K267" i="51" s="1"/>
  <c r="E267" i="51"/>
  <c r="D267" i="51"/>
  <c r="C267" i="51"/>
  <c r="B267" i="51"/>
  <c r="I266" i="51"/>
  <c r="K266" i="51" s="1"/>
  <c r="E266" i="51"/>
  <c r="D266" i="51"/>
  <c r="C266" i="51"/>
  <c r="B266" i="51"/>
  <c r="I265" i="51"/>
  <c r="K265" i="51" s="1"/>
  <c r="E265" i="51"/>
  <c r="D265" i="51"/>
  <c r="C265" i="51"/>
  <c r="B265" i="51"/>
  <c r="I264" i="51"/>
  <c r="K264" i="51" s="1"/>
  <c r="E264" i="51"/>
  <c r="D264" i="51"/>
  <c r="C264" i="51"/>
  <c r="B264" i="51"/>
  <c r="I262" i="51"/>
  <c r="K262" i="51" s="1"/>
  <c r="E262" i="51"/>
  <c r="D262" i="51"/>
  <c r="C262" i="51"/>
  <c r="B262" i="51"/>
  <c r="I261" i="51"/>
  <c r="K261" i="51" s="1"/>
  <c r="E261" i="51"/>
  <c r="D261" i="51"/>
  <c r="C261" i="51"/>
  <c r="B261" i="51"/>
  <c r="I260" i="51"/>
  <c r="K260" i="51" s="1"/>
  <c r="E260" i="51"/>
  <c r="D260" i="51"/>
  <c r="C260" i="51"/>
  <c r="B260" i="51"/>
  <c r="I259" i="51"/>
  <c r="K259" i="51" s="1"/>
  <c r="E259" i="51"/>
  <c r="D259" i="51"/>
  <c r="C259" i="51"/>
  <c r="B259" i="51"/>
  <c r="I258" i="51"/>
  <c r="K258" i="51" s="1"/>
  <c r="E258" i="51"/>
  <c r="D258" i="51"/>
  <c r="C258" i="51"/>
  <c r="B258" i="51"/>
  <c r="I257" i="51"/>
  <c r="K257" i="51" s="1"/>
  <c r="E257" i="51"/>
  <c r="D257" i="51"/>
  <c r="C257" i="51"/>
  <c r="B257" i="51"/>
  <c r="I256" i="51"/>
  <c r="K256" i="51" s="1"/>
  <c r="E256" i="51"/>
  <c r="D256" i="51"/>
  <c r="C256" i="51"/>
  <c r="B256" i="51"/>
  <c r="I255" i="51"/>
  <c r="K255" i="51" s="1"/>
  <c r="E255" i="51"/>
  <c r="D255" i="51"/>
  <c r="C255" i="51"/>
  <c r="B255" i="51"/>
  <c r="I254" i="51"/>
  <c r="K254" i="51" s="1"/>
  <c r="E254" i="51"/>
  <c r="D254" i="51"/>
  <c r="C254" i="51"/>
  <c r="B254" i="51"/>
  <c r="I253" i="51"/>
  <c r="K253" i="51" s="1"/>
  <c r="E253" i="51"/>
  <c r="D253" i="51"/>
  <c r="C253" i="51"/>
  <c r="B253" i="51"/>
  <c r="I252" i="51"/>
  <c r="K252" i="51" s="1"/>
  <c r="E252" i="51"/>
  <c r="D252" i="51"/>
  <c r="C252" i="51"/>
  <c r="B252" i="51"/>
  <c r="I251" i="51"/>
  <c r="K251" i="51" s="1"/>
  <c r="E251" i="51"/>
  <c r="D251" i="51"/>
  <c r="C251" i="51"/>
  <c r="B251" i="51"/>
  <c r="I250" i="51"/>
  <c r="K250" i="51" s="1"/>
  <c r="E250" i="51"/>
  <c r="D250" i="51"/>
  <c r="C250" i="51"/>
  <c r="B250" i="51"/>
  <c r="I249" i="51"/>
  <c r="K249" i="51" s="1"/>
  <c r="E249" i="51"/>
  <c r="D249" i="51"/>
  <c r="C249" i="51"/>
  <c r="B249" i="51"/>
  <c r="I248" i="51"/>
  <c r="K248" i="51" s="1"/>
  <c r="E248" i="51"/>
  <c r="D248" i="51"/>
  <c r="C248" i="51"/>
  <c r="B248" i="51"/>
  <c r="I247" i="51"/>
  <c r="K247" i="51" s="1"/>
  <c r="E247" i="51"/>
  <c r="D247" i="51"/>
  <c r="C247" i="51"/>
  <c r="B247" i="51"/>
  <c r="I246" i="51"/>
  <c r="K246" i="51" s="1"/>
  <c r="E246" i="51"/>
  <c r="D246" i="51"/>
  <c r="C246" i="51"/>
  <c r="B246" i="51"/>
  <c r="I245" i="51"/>
  <c r="K245" i="51" s="1"/>
  <c r="E245" i="51"/>
  <c r="D245" i="51"/>
  <c r="C245" i="51"/>
  <c r="B245" i="51"/>
  <c r="I244" i="51"/>
  <c r="K244" i="51" s="1"/>
  <c r="E244" i="51"/>
  <c r="D244" i="51"/>
  <c r="C244" i="51"/>
  <c r="B244" i="51"/>
  <c r="I243" i="51"/>
  <c r="K243" i="51" s="1"/>
  <c r="E243" i="51"/>
  <c r="D243" i="51"/>
  <c r="C243" i="51"/>
  <c r="B243" i="51"/>
  <c r="I242" i="51"/>
  <c r="K242" i="51" s="1"/>
  <c r="E242" i="51"/>
  <c r="D242" i="51"/>
  <c r="C242" i="51"/>
  <c r="B242" i="51"/>
  <c r="I241" i="51"/>
  <c r="K241" i="51" s="1"/>
  <c r="E241" i="51"/>
  <c r="D241" i="51"/>
  <c r="C241" i="51"/>
  <c r="B241" i="51"/>
  <c r="I240" i="51"/>
  <c r="K240" i="51" s="1"/>
  <c r="E240" i="51"/>
  <c r="D240" i="51"/>
  <c r="C240" i="51"/>
  <c r="B240" i="51"/>
  <c r="I239" i="51"/>
  <c r="K239" i="51" s="1"/>
  <c r="E239" i="51"/>
  <c r="D239" i="51"/>
  <c r="C239" i="51"/>
  <c r="B239" i="51"/>
  <c r="I238" i="51"/>
  <c r="K238" i="51" s="1"/>
  <c r="E238" i="51"/>
  <c r="D238" i="51"/>
  <c r="C238" i="51"/>
  <c r="B238" i="51"/>
  <c r="I237" i="51"/>
  <c r="K237" i="51" s="1"/>
  <c r="E237" i="51"/>
  <c r="D237" i="51"/>
  <c r="C237" i="51"/>
  <c r="B237" i="51"/>
  <c r="I236" i="51"/>
  <c r="K236" i="51" s="1"/>
  <c r="E236" i="51"/>
  <c r="D236" i="51"/>
  <c r="C236" i="51"/>
  <c r="B236" i="51"/>
  <c r="I235" i="51"/>
  <c r="K235" i="51" s="1"/>
  <c r="E235" i="51"/>
  <c r="D235" i="51"/>
  <c r="C235" i="51"/>
  <c r="B235" i="51"/>
  <c r="I234" i="51"/>
  <c r="K234" i="51" s="1"/>
  <c r="E234" i="51"/>
  <c r="D234" i="51"/>
  <c r="C234" i="51"/>
  <c r="B234" i="51"/>
  <c r="I233" i="51"/>
  <c r="K233" i="51" s="1"/>
  <c r="E233" i="51"/>
  <c r="D233" i="51"/>
  <c r="C233" i="51"/>
  <c r="B233" i="51"/>
  <c r="I232" i="51"/>
  <c r="K232" i="51" s="1"/>
  <c r="E232" i="51"/>
  <c r="D232" i="51"/>
  <c r="C232" i="51"/>
  <c r="B232" i="51"/>
  <c r="I231" i="51"/>
  <c r="K231" i="51" s="1"/>
  <c r="E231" i="51"/>
  <c r="D231" i="51"/>
  <c r="C231" i="51"/>
  <c r="B231" i="51"/>
  <c r="I230" i="51"/>
  <c r="K230" i="51" s="1"/>
  <c r="E230" i="51"/>
  <c r="D230" i="51"/>
  <c r="C230" i="51"/>
  <c r="B230" i="51"/>
  <c r="I229" i="51"/>
  <c r="K229" i="51" s="1"/>
  <c r="E229" i="51"/>
  <c r="D229" i="51"/>
  <c r="C229" i="51"/>
  <c r="B229" i="51"/>
  <c r="I228" i="51"/>
  <c r="K228" i="51" s="1"/>
  <c r="E228" i="51"/>
  <c r="D228" i="51"/>
  <c r="C228" i="51"/>
  <c r="B228" i="51"/>
  <c r="I227" i="51"/>
  <c r="K227" i="51" s="1"/>
  <c r="E227" i="51"/>
  <c r="D227" i="51"/>
  <c r="C227" i="51"/>
  <c r="B227" i="51"/>
  <c r="I226" i="51"/>
  <c r="K226" i="51" s="1"/>
  <c r="E226" i="51"/>
  <c r="D226" i="51"/>
  <c r="C226" i="51"/>
  <c r="B226" i="51"/>
  <c r="I225" i="51"/>
  <c r="K225" i="51" s="1"/>
  <c r="E225" i="51"/>
  <c r="D225" i="51"/>
  <c r="C225" i="51"/>
  <c r="B225" i="51"/>
  <c r="I224" i="51"/>
  <c r="K224" i="51" s="1"/>
  <c r="E224" i="51"/>
  <c r="D224" i="51"/>
  <c r="C224" i="51"/>
  <c r="B224" i="51"/>
  <c r="I223" i="51"/>
  <c r="K223" i="51" s="1"/>
  <c r="E223" i="51"/>
  <c r="D223" i="51"/>
  <c r="C223" i="51"/>
  <c r="B223" i="51"/>
  <c r="I222" i="51"/>
  <c r="K222" i="51" s="1"/>
  <c r="E222" i="51"/>
  <c r="D222" i="51"/>
  <c r="C222" i="51"/>
  <c r="B222" i="51"/>
  <c r="I221" i="51"/>
  <c r="K221" i="51" s="1"/>
  <c r="E221" i="51"/>
  <c r="D221" i="51"/>
  <c r="C221" i="51"/>
  <c r="B221" i="51"/>
  <c r="I220" i="51"/>
  <c r="K220" i="51" s="1"/>
  <c r="E220" i="51"/>
  <c r="D220" i="51"/>
  <c r="C220" i="51"/>
  <c r="B220" i="51"/>
  <c r="I219" i="51"/>
  <c r="K219" i="51" s="1"/>
  <c r="E219" i="51"/>
  <c r="D219" i="51"/>
  <c r="C219" i="51"/>
  <c r="B219" i="51"/>
  <c r="I218" i="51"/>
  <c r="K218" i="51" s="1"/>
  <c r="E218" i="51"/>
  <c r="D218" i="51"/>
  <c r="C218" i="51"/>
  <c r="B218" i="51"/>
  <c r="I217" i="51"/>
  <c r="K217" i="51" s="1"/>
  <c r="E217" i="51"/>
  <c r="D217" i="51"/>
  <c r="C217" i="51"/>
  <c r="B217" i="51"/>
  <c r="I216" i="51"/>
  <c r="K216" i="51" s="1"/>
  <c r="E216" i="51"/>
  <c r="D216" i="51"/>
  <c r="C216" i="51"/>
  <c r="B216" i="51"/>
  <c r="I215" i="51"/>
  <c r="K215" i="51" s="1"/>
  <c r="E215" i="51"/>
  <c r="D215" i="51"/>
  <c r="C215" i="51"/>
  <c r="B215" i="51"/>
  <c r="I214" i="51"/>
  <c r="K214" i="51" s="1"/>
  <c r="E214" i="51"/>
  <c r="D214" i="51"/>
  <c r="C214" i="51"/>
  <c r="B214" i="51"/>
  <c r="I213" i="51"/>
  <c r="K213" i="51" s="1"/>
  <c r="E213" i="51"/>
  <c r="D213" i="51"/>
  <c r="C213" i="51"/>
  <c r="B213" i="51"/>
  <c r="I212" i="51"/>
  <c r="K212" i="51" s="1"/>
  <c r="E212" i="51"/>
  <c r="D212" i="51"/>
  <c r="C212" i="51"/>
  <c r="B212" i="51"/>
  <c r="I211" i="51"/>
  <c r="K211" i="51" s="1"/>
  <c r="E211" i="51"/>
  <c r="D211" i="51"/>
  <c r="C211" i="51"/>
  <c r="B211" i="51"/>
  <c r="I210" i="51"/>
  <c r="K210" i="51" s="1"/>
  <c r="E210" i="51"/>
  <c r="D210" i="51"/>
  <c r="C210" i="51"/>
  <c r="B210" i="51"/>
  <c r="I209" i="51"/>
  <c r="K209" i="51" s="1"/>
  <c r="E209" i="51"/>
  <c r="D209" i="51"/>
  <c r="C209" i="51"/>
  <c r="B209" i="51"/>
  <c r="I208" i="51"/>
  <c r="K208" i="51" s="1"/>
  <c r="E208" i="51"/>
  <c r="D208" i="51"/>
  <c r="C208" i="51"/>
  <c r="B208" i="51"/>
  <c r="I207" i="51"/>
  <c r="K207" i="51" s="1"/>
  <c r="E207" i="51"/>
  <c r="D207" i="51"/>
  <c r="C207" i="51"/>
  <c r="B207" i="51"/>
  <c r="I206" i="51"/>
  <c r="K206" i="51" s="1"/>
  <c r="E206" i="51"/>
  <c r="D206" i="51"/>
  <c r="C206" i="51"/>
  <c r="B206" i="51"/>
  <c r="I205" i="51"/>
  <c r="K205" i="51" s="1"/>
  <c r="E205" i="51"/>
  <c r="D205" i="51"/>
  <c r="C205" i="51"/>
  <c r="B205" i="51"/>
  <c r="I204" i="51"/>
  <c r="K204" i="51" s="1"/>
  <c r="E204" i="51"/>
  <c r="D204" i="51"/>
  <c r="C204" i="51"/>
  <c r="B204" i="51"/>
  <c r="I203" i="51"/>
  <c r="K203" i="51" s="1"/>
  <c r="E203" i="51"/>
  <c r="D203" i="51"/>
  <c r="C203" i="51"/>
  <c r="B203" i="51"/>
  <c r="I202" i="51"/>
  <c r="K202" i="51" s="1"/>
  <c r="E202" i="51"/>
  <c r="D202" i="51"/>
  <c r="C202" i="51"/>
  <c r="B202" i="51"/>
  <c r="I201" i="51"/>
  <c r="K201" i="51" s="1"/>
  <c r="E201" i="51"/>
  <c r="D201" i="51"/>
  <c r="C201" i="51"/>
  <c r="B201" i="51"/>
  <c r="I200" i="51"/>
  <c r="K200" i="51" s="1"/>
  <c r="E200" i="51"/>
  <c r="D200" i="51"/>
  <c r="C200" i="51"/>
  <c r="B200" i="51"/>
  <c r="I199" i="51"/>
  <c r="K199" i="51" s="1"/>
  <c r="E199" i="51"/>
  <c r="D199" i="51"/>
  <c r="C199" i="51"/>
  <c r="B199" i="51"/>
  <c r="I198" i="51"/>
  <c r="K198" i="51" s="1"/>
  <c r="E198" i="51"/>
  <c r="D198" i="51"/>
  <c r="C198" i="51"/>
  <c r="B198" i="51"/>
  <c r="I197" i="51"/>
  <c r="K197" i="51" s="1"/>
  <c r="E197" i="51"/>
  <c r="D197" i="51"/>
  <c r="C197" i="51"/>
  <c r="B197" i="51"/>
  <c r="I196" i="51"/>
  <c r="K196" i="51" s="1"/>
  <c r="E196" i="51"/>
  <c r="D196" i="51"/>
  <c r="C196" i="51"/>
  <c r="B196" i="51"/>
  <c r="I195" i="51"/>
  <c r="K195" i="51" s="1"/>
  <c r="E195" i="51"/>
  <c r="D195" i="51"/>
  <c r="C195" i="51"/>
  <c r="B195" i="51"/>
  <c r="I194" i="51"/>
  <c r="K194" i="51" s="1"/>
  <c r="E194" i="51"/>
  <c r="D194" i="51"/>
  <c r="C194" i="51"/>
  <c r="B194" i="51"/>
  <c r="I193" i="51"/>
  <c r="K193" i="51" s="1"/>
  <c r="E193" i="51"/>
  <c r="D193" i="51"/>
  <c r="C193" i="51"/>
  <c r="B193" i="51"/>
  <c r="I192" i="51"/>
  <c r="K192" i="51" s="1"/>
  <c r="E192" i="51"/>
  <c r="D192" i="51"/>
  <c r="C192" i="51"/>
  <c r="B192" i="51"/>
  <c r="I191" i="51"/>
  <c r="K191" i="51" s="1"/>
  <c r="E191" i="51"/>
  <c r="D191" i="51"/>
  <c r="C191" i="51"/>
  <c r="B191" i="51"/>
  <c r="I190" i="51"/>
  <c r="K190" i="51" s="1"/>
  <c r="E190" i="51"/>
  <c r="D190" i="51"/>
  <c r="C190" i="51"/>
  <c r="B190" i="51"/>
  <c r="I189" i="51"/>
  <c r="K189" i="51" s="1"/>
  <c r="E189" i="51"/>
  <c r="D189" i="51"/>
  <c r="C189" i="51"/>
  <c r="B189" i="51"/>
  <c r="I188" i="51"/>
  <c r="K188" i="51" s="1"/>
  <c r="E188" i="51"/>
  <c r="D188" i="51"/>
  <c r="C188" i="51"/>
  <c r="B188" i="51"/>
  <c r="I187" i="51"/>
  <c r="K187" i="51" s="1"/>
  <c r="E187" i="51"/>
  <c r="D187" i="51"/>
  <c r="C187" i="51"/>
  <c r="B187" i="51"/>
  <c r="I186" i="51"/>
  <c r="K186" i="51" s="1"/>
  <c r="E186" i="51"/>
  <c r="D186" i="51"/>
  <c r="C186" i="51"/>
  <c r="B186" i="51"/>
  <c r="I185" i="51"/>
  <c r="K185" i="51" s="1"/>
  <c r="E185" i="51"/>
  <c r="D185" i="51"/>
  <c r="C185" i="51"/>
  <c r="B185" i="51"/>
  <c r="I184" i="51"/>
  <c r="K184" i="51" s="1"/>
  <c r="E184" i="51"/>
  <c r="D184" i="51"/>
  <c r="C184" i="51"/>
  <c r="B184" i="51"/>
  <c r="I183" i="51"/>
  <c r="K183" i="51" s="1"/>
  <c r="E183" i="51"/>
  <c r="D183" i="51"/>
  <c r="C183" i="51"/>
  <c r="B183" i="51"/>
  <c r="I182" i="51"/>
  <c r="K182" i="51" s="1"/>
  <c r="E182" i="51"/>
  <c r="D182" i="51"/>
  <c r="C182" i="51"/>
  <c r="B182" i="51"/>
  <c r="I181" i="51"/>
  <c r="K181" i="51" s="1"/>
  <c r="E181" i="51"/>
  <c r="D181" i="51"/>
  <c r="C181" i="51"/>
  <c r="B181" i="51"/>
  <c r="I180" i="51"/>
  <c r="K180" i="51" s="1"/>
  <c r="E180" i="51"/>
  <c r="D180" i="51"/>
  <c r="C180" i="51"/>
  <c r="B180" i="51"/>
  <c r="I179" i="51"/>
  <c r="K179" i="51" s="1"/>
  <c r="E179" i="51"/>
  <c r="D179" i="51"/>
  <c r="C179" i="51"/>
  <c r="B179" i="51"/>
  <c r="I178" i="51"/>
  <c r="K178" i="51" s="1"/>
  <c r="E178" i="51"/>
  <c r="D178" i="51"/>
  <c r="C178" i="51"/>
  <c r="B178" i="51"/>
  <c r="I177" i="51"/>
  <c r="K177" i="51" s="1"/>
  <c r="E177" i="51"/>
  <c r="D177" i="51"/>
  <c r="C177" i="51"/>
  <c r="B177" i="51"/>
  <c r="I176" i="51"/>
  <c r="K176" i="51" s="1"/>
  <c r="E176" i="51"/>
  <c r="D176" i="51"/>
  <c r="C176" i="51"/>
  <c r="B176" i="51"/>
  <c r="I175" i="51"/>
  <c r="K175" i="51" s="1"/>
  <c r="E175" i="51"/>
  <c r="D175" i="51"/>
  <c r="C175" i="51"/>
  <c r="B175" i="51"/>
  <c r="I174" i="51"/>
  <c r="K174" i="51" s="1"/>
  <c r="E174" i="51"/>
  <c r="D174" i="51"/>
  <c r="C174" i="51"/>
  <c r="B174" i="51"/>
  <c r="I173" i="51"/>
  <c r="K173" i="51" s="1"/>
  <c r="E173" i="51"/>
  <c r="D173" i="51"/>
  <c r="C173" i="51"/>
  <c r="B173" i="51"/>
  <c r="I172" i="51"/>
  <c r="K172" i="51" s="1"/>
  <c r="E172" i="51"/>
  <c r="D172" i="51"/>
  <c r="C172" i="51"/>
  <c r="B172" i="51"/>
  <c r="I171" i="51"/>
  <c r="K171" i="51" s="1"/>
  <c r="E171" i="51"/>
  <c r="D171" i="51"/>
  <c r="C171" i="51"/>
  <c r="B171" i="51"/>
  <c r="I170" i="51"/>
  <c r="K170" i="51" s="1"/>
  <c r="E170" i="51"/>
  <c r="D170" i="51"/>
  <c r="C170" i="51"/>
  <c r="B170" i="51"/>
  <c r="I169" i="51"/>
  <c r="K169" i="51" s="1"/>
  <c r="E169" i="51"/>
  <c r="D169" i="51"/>
  <c r="C169" i="51"/>
  <c r="B169" i="51"/>
  <c r="I168" i="51"/>
  <c r="K168" i="51" s="1"/>
  <c r="E168" i="51"/>
  <c r="D168" i="51"/>
  <c r="C168" i="51"/>
  <c r="B168" i="51"/>
  <c r="I167" i="51"/>
  <c r="K167" i="51" s="1"/>
  <c r="E167" i="51"/>
  <c r="D167" i="51"/>
  <c r="C167" i="51"/>
  <c r="B167" i="51"/>
  <c r="I166" i="51"/>
  <c r="K166" i="51" s="1"/>
  <c r="E166" i="51"/>
  <c r="D166" i="51"/>
  <c r="C166" i="51"/>
  <c r="B166" i="51"/>
  <c r="I165" i="51"/>
  <c r="K165" i="51" s="1"/>
  <c r="E165" i="51"/>
  <c r="D165" i="51"/>
  <c r="C165" i="51"/>
  <c r="B165" i="51"/>
  <c r="I164" i="51"/>
  <c r="K164" i="51" s="1"/>
  <c r="E164" i="51"/>
  <c r="D164" i="51"/>
  <c r="C164" i="51"/>
  <c r="B164" i="51"/>
  <c r="I163" i="51"/>
  <c r="K163" i="51" s="1"/>
  <c r="E163" i="51"/>
  <c r="D163" i="51"/>
  <c r="C163" i="51"/>
  <c r="B163" i="51"/>
  <c r="I162" i="51"/>
  <c r="K162" i="51" s="1"/>
  <c r="E162" i="51"/>
  <c r="D162" i="51"/>
  <c r="C162" i="51"/>
  <c r="B162" i="51"/>
  <c r="I161" i="51"/>
  <c r="K161" i="51" s="1"/>
  <c r="E161" i="51"/>
  <c r="D161" i="51"/>
  <c r="C161" i="51"/>
  <c r="B161" i="51"/>
  <c r="I160" i="51"/>
  <c r="K160" i="51" s="1"/>
  <c r="E160" i="51"/>
  <c r="D160" i="51"/>
  <c r="C160" i="51"/>
  <c r="B160" i="51"/>
  <c r="I159" i="51"/>
  <c r="K159" i="51" s="1"/>
  <c r="E159" i="51"/>
  <c r="D159" i="51"/>
  <c r="C159" i="51"/>
  <c r="B159" i="51"/>
  <c r="I158" i="51"/>
  <c r="K158" i="51" s="1"/>
  <c r="E158" i="51"/>
  <c r="D158" i="51"/>
  <c r="C158" i="51"/>
  <c r="B158" i="51"/>
  <c r="I157" i="51"/>
  <c r="K157" i="51" s="1"/>
  <c r="E157" i="51"/>
  <c r="D157" i="51"/>
  <c r="C157" i="51"/>
  <c r="B157" i="51"/>
  <c r="I156" i="51"/>
  <c r="K156" i="51" s="1"/>
  <c r="E156" i="51"/>
  <c r="D156" i="51"/>
  <c r="C156" i="51"/>
  <c r="B156" i="51"/>
  <c r="I155" i="51"/>
  <c r="K155" i="51" s="1"/>
  <c r="E155" i="51"/>
  <c r="D155" i="51"/>
  <c r="C155" i="51"/>
  <c r="B155" i="51"/>
  <c r="I154" i="51"/>
  <c r="K154" i="51" s="1"/>
  <c r="E154" i="51"/>
  <c r="D154" i="51"/>
  <c r="C154" i="51"/>
  <c r="B154" i="51"/>
  <c r="I153" i="51"/>
  <c r="K153" i="51" s="1"/>
  <c r="E153" i="51"/>
  <c r="D153" i="51"/>
  <c r="C153" i="51"/>
  <c r="B153" i="51"/>
  <c r="I152" i="51"/>
  <c r="K152" i="51" s="1"/>
  <c r="E152" i="51"/>
  <c r="D152" i="51"/>
  <c r="C152" i="51"/>
  <c r="B152" i="51"/>
  <c r="I151" i="51"/>
  <c r="K151" i="51" s="1"/>
  <c r="E151" i="51"/>
  <c r="D151" i="51"/>
  <c r="C151" i="51"/>
  <c r="B151" i="51"/>
  <c r="I150" i="51"/>
  <c r="K150" i="51" s="1"/>
  <c r="E150" i="51"/>
  <c r="D150" i="51"/>
  <c r="C150" i="51"/>
  <c r="B150" i="51"/>
  <c r="I149" i="51"/>
  <c r="K149" i="51" s="1"/>
  <c r="E149" i="51"/>
  <c r="D149" i="51"/>
  <c r="C149" i="51"/>
  <c r="B149" i="51"/>
  <c r="I148" i="51"/>
  <c r="K148" i="51" s="1"/>
  <c r="E148" i="51"/>
  <c r="D148" i="51"/>
  <c r="C148" i="51"/>
  <c r="B148" i="51"/>
  <c r="I147" i="51"/>
  <c r="K147" i="51" s="1"/>
  <c r="E147" i="51"/>
  <c r="D147" i="51"/>
  <c r="C147" i="51"/>
  <c r="B147" i="51"/>
  <c r="I146" i="51"/>
  <c r="K146" i="51" s="1"/>
  <c r="E146" i="51"/>
  <c r="D146" i="51"/>
  <c r="C146" i="51"/>
  <c r="B146" i="51"/>
  <c r="I145" i="51"/>
  <c r="K145" i="51" s="1"/>
  <c r="E145" i="51"/>
  <c r="D145" i="51"/>
  <c r="C145" i="51"/>
  <c r="B145" i="51"/>
  <c r="I144" i="51"/>
  <c r="K144" i="51" s="1"/>
  <c r="E144" i="51"/>
  <c r="D144" i="51"/>
  <c r="C144" i="51"/>
  <c r="B144" i="51"/>
  <c r="I143" i="51"/>
  <c r="K143" i="51" s="1"/>
  <c r="E143" i="51"/>
  <c r="D143" i="51"/>
  <c r="C143" i="51"/>
  <c r="B143" i="51"/>
  <c r="I142" i="51"/>
  <c r="K142" i="51" s="1"/>
  <c r="E142" i="51"/>
  <c r="D142" i="51"/>
  <c r="C142" i="51"/>
  <c r="B142" i="51"/>
  <c r="I141" i="51"/>
  <c r="K141" i="51" s="1"/>
  <c r="E141" i="51"/>
  <c r="D141" i="51"/>
  <c r="C141" i="51"/>
  <c r="B141" i="51"/>
  <c r="I140" i="51"/>
  <c r="K140" i="51" s="1"/>
  <c r="E140" i="51"/>
  <c r="D140" i="51"/>
  <c r="C140" i="51"/>
  <c r="B140" i="51"/>
  <c r="I139" i="51"/>
  <c r="K139" i="51" s="1"/>
  <c r="E139" i="51"/>
  <c r="D139" i="51"/>
  <c r="C139" i="51"/>
  <c r="B139" i="51"/>
  <c r="I138" i="51"/>
  <c r="K138" i="51" s="1"/>
  <c r="E138" i="51"/>
  <c r="D138" i="51"/>
  <c r="C138" i="51"/>
  <c r="B138" i="51"/>
  <c r="I137" i="51"/>
  <c r="K137" i="51" s="1"/>
  <c r="E137" i="51"/>
  <c r="D137" i="51"/>
  <c r="C137" i="51"/>
  <c r="B137" i="51"/>
  <c r="I136" i="51"/>
  <c r="K136" i="51" s="1"/>
  <c r="E136" i="51"/>
  <c r="D136" i="51"/>
  <c r="C136" i="51"/>
  <c r="B136" i="51"/>
  <c r="I135" i="51"/>
  <c r="K135" i="51" s="1"/>
  <c r="E135" i="51"/>
  <c r="D135" i="51"/>
  <c r="C135" i="51"/>
  <c r="B135" i="51"/>
  <c r="I134" i="51"/>
  <c r="K134" i="51" s="1"/>
  <c r="E134" i="51"/>
  <c r="D134" i="51"/>
  <c r="C134" i="51"/>
  <c r="B134" i="51"/>
  <c r="I133" i="51"/>
  <c r="K133" i="51" s="1"/>
  <c r="E133" i="51"/>
  <c r="D133" i="51"/>
  <c r="C133" i="51"/>
  <c r="B133" i="51"/>
  <c r="I132" i="51"/>
  <c r="K132" i="51" s="1"/>
  <c r="E132" i="51"/>
  <c r="D132" i="51"/>
  <c r="C132" i="51"/>
  <c r="B132" i="51"/>
  <c r="I131" i="51"/>
  <c r="K131" i="51" s="1"/>
  <c r="E131" i="51"/>
  <c r="D131" i="51"/>
  <c r="C131" i="51"/>
  <c r="B131" i="51"/>
  <c r="I130" i="51"/>
  <c r="K130" i="51" s="1"/>
  <c r="E130" i="51"/>
  <c r="D130" i="51"/>
  <c r="C130" i="51"/>
  <c r="B130" i="51"/>
  <c r="I129" i="51"/>
  <c r="K129" i="51" s="1"/>
  <c r="E129" i="51"/>
  <c r="D129" i="51"/>
  <c r="C129" i="51"/>
  <c r="B129" i="51"/>
  <c r="I128" i="51"/>
  <c r="K128" i="51" s="1"/>
  <c r="E128" i="51"/>
  <c r="D128" i="51"/>
  <c r="C128" i="51"/>
  <c r="B128" i="51"/>
  <c r="I127" i="51"/>
  <c r="K127" i="51" s="1"/>
  <c r="E127" i="51"/>
  <c r="D127" i="51"/>
  <c r="C127" i="51"/>
  <c r="B127" i="51"/>
  <c r="I126" i="51"/>
  <c r="K126" i="51" s="1"/>
  <c r="E126" i="51"/>
  <c r="D126" i="51"/>
  <c r="C126" i="51"/>
  <c r="B126" i="51"/>
  <c r="I125" i="51"/>
  <c r="K125" i="51" s="1"/>
  <c r="E125" i="51"/>
  <c r="D125" i="51"/>
  <c r="C125" i="51"/>
  <c r="B125" i="51"/>
  <c r="I124" i="51"/>
  <c r="K124" i="51" s="1"/>
  <c r="E124" i="51"/>
  <c r="D124" i="51"/>
  <c r="C124" i="51"/>
  <c r="B124" i="51"/>
  <c r="I123" i="51"/>
  <c r="K123" i="51" s="1"/>
  <c r="E123" i="51"/>
  <c r="D123" i="51"/>
  <c r="C123" i="51"/>
  <c r="B123" i="51"/>
  <c r="I122" i="51"/>
  <c r="K122" i="51" s="1"/>
  <c r="E122" i="51"/>
  <c r="D122" i="51"/>
  <c r="C122" i="51"/>
  <c r="B122" i="51"/>
  <c r="I121" i="51"/>
  <c r="K121" i="51" s="1"/>
  <c r="E121" i="51"/>
  <c r="D121" i="51"/>
  <c r="C121" i="51"/>
  <c r="B121" i="51"/>
  <c r="I120" i="51"/>
  <c r="K120" i="51" s="1"/>
  <c r="E120" i="51"/>
  <c r="D120" i="51"/>
  <c r="C120" i="51"/>
  <c r="B120" i="51"/>
  <c r="I119" i="51"/>
  <c r="K119" i="51" s="1"/>
  <c r="E119" i="51"/>
  <c r="D119" i="51"/>
  <c r="C119" i="51"/>
  <c r="B119" i="51"/>
  <c r="I118" i="51"/>
  <c r="K118" i="51" s="1"/>
  <c r="E118" i="51"/>
  <c r="D118" i="51"/>
  <c r="C118" i="51"/>
  <c r="B118" i="51"/>
  <c r="I117" i="51"/>
  <c r="K117" i="51" s="1"/>
  <c r="E117" i="51"/>
  <c r="D117" i="51"/>
  <c r="C117" i="51"/>
  <c r="B117" i="51"/>
  <c r="I116" i="51"/>
  <c r="K116" i="51" s="1"/>
  <c r="E116" i="51"/>
  <c r="D116" i="51"/>
  <c r="C116" i="51"/>
  <c r="B116" i="51"/>
  <c r="I115" i="51"/>
  <c r="K115" i="51" s="1"/>
  <c r="E115" i="51"/>
  <c r="D115" i="51"/>
  <c r="C115" i="51"/>
  <c r="B115" i="51"/>
  <c r="I114" i="51"/>
  <c r="K114" i="51" s="1"/>
  <c r="E114" i="51"/>
  <c r="D114" i="51"/>
  <c r="C114" i="51"/>
  <c r="B114" i="51"/>
  <c r="I113" i="51"/>
  <c r="K113" i="51" s="1"/>
  <c r="E113" i="51"/>
  <c r="D113" i="51"/>
  <c r="C113" i="51"/>
  <c r="B113" i="51"/>
  <c r="I112" i="51"/>
  <c r="K112" i="51" s="1"/>
  <c r="E112" i="51"/>
  <c r="D112" i="51"/>
  <c r="C112" i="51"/>
  <c r="B112" i="51"/>
  <c r="I111" i="51"/>
  <c r="K111" i="51" s="1"/>
  <c r="E111" i="51"/>
  <c r="D111" i="51"/>
  <c r="C111" i="51"/>
  <c r="B111" i="51"/>
  <c r="I110" i="51"/>
  <c r="K110" i="51" s="1"/>
  <c r="E110" i="51"/>
  <c r="D110" i="51"/>
  <c r="C110" i="51"/>
  <c r="B110" i="51"/>
  <c r="I109" i="51"/>
  <c r="K109" i="51" s="1"/>
  <c r="E109" i="51"/>
  <c r="D109" i="51"/>
  <c r="C109" i="51"/>
  <c r="B109" i="51"/>
  <c r="I108" i="51"/>
  <c r="K108" i="51" s="1"/>
  <c r="E108" i="51"/>
  <c r="D108" i="51"/>
  <c r="C108" i="51"/>
  <c r="B108" i="51"/>
  <c r="I107" i="51"/>
  <c r="K107" i="51" s="1"/>
  <c r="E107" i="51"/>
  <c r="D107" i="51"/>
  <c r="C107" i="51"/>
  <c r="B107" i="51"/>
  <c r="I106" i="51"/>
  <c r="K106" i="51" s="1"/>
  <c r="E106" i="51"/>
  <c r="D106" i="51"/>
  <c r="C106" i="51"/>
  <c r="B106" i="51"/>
  <c r="I105" i="51"/>
  <c r="K105" i="51" s="1"/>
  <c r="E105" i="51"/>
  <c r="D105" i="51"/>
  <c r="C105" i="51"/>
  <c r="B105" i="51"/>
  <c r="I104" i="51"/>
  <c r="K104" i="51" s="1"/>
  <c r="E104" i="51"/>
  <c r="D104" i="51"/>
  <c r="C104" i="51"/>
  <c r="B104" i="51"/>
  <c r="I103" i="51"/>
  <c r="K103" i="51" s="1"/>
  <c r="E103" i="51"/>
  <c r="D103" i="51"/>
  <c r="C103" i="51"/>
  <c r="B103" i="51"/>
  <c r="I102" i="51"/>
  <c r="K102" i="51" s="1"/>
  <c r="E102" i="51"/>
  <c r="D102" i="51"/>
  <c r="C102" i="51"/>
  <c r="B102" i="51"/>
  <c r="I101" i="51"/>
  <c r="K101" i="51" s="1"/>
  <c r="E101" i="51"/>
  <c r="D101" i="51"/>
  <c r="C101" i="51"/>
  <c r="B101" i="51"/>
  <c r="I100" i="51"/>
  <c r="K100" i="51" s="1"/>
  <c r="E100" i="51"/>
  <c r="D100" i="51"/>
  <c r="C100" i="51"/>
  <c r="B100" i="51"/>
  <c r="I99" i="51"/>
  <c r="K99" i="51" s="1"/>
  <c r="E99" i="51"/>
  <c r="D99" i="51"/>
  <c r="C99" i="51"/>
  <c r="B99" i="51"/>
  <c r="I98" i="51"/>
  <c r="K98" i="51" s="1"/>
  <c r="E98" i="51"/>
  <c r="D98" i="51"/>
  <c r="C98" i="51"/>
  <c r="B98" i="51"/>
  <c r="I97" i="51"/>
  <c r="K97" i="51" s="1"/>
  <c r="E97" i="51"/>
  <c r="D97" i="51"/>
  <c r="C97" i="51"/>
  <c r="B97" i="51"/>
  <c r="I96" i="51"/>
  <c r="K96" i="51" s="1"/>
  <c r="E96" i="51"/>
  <c r="D96" i="51"/>
  <c r="C96" i="51"/>
  <c r="B96" i="51"/>
  <c r="I95" i="51"/>
  <c r="K95" i="51" s="1"/>
  <c r="E95" i="51"/>
  <c r="D95" i="51"/>
  <c r="C95" i="51"/>
  <c r="B95" i="51"/>
  <c r="I94" i="51"/>
  <c r="K94" i="51" s="1"/>
  <c r="E94" i="51"/>
  <c r="D94" i="51"/>
  <c r="C94" i="51"/>
  <c r="B94" i="51"/>
  <c r="I93" i="51"/>
  <c r="K93" i="51" s="1"/>
  <c r="E93" i="51"/>
  <c r="D93" i="51"/>
  <c r="C93" i="51"/>
  <c r="B93" i="51"/>
  <c r="I92" i="51"/>
  <c r="K92" i="51" s="1"/>
  <c r="E92" i="51"/>
  <c r="D92" i="51"/>
  <c r="C92" i="51"/>
  <c r="B92" i="51"/>
  <c r="I91" i="51"/>
  <c r="K91" i="51" s="1"/>
  <c r="E91" i="51"/>
  <c r="D91" i="51"/>
  <c r="C91" i="51"/>
  <c r="B91" i="51"/>
  <c r="I90" i="51"/>
  <c r="K90" i="51" s="1"/>
  <c r="E90" i="51"/>
  <c r="D90" i="51"/>
  <c r="C90" i="51"/>
  <c r="B90" i="51"/>
  <c r="I89" i="51"/>
  <c r="K89" i="51" s="1"/>
  <c r="E89" i="51"/>
  <c r="D89" i="51"/>
  <c r="C89" i="51"/>
  <c r="B89" i="51"/>
  <c r="I88" i="51"/>
  <c r="K88" i="51" s="1"/>
  <c r="E88" i="51"/>
  <c r="D88" i="51"/>
  <c r="C88" i="51"/>
  <c r="B88" i="51"/>
  <c r="I87" i="51"/>
  <c r="K87" i="51" s="1"/>
  <c r="E87" i="51"/>
  <c r="D87" i="51"/>
  <c r="C87" i="51"/>
  <c r="B87" i="51"/>
  <c r="I86" i="51"/>
  <c r="K86" i="51" s="1"/>
  <c r="E86" i="51"/>
  <c r="D86" i="51"/>
  <c r="C86" i="51"/>
  <c r="B86" i="51"/>
  <c r="I85" i="51"/>
  <c r="K85" i="51" s="1"/>
  <c r="E85" i="51"/>
  <c r="D85" i="51"/>
  <c r="C85" i="51"/>
  <c r="B85" i="51"/>
  <c r="I84" i="51"/>
  <c r="K84" i="51" s="1"/>
  <c r="E84" i="51"/>
  <c r="D84" i="51"/>
  <c r="C84" i="51"/>
  <c r="B84" i="51"/>
  <c r="I83" i="51"/>
  <c r="K83" i="51" s="1"/>
  <c r="E83" i="51"/>
  <c r="D83" i="51"/>
  <c r="C83" i="51"/>
  <c r="B83" i="51"/>
  <c r="I82" i="51"/>
  <c r="K82" i="51" s="1"/>
  <c r="E82" i="51"/>
  <c r="D82" i="51"/>
  <c r="C82" i="51"/>
  <c r="B82" i="51"/>
  <c r="I81" i="51"/>
  <c r="K81" i="51" s="1"/>
  <c r="E81" i="51"/>
  <c r="D81" i="51"/>
  <c r="C81" i="51"/>
  <c r="B81" i="51"/>
  <c r="I80" i="51"/>
  <c r="K80" i="51" s="1"/>
  <c r="E80" i="51"/>
  <c r="D80" i="51"/>
  <c r="C80" i="51"/>
  <c r="B80" i="51"/>
  <c r="I79" i="51"/>
  <c r="K79" i="51" s="1"/>
  <c r="E79" i="51"/>
  <c r="D79" i="51"/>
  <c r="C79" i="51"/>
  <c r="B79" i="51"/>
  <c r="I78" i="51"/>
  <c r="K78" i="51" s="1"/>
  <c r="E78" i="51"/>
  <c r="D78" i="51"/>
  <c r="C78" i="51"/>
  <c r="B78" i="51"/>
  <c r="I77" i="51"/>
  <c r="K77" i="51" s="1"/>
  <c r="E77" i="51"/>
  <c r="D77" i="51"/>
  <c r="C77" i="51"/>
  <c r="B77" i="51"/>
  <c r="I76" i="51"/>
  <c r="K76" i="51" s="1"/>
  <c r="E76" i="51"/>
  <c r="D76" i="51"/>
  <c r="C76" i="51"/>
  <c r="B76" i="51"/>
  <c r="I75" i="51"/>
  <c r="K75" i="51" s="1"/>
  <c r="E75" i="51"/>
  <c r="D75" i="51"/>
  <c r="C75" i="51"/>
  <c r="B75" i="51"/>
  <c r="I74" i="51"/>
  <c r="K74" i="51" s="1"/>
  <c r="E74" i="51"/>
  <c r="D74" i="51"/>
  <c r="C74" i="51"/>
  <c r="B74" i="51"/>
  <c r="I73" i="51"/>
  <c r="K73" i="51" s="1"/>
  <c r="E73" i="51"/>
  <c r="D73" i="51"/>
  <c r="C73" i="51"/>
  <c r="B73" i="51"/>
  <c r="I72" i="51"/>
  <c r="K72" i="51" s="1"/>
  <c r="E72" i="51"/>
  <c r="D72" i="51"/>
  <c r="C72" i="51"/>
  <c r="B72" i="51"/>
  <c r="I71" i="51"/>
  <c r="K71" i="51" s="1"/>
  <c r="E71" i="51"/>
  <c r="D71" i="51"/>
  <c r="C71" i="51"/>
  <c r="B71" i="51"/>
  <c r="I70" i="51"/>
  <c r="K70" i="51" s="1"/>
  <c r="E70" i="51"/>
  <c r="D70" i="51"/>
  <c r="C70" i="51"/>
  <c r="B70" i="51"/>
  <c r="I69" i="51"/>
  <c r="K69" i="51" s="1"/>
  <c r="E69" i="51"/>
  <c r="D69" i="51"/>
  <c r="C69" i="51"/>
  <c r="B69" i="51"/>
  <c r="I68" i="51"/>
  <c r="K68" i="51" s="1"/>
  <c r="E68" i="51"/>
  <c r="D68" i="51"/>
  <c r="C68" i="51"/>
  <c r="B68" i="51"/>
  <c r="I67" i="51"/>
  <c r="K67" i="51" s="1"/>
  <c r="E67" i="51"/>
  <c r="D67" i="51"/>
  <c r="C67" i="51"/>
  <c r="B67" i="51"/>
  <c r="I66" i="51"/>
  <c r="K66" i="51" s="1"/>
  <c r="E66" i="51"/>
  <c r="D66" i="51"/>
  <c r="C66" i="51"/>
  <c r="B66" i="51"/>
  <c r="I65" i="51"/>
  <c r="K65" i="51" s="1"/>
  <c r="E65" i="51"/>
  <c r="D65" i="51"/>
  <c r="C65" i="51"/>
  <c r="B65" i="51"/>
  <c r="I64" i="51"/>
  <c r="K64" i="51" s="1"/>
  <c r="E64" i="51"/>
  <c r="D64" i="51"/>
  <c r="C64" i="51"/>
  <c r="B64" i="51"/>
  <c r="I63" i="51"/>
  <c r="K63" i="51" s="1"/>
  <c r="E63" i="51"/>
  <c r="D63" i="51"/>
  <c r="C63" i="51"/>
  <c r="B63" i="51"/>
  <c r="I62" i="51"/>
  <c r="K62" i="51" s="1"/>
  <c r="E62" i="51"/>
  <c r="D62" i="51"/>
  <c r="C62" i="51"/>
  <c r="B62" i="51"/>
  <c r="I61" i="51"/>
  <c r="K61" i="51" s="1"/>
  <c r="E61" i="51"/>
  <c r="D61" i="51"/>
  <c r="C61" i="51"/>
  <c r="B61" i="51"/>
  <c r="I60" i="51"/>
  <c r="K60" i="51" s="1"/>
  <c r="E60" i="51"/>
  <c r="D60" i="51"/>
  <c r="C60" i="51"/>
  <c r="B60" i="51"/>
  <c r="I59" i="51"/>
  <c r="K59" i="51" s="1"/>
  <c r="E59" i="51"/>
  <c r="D59" i="51"/>
  <c r="C59" i="51"/>
  <c r="B59" i="51"/>
  <c r="I58" i="51"/>
  <c r="K58" i="51" s="1"/>
  <c r="E58" i="51"/>
  <c r="D58" i="51"/>
  <c r="C58" i="51"/>
  <c r="B58" i="51"/>
  <c r="I57" i="51"/>
  <c r="K57" i="51" s="1"/>
  <c r="E57" i="51"/>
  <c r="D57" i="51"/>
  <c r="C57" i="51"/>
  <c r="B57" i="51"/>
  <c r="I56" i="51"/>
  <c r="K56" i="51" s="1"/>
  <c r="E56" i="51"/>
  <c r="D56" i="51"/>
  <c r="C56" i="51"/>
  <c r="B56" i="51"/>
  <c r="I55" i="51"/>
  <c r="K55" i="51" s="1"/>
  <c r="E55" i="51"/>
  <c r="D55" i="51"/>
  <c r="C55" i="51"/>
  <c r="B55" i="51"/>
  <c r="I54" i="51"/>
  <c r="K54" i="51" s="1"/>
  <c r="E54" i="51"/>
  <c r="D54" i="51"/>
  <c r="C54" i="51"/>
  <c r="B54" i="51"/>
  <c r="I53" i="51"/>
  <c r="K53" i="51" s="1"/>
  <c r="E53" i="51"/>
  <c r="D53" i="51"/>
  <c r="C53" i="51"/>
  <c r="B53" i="51"/>
  <c r="I52" i="51"/>
  <c r="K52" i="51" s="1"/>
  <c r="E52" i="51"/>
  <c r="D52" i="51"/>
  <c r="C52" i="51"/>
  <c r="B52" i="51"/>
  <c r="I51" i="51"/>
  <c r="K51" i="51" s="1"/>
  <c r="E51" i="51"/>
  <c r="D51" i="51"/>
  <c r="C51" i="51"/>
  <c r="B51" i="51"/>
  <c r="I50" i="51"/>
  <c r="K50" i="51" s="1"/>
  <c r="E50" i="51"/>
  <c r="D50" i="51"/>
  <c r="C50" i="51"/>
  <c r="B50" i="51"/>
  <c r="I49" i="51"/>
  <c r="K49" i="51" s="1"/>
  <c r="E49" i="51"/>
  <c r="D49" i="51"/>
  <c r="C49" i="51"/>
  <c r="B49" i="51"/>
  <c r="I48" i="51"/>
  <c r="K48" i="51" s="1"/>
  <c r="E48" i="51"/>
  <c r="D48" i="51"/>
  <c r="C48" i="51"/>
  <c r="B48" i="51"/>
  <c r="I47" i="51"/>
  <c r="K47" i="51" s="1"/>
  <c r="E47" i="51"/>
  <c r="D47" i="51"/>
  <c r="C47" i="51"/>
  <c r="B47" i="51"/>
  <c r="I46" i="51"/>
  <c r="K46" i="51" s="1"/>
  <c r="E46" i="51"/>
  <c r="D46" i="51"/>
  <c r="C46" i="51"/>
  <c r="B46" i="51"/>
  <c r="I45" i="51"/>
  <c r="K45" i="51" s="1"/>
  <c r="E45" i="51"/>
  <c r="D45" i="51"/>
  <c r="C45" i="51"/>
  <c r="B45" i="51"/>
  <c r="I44" i="51"/>
  <c r="K44" i="51" s="1"/>
  <c r="E44" i="51"/>
  <c r="D44" i="51"/>
  <c r="C44" i="51"/>
  <c r="B44" i="51"/>
  <c r="I43" i="51"/>
  <c r="K43" i="51" s="1"/>
  <c r="E43" i="51"/>
  <c r="D43" i="51"/>
  <c r="C43" i="51"/>
  <c r="B43" i="51"/>
  <c r="I42" i="51"/>
  <c r="K42" i="51" s="1"/>
  <c r="E42" i="51"/>
  <c r="D42" i="51"/>
  <c r="C42" i="51"/>
  <c r="B42" i="51"/>
  <c r="I41" i="51"/>
  <c r="K41" i="51" s="1"/>
  <c r="E41" i="51"/>
  <c r="D41" i="51"/>
  <c r="C41" i="51"/>
  <c r="B41" i="51"/>
  <c r="I40" i="51"/>
  <c r="K40" i="51" s="1"/>
  <c r="E40" i="51"/>
  <c r="D40" i="51"/>
  <c r="C40" i="51"/>
  <c r="B40" i="51"/>
  <c r="I39" i="51"/>
  <c r="K39" i="51" s="1"/>
  <c r="E39" i="51"/>
  <c r="D39" i="51"/>
  <c r="C39" i="51"/>
  <c r="B39" i="51"/>
  <c r="I38" i="51"/>
  <c r="K38" i="51" s="1"/>
  <c r="E38" i="51"/>
  <c r="D38" i="51"/>
  <c r="C38" i="51"/>
  <c r="B38" i="51"/>
  <c r="I37" i="51"/>
  <c r="K37" i="51" s="1"/>
  <c r="E37" i="51"/>
  <c r="D37" i="51"/>
  <c r="C37" i="51"/>
  <c r="B37" i="51"/>
  <c r="I36" i="51"/>
  <c r="K36" i="51" s="1"/>
  <c r="E36" i="51"/>
  <c r="D36" i="51"/>
  <c r="C36" i="51"/>
  <c r="B36" i="51"/>
  <c r="I35" i="51"/>
  <c r="K35" i="51" s="1"/>
  <c r="E35" i="51"/>
  <c r="D35" i="51"/>
  <c r="C35" i="51"/>
  <c r="B35" i="51"/>
  <c r="I34" i="51"/>
  <c r="K34" i="51" s="1"/>
  <c r="E34" i="51"/>
  <c r="D34" i="51"/>
  <c r="C34" i="51"/>
  <c r="B34" i="51"/>
  <c r="I33" i="51"/>
  <c r="K33" i="51" s="1"/>
  <c r="E33" i="51"/>
  <c r="D33" i="51"/>
  <c r="C33" i="51"/>
  <c r="B33" i="51"/>
  <c r="I32" i="51"/>
  <c r="K32" i="51" s="1"/>
  <c r="E32" i="51"/>
  <c r="D32" i="51"/>
  <c r="C32" i="51"/>
  <c r="B32" i="51"/>
  <c r="I31" i="51"/>
  <c r="K31" i="51" s="1"/>
  <c r="E31" i="51"/>
  <c r="D31" i="51"/>
  <c r="C31" i="51"/>
  <c r="B31" i="51"/>
  <c r="I30" i="51"/>
  <c r="K30" i="51" s="1"/>
  <c r="E30" i="51"/>
  <c r="D30" i="51"/>
  <c r="C30" i="51"/>
  <c r="B30" i="51"/>
  <c r="I29" i="51"/>
  <c r="K29" i="51" s="1"/>
  <c r="E29" i="51"/>
  <c r="D29" i="51"/>
  <c r="C29" i="51"/>
  <c r="B29" i="51"/>
  <c r="I28" i="51"/>
  <c r="K28" i="51" s="1"/>
  <c r="E28" i="51"/>
  <c r="D28" i="51"/>
  <c r="C28" i="51"/>
  <c r="B28" i="51"/>
  <c r="I27" i="51"/>
  <c r="K27" i="51" s="1"/>
  <c r="E27" i="51"/>
  <c r="D27" i="51"/>
  <c r="C27" i="51"/>
  <c r="B27" i="51"/>
  <c r="I26" i="51"/>
  <c r="K26" i="51" s="1"/>
  <c r="E26" i="51"/>
  <c r="D26" i="51"/>
  <c r="C26" i="51"/>
  <c r="B26" i="51"/>
  <c r="I25" i="51"/>
  <c r="K25" i="51" s="1"/>
  <c r="E25" i="51"/>
  <c r="D25" i="51"/>
  <c r="C25" i="51"/>
  <c r="B25" i="51"/>
  <c r="I24" i="51"/>
  <c r="K24" i="51" s="1"/>
  <c r="E24" i="51"/>
  <c r="D24" i="51"/>
  <c r="C24" i="51"/>
  <c r="B24" i="51"/>
  <c r="I23" i="51"/>
  <c r="K23" i="51" s="1"/>
  <c r="E23" i="51"/>
  <c r="D23" i="51"/>
  <c r="C23" i="51"/>
  <c r="B23" i="51"/>
  <c r="I22" i="51"/>
  <c r="K22" i="51" s="1"/>
  <c r="E22" i="51"/>
  <c r="D22" i="51"/>
  <c r="C22" i="51"/>
  <c r="B22" i="51"/>
  <c r="I21" i="51"/>
  <c r="K21" i="51" s="1"/>
  <c r="E21" i="51"/>
  <c r="D21" i="51"/>
  <c r="C21" i="51"/>
  <c r="B21" i="51"/>
  <c r="I20" i="51"/>
  <c r="K20" i="51" s="1"/>
  <c r="E20" i="51"/>
  <c r="D20" i="51"/>
  <c r="C20" i="51"/>
  <c r="B20" i="51"/>
  <c r="I19" i="51"/>
  <c r="K19" i="51" s="1"/>
  <c r="E19" i="51"/>
  <c r="D19" i="51"/>
  <c r="C19" i="51"/>
  <c r="B19" i="51"/>
  <c r="I18" i="51"/>
  <c r="K18" i="51" s="1"/>
  <c r="E18" i="51"/>
  <c r="D18" i="51"/>
  <c r="C18" i="51"/>
  <c r="B18" i="51"/>
  <c r="I17" i="51"/>
  <c r="K17" i="51" s="1"/>
  <c r="E17" i="51"/>
  <c r="D17" i="51"/>
  <c r="C17" i="51"/>
  <c r="B17" i="51"/>
  <c r="I16" i="51"/>
  <c r="K16" i="51" s="1"/>
  <c r="E16" i="51"/>
  <c r="D16" i="51"/>
  <c r="C16" i="51"/>
  <c r="B16" i="51"/>
  <c r="I15" i="51"/>
  <c r="K15" i="51" s="1"/>
  <c r="E15" i="51"/>
  <c r="D15" i="51"/>
  <c r="C15" i="51"/>
  <c r="B15" i="51"/>
  <c r="I14" i="51"/>
  <c r="K14" i="51" s="1"/>
  <c r="E14" i="51"/>
  <c r="D14" i="51"/>
  <c r="C14" i="51"/>
  <c r="B14" i="51"/>
  <c r="I13" i="51"/>
  <c r="K13" i="51" s="1"/>
  <c r="E13" i="51"/>
  <c r="D13" i="51"/>
  <c r="C13" i="51"/>
  <c r="B13" i="51"/>
  <c r="I12" i="51"/>
  <c r="K12" i="51" s="1"/>
  <c r="E12" i="51"/>
  <c r="D12" i="51"/>
  <c r="C12" i="51"/>
  <c r="B12" i="51"/>
  <c r="I11" i="51"/>
  <c r="K11" i="51" s="1"/>
  <c r="E11" i="51"/>
  <c r="D11" i="51"/>
  <c r="C11" i="51"/>
  <c r="B11" i="51"/>
  <c r="I10" i="51"/>
  <c r="K10" i="51" s="1"/>
  <c r="E10" i="51"/>
  <c r="D10" i="51"/>
  <c r="C10" i="51"/>
  <c r="B10" i="51"/>
  <c r="I9" i="51"/>
  <c r="K9" i="51" s="1"/>
  <c r="E9" i="51"/>
  <c r="D9" i="51"/>
  <c r="C9" i="51"/>
  <c r="B9" i="51"/>
  <c r="I8" i="51"/>
  <c r="K8" i="51" s="1"/>
  <c r="E8" i="51"/>
  <c r="D8" i="51"/>
  <c r="C8" i="51"/>
  <c r="B8" i="51"/>
  <c r="I7" i="51"/>
  <c r="K7" i="51" s="1"/>
  <c r="E7" i="51"/>
  <c r="D7" i="51"/>
  <c r="C7" i="51"/>
  <c r="B7" i="51"/>
  <c r="I6" i="51"/>
  <c r="K6" i="51" s="1"/>
  <c r="E6" i="51"/>
  <c r="D6" i="51"/>
  <c r="C6" i="51"/>
  <c r="B6" i="51"/>
  <c r="I5" i="51"/>
  <c r="K5" i="51" s="1"/>
  <c r="E5" i="51"/>
  <c r="D5" i="51"/>
  <c r="C5" i="51"/>
  <c r="B5" i="51"/>
  <c r="I4" i="51"/>
  <c r="K4" i="51" s="1"/>
  <c r="E4" i="51"/>
  <c r="D4" i="51"/>
  <c r="C4" i="51"/>
  <c r="B4" i="51"/>
  <c r="I3" i="51"/>
  <c r="K3" i="51" s="1"/>
  <c r="E3" i="51"/>
  <c r="D3" i="51"/>
  <c r="C3" i="51"/>
  <c r="B3" i="51"/>
  <c r="I63" i="21"/>
  <c r="K63" i="21" s="1"/>
  <c r="I62" i="21"/>
  <c r="K62" i="21" s="1"/>
  <c r="I61" i="21"/>
  <c r="K61" i="21" s="1"/>
  <c r="I60" i="21"/>
  <c r="K60" i="21" s="1"/>
  <c r="I59" i="21"/>
  <c r="K59" i="21" s="1"/>
  <c r="I58" i="21"/>
  <c r="K58" i="21" s="1"/>
  <c r="I57" i="21"/>
  <c r="K57" i="21" s="1"/>
  <c r="I56" i="21"/>
  <c r="K56" i="21" s="1"/>
  <c r="I55" i="21"/>
  <c r="K55" i="21" s="1"/>
  <c r="I54" i="21"/>
  <c r="K54" i="21" s="1"/>
  <c r="I53" i="21"/>
  <c r="K53" i="21" s="1"/>
  <c r="I52" i="21"/>
  <c r="K52" i="21" s="1"/>
  <c r="I51" i="21"/>
  <c r="K51" i="21" s="1"/>
  <c r="I50" i="21"/>
  <c r="K50" i="21" s="1"/>
  <c r="I49" i="21"/>
  <c r="K49" i="21" s="1"/>
  <c r="I48" i="21"/>
  <c r="K48" i="21" s="1"/>
  <c r="I47" i="21"/>
  <c r="K47" i="21" s="1"/>
  <c r="I46" i="21"/>
  <c r="K46" i="21" s="1"/>
  <c r="I45" i="21"/>
  <c r="K45" i="21" s="1"/>
  <c r="I44" i="21"/>
  <c r="K44" i="21" s="1"/>
  <c r="I43" i="21"/>
  <c r="K43" i="21" s="1"/>
  <c r="I42" i="21"/>
  <c r="K42" i="21" s="1"/>
  <c r="I41" i="21"/>
  <c r="K41" i="21" s="1"/>
  <c r="I40" i="21"/>
  <c r="K40" i="21" s="1"/>
  <c r="I39" i="21"/>
  <c r="K39" i="21" s="1"/>
  <c r="I38" i="21"/>
  <c r="K38" i="21" s="1"/>
  <c r="I37" i="21"/>
  <c r="K37" i="21" s="1"/>
  <c r="I36" i="21"/>
  <c r="K36" i="21" s="1"/>
  <c r="I35" i="21"/>
  <c r="K35" i="21" s="1"/>
  <c r="I34" i="21"/>
  <c r="K34" i="21" s="1"/>
  <c r="I33" i="21"/>
  <c r="K33" i="21" s="1"/>
  <c r="I32" i="21"/>
  <c r="K32" i="21" s="1"/>
  <c r="I31" i="21"/>
  <c r="K31" i="21" s="1"/>
  <c r="I30" i="21"/>
  <c r="K30" i="21" s="1"/>
  <c r="I29" i="21"/>
  <c r="K29" i="21" s="1"/>
  <c r="I28" i="21"/>
  <c r="K28" i="21" s="1"/>
  <c r="I27" i="21"/>
  <c r="K27" i="21" s="1"/>
  <c r="I26" i="21"/>
  <c r="K26" i="21" s="1"/>
  <c r="I25" i="21"/>
  <c r="K25" i="21" s="1"/>
  <c r="I24" i="21"/>
  <c r="K24" i="21" s="1"/>
  <c r="I23" i="21"/>
  <c r="K23" i="21" s="1"/>
  <c r="I22" i="21"/>
  <c r="K22" i="21" s="1"/>
  <c r="I21" i="21"/>
  <c r="K21" i="21" s="1"/>
  <c r="I20" i="21"/>
  <c r="K20" i="21" s="1"/>
  <c r="I19" i="21"/>
  <c r="K19" i="21" s="1"/>
  <c r="I18" i="21"/>
  <c r="K18" i="21" s="1"/>
  <c r="I17" i="21"/>
  <c r="K17" i="21" s="1"/>
  <c r="I16" i="21"/>
  <c r="K16" i="21" s="1"/>
  <c r="I15" i="21"/>
  <c r="K15" i="21" s="1"/>
  <c r="I14" i="21"/>
  <c r="K14" i="21" s="1"/>
  <c r="I13" i="21"/>
  <c r="K13" i="21" s="1"/>
  <c r="I12" i="21"/>
  <c r="K12" i="21" s="1"/>
  <c r="I11" i="21"/>
  <c r="K11" i="21" s="1"/>
  <c r="I10" i="21"/>
  <c r="K10" i="21" s="1"/>
  <c r="I9" i="21"/>
  <c r="K9" i="21" s="1"/>
  <c r="I8" i="21"/>
  <c r="K8" i="21" s="1"/>
  <c r="I7" i="21"/>
  <c r="K7" i="21" s="1"/>
  <c r="I6" i="21"/>
  <c r="K6" i="21" s="1"/>
  <c r="I5" i="21"/>
  <c r="K5" i="21" s="1"/>
  <c r="I4" i="21"/>
  <c r="K4" i="21" s="1"/>
  <c r="I3" i="21"/>
  <c r="K3" i="21" s="1"/>
  <c r="AJ41" i="60" l="1" a="1"/>
  <c r="AJ41" i="60" s="1"/>
  <c r="AB40" i="60" a="1"/>
  <c r="AB40" i="60" s="1"/>
  <c r="AB48" i="60" s="1"/>
  <c r="AB8" i="60" s="1"/>
  <c r="AB39" i="60" a="1"/>
  <c r="AB39" i="60" s="1"/>
  <c r="AB47" i="60" s="1"/>
  <c r="AB7" i="60" s="1"/>
  <c r="AB38" i="60" a="1"/>
  <c r="AB38" i="60" s="1"/>
  <c r="AB46" i="60" s="1"/>
  <c r="AB6" i="60" s="1"/>
  <c r="AB37" i="60" a="1"/>
  <c r="AB37" i="60" s="1"/>
  <c r="AB45" i="60" s="1"/>
  <c r="AB5" i="60" s="1"/>
  <c r="AB36" i="60" a="1"/>
  <c r="AB36" i="60" s="1"/>
  <c r="AB44" i="60" s="1"/>
  <c r="AB4" i="60" s="1"/>
  <c r="E38" i="60" a="1"/>
  <c r="E38" i="60" s="1"/>
  <c r="E49" i="60" s="1"/>
  <c r="E6" i="60" s="1"/>
  <c r="E36" i="60" a="1"/>
  <c r="E36" i="60" s="1"/>
  <c r="E47" i="60" s="1"/>
  <c r="E4" i="60" s="1"/>
  <c r="D40" i="60" a="1"/>
  <c r="D40" i="60" s="1"/>
  <c r="D51" i="60" s="1"/>
  <c r="D8" i="60" s="1"/>
  <c r="D37" i="60" a="1"/>
  <c r="D37" i="60" s="1"/>
  <c r="D48" i="60" s="1"/>
  <c r="D5" i="60" s="1"/>
  <c r="AC36" i="60" a="1"/>
  <c r="AC36" i="60" s="1"/>
  <c r="AC44" i="60" s="1"/>
  <c r="AC4" i="60" s="1"/>
  <c r="E41" i="60" a="1"/>
  <c r="E41" i="60" s="1"/>
  <c r="E52" i="60" s="1"/>
  <c r="E9" i="60" s="1"/>
  <c r="E40" i="60" a="1"/>
  <c r="E40" i="60" s="1"/>
  <c r="E51" i="60" s="1"/>
  <c r="E8" i="60" s="1"/>
  <c r="E39" i="60" a="1"/>
  <c r="E39" i="60" s="1"/>
  <c r="E50" i="60" s="1"/>
  <c r="E7" i="60" s="1"/>
  <c r="E37" i="60" a="1"/>
  <c r="E37" i="60" s="1"/>
  <c r="E48" i="60" s="1"/>
  <c r="E5" i="60" s="1"/>
  <c r="D39" i="60" a="1"/>
  <c r="D39" i="60" s="1"/>
  <c r="D50" i="60" s="1"/>
  <c r="D7" i="60" s="1"/>
  <c r="D36" i="60" a="1"/>
  <c r="D36" i="60" s="1"/>
  <c r="D47" i="60" s="1"/>
  <c r="D4" i="60" s="1"/>
  <c r="AC38" i="60" a="1"/>
  <c r="AC38" i="60" s="1"/>
  <c r="AC46" i="60" s="1"/>
  <c r="AC6" i="60" s="1"/>
  <c r="D41" i="60" a="1"/>
  <c r="D41" i="60" s="1"/>
  <c r="D52" i="60" s="1"/>
  <c r="D9" i="60" s="1"/>
  <c r="D38" i="60" a="1"/>
  <c r="D38" i="60" s="1"/>
  <c r="D49" i="60" s="1"/>
  <c r="D6" i="60" s="1"/>
  <c r="AK41" i="60" a="1"/>
  <c r="AK41" i="60" s="1"/>
  <c r="E43" i="60" a="1"/>
  <c r="E43" i="60" s="1"/>
  <c r="E54" i="60" s="1"/>
  <c r="E11" i="60" s="1"/>
  <c r="AK40" i="60" a="1"/>
  <c r="AK40" i="60" s="1"/>
  <c r="AK39" i="60" a="1"/>
  <c r="AK39" i="60" s="1"/>
  <c r="AK47" i="60" s="1"/>
  <c r="AK38" i="60" a="1"/>
  <c r="AK38" i="60" s="1"/>
  <c r="AK37" i="60" a="1"/>
  <c r="AK37" i="60" s="1"/>
  <c r="AK36" i="60" a="1"/>
  <c r="AK36" i="60" s="1"/>
  <c r="AJ40" i="60" a="1"/>
  <c r="AJ40" i="60" s="1"/>
  <c r="AJ38" i="60" a="1"/>
  <c r="AJ38" i="60" s="1"/>
  <c r="AJ36" i="60" a="1"/>
  <c r="AJ36" i="60" s="1"/>
  <c r="AD37" i="60" a="1"/>
  <c r="AD37" i="60" s="1"/>
  <c r="AD45" i="60" s="1"/>
  <c r="AD5" i="60" s="1"/>
  <c r="AC39" i="60" a="1"/>
  <c r="AC39" i="60" s="1"/>
  <c r="AC47" i="60" s="1"/>
  <c r="AC7" i="60" s="1"/>
  <c r="D43" i="60" a="1"/>
  <c r="D43" i="60" s="1"/>
  <c r="D54" i="60" s="1"/>
  <c r="D11" i="60" s="1"/>
  <c r="AJ39" i="60" a="1"/>
  <c r="AJ39" i="60" s="1"/>
  <c r="AJ47" i="60" s="1"/>
  <c r="AJ37" i="60" a="1"/>
  <c r="AJ37" i="60" s="1"/>
  <c r="AD38" i="60" a="1"/>
  <c r="AD38" i="60" s="1"/>
  <c r="AD46" i="60" s="1"/>
  <c r="AD6" i="60" s="1"/>
  <c r="E42" i="60" a="1"/>
  <c r="E42" i="60" s="1"/>
  <c r="E53" i="60" s="1"/>
  <c r="E10" i="60" s="1"/>
  <c r="AE40" i="60" a="1"/>
  <c r="AE40" i="60" s="1"/>
  <c r="AE48" i="60" s="1"/>
  <c r="AE8" i="60" s="1"/>
  <c r="AE39" i="60" a="1"/>
  <c r="AE39" i="60" s="1"/>
  <c r="AE47" i="60" s="1"/>
  <c r="AE7" i="60" s="1"/>
  <c r="AE38" i="60" a="1"/>
  <c r="AE38" i="60" s="1"/>
  <c r="AE46" i="60" s="1"/>
  <c r="AE6" i="60" s="1"/>
  <c r="AE37" i="60" a="1"/>
  <c r="AE37" i="60" s="1"/>
  <c r="AE45" i="60" s="1"/>
  <c r="AE5" i="60" s="1"/>
  <c r="AE36" i="60" a="1"/>
  <c r="AE36" i="60" s="1"/>
  <c r="AE44" i="60" s="1"/>
  <c r="AE4" i="60" s="1"/>
  <c r="AD40" i="60" a="1"/>
  <c r="AD40" i="60" s="1"/>
  <c r="AD48" i="60" s="1"/>
  <c r="AD8" i="60" s="1"/>
  <c r="AD36" i="60" a="1"/>
  <c r="AD36" i="60" s="1"/>
  <c r="AD44" i="60" s="1"/>
  <c r="AD4" i="60" s="1"/>
  <c r="AC37" i="60" a="1"/>
  <c r="AC37" i="60" s="1"/>
  <c r="AC45" i="60" s="1"/>
  <c r="AC5" i="60" s="1"/>
  <c r="D42" i="60" a="1"/>
  <c r="D42" i="60" s="1"/>
  <c r="D53" i="60" s="1"/>
  <c r="D10" i="60" s="1"/>
  <c r="AD39" i="60" a="1"/>
  <c r="AD39" i="60" s="1"/>
  <c r="AD47" i="60" s="1"/>
  <c r="AD7" i="60" s="1"/>
  <c r="AC40" i="60" a="1"/>
  <c r="AC40" i="60" s="1"/>
  <c r="AC48" i="60" s="1"/>
  <c r="AC8" i="60" s="1"/>
  <c r="D77" i="61" a="1"/>
  <c r="D77" i="61" s="1"/>
  <c r="D117" i="61" s="1"/>
  <c r="D30" i="61" s="1"/>
  <c r="D69" i="61" a="1"/>
  <c r="D69" i="61" s="1"/>
  <c r="D109" i="61" s="1"/>
  <c r="D24" i="61" s="1"/>
  <c r="D53" i="61" a="1"/>
  <c r="D53" i="61" s="1"/>
  <c r="D93" i="61" s="1"/>
  <c r="D12" i="61" s="1"/>
  <c r="D45" i="61" a="1"/>
  <c r="D45" i="61" s="1"/>
  <c r="D85" i="61" s="1"/>
  <c r="D6" i="61" s="1"/>
  <c r="D67" i="61" a="1"/>
  <c r="D67" i="61" s="1"/>
  <c r="D107" i="61" s="1"/>
  <c r="D22" i="61" s="1"/>
  <c r="D43" i="61" a="1"/>
  <c r="D43" i="61" s="1"/>
  <c r="D46" i="61" a="1"/>
  <c r="D46" i="61" s="1"/>
  <c r="D86" i="61" s="1"/>
  <c r="D76" i="61" a="1"/>
  <c r="D76" i="61" s="1"/>
  <c r="D116" i="61" s="1"/>
  <c r="D68" i="61" a="1"/>
  <c r="D68" i="61" s="1"/>
  <c r="D108" i="61" s="1"/>
  <c r="D62" i="61" a="1"/>
  <c r="D62" i="61" s="1"/>
  <c r="D102" i="61" s="1"/>
  <c r="D58" i="61" a="1"/>
  <c r="D58" i="61" s="1"/>
  <c r="D98" i="61" s="1"/>
  <c r="D52" i="61" a="1"/>
  <c r="D52" i="61" s="1"/>
  <c r="D92" i="61" s="1"/>
  <c r="D44" i="61" a="1"/>
  <c r="D44" i="61" s="1"/>
  <c r="D84" i="61" s="1"/>
  <c r="D5" i="61" s="1"/>
  <c r="D75" i="61" a="1"/>
  <c r="D75" i="61" s="1"/>
  <c r="D115" i="61" s="1"/>
  <c r="D28" i="61" s="1"/>
  <c r="D51" i="61" a="1"/>
  <c r="D51" i="61" s="1"/>
  <c r="D91" i="61" s="1"/>
  <c r="D10" i="61" s="1"/>
  <c r="D74" i="61" a="1"/>
  <c r="D74" i="61" s="1"/>
  <c r="D114" i="61" s="1"/>
  <c r="D66" i="61" a="1"/>
  <c r="D66" i="61" s="1"/>
  <c r="D106" i="61" s="1"/>
  <c r="D61" i="61" a="1"/>
  <c r="D61" i="61" s="1"/>
  <c r="D101" i="61" s="1"/>
  <c r="D18" i="61" s="1"/>
  <c r="D57" i="61" a="1"/>
  <c r="D57" i="61" s="1"/>
  <c r="D97" i="61" s="1"/>
  <c r="D15" i="61" s="1"/>
  <c r="D50" i="61" a="1"/>
  <c r="D50" i="61" s="1"/>
  <c r="D90" i="61" s="1"/>
  <c r="D73" i="61" a="1"/>
  <c r="D73" i="61" s="1"/>
  <c r="D113" i="61" s="1"/>
  <c r="D27" i="61" s="1"/>
  <c r="D65" i="61" a="1"/>
  <c r="D65" i="61" s="1"/>
  <c r="D105" i="61" s="1"/>
  <c r="D21" i="61" s="1"/>
  <c r="D49" i="61" a="1"/>
  <c r="D49" i="61" s="1"/>
  <c r="D89" i="61" s="1"/>
  <c r="D9" i="61" s="1"/>
  <c r="D78" i="61" a="1"/>
  <c r="D78" i="61" s="1"/>
  <c r="D118" i="61" s="1"/>
  <c r="D59" i="61" a="1"/>
  <c r="D59" i="61" s="1"/>
  <c r="D99" i="61" s="1"/>
  <c r="D16" i="61" s="1"/>
  <c r="D72" i="61" a="1"/>
  <c r="D72" i="61" s="1"/>
  <c r="D112" i="61" s="1"/>
  <c r="D64" i="61" a="1"/>
  <c r="D64" i="61" s="1"/>
  <c r="D104" i="61" s="1"/>
  <c r="D20" i="61" s="1"/>
  <c r="D60" i="61" a="1"/>
  <c r="D60" i="61" s="1"/>
  <c r="D100" i="61" s="1"/>
  <c r="D17" i="61" s="1"/>
  <c r="D56" i="61" a="1"/>
  <c r="D56" i="61" s="1"/>
  <c r="D96" i="61" s="1"/>
  <c r="D14" i="61" s="1"/>
  <c r="D48" i="61" a="1"/>
  <c r="D48" i="61" s="1"/>
  <c r="D88" i="61" s="1"/>
  <c r="D8" i="61" s="1"/>
  <c r="D47" i="61" a="1"/>
  <c r="D47" i="61" s="1"/>
  <c r="D87" i="61" s="1"/>
  <c r="D7" i="61" s="1"/>
  <c r="D70" i="61" a="1"/>
  <c r="D70" i="61" s="1"/>
  <c r="D110" i="61" s="1"/>
  <c r="D54" i="61" a="1"/>
  <c r="D54" i="61" s="1"/>
  <c r="D94" i="61" s="1"/>
  <c r="D71" i="61" a="1"/>
  <c r="D71" i="61" s="1"/>
  <c r="D111" i="61" s="1"/>
  <c r="D25" i="61" s="1"/>
  <c r="D55" i="61" a="1"/>
  <c r="D55" i="61" s="1"/>
  <c r="D95" i="61" s="1"/>
  <c r="D13" i="61" s="1"/>
  <c r="D63" i="61" a="1"/>
  <c r="D63" i="61" s="1"/>
  <c r="D103" i="61" s="1"/>
  <c r="D19" i="61" s="1"/>
  <c r="M48" i="64" a="1"/>
  <c r="M48" i="64" s="1"/>
  <c r="E48" i="64" a="1"/>
  <c r="E48" i="64" s="1"/>
  <c r="J47" i="64" a="1"/>
  <c r="J47" i="64" s="1"/>
  <c r="B47" i="64" a="1"/>
  <c r="B47" i="64" s="1"/>
  <c r="G46" i="64" a="1"/>
  <c r="G46" i="64" s="1"/>
  <c r="L45" i="64" a="1"/>
  <c r="L45" i="64" s="1"/>
  <c r="D45" i="64" a="1"/>
  <c r="D45" i="64" s="1"/>
  <c r="I44" i="64" a="1"/>
  <c r="I44" i="64" s="1"/>
  <c r="N43" i="64" a="1"/>
  <c r="N43" i="64" s="1"/>
  <c r="F43" i="64" a="1"/>
  <c r="F43" i="64" s="1"/>
  <c r="K42" i="64" a="1"/>
  <c r="K42" i="64" s="1"/>
  <c r="C42" i="64" a="1"/>
  <c r="C42" i="64" s="1"/>
  <c r="H41" i="64" a="1"/>
  <c r="H41" i="64" s="1"/>
  <c r="M40" i="64" a="1"/>
  <c r="M40" i="64" s="1"/>
  <c r="E40" i="64" a="1"/>
  <c r="E40" i="64" s="1"/>
  <c r="J39" i="64" a="1"/>
  <c r="J39" i="64" s="1"/>
  <c r="B39" i="64" a="1"/>
  <c r="B39" i="64" s="1"/>
  <c r="G38" i="64" a="1"/>
  <c r="G38" i="64" s="1"/>
  <c r="L37" i="64" a="1"/>
  <c r="L37" i="64" s="1"/>
  <c r="D37" i="64" a="1"/>
  <c r="D37" i="64" s="1"/>
  <c r="I36" i="64" a="1"/>
  <c r="I36" i="64" s="1"/>
  <c r="N35" i="64" a="1"/>
  <c r="N35" i="64" s="1"/>
  <c r="F35" i="64" a="1"/>
  <c r="F35" i="64" s="1"/>
  <c r="K34" i="64" a="1"/>
  <c r="K34" i="64" s="1"/>
  <c r="C34" i="64" a="1"/>
  <c r="C34" i="64" s="1"/>
  <c r="H33" i="64" a="1"/>
  <c r="H33" i="64" s="1"/>
  <c r="M32" i="64" a="1"/>
  <c r="M32" i="64" s="1"/>
  <c r="E32" i="64" a="1"/>
  <c r="E32" i="64" s="1"/>
  <c r="J31" i="64" a="1"/>
  <c r="J31" i="64" s="1"/>
  <c r="B31" i="64" a="1"/>
  <c r="B31" i="64" s="1"/>
  <c r="G30" i="64" a="1"/>
  <c r="G30" i="64" s="1"/>
  <c r="L29" i="64" a="1"/>
  <c r="L29" i="64" s="1"/>
  <c r="D29" i="64" a="1"/>
  <c r="D29" i="64" s="1"/>
  <c r="L48" i="64" a="1"/>
  <c r="L48" i="64" s="1"/>
  <c r="D48" i="64" a="1"/>
  <c r="D48" i="64" s="1"/>
  <c r="I47" i="64" a="1"/>
  <c r="I47" i="64" s="1"/>
  <c r="N46" i="64" a="1"/>
  <c r="N46" i="64" s="1"/>
  <c r="F46" i="64" a="1"/>
  <c r="F46" i="64" s="1"/>
  <c r="K45" i="64" a="1"/>
  <c r="K45" i="64" s="1"/>
  <c r="C45" i="64" a="1"/>
  <c r="C45" i="64" s="1"/>
  <c r="H44" i="64" a="1"/>
  <c r="H44" i="64" s="1"/>
  <c r="M43" i="64" a="1"/>
  <c r="M43" i="64" s="1"/>
  <c r="E43" i="64" a="1"/>
  <c r="E43" i="64" s="1"/>
  <c r="J42" i="64" a="1"/>
  <c r="J42" i="64" s="1"/>
  <c r="B42" i="64" a="1"/>
  <c r="B42" i="64" s="1"/>
  <c r="G41" i="64" a="1"/>
  <c r="G41" i="64" s="1"/>
  <c r="L40" i="64" a="1"/>
  <c r="L40" i="64" s="1"/>
  <c r="D40" i="64" a="1"/>
  <c r="D40" i="64" s="1"/>
  <c r="I39" i="64" a="1"/>
  <c r="I39" i="64" s="1"/>
  <c r="N38" i="64" a="1"/>
  <c r="N38" i="64" s="1"/>
  <c r="F38" i="64" a="1"/>
  <c r="F38" i="64" s="1"/>
  <c r="K37" i="64" a="1"/>
  <c r="K37" i="64" s="1"/>
  <c r="C37" i="64" a="1"/>
  <c r="C37" i="64" s="1"/>
  <c r="H36" i="64" a="1"/>
  <c r="H36" i="64" s="1"/>
  <c r="M35" i="64" a="1"/>
  <c r="M35" i="64" s="1"/>
  <c r="E35" i="64" a="1"/>
  <c r="E35" i="64" s="1"/>
  <c r="J34" i="64" a="1"/>
  <c r="J34" i="64" s="1"/>
  <c r="B34" i="64" a="1"/>
  <c r="B34" i="64" s="1"/>
  <c r="G33" i="64" a="1"/>
  <c r="G33" i="64" s="1"/>
  <c r="L32" i="64" a="1"/>
  <c r="L32" i="64" s="1"/>
  <c r="D32" i="64" a="1"/>
  <c r="D32" i="64" s="1"/>
  <c r="I31" i="64" a="1"/>
  <c r="I31" i="64" s="1"/>
  <c r="N30" i="64" a="1"/>
  <c r="N30" i="64" s="1"/>
  <c r="F30" i="64" a="1"/>
  <c r="F30" i="64" s="1"/>
  <c r="K29" i="64" a="1"/>
  <c r="K29" i="64" s="1"/>
  <c r="C29" i="64" a="1"/>
  <c r="C29" i="64" s="1"/>
  <c r="B29" i="64" a="1"/>
  <c r="B29" i="64" s="1"/>
  <c r="K48" i="64" a="1"/>
  <c r="K48" i="64" s="1"/>
  <c r="C48" i="64" a="1"/>
  <c r="C48" i="64" s="1"/>
  <c r="H47" i="64" a="1"/>
  <c r="H47" i="64" s="1"/>
  <c r="M46" i="64" a="1"/>
  <c r="M46" i="64" s="1"/>
  <c r="E46" i="64" a="1"/>
  <c r="E46" i="64" s="1"/>
  <c r="J45" i="64" a="1"/>
  <c r="J45" i="64" s="1"/>
  <c r="B45" i="64" a="1"/>
  <c r="B45" i="64" s="1"/>
  <c r="G44" i="64" a="1"/>
  <c r="G44" i="64" s="1"/>
  <c r="L43" i="64" a="1"/>
  <c r="L43" i="64" s="1"/>
  <c r="D43" i="64" a="1"/>
  <c r="D43" i="64" s="1"/>
  <c r="I42" i="64" a="1"/>
  <c r="I42" i="64" s="1"/>
  <c r="N41" i="64" a="1"/>
  <c r="N41" i="64" s="1"/>
  <c r="F41" i="64" a="1"/>
  <c r="F41" i="64" s="1"/>
  <c r="K40" i="64" a="1"/>
  <c r="K40" i="64" s="1"/>
  <c r="C40" i="64" a="1"/>
  <c r="C40" i="64" s="1"/>
  <c r="H39" i="64" a="1"/>
  <c r="H39" i="64" s="1"/>
  <c r="M38" i="64" a="1"/>
  <c r="M38" i="64" s="1"/>
  <c r="E38" i="64" a="1"/>
  <c r="E38" i="64" s="1"/>
  <c r="J37" i="64" a="1"/>
  <c r="J37" i="64" s="1"/>
  <c r="B37" i="64" a="1"/>
  <c r="B37" i="64" s="1"/>
  <c r="G36" i="64" a="1"/>
  <c r="G36" i="64" s="1"/>
  <c r="L35" i="64" a="1"/>
  <c r="L35" i="64" s="1"/>
  <c r="D35" i="64" a="1"/>
  <c r="D35" i="64" s="1"/>
  <c r="I34" i="64" a="1"/>
  <c r="I34" i="64" s="1"/>
  <c r="N33" i="64" a="1"/>
  <c r="N33" i="64" s="1"/>
  <c r="F33" i="64" a="1"/>
  <c r="F33" i="64" s="1"/>
  <c r="K32" i="64" a="1"/>
  <c r="K32" i="64" s="1"/>
  <c r="C32" i="64" a="1"/>
  <c r="C32" i="64" s="1"/>
  <c r="H31" i="64" a="1"/>
  <c r="H31" i="64" s="1"/>
  <c r="M30" i="64" a="1"/>
  <c r="M30" i="64" s="1"/>
  <c r="E30" i="64" a="1"/>
  <c r="E30" i="64" s="1"/>
  <c r="J29" i="64" a="1"/>
  <c r="J29" i="64" s="1"/>
  <c r="J48" i="64" a="1"/>
  <c r="J48" i="64" s="1"/>
  <c r="B48" i="64" a="1"/>
  <c r="B48" i="64" s="1"/>
  <c r="G47" i="64" a="1"/>
  <c r="G47" i="64" s="1"/>
  <c r="L46" i="64" a="1"/>
  <c r="L46" i="64" s="1"/>
  <c r="D46" i="64" a="1"/>
  <c r="D46" i="64" s="1"/>
  <c r="I45" i="64" a="1"/>
  <c r="I45" i="64" s="1"/>
  <c r="N44" i="64" a="1"/>
  <c r="N44" i="64" s="1"/>
  <c r="F44" i="64" a="1"/>
  <c r="F44" i="64" s="1"/>
  <c r="K43" i="64" a="1"/>
  <c r="K43" i="64" s="1"/>
  <c r="C43" i="64" a="1"/>
  <c r="C43" i="64" s="1"/>
  <c r="H42" i="64" a="1"/>
  <c r="H42" i="64" s="1"/>
  <c r="M41" i="64" a="1"/>
  <c r="M41" i="64" s="1"/>
  <c r="E41" i="64" a="1"/>
  <c r="E41" i="64" s="1"/>
  <c r="J40" i="64" a="1"/>
  <c r="J40" i="64" s="1"/>
  <c r="B40" i="64" a="1"/>
  <c r="B40" i="64" s="1"/>
  <c r="G39" i="64" a="1"/>
  <c r="G39" i="64" s="1"/>
  <c r="L38" i="64" a="1"/>
  <c r="L38" i="64" s="1"/>
  <c r="D38" i="64" a="1"/>
  <c r="D38" i="64" s="1"/>
  <c r="I37" i="64" a="1"/>
  <c r="I37" i="64" s="1"/>
  <c r="N36" i="64" a="1"/>
  <c r="N36" i="64" s="1"/>
  <c r="F36" i="64" a="1"/>
  <c r="F36" i="64" s="1"/>
  <c r="K35" i="64" a="1"/>
  <c r="K35" i="64" s="1"/>
  <c r="C35" i="64" a="1"/>
  <c r="C35" i="64" s="1"/>
  <c r="H34" i="64" a="1"/>
  <c r="H34" i="64" s="1"/>
  <c r="M33" i="64" a="1"/>
  <c r="M33" i="64" s="1"/>
  <c r="E33" i="64" a="1"/>
  <c r="E33" i="64" s="1"/>
  <c r="J32" i="64" a="1"/>
  <c r="J32" i="64" s="1"/>
  <c r="B32" i="64" a="1"/>
  <c r="B32" i="64" s="1"/>
  <c r="G31" i="64" a="1"/>
  <c r="G31" i="64" s="1"/>
  <c r="L30" i="64" a="1"/>
  <c r="L30" i="64" s="1"/>
  <c r="D30" i="64" a="1"/>
  <c r="D30" i="64" s="1"/>
  <c r="I29" i="64" a="1"/>
  <c r="I29" i="64" s="1"/>
  <c r="I48" i="64" a="1"/>
  <c r="I48" i="64" s="1"/>
  <c r="N47" i="64" a="1"/>
  <c r="N47" i="64" s="1"/>
  <c r="F47" i="64" a="1"/>
  <c r="F47" i="64" s="1"/>
  <c r="K46" i="64" a="1"/>
  <c r="K46" i="64" s="1"/>
  <c r="C46" i="64" a="1"/>
  <c r="C46" i="64" s="1"/>
  <c r="H45" i="64" a="1"/>
  <c r="H45" i="64" s="1"/>
  <c r="M44" i="64" a="1"/>
  <c r="M44" i="64" s="1"/>
  <c r="E44" i="64" a="1"/>
  <c r="E44" i="64" s="1"/>
  <c r="J43" i="64" a="1"/>
  <c r="J43" i="64" s="1"/>
  <c r="B43" i="64" a="1"/>
  <c r="B43" i="64" s="1"/>
  <c r="G42" i="64" a="1"/>
  <c r="G42" i="64" s="1"/>
  <c r="L41" i="64" a="1"/>
  <c r="L41" i="64" s="1"/>
  <c r="D41" i="64" a="1"/>
  <c r="D41" i="64" s="1"/>
  <c r="I40" i="64" a="1"/>
  <c r="I40" i="64" s="1"/>
  <c r="N39" i="64" a="1"/>
  <c r="N39" i="64" s="1"/>
  <c r="F39" i="64" a="1"/>
  <c r="F39" i="64" s="1"/>
  <c r="K38" i="64" a="1"/>
  <c r="K38" i="64" s="1"/>
  <c r="C38" i="64" a="1"/>
  <c r="C38" i="64" s="1"/>
  <c r="H37" i="64" a="1"/>
  <c r="H37" i="64" s="1"/>
  <c r="M36" i="64" a="1"/>
  <c r="M36" i="64" s="1"/>
  <c r="E36" i="64" a="1"/>
  <c r="E36" i="64" s="1"/>
  <c r="J35" i="64" a="1"/>
  <c r="J35" i="64" s="1"/>
  <c r="B35" i="64" a="1"/>
  <c r="B35" i="64" s="1"/>
  <c r="G34" i="64" a="1"/>
  <c r="G34" i="64" s="1"/>
  <c r="L33" i="64" a="1"/>
  <c r="L33" i="64" s="1"/>
  <c r="D33" i="64" a="1"/>
  <c r="D33" i="64" s="1"/>
  <c r="I32" i="64" a="1"/>
  <c r="I32" i="64" s="1"/>
  <c r="N31" i="64" a="1"/>
  <c r="N31" i="64" s="1"/>
  <c r="F31" i="64" a="1"/>
  <c r="F31" i="64" s="1"/>
  <c r="K30" i="64" a="1"/>
  <c r="K30" i="64" s="1"/>
  <c r="C30" i="64" a="1"/>
  <c r="C30" i="64" s="1"/>
  <c r="H29" i="64" a="1"/>
  <c r="H29" i="64" s="1"/>
  <c r="E29" i="64" a="1"/>
  <c r="E29" i="64" s="1"/>
  <c r="H48" i="64" a="1"/>
  <c r="H48" i="64" s="1"/>
  <c r="M47" i="64" a="1"/>
  <c r="M47" i="64" s="1"/>
  <c r="E47" i="64" a="1"/>
  <c r="E47" i="64" s="1"/>
  <c r="J46" i="64" a="1"/>
  <c r="J46" i="64" s="1"/>
  <c r="B46" i="64" a="1"/>
  <c r="B46" i="64" s="1"/>
  <c r="G45" i="64" a="1"/>
  <c r="G45" i="64" s="1"/>
  <c r="L44" i="64" a="1"/>
  <c r="L44" i="64" s="1"/>
  <c r="D44" i="64" a="1"/>
  <c r="D44" i="64" s="1"/>
  <c r="I43" i="64" a="1"/>
  <c r="I43" i="64" s="1"/>
  <c r="N42" i="64" a="1"/>
  <c r="N42" i="64" s="1"/>
  <c r="F42" i="64" a="1"/>
  <c r="F42" i="64" s="1"/>
  <c r="K41" i="64" a="1"/>
  <c r="K41" i="64" s="1"/>
  <c r="C41" i="64" a="1"/>
  <c r="C41" i="64" s="1"/>
  <c r="H40" i="64" a="1"/>
  <c r="H40" i="64" s="1"/>
  <c r="M39" i="64" a="1"/>
  <c r="M39" i="64" s="1"/>
  <c r="E39" i="64" a="1"/>
  <c r="E39" i="64" s="1"/>
  <c r="J38" i="64" a="1"/>
  <c r="J38" i="64" s="1"/>
  <c r="B38" i="64" a="1"/>
  <c r="B38" i="64" s="1"/>
  <c r="G37" i="64" a="1"/>
  <c r="G37" i="64" s="1"/>
  <c r="L36" i="64" a="1"/>
  <c r="L36" i="64" s="1"/>
  <c r="D36" i="64" a="1"/>
  <c r="D36" i="64" s="1"/>
  <c r="I35" i="64" a="1"/>
  <c r="I35" i="64" s="1"/>
  <c r="N34" i="64" a="1"/>
  <c r="N34" i="64" s="1"/>
  <c r="F34" i="64" a="1"/>
  <c r="F34" i="64" s="1"/>
  <c r="K33" i="64" a="1"/>
  <c r="K33" i="64" s="1"/>
  <c r="C33" i="64" a="1"/>
  <c r="C33" i="64" s="1"/>
  <c r="H32" i="64" a="1"/>
  <c r="H32" i="64" s="1"/>
  <c r="M31" i="64" a="1"/>
  <c r="M31" i="64" s="1"/>
  <c r="E31" i="64" a="1"/>
  <c r="E31" i="64" s="1"/>
  <c r="J30" i="64" a="1"/>
  <c r="J30" i="64" s="1"/>
  <c r="B30" i="64" a="1"/>
  <c r="B30" i="64" s="1"/>
  <c r="G29" i="64" a="1"/>
  <c r="G29" i="64" s="1"/>
  <c r="F29" i="64" a="1"/>
  <c r="F29" i="64" s="1"/>
  <c r="G48" i="64" a="1"/>
  <c r="G48" i="64" s="1"/>
  <c r="L47" i="64" a="1"/>
  <c r="L47" i="64" s="1"/>
  <c r="D47" i="64" a="1"/>
  <c r="D47" i="64" s="1"/>
  <c r="I46" i="64" a="1"/>
  <c r="I46" i="64" s="1"/>
  <c r="N45" i="64" a="1"/>
  <c r="N45" i="64" s="1"/>
  <c r="F45" i="64" a="1"/>
  <c r="F45" i="64" s="1"/>
  <c r="K44" i="64" a="1"/>
  <c r="K44" i="64" s="1"/>
  <c r="C44" i="64" a="1"/>
  <c r="C44" i="64" s="1"/>
  <c r="H43" i="64" a="1"/>
  <c r="H43" i="64" s="1"/>
  <c r="M42" i="64" a="1"/>
  <c r="M42" i="64" s="1"/>
  <c r="E42" i="64" a="1"/>
  <c r="E42" i="64" s="1"/>
  <c r="J41" i="64" a="1"/>
  <c r="J41" i="64" s="1"/>
  <c r="B41" i="64" a="1"/>
  <c r="B41" i="64" s="1"/>
  <c r="G40" i="64" a="1"/>
  <c r="G40" i="64" s="1"/>
  <c r="L39" i="64" a="1"/>
  <c r="L39" i="64" s="1"/>
  <c r="D39" i="64" a="1"/>
  <c r="D39" i="64" s="1"/>
  <c r="I38" i="64" a="1"/>
  <c r="I38" i="64" s="1"/>
  <c r="N37" i="64" a="1"/>
  <c r="N37" i="64" s="1"/>
  <c r="F37" i="64" a="1"/>
  <c r="F37" i="64" s="1"/>
  <c r="K36" i="64" a="1"/>
  <c r="K36" i="64" s="1"/>
  <c r="C36" i="64" a="1"/>
  <c r="C36" i="64" s="1"/>
  <c r="H35" i="64" a="1"/>
  <c r="H35" i="64" s="1"/>
  <c r="M34" i="64" a="1"/>
  <c r="M34" i="64" s="1"/>
  <c r="E34" i="64" a="1"/>
  <c r="E34" i="64" s="1"/>
  <c r="J33" i="64" a="1"/>
  <c r="J33" i="64" s="1"/>
  <c r="B33" i="64" a="1"/>
  <c r="B33" i="64" s="1"/>
  <c r="G32" i="64" a="1"/>
  <c r="G32" i="64" s="1"/>
  <c r="L31" i="64" a="1"/>
  <c r="L31" i="64" s="1"/>
  <c r="D31" i="64" a="1"/>
  <c r="D31" i="64" s="1"/>
  <c r="I30" i="64" a="1"/>
  <c r="I30" i="64" s="1"/>
  <c r="N29" i="64" a="1"/>
  <c r="N29" i="64" s="1"/>
  <c r="M29" i="64" a="1"/>
  <c r="M29" i="64" s="1"/>
  <c r="N48" i="64" a="1"/>
  <c r="N48" i="64" s="1"/>
  <c r="F48" i="64" a="1"/>
  <c r="F48" i="64" s="1"/>
  <c r="K47" i="64" a="1"/>
  <c r="K47" i="64" s="1"/>
  <c r="C47" i="64" a="1"/>
  <c r="C47" i="64" s="1"/>
  <c r="H46" i="64" a="1"/>
  <c r="H46" i="64" s="1"/>
  <c r="M45" i="64" a="1"/>
  <c r="M45" i="64" s="1"/>
  <c r="E45" i="64" a="1"/>
  <c r="E45" i="64" s="1"/>
  <c r="J44" i="64" a="1"/>
  <c r="J44" i="64" s="1"/>
  <c r="B44" i="64" a="1"/>
  <c r="B44" i="64" s="1"/>
  <c r="G43" i="64" a="1"/>
  <c r="G43" i="64" s="1"/>
  <c r="L42" i="64" a="1"/>
  <c r="L42" i="64" s="1"/>
  <c r="D42" i="64" a="1"/>
  <c r="D42" i="64" s="1"/>
  <c r="I41" i="64" a="1"/>
  <c r="I41" i="64" s="1"/>
  <c r="N40" i="64" a="1"/>
  <c r="N40" i="64" s="1"/>
  <c r="F40" i="64" a="1"/>
  <c r="F40" i="64" s="1"/>
  <c r="K39" i="64" a="1"/>
  <c r="K39" i="64" s="1"/>
  <c r="C39" i="64" a="1"/>
  <c r="C39" i="64" s="1"/>
  <c r="H38" i="64" a="1"/>
  <c r="H38" i="64" s="1"/>
  <c r="M37" i="64" a="1"/>
  <c r="M37" i="64" s="1"/>
  <c r="E37" i="64" a="1"/>
  <c r="E37" i="64" s="1"/>
  <c r="J36" i="64" a="1"/>
  <c r="J36" i="64" s="1"/>
  <c r="B36" i="64" a="1"/>
  <c r="B36" i="64" s="1"/>
  <c r="G35" i="64" a="1"/>
  <c r="G35" i="64" s="1"/>
  <c r="L34" i="64" a="1"/>
  <c r="L34" i="64" s="1"/>
  <c r="D34" i="64" a="1"/>
  <c r="D34" i="64" s="1"/>
  <c r="I33" i="64" a="1"/>
  <c r="I33" i="64" s="1"/>
  <c r="N32" i="64" a="1"/>
  <c r="N32" i="64" s="1"/>
  <c r="F32" i="64" a="1"/>
  <c r="F32" i="64" s="1"/>
  <c r="K31" i="64" a="1"/>
  <c r="K31" i="64" s="1"/>
  <c r="C31" i="64" a="1"/>
  <c r="C31" i="64" s="1"/>
  <c r="H30" i="64" a="1"/>
  <c r="H30" i="64" s="1"/>
  <c r="C77" i="61" a="1"/>
  <c r="C77" i="61" s="1"/>
  <c r="C117" i="61" s="1"/>
  <c r="C30" i="61" s="1"/>
  <c r="C73" i="61" a="1"/>
  <c r="C73" i="61" s="1"/>
  <c r="C113" i="61" s="1"/>
  <c r="C27" i="61" s="1"/>
  <c r="C69" i="61" a="1"/>
  <c r="C69" i="61" s="1"/>
  <c r="C109" i="61" s="1"/>
  <c r="C24" i="61" s="1"/>
  <c r="C65" i="61" a="1"/>
  <c r="C65" i="61" s="1"/>
  <c r="C105" i="61" s="1"/>
  <c r="C21" i="61" s="1"/>
  <c r="C62" i="61" a="1"/>
  <c r="C62" i="61" s="1"/>
  <c r="C102" i="61" s="1"/>
  <c r="C53" i="61" a="1"/>
  <c r="C53" i="61" s="1"/>
  <c r="C93" i="61" s="1"/>
  <c r="C12" i="61" s="1"/>
  <c r="C49" i="61" a="1"/>
  <c r="C49" i="61" s="1"/>
  <c r="C89" i="61" s="1"/>
  <c r="C9" i="61" s="1"/>
  <c r="C45" i="61" a="1"/>
  <c r="C45" i="61" s="1"/>
  <c r="C85" i="61" s="1"/>
  <c r="C6" i="61" s="1"/>
  <c r="B43" i="60" a="1"/>
  <c r="B43" i="60" s="1"/>
  <c r="B54" i="60" s="1"/>
  <c r="B11" i="60" s="1"/>
  <c r="T38" i="60" a="1"/>
  <c r="T38" i="60" s="1"/>
  <c r="T46" i="60" s="1"/>
  <c r="T6" i="60" s="1"/>
  <c r="C59" i="61" a="1"/>
  <c r="C59" i="61" s="1"/>
  <c r="C99" i="61" s="1"/>
  <c r="C16" i="61" s="1"/>
  <c r="C41" i="60" a="1"/>
  <c r="C41" i="60" s="1"/>
  <c r="C52" i="60" s="1"/>
  <c r="C9" i="60" s="1"/>
  <c r="W40" i="60" a="1"/>
  <c r="W40" i="60" s="1"/>
  <c r="W48" i="60" s="1"/>
  <c r="W8" i="60" s="1"/>
  <c r="U39" i="60" a="1"/>
  <c r="U39" i="60" s="1"/>
  <c r="U47" i="60" s="1"/>
  <c r="U7" i="60" s="1"/>
  <c r="C37" i="60" a="1"/>
  <c r="C37" i="60" s="1"/>
  <c r="C48" i="60" s="1"/>
  <c r="C5" i="60" s="1"/>
  <c r="W36" i="60" a="1"/>
  <c r="W36" i="60" s="1"/>
  <c r="W44" i="60" s="1"/>
  <c r="W4" i="60" s="1"/>
  <c r="C48" i="61" a="1"/>
  <c r="C48" i="61" s="1"/>
  <c r="C88" i="61" s="1"/>
  <c r="V40" i="60" a="1"/>
  <c r="V40" i="60" s="1"/>
  <c r="V48" i="60" s="1"/>
  <c r="V8" i="60" s="1"/>
  <c r="B37" i="60" a="1"/>
  <c r="B37" i="60" s="1"/>
  <c r="B48" i="60" s="1"/>
  <c r="B5" i="60" s="1"/>
  <c r="V39" i="60" a="1"/>
  <c r="V39" i="60" s="1"/>
  <c r="V47" i="60" s="1"/>
  <c r="V7" i="60" s="1"/>
  <c r="C76" i="61" a="1"/>
  <c r="C76" i="61" s="1"/>
  <c r="C116" i="61" s="1"/>
  <c r="C72" i="61" a="1"/>
  <c r="C72" i="61" s="1"/>
  <c r="C112" i="61" s="1"/>
  <c r="C68" i="61" a="1"/>
  <c r="C68" i="61" s="1"/>
  <c r="C108" i="61" s="1"/>
  <c r="C64" i="61" a="1"/>
  <c r="C64" i="61" s="1"/>
  <c r="C104" i="61" s="1"/>
  <c r="C20" i="61" s="1"/>
  <c r="C56" i="61" a="1"/>
  <c r="C56" i="61" s="1"/>
  <c r="C96" i="61" s="1"/>
  <c r="C52" i="61" a="1"/>
  <c r="C52" i="61" s="1"/>
  <c r="C92" i="61" s="1"/>
  <c r="C44" i="61" a="1"/>
  <c r="C44" i="61" s="1"/>
  <c r="C84" i="61" s="1"/>
  <c r="C5" i="61" s="1"/>
  <c r="B41" i="60" a="1"/>
  <c r="B41" i="60" s="1"/>
  <c r="B52" i="60" s="1"/>
  <c r="B9" i="60" s="1"/>
  <c r="T39" i="60" a="1"/>
  <c r="T39" i="60" s="1"/>
  <c r="T47" i="60" s="1"/>
  <c r="T7" i="60" s="1"/>
  <c r="V36" i="60" a="1"/>
  <c r="V36" i="60" s="1"/>
  <c r="V44" i="60" s="1"/>
  <c r="V4" i="60" s="1"/>
  <c r="C61" i="61" a="1"/>
  <c r="C61" i="61" s="1"/>
  <c r="C101" i="61" s="1"/>
  <c r="C18" i="61" s="1"/>
  <c r="C42" i="60" a="1"/>
  <c r="C42" i="60" s="1"/>
  <c r="C53" i="60" s="1"/>
  <c r="C10" i="60" s="1"/>
  <c r="U40" i="60" a="1"/>
  <c r="U40" i="60" s="1"/>
  <c r="U48" i="60" s="1"/>
  <c r="U8" i="60" s="1"/>
  <c r="C38" i="60" a="1"/>
  <c r="C38" i="60" s="1"/>
  <c r="C49" i="60" s="1"/>
  <c r="C6" i="60" s="1"/>
  <c r="W37" i="60" a="1"/>
  <c r="W37" i="60" s="1"/>
  <c r="W45" i="60" s="1"/>
  <c r="W5" i="60" s="1"/>
  <c r="U36" i="60" a="1"/>
  <c r="U36" i="60" s="1"/>
  <c r="U44" i="60" s="1"/>
  <c r="U4" i="60" s="1"/>
  <c r="C47" i="61" a="1"/>
  <c r="C47" i="61" s="1"/>
  <c r="C87" i="61" s="1"/>
  <c r="C7" i="61" s="1"/>
  <c r="T40" i="60" a="1"/>
  <c r="T40" i="60" s="1"/>
  <c r="T48" i="60" s="1"/>
  <c r="T8" i="60" s="1"/>
  <c r="V37" i="60" a="1"/>
  <c r="V37" i="60" s="1"/>
  <c r="V45" i="60" s="1"/>
  <c r="V5" i="60" s="1"/>
  <c r="B40" i="60" a="1"/>
  <c r="B40" i="60" s="1"/>
  <c r="B51" i="60" s="1"/>
  <c r="B8" i="60" s="1"/>
  <c r="C75" i="61" a="1"/>
  <c r="C75" i="61" s="1"/>
  <c r="C115" i="61" s="1"/>
  <c r="C28" i="61" s="1"/>
  <c r="C71" i="61" a="1"/>
  <c r="C71" i="61" s="1"/>
  <c r="C111" i="61" s="1"/>
  <c r="C25" i="61" s="1"/>
  <c r="C67" i="61" a="1"/>
  <c r="C67" i="61" s="1"/>
  <c r="C107" i="61" s="1"/>
  <c r="C22" i="61" s="1"/>
  <c r="C58" i="61" a="1"/>
  <c r="C58" i="61" s="1"/>
  <c r="C98" i="61" s="1"/>
  <c r="C55" i="61" a="1"/>
  <c r="C55" i="61" s="1"/>
  <c r="C95" i="61" s="1"/>
  <c r="C13" i="61" s="1"/>
  <c r="C51" i="61" a="1"/>
  <c r="C51" i="61" s="1"/>
  <c r="C91" i="61" s="1"/>
  <c r="C10" i="61" s="1"/>
  <c r="C43" i="61" a="1"/>
  <c r="C43" i="61" s="1"/>
  <c r="B42" i="60" a="1"/>
  <c r="B42" i="60" s="1"/>
  <c r="B53" i="60" s="1"/>
  <c r="B10" i="60" s="1"/>
  <c r="B38" i="60" a="1"/>
  <c r="B38" i="60" s="1"/>
  <c r="B49" i="60" s="1"/>
  <c r="B6" i="60" s="1"/>
  <c r="T36" i="60" a="1"/>
  <c r="T36" i="60" s="1"/>
  <c r="T44" i="60" s="1"/>
  <c r="T4" i="60" s="1"/>
  <c r="C63" i="61" a="1"/>
  <c r="C63" i="61" s="1"/>
  <c r="C103" i="61" s="1"/>
  <c r="C19" i="61" s="1"/>
  <c r="C39" i="60" a="1"/>
  <c r="C39" i="60" s="1"/>
  <c r="C50" i="60" s="1"/>
  <c r="C7" i="60" s="1"/>
  <c r="W38" i="60" a="1"/>
  <c r="W38" i="60" s="1"/>
  <c r="W46" i="60" s="1"/>
  <c r="W6" i="60" s="1"/>
  <c r="U37" i="60" a="1"/>
  <c r="U37" i="60" s="1"/>
  <c r="U45" i="60" s="1"/>
  <c r="U5" i="60" s="1"/>
  <c r="C54" i="61" a="1"/>
  <c r="C54" i="61" s="1"/>
  <c r="C94" i="61" s="1"/>
  <c r="C50" i="61" a="1"/>
  <c r="C50" i="61" s="1"/>
  <c r="C90" i="61" s="1"/>
  <c r="V38" i="60" a="1"/>
  <c r="V38" i="60" s="1"/>
  <c r="V46" i="60" s="1"/>
  <c r="V6" i="60" s="1"/>
  <c r="C57" i="61" a="1"/>
  <c r="C57" i="61" s="1"/>
  <c r="C97" i="61" s="1"/>
  <c r="C15" i="61" s="1"/>
  <c r="W39" i="60" a="1"/>
  <c r="W39" i="60" s="1"/>
  <c r="W47" i="60" s="1"/>
  <c r="W7" i="60" s="1"/>
  <c r="B36" i="60" a="1"/>
  <c r="B36" i="60" s="1"/>
  <c r="B47" i="60" s="1"/>
  <c r="B4" i="60" s="1"/>
  <c r="C78" i="61" a="1"/>
  <c r="C78" i="61" s="1"/>
  <c r="C118" i="61" s="1"/>
  <c r="C74" i="61" a="1"/>
  <c r="C74" i="61" s="1"/>
  <c r="C114" i="61" s="1"/>
  <c r="C70" i="61" a="1"/>
  <c r="C70" i="61" s="1"/>
  <c r="C110" i="61" s="1"/>
  <c r="C66" i="61" a="1"/>
  <c r="C66" i="61" s="1"/>
  <c r="C106" i="61" s="1"/>
  <c r="C60" i="61" a="1"/>
  <c r="C60" i="61" s="1"/>
  <c r="C100" i="61" s="1"/>
  <c r="C17" i="61" s="1"/>
  <c r="C46" i="61" a="1"/>
  <c r="C46" i="61" s="1"/>
  <c r="C86" i="61" s="1"/>
  <c r="B39" i="60" a="1"/>
  <c r="B39" i="60" s="1"/>
  <c r="B50" i="60" s="1"/>
  <c r="B7" i="60" s="1"/>
  <c r="T37" i="60" a="1"/>
  <c r="T37" i="60" s="1"/>
  <c r="T45" i="60" s="1"/>
  <c r="T5" i="60" s="1"/>
  <c r="C40" i="60" a="1"/>
  <c r="C40" i="60" s="1"/>
  <c r="C51" i="60" s="1"/>
  <c r="C8" i="60" s="1"/>
  <c r="C36" i="60" a="1"/>
  <c r="C36" i="60" s="1"/>
  <c r="C47" i="60" s="1"/>
  <c r="C4" i="60" s="1"/>
  <c r="C43" i="60" a="1"/>
  <c r="C43" i="60" s="1"/>
  <c r="C54" i="60" s="1"/>
  <c r="C11" i="60" s="1"/>
  <c r="U38" i="60" a="1"/>
  <c r="U38" i="60" s="1"/>
  <c r="U46" i="60" s="1"/>
  <c r="U6" i="60" s="1"/>
  <c r="M18" i="51"/>
  <c r="L18" i="51"/>
  <c r="M146" i="51"/>
  <c r="L146" i="51"/>
  <c r="M210" i="51"/>
  <c r="L210" i="51"/>
  <c r="L275" i="51"/>
  <c r="M275" i="51"/>
  <c r="M283" i="51"/>
  <c r="L283" i="51"/>
  <c r="M291" i="51"/>
  <c r="L291" i="51"/>
  <c r="L299" i="51"/>
  <c r="M299" i="51"/>
  <c r="M323" i="51"/>
  <c r="L323" i="51"/>
  <c r="L331" i="51"/>
  <c r="M331" i="51"/>
  <c r="M355" i="51"/>
  <c r="L355" i="51"/>
  <c r="L363" i="51"/>
  <c r="M363" i="51"/>
  <c r="L371" i="51"/>
  <c r="M371" i="51"/>
  <c r="M379" i="51"/>
  <c r="L379" i="51"/>
  <c r="M387" i="51"/>
  <c r="L387" i="51"/>
  <c r="L395" i="51"/>
  <c r="M395" i="51"/>
  <c r="L403" i="51"/>
  <c r="M403" i="51"/>
  <c r="M411" i="51"/>
  <c r="L411" i="51"/>
  <c r="M419" i="51"/>
  <c r="L419" i="51"/>
  <c r="L427" i="51"/>
  <c r="M427" i="51"/>
  <c r="L435" i="51"/>
  <c r="M435" i="51"/>
  <c r="M443" i="51"/>
  <c r="L443" i="51"/>
  <c r="M451" i="51"/>
  <c r="L451" i="51"/>
  <c r="L459" i="51"/>
  <c r="M459" i="51"/>
  <c r="L467" i="51"/>
  <c r="M467" i="51"/>
  <c r="M475" i="51"/>
  <c r="L475" i="51"/>
  <c r="M483" i="51"/>
  <c r="L483" i="51"/>
  <c r="L491" i="51"/>
  <c r="M491" i="51"/>
  <c r="L499" i="51"/>
  <c r="M499" i="51"/>
  <c r="M507" i="51"/>
  <c r="L507" i="51"/>
  <c r="M515" i="51"/>
  <c r="L515" i="51"/>
  <c r="L523" i="51"/>
  <c r="M523" i="51"/>
  <c r="L531" i="51"/>
  <c r="M531" i="51"/>
  <c r="M539" i="51"/>
  <c r="L539" i="51"/>
  <c r="M547" i="51"/>
  <c r="L547" i="51"/>
  <c r="M10" i="51"/>
  <c r="L10" i="51"/>
  <c r="M58" i="51"/>
  <c r="L58" i="51"/>
  <c r="M114" i="51"/>
  <c r="L114" i="51"/>
  <c r="L307" i="51"/>
  <c r="M307" i="51"/>
  <c r="M315" i="51"/>
  <c r="L315" i="51"/>
  <c r="L339" i="51"/>
  <c r="M339" i="51"/>
  <c r="M347" i="51"/>
  <c r="L347" i="51"/>
  <c r="M7" i="51"/>
  <c r="L7" i="51"/>
  <c r="M15" i="51"/>
  <c r="L15" i="51"/>
  <c r="M23" i="51"/>
  <c r="L23" i="51"/>
  <c r="M31" i="51"/>
  <c r="L31" i="51"/>
  <c r="M39" i="51"/>
  <c r="L39" i="51"/>
  <c r="M47" i="51"/>
  <c r="L47" i="51"/>
  <c r="M55" i="51"/>
  <c r="L55" i="51"/>
  <c r="M63" i="51"/>
  <c r="L63" i="51"/>
  <c r="M71" i="51"/>
  <c r="L71" i="51"/>
  <c r="M79" i="51"/>
  <c r="L79" i="51"/>
  <c r="M87" i="51"/>
  <c r="L87" i="51"/>
  <c r="M95" i="51"/>
  <c r="L95" i="51"/>
  <c r="M103" i="51"/>
  <c r="L103" i="51"/>
  <c r="M111" i="51"/>
  <c r="L111" i="51"/>
  <c r="M119" i="51"/>
  <c r="L119" i="51"/>
  <c r="M127" i="51"/>
  <c r="L127" i="51"/>
  <c r="M135" i="51"/>
  <c r="L135" i="51"/>
  <c r="M143" i="51"/>
  <c r="L143" i="51"/>
  <c r="M151" i="51"/>
  <c r="L151" i="51"/>
  <c r="M159" i="51"/>
  <c r="L159" i="51"/>
  <c r="M167" i="51"/>
  <c r="L167" i="51"/>
  <c r="M175" i="51"/>
  <c r="L175" i="51"/>
  <c r="M183" i="51"/>
  <c r="L183" i="51"/>
  <c r="M191" i="51"/>
  <c r="L191" i="51"/>
  <c r="M199" i="51"/>
  <c r="L199" i="51"/>
  <c r="M207" i="51"/>
  <c r="L207" i="51"/>
  <c r="M215" i="51"/>
  <c r="L215" i="51"/>
  <c r="M223" i="51"/>
  <c r="L223" i="51"/>
  <c r="M231" i="51"/>
  <c r="L231" i="51"/>
  <c r="M239" i="51"/>
  <c r="L239" i="51"/>
  <c r="M247" i="51"/>
  <c r="L247" i="51"/>
  <c r="M255" i="51"/>
  <c r="L255" i="51"/>
  <c r="M264" i="51"/>
  <c r="L264" i="51"/>
  <c r="M272" i="51"/>
  <c r="L272" i="51"/>
  <c r="M280" i="51"/>
  <c r="L280" i="51"/>
  <c r="M288" i="51"/>
  <c r="L288" i="51"/>
  <c r="M296" i="51"/>
  <c r="L296" i="51"/>
  <c r="M304" i="51"/>
  <c r="L304" i="51"/>
  <c r="M312" i="51"/>
  <c r="L312" i="51"/>
  <c r="M320" i="51"/>
  <c r="L320" i="51"/>
  <c r="M328" i="51"/>
  <c r="L328" i="51"/>
  <c r="M336" i="51"/>
  <c r="L336" i="51"/>
  <c r="M344" i="51"/>
  <c r="L344" i="51"/>
  <c r="M352" i="51"/>
  <c r="L352" i="51"/>
  <c r="M360" i="51"/>
  <c r="L360" i="51"/>
  <c r="M368" i="51"/>
  <c r="L368" i="51"/>
  <c r="M376" i="51"/>
  <c r="L376" i="51"/>
  <c r="M384" i="51"/>
  <c r="L384" i="51"/>
  <c r="M393" i="51"/>
  <c r="L393" i="51"/>
  <c r="M400" i="51"/>
  <c r="L400" i="51"/>
  <c r="M408" i="51"/>
  <c r="L408" i="51"/>
  <c r="M416" i="51"/>
  <c r="L416" i="51"/>
  <c r="M424" i="51"/>
  <c r="L424" i="51"/>
  <c r="M432" i="51"/>
  <c r="L432" i="51"/>
  <c r="M440" i="51"/>
  <c r="L440" i="51"/>
  <c r="M448" i="51"/>
  <c r="L448" i="51"/>
  <c r="M456" i="51"/>
  <c r="L456" i="51"/>
  <c r="M464" i="51"/>
  <c r="L464" i="51"/>
  <c r="M472" i="51"/>
  <c r="L472" i="51"/>
  <c r="M480" i="51"/>
  <c r="L480" i="51"/>
  <c r="M488" i="51"/>
  <c r="L488" i="51"/>
  <c r="M496" i="51"/>
  <c r="L496" i="51"/>
  <c r="M504" i="51"/>
  <c r="L504" i="51"/>
  <c r="M512" i="51"/>
  <c r="L512" i="51"/>
  <c r="M520" i="51"/>
  <c r="L520" i="51"/>
  <c r="M528" i="51"/>
  <c r="L528" i="51"/>
  <c r="M536" i="51"/>
  <c r="L536" i="51"/>
  <c r="M544" i="51"/>
  <c r="L544" i="51"/>
  <c r="M552" i="51"/>
  <c r="L552" i="51"/>
  <c r="M42" i="51"/>
  <c r="L42" i="51"/>
  <c r="M130" i="51"/>
  <c r="L130" i="51"/>
  <c r="M138" i="51"/>
  <c r="L138" i="51"/>
  <c r="M170" i="51"/>
  <c r="L170" i="51"/>
  <c r="M226" i="51"/>
  <c r="L226" i="51"/>
  <c r="M242" i="51"/>
  <c r="L242" i="51"/>
  <c r="M20" i="51"/>
  <c r="L20" i="51"/>
  <c r="M44" i="51"/>
  <c r="L44" i="51"/>
  <c r="M100" i="51"/>
  <c r="L100" i="51"/>
  <c r="M132" i="51"/>
  <c r="L132" i="51"/>
  <c r="M140" i="51"/>
  <c r="L140" i="51"/>
  <c r="M148" i="51"/>
  <c r="L148" i="51"/>
  <c r="M156" i="51"/>
  <c r="L156" i="51"/>
  <c r="M164" i="51"/>
  <c r="L164" i="51"/>
  <c r="M172" i="51"/>
  <c r="L172" i="51"/>
  <c r="M180" i="51"/>
  <c r="L180" i="51"/>
  <c r="M188" i="51"/>
  <c r="L188" i="51"/>
  <c r="M196" i="51"/>
  <c r="L196" i="51"/>
  <c r="M204" i="51"/>
  <c r="L204" i="51"/>
  <c r="M212" i="51"/>
  <c r="L212" i="51"/>
  <c r="M220" i="51"/>
  <c r="L220" i="51"/>
  <c r="M228" i="51"/>
  <c r="L228" i="51"/>
  <c r="M236" i="51"/>
  <c r="L236" i="51"/>
  <c r="M244" i="51"/>
  <c r="L244" i="51"/>
  <c r="M252" i="51"/>
  <c r="L252" i="51"/>
  <c r="M260" i="51"/>
  <c r="L260" i="51"/>
  <c r="M269" i="51"/>
  <c r="L269" i="51"/>
  <c r="M277" i="51"/>
  <c r="L277" i="51"/>
  <c r="M285" i="51"/>
  <c r="L285" i="51"/>
  <c r="M293" i="51"/>
  <c r="L293" i="51"/>
  <c r="M301" i="51"/>
  <c r="L301" i="51"/>
  <c r="M309" i="51"/>
  <c r="L309" i="51"/>
  <c r="M317" i="51"/>
  <c r="L317" i="51"/>
  <c r="M325" i="51"/>
  <c r="L325" i="51"/>
  <c r="M333" i="51"/>
  <c r="L333" i="51"/>
  <c r="M341" i="51"/>
  <c r="L341" i="51"/>
  <c r="M349" i="51"/>
  <c r="L349" i="51"/>
  <c r="M357" i="51"/>
  <c r="L357" i="51"/>
  <c r="M365" i="51"/>
  <c r="L365" i="51"/>
  <c r="M373" i="51"/>
  <c r="L373" i="51"/>
  <c r="M381" i="51"/>
  <c r="L381" i="51"/>
  <c r="M389" i="51"/>
  <c r="L389" i="51"/>
  <c r="M397" i="51"/>
  <c r="L397" i="51"/>
  <c r="M405" i="51"/>
  <c r="L405" i="51"/>
  <c r="M413" i="51"/>
  <c r="L413" i="51"/>
  <c r="M421" i="51"/>
  <c r="L421" i="51"/>
  <c r="M429" i="51"/>
  <c r="L429" i="51"/>
  <c r="M437" i="51"/>
  <c r="L437" i="51"/>
  <c r="M445" i="51"/>
  <c r="L445" i="51"/>
  <c r="M453" i="51"/>
  <c r="L453" i="51"/>
  <c r="M461" i="51"/>
  <c r="L461" i="51"/>
  <c r="M469" i="51"/>
  <c r="L469" i="51"/>
  <c r="M477" i="51"/>
  <c r="L477" i="51"/>
  <c r="M485" i="51"/>
  <c r="L485" i="51"/>
  <c r="M493" i="51"/>
  <c r="L493" i="51"/>
  <c r="M501" i="51"/>
  <c r="L501" i="51"/>
  <c r="M509" i="51"/>
  <c r="L509" i="51"/>
  <c r="M517" i="51"/>
  <c r="L517" i="51"/>
  <c r="M525" i="51"/>
  <c r="L525" i="51"/>
  <c r="M533" i="51"/>
  <c r="L533" i="51"/>
  <c r="M541" i="51"/>
  <c r="L541" i="51"/>
  <c r="M549" i="51"/>
  <c r="L549" i="51"/>
  <c r="M26" i="51"/>
  <c r="L26" i="51"/>
  <c r="M162" i="51"/>
  <c r="L162" i="51"/>
  <c r="M194" i="51"/>
  <c r="L194" i="51"/>
  <c r="M60" i="51"/>
  <c r="L60" i="51"/>
  <c r="M76" i="51"/>
  <c r="L76" i="51"/>
  <c r="M84" i="51"/>
  <c r="L84" i="51"/>
  <c r="M92" i="51"/>
  <c r="L92" i="51"/>
  <c r="L25" i="51"/>
  <c r="M25" i="51"/>
  <c r="L41" i="51"/>
  <c r="M41" i="51"/>
  <c r="L57" i="51"/>
  <c r="M57" i="51"/>
  <c r="L65" i="51"/>
  <c r="M65" i="51"/>
  <c r="L73" i="51"/>
  <c r="M73" i="51"/>
  <c r="L81" i="51"/>
  <c r="M81" i="51"/>
  <c r="L89" i="51"/>
  <c r="M89" i="51"/>
  <c r="L97" i="51"/>
  <c r="M97" i="51"/>
  <c r="L105" i="51"/>
  <c r="M105" i="51"/>
  <c r="L113" i="51"/>
  <c r="M113" i="51"/>
  <c r="L121" i="51"/>
  <c r="M121" i="51"/>
  <c r="L129" i="51"/>
  <c r="M129" i="51"/>
  <c r="L137" i="51"/>
  <c r="M137" i="51"/>
  <c r="L145" i="51"/>
  <c r="M145" i="51"/>
  <c r="L153" i="51"/>
  <c r="M153" i="51"/>
  <c r="L161" i="51"/>
  <c r="M161" i="51"/>
  <c r="L169" i="51"/>
  <c r="M169" i="51"/>
  <c r="L177" i="51"/>
  <c r="M177" i="51"/>
  <c r="L185" i="51"/>
  <c r="M185" i="51"/>
  <c r="M193" i="51"/>
  <c r="L193" i="51"/>
  <c r="M201" i="51"/>
  <c r="L201" i="51"/>
  <c r="M209" i="51"/>
  <c r="L209" i="51"/>
  <c r="M217" i="51"/>
  <c r="L217" i="51"/>
  <c r="M225" i="51"/>
  <c r="L225" i="51"/>
  <c r="M233" i="51"/>
  <c r="L233" i="51"/>
  <c r="L241" i="51"/>
  <c r="M241" i="51"/>
  <c r="M249" i="51"/>
  <c r="L249" i="51"/>
  <c r="M257" i="51"/>
  <c r="L257" i="51"/>
  <c r="M266" i="51"/>
  <c r="L266" i="51"/>
  <c r="M274" i="51"/>
  <c r="L274" i="51"/>
  <c r="M282" i="51"/>
  <c r="L282" i="51"/>
  <c r="M290" i="51"/>
  <c r="L290" i="51"/>
  <c r="M298" i="51"/>
  <c r="L298" i="51"/>
  <c r="M306" i="51"/>
  <c r="L306" i="51"/>
  <c r="M314" i="51"/>
  <c r="L314" i="51"/>
  <c r="M322" i="51"/>
  <c r="L322" i="51"/>
  <c r="M330" i="51"/>
  <c r="L330" i="51"/>
  <c r="M338" i="51"/>
  <c r="L338" i="51"/>
  <c r="M346" i="51"/>
  <c r="L346" i="51"/>
  <c r="M354" i="51"/>
  <c r="L354" i="51"/>
  <c r="M362" i="51"/>
  <c r="L362" i="51"/>
  <c r="M370" i="51"/>
  <c r="L370" i="51"/>
  <c r="M378" i="51"/>
  <c r="L378" i="51"/>
  <c r="M386" i="51"/>
  <c r="L386" i="51"/>
  <c r="M394" i="51"/>
  <c r="L394" i="51"/>
  <c r="M402" i="51"/>
  <c r="L402" i="51"/>
  <c r="M410" i="51"/>
  <c r="L410" i="51"/>
  <c r="M418" i="51"/>
  <c r="L418" i="51"/>
  <c r="M426" i="51"/>
  <c r="L426" i="51"/>
  <c r="M434" i="51"/>
  <c r="L434" i="51"/>
  <c r="M442" i="51"/>
  <c r="L442" i="51"/>
  <c r="M450" i="51"/>
  <c r="L450" i="51"/>
  <c r="M458" i="51"/>
  <c r="L458" i="51"/>
  <c r="M466" i="51"/>
  <c r="L466" i="51"/>
  <c r="M474" i="51"/>
  <c r="L474" i="51"/>
  <c r="M482" i="51"/>
  <c r="L482" i="51"/>
  <c r="M490" i="51"/>
  <c r="L490" i="51"/>
  <c r="M498" i="51"/>
  <c r="L498" i="51"/>
  <c r="M506" i="51"/>
  <c r="L506" i="51"/>
  <c r="M514" i="51"/>
  <c r="L514" i="51"/>
  <c r="M522" i="51"/>
  <c r="L522" i="51"/>
  <c r="M530" i="51"/>
  <c r="L530" i="51"/>
  <c r="M538" i="51"/>
  <c r="L538" i="51"/>
  <c r="M546" i="51"/>
  <c r="L546" i="51"/>
  <c r="M66" i="51"/>
  <c r="L66" i="51"/>
  <c r="M82" i="51"/>
  <c r="L82" i="51"/>
  <c r="M98" i="51"/>
  <c r="L98" i="51"/>
  <c r="M186" i="51"/>
  <c r="L186" i="51"/>
  <c r="M258" i="51"/>
  <c r="L258" i="51"/>
  <c r="L267" i="51"/>
  <c r="M267" i="51"/>
  <c r="M12" i="51"/>
  <c r="L12" i="51"/>
  <c r="M28" i="51"/>
  <c r="L28" i="51"/>
  <c r="M36" i="51"/>
  <c r="L36" i="51"/>
  <c r="M52" i="51"/>
  <c r="L52" i="51"/>
  <c r="M68" i="51"/>
  <c r="L68" i="51"/>
  <c r="M108" i="51"/>
  <c r="L108" i="51"/>
  <c r="M116" i="51"/>
  <c r="L116" i="51"/>
  <c r="M124" i="51"/>
  <c r="L124" i="51"/>
  <c r="L9" i="51"/>
  <c r="M9" i="51"/>
  <c r="L17" i="51"/>
  <c r="M17" i="51"/>
  <c r="L33" i="51"/>
  <c r="M33" i="51"/>
  <c r="L49" i="51"/>
  <c r="M49" i="51"/>
  <c r="L6" i="51"/>
  <c r="M6" i="51"/>
  <c r="L14" i="51"/>
  <c r="M14" i="51"/>
  <c r="L22" i="51"/>
  <c r="M22" i="51"/>
  <c r="L30" i="51"/>
  <c r="M30" i="51"/>
  <c r="L38" i="51"/>
  <c r="M38" i="51"/>
  <c r="L46" i="51"/>
  <c r="M46" i="51"/>
  <c r="L54" i="51"/>
  <c r="M54" i="51"/>
  <c r="L62" i="51"/>
  <c r="M62" i="51"/>
  <c r="L70" i="51"/>
  <c r="M70" i="51"/>
  <c r="L78" i="51"/>
  <c r="M78" i="51"/>
  <c r="L86" i="51"/>
  <c r="M86" i="51"/>
  <c r="L94" i="51"/>
  <c r="M94" i="51"/>
  <c r="L102" i="51"/>
  <c r="M102" i="51"/>
  <c r="L110" i="51"/>
  <c r="M110" i="51"/>
  <c r="L118" i="51"/>
  <c r="M118" i="51"/>
  <c r="L126" i="51"/>
  <c r="M126" i="51"/>
  <c r="M134" i="51"/>
  <c r="L134" i="51"/>
  <c r="M142" i="51"/>
  <c r="L142" i="51"/>
  <c r="M150" i="51"/>
  <c r="L150" i="51"/>
  <c r="M158" i="51"/>
  <c r="L158" i="51"/>
  <c r="M166" i="51"/>
  <c r="L166" i="51"/>
  <c r="M174" i="51"/>
  <c r="L174" i="51"/>
  <c r="M182" i="51"/>
  <c r="L182" i="51"/>
  <c r="M190" i="51"/>
  <c r="L190" i="51"/>
  <c r="M198" i="51"/>
  <c r="L198" i="51"/>
  <c r="M206" i="51"/>
  <c r="L206" i="51"/>
  <c r="M214" i="51"/>
  <c r="L214" i="51"/>
  <c r="M222" i="51"/>
  <c r="L222" i="51"/>
  <c r="M230" i="51"/>
  <c r="L230" i="51"/>
  <c r="M238" i="51"/>
  <c r="L238" i="51"/>
  <c r="M246" i="51"/>
  <c r="L246" i="51"/>
  <c r="M254" i="51"/>
  <c r="L254" i="51"/>
  <c r="M262" i="51"/>
  <c r="L262" i="51"/>
  <c r="M271" i="51"/>
  <c r="L271" i="51"/>
  <c r="M279" i="51"/>
  <c r="L279" i="51"/>
  <c r="M287" i="51"/>
  <c r="L287" i="51"/>
  <c r="M295" i="51"/>
  <c r="L295" i="51"/>
  <c r="M303" i="51"/>
  <c r="L303" i="51"/>
  <c r="M311" i="51"/>
  <c r="L311" i="51"/>
  <c r="M319" i="51"/>
  <c r="L319" i="51"/>
  <c r="M327" i="51"/>
  <c r="L327" i="51"/>
  <c r="M335" i="51"/>
  <c r="L335" i="51"/>
  <c r="M343" i="51"/>
  <c r="L343" i="51"/>
  <c r="M351" i="51"/>
  <c r="L351" i="51"/>
  <c r="M359" i="51"/>
  <c r="L359" i="51"/>
  <c r="M367" i="51"/>
  <c r="L367" i="51"/>
  <c r="M375" i="51"/>
  <c r="L375" i="51"/>
  <c r="M383" i="51"/>
  <c r="L383" i="51"/>
  <c r="M391" i="51"/>
  <c r="L391" i="51"/>
  <c r="M399" i="51"/>
  <c r="L399" i="51"/>
  <c r="M407" i="51"/>
  <c r="L407" i="51"/>
  <c r="M415" i="51"/>
  <c r="L415" i="51"/>
  <c r="M423" i="51"/>
  <c r="L423" i="51"/>
  <c r="M431" i="51"/>
  <c r="L431" i="51"/>
  <c r="M439" i="51"/>
  <c r="L439" i="51"/>
  <c r="M447" i="51"/>
  <c r="L447" i="51"/>
  <c r="M455" i="51"/>
  <c r="L455" i="51"/>
  <c r="M463" i="51"/>
  <c r="L463" i="51"/>
  <c r="M471" i="51"/>
  <c r="L471" i="51"/>
  <c r="M479" i="51"/>
  <c r="L479" i="51"/>
  <c r="M487" i="51"/>
  <c r="L487" i="51"/>
  <c r="M495" i="51"/>
  <c r="L495" i="51"/>
  <c r="M503" i="51"/>
  <c r="L503" i="51"/>
  <c r="M511" i="51"/>
  <c r="L511" i="51"/>
  <c r="M519" i="51"/>
  <c r="L519" i="51"/>
  <c r="M527" i="51"/>
  <c r="L527" i="51"/>
  <c r="M535" i="51"/>
  <c r="L535" i="51"/>
  <c r="M543" i="51"/>
  <c r="L543" i="51"/>
  <c r="M551" i="51"/>
  <c r="L551" i="51"/>
  <c r="M74" i="51"/>
  <c r="L74" i="51"/>
  <c r="M90" i="51"/>
  <c r="L90" i="51"/>
  <c r="M178" i="51"/>
  <c r="L178" i="51"/>
  <c r="M218" i="51"/>
  <c r="L218" i="51"/>
  <c r="L51" i="51"/>
  <c r="M51" i="51"/>
  <c r="L59" i="51"/>
  <c r="M59" i="51"/>
  <c r="L115" i="51"/>
  <c r="M115" i="51"/>
  <c r="L139" i="51"/>
  <c r="M139" i="51"/>
  <c r="M187" i="51"/>
  <c r="L187" i="51"/>
  <c r="M195" i="51"/>
  <c r="L195" i="51"/>
  <c r="L203" i="51"/>
  <c r="M203" i="51"/>
  <c r="M227" i="51"/>
  <c r="L227" i="51"/>
  <c r="L235" i="51"/>
  <c r="M235" i="51"/>
  <c r="L243" i="51"/>
  <c r="M243" i="51"/>
  <c r="M251" i="51"/>
  <c r="L251" i="51"/>
  <c r="M259" i="51"/>
  <c r="L259" i="51"/>
  <c r="M268" i="51"/>
  <c r="L268" i="51"/>
  <c r="M276" i="51"/>
  <c r="L276" i="51"/>
  <c r="M284" i="51"/>
  <c r="L284" i="51"/>
  <c r="M292" i="51"/>
  <c r="L292" i="51"/>
  <c r="M300" i="51"/>
  <c r="L300" i="51"/>
  <c r="M308" i="51"/>
  <c r="L308" i="51"/>
  <c r="M316" i="51"/>
  <c r="L316" i="51"/>
  <c r="M324" i="51"/>
  <c r="L324" i="51"/>
  <c r="M332" i="51"/>
  <c r="L332" i="51"/>
  <c r="M340" i="51"/>
  <c r="L340" i="51"/>
  <c r="M348" i="51"/>
  <c r="L348" i="51"/>
  <c r="M356" i="51"/>
  <c r="L356" i="51"/>
  <c r="M364" i="51"/>
  <c r="L364" i="51"/>
  <c r="M372" i="51"/>
  <c r="L372" i="51"/>
  <c r="M380" i="51"/>
  <c r="L380" i="51"/>
  <c r="M388" i="51"/>
  <c r="L388" i="51"/>
  <c r="M396" i="51"/>
  <c r="L396" i="51"/>
  <c r="M404" i="51"/>
  <c r="L404" i="51"/>
  <c r="M412" i="51"/>
  <c r="L412" i="51"/>
  <c r="M420" i="51"/>
  <c r="L420" i="51"/>
  <c r="M428" i="51"/>
  <c r="L428" i="51"/>
  <c r="M436" i="51"/>
  <c r="L436" i="51"/>
  <c r="M444" i="51"/>
  <c r="L444" i="51"/>
  <c r="M452" i="51"/>
  <c r="L452" i="51"/>
  <c r="M460" i="51"/>
  <c r="L460" i="51"/>
  <c r="M468" i="51"/>
  <c r="L468" i="51"/>
  <c r="M476" i="51"/>
  <c r="L476" i="51"/>
  <c r="M484" i="51"/>
  <c r="L484" i="51"/>
  <c r="M492" i="51"/>
  <c r="L492" i="51"/>
  <c r="M500" i="51"/>
  <c r="L500" i="51"/>
  <c r="M508" i="51"/>
  <c r="L508" i="51"/>
  <c r="M516" i="51"/>
  <c r="L516" i="51"/>
  <c r="M524" i="51"/>
  <c r="L524" i="51"/>
  <c r="M532" i="51"/>
  <c r="L532" i="51"/>
  <c r="M540" i="51"/>
  <c r="L540" i="51"/>
  <c r="M548" i="51"/>
  <c r="L548" i="51"/>
  <c r="M50" i="51"/>
  <c r="L50" i="51"/>
  <c r="M106" i="51"/>
  <c r="L106" i="51"/>
  <c r="M122" i="51"/>
  <c r="L122" i="51"/>
  <c r="M154" i="51"/>
  <c r="L154" i="51"/>
  <c r="M202" i="51"/>
  <c r="L202" i="51"/>
  <c r="M250" i="51"/>
  <c r="L250" i="51"/>
  <c r="L3" i="51"/>
  <c r="M3" i="51"/>
  <c r="L27" i="51"/>
  <c r="M27" i="51"/>
  <c r="L67" i="51"/>
  <c r="M67" i="51"/>
  <c r="L75" i="51"/>
  <c r="M75" i="51"/>
  <c r="L83" i="51"/>
  <c r="M83" i="51"/>
  <c r="L91" i="51"/>
  <c r="M91" i="51"/>
  <c r="L107" i="51"/>
  <c r="M107" i="51"/>
  <c r="M131" i="51"/>
  <c r="L131" i="51"/>
  <c r="L171" i="51"/>
  <c r="M171" i="51"/>
  <c r="M219" i="51"/>
  <c r="L219" i="51"/>
  <c r="M8" i="51"/>
  <c r="L8" i="51"/>
  <c r="M16" i="51"/>
  <c r="L16" i="51"/>
  <c r="M24" i="51"/>
  <c r="L24" i="51"/>
  <c r="M32" i="51"/>
  <c r="L32" i="51"/>
  <c r="M40" i="51"/>
  <c r="L40" i="51"/>
  <c r="M48" i="51"/>
  <c r="L48" i="51"/>
  <c r="M56" i="51"/>
  <c r="L56" i="51"/>
  <c r="M64" i="51"/>
  <c r="L64" i="51"/>
  <c r="M72" i="51"/>
  <c r="L72" i="51"/>
  <c r="M80" i="51"/>
  <c r="L80" i="51"/>
  <c r="M88" i="51"/>
  <c r="L88" i="51"/>
  <c r="M96" i="51"/>
  <c r="L96" i="51"/>
  <c r="M104" i="51"/>
  <c r="L104" i="51"/>
  <c r="M112" i="51"/>
  <c r="L112" i="51"/>
  <c r="M120" i="51"/>
  <c r="L120" i="51"/>
  <c r="M128" i="51"/>
  <c r="L128" i="51"/>
  <c r="M136" i="51"/>
  <c r="L136" i="51"/>
  <c r="M144" i="51"/>
  <c r="L144" i="51"/>
  <c r="M152" i="51"/>
  <c r="L152" i="51"/>
  <c r="M160" i="51"/>
  <c r="L160" i="51"/>
  <c r="M168" i="51"/>
  <c r="L168" i="51"/>
  <c r="M176" i="51"/>
  <c r="L176" i="51"/>
  <c r="M184" i="51"/>
  <c r="L184" i="51"/>
  <c r="M192" i="51"/>
  <c r="L192" i="51"/>
  <c r="M200" i="51"/>
  <c r="L200" i="51"/>
  <c r="M208" i="51"/>
  <c r="L208" i="51"/>
  <c r="M216" i="51"/>
  <c r="L216" i="51"/>
  <c r="M224" i="51"/>
  <c r="L224" i="51"/>
  <c r="M232" i="51"/>
  <c r="L232" i="51"/>
  <c r="M240" i="51"/>
  <c r="L240" i="51"/>
  <c r="M248" i="51"/>
  <c r="L248" i="51"/>
  <c r="M256" i="51"/>
  <c r="L256" i="51"/>
  <c r="M265" i="51"/>
  <c r="L265" i="51"/>
  <c r="M273" i="51"/>
  <c r="L273" i="51"/>
  <c r="M281" i="51"/>
  <c r="L281" i="51"/>
  <c r="M289" i="51"/>
  <c r="L289" i="51"/>
  <c r="M297" i="51"/>
  <c r="L297" i="51"/>
  <c r="L305" i="51"/>
  <c r="M305" i="51"/>
  <c r="M313" i="51"/>
  <c r="L313" i="51"/>
  <c r="M321" i="51"/>
  <c r="L321" i="51"/>
  <c r="M329" i="51"/>
  <c r="L329" i="51"/>
  <c r="L337" i="51"/>
  <c r="M337" i="51"/>
  <c r="M345" i="51"/>
  <c r="L345" i="51"/>
  <c r="M353" i="51"/>
  <c r="L353" i="51"/>
  <c r="M361" i="51"/>
  <c r="L361" i="51"/>
  <c r="L369" i="51"/>
  <c r="M369" i="51"/>
  <c r="M377" i="51"/>
  <c r="L377" i="51"/>
  <c r="M385" i="51"/>
  <c r="L385" i="51"/>
  <c r="M392" i="51"/>
  <c r="L392" i="51"/>
  <c r="M401" i="51"/>
  <c r="L401" i="51"/>
  <c r="M409" i="51"/>
  <c r="L409" i="51"/>
  <c r="M417" i="51"/>
  <c r="L417" i="51"/>
  <c r="M425" i="51"/>
  <c r="L425" i="51"/>
  <c r="M433" i="51"/>
  <c r="L433" i="51"/>
  <c r="M441" i="51"/>
  <c r="L441" i="51"/>
  <c r="M449" i="51"/>
  <c r="L449" i="51"/>
  <c r="M457" i="51"/>
  <c r="L457" i="51"/>
  <c r="M465" i="51"/>
  <c r="L465" i="51"/>
  <c r="M473" i="51"/>
  <c r="L473" i="51"/>
  <c r="M481" i="51"/>
  <c r="L481" i="51"/>
  <c r="M489" i="51"/>
  <c r="L489" i="51"/>
  <c r="L497" i="51"/>
  <c r="M497" i="51"/>
  <c r="M505" i="51"/>
  <c r="L505" i="51"/>
  <c r="M513" i="51"/>
  <c r="L513" i="51"/>
  <c r="M521" i="51"/>
  <c r="L521" i="51"/>
  <c r="L529" i="51"/>
  <c r="M529" i="51"/>
  <c r="M537" i="51"/>
  <c r="L537" i="51"/>
  <c r="M545" i="51"/>
  <c r="L545" i="51"/>
  <c r="M34" i="51"/>
  <c r="L34" i="51"/>
  <c r="M234" i="51"/>
  <c r="L234" i="51"/>
  <c r="M4" i="51"/>
  <c r="L4" i="51"/>
  <c r="L11" i="51"/>
  <c r="M11" i="51"/>
  <c r="L19" i="51"/>
  <c r="M19" i="51"/>
  <c r="L35" i="51"/>
  <c r="M35" i="51"/>
  <c r="L43" i="51"/>
  <c r="M43" i="51"/>
  <c r="L99" i="51"/>
  <c r="M99" i="51"/>
  <c r="M123" i="51"/>
  <c r="L123" i="51"/>
  <c r="L147" i="51"/>
  <c r="M147" i="51"/>
  <c r="M155" i="51"/>
  <c r="L155" i="51"/>
  <c r="M163" i="51"/>
  <c r="L163" i="51"/>
  <c r="L179" i="51"/>
  <c r="M179" i="51"/>
  <c r="L211" i="51"/>
  <c r="M211" i="51"/>
  <c r="L5" i="51"/>
  <c r="M5" i="51"/>
  <c r="L13" i="51"/>
  <c r="M13" i="51"/>
  <c r="L21" i="51"/>
  <c r="M21" i="51"/>
  <c r="L29" i="51"/>
  <c r="M29" i="51"/>
  <c r="L37" i="51"/>
  <c r="M37" i="51"/>
  <c r="L45" i="51"/>
  <c r="M45" i="51"/>
  <c r="L53" i="51"/>
  <c r="M53" i="51"/>
  <c r="L61" i="51"/>
  <c r="M61" i="51"/>
  <c r="L69" i="51"/>
  <c r="M69" i="51"/>
  <c r="L77" i="51"/>
  <c r="M77" i="51"/>
  <c r="L85" i="51"/>
  <c r="M85" i="51"/>
  <c r="L93" i="51"/>
  <c r="M93" i="51"/>
  <c r="L101" i="51"/>
  <c r="M101" i="51"/>
  <c r="L109" i="51"/>
  <c r="M109" i="51"/>
  <c r="L117" i="51"/>
  <c r="M117" i="51"/>
  <c r="L125" i="51"/>
  <c r="M125" i="51"/>
  <c r="M133" i="51"/>
  <c r="L133" i="51"/>
  <c r="M141" i="51"/>
  <c r="L141" i="51"/>
  <c r="M149" i="51"/>
  <c r="L149" i="51"/>
  <c r="M157" i="51"/>
  <c r="L157" i="51"/>
  <c r="M165" i="51"/>
  <c r="L165" i="51"/>
  <c r="M173" i="51"/>
  <c r="L173" i="51"/>
  <c r="M181" i="51"/>
  <c r="L181" i="51"/>
  <c r="M189" i="51"/>
  <c r="L189" i="51"/>
  <c r="M197" i="51"/>
  <c r="L197" i="51"/>
  <c r="M205" i="51"/>
  <c r="L205" i="51"/>
  <c r="M213" i="51"/>
  <c r="L213" i="51"/>
  <c r="M221" i="51"/>
  <c r="L221" i="51"/>
  <c r="M229" i="51"/>
  <c r="L229" i="51"/>
  <c r="M237" i="51"/>
  <c r="L237" i="51"/>
  <c r="M245" i="51"/>
  <c r="L245" i="51"/>
  <c r="M253" i="51"/>
  <c r="L253" i="51"/>
  <c r="M261" i="51"/>
  <c r="L261" i="51"/>
  <c r="M270" i="51"/>
  <c r="L270" i="51"/>
  <c r="M278" i="51"/>
  <c r="L278" i="51"/>
  <c r="M286" i="51"/>
  <c r="L286" i="51"/>
  <c r="M294" i="51"/>
  <c r="L294" i="51"/>
  <c r="M302" i="51"/>
  <c r="L302" i="51"/>
  <c r="M310" i="51"/>
  <c r="L310" i="51"/>
  <c r="M318" i="51"/>
  <c r="L318" i="51"/>
  <c r="M326" i="51"/>
  <c r="L326" i="51"/>
  <c r="M334" i="51"/>
  <c r="L334" i="51"/>
  <c r="M342" i="51"/>
  <c r="L342" i="51"/>
  <c r="M350" i="51"/>
  <c r="L350" i="51"/>
  <c r="M358" i="51"/>
  <c r="L358" i="51"/>
  <c r="M366" i="51"/>
  <c r="L366" i="51"/>
  <c r="M374" i="51"/>
  <c r="L374" i="51"/>
  <c r="M382" i="51"/>
  <c r="L382" i="51"/>
  <c r="M390" i="51"/>
  <c r="L390" i="51"/>
  <c r="M398" i="51"/>
  <c r="L398" i="51"/>
  <c r="M406" i="51"/>
  <c r="L406" i="51"/>
  <c r="M414" i="51"/>
  <c r="L414" i="51"/>
  <c r="M422" i="51"/>
  <c r="L422" i="51"/>
  <c r="M430" i="51"/>
  <c r="L430" i="51"/>
  <c r="M438" i="51"/>
  <c r="L438" i="51"/>
  <c r="M446" i="51"/>
  <c r="L446" i="51"/>
  <c r="M454" i="51"/>
  <c r="L454" i="51"/>
  <c r="M462" i="51"/>
  <c r="L462" i="51"/>
  <c r="M470" i="51"/>
  <c r="L470" i="51"/>
  <c r="M478" i="51"/>
  <c r="L478" i="51"/>
  <c r="M486" i="51"/>
  <c r="L486" i="51"/>
  <c r="M494" i="51"/>
  <c r="L494" i="51"/>
  <c r="M502" i="51"/>
  <c r="L502" i="51"/>
  <c r="M510" i="51"/>
  <c r="L510" i="51"/>
  <c r="M518" i="51"/>
  <c r="L518" i="51"/>
  <c r="M526" i="51"/>
  <c r="L526" i="51"/>
  <c r="M534" i="51"/>
  <c r="L534" i="51"/>
  <c r="M542" i="51"/>
  <c r="L542" i="51"/>
  <c r="M550" i="51"/>
  <c r="L550" i="51"/>
  <c r="M33" i="21"/>
  <c r="L33" i="21"/>
  <c r="M34" i="21"/>
  <c r="L34" i="21"/>
  <c r="M32" i="21"/>
  <c r="L32" i="21"/>
  <c r="L31" i="21"/>
  <c r="M31" i="21"/>
  <c r="D29" i="61" l="1"/>
  <c r="AK49" i="60"/>
  <c r="D83" i="61"/>
  <c r="D4" i="61" s="1"/>
  <c r="D79" i="61"/>
  <c r="D119" i="61" s="1"/>
  <c r="D31" i="61" s="1"/>
  <c r="AJ46" i="60"/>
  <c r="D11" i="61"/>
  <c r="AJ49" i="60"/>
  <c r="AJ45" i="60"/>
  <c r="AJ48" i="60"/>
  <c r="D26" i="61"/>
  <c r="AK45" i="60"/>
  <c r="AK48" i="60"/>
  <c r="D23" i="61"/>
  <c r="AK46" i="60"/>
  <c r="C14" i="61"/>
  <c r="C83" i="61"/>
  <c r="C4" i="61" s="1"/>
  <c r="C79" i="61"/>
  <c r="C119" i="61" s="1"/>
  <c r="C31" i="61" s="1"/>
  <c r="C23" i="61"/>
  <c r="C26" i="61"/>
  <c r="C29" i="61"/>
  <c r="C11" i="61"/>
  <c r="C8" i="6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3" i="21" l="1"/>
  <c r="E4" i="21"/>
  <c r="E5" i="21"/>
  <c r="E6" i="21"/>
  <c r="B820" i="2" l="1"/>
  <c r="B819" i="2"/>
  <c r="B817" i="2"/>
  <c r="B818" i="2"/>
  <c r="B821" i="2"/>
  <c r="B816" i="2"/>
  <c r="B815" i="2"/>
  <c r="B814" i="2"/>
  <c r="B1270" i="2"/>
  <c r="B1259" i="2"/>
  <c r="B1260" i="2"/>
  <c r="B1258" i="2"/>
  <c r="B1266" i="2"/>
  <c r="B1267" i="2"/>
  <c r="B1268" i="2"/>
  <c r="B1262" i="2"/>
  <c r="B1263" i="2"/>
  <c r="B1265" i="2"/>
  <c r="B1261" i="2"/>
  <c r="B1264" i="2"/>
  <c r="B1269" i="2"/>
  <c r="B1256" i="2"/>
  <c r="B1257" i="2"/>
  <c r="B24" i="2"/>
  <c r="B37" i="2"/>
  <c r="B35" i="2"/>
  <c r="B38" i="2"/>
  <c r="B25" i="2"/>
  <c r="B26" i="2"/>
  <c r="B32" i="2"/>
  <c r="B34" i="2"/>
  <c r="B33" i="2"/>
  <c r="B28" i="2"/>
  <c r="B29" i="2"/>
  <c r="B31" i="2"/>
  <c r="B27" i="2"/>
  <c r="B30" i="2"/>
  <c r="B36" i="2"/>
  <c r="B22" i="2"/>
  <c r="B23" i="2"/>
  <c r="B135" i="2"/>
  <c r="B134" i="2"/>
  <c r="B132" i="2"/>
  <c r="B133" i="2"/>
  <c r="B138" i="2"/>
  <c r="B137" i="2"/>
  <c r="B126" i="2"/>
  <c r="B129" i="2"/>
  <c r="B128" i="2"/>
  <c r="B125" i="2"/>
  <c r="B127" i="2"/>
  <c r="B130" i="2"/>
  <c r="B131" i="2"/>
  <c r="B139" i="2"/>
  <c r="B136" i="2"/>
  <c r="B142" i="2"/>
  <c r="B141" i="2"/>
  <c r="B140" i="2"/>
  <c r="B217" i="2"/>
  <c r="B219" i="2"/>
  <c r="B216" i="2"/>
  <c r="B218" i="2"/>
  <c r="B210" i="2"/>
  <c r="B213" i="2"/>
  <c r="B211" i="2"/>
  <c r="B212" i="2"/>
  <c r="B209" i="2"/>
  <c r="B214" i="2"/>
  <c r="B215" i="2"/>
  <c r="B249" i="2"/>
  <c r="B248" i="2"/>
  <c r="B237" i="2"/>
  <c r="B245" i="2"/>
  <c r="B241" i="2"/>
  <c r="B247" i="2"/>
  <c r="B239" i="2"/>
  <c r="B243" i="2"/>
  <c r="B240" i="2"/>
  <c r="B242" i="2"/>
  <c r="B238" i="2"/>
  <c r="B244" i="2"/>
  <c r="B246" i="2"/>
  <c r="B360" i="2"/>
  <c r="B355" i="2"/>
  <c r="B357" i="2"/>
  <c r="B345" i="2"/>
  <c r="B347" i="2"/>
  <c r="B348" i="2"/>
  <c r="B343" i="2"/>
  <c r="B346" i="2"/>
  <c r="B350" i="2"/>
  <c r="B341" i="2"/>
  <c r="B353" i="2"/>
  <c r="B342" i="2"/>
  <c r="B351" i="2"/>
  <c r="B349" i="2"/>
  <c r="B344" i="2"/>
  <c r="B352" i="2"/>
  <c r="B354" i="2"/>
  <c r="B356" i="2"/>
  <c r="B358" i="2"/>
  <c r="B359" i="2"/>
  <c r="B398" i="2"/>
  <c r="B393" i="2"/>
  <c r="B400" i="2"/>
  <c r="B401" i="2"/>
  <c r="B394" i="2"/>
  <c r="B397" i="2"/>
  <c r="B395" i="2"/>
  <c r="B396" i="2"/>
  <c r="B399" i="2"/>
  <c r="B392" i="2"/>
  <c r="B409" i="2"/>
  <c r="B410" i="2"/>
  <c r="B411" i="2"/>
  <c r="B403" i="2"/>
  <c r="B407" i="2"/>
  <c r="B404" i="2"/>
  <c r="B405" i="2"/>
  <c r="B402" i="2"/>
  <c r="B406" i="2"/>
  <c r="B408" i="2"/>
  <c r="B505" i="2"/>
  <c r="B508" i="2"/>
  <c r="B507" i="2"/>
  <c r="B499" i="2"/>
  <c r="B503" i="2"/>
  <c r="B506" i="2"/>
  <c r="B497" i="2"/>
  <c r="B501" i="2"/>
  <c r="B498" i="2"/>
  <c r="B500" i="2"/>
  <c r="B496" i="2"/>
  <c r="B502" i="2"/>
  <c r="B504" i="2"/>
  <c r="B514" i="2"/>
  <c r="B512" i="2"/>
  <c r="B511" i="2"/>
  <c r="B513" i="2"/>
  <c r="B516" i="2"/>
  <c r="B515" i="2"/>
  <c r="B510" i="2"/>
  <c r="B509" i="2"/>
  <c r="B691" i="2"/>
  <c r="B692" i="2"/>
  <c r="B671" i="2"/>
  <c r="B679" i="2"/>
  <c r="B678" i="2"/>
  <c r="B672" i="2"/>
  <c r="B688" i="2"/>
  <c r="B686" i="2"/>
  <c r="B689" i="2"/>
  <c r="B687" i="2"/>
  <c r="B681" i="2"/>
  <c r="B682" i="2"/>
  <c r="B684" i="2"/>
  <c r="B685" i="2"/>
  <c r="B680" i="2"/>
  <c r="B677" i="2"/>
  <c r="B690" i="2"/>
  <c r="B674" i="2"/>
  <c r="B673" i="2"/>
  <c r="B675" i="2"/>
  <c r="B693" i="2"/>
  <c r="B676" i="2"/>
  <c r="B683" i="2"/>
  <c r="B778" i="2"/>
  <c r="B776" i="2"/>
  <c r="B780" i="2"/>
  <c r="B777" i="2"/>
  <c r="B783" i="2"/>
  <c r="B782" i="2"/>
  <c r="B781" i="2"/>
  <c r="B775" i="2"/>
  <c r="B770" i="2"/>
  <c r="B773" i="2"/>
  <c r="B771" i="2"/>
  <c r="B772" i="2"/>
  <c r="B769" i="2"/>
  <c r="B774" i="2"/>
  <c r="B779" i="2"/>
  <c r="B827" i="2"/>
  <c r="B825" i="2"/>
  <c r="B823" i="2"/>
  <c r="B824" i="2"/>
  <c r="B826" i="2"/>
  <c r="B822" i="2"/>
  <c r="B842" i="2"/>
  <c r="B831" i="2"/>
  <c r="B832" i="2"/>
  <c r="B830" i="2"/>
  <c r="B838" i="2"/>
  <c r="B839" i="2"/>
  <c r="B840" i="2"/>
  <c r="B834" i="2"/>
  <c r="B835" i="2"/>
  <c r="B837" i="2"/>
  <c r="B833" i="2"/>
  <c r="B836" i="2"/>
  <c r="B841" i="2"/>
  <c r="B828" i="2"/>
  <c r="B829" i="2"/>
  <c r="B853" i="2"/>
  <c r="B857" i="2"/>
  <c r="B845" i="2"/>
  <c r="B846" i="2"/>
  <c r="B844" i="2"/>
  <c r="B852" i="2"/>
  <c r="B855" i="2"/>
  <c r="B854" i="2"/>
  <c r="B848" i="2"/>
  <c r="B851" i="2"/>
  <c r="B850" i="2"/>
  <c r="B847" i="2"/>
  <c r="B849" i="2"/>
  <c r="B856" i="2"/>
  <c r="B843" i="2"/>
  <c r="B872" i="2"/>
  <c r="B861" i="2"/>
  <c r="B862" i="2"/>
  <c r="B860" i="2"/>
  <c r="B868" i="2"/>
  <c r="B870" i="2"/>
  <c r="B869" i="2"/>
  <c r="B864" i="2"/>
  <c r="B866" i="2"/>
  <c r="B867" i="2"/>
  <c r="B863" i="2"/>
  <c r="B865" i="2"/>
  <c r="B871" i="2"/>
  <c r="B858" i="2"/>
  <c r="B859" i="2"/>
  <c r="B898" i="2"/>
  <c r="B901" i="2"/>
  <c r="B900" i="2"/>
  <c r="B895" i="2"/>
  <c r="B899" i="2"/>
  <c r="B890" i="2"/>
  <c r="B893" i="2"/>
  <c r="B891" i="2"/>
  <c r="B892" i="2"/>
  <c r="B889" i="2"/>
  <c r="B894" i="2"/>
  <c r="B897" i="2"/>
  <c r="B896" i="2"/>
  <c r="B990" i="2"/>
  <c r="B980" i="2"/>
  <c r="B979" i="2"/>
  <c r="B986" i="2"/>
  <c r="B988" i="2"/>
  <c r="B987" i="2"/>
  <c r="B982" i="2"/>
  <c r="B984" i="2"/>
  <c r="B985" i="2"/>
  <c r="B981" i="2"/>
  <c r="B983" i="2"/>
  <c r="B989" i="2"/>
  <c r="B978" i="2"/>
  <c r="B1040" i="2"/>
  <c r="B1039" i="2"/>
  <c r="B1042" i="2"/>
  <c r="B1037" i="2"/>
  <c r="B1035" i="2"/>
  <c r="B1033" i="2"/>
  <c r="B1034" i="2"/>
  <c r="B1036" i="2"/>
  <c r="B1041" i="2"/>
  <c r="B1038" i="2"/>
  <c r="B1053" i="2"/>
  <c r="B1054" i="2"/>
  <c r="B1051" i="2"/>
  <c r="B1049" i="2"/>
  <c r="B1052" i="2"/>
  <c r="B1044" i="2"/>
  <c r="B1047" i="2"/>
  <c r="B1045" i="2"/>
  <c r="B1046" i="2"/>
  <c r="B1043" i="2"/>
  <c r="B1048" i="2"/>
  <c r="B1050" i="2"/>
  <c r="B1089" i="2"/>
  <c r="B1088" i="2"/>
  <c r="B1091" i="2"/>
  <c r="B1090" i="2"/>
  <c r="B1082" i="2"/>
  <c r="B1086" i="2"/>
  <c r="B1083" i="2"/>
  <c r="B1084" i="2"/>
  <c r="B1081" i="2"/>
  <c r="B1085" i="2"/>
  <c r="B1087" i="2"/>
  <c r="B1125" i="2"/>
  <c r="B1140" i="2"/>
  <c r="B1141" i="2"/>
  <c r="B1124" i="2"/>
  <c r="B1122" i="2"/>
  <c r="B1123" i="2"/>
  <c r="B1135" i="2"/>
  <c r="B1137" i="2"/>
  <c r="B1138" i="2"/>
  <c r="B1129" i="2"/>
  <c r="B1127" i="2"/>
  <c r="B1126" i="2"/>
  <c r="B1130" i="2"/>
  <c r="B1133" i="2"/>
  <c r="B1131" i="2"/>
  <c r="B1128" i="2"/>
  <c r="B1134" i="2"/>
  <c r="B1132" i="2"/>
  <c r="B1136" i="2"/>
  <c r="B1139" i="2"/>
  <c r="B1119" i="2"/>
  <c r="B1120" i="2"/>
  <c r="B1121" i="2"/>
  <c r="B1237" i="2"/>
  <c r="B1238" i="2"/>
  <c r="B1239" i="2"/>
  <c r="B1234" i="2"/>
  <c r="B1236" i="2"/>
  <c r="B1233" i="2"/>
  <c r="B1230" i="2"/>
  <c r="B1231" i="2"/>
  <c r="B1232" i="2"/>
  <c r="B1235" i="2"/>
  <c r="B1295" i="2"/>
  <c r="B1297" i="2"/>
  <c r="B1296" i="2"/>
  <c r="B1294" i="2"/>
  <c r="B1285" i="2"/>
  <c r="B1287" i="2"/>
  <c r="B1290" i="2"/>
  <c r="B1292" i="2"/>
  <c r="B1286" i="2"/>
  <c r="B1284" i="2"/>
  <c r="B1288" i="2"/>
  <c r="B1283" i="2"/>
  <c r="B1293" i="2"/>
  <c r="B1289" i="2"/>
  <c r="B1291" i="2"/>
  <c r="B1354" i="2"/>
  <c r="B1357" i="2"/>
  <c r="B1356" i="2"/>
  <c r="B1358" i="2"/>
  <c r="B1349" i="2"/>
  <c r="B1353" i="2"/>
  <c r="B1351" i="2"/>
  <c r="B1345" i="2"/>
  <c r="B1352" i="2"/>
  <c r="B1346" i="2"/>
  <c r="B1350" i="2"/>
  <c r="B1347" i="2"/>
  <c r="B1348" i="2"/>
  <c r="B1355" i="2"/>
  <c r="B1380" i="2"/>
  <c r="B1381" i="2"/>
  <c r="B1373" i="2"/>
  <c r="B1372" i="2"/>
  <c r="B1375" i="2"/>
  <c r="B1377" i="2"/>
  <c r="B1378" i="2"/>
  <c r="B1374" i="2"/>
  <c r="B1379" i="2"/>
  <c r="B1376" i="2"/>
  <c r="B1386" i="2"/>
  <c r="B1387" i="2"/>
  <c r="B1383" i="2"/>
  <c r="B1384" i="2"/>
  <c r="B1385" i="2"/>
  <c r="B1382" i="2"/>
  <c r="B1438" i="2"/>
  <c r="B1441" i="2"/>
  <c r="B1439" i="2"/>
  <c r="B1440" i="2"/>
  <c r="B1434" i="2"/>
  <c r="B1403" i="2"/>
  <c r="B1435" i="2"/>
  <c r="B1432" i="2"/>
  <c r="B1430" i="2"/>
  <c r="B1404" i="2"/>
  <c r="B1406" i="2"/>
  <c r="B1405" i="2"/>
  <c r="B1422" i="2"/>
  <c r="B1394" i="2"/>
  <c r="B1411" i="2"/>
  <c r="B1425" i="2"/>
  <c r="B1398" i="2"/>
  <c r="B1423" i="2"/>
  <c r="B1418" i="2"/>
  <c r="B1396" i="2"/>
  <c r="B1415" i="2"/>
  <c r="B1407" i="2"/>
  <c r="B1417" i="2"/>
  <c r="B1388" i="2"/>
  <c r="B1408" i="2"/>
  <c r="B1436" i="2"/>
  <c r="B1395" i="2"/>
  <c r="B1412" i="2"/>
  <c r="B1420" i="2"/>
  <c r="B1421" i="2"/>
  <c r="B1410" i="2"/>
  <c r="B1416" i="2"/>
  <c r="B1426" i="2"/>
  <c r="B1390" i="2"/>
  <c r="B1409" i="2"/>
  <c r="B1419" i="2"/>
  <c r="B1424" i="2"/>
  <c r="B1391" i="2"/>
  <c r="B1413" i="2"/>
  <c r="B1429" i="2"/>
  <c r="B1393" i="2"/>
  <c r="B1414" i="2"/>
  <c r="B1428" i="2"/>
  <c r="B1427" i="2"/>
  <c r="B1402" i="2"/>
  <c r="B1400" i="2"/>
  <c r="B1401" i="2"/>
  <c r="B1431" i="2"/>
  <c r="B1392" i="2"/>
  <c r="B1389" i="2"/>
  <c r="B1399" i="2"/>
  <c r="B1397" i="2"/>
  <c r="B1433" i="2"/>
  <c r="B1437" i="2"/>
  <c r="B1452" i="2"/>
  <c r="B1456" i="2"/>
  <c r="B1453" i="2"/>
  <c r="B1447" i="2"/>
  <c r="B1450" i="2"/>
  <c r="B1445" i="2"/>
  <c r="B1455" i="2"/>
  <c r="B1449" i="2"/>
  <c r="B1454" i="2"/>
  <c r="B1443" i="2"/>
  <c r="B1444" i="2"/>
  <c r="B1446" i="2"/>
  <c r="B1442" i="2"/>
  <c r="B1448" i="2"/>
  <c r="B1451" i="2"/>
  <c r="B1464" i="2"/>
  <c r="B1491" i="2"/>
  <c r="B1466" i="2"/>
  <c r="B1471" i="2"/>
  <c r="B1492" i="2"/>
  <c r="B1508" i="2"/>
  <c r="B1462" i="2"/>
  <c r="B1497" i="2"/>
  <c r="B1501" i="2"/>
  <c r="B1503" i="2"/>
  <c r="B1506" i="2"/>
  <c r="B1510" i="2"/>
  <c r="B1458" i="2"/>
  <c r="B1463" i="2"/>
  <c r="B1496" i="2"/>
  <c r="B1457" i="2"/>
  <c r="B1495" i="2"/>
  <c r="B1486" i="2"/>
  <c r="B1479" i="2"/>
  <c r="B1480" i="2"/>
  <c r="B1477" i="2"/>
  <c r="B1484" i="2"/>
  <c r="B1482" i="2"/>
  <c r="B1476" i="2"/>
  <c r="B1481" i="2"/>
  <c r="B1487" i="2"/>
  <c r="B1489" i="2"/>
  <c r="B1485" i="2"/>
  <c r="B1488" i="2"/>
  <c r="B1478" i="2"/>
  <c r="B1490" i="2"/>
  <c r="B1494" i="2"/>
  <c r="B1493" i="2"/>
  <c r="B1499" i="2"/>
  <c r="B1498" i="2"/>
  <c r="B1500" i="2"/>
  <c r="B1505" i="2"/>
  <c r="B1502" i="2"/>
  <c r="B1504" i="2"/>
  <c r="B1509" i="2"/>
  <c r="B1507" i="2"/>
  <c r="B1483" i="2"/>
  <c r="B1460" i="2"/>
  <c r="B1459" i="2"/>
  <c r="B1461" i="2"/>
  <c r="B1474" i="2"/>
  <c r="B1475" i="2"/>
  <c r="B1467" i="2"/>
  <c r="B1473" i="2"/>
  <c r="B1469" i="2"/>
  <c r="B1472" i="2"/>
  <c r="B1465" i="2"/>
  <c r="B1468" i="2"/>
  <c r="B1470" i="2"/>
  <c r="B1544" i="2"/>
  <c r="B1545" i="2"/>
  <c r="B1546" i="2"/>
  <c r="B1541" i="2"/>
  <c r="B1537" i="2"/>
  <c r="B1539" i="2"/>
  <c r="B1540" i="2"/>
  <c r="B1542" i="2"/>
  <c r="B1538" i="2"/>
  <c r="B1543" i="2"/>
  <c r="B1560" i="2"/>
  <c r="B1551" i="2"/>
  <c r="B1552" i="2"/>
  <c r="B1550" i="2"/>
  <c r="B1557" i="2"/>
  <c r="B1558" i="2"/>
  <c r="B1554" i="2"/>
  <c r="B1556" i="2"/>
  <c r="B1553" i="2"/>
  <c r="B1555" i="2"/>
  <c r="B1559" i="2"/>
  <c r="B1548" i="2"/>
  <c r="B1549" i="2"/>
  <c r="B1547" i="2"/>
  <c r="B1576" i="2"/>
  <c r="B1564" i="2"/>
  <c r="B1575" i="2"/>
  <c r="B1561" i="2"/>
  <c r="B1562" i="2"/>
  <c r="B1563" i="2"/>
  <c r="B1577" i="2"/>
  <c r="B1566" i="2"/>
  <c r="B1573" i="2"/>
  <c r="B1571" i="2"/>
  <c r="B1569" i="2"/>
  <c r="B1567" i="2"/>
  <c r="B1568" i="2"/>
  <c r="B1570" i="2"/>
  <c r="B1565" i="2"/>
  <c r="B1574" i="2"/>
  <c r="B1572" i="2"/>
  <c r="B1635" i="2"/>
  <c r="B1630" i="2"/>
  <c r="B1636" i="2"/>
  <c r="B1632" i="2"/>
  <c r="B1631" i="2"/>
  <c r="B1629" i="2"/>
  <c r="B1624" i="2"/>
  <c r="B1625" i="2"/>
  <c r="B1627" i="2"/>
  <c r="B1626" i="2"/>
  <c r="B1634" i="2"/>
  <c r="B1628" i="2"/>
  <c r="B1633" i="2"/>
  <c r="B1697" i="2"/>
  <c r="B1699" i="2"/>
  <c r="B1698" i="2"/>
  <c r="B1691" i="2"/>
  <c r="B1695" i="2"/>
  <c r="B1692" i="2"/>
  <c r="B1693" i="2"/>
  <c r="B1690" i="2"/>
  <c r="B1694" i="2"/>
  <c r="B1696" i="2"/>
  <c r="B1736" i="2"/>
  <c r="B1737" i="2"/>
  <c r="B1733" i="2"/>
  <c r="B1730" i="2"/>
  <c r="B1731" i="2"/>
  <c r="B1732" i="2"/>
  <c r="B1734" i="2"/>
  <c r="B1735" i="2"/>
  <c r="B1745" i="2"/>
  <c r="B1741" i="2"/>
  <c r="B1739" i="2"/>
  <c r="B1740" i="2"/>
  <c r="B1742" i="2"/>
  <c r="B1738" i="2"/>
  <c r="B1746" i="2"/>
  <c r="B1743" i="2"/>
  <c r="B1744" i="2"/>
  <c r="B1816" i="2"/>
  <c r="B1818" i="2"/>
  <c r="B1822" i="2"/>
  <c r="B1821" i="2"/>
  <c r="B1823" i="2"/>
  <c r="B1820" i="2"/>
  <c r="B1819" i="2"/>
  <c r="B1815" i="2"/>
  <c r="B1810" i="2"/>
  <c r="B1813" i="2"/>
  <c r="B1811" i="2"/>
  <c r="B1812" i="2"/>
  <c r="B1809" i="2"/>
  <c r="B1814" i="2"/>
  <c r="B1817" i="2"/>
  <c r="B1872" i="2"/>
  <c r="B1871" i="2"/>
  <c r="B1869" i="2"/>
  <c r="B1870" i="2"/>
  <c r="B91" i="2"/>
  <c r="B82" i="2"/>
  <c r="B93" i="2"/>
  <c r="B90" i="2"/>
  <c r="B85" i="2"/>
  <c r="B92" i="2"/>
  <c r="B83" i="2"/>
  <c r="B89" i="2"/>
  <c r="B84" i="2"/>
  <c r="B88" i="2"/>
  <c r="B81" i="2"/>
  <c r="B87" i="2"/>
  <c r="B86" i="2"/>
  <c r="B208" i="2"/>
  <c r="B207" i="2"/>
  <c r="B198" i="2"/>
  <c r="B196" i="2"/>
  <c r="B202" i="2"/>
  <c r="B201" i="2"/>
  <c r="B203" i="2"/>
  <c r="B200" i="2"/>
  <c r="B197" i="2"/>
  <c r="B204" i="2"/>
  <c r="B199" i="2"/>
  <c r="B205" i="2"/>
  <c r="B206" i="2"/>
  <c r="B327" i="2"/>
  <c r="B323" i="2"/>
  <c r="B290" i="2"/>
  <c r="B287" i="2"/>
  <c r="B337" i="2"/>
  <c r="B291" i="2"/>
  <c r="B293" i="2"/>
  <c r="B292" i="2"/>
  <c r="B340" i="2"/>
  <c r="B333" i="2"/>
  <c r="B289" i="2"/>
  <c r="B288" i="2"/>
  <c r="B286" i="2"/>
  <c r="B284" i="2"/>
  <c r="B339" i="2"/>
  <c r="B302" i="2"/>
  <c r="B330" i="2"/>
  <c r="B329" i="2"/>
  <c r="B331" i="2"/>
  <c r="B334" i="2"/>
  <c r="B328" i="2"/>
  <c r="B332" i="2"/>
  <c r="B336" i="2"/>
  <c r="B335" i="2"/>
  <c r="B299" i="2"/>
  <c r="B297" i="2"/>
  <c r="B301" i="2"/>
  <c r="B338" i="2"/>
  <c r="B300" i="2"/>
  <c r="B296" i="2"/>
  <c r="B298" i="2"/>
  <c r="B303" i="2"/>
  <c r="B282" i="2"/>
  <c r="B283" i="2"/>
  <c r="B311" i="2"/>
  <c r="B308" i="2"/>
  <c r="B314" i="2"/>
  <c r="B304" i="2"/>
  <c r="B295" i="2"/>
  <c r="B281" i="2"/>
  <c r="B324" i="2"/>
  <c r="B326" i="2"/>
  <c r="B325" i="2"/>
  <c r="B294" i="2"/>
  <c r="B285" i="2"/>
  <c r="B318" i="2"/>
  <c r="B317" i="2"/>
  <c r="B321" i="2"/>
  <c r="B312" i="2"/>
  <c r="B313" i="2"/>
  <c r="B305" i="2"/>
  <c r="B315" i="2"/>
  <c r="B316" i="2"/>
  <c r="B306" i="2"/>
  <c r="B310" i="2"/>
  <c r="B307" i="2"/>
  <c r="B320" i="2"/>
  <c r="B319" i="2"/>
  <c r="B309" i="2"/>
  <c r="B322" i="2"/>
  <c r="B527" i="2"/>
  <c r="B528" i="2"/>
  <c r="B526" i="2"/>
  <c r="B518" i="2"/>
  <c r="B521" i="2"/>
  <c r="B522" i="2"/>
  <c r="B520" i="2"/>
  <c r="B517" i="2"/>
  <c r="B523" i="2"/>
  <c r="B519" i="2"/>
  <c r="B524" i="2"/>
  <c r="B525" i="2"/>
  <c r="B743" i="2"/>
  <c r="B741" i="2"/>
  <c r="B740" i="2"/>
  <c r="B742" i="2"/>
  <c r="B729" i="2"/>
  <c r="B738" i="2"/>
  <c r="B737" i="2"/>
  <c r="B732" i="2"/>
  <c r="B739" i="2"/>
  <c r="B730" i="2"/>
  <c r="B735" i="2"/>
  <c r="B731" i="2"/>
  <c r="B736" i="2"/>
  <c r="B734" i="2"/>
  <c r="B733" i="2"/>
  <c r="B1030" i="2"/>
  <c r="B1032" i="2"/>
  <c r="B1031" i="2"/>
  <c r="B1021" i="2"/>
  <c r="B1019" i="2"/>
  <c r="B1025" i="2"/>
  <c r="B1024" i="2"/>
  <c r="B1026" i="2"/>
  <c r="B1023" i="2"/>
  <c r="B1020" i="2"/>
  <c r="B1027" i="2"/>
  <c r="B1022" i="2"/>
  <c r="B1028" i="2"/>
  <c r="B1029" i="2"/>
  <c r="B1103" i="2"/>
  <c r="B1101" i="2"/>
  <c r="B1102" i="2"/>
  <c r="B1092" i="2"/>
  <c r="B1097" i="2"/>
  <c r="B1096" i="2"/>
  <c r="B1095" i="2"/>
  <c r="B1093" i="2"/>
  <c r="B1098" i="2"/>
  <c r="B1094" i="2"/>
  <c r="B1099" i="2"/>
  <c r="B1100" i="2"/>
  <c r="B1148" i="2"/>
  <c r="B1151" i="2"/>
  <c r="B1149" i="2"/>
  <c r="B1150" i="2"/>
  <c r="B1143" i="2"/>
  <c r="B1145" i="2"/>
  <c r="B1142" i="2"/>
  <c r="B1144" i="2"/>
  <c r="B1146" i="2"/>
  <c r="B1147" i="2"/>
  <c r="B1228" i="2"/>
  <c r="B1219" i="2"/>
  <c r="B1223" i="2"/>
  <c r="B1222" i="2"/>
  <c r="B1224" i="2"/>
  <c r="B1221" i="2"/>
  <c r="B1218" i="2"/>
  <c r="B1225" i="2"/>
  <c r="B1220" i="2"/>
  <c r="B1226" i="2"/>
  <c r="B1227" i="2"/>
  <c r="B1621" i="2"/>
  <c r="B1623" i="2"/>
  <c r="B1622" i="2"/>
  <c r="B1614" i="2"/>
  <c r="B1612" i="2"/>
  <c r="B1618" i="2"/>
  <c r="B1617" i="2"/>
  <c r="B1616" i="2"/>
  <c r="B1613" i="2"/>
  <c r="B1615" i="2"/>
  <c r="B1619" i="2"/>
  <c r="B1620" i="2"/>
  <c r="B1686" i="2"/>
  <c r="B1689" i="2"/>
  <c r="B1687" i="2"/>
  <c r="B1688" i="2"/>
  <c r="B1677" i="2"/>
  <c r="B1675" i="2"/>
  <c r="B1681" i="2"/>
  <c r="B1680" i="2"/>
  <c r="B1682" i="2"/>
  <c r="B1679" i="2"/>
  <c r="B1676" i="2"/>
  <c r="B1683" i="2"/>
  <c r="B1678" i="2"/>
  <c r="B1684" i="2"/>
  <c r="B1685" i="2"/>
  <c r="B1766" i="2"/>
  <c r="B1759" i="2"/>
  <c r="B1757" i="2"/>
  <c r="B1762" i="2"/>
  <c r="B1761" i="2"/>
  <c r="B1758" i="2"/>
  <c r="B1763" i="2"/>
  <c r="B1760" i="2"/>
  <c r="B1764" i="2"/>
  <c r="B1765" i="2"/>
  <c r="B1371" i="2"/>
  <c r="B1370" i="2"/>
  <c r="B1361" i="2"/>
  <c r="B1359" i="2"/>
  <c r="B1365" i="2"/>
  <c r="B1364" i="2"/>
  <c r="B1366" i="2"/>
  <c r="B1363" i="2"/>
  <c r="B1360" i="2"/>
  <c r="B1367" i="2"/>
  <c r="B1362" i="2"/>
  <c r="B1368" i="2"/>
  <c r="B1369" i="2"/>
  <c r="B1796" i="2"/>
  <c r="B1795" i="2"/>
  <c r="B1789" i="2"/>
  <c r="B1788" i="2"/>
  <c r="B1791" i="2"/>
  <c r="B1792" i="2"/>
  <c r="B1790" i="2"/>
  <c r="B1793" i="2"/>
  <c r="B1794" i="2"/>
  <c r="B1798" i="2"/>
  <c r="B1800" i="2"/>
  <c r="B1799" i="2"/>
  <c r="B1797" i="2"/>
  <c r="B274" i="2"/>
  <c r="B275" i="2"/>
  <c r="B276" i="2"/>
  <c r="B273" i="2"/>
  <c r="B277" i="2"/>
  <c r="B278" i="2"/>
  <c r="B378" i="2"/>
  <c r="B380" i="2"/>
  <c r="B379" i="2"/>
  <c r="B371" i="2"/>
  <c r="B373" i="2"/>
  <c r="B374" i="2"/>
  <c r="B375" i="2"/>
  <c r="B372" i="2"/>
  <c r="B376" i="2"/>
  <c r="B377" i="2"/>
  <c r="B390" i="2"/>
  <c r="B391" i="2"/>
  <c r="B382" i="2"/>
  <c r="B381" i="2"/>
  <c r="B383" i="2"/>
  <c r="B385" i="2"/>
  <c r="B387" i="2"/>
  <c r="B386" i="2"/>
  <c r="B384" i="2"/>
  <c r="B388" i="2"/>
  <c r="B389" i="2"/>
  <c r="B419" i="2"/>
  <c r="B412" i="2"/>
  <c r="B414" i="2"/>
  <c r="B415" i="2"/>
  <c r="B416" i="2"/>
  <c r="B413" i="2"/>
  <c r="B417" i="2"/>
  <c r="B418" i="2"/>
  <c r="B428" i="2"/>
  <c r="B429" i="2"/>
  <c r="B420" i="2"/>
  <c r="B421" i="2"/>
  <c r="B423" i="2"/>
  <c r="B424" i="2"/>
  <c r="B425" i="2"/>
  <c r="B422" i="2"/>
  <c r="B426" i="2"/>
  <c r="B427" i="2"/>
  <c r="B441" i="2"/>
  <c r="B440" i="2"/>
  <c r="B430" i="2"/>
  <c r="B439" i="2"/>
  <c r="B431" i="2"/>
  <c r="B433" i="2"/>
  <c r="B435" i="2"/>
  <c r="B434" i="2"/>
  <c r="B432" i="2"/>
  <c r="B436" i="2"/>
  <c r="B437" i="2"/>
  <c r="B438" i="2"/>
  <c r="B476" i="2"/>
  <c r="B473" i="2"/>
  <c r="B481" i="2"/>
  <c r="B472" i="2"/>
  <c r="B474" i="2"/>
  <c r="B475" i="2"/>
  <c r="B477" i="2"/>
  <c r="B478" i="2"/>
  <c r="B479" i="2"/>
  <c r="B480" i="2"/>
  <c r="B489" i="2"/>
  <c r="B482" i="2"/>
  <c r="B484" i="2"/>
  <c r="B485" i="2"/>
  <c r="B486" i="2"/>
  <c r="B483" i="2"/>
  <c r="B487" i="2"/>
  <c r="B488" i="2"/>
  <c r="B494" i="2"/>
  <c r="B492" i="2"/>
  <c r="B491" i="2"/>
  <c r="B490" i="2"/>
  <c r="B495" i="2"/>
  <c r="B493" i="2"/>
  <c r="B535" i="2"/>
  <c r="B532" i="2"/>
  <c r="B536" i="2"/>
  <c r="B533" i="2"/>
  <c r="B539" i="2"/>
  <c r="B534" i="2"/>
  <c r="B531" i="2"/>
  <c r="B530" i="2"/>
  <c r="B529" i="2"/>
  <c r="B537" i="2"/>
  <c r="B538" i="2"/>
  <c r="B568" i="2"/>
  <c r="B569" i="2"/>
  <c r="B574" i="2"/>
  <c r="B573" i="2"/>
  <c r="B572" i="2"/>
  <c r="B571" i="2"/>
  <c r="B567" i="2"/>
  <c r="B570" i="2"/>
  <c r="B564" i="2"/>
  <c r="B565" i="2"/>
  <c r="B561" i="2"/>
  <c r="B563" i="2"/>
  <c r="B562" i="2"/>
  <c r="B560" i="2"/>
  <c r="B566" i="2"/>
  <c r="B602" i="2"/>
  <c r="B596" i="2"/>
  <c r="B597" i="2"/>
  <c r="B598" i="2"/>
  <c r="B599" i="2"/>
  <c r="B600" i="2"/>
  <c r="B601" i="2"/>
  <c r="B608" i="2"/>
  <c r="B610" i="2"/>
  <c r="B603" i="2"/>
  <c r="B606" i="2"/>
  <c r="B604" i="2"/>
  <c r="B607" i="2"/>
  <c r="B611" i="2"/>
  <c r="B612" i="2"/>
  <c r="B605" i="2"/>
  <c r="B609" i="2"/>
  <c r="B621" i="2"/>
  <c r="B622" i="2"/>
  <c r="B613" i="2"/>
  <c r="B614" i="2"/>
  <c r="B616" i="2"/>
  <c r="B618" i="2"/>
  <c r="B617" i="2"/>
  <c r="B615" i="2"/>
  <c r="B619" i="2"/>
  <c r="B620" i="2"/>
  <c r="B625" i="2"/>
  <c r="B628" i="2"/>
  <c r="B627" i="2"/>
  <c r="B629" i="2"/>
  <c r="B626" i="2"/>
  <c r="B623" i="2"/>
  <c r="B624" i="2"/>
  <c r="B630" i="2"/>
  <c r="B638" i="2"/>
  <c r="B631" i="2"/>
  <c r="B633" i="2"/>
  <c r="B635" i="2"/>
  <c r="B634" i="2"/>
  <c r="B632" i="2"/>
  <c r="B636" i="2"/>
  <c r="B637" i="2"/>
  <c r="B648" i="2"/>
  <c r="B647" i="2"/>
  <c r="B649" i="2"/>
  <c r="B646" i="2"/>
  <c r="B639" i="2"/>
  <c r="B640" i="2"/>
  <c r="B641" i="2"/>
  <c r="B642" i="2"/>
  <c r="B643" i="2"/>
  <c r="B644" i="2"/>
  <c r="B645" i="2"/>
  <c r="B654" i="2"/>
  <c r="B655" i="2"/>
  <c r="B650" i="2"/>
  <c r="B651" i="2"/>
  <c r="B652" i="2"/>
  <c r="B653" i="2"/>
  <c r="B702" i="2"/>
  <c r="B701" i="2"/>
  <c r="B694" i="2"/>
  <c r="B696" i="2"/>
  <c r="B698" i="2"/>
  <c r="B697" i="2"/>
  <c r="B695" i="2"/>
  <c r="B699" i="2"/>
  <c r="B700" i="2"/>
  <c r="B711" i="2"/>
  <c r="B712" i="2"/>
  <c r="B703" i="2"/>
  <c r="B704" i="2"/>
  <c r="B706" i="2"/>
  <c r="B708" i="2"/>
  <c r="B707" i="2"/>
  <c r="B705" i="2"/>
  <c r="B709" i="2"/>
  <c r="B710" i="2"/>
  <c r="B726" i="2"/>
  <c r="B728" i="2"/>
  <c r="B727" i="2"/>
  <c r="B719" i="2"/>
  <c r="B721" i="2"/>
  <c r="B723" i="2"/>
  <c r="B722" i="2"/>
  <c r="B720" i="2"/>
  <c r="B724" i="2"/>
  <c r="B725" i="2"/>
  <c r="B751" i="2"/>
  <c r="B744" i="2"/>
  <c r="B745" i="2"/>
  <c r="B747" i="2"/>
  <c r="B748" i="2"/>
  <c r="B746" i="2"/>
  <c r="B749" i="2"/>
  <c r="B750" i="2"/>
  <c r="B767" i="2"/>
  <c r="B768" i="2"/>
  <c r="B762" i="2"/>
  <c r="B764" i="2"/>
  <c r="B763" i="2"/>
  <c r="B765" i="2"/>
  <c r="B766" i="2"/>
  <c r="B793" i="2"/>
  <c r="B794" i="2"/>
  <c r="B784" i="2"/>
  <c r="B792" i="2"/>
  <c r="B785" i="2"/>
  <c r="B787" i="2"/>
  <c r="B789" i="2"/>
  <c r="B788" i="2"/>
  <c r="B786" i="2"/>
  <c r="B790" i="2"/>
  <c r="B791" i="2"/>
  <c r="B805" i="2"/>
  <c r="B801" i="2"/>
  <c r="B802" i="2"/>
  <c r="B803" i="2"/>
  <c r="B804" i="2"/>
  <c r="B813" i="2"/>
  <c r="B806" i="2"/>
  <c r="B808" i="2"/>
  <c r="B810" i="2"/>
  <c r="B809" i="2"/>
  <c r="B807" i="2"/>
  <c r="B811" i="2"/>
  <c r="B812" i="2"/>
  <c r="B880" i="2"/>
  <c r="B873" i="2"/>
  <c r="B875" i="2"/>
  <c r="B877" i="2"/>
  <c r="B876" i="2"/>
  <c r="B874" i="2"/>
  <c r="B878" i="2"/>
  <c r="B879" i="2"/>
  <c r="B887" i="2"/>
  <c r="B888" i="2"/>
  <c r="B881" i="2"/>
  <c r="B882" i="2"/>
  <c r="B884" i="2"/>
  <c r="B883" i="2"/>
  <c r="B885" i="2"/>
  <c r="B886" i="2"/>
  <c r="B909" i="2"/>
  <c r="B911" i="2"/>
  <c r="B910" i="2"/>
  <c r="B902" i="2"/>
  <c r="B904" i="2"/>
  <c r="B905" i="2"/>
  <c r="B906" i="2"/>
  <c r="B903" i="2"/>
  <c r="B907" i="2"/>
  <c r="B908" i="2"/>
  <c r="B917" i="2"/>
  <c r="B913" i="2"/>
  <c r="B916" i="2"/>
  <c r="B915" i="2"/>
  <c r="B914" i="2"/>
  <c r="B912" i="2"/>
  <c r="B919" i="2"/>
  <c r="B918" i="2"/>
  <c r="B948" i="2"/>
  <c r="B946" i="2"/>
  <c r="B945" i="2"/>
  <c r="B950" i="2"/>
  <c r="B949" i="2"/>
  <c r="B928" i="2"/>
  <c r="B923" i="2"/>
  <c r="B926" i="2"/>
  <c r="B925" i="2"/>
  <c r="B924" i="2"/>
  <c r="B922" i="2"/>
  <c r="B930" i="2"/>
  <c r="B931" i="2"/>
  <c r="B929" i="2"/>
  <c r="B927" i="2"/>
  <c r="B920" i="2"/>
  <c r="B921" i="2"/>
  <c r="B940" i="2"/>
  <c r="B939" i="2"/>
  <c r="B935" i="2"/>
  <c r="B938" i="2"/>
  <c r="B937" i="2"/>
  <c r="B936" i="2"/>
  <c r="B934" i="2"/>
  <c r="B941" i="2"/>
  <c r="B932" i="2"/>
  <c r="B933" i="2"/>
  <c r="B943" i="2"/>
  <c r="B942" i="2"/>
  <c r="B947" i="2"/>
  <c r="B944" i="2"/>
  <c r="B958" i="2"/>
  <c r="B959" i="2"/>
  <c r="B951" i="2"/>
  <c r="B953" i="2"/>
  <c r="B955" i="2"/>
  <c r="B954" i="2"/>
  <c r="B952" i="2"/>
  <c r="B956" i="2"/>
  <c r="B957" i="2"/>
  <c r="B960" i="2"/>
  <c r="B961" i="2"/>
  <c r="B962" i="2"/>
  <c r="B969" i="2"/>
  <c r="B967" i="2"/>
  <c r="B968" i="2"/>
  <c r="B970" i="2"/>
  <c r="B972" i="2"/>
  <c r="B971" i="2"/>
  <c r="B966" i="2"/>
  <c r="B963" i="2"/>
  <c r="B964" i="2"/>
  <c r="B965" i="2"/>
  <c r="B974" i="2"/>
  <c r="B973" i="2"/>
  <c r="B975" i="2"/>
  <c r="B977" i="2"/>
  <c r="B976" i="2"/>
  <c r="B1001" i="2"/>
  <c r="B1002" i="2"/>
  <c r="B1000" i="2"/>
  <c r="B991" i="2"/>
  <c r="B994" i="2"/>
  <c r="B993" i="2"/>
  <c r="B996" i="2"/>
  <c r="B995" i="2"/>
  <c r="B992" i="2"/>
  <c r="B997" i="2"/>
  <c r="B998" i="2"/>
  <c r="B999" i="2"/>
  <c r="B1007" i="2"/>
  <c r="B1008" i="2"/>
  <c r="B1004" i="2"/>
  <c r="B1003" i="2"/>
  <c r="B1005" i="2"/>
  <c r="B1006" i="2"/>
  <c r="B1017" i="2"/>
  <c r="B1018" i="2"/>
  <c r="B1016" i="2"/>
  <c r="B1009" i="2"/>
  <c r="B1011" i="2"/>
  <c r="B1012" i="2"/>
  <c r="B1013" i="2"/>
  <c r="B1010" i="2"/>
  <c r="B1014" i="2"/>
  <c r="B1015" i="2"/>
  <c r="B1079" i="2"/>
  <c r="B1080" i="2"/>
  <c r="B1072" i="2"/>
  <c r="B1074" i="2"/>
  <c r="B1075" i="2"/>
  <c r="B1076" i="2"/>
  <c r="B1073" i="2"/>
  <c r="B1077" i="2"/>
  <c r="B1078" i="2"/>
  <c r="B1159" i="2"/>
  <c r="B1158" i="2"/>
  <c r="B1152" i="2"/>
  <c r="B1154" i="2"/>
  <c r="B1155" i="2"/>
  <c r="B1153" i="2"/>
  <c r="B1156" i="2"/>
  <c r="B1157" i="2"/>
  <c r="B1169" i="2"/>
  <c r="B1170" i="2"/>
  <c r="B1160" i="2"/>
  <c r="B1161" i="2"/>
  <c r="B1162" i="2"/>
  <c r="B1164" i="2"/>
  <c r="B1165" i="2"/>
  <c r="B1166" i="2"/>
  <c r="B1163" i="2"/>
  <c r="B1167" i="2"/>
  <c r="B1168" i="2"/>
  <c r="B1180" i="2"/>
  <c r="B1171" i="2"/>
  <c r="B1179" i="2"/>
  <c r="B1172" i="2"/>
  <c r="B1174" i="2"/>
  <c r="B1175" i="2"/>
  <c r="B1176" i="2"/>
  <c r="B1173" i="2"/>
  <c r="B1177" i="2"/>
  <c r="B1178" i="2"/>
  <c r="B1188" i="2"/>
  <c r="B1189" i="2"/>
  <c r="B1181" i="2"/>
  <c r="B1183" i="2"/>
  <c r="B1184" i="2"/>
  <c r="B1185" i="2"/>
  <c r="B1182" i="2"/>
  <c r="B1186" i="2"/>
  <c r="B1187" i="2"/>
  <c r="B1217" i="2"/>
  <c r="B1210" i="2"/>
  <c r="B1212" i="2"/>
  <c r="B1213" i="2"/>
  <c r="B1214" i="2"/>
  <c r="B1211" i="2"/>
  <c r="B1215" i="2"/>
  <c r="B1216" i="2"/>
  <c r="B1254" i="2"/>
  <c r="B1255" i="2"/>
  <c r="B1247" i="2"/>
  <c r="B1249" i="2"/>
  <c r="B1251" i="2"/>
  <c r="B1250" i="2"/>
  <c r="B1248" i="2"/>
  <c r="B1252" i="2"/>
  <c r="B1253" i="2"/>
  <c r="B1281" i="2"/>
  <c r="B1282" i="2"/>
  <c r="B1272" i="2"/>
  <c r="B1271" i="2"/>
  <c r="B1280" i="2"/>
  <c r="B1273" i="2"/>
  <c r="B1275" i="2"/>
  <c r="B1277" i="2"/>
  <c r="B1276" i="2"/>
  <c r="B1274" i="2"/>
  <c r="B1278" i="2"/>
  <c r="B1279" i="2"/>
  <c r="B1303" i="2"/>
  <c r="B1302" i="2"/>
  <c r="B1298" i="2"/>
  <c r="B1299" i="2"/>
  <c r="B1300" i="2"/>
  <c r="B1301" i="2"/>
  <c r="B1312" i="2"/>
  <c r="B1311" i="2"/>
  <c r="B1304" i="2"/>
  <c r="B1306" i="2"/>
  <c r="B1308" i="2"/>
  <c r="B1307" i="2"/>
  <c r="B1305" i="2"/>
  <c r="B1309" i="2"/>
  <c r="B1310" i="2"/>
  <c r="B1315" i="2"/>
  <c r="B1316" i="2"/>
  <c r="B1313" i="2"/>
  <c r="B1314" i="2"/>
  <c r="B1319" i="2"/>
  <c r="B1318" i="2"/>
  <c r="B1324" i="2"/>
  <c r="B1321" i="2"/>
  <c r="B1322" i="2"/>
  <c r="B1317" i="2"/>
  <c r="B1320" i="2"/>
  <c r="B1323" i="2"/>
  <c r="B1325" i="2"/>
  <c r="B1344" i="2"/>
  <c r="B1338" i="2"/>
  <c r="B1341" i="2"/>
  <c r="B1343" i="2"/>
  <c r="B1327" i="2"/>
  <c r="B1332" i="2"/>
  <c r="B1328" i="2"/>
  <c r="B1335" i="2"/>
  <c r="B1334" i="2"/>
  <c r="B1336" i="2"/>
  <c r="B1331" i="2"/>
  <c r="B1342" i="2"/>
  <c r="B1337" i="2"/>
  <c r="B1339" i="2"/>
  <c r="B1329" i="2"/>
  <c r="B1333" i="2"/>
  <c r="B1330" i="2"/>
  <c r="B1326" i="2"/>
  <c r="B1340" i="2"/>
  <c r="B1520" i="2"/>
  <c r="B1521" i="2"/>
  <c r="B1512" i="2"/>
  <c r="B1511" i="2"/>
  <c r="B1513" i="2"/>
  <c r="B1515" i="2"/>
  <c r="B1517" i="2"/>
  <c r="B1516" i="2"/>
  <c r="B1514" i="2"/>
  <c r="B1518" i="2"/>
  <c r="B1519" i="2"/>
  <c r="B1529" i="2"/>
  <c r="B1522" i="2"/>
  <c r="B1524" i="2"/>
  <c r="B1525" i="2"/>
  <c r="B1526" i="2"/>
  <c r="B1523" i="2"/>
  <c r="B1527" i="2"/>
  <c r="B1528" i="2"/>
  <c r="B1535" i="2"/>
  <c r="B1536" i="2"/>
  <c r="B1530" i="2"/>
  <c r="B1531" i="2"/>
  <c r="B1533" i="2"/>
  <c r="B1534" i="2"/>
  <c r="B1532" i="2"/>
  <c r="B1584" i="2"/>
  <c r="B1580" i="2"/>
  <c r="B1579" i="2"/>
  <c r="B1578" i="2"/>
  <c r="B1581" i="2"/>
  <c r="B1582" i="2"/>
  <c r="B1583" i="2"/>
  <c r="B1603" i="2"/>
  <c r="B1604" i="2"/>
  <c r="B1596" i="2"/>
  <c r="B1598" i="2"/>
  <c r="B1600" i="2"/>
  <c r="B1599" i="2"/>
  <c r="B1597" i="2"/>
  <c r="B1601" i="2"/>
  <c r="B1602" i="2"/>
  <c r="B1610" i="2"/>
  <c r="B1611" i="2"/>
  <c r="B1605" i="2"/>
  <c r="B1607" i="2"/>
  <c r="B1606" i="2"/>
  <c r="B1608" i="2"/>
  <c r="B1609" i="2"/>
  <c r="B1665" i="2"/>
  <c r="B1654" i="2"/>
  <c r="B1655" i="2"/>
  <c r="B1664" i="2"/>
  <c r="B1658" i="2"/>
  <c r="B1657" i="2"/>
  <c r="B1660" i="2"/>
  <c r="B1659" i="2"/>
  <c r="B1656" i="2"/>
  <c r="B1661" i="2"/>
  <c r="B1662" i="2"/>
  <c r="B1663" i="2"/>
  <c r="B1673" i="2"/>
  <c r="B1674" i="2"/>
  <c r="B1666" i="2"/>
  <c r="B1668" i="2"/>
  <c r="B1669" i="2"/>
  <c r="B1670" i="2"/>
  <c r="B1667" i="2"/>
  <c r="B1671" i="2"/>
  <c r="B1672" i="2"/>
  <c r="B1716" i="2"/>
  <c r="B1709" i="2"/>
  <c r="B1711" i="2"/>
  <c r="B1713" i="2"/>
  <c r="B1712" i="2"/>
  <c r="B1710" i="2"/>
  <c r="B1714" i="2"/>
  <c r="B1715" i="2"/>
  <c r="B1724" i="2"/>
  <c r="B1717" i="2"/>
  <c r="B1719" i="2"/>
  <c r="B1721" i="2"/>
  <c r="B1720" i="2"/>
  <c r="B1718" i="2"/>
  <c r="B1722" i="2"/>
  <c r="B1723" i="2"/>
  <c r="B1754" i="2"/>
  <c r="B1756" i="2"/>
  <c r="B1755" i="2"/>
  <c r="B1747" i="2"/>
  <c r="B1749" i="2"/>
  <c r="B1751" i="2"/>
  <c r="B1750" i="2"/>
  <c r="B1748" i="2"/>
  <c r="B1752" i="2"/>
  <c r="B1753" i="2"/>
  <c r="B1773" i="2"/>
  <c r="B1775" i="2"/>
  <c r="B1767" i="2"/>
  <c r="B1774" i="2"/>
  <c r="B1769" i="2"/>
  <c r="B1770" i="2"/>
  <c r="B1768" i="2"/>
  <c r="B1771" i="2"/>
  <c r="B1772" i="2"/>
  <c r="B1831" i="2"/>
  <c r="B1832" i="2"/>
  <c r="B1824" i="2"/>
  <c r="B1826" i="2"/>
  <c r="B1828" i="2"/>
  <c r="B1827" i="2"/>
  <c r="B1825" i="2"/>
  <c r="B1829" i="2"/>
  <c r="B1830" i="2"/>
  <c r="B1841" i="2"/>
  <c r="B1842" i="2"/>
  <c r="B1840" i="2"/>
  <c r="B1833" i="2"/>
  <c r="B1835" i="2"/>
  <c r="B1837" i="2"/>
  <c r="B1836" i="2"/>
  <c r="B1834" i="2"/>
  <c r="B1838" i="2"/>
  <c r="B1839" i="2"/>
  <c r="B1848" i="2"/>
  <c r="B1849" i="2"/>
  <c r="B1843" i="2"/>
  <c r="B1844" i="2"/>
  <c r="B1845" i="2"/>
  <c r="B1846" i="2"/>
  <c r="B1847" i="2"/>
  <c r="B1867" i="2"/>
  <c r="B1868" i="2"/>
  <c r="B1859" i="2"/>
  <c r="B1860" i="2"/>
  <c r="B1862" i="2"/>
  <c r="B1864" i="2"/>
  <c r="B1863" i="2"/>
  <c r="B1861" i="2"/>
  <c r="B1865" i="2"/>
  <c r="B1866" i="2"/>
  <c r="B456" i="2"/>
  <c r="B463" i="2"/>
  <c r="B443" i="2"/>
  <c r="B454" i="2"/>
  <c r="B453" i="2"/>
  <c r="B462" i="2"/>
  <c r="B445" i="2"/>
  <c r="B470" i="2"/>
  <c r="B455" i="2"/>
  <c r="B444" i="2"/>
  <c r="B442" i="2"/>
  <c r="B466" i="2"/>
  <c r="B471" i="2"/>
  <c r="B459" i="2"/>
  <c r="B452" i="2"/>
  <c r="B451" i="2"/>
  <c r="B450" i="2"/>
  <c r="B446" i="2"/>
  <c r="B447" i="2"/>
  <c r="B449" i="2"/>
  <c r="B464" i="2"/>
  <c r="B465" i="2"/>
  <c r="B458" i="2"/>
  <c r="B461" i="2"/>
  <c r="B448" i="2"/>
  <c r="B467" i="2"/>
  <c r="B457" i="2"/>
  <c r="B460" i="2"/>
  <c r="B469" i="2"/>
  <c r="B468" i="2"/>
  <c r="B1244" i="2"/>
  <c r="B12" i="2"/>
  <c r="B4" i="2"/>
  <c r="B3" i="2"/>
  <c r="B11" i="2"/>
  <c r="B5" i="2"/>
  <c r="B7" i="2"/>
  <c r="B8" i="2"/>
  <c r="B6" i="2"/>
  <c r="B9" i="2"/>
  <c r="B10" i="2"/>
  <c r="B21" i="2"/>
  <c r="B20" i="2"/>
  <c r="B13" i="2"/>
  <c r="B15" i="2"/>
  <c r="B16" i="2"/>
  <c r="B17" i="2"/>
  <c r="B14" i="2"/>
  <c r="B18" i="2"/>
  <c r="B19" i="2"/>
  <c r="B60" i="2"/>
  <c r="B49" i="2"/>
  <c r="B59" i="2"/>
  <c r="B50" i="2"/>
  <c r="B53" i="2"/>
  <c r="B52" i="2"/>
  <c r="B54" i="2"/>
  <c r="B55" i="2"/>
  <c r="B51" i="2"/>
  <c r="B56" i="2"/>
  <c r="B57" i="2"/>
  <c r="B58" i="2"/>
  <c r="B68" i="2"/>
  <c r="B69" i="2"/>
  <c r="B61" i="2"/>
  <c r="B63" i="2"/>
  <c r="B64" i="2"/>
  <c r="B65" i="2"/>
  <c r="B62" i="2"/>
  <c r="B66" i="2"/>
  <c r="B67" i="2"/>
  <c r="B80" i="2"/>
  <c r="B79" i="2"/>
  <c r="B70" i="2"/>
  <c r="B73" i="2"/>
  <c r="B72" i="2"/>
  <c r="B75" i="2"/>
  <c r="B74" i="2"/>
  <c r="B71" i="2"/>
  <c r="B76" i="2"/>
  <c r="B78" i="2"/>
  <c r="B77" i="2"/>
  <c r="B102" i="2"/>
  <c r="B103" i="2"/>
  <c r="B94" i="2"/>
  <c r="B95" i="2"/>
  <c r="B97" i="2"/>
  <c r="B98" i="2"/>
  <c r="B99" i="2"/>
  <c r="B96" i="2"/>
  <c r="B100" i="2"/>
  <c r="B101" i="2"/>
  <c r="B113" i="2"/>
  <c r="B115" i="2"/>
  <c r="B114" i="2"/>
  <c r="B104" i="2"/>
  <c r="B107" i="2"/>
  <c r="B106" i="2"/>
  <c r="B109" i="2"/>
  <c r="B108" i="2"/>
  <c r="B105" i="2"/>
  <c r="B110" i="2"/>
  <c r="B111" i="2"/>
  <c r="B112" i="2"/>
  <c r="B123" i="2"/>
  <c r="B124" i="2"/>
  <c r="B116" i="2"/>
  <c r="B118" i="2"/>
  <c r="B119" i="2"/>
  <c r="B120" i="2"/>
  <c r="B117" i="2"/>
  <c r="B121" i="2"/>
  <c r="B122" i="2"/>
  <c r="B151" i="2"/>
  <c r="B153" i="2"/>
  <c r="B143" i="2"/>
  <c r="B152" i="2"/>
  <c r="B144" i="2"/>
  <c r="B146" i="2"/>
  <c r="B147" i="2"/>
  <c r="B148" i="2"/>
  <c r="B145" i="2"/>
  <c r="B149" i="2"/>
  <c r="B150" i="2"/>
  <c r="B163" i="2"/>
  <c r="B164" i="2"/>
  <c r="B162" i="2"/>
  <c r="B154" i="2"/>
  <c r="B155" i="2"/>
  <c r="B156" i="2"/>
  <c r="B158" i="2"/>
  <c r="B157" i="2"/>
  <c r="B159" i="2"/>
  <c r="B160" i="2"/>
  <c r="B161" i="2"/>
  <c r="B180" i="2"/>
  <c r="B182" i="2"/>
  <c r="B171" i="2"/>
  <c r="B172" i="2"/>
  <c r="B181" i="2"/>
  <c r="B173" i="2"/>
  <c r="B175" i="2"/>
  <c r="B177" i="2"/>
  <c r="B176" i="2"/>
  <c r="B174" i="2"/>
  <c r="B178" i="2"/>
  <c r="B179" i="2"/>
  <c r="B194" i="2"/>
  <c r="B195" i="2"/>
  <c r="B185" i="2"/>
  <c r="B184" i="2"/>
  <c r="B183" i="2"/>
  <c r="B193" i="2"/>
  <c r="B186" i="2"/>
  <c r="B188" i="2"/>
  <c r="B189" i="2"/>
  <c r="B190" i="2"/>
  <c r="B187" i="2"/>
  <c r="B191" i="2"/>
  <c r="B192" i="2"/>
  <c r="B228" i="2"/>
  <c r="B221" i="2"/>
  <c r="B220" i="2"/>
  <c r="B222" i="2"/>
  <c r="B225" i="2"/>
  <c r="B224" i="2"/>
  <c r="B223" i="2"/>
  <c r="B226" i="2"/>
  <c r="B227" i="2"/>
  <c r="B236" i="2"/>
  <c r="B229" i="2"/>
  <c r="B231" i="2"/>
  <c r="B233" i="2"/>
  <c r="B232" i="2"/>
  <c r="B230" i="2"/>
  <c r="B234" i="2"/>
  <c r="B235" i="2"/>
  <c r="B253" i="2"/>
  <c r="B255" i="2"/>
  <c r="B254" i="2"/>
  <c r="B250" i="2"/>
  <c r="B252" i="2"/>
  <c r="B251" i="2"/>
  <c r="B264" i="2"/>
  <c r="B265" i="2"/>
  <c r="B256" i="2"/>
  <c r="B257" i="2"/>
  <c r="B259" i="2"/>
  <c r="B261" i="2"/>
  <c r="B260" i="2"/>
  <c r="B258" i="2"/>
  <c r="B262" i="2"/>
  <c r="B263" i="2"/>
  <c r="B269" i="2"/>
  <c r="B270" i="2"/>
  <c r="B267" i="2"/>
  <c r="B268" i="2"/>
  <c r="B266" i="2"/>
  <c r="B271" i="2"/>
  <c r="B279" i="2"/>
  <c r="B280" i="2"/>
  <c r="B272" i="2"/>
  <c r="B1242" i="2"/>
  <c r="B1246" i="2"/>
  <c r="B1245" i="2"/>
  <c r="B1243" i="2"/>
  <c r="B1241" i="2"/>
  <c r="B1240" i="2"/>
  <c r="B1110" i="2"/>
  <c r="B1117" i="2"/>
  <c r="B1111" i="2"/>
  <c r="B1118" i="2"/>
  <c r="B1106" i="2"/>
  <c r="B1112" i="2"/>
  <c r="B1107" i="2"/>
  <c r="B1113" i="2"/>
  <c r="B1114" i="2"/>
  <c r="B1204" i="2"/>
  <c r="B1195" i="2"/>
  <c r="B1190" i="2"/>
  <c r="B1196" i="2"/>
  <c r="B1206" i="2"/>
  <c r="B1205" i="2"/>
  <c r="B1208" i="2"/>
  <c r="B1197" i="2"/>
  <c r="B1198" i="2"/>
  <c r="B1191" i="2"/>
  <c r="B1192" i="2"/>
  <c r="B1207" i="2"/>
  <c r="B1199" i="2"/>
  <c r="B1193" i="2"/>
  <c r="B1194" i="2"/>
  <c r="B1200" i="2"/>
  <c r="B1201" i="2"/>
  <c r="B1209" i="2"/>
  <c r="B1202" i="2"/>
  <c r="B1203" i="2"/>
  <c r="B1587" i="2"/>
  <c r="B1585" i="2"/>
  <c r="B1588" i="2"/>
  <c r="B1594" i="2"/>
  <c r="B1589" i="2"/>
  <c r="B1586" i="2"/>
  <c r="B1595" i="2"/>
  <c r="B1590" i="2"/>
  <c r="B1591" i="2"/>
  <c r="B1592" i="2"/>
  <c r="B1593" i="2"/>
  <c r="B1637" i="2"/>
  <c r="B1643" i="2"/>
  <c r="B1652" i="2"/>
  <c r="B1653" i="2"/>
  <c r="B1651" i="2"/>
  <c r="B1644" i="2"/>
  <c r="B1639" i="2"/>
  <c r="B1645" i="2"/>
  <c r="B1646" i="2"/>
  <c r="B1640" i="2"/>
  <c r="B1647" i="2"/>
  <c r="B1648" i="2"/>
  <c r="B1638" i="2"/>
  <c r="B1641" i="2"/>
  <c r="B1642" i="2"/>
  <c r="B1649" i="2"/>
  <c r="B1650" i="2"/>
  <c r="B1729" i="2"/>
  <c r="B1725" i="2"/>
  <c r="B1727" i="2"/>
  <c r="B1726" i="2"/>
  <c r="B1728" i="2"/>
  <c r="B1786" i="2"/>
  <c r="B1777" i="2"/>
  <c r="B1778" i="2"/>
  <c r="B1779" i="2"/>
  <c r="B1780" i="2"/>
  <c r="B1781" i="2"/>
  <c r="B1787" i="2"/>
  <c r="B1782" i="2"/>
  <c r="B1776" i="2"/>
  <c r="B1783" i="2"/>
  <c r="B1784" i="2"/>
  <c r="B1785" i="2"/>
  <c r="B1807" i="2"/>
  <c r="B1802" i="2"/>
  <c r="B1808" i="2"/>
  <c r="B1803" i="2"/>
  <c r="B1804" i="2"/>
  <c r="B1801" i="2"/>
  <c r="B1805" i="2"/>
  <c r="B1806" i="2"/>
  <c r="B1851" i="2"/>
  <c r="B1853" i="2"/>
  <c r="B1857" i="2"/>
  <c r="B1854" i="2"/>
  <c r="B1850" i="2"/>
  <c r="B1852" i="2"/>
  <c r="B1858" i="2"/>
  <c r="B1855" i="2"/>
  <c r="B1856" i="2"/>
  <c r="B1878" i="2"/>
  <c r="B1886" i="2"/>
  <c r="B1887" i="2"/>
  <c r="B1875" i="2"/>
  <c r="B1873" i="2"/>
  <c r="B1879" i="2"/>
  <c r="B1874" i="2"/>
  <c r="B1885" i="2"/>
  <c r="B1880" i="2"/>
  <c r="B1876" i="2"/>
  <c r="B1881" i="2"/>
  <c r="B1877" i="2"/>
  <c r="B1888" i="2"/>
  <c r="B1882" i="2"/>
  <c r="B1883" i="2"/>
  <c r="B1884" i="2"/>
  <c r="B1706" i="2"/>
  <c r="B1708" i="2"/>
  <c r="B1704" i="2"/>
  <c r="B1705" i="2"/>
  <c r="B1701" i="2"/>
  <c r="B1703" i="2"/>
  <c r="B1702" i="2"/>
  <c r="B1700" i="2"/>
  <c r="B1707" i="2"/>
  <c r="B670" i="2"/>
  <c r="B665" i="2"/>
  <c r="B666" i="2"/>
  <c r="B659" i="2"/>
  <c r="B667" i="2"/>
  <c r="B660" i="2"/>
  <c r="B715" i="2"/>
  <c r="B716" i="2"/>
  <c r="B713" i="2"/>
  <c r="B714" i="2"/>
  <c r="B717" i="2"/>
  <c r="B718" i="2"/>
  <c r="B755" i="2"/>
  <c r="B760" i="2"/>
  <c r="B761" i="2"/>
  <c r="B756" i="2"/>
  <c r="B753" i="2"/>
  <c r="B757" i="2"/>
  <c r="B758" i="2"/>
  <c r="B759" i="2"/>
  <c r="B752" i="2"/>
  <c r="B754" i="2"/>
  <c r="B796" i="2"/>
  <c r="B797" i="2"/>
  <c r="B798" i="2"/>
  <c r="B799" i="2"/>
  <c r="B795" i="2"/>
  <c r="B800" i="2"/>
  <c r="B1069" i="2"/>
  <c r="B1060" i="2"/>
  <c r="B1061" i="2"/>
  <c r="B1056" i="2"/>
  <c r="B1057" i="2"/>
  <c r="B1062" i="2"/>
  <c r="B1063" i="2"/>
  <c r="B1070" i="2"/>
  <c r="B1071" i="2"/>
  <c r="B1064" i="2"/>
  <c r="B1065" i="2"/>
  <c r="B1055" i="2"/>
  <c r="B1066" i="2"/>
  <c r="B1058" i="2"/>
  <c r="B1059" i="2"/>
  <c r="B1067" i="2"/>
  <c r="B1068" i="2"/>
  <c r="B1105" i="2"/>
  <c r="B1116" i="2"/>
  <c r="B1104" i="2"/>
  <c r="B1115" i="2"/>
  <c r="B1108" i="2"/>
  <c r="B1109" i="2"/>
  <c r="B43" i="2"/>
  <c r="B41" i="2"/>
  <c r="B47" i="2"/>
  <c r="B40" i="2"/>
  <c r="B44" i="2"/>
  <c r="B39" i="2"/>
  <c r="B42" i="2"/>
  <c r="B45" i="2"/>
  <c r="B48" i="2"/>
  <c r="B46" i="2"/>
  <c r="B165" i="2"/>
  <c r="B166" i="2"/>
  <c r="B168" i="2"/>
  <c r="B167" i="2"/>
  <c r="B169" i="2"/>
  <c r="B170" i="2"/>
  <c r="B369" i="2"/>
  <c r="B361" i="2"/>
  <c r="B370" i="2"/>
  <c r="B363" i="2"/>
  <c r="B364" i="2"/>
  <c r="B362" i="2"/>
  <c r="B365" i="2"/>
  <c r="B366" i="2"/>
  <c r="B367" i="2"/>
  <c r="B368" i="2"/>
  <c r="B555" i="2"/>
  <c r="B545" i="2"/>
  <c r="B556" i="2"/>
  <c r="B557" i="2"/>
  <c r="B540" i="2"/>
  <c r="B554" i="2"/>
  <c r="B546" i="2"/>
  <c r="B547" i="2"/>
  <c r="B542" i="2"/>
  <c r="B543" i="2"/>
  <c r="B548" i="2"/>
  <c r="B558" i="2"/>
  <c r="B559" i="2"/>
  <c r="B549" i="2"/>
  <c r="B541" i="2"/>
  <c r="B544" i="2"/>
  <c r="B550" i="2"/>
  <c r="B551" i="2"/>
  <c r="B552" i="2"/>
  <c r="B553" i="2"/>
  <c r="B575" i="2"/>
  <c r="B577" i="2"/>
  <c r="B578" i="2"/>
  <c r="B579" i="2"/>
  <c r="B581" i="2"/>
  <c r="B580" i="2"/>
  <c r="B576" i="2"/>
  <c r="B583" i="2"/>
  <c r="B593" i="2"/>
  <c r="B586" i="2"/>
  <c r="B592" i="2"/>
  <c r="B595" i="2"/>
  <c r="B587" i="2"/>
  <c r="B588" i="2"/>
  <c r="B582" i="2"/>
  <c r="B594" i="2"/>
  <c r="B589" i="2"/>
  <c r="B584" i="2"/>
  <c r="B590" i="2"/>
  <c r="B585" i="2"/>
  <c r="B591" i="2"/>
  <c r="B658" i="2"/>
  <c r="B669" i="2"/>
  <c r="B661" i="2"/>
  <c r="B662" i="2"/>
  <c r="B663" i="2"/>
  <c r="B668" i="2"/>
  <c r="B657" i="2"/>
  <c r="B664" i="2"/>
  <c r="B656" i="2"/>
  <c r="D12" i="2"/>
  <c r="D4" i="2"/>
  <c r="D3" i="2"/>
  <c r="D11" i="2"/>
  <c r="D5" i="2"/>
  <c r="D7" i="2"/>
  <c r="D8" i="2"/>
  <c r="D6" i="2"/>
  <c r="D9" i="2"/>
  <c r="D10" i="2"/>
  <c r="D21" i="2"/>
  <c r="D20" i="2"/>
  <c r="D13" i="2"/>
  <c r="D15" i="2"/>
  <c r="D16" i="2"/>
  <c r="D17" i="2"/>
  <c r="D14" i="2"/>
  <c r="D18" i="2"/>
  <c r="D19" i="2"/>
  <c r="D24" i="2"/>
  <c r="D37" i="2"/>
  <c r="D35" i="2"/>
  <c r="D38" i="2"/>
  <c r="D25" i="2"/>
  <c r="D26" i="2"/>
  <c r="D32" i="2"/>
  <c r="D34" i="2"/>
  <c r="D33" i="2"/>
  <c r="D28" i="2"/>
  <c r="D29" i="2"/>
  <c r="D31" i="2"/>
  <c r="D27" i="2"/>
  <c r="D30" i="2"/>
  <c r="D36" i="2"/>
  <c r="D22" i="2"/>
  <c r="D23" i="2"/>
  <c r="D43" i="2"/>
  <c r="D41" i="2"/>
  <c r="D47" i="2"/>
  <c r="D40" i="2"/>
  <c r="D44" i="2"/>
  <c r="D39" i="2"/>
  <c r="D42" i="2"/>
  <c r="D45" i="2"/>
  <c r="D48" i="2"/>
  <c r="D46" i="2"/>
  <c r="D60" i="2"/>
  <c r="D49" i="2"/>
  <c r="D59" i="2"/>
  <c r="D50" i="2"/>
  <c r="D53" i="2"/>
  <c r="D52" i="2"/>
  <c r="D54" i="2"/>
  <c r="D55" i="2"/>
  <c r="D51" i="2"/>
  <c r="D56" i="2"/>
  <c r="D57" i="2"/>
  <c r="D58" i="2"/>
  <c r="D68" i="2"/>
  <c r="D69" i="2"/>
  <c r="D61" i="2"/>
  <c r="D63" i="2"/>
  <c r="D64" i="2"/>
  <c r="D65" i="2"/>
  <c r="D62" i="2"/>
  <c r="D66" i="2"/>
  <c r="D67" i="2"/>
  <c r="D80" i="2"/>
  <c r="D79" i="2"/>
  <c r="D70" i="2"/>
  <c r="D73" i="2"/>
  <c r="D72" i="2"/>
  <c r="D75" i="2"/>
  <c r="D74" i="2"/>
  <c r="D71" i="2"/>
  <c r="D76" i="2"/>
  <c r="D78" i="2"/>
  <c r="D77" i="2"/>
  <c r="D91" i="2"/>
  <c r="D82" i="2"/>
  <c r="D93" i="2"/>
  <c r="D90" i="2"/>
  <c r="D85" i="2"/>
  <c r="D92" i="2"/>
  <c r="D83" i="2"/>
  <c r="D89" i="2"/>
  <c r="D84" i="2"/>
  <c r="D88" i="2"/>
  <c r="D81" i="2"/>
  <c r="D87" i="2"/>
  <c r="D86" i="2"/>
  <c r="D102" i="2"/>
  <c r="D103" i="2"/>
  <c r="D94" i="2"/>
  <c r="D95" i="2"/>
  <c r="D97" i="2"/>
  <c r="D98" i="2"/>
  <c r="D99" i="2"/>
  <c r="D96" i="2"/>
  <c r="D100" i="2"/>
  <c r="D101" i="2"/>
  <c r="D113" i="2"/>
  <c r="D115" i="2"/>
  <c r="D114" i="2"/>
  <c r="D104" i="2"/>
  <c r="D107" i="2"/>
  <c r="D106" i="2"/>
  <c r="D109" i="2"/>
  <c r="D108" i="2"/>
  <c r="D105" i="2"/>
  <c r="D110" i="2"/>
  <c r="D111" i="2"/>
  <c r="D112" i="2"/>
  <c r="D123" i="2"/>
  <c r="D124" i="2"/>
  <c r="D116" i="2"/>
  <c r="D118" i="2"/>
  <c r="D119" i="2"/>
  <c r="D120" i="2"/>
  <c r="D117" i="2"/>
  <c r="D121" i="2"/>
  <c r="D122" i="2"/>
  <c r="D135" i="2"/>
  <c r="D134" i="2"/>
  <c r="D132" i="2"/>
  <c r="D133" i="2"/>
  <c r="D138" i="2"/>
  <c r="D137" i="2"/>
  <c r="D126" i="2"/>
  <c r="D129" i="2"/>
  <c r="D128" i="2"/>
  <c r="D125" i="2"/>
  <c r="D127" i="2"/>
  <c r="D130" i="2"/>
  <c r="D131" i="2"/>
  <c r="D139" i="2"/>
  <c r="D136" i="2"/>
  <c r="D142" i="2"/>
  <c r="D141" i="2"/>
  <c r="D140" i="2"/>
  <c r="D151" i="2"/>
  <c r="D153" i="2"/>
  <c r="D143" i="2"/>
  <c r="D152" i="2"/>
  <c r="D144" i="2"/>
  <c r="D146" i="2"/>
  <c r="D147" i="2"/>
  <c r="D148" i="2"/>
  <c r="D145" i="2"/>
  <c r="D149" i="2"/>
  <c r="D150" i="2"/>
  <c r="D163" i="2"/>
  <c r="D164" i="2"/>
  <c r="D162" i="2"/>
  <c r="D154" i="2"/>
  <c r="D155" i="2"/>
  <c r="D156" i="2"/>
  <c r="D158" i="2"/>
  <c r="D157" i="2"/>
  <c r="D159" i="2"/>
  <c r="D160" i="2"/>
  <c r="D161" i="2"/>
  <c r="D165" i="2"/>
  <c r="D166" i="2"/>
  <c r="D168" i="2"/>
  <c r="D167" i="2"/>
  <c r="D169" i="2"/>
  <c r="D170" i="2"/>
  <c r="D180" i="2"/>
  <c r="D182" i="2"/>
  <c r="D171" i="2"/>
  <c r="D172" i="2"/>
  <c r="D181" i="2"/>
  <c r="D173" i="2"/>
  <c r="D175" i="2"/>
  <c r="D177" i="2"/>
  <c r="D176" i="2"/>
  <c r="D174" i="2"/>
  <c r="D178" i="2"/>
  <c r="D179" i="2"/>
  <c r="D194" i="2"/>
  <c r="D195" i="2"/>
  <c r="D185" i="2"/>
  <c r="D184" i="2"/>
  <c r="D183" i="2"/>
  <c r="D193" i="2"/>
  <c r="D186" i="2"/>
  <c r="D188" i="2"/>
  <c r="D189" i="2"/>
  <c r="D190" i="2"/>
  <c r="D187" i="2"/>
  <c r="D191" i="2"/>
  <c r="D192" i="2"/>
  <c r="D208" i="2"/>
  <c r="D207" i="2"/>
  <c r="D198" i="2"/>
  <c r="D196" i="2"/>
  <c r="D202" i="2"/>
  <c r="D201" i="2"/>
  <c r="D203" i="2"/>
  <c r="D200" i="2"/>
  <c r="D197" i="2"/>
  <c r="D204" i="2"/>
  <c r="D199" i="2"/>
  <c r="D205" i="2"/>
  <c r="D206" i="2"/>
  <c r="D217" i="2"/>
  <c r="D219" i="2"/>
  <c r="D216" i="2"/>
  <c r="D218" i="2"/>
  <c r="D210" i="2"/>
  <c r="D213" i="2"/>
  <c r="D211" i="2"/>
  <c r="D212" i="2"/>
  <c r="D209" i="2"/>
  <c r="D214" i="2"/>
  <c r="D215" i="2"/>
  <c r="D228" i="2"/>
  <c r="D221" i="2"/>
  <c r="D220" i="2"/>
  <c r="D222" i="2"/>
  <c r="D225" i="2"/>
  <c r="D224" i="2"/>
  <c r="D223" i="2"/>
  <c r="D226" i="2"/>
  <c r="D227" i="2"/>
  <c r="D236" i="2"/>
  <c r="D229" i="2"/>
  <c r="D231" i="2"/>
  <c r="D233" i="2"/>
  <c r="D232" i="2"/>
  <c r="D230" i="2"/>
  <c r="D234" i="2"/>
  <c r="D235" i="2"/>
  <c r="D249" i="2"/>
  <c r="D248" i="2"/>
  <c r="D237" i="2"/>
  <c r="D245" i="2"/>
  <c r="D241" i="2"/>
  <c r="D247" i="2"/>
  <c r="D239" i="2"/>
  <c r="D243" i="2"/>
  <c r="D240" i="2"/>
  <c r="D242" i="2"/>
  <c r="D238" i="2"/>
  <c r="D244" i="2"/>
  <c r="D246" i="2"/>
  <c r="D253" i="2"/>
  <c r="D255" i="2"/>
  <c r="D254" i="2"/>
  <c r="D250" i="2"/>
  <c r="D252" i="2"/>
  <c r="D251" i="2"/>
  <c r="D264" i="2"/>
  <c r="D265" i="2"/>
  <c r="D256" i="2"/>
  <c r="D257" i="2"/>
  <c r="D259" i="2"/>
  <c r="D261" i="2"/>
  <c r="D260" i="2"/>
  <c r="D258" i="2"/>
  <c r="D262" i="2"/>
  <c r="D263" i="2"/>
  <c r="D269" i="2"/>
  <c r="D270" i="2"/>
  <c r="D267" i="2"/>
  <c r="D268" i="2"/>
  <c r="D266" i="2"/>
  <c r="D271" i="2"/>
  <c r="D279" i="2"/>
  <c r="D280" i="2"/>
  <c r="D272" i="2"/>
  <c r="D274" i="2"/>
  <c r="D275" i="2"/>
  <c r="D276" i="2"/>
  <c r="D273" i="2"/>
  <c r="D277" i="2"/>
  <c r="D278" i="2"/>
  <c r="D360" i="2"/>
  <c r="D355" i="2"/>
  <c r="D357" i="2"/>
  <c r="D345" i="2"/>
  <c r="D347" i="2"/>
  <c r="D348" i="2"/>
  <c r="D343" i="2"/>
  <c r="D346" i="2"/>
  <c r="D350" i="2"/>
  <c r="D341" i="2"/>
  <c r="D353" i="2"/>
  <c r="D342" i="2"/>
  <c r="D351" i="2"/>
  <c r="D349" i="2"/>
  <c r="D344" i="2"/>
  <c r="D352" i="2"/>
  <c r="D354" i="2"/>
  <c r="D356" i="2"/>
  <c r="D358" i="2"/>
  <c r="D359" i="2"/>
  <c r="D369" i="2"/>
  <c r="D361" i="2"/>
  <c r="D370" i="2"/>
  <c r="D363" i="2"/>
  <c r="D364" i="2"/>
  <c r="D362" i="2"/>
  <c r="D365" i="2"/>
  <c r="D366" i="2"/>
  <c r="D367" i="2"/>
  <c r="D368" i="2"/>
  <c r="D378" i="2"/>
  <c r="D380" i="2"/>
  <c r="D379" i="2"/>
  <c r="D371" i="2"/>
  <c r="D373" i="2"/>
  <c r="D374" i="2"/>
  <c r="D375" i="2"/>
  <c r="D372" i="2"/>
  <c r="D376" i="2"/>
  <c r="D377" i="2"/>
  <c r="D390" i="2"/>
  <c r="D391" i="2"/>
  <c r="D382" i="2"/>
  <c r="D381" i="2"/>
  <c r="D383" i="2"/>
  <c r="D385" i="2"/>
  <c r="D387" i="2"/>
  <c r="D386" i="2"/>
  <c r="D384" i="2"/>
  <c r="D388" i="2"/>
  <c r="D389" i="2"/>
  <c r="D398" i="2"/>
  <c r="D393" i="2"/>
  <c r="D400" i="2"/>
  <c r="D401" i="2"/>
  <c r="D394" i="2"/>
  <c r="D397" i="2"/>
  <c r="D395" i="2"/>
  <c r="D396" i="2"/>
  <c r="D399" i="2"/>
  <c r="D392" i="2"/>
  <c r="D409" i="2"/>
  <c r="D410" i="2"/>
  <c r="D411" i="2"/>
  <c r="D403" i="2"/>
  <c r="D407" i="2"/>
  <c r="D404" i="2"/>
  <c r="D405" i="2"/>
  <c r="D402" i="2"/>
  <c r="D406" i="2"/>
  <c r="D408" i="2"/>
  <c r="D419" i="2"/>
  <c r="D412" i="2"/>
  <c r="D414" i="2"/>
  <c r="D415" i="2"/>
  <c r="D416" i="2"/>
  <c r="D413" i="2"/>
  <c r="D417" i="2"/>
  <c r="D418" i="2"/>
  <c r="D428" i="2"/>
  <c r="D429" i="2"/>
  <c r="D420" i="2"/>
  <c r="D421" i="2"/>
  <c r="D423" i="2"/>
  <c r="D424" i="2"/>
  <c r="D425" i="2"/>
  <c r="D422" i="2"/>
  <c r="D426" i="2"/>
  <c r="D427" i="2"/>
  <c r="D441" i="2"/>
  <c r="D440" i="2"/>
  <c r="D430" i="2"/>
  <c r="D439" i="2"/>
  <c r="D431" i="2"/>
  <c r="D433" i="2"/>
  <c r="D435" i="2"/>
  <c r="D434" i="2"/>
  <c r="D432" i="2"/>
  <c r="D436" i="2"/>
  <c r="D437" i="2"/>
  <c r="D438" i="2"/>
  <c r="D456" i="2"/>
  <c r="D463" i="2"/>
  <c r="D443" i="2"/>
  <c r="D454" i="2"/>
  <c r="D453" i="2"/>
  <c r="D462" i="2"/>
  <c r="D445" i="2"/>
  <c r="D470" i="2"/>
  <c r="D455" i="2"/>
  <c r="D444" i="2"/>
  <c r="D442" i="2"/>
  <c r="D466" i="2"/>
  <c r="D471" i="2"/>
  <c r="D459" i="2"/>
  <c r="D452" i="2"/>
  <c r="D451" i="2"/>
  <c r="D450" i="2"/>
  <c r="D446" i="2"/>
  <c r="D447" i="2"/>
  <c r="D449" i="2"/>
  <c r="D464" i="2"/>
  <c r="D465" i="2"/>
  <c r="D458" i="2"/>
  <c r="D461" i="2"/>
  <c r="D448" i="2"/>
  <c r="D467" i="2"/>
  <c r="D457" i="2"/>
  <c r="D460" i="2"/>
  <c r="D469" i="2"/>
  <c r="D468" i="2"/>
  <c r="D476" i="2"/>
  <c r="D473" i="2"/>
  <c r="D481" i="2"/>
  <c r="D472" i="2"/>
  <c r="D474" i="2"/>
  <c r="D475" i="2"/>
  <c r="D477" i="2"/>
  <c r="D478" i="2"/>
  <c r="D479" i="2"/>
  <c r="D480" i="2"/>
  <c r="D489" i="2"/>
  <c r="D482" i="2"/>
  <c r="D484" i="2"/>
  <c r="D485" i="2"/>
  <c r="D486" i="2"/>
  <c r="D483" i="2"/>
  <c r="D487" i="2"/>
  <c r="D488" i="2"/>
  <c r="D494" i="2"/>
  <c r="D492" i="2"/>
  <c r="D491" i="2"/>
  <c r="D490" i="2"/>
  <c r="D495" i="2"/>
  <c r="D493" i="2"/>
  <c r="D505" i="2"/>
  <c r="D508" i="2"/>
  <c r="D507" i="2"/>
  <c r="D499" i="2"/>
  <c r="D503" i="2"/>
  <c r="D506" i="2"/>
  <c r="D497" i="2"/>
  <c r="D501" i="2"/>
  <c r="D498" i="2"/>
  <c r="D500" i="2"/>
  <c r="D496" i="2"/>
  <c r="D502" i="2"/>
  <c r="D504" i="2"/>
  <c r="D514" i="2"/>
  <c r="D512" i="2"/>
  <c r="D511" i="2"/>
  <c r="D513" i="2"/>
  <c r="D516" i="2"/>
  <c r="D515" i="2"/>
  <c r="D510" i="2"/>
  <c r="D509" i="2"/>
  <c r="D527" i="2"/>
  <c r="D528" i="2"/>
  <c r="D526" i="2"/>
  <c r="D518" i="2"/>
  <c r="D521" i="2"/>
  <c r="D522" i="2"/>
  <c r="D520" i="2"/>
  <c r="D517" i="2"/>
  <c r="D523" i="2"/>
  <c r="D519" i="2"/>
  <c r="D524" i="2"/>
  <c r="D525" i="2"/>
  <c r="D535" i="2"/>
  <c r="D532" i="2"/>
  <c r="D536" i="2"/>
  <c r="D533" i="2"/>
  <c r="D539" i="2"/>
  <c r="D534" i="2"/>
  <c r="D531" i="2"/>
  <c r="D530" i="2"/>
  <c r="D529" i="2"/>
  <c r="D537" i="2"/>
  <c r="D538" i="2"/>
  <c r="D555" i="2"/>
  <c r="D545" i="2"/>
  <c r="D556" i="2"/>
  <c r="D557" i="2"/>
  <c r="D540" i="2"/>
  <c r="D554" i="2"/>
  <c r="D546" i="2"/>
  <c r="D547" i="2"/>
  <c r="D542" i="2"/>
  <c r="D543" i="2"/>
  <c r="D548" i="2"/>
  <c r="D558" i="2"/>
  <c r="D559" i="2"/>
  <c r="D549" i="2"/>
  <c r="D541" i="2"/>
  <c r="D544" i="2"/>
  <c r="D550" i="2"/>
  <c r="D551" i="2"/>
  <c r="D552" i="2"/>
  <c r="D553" i="2"/>
  <c r="D568" i="2"/>
  <c r="D569" i="2"/>
  <c r="D574" i="2"/>
  <c r="D573" i="2"/>
  <c r="D572" i="2"/>
  <c r="D571" i="2"/>
  <c r="D567" i="2"/>
  <c r="D570" i="2"/>
  <c r="D564" i="2"/>
  <c r="D565" i="2"/>
  <c r="D561" i="2"/>
  <c r="D563" i="2"/>
  <c r="D562" i="2"/>
  <c r="D560" i="2"/>
  <c r="D566" i="2"/>
  <c r="D575" i="2"/>
  <c r="D577" i="2"/>
  <c r="D578" i="2"/>
  <c r="D579" i="2"/>
  <c r="D581" i="2"/>
  <c r="D580" i="2"/>
  <c r="D576" i="2"/>
  <c r="D583" i="2"/>
  <c r="D593" i="2"/>
  <c r="D586" i="2"/>
  <c r="D592" i="2"/>
  <c r="D595" i="2"/>
  <c r="D587" i="2"/>
  <c r="D588" i="2"/>
  <c r="D582" i="2"/>
  <c r="D594" i="2"/>
  <c r="D589" i="2"/>
  <c r="D584" i="2"/>
  <c r="D590" i="2"/>
  <c r="D585" i="2"/>
  <c r="D591" i="2"/>
  <c r="D602" i="2"/>
  <c r="D596" i="2"/>
  <c r="D597" i="2"/>
  <c r="D598" i="2"/>
  <c r="D599" i="2"/>
  <c r="D600" i="2"/>
  <c r="D601" i="2"/>
  <c r="D608" i="2"/>
  <c r="D610" i="2"/>
  <c r="D603" i="2"/>
  <c r="D606" i="2"/>
  <c r="D604" i="2"/>
  <c r="D607" i="2"/>
  <c r="D611" i="2"/>
  <c r="D612" i="2"/>
  <c r="D605" i="2"/>
  <c r="D609" i="2"/>
  <c r="D621" i="2"/>
  <c r="D622" i="2"/>
  <c r="D613" i="2"/>
  <c r="D614" i="2"/>
  <c r="D616" i="2"/>
  <c r="D618" i="2"/>
  <c r="D617" i="2"/>
  <c r="D615" i="2"/>
  <c r="D619" i="2"/>
  <c r="D620" i="2"/>
  <c r="D625" i="2"/>
  <c r="D628" i="2"/>
  <c r="D627" i="2"/>
  <c r="D629" i="2"/>
  <c r="D626" i="2"/>
  <c r="D623" i="2"/>
  <c r="D624" i="2"/>
  <c r="D630" i="2"/>
  <c r="D638" i="2"/>
  <c r="D631" i="2"/>
  <c r="D633" i="2"/>
  <c r="D635" i="2"/>
  <c r="D634" i="2"/>
  <c r="D632" i="2"/>
  <c r="D636" i="2"/>
  <c r="D637" i="2"/>
  <c r="D648" i="2"/>
  <c r="D647" i="2"/>
  <c r="D649" i="2"/>
  <c r="D646" i="2"/>
  <c r="D639" i="2"/>
  <c r="D640" i="2"/>
  <c r="D641" i="2"/>
  <c r="D642" i="2"/>
  <c r="D643" i="2"/>
  <c r="D644" i="2"/>
  <c r="D645" i="2"/>
  <c r="D654" i="2"/>
  <c r="D655" i="2"/>
  <c r="D650" i="2"/>
  <c r="D651" i="2"/>
  <c r="D652" i="2"/>
  <c r="D653" i="2"/>
  <c r="D658" i="2"/>
  <c r="D669" i="2"/>
  <c r="D661" i="2"/>
  <c r="D662" i="2"/>
  <c r="D663" i="2"/>
  <c r="D668" i="2"/>
  <c r="D657" i="2"/>
  <c r="D664" i="2"/>
  <c r="D656" i="2"/>
  <c r="D670" i="2"/>
  <c r="D665" i="2"/>
  <c r="D666" i="2"/>
  <c r="D659" i="2"/>
  <c r="D667" i="2"/>
  <c r="D660" i="2"/>
  <c r="D691" i="2"/>
  <c r="D692" i="2"/>
  <c r="D671" i="2"/>
  <c r="D679" i="2"/>
  <c r="D678" i="2"/>
  <c r="D672" i="2"/>
  <c r="D688" i="2"/>
  <c r="D686" i="2"/>
  <c r="D689" i="2"/>
  <c r="D687" i="2"/>
  <c r="D681" i="2"/>
  <c r="D682" i="2"/>
  <c r="D684" i="2"/>
  <c r="D685" i="2"/>
  <c r="D680" i="2"/>
  <c r="D677" i="2"/>
  <c r="D690" i="2"/>
  <c r="D674" i="2"/>
  <c r="D673" i="2"/>
  <c r="D675" i="2"/>
  <c r="D693" i="2"/>
  <c r="D676" i="2"/>
  <c r="D683" i="2"/>
  <c r="D702" i="2"/>
  <c r="D701" i="2"/>
  <c r="D694" i="2"/>
  <c r="D696" i="2"/>
  <c r="D698" i="2"/>
  <c r="D697" i="2"/>
  <c r="D695" i="2"/>
  <c r="D699" i="2"/>
  <c r="D700" i="2"/>
  <c r="D711" i="2"/>
  <c r="D712" i="2"/>
  <c r="D703" i="2"/>
  <c r="D704" i="2"/>
  <c r="D706" i="2"/>
  <c r="D708" i="2"/>
  <c r="D707" i="2"/>
  <c r="D705" i="2"/>
  <c r="D709" i="2"/>
  <c r="D710" i="2"/>
  <c r="D715" i="2"/>
  <c r="D716" i="2"/>
  <c r="D713" i="2"/>
  <c r="D714" i="2"/>
  <c r="D717" i="2"/>
  <c r="D718" i="2"/>
  <c r="D726" i="2"/>
  <c r="D728" i="2"/>
  <c r="D727" i="2"/>
  <c r="D719" i="2"/>
  <c r="D721" i="2"/>
  <c r="D723" i="2"/>
  <c r="D722" i="2"/>
  <c r="D720" i="2"/>
  <c r="D724" i="2"/>
  <c r="D725" i="2"/>
  <c r="D751" i="2"/>
  <c r="D744" i="2"/>
  <c r="D745" i="2"/>
  <c r="D747" i="2"/>
  <c r="D748" i="2"/>
  <c r="D746" i="2"/>
  <c r="D749" i="2"/>
  <c r="D750" i="2"/>
  <c r="D755" i="2"/>
  <c r="D760" i="2"/>
  <c r="D761" i="2"/>
  <c r="D756" i="2"/>
  <c r="D753" i="2"/>
  <c r="D757" i="2"/>
  <c r="D758" i="2"/>
  <c r="D759" i="2"/>
  <c r="D752" i="2"/>
  <c r="D754" i="2"/>
  <c r="D767" i="2"/>
  <c r="D768" i="2"/>
  <c r="D762" i="2"/>
  <c r="D764" i="2"/>
  <c r="D763" i="2"/>
  <c r="D765" i="2"/>
  <c r="D766" i="2"/>
  <c r="D778" i="2"/>
  <c r="D776" i="2"/>
  <c r="D780" i="2"/>
  <c r="D777" i="2"/>
  <c r="D783" i="2"/>
  <c r="D782" i="2"/>
  <c r="D781" i="2"/>
  <c r="D775" i="2"/>
  <c r="D770" i="2"/>
  <c r="D773" i="2"/>
  <c r="D771" i="2"/>
  <c r="D772" i="2"/>
  <c r="D769" i="2"/>
  <c r="D774" i="2"/>
  <c r="D779" i="2"/>
  <c r="D793" i="2"/>
  <c r="D794" i="2"/>
  <c r="D784" i="2"/>
  <c r="D792" i="2"/>
  <c r="D785" i="2"/>
  <c r="D787" i="2"/>
  <c r="D789" i="2"/>
  <c r="D788" i="2"/>
  <c r="D786" i="2"/>
  <c r="D790" i="2"/>
  <c r="D791" i="2"/>
  <c r="D796" i="2"/>
  <c r="D797" i="2"/>
  <c r="D798" i="2"/>
  <c r="D799" i="2"/>
  <c r="D795" i="2"/>
  <c r="D800" i="2"/>
  <c r="D805" i="2"/>
  <c r="D801" i="2"/>
  <c r="D802" i="2"/>
  <c r="D803" i="2"/>
  <c r="D804" i="2"/>
  <c r="D813" i="2"/>
  <c r="D806" i="2"/>
  <c r="D808" i="2"/>
  <c r="D810" i="2"/>
  <c r="D809" i="2"/>
  <c r="D807" i="2"/>
  <c r="D811" i="2"/>
  <c r="D812" i="2"/>
  <c r="D820" i="2"/>
  <c r="D819" i="2"/>
  <c r="D817" i="2"/>
  <c r="D818" i="2"/>
  <c r="D821" i="2"/>
  <c r="D816" i="2"/>
  <c r="D815" i="2"/>
  <c r="D814" i="2"/>
  <c r="D827" i="2"/>
  <c r="D825" i="2"/>
  <c r="D823" i="2"/>
  <c r="D824" i="2"/>
  <c r="D826" i="2"/>
  <c r="D822" i="2"/>
  <c r="D842" i="2"/>
  <c r="D831" i="2"/>
  <c r="D832" i="2"/>
  <c r="D830" i="2"/>
  <c r="D838" i="2"/>
  <c r="D839" i="2"/>
  <c r="D840" i="2"/>
  <c r="D834" i="2"/>
  <c r="D835" i="2"/>
  <c r="D837" i="2"/>
  <c r="D833" i="2"/>
  <c r="D836" i="2"/>
  <c r="D841" i="2"/>
  <c r="D828" i="2"/>
  <c r="D829" i="2"/>
  <c r="D853" i="2"/>
  <c r="D857" i="2"/>
  <c r="D845" i="2"/>
  <c r="D846" i="2"/>
  <c r="D844" i="2"/>
  <c r="D852" i="2"/>
  <c r="D855" i="2"/>
  <c r="D854" i="2"/>
  <c r="D848" i="2"/>
  <c r="D851" i="2"/>
  <c r="D850" i="2"/>
  <c r="D847" i="2"/>
  <c r="D849" i="2"/>
  <c r="D856" i="2"/>
  <c r="D843" i="2"/>
  <c r="D872" i="2"/>
  <c r="D861" i="2"/>
  <c r="D862" i="2"/>
  <c r="D860" i="2"/>
  <c r="D868" i="2"/>
  <c r="D870" i="2"/>
  <c r="D869" i="2"/>
  <c r="D864" i="2"/>
  <c r="D866" i="2"/>
  <c r="D867" i="2"/>
  <c r="D863" i="2"/>
  <c r="D865" i="2"/>
  <c r="D871" i="2"/>
  <c r="D858" i="2"/>
  <c r="D859" i="2"/>
  <c r="D880" i="2"/>
  <c r="D873" i="2"/>
  <c r="D875" i="2"/>
  <c r="D877" i="2"/>
  <c r="D876" i="2"/>
  <c r="D874" i="2"/>
  <c r="D878" i="2"/>
  <c r="D879" i="2"/>
  <c r="D887" i="2"/>
  <c r="D888" i="2"/>
  <c r="D881" i="2"/>
  <c r="D882" i="2"/>
  <c r="D884" i="2"/>
  <c r="D883" i="2"/>
  <c r="D885" i="2"/>
  <c r="D886" i="2"/>
  <c r="D898" i="2"/>
  <c r="D901" i="2"/>
  <c r="D900" i="2"/>
  <c r="D895" i="2"/>
  <c r="D899" i="2"/>
  <c r="D890" i="2"/>
  <c r="D893" i="2"/>
  <c r="D891" i="2"/>
  <c r="D892" i="2"/>
  <c r="D889" i="2"/>
  <c r="D894" i="2"/>
  <c r="D897" i="2"/>
  <c r="D896" i="2"/>
  <c r="D909" i="2"/>
  <c r="D911" i="2"/>
  <c r="D910" i="2"/>
  <c r="D902" i="2"/>
  <c r="D904" i="2"/>
  <c r="D905" i="2"/>
  <c r="D906" i="2"/>
  <c r="D903" i="2"/>
  <c r="D907" i="2"/>
  <c r="D908" i="2"/>
  <c r="D917" i="2"/>
  <c r="D913" i="2"/>
  <c r="D916" i="2"/>
  <c r="D915" i="2"/>
  <c r="D914" i="2"/>
  <c r="D912" i="2"/>
  <c r="D919" i="2"/>
  <c r="D918" i="2"/>
  <c r="D948" i="2"/>
  <c r="D946" i="2"/>
  <c r="D945" i="2"/>
  <c r="D950" i="2"/>
  <c r="D949" i="2"/>
  <c r="D928" i="2"/>
  <c r="D923" i="2"/>
  <c r="D926" i="2"/>
  <c r="D925" i="2"/>
  <c r="D924" i="2"/>
  <c r="D922" i="2"/>
  <c r="D930" i="2"/>
  <c r="D931" i="2"/>
  <c r="D929" i="2"/>
  <c r="D927" i="2"/>
  <c r="D920" i="2"/>
  <c r="D921" i="2"/>
  <c r="D947" i="2"/>
  <c r="D944" i="2"/>
  <c r="D958" i="2"/>
  <c r="D959" i="2"/>
  <c r="D951" i="2"/>
  <c r="D953" i="2"/>
  <c r="D955" i="2"/>
  <c r="D954" i="2"/>
  <c r="D952" i="2"/>
  <c r="D956" i="2"/>
  <c r="D957" i="2"/>
  <c r="D960" i="2"/>
  <c r="D961" i="2"/>
  <c r="D962" i="2"/>
  <c r="D969" i="2"/>
  <c r="D967" i="2"/>
  <c r="D968" i="2"/>
  <c r="D970" i="2"/>
  <c r="D972" i="2"/>
  <c r="D971" i="2"/>
  <c r="D966" i="2"/>
  <c r="D963" i="2"/>
  <c r="D964" i="2"/>
  <c r="D965" i="2"/>
  <c r="D974" i="2"/>
  <c r="D973" i="2"/>
  <c r="D975" i="2"/>
  <c r="D977" i="2"/>
  <c r="D976" i="2"/>
  <c r="D990" i="2"/>
  <c r="D980" i="2"/>
  <c r="D979" i="2"/>
  <c r="D986" i="2"/>
  <c r="D988" i="2"/>
  <c r="D987" i="2"/>
  <c r="D982" i="2"/>
  <c r="D984" i="2"/>
  <c r="D985" i="2"/>
  <c r="D981" i="2"/>
  <c r="D983" i="2"/>
  <c r="D989" i="2"/>
  <c r="D978" i="2"/>
  <c r="D1001" i="2"/>
  <c r="D1002" i="2"/>
  <c r="D1000" i="2"/>
  <c r="D991" i="2"/>
  <c r="D994" i="2"/>
  <c r="D993" i="2"/>
  <c r="D996" i="2"/>
  <c r="D995" i="2"/>
  <c r="D992" i="2"/>
  <c r="D997" i="2"/>
  <c r="D998" i="2"/>
  <c r="D999" i="2"/>
  <c r="D1007" i="2"/>
  <c r="D1008" i="2"/>
  <c r="D1004" i="2"/>
  <c r="D1003" i="2"/>
  <c r="D1005" i="2"/>
  <c r="D1006" i="2"/>
  <c r="D1017" i="2"/>
  <c r="D1018" i="2"/>
  <c r="D1016" i="2"/>
  <c r="D1009" i="2"/>
  <c r="D1011" i="2"/>
  <c r="D1012" i="2"/>
  <c r="D1013" i="2"/>
  <c r="D1010" i="2"/>
  <c r="D1014" i="2"/>
  <c r="D1015" i="2"/>
  <c r="D1030" i="2"/>
  <c r="D1032" i="2"/>
  <c r="D1031" i="2"/>
  <c r="D1021" i="2"/>
  <c r="D1019" i="2"/>
  <c r="D1025" i="2"/>
  <c r="D1024" i="2"/>
  <c r="D1026" i="2"/>
  <c r="D1023" i="2"/>
  <c r="D1020" i="2"/>
  <c r="D1027" i="2"/>
  <c r="D1022" i="2"/>
  <c r="D1028" i="2"/>
  <c r="D1029" i="2"/>
  <c r="D1040" i="2"/>
  <c r="D1039" i="2"/>
  <c r="D1042" i="2"/>
  <c r="D1037" i="2"/>
  <c r="D1035" i="2"/>
  <c r="D1033" i="2"/>
  <c r="D1034" i="2"/>
  <c r="D1036" i="2"/>
  <c r="D1041" i="2"/>
  <c r="D1038" i="2"/>
  <c r="D1053" i="2"/>
  <c r="D1054" i="2"/>
  <c r="D1051" i="2"/>
  <c r="D1049" i="2"/>
  <c r="D1052" i="2"/>
  <c r="D1044" i="2"/>
  <c r="D1047" i="2"/>
  <c r="D1045" i="2"/>
  <c r="D1046" i="2"/>
  <c r="D1043" i="2"/>
  <c r="D1048" i="2"/>
  <c r="D1050" i="2"/>
  <c r="D1069" i="2"/>
  <c r="D1060" i="2"/>
  <c r="D1061" i="2"/>
  <c r="D1056" i="2"/>
  <c r="D1057" i="2"/>
  <c r="D1062" i="2"/>
  <c r="D1063" i="2"/>
  <c r="D1070" i="2"/>
  <c r="D1071" i="2"/>
  <c r="D1064" i="2"/>
  <c r="D1065" i="2"/>
  <c r="D1055" i="2"/>
  <c r="D1066" i="2"/>
  <c r="D1058" i="2"/>
  <c r="D1059" i="2"/>
  <c r="D1067" i="2"/>
  <c r="D1068" i="2"/>
  <c r="D1079" i="2"/>
  <c r="D1080" i="2"/>
  <c r="D1072" i="2"/>
  <c r="D1074" i="2"/>
  <c r="D1075" i="2"/>
  <c r="D1076" i="2"/>
  <c r="D1073" i="2"/>
  <c r="D1077" i="2"/>
  <c r="D1078" i="2"/>
  <c r="D1089" i="2"/>
  <c r="D1088" i="2"/>
  <c r="D1091" i="2"/>
  <c r="D1090" i="2"/>
  <c r="D1082" i="2"/>
  <c r="D1086" i="2"/>
  <c r="D1083" i="2"/>
  <c r="D1084" i="2"/>
  <c r="D1081" i="2"/>
  <c r="D1085" i="2"/>
  <c r="D1087" i="2"/>
  <c r="D1103" i="2"/>
  <c r="D1101" i="2"/>
  <c r="D1102" i="2"/>
  <c r="D1092" i="2"/>
  <c r="D1097" i="2"/>
  <c r="D1096" i="2"/>
  <c r="D1095" i="2"/>
  <c r="D1093" i="2"/>
  <c r="D1098" i="2"/>
  <c r="D1094" i="2"/>
  <c r="D1099" i="2"/>
  <c r="D1100" i="2"/>
  <c r="D1105" i="2"/>
  <c r="D1116" i="2"/>
  <c r="D1104" i="2"/>
  <c r="D1115" i="2"/>
  <c r="D1108" i="2"/>
  <c r="D1109" i="2"/>
  <c r="D1110" i="2"/>
  <c r="D1117" i="2"/>
  <c r="D1111" i="2"/>
  <c r="D1118" i="2"/>
  <c r="D1106" i="2"/>
  <c r="D1112" i="2"/>
  <c r="D1107" i="2"/>
  <c r="D1113" i="2"/>
  <c r="D1114" i="2"/>
  <c r="D1148" i="2"/>
  <c r="D1151" i="2"/>
  <c r="D1149" i="2"/>
  <c r="D1150" i="2"/>
  <c r="D1143" i="2"/>
  <c r="D1145" i="2"/>
  <c r="D1142" i="2"/>
  <c r="D1144" i="2"/>
  <c r="D1146" i="2"/>
  <c r="D1147" i="2"/>
  <c r="D1159" i="2"/>
  <c r="D1158" i="2"/>
  <c r="D1152" i="2"/>
  <c r="D1154" i="2"/>
  <c r="D1155" i="2"/>
  <c r="D1153" i="2"/>
  <c r="D1156" i="2"/>
  <c r="D1157" i="2"/>
  <c r="D1169" i="2"/>
  <c r="D1170" i="2"/>
  <c r="D1160" i="2"/>
  <c r="D1161" i="2"/>
  <c r="D1162" i="2"/>
  <c r="D1164" i="2"/>
  <c r="D1165" i="2"/>
  <c r="D1166" i="2"/>
  <c r="D1163" i="2"/>
  <c r="D1167" i="2"/>
  <c r="D1168" i="2"/>
  <c r="D1180" i="2"/>
  <c r="D1171" i="2"/>
  <c r="D1179" i="2"/>
  <c r="D1172" i="2"/>
  <c r="D1174" i="2"/>
  <c r="D1175" i="2"/>
  <c r="D1176" i="2"/>
  <c r="D1173" i="2"/>
  <c r="D1177" i="2"/>
  <c r="D1178" i="2"/>
  <c r="D1188" i="2"/>
  <c r="D1189" i="2"/>
  <c r="D1181" i="2"/>
  <c r="D1183" i="2"/>
  <c r="D1184" i="2"/>
  <c r="D1185" i="2"/>
  <c r="D1182" i="2"/>
  <c r="D1186" i="2"/>
  <c r="D1187" i="2"/>
  <c r="D1204" i="2"/>
  <c r="D1195" i="2"/>
  <c r="D1190" i="2"/>
  <c r="D1196" i="2"/>
  <c r="D1206" i="2"/>
  <c r="D1205" i="2"/>
  <c r="D1208" i="2"/>
  <c r="D1197" i="2"/>
  <c r="D1198" i="2"/>
  <c r="D1191" i="2"/>
  <c r="D1192" i="2"/>
  <c r="D1207" i="2"/>
  <c r="D1199" i="2"/>
  <c r="D1193" i="2"/>
  <c r="D1194" i="2"/>
  <c r="D1200" i="2"/>
  <c r="D1201" i="2"/>
  <c r="D1209" i="2"/>
  <c r="D1202" i="2"/>
  <c r="D1203" i="2"/>
  <c r="D1217" i="2"/>
  <c r="D1210" i="2"/>
  <c r="D1212" i="2"/>
  <c r="D1213" i="2"/>
  <c r="D1214" i="2"/>
  <c r="D1211" i="2"/>
  <c r="D1215" i="2"/>
  <c r="D1216" i="2"/>
  <c r="D1228" i="2"/>
  <c r="D1219" i="2"/>
  <c r="D1223" i="2"/>
  <c r="D1222" i="2"/>
  <c r="D1224" i="2"/>
  <c r="D1221" i="2"/>
  <c r="D1218" i="2"/>
  <c r="D1225" i="2"/>
  <c r="D1220" i="2"/>
  <c r="D1226" i="2"/>
  <c r="D1227" i="2"/>
  <c r="D1237" i="2"/>
  <c r="D1238" i="2"/>
  <c r="D1239" i="2"/>
  <c r="D1234" i="2"/>
  <c r="D1236" i="2"/>
  <c r="D1233" i="2"/>
  <c r="D1230" i="2"/>
  <c r="D1231" i="2"/>
  <c r="D1229" i="2"/>
  <c r="D1232" i="2"/>
  <c r="D1235" i="2"/>
  <c r="D1242" i="2"/>
  <c r="D1246" i="2"/>
  <c r="D1245" i="2"/>
  <c r="D1243" i="2"/>
  <c r="D1241" i="2"/>
  <c r="D1240" i="2"/>
  <c r="D1244" i="2"/>
  <c r="D1254" i="2"/>
  <c r="D1255" i="2"/>
  <c r="D1247" i="2"/>
  <c r="D1249" i="2"/>
  <c r="D1251" i="2"/>
  <c r="D1250" i="2"/>
  <c r="D1248" i="2"/>
  <c r="D1252" i="2"/>
  <c r="D1253" i="2"/>
  <c r="D1270" i="2"/>
  <c r="D1259" i="2"/>
  <c r="D1260" i="2"/>
  <c r="D1258" i="2"/>
  <c r="D1266" i="2"/>
  <c r="D1267" i="2"/>
  <c r="D1268" i="2"/>
  <c r="D1262" i="2"/>
  <c r="D1263" i="2"/>
  <c r="D1265" i="2"/>
  <c r="D1261" i="2"/>
  <c r="D1264" i="2"/>
  <c r="D1269" i="2"/>
  <c r="D1256" i="2"/>
  <c r="D1257" i="2"/>
  <c r="D1281" i="2"/>
  <c r="D1282" i="2"/>
  <c r="D1272" i="2"/>
  <c r="D1271" i="2"/>
  <c r="D1280" i="2"/>
  <c r="D1273" i="2"/>
  <c r="D1275" i="2"/>
  <c r="D1277" i="2"/>
  <c r="D1276" i="2"/>
  <c r="D1274" i="2"/>
  <c r="D1278" i="2"/>
  <c r="D1279" i="2"/>
  <c r="D1295" i="2"/>
  <c r="D1297" i="2"/>
  <c r="D1296" i="2"/>
  <c r="D1303" i="2"/>
  <c r="D1302" i="2"/>
  <c r="D1298" i="2"/>
  <c r="D1299" i="2"/>
  <c r="D1300" i="2"/>
  <c r="D1301" i="2"/>
  <c r="D1312" i="2"/>
  <c r="D1311" i="2"/>
  <c r="D1304" i="2"/>
  <c r="D1306" i="2"/>
  <c r="D1308" i="2"/>
  <c r="D1307" i="2"/>
  <c r="D1305" i="2"/>
  <c r="D1309" i="2"/>
  <c r="D1310" i="2"/>
  <c r="D1315" i="2"/>
  <c r="D1316" i="2"/>
  <c r="D1313" i="2"/>
  <c r="D1314" i="2"/>
  <c r="D1319" i="2"/>
  <c r="D1318" i="2"/>
  <c r="D1324" i="2"/>
  <c r="D1321" i="2"/>
  <c r="D1322" i="2"/>
  <c r="D1317" i="2"/>
  <c r="D1320" i="2"/>
  <c r="D1323" i="2"/>
  <c r="D1325" i="2"/>
  <c r="D1354" i="2"/>
  <c r="D1357" i="2"/>
  <c r="D1356" i="2"/>
  <c r="D1358" i="2"/>
  <c r="D1349" i="2"/>
  <c r="D1353" i="2"/>
  <c r="D1351" i="2"/>
  <c r="D1345" i="2"/>
  <c r="D1352" i="2"/>
  <c r="D1346" i="2"/>
  <c r="D1350" i="2"/>
  <c r="D1347" i="2"/>
  <c r="D1348" i="2"/>
  <c r="D1355" i="2"/>
  <c r="D1380" i="2"/>
  <c r="D1381" i="2"/>
  <c r="D1373" i="2"/>
  <c r="D1372" i="2"/>
  <c r="D1375" i="2"/>
  <c r="D1377" i="2"/>
  <c r="D1378" i="2"/>
  <c r="D1374" i="2"/>
  <c r="D1379" i="2"/>
  <c r="D1376" i="2"/>
  <c r="D1386" i="2"/>
  <c r="D1387" i="2"/>
  <c r="D1383" i="2"/>
  <c r="D1384" i="2"/>
  <c r="D1385" i="2"/>
  <c r="D1382" i="2"/>
  <c r="D1452" i="2"/>
  <c r="D1456" i="2"/>
  <c r="D1453" i="2"/>
  <c r="D1447" i="2"/>
  <c r="D1450" i="2"/>
  <c r="D1445" i="2"/>
  <c r="D1455" i="2"/>
  <c r="D1449" i="2"/>
  <c r="D1454" i="2"/>
  <c r="D1443" i="2"/>
  <c r="D1444" i="2"/>
  <c r="D1446" i="2"/>
  <c r="D1442" i="2"/>
  <c r="D1448" i="2"/>
  <c r="D1451" i="2"/>
  <c r="D1464" i="2"/>
  <c r="D1491" i="2"/>
  <c r="D1466" i="2"/>
  <c r="D1471" i="2"/>
  <c r="D1492" i="2"/>
  <c r="D1508" i="2"/>
  <c r="D1462" i="2"/>
  <c r="D1497" i="2"/>
  <c r="D1501" i="2"/>
  <c r="D1503" i="2"/>
  <c r="D1506" i="2"/>
  <c r="D1510" i="2"/>
  <c r="D1458" i="2"/>
  <c r="D1463" i="2"/>
  <c r="D1496" i="2"/>
  <c r="D1457" i="2"/>
  <c r="D1495" i="2"/>
  <c r="D1486" i="2"/>
  <c r="D1479" i="2"/>
  <c r="D1480" i="2"/>
  <c r="D1477" i="2"/>
  <c r="D1484" i="2"/>
  <c r="D1482" i="2"/>
  <c r="D1476" i="2"/>
  <c r="D1481" i="2"/>
  <c r="D1487" i="2"/>
  <c r="D1489" i="2"/>
  <c r="D1485" i="2"/>
  <c r="D1488" i="2"/>
  <c r="D1478" i="2"/>
  <c r="D1490" i="2"/>
  <c r="D1494" i="2"/>
  <c r="D1493" i="2"/>
  <c r="D1499" i="2"/>
  <c r="D1498" i="2"/>
  <c r="D1500" i="2"/>
  <c r="D1505" i="2"/>
  <c r="D1502" i="2"/>
  <c r="D1504" i="2"/>
  <c r="D1509" i="2"/>
  <c r="D1507" i="2"/>
  <c r="D1483" i="2"/>
  <c r="D1460" i="2"/>
  <c r="D1459" i="2"/>
  <c r="D1461" i="2"/>
  <c r="D1474" i="2"/>
  <c r="D1475" i="2"/>
  <c r="D1467" i="2"/>
  <c r="D1473" i="2"/>
  <c r="D1469" i="2"/>
  <c r="D1472" i="2"/>
  <c r="D1465" i="2"/>
  <c r="D1468" i="2"/>
  <c r="D1470" i="2"/>
  <c r="D1520" i="2"/>
  <c r="D1521" i="2"/>
  <c r="D1512" i="2"/>
  <c r="D1511" i="2"/>
  <c r="D1513" i="2"/>
  <c r="D1515" i="2"/>
  <c r="D1517" i="2"/>
  <c r="D1516" i="2"/>
  <c r="D1514" i="2"/>
  <c r="D1518" i="2"/>
  <c r="D1519" i="2"/>
  <c r="D1529" i="2"/>
  <c r="D1522" i="2"/>
  <c r="D1524" i="2"/>
  <c r="D1525" i="2"/>
  <c r="D1526" i="2"/>
  <c r="D1523" i="2"/>
  <c r="D1527" i="2"/>
  <c r="D1528" i="2"/>
  <c r="D1535" i="2"/>
  <c r="D1536" i="2"/>
  <c r="D1530" i="2"/>
  <c r="D1531" i="2"/>
  <c r="D1533" i="2"/>
  <c r="D1534" i="2"/>
  <c r="D1532" i="2"/>
  <c r="D1560" i="2"/>
  <c r="D1551" i="2"/>
  <c r="D1552" i="2"/>
  <c r="D1550" i="2"/>
  <c r="D1557" i="2"/>
  <c r="D1558" i="2"/>
  <c r="D1554" i="2"/>
  <c r="D1556" i="2"/>
  <c r="D1553" i="2"/>
  <c r="D1555" i="2"/>
  <c r="D1559" i="2"/>
  <c r="D1548" i="2"/>
  <c r="D1549" i="2"/>
  <c r="D1547" i="2"/>
  <c r="D1576" i="2"/>
  <c r="D1564" i="2"/>
  <c r="D1575" i="2"/>
  <c r="D1561" i="2"/>
  <c r="D1562" i="2"/>
  <c r="D1563" i="2"/>
  <c r="D1577" i="2"/>
  <c r="D1566" i="2"/>
  <c r="D1573" i="2"/>
  <c r="D1571" i="2"/>
  <c r="D1569" i="2"/>
  <c r="D1567" i="2"/>
  <c r="D1568" i="2"/>
  <c r="D1570" i="2"/>
  <c r="D1565" i="2"/>
  <c r="D1574" i="2"/>
  <c r="D1572" i="2"/>
  <c r="D1584" i="2"/>
  <c r="D1580" i="2"/>
  <c r="D1579" i="2"/>
  <c r="D1578" i="2"/>
  <c r="D1581" i="2"/>
  <c r="D1582" i="2"/>
  <c r="D1583" i="2"/>
  <c r="D1587" i="2"/>
  <c r="D1585" i="2"/>
  <c r="D1588" i="2"/>
  <c r="D1594" i="2"/>
  <c r="D1589" i="2"/>
  <c r="D1586" i="2"/>
  <c r="D1595" i="2"/>
  <c r="D1590" i="2"/>
  <c r="D1591" i="2"/>
  <c r="D1592" i="2"/>
  <c r="D1593" i="2"/>
  <c r="D1603" i="2"/>
  <c r="D1604" i="2"/>
  <c r="D1596" i="2"/>
  <c r="D1598" i="2"/>
  <c r="D1600" i="2"/>
  <c r="D1599" i="2"/>
  <c r="D1597" i="2"/>
  <c r="D1601" i="2"/>
  <c r="D1602" i="2"/>
  <c r="D1610" i="2"/>
  <c r="D1611" i="2"/>
  <c r="D1605" i="2"/>
  <c r="D1607" i="2"/>
  <c r="D1606" i="2"/>
  <c r="D1608" i="2"/>
  <c r="D1609" i="2"/>
  <c r="D1621" i="2"/>
  <c r="D1623" i="2"/>
  <c r="D1622" i="2"/>
  <c r="D1614" i="2"/>
  <c r="D1612" i="2"/>
  <c r="D1618" i="2"/>
  <c r="D1617" i="2"/>
  <c r="D1616" i="2"/>
  <c r="D1613" i="2"/>
  <c r="D1615" i="2"/>
  <c r="D1619" i="2"/>
  <c r="D1620" i="2"/>
  <c r="D1635" i="2"/>
  <c r="D1630" i="2"/>
  <c r="D1636" i="2"/>
  <c r="D1632" i="2"/>
  <c r="D1631" i="2"/>
  <c r="D1629" i="2"/>
  <c r="D1624" i="2"/>
  <c r="D1625" i="2"/>
  <c r="D1627" i="2"/>
  <c r="D1626" i="2"/>
  <c r="D1634" i="2"/>
  <c r="D1628" i="2"/>
  <c r="D1633" i="2"/>
  <c r="D1637" i="2"/>
  <c r="D1643" i="2"/>
  <c r="D1652" i="2"/>
  <c r="D1653" i="2"/>
  <c r="D1651" i="2"/>
  <c r="D1644" i="2"/>
  <c r="D1639" i="2"/>
  <c r="D1645" i="2"/>
  <c r="D1646" i="2"/>
  <c r="D1640" i="2"/>
  <c r="D1647" i="2"/>
  <c r="D1648" i="2"/>
  <c r="D1638" i="2"/>
  <c r="D1641" i="2"/>
  <c r="D1642" i="2"/>
  <c r="D1649" i="2"/>
  <c r="D1650" i="2"/>
  <c r="D1665" i="2"/>
  <c r="D1654" i="2"/>
  <c r="D1655" i="2"/>
  <c r="D1664" i="2"/>
  <c r="D1658" i="2"/>
  <c r="D1657" i="2"/>
  <c r="D1660" i="2"/>
  <c r="D1659" i="2"/>
  <c r="D1656" i="2"/>
  <c r="D1661" i="2"/>
  <c r="D1662" i="2"/>
  <c r="D1663" i="2"/>
  <c r="D1673" i="2"/>
  <c r="D1674" i="2"/>
  <c r="D1666" i="2"/>
  <c r="D1668" i="2"/>
  <c r="D1669" i="2"/>
  <c r="D1670" i="2"/>
  <c r="D1667" i="2"/>
  <c r="D1671" i="2"/>
  <c r="D1672" i="2"/>
  <c r="D1686" i="2"/>
  <c r="D1689" i="2"/>
  <c r="D1687" i="2"/>
  <c r="D1688" i="2"/>
  <c r="D1677" i="2"/>
  <c r="D1675" i="2"/>
  <c r="D1681" i="2"/>
  <c r="D1680" i="2"/>
  <c r="D1682" i="2"/>
  <c r="D1679" i="2"/>
  <c r="D1676" i="2"/>
  <c r="D1683" i="2"/>
  <c r="D1678" i="2"/>
  <c r="D1684" i="2"/>
  <c r="D1685" i="2"/>
  <c r="D1697" i="2"/>
  <c r="D1699" i="2"/>
  <c r="D1698" i="2"/>
  <c r="D1691" i="2"/>
  <c r="D1695" i="2"/>
  <c r="D1692" i="2"/>
  <c r="D1693" i="2"/>
  <c r="D1690" i="2"/>
  <c r="D1694" i="2"/>
  <c r="D1696" i="2"/>
  <c r="D1716" i="2"/>
  <c r="D1709" i="2"/>
  <c r="D1711" i="2"/>
  <c r="D1713" i="2"/>
  <c r="D1712" i="2"/>
  <c r="D1710" i="2"/>
  <c r="D1714" i="2"/>
  <c r="D1715" i="2"/>
  <c r="D1724" i="2"/>
  <c r="D1717" i="2"/>
  <c r="D1719" i="2"/>
  <c r="D1721" i="2"/>
  <c r="D1720" i="2"/>
  <c r="D1718" i="2"/>
  <c r="D1722" i="2"/>
  <c r="D1723" i="2"/>
  <c r="D1729" i="2"/>
  <c r="D1725" i="2"/>
  <c r="D1727" i="2"/>
  <c r="D1726" i="2"/>
  <c r="D1728" i="2"/>
  <c r="D1736" i="2"/>
  <c r="D1737" i="2"/>
  <c r="D1733" i="2"/>
  <c r="D1730" i="2"/>
  <c r="D1731" i="2"/>
  <c r="D1732" i="2"/>
  <c r="D1734" i="2"/>
  <c r="D1735" i="2"/>
  <c r="D1745" i="2"/>
  <c r="D1741" i="2"/>
  <c r="D1739" i="2"/>
  <c r="D1740" i="2"/>
  <c r="D1742" i="2"/>
  <c r="D1738" i="2"/>
  <c r="D1746" i="2"/>
  <c r="D1743" i="2"/>
  <c r="D1744" i="2"/>
  <c r="D1754" i="2"/>
  <c r="D1756" i="2"/>
  <c r="D1755" i="2"/>
  <c r="D1747" i="2"/>
  <c r="D1749" i="2"/>
  <c r="D1751" i="2"/>
  <c r="D1750" i="2"/>
  <c r="D1748" i="2"/>
  <c r="D1752" i="2"/>
  <c r="D1753" i="2"/>
  <c r="D1766" i="2"/>
  <c r="D1759" i="2"/>
  <c r="D1757" i="2"/>
  <c r="D1762" i="2"/>
  <c r="D1761" i="2"/>
  <c r="D1758" i="2"/>
  <c r="D1763" i="2"/>
  <c r="D1760" i="2"/>
  <c r="D1764" i="2"/>
  <c r="D1765" i="2"/>
  <c r="D1773" i="2"/>
  <c r="D1775" i="2"/>
  <c r="D1767" i="2"/>
  <c r="D1774" i="2"/>
  <c r="D1769" i="2"/>
  <c r="D1770" i="2"/>
  <c r="D1768" i="2"/>
  <c r="D1771" i="2"/>
  <c r="D1772" i="2"/>
  <c r="D1786" i="2"/>
  <c r="D1777" i="2"/>
  <c r="D1778" i="2"/>
  <c r="D1779" i="2"/>
  <c r="D1780" i="2"/>
  <c r="D1781" i="2"/>
  <c r="D1787" i="2"/>
  <c r="D1782" i="2"/>
  <c r="D1776" i="2"/>
  <c r="D1783" i="2"/>
  <c r="D1784" i="2"/>
  <c r="D1785" i="2"/>
  <c r="D1371" i="2"/>
  <c r="D1370" i="2"/>
  <c r="D1361" i="2"/>
  <c r="D1359" i="2"/>
  <c r="D1365" i="2"/>
  <c r="D1364" i="2"/>
  <c r="D1366" i="2"/>
  <c r="D1363" i="2"/>
  <c r="D1360" i="2"/>
  <c r="D1367" i="2"/>
  <c r="D1362" i="2"/>
  <c r="D1368" i="2"/>
  <c r="D1369" i="2"/>
  <c r="D1798" i="2"/>
  <c r="D1800" i="2"/>
  <c r="D1799" i="2"/>
  <c r="D1797" i="2"/>
  <c r="D1807" i="2"/>
  <c r="D1802" i="2"/>
  <c r="D1808" i="2"/>
  <c r="D1803" i="2"/>
  <c r="D1804" i="2"/>
  <c r="D1801" i="2"/>
  <c r="D1805" i="2"/>
  <c r="D1806" i="2"/>
  <c r="D1816" i="2"/>
  <c r="D1818" i="2"/>
  <c r="D1822" i="2"/>
  <c r="D1821" i="2"/>
  <c r="D1823" i="2"/>
  <c r="D1820" i="2"/>
  <c r="D1819" i="2"/>
  <c r="D1815" i="2"/>
  <c r="D1810" i="2"/>
  <c r="D1813" i="2"/>
  <c r="D1811" i="2"/>
  <c r="D1812" i="2"/>
  <c r="D1809" i="2"/>
  <c r="D1814" i="2"/>
  <c r="D1817" i="2"/>
  <c r="D1831" i="2"/>
  <c r="D1832" i="2"/>
  <c r="D1824" i="2"/>
  <c r="D1826" i="2"/>
  <c r="D1828" i="2"/>
  <c r="D1827" i="2"/>
  <c r="D1825" i="2"/>
  <c r="D1829" i="2"/>
  <c r="D1830" i="2"/>
  <c r="D1841" i="2"/>
  <c r="D1842" i="2"/>
  <c r="D1840" i="2"/>
  <c r="D1833" i="2"/>
  <c r="D1835" i="2"/>
  <c r="D1837" i="2"/>
  <c r="D1836" i="2"/>
  <c r="D1834" i="2"/>
  <c r="D1838" i="2"/>
  <c r="D1839" i="2"/>
  <c r="D1848" i="2"/>
  <c r="D1849" i="2"/>
  <c r="D1843" i="2"/>
  <c r="D1844" i="2"/>
  <c r="D1845" i="2"/>
  <c r="D1846" i="2"/>
  <c r="D1847" i="2"/>
  <c r="D1851" i="2"/>
  <c r="D1853" i="2"/>
  <c r="D1857" i="2"/>
  <c r="D1854" i="2"/>
  <c r="D1850" i="2"/>
  <c r="D1852" i="2"/>
  <c r="D1858" i="2"/>
  <c r="D1855" i="2"/>
  <c r="D1856" i="2"/>
  <c r="D1867" i="2"/>
  <c r="D1868" i="2"/>
  <c r="D1859" i="2"/>
  <c r="D1860" i="2"/>
  <c r="D1862" i="2"/>
  <c r="D1864" i="2"/>
  <c r="D1863" i="2"/>
  <c r="D1861" i="2"/>
  <c r="D1865" i="2"/>
  <c r="D1866" i="2"/>
  <c r="D1872" i="2"/>
  <c r="D1871" i="2"/>
  <c r="D1869" i="2"/>
  <c r="D1870" i="2"/>
  <c r="D1878" i="2"/>
  <c r="D1886" i="2"/>
  <c r="D1887" i="2"/>
  <c r="D1875" i="2"/>
  <c r="D1873" i="2"/>
  <c r="D1879" i="2"/>
  <c r="D1874" i="2"/>
  <c r="D1885" i="2"/>
  <c r="D1880" i="2"/>
  <c r="D1876" i="2"/>
  <c r="D1881" i="2"/>
  <c r="D1877" i="2"/>
  <c r="D1888" i="2"/>
  <c r="D1882" i="2"/>
  <c r="D1883" i="2"/>
  <c r="D1884" i="2"/>
  <c r="C12" i="2"/>
  <c r="C4" i="2"/>
  <c r="C3" i="2"/>
  <c r="C11" i="2"/>
  <c r="C5" i="2"/>
  <c r="C7" i="2"/>
  <c r="C8" i="2"/>
  <c r="C6" i="2"/>
  <c r="C9" i="2"/>
  <c r="C10" i="2"/>
  <c r="C21" i="2"/>
  <c r="C20" i="2"/>
  <c r="C13" i="2"/>
  <c r="C15" i="2"/>
  <c r="C16" i="2"/>
  <c r="C17" i="2"/>
  <c r="C14" i="2"/>
  <c r="C18" i="2"/>
  <c r="C19" i="2"/>
  <c r="C24" i="2"/>
  <c r="C37" i="2"/>
  <c r="C35" i="2"/>
  <c r="C38" i="2"/>
  <c r="C25" i="2"/>
  <c r="C26" i="2"/>
  <c r="C32" i="2"/>
  <c r="C34" i="2"/>
  <c r="C33" i="2"/>
  <c r="C28" i="2"/>
  <c r="C29" i="2"/>
  <c r="C31" i="2"/>
  <c r="C27" i="2"/>
  <c r="C30" i="2"/>
  <c r="C36" i="2"/>
  <c r="C22" i="2"/>
  <c r="C23" i="2"/>
  <c r="C43" i="2"/>
  <c r="C41" i="2"/>
  <c r="C47" i="2"/>
  <c r="C40" i="2"/>
  <c r="C44" i="2"/>
  <c r="C39" i="2"/>
  <c r="C42" i="2"/>
  <c r="C45" i="2"/>
  <c r="C48" i="2"/>
  <c r="C46" i="2"/>
  <c r="C60" i="2"/>
  <c r="C49" i="2"/>
  <c r="C59" i="2"/>
  <c r="C50" i="2"/>
  <c r="C53" i="2"/>
  <c r="C52" i="2"/>
  <c r="C54" i="2"/>
  <c r="C55" i="2"/>
  <c r="C51" i="2"/>
  <c r="C56" i="2"/>
  <c r="C57" i="2"/>
  <c r="C58" i="2"/>
  <c r="C68" i="2"/>
  <c r="C69" i="2"/>
  <c r="C61" i="2"/>
  <c r="C63" i="2"/>
  <c r="C64" i="2"/>
  <c r="C65" i="2"/>
  <c r="C62" i="2"/>
  <c r="C66" i="2"/>
  <c r="C67" i="2"/>
  <c r="C80" i="2"/>
  <c r="C79" i="2"/>
  <c r="C70" i="2"/>
  <c r="C73" i="2"/>
  <c r="C72" i="2"/>
  <c r="C75" i="2"/>
  <c r="C74" i="2"/>
  <c r="C71" i="2"/>
  <c r="C76" i="2"/>
  <c r="C78" i="2"/>
  <c r="C77" i="2"/>
  <c r="C91" i="2"/>
  <c r="C82" i="2"/>
  <c r="C93" i="2"/>
  <c r="C90" i="2"/>
  <c r="C85" i="2"/>
  <c r="C92" i="2"/>
  <c r="C83" i="2"/>
  <c r="C89" i="2"/>
  <c r="C84" i="2"/>
  <c r="C88" i="2"/>
  <c r="C81" i="2"/>
  <c r="C87" i="2"/>
  <c r="C86" i="2"/>
  <c r="C102" i="2"/>
  <c r="C103" i="2"/>
  <c r="C94" i="2"/>
  <c r="C95" i="2"/>
  <c r="C97" i="2"/>
  <c r="C98" i="2"/>
  <c r="C99" i="2"/>
  <c r="C96" i="2"/>
  <c r="C100" i="2"/>
  <c r="C101" i="2"/>
  <c r="C113" i="2"/>
  <c r="C115" i="2"/>
  <c r="C114" i="2"/>
  <c r="C104" i="2"/>
  <c r="C107" i="2"/>
  <c r="C106" i="2"/>
  <c r="C109" i="2"/>
  <c r="C108" i="2"/>
  <c r="C105" i="2"/>
  <c r="C110" i="2"/>
  <c r="C111" i="2"/>
  <c r="C112" i="2"/>
  <c r="C123" i="2"/>
  <c r="C124" i="2"/>
  <c r="C116" i="2"/>
  <c r="C118" i="2"/>
  <c r="C119" i="2"/>
  <c r="C120" i="2"/>
  <c r="C117" i="2"/>
  <c r="C121" i="2"/>
  <c r="C122" i="2"/>
  <c r="C135" i="2"/>
  <c r="C134" i="2"/>
  <c r="C132" i="2"/>
  <c r="C133" i="2"/>
  <c r="C138" i="2"/>
  <c r="C137" i="2"/>
  <c r="C126" i="2"/>
  <c r="C129" i="2"/>
  <c r="C128" i="2"/>
  <c r="C125" i="2"/>
  <c r="C127" i="2"/>
  <c r="C130" i="2"/>
  <c r="C131" i="2"/>
  <c r="C139" i="2"/>
  <c r="C136" i="2"/>
  <c r="C142" i="2"/>
  <c r="C141" i="2"/>
  <c r="C140" i="2"/>
  <c r="C151" i="2"/>
  <c r="C153" i="2"/>
  <c r="C143" i="2"/>
  <c r="C152" i="2"/>
  <c r="C144" i="2"/>
  <c r="C146" i="2"/>
  <c r="C147" i="2"/>
  <c r="C148" i="2"/>
  <c r="C145" i="2"/>
  <c r="C149" i="2"/>
  <c r="C150" i="2"/>
  <c r="C163" i="2"/>
  <c r="C164" i="2"/>
  <c r="C162" i="2"/>
  <c r="C154" i="2"/>
  <c r="C155" i="2"/>
  <c r="C156" i="2"/>
  <c r="C158" i="2"/>
  <c r="C157" i="2"/>
  <c r="C159" i="2"/>
  <c r="C160" i="2"/>
  <c r="C161" i="2"/>
  <c r="C165" i="2"/>
  <c r="C166" i="2"/>
  <c r="C168" i="2"/>
  <c r="C167" i="2"/>
  <c r="C169" i="2"/>
  <c r="C170" i="2"/>
  <c r="C180" i="2"/>
  <c r="C182" i="2"/>
  <c r="C171" i="2"/>
  <c r="C172" i="2"/>
  <c r="C181" i="2"/>
  <c r="C173" i="2"/>
  <c r="C175" i="2"/>
  <c r="C177" i="2"/>
  <c r="C176" i="2"/>
  <c r="C174" i="2"/>
  <c r="C178" i="2"/>
  <c r="C179" i="2"/>
  <c r="C194" i="2"/>
  <c r="C195" i="2"/>
  <c r="C185" i="2"/>
  <c r="C184" i="2"/>
  <c r="C183" i="2"/>
  <c r="C193" i="2"/>
  <c r="C186" i="2"/>
  <c r="C188" i="2"/>
  <c r="C189" i="2"/>
  <c r="C190" i="2"/>
  <c r="C187" i="2"/>
  <c r="C191" i="2"/>
  <c r="C192" i="2"/>
  <c r="C208" i="2"/>
  <c r="C207" i="2"/>
  <c r="C198" i="2"/>
  <c r="C196" i="2"/>
  <c r="C202" i="2"/>
  <c r="C201" i="2"/>
  <c r="C203" i="2"/>
  <c r="C200" i="2"/>
  <c r="C197" i="2"/>
  <c r="C204" i="2"/>
  <c r="C199" i="2"/>
  <c r="C205" i="2"/>
  <c r="C206" i="2"/>
  <c r="C217" i="2"/>
  <c r="C219" i="2"/>
  <c r="C216" i="2"/>
  <c r="C218" i="2"/>
  <c r="C210" i="2"/>
  <c r="C213" i="2"/>
  <c r="C211" i="2"/>
  <c r="C212" i="2"/>
  <c r="C209" i="2"/>
  <c r="C214" i="2"/>
  <c r="C215" i="2"/>
  <c r="C228" i="2"/>
  <c r="C221" i="2"/>
  <c r="C220" i="2"/>
  <c r="C222" i="2"/>
  <c r="C225" i="2"/>
  <c r="C224" i="2"/>
  <c r="C223" i="2"/>
  <c r="C226" i="2"/>
  <c r="C227" i="2"/>
  <c r="C236" i="2"/>
  <c r="C229" i="2"/>
  <c r="C231" i="2"/>
  <c r="C233" i="2"/>
  <c r="C232" i="2"/>
  <c r="C230" i="2"/>
  <c r="C234" i="2"/>
  <c r="C235" i="2"/>
  <c r="C249" i="2"/>
  <c r="C248" i="2"/>
  <c r="C237" i="2"/>
  <c r="C245" i="2"/>
  <c r="C241" i="2"/>
  <c r="C247" i="2"/>
  <c r="C239" i="2"/>
  <c r="C243" i="2"/>
  <c r="C240" i="2"/>
  <c r="C242" i="2"/>
  <c r="C238" i="2"/>
  <c r="C244" i="2"/>
  <c r="C246" i="2"/>
  <c r="C253" i="2"/>
  <c r="C255" i="2"/>
  <c r="C254" i="2"/>
  <c r="C250" i="2"/>
  <c r="C252" i="2"/>
  <c r="C251" i="2"/>
  <c r="C264" i="2"/>
  <c r="C265" i="2"/>
  <c r="C256" i="2"/>
  <c r="C257" i="2"/>
  <c r="C259" i="2"/>
  <c r="C261" i="2"/>
  <c r="C260" i="2"/>
  <c r="C258" i="2"/>
  <c r="C262" i="2"/>
  <c r="C263" i="2"/>
  <c r="C269" i="2"/>
  <c r="C270" i="2"/>
  <c r="C267" i="2"/>
  <c r="C268" i="2"/>
  <c r="C266" i="2"/>
  <c r="C271" i="2"/>
  <c r="C279" i="2"/>
  <c r="C280" i="2"/>
  <c r="C272" i="2"/>
  <c r="C274" i="2"/>
  <c r="C275" i="2"/>
  <c r="C276" i="2"/>
  <c r="C273" i="2"/>
  <c r="C277" i="2"/>
  <c r="C278" i="2"/>
  <c r="C327" i="2"/>
  <c r="C323" i="2"/>
  <c r="C290" i="2"/>
  <c r="C287" i="2"/>
  <c r="C337" i="2"/>
  <c r="C291" i="2"/>
  <c r="C293" i="2"/>
  <c r="C292" i="2"/>
  <c r="C340" i="2"/>
  <c r="C333" i="2"/>
  <c r="C289" i="2"/>
  <c r="C288" i="2"/>
  <c r="C286" i="2"/>
  <c r="C284" i="2"/>
  <c r="C339" i="2"/>
  <c r="C302" i="2"/>
  <c r="C330" i="2"/>
  <c r="C329" i="2"/>
  <c r="C331" i="2"/>
  <c r="C334" i="2"/>
  <c r="C328" i="2"/>
  <c r="C332" i="2"/>
  <c r="C336" i="2"/>
  <c r="C335" i="2"/>
  <c r="C299" i="2"/>
  <c r="C297" i="2"/>
  <c r="C301" i="2"/>
  <c r="C338" i="2"/>
  <c r="C300" i="2"/>
  <c r="C296" i="2"/>
  <c r="C298" i="2"/>
  <c r="C303" i="2"/>
  <c r="C282" i="2"/>
  <c r="C283" i="2"/>
  <c r="C311" i="2"/>
  <c r="C308" i="2"/>
  <c r="C314" i="2"/>
  <c r="C304" i="2"/>
  <c r="C295" i="2"/>
  <c r="C281" i="2"/>
  <c r="C324" i="2"/>
  <c r="C326" i="2"/>
  <c r="C325" i="2"/>
  <c r="C294" i="2"/>
  <c r="C285" i="2"/>
  <c r="C318" i="2"/>
  <c r="C317" i="2"/>
  <c r="C321" i="2"/>
  <c r="C312" i="2"/>
  <c r="C313" i="2"/>
  <c r="C305" i="2"/>
  <c r="C315" i="2"/>
  <c r="C316" i="2"/>
  <c r="C306" i="2"/>
  <c r="C310" i="2"/>
  <c r="C307" i="2"/>
  <c r="C320" i="2"/>
  <c r="C319" i="2"/>
  <c r="C309" i="2"/>
  <c r="C322" i="2"/>
  <c r="C360" i="2"/>
  <c r="C355" i="2"/>
  <c r="C357" i="2"/>
  <c r="C345" i="2"/>
  <c r="C347" i="2"/>
  <c r="C348" i="2"/>
  <c r="C343" i="2"/>
  <c r="C346" i="2"/>
  <c r="C350" i="2"/>
  <c r="C341" i="2"/>
  <c r="C353" i="2"/>
  <c r="C342" i="2"/>
  <c r="C351" i="2"/>
  <c r="C349" i="2"/>
  <c r="C344" i="2"/>
  <c r="C352" i="2"/>
  <c r="C354" i="2"/>
  <c r="C356" i="2"/>
  <c r="C358" i="2"/>
  <c r="C359" i="2"/>
  <c r="C369" i="2"/>
  <c r="C361" i="2"/>
  <c r="C370" i="2"/>
  <c r="C363" i="2"/>
  <c r="C364" i="2"/>
  <c r="C362" i="2"/>
  <c r="C365" i="2"/>
  <c r="C366" i="2"/>
  <c r="C367" i="2"/>
  <c r="C368" i="2"/>
  <c r="C378" i="2"/>
  <c r="C380" i="2"/>
  <c r="C379" i="2"/>
  <c r="C371" i="2"/>
  <c r="C373" i="2"/>
  <c r="C374" i="2"/>
  <c r="C375" i="2"/>
  <c r="C372" i="2"/>
  <c r="C376" i="2"/>
  <c r="C377" i="2"/>
  <c r="C390" i="2"/>
  <c r="C391" i="2"/>
  <c r="C382" i="2"/>
  <c r="C381" i="2"/>
  <c r="C383" i="2"/>
  <c r="C385" i="2"/>
  <c r="C387" i="2"/>
  <c r="C386" i="2"/>
  <c r="C384" i="2"/>
  <c r="C388" i="2"/>
  <c r="C389" i="2"/>
  <c r="C398" i="2"/>
  <c r="C393" i="2"/>
  <c r="C400" i="2"/>
  <c r="C401" i="2"/>
  <c r="C394" i="2"/>
  <c r="C397" i="2"/>
  <c r="C395" i="2"/>
  <c r="C396" i="2"/>
  <c r="C399" i="2"/>
  <c r="C392" i="2"/>
  <c r="C409" i="2"/>
  <c r="C410" i="2"/>
  <c r="C411" i="2"/>
  <c r="C403" i="2"/>
  <c r="C407" i="2"/>
  <c r="C404" i="2"/>
  <c r="C405" i="2"/>
  <c r="C402" i="2"/>
  <c r="C406" i="2"/>
  <c r="C408" i="2"/>
  <c r="C419" i="2"/>
  <c r="C412" i="2"/>
  <c r="C414" i="2"/>
  <c r="C415" i="2"/>
  <c r="C416" i="2"/>
  <c r="C413" i="2"/>
  <c r="C417" i="2"/>
  <c r="C418" i="2"/>
  <c r="C428" i="2"/>
  <c r="C429" i="2"/>
  <c r="C420" i="2"/>
  <c r="C421" i="2"/>
  <c r="C423" i="2"/>
  <c r="C424" i="2"/>
  <c r="C425" i="2"/>
  <c r="C422" i="2"/>
  <c r="C426" i="2"/>
  <c r="C427" i="2"/>
  <c r="C441" i="2"/>
  <c r="C440" i="2"/>
  <c r="C430" i="2"/>
  <c r="C439" i="2"/>
  <c r="C431" i="2"/>
  <c r="C433" i="2"/>
  <c r="C435" i="2"/>
  <c r="C434" i="2"/>
  <c r="C432" i="2"/>
  <c r="C436" i="2"/>
  <c r="C437" i="2"/>
  <c r="C438" i="2"/>
  <c r="C456" i="2"/>
  <c r="C463" i="2"/>
  <c r="C443" i="2"/>
  <c r="C454" i="2"/>
  <c r="C453" i="2"/>
  <c r="C462" i="2"/>
  <c r="C445" i="2"/>
  <c r="C470" i="2"/>
  <c r="C455" i="2"/>
  <c r="C444" i="2"/>
  <c r="C442" i="2"/>
  <c r="C466" i="2"/>
  <c r="C471" i="2"/>
  <c r="C459" i="2"/>
  <c r="C452" i="2"/>
  <c r="C451" i="2"/>
  <c r="C450" i="2"/>
  <c r="C446" i="2"/>
  <c r="C447" i="2"/>
  <c r="C449" i="2"/>
  <c r="C464" i="2"/>
  <c r="C465" i="2"/>
  <c r="C458" i="2"/>
  <c r="C461" i="2"/>
  <c r="C448" i="2"/>
  <c r="C467" i="2"/>
  <c r="C457" i="2"/>
  <c r="C460" i="2"/>
  <c r="C469" i="2"/>
  <c r="C468" i="2"/>
  <c r="C476" i="2"/>
  <c r="C473" i="2"/>
  <c r="C481" i="2"/>
  <c r="C472" i="2"/>
  <c r="C474" i="2"/>
  <c r="C475" i="2"/>
  <c r="C477" i="2"/>
  <c r="C478" i="2"/>
  <c r="C479" i="2"/>
  <c r="C480" i="2"/>
  <c r="C489" i="2"/>
  <c r="C482" i="2"/>
  <c r="C484" i="2"/>
  <c r="C485" i="2"/>
  <c r="C486" i="2"/>
  <c r="C483" i="2"/>
  <c r="C487" i="2"/>
  <c r="C488" i="2"/>
  <c r="C494" i="2"/>
  <c r="C492" i="2"/>
  <c r="C491" i="2"/>
  <c r="C490" i="2"/>
  <c r="C495" i="2"/>
  <c r="C493" i="2"/>
  <c r="C505" i="2"/>
  <c r="C508" i="2"/>
  <c r="C507" i="2"/>
  <c r="C499" i="2"/>
  <c r="C503" i="2"/>
  <c r="C506" i="2"/>
  <c r="C497" i="2"/>
  <c r="C501" i="2"/>
  <c r="C498" i="2"/>
  <c r="C500" i="2"/>
  <c r="C496" i="2"/>
  <c r="C502" i="2"/>
  <c r="C504" i="2"/>
  <c r="C514" i="2"/>
  <c r="C512" i="2"/>
  <c r="C511" i="2"/>
  <c r="C513" i="2"/>
  <c r="C516" i="2"/>
  <c r="C515" i="2"/>
  <c r="C510" i="2"/>
  <c r="C509" i="2"/>
  <c r="C527" i="2"/>
  <c r="C528" i="2"/>
  <c r="C526" i="2"/>
  <c r="C518" i="2"/>
  <c r="C521" i="2"/>
  <c r="C522" i="2"/>
  <c r="C520" i="2"/>
  <c r="C517" i="2"/>
  <c r="C523" i="2"/>
  <c r="C519" i="2"/>
  <c r="C524" i="2"/>
  <c r="C525" i="2"/>
  <c r="C535" i="2"/>
  <c r="C532" i="2"/>
  <c r="C536" i="2"/>
  <c r="C533" i="2"/>
  <c r="C539" i="2"/>
  <c r="C534" i="2"/>
  <c r="C531" i="2"/>
  <c r="C530" i="2"/>
  <c r="C529" i="2"/>
  <c r="C537" i="2"/>
  <c r="C538" i="2"/>
  <c r="C555" i="2"/>
  <c r="C545" i="2"/>
  <c r="C556" i="2"/>
  <c r="C557" i="2"/>
  <c r="C540" i="2"/>
  <c r="C554" i="2"/>
  <c r="C546" i="2"/>
  <c r="C547" i="2"/>
  <c r="C542" i="2"/>
  <c r="C543" i="2"/>
  <c r="C548" i="2"/>
  <c r="C558" i="2"/>
  <c r="C559" i="2"/>
  <c r="C549" i="2"/>
  <c r="C541" i="2"/>
  <c r="C544" i="2"/>
  <c r="C550" i="2"/>
  <c r="C551" i="2"/>
  <c r="C552" i="2"/>
  <c r="C553" i="2"/>
  <c r="C568" i="2"/>
  <c r="C569" i="2"/>
  <c r="C574" i="2"/>
  <c r="C573" i="2"/>
  <c r="C572" i="2"/>
  <c r="C571" i="2"/>
  <c r="C567" i="2"/>
  <c r="C570" i="2"/>
  <c r="C564" i="2"/>
  <c r="C565" i="2"/>
  <c r="C561" i="2"/>
  <c r="C563" i="2"/>
  <c r="C562" i="2"/>
  <c r="C560" i="2"/>
  <c r="C566" i="2"/>
  <c r="C575" i="2"/>
  <c r="C577" i="2"/>
  <c r="C578" i="2"/>
  <c r="C579" i="2"/>
  <c r="C581" i="2"/>
  <c r="C580" i="2"/>
  <c r="C576" i="2"/>
  <c r="C583" i="2"/>
  <c r="C593" i="2"/>
  <c r="C586" i="2"/>
  <c r="C592" i="2"/>
  <c r="C595" i="2"/>
  <c r="C587" i="2"/>
  <c r="C588" i="2"/>
  <c r="C582" i="2"/>
  <c r="C594" i="2"/>
  <c r="C589" i="2"/>
  <c r="C584" i="2"/>
  <c r="C590" i="2"/>
  <c r="C585" i="2"/>
  <c r="C591" i="2"/>
  <c r="C602" i="2"/>
  <c r="C596" i="2"/>
  <c r="C597" i="2"/>
  <c r="C598" i="2"/>
  <c r="C599" i="2"/>
  <c r="C600" i="2"/>
  <c r="C601" i="2"/>
  <c r="C608" i="2"/>
  <c r="C610" i="2"/>
  <c r="C603" i="2"/>
  <c r="C606" i="2"/>
  <c r="C604" i="2"/>
  <c r="C607" i="2"/>
  <c r="C611" i="2"/>
  <c r="C612" i="2"/>
  <c r="C605" i="2"/>
  <c r="C609" i="2"/>
  <c r="C621" i="2"/>
  <c r="C622" i="2"/>
  <c r="C613" i="2"/>
  <c r="C614" i="2"/>
  <c r="C616" i="2"/>
  <c r="C618" i="2"/>
  <c r="C617" i="2"/>
  <c r="C615" i="2"/>
  <c r="C619" i="2"/>
  <c r="C620" i="2"/>
  <c r="C625" i="2"/>
  <c r="C628" i="2"/>
  <c r="C627" i="2"/>
  <c r="C629" i="2"/>
  <c r="C626" i="2"/>
  <c r="C623" i="2"/>
  <c r="C624" i="2"/>
  <c r="C630" i="2"/>
  <c r="C638" i="2"/>
  <c r="C631" i="2"/>
  <c r="C633" i="2"/>
  <c r="C635" i="2"/>
  <c r="C634" i="2"/>
  <c r="C632" i="2"/>
  <c r="C636" i="2"/>
  <c r="C637" i="2"/>
  <c r="C648" i="2"/>
  <c r="C647" i="2"/>
  <c r="C649" i="2"/>
  <c r="C646" i="2"/>
  <c r="C639" i="2"/>
  <c r="C640" i="2"/>
  <c r="C641" i="2"/>
  <c r="C642" i="2"/>
  <c r="C643" i="2"/>
  <c r="C644" i="2"/>
  <c r="C645" i="2"/>
  <c r="C654" i="2"/>
  <c r="C655" i="2"/>
  <c r="C650" i="2"/>
  <c r="C651" i="2"/>
  <c r="C652" i="2"/>
  <c r="C653" i="2"/>
  <c r="C658" i="2"/>
  <c r="C669" i="2"/>
  <c r="C661" i="2"/>
  <c r="C662" i="2"/>
  <c r="C663" i="2"/>
  <c r="C668" i="2"/>
  <c r="C657" i="2"/>
  <c r="C664" i="2"/>
  <c r="C656" i="2"/>
  <c r="C670" i="2"/>
  <c r="C665" i="2"/>
  <c r="C666" i="2"/>
  <c r="C659" i="2"/>
  <c r="C667" i="2"/>
  <c r="C660" i="2"/>
  <c r="C691" i="2"/>
  <c r="C692" i="2"/>
  <c r="C671" i="2"/>
  <c r="C679" i="2"/>
  <c r="C678" i="2"/>
  <c r="C672" i="2"/>
  <c r="C688" i="2"/>
  <c r="C686" i="2"/>
  <c r="C689" i="2"/>
  <c r="C687" i="2"/>
  <c r="C681" i="2"/>
  <c r="C682" i="2"/>
  <c r="C684" i="2"/>
  <c r="C685" i="2"/>
  <c r="C680" i="2"/>
  <c r="C677" i="2"/>
  <c r="C690" i="2"/>
  <c r="C674" i="2"/>
  <c r="C673" i="2"/>
  <c r="C675" i="2"/>
  <c r="C693" i="2"/>
  <c r="C676" i="2"/>
  <c r="C683" i="2"/>
  <c r="C702" i="2"/>
  <c r="C701" i="2"/>
  <c r="C694" i="2"/>
  <c r="C696" i="2"/>
  <c r="C698" i="2"/>
  <c r="C697" i="2"/>
  <c r="C695" i="2"/>
  <c r="C699" i="2"/>
  <c r="C700" i="2"/>
  <c r="C711" i="2"/>
  <c r="C712" i="2"/>
  <c r="C703" i="2"/>
  <c r="C704" i="2"/>
  <c r="C706" i="2"/>
  <c r="C708" i="2"/>
  <c r="C707" i="2"/>
  <c r="C705" i="2"/>
  <c r="C709" i="2"/>
  <c r="C710" i="2"/>
  <c r="C715" i="2"/>
  <c r="C716" i="2"/>
  <c r="C713" i="2"/>
  <c r="C714" i="2"/>
  <c r="C717" i="2"/>
  <c r="C718" i="2"/>
  <c r="C726" i="2"/>
  <c r="C728" i="2"/>
  <c r="C727" i="2"/>
  <c r="C719" i="2"/>
  <c r="C721" i="2"/>
  <c r="C723" i="2"/>
  <c r="C722" i="2"/>
  <c r="C720" i="2"/>
  <c r="C724" i="2"/>
  <c r="C725" i="2"/>
  <c r="C743" i="2"/>
  <c r="C741" i="2"/>
  <c r="C740" i="2"/>
  <c r="C742" i="2"/>
  <c r="C729" i="2"/>
  <c r="C738" i="2"/>
  <c r="C737" i="2"/>
  <c r="C732" i="2"/>
  <c r="C739" i="2"/>
  <c r="C730" i="2"/>
  <c r="C735" i="2"/>
  <c r="C731" i="2"/>
  <c r="C736" i="2"/>
  <c r="C734" i="2"/>
  <c r="C733" i="2"/>
  <c r="C751" i="2"/>
  <c r="C744" i="2"/>
  <c r="C745" i="2"/>
  <c r="C747" i="2"/>
  <c r="C748" i="2"/>
  <c r="C746" i="2"/>
  <c r="C749" i="2"/>
  <c r="C750" i="2"/>
  <c r="C755" i="2"/>
  <c r="C760" i="2"/>
  <c r="C761" i="2"/>
  <c r="C756" i="2"/>
  <c r="C753" i="2"/>
  <c r="C757" i="2"/>
  <c r="C758" i="2"/>
  <c r="C759" i="2"/>
  <c r="C752" i="2"/>
  <c r="C754" i="2"/>
  <c r="C767" i="2"/>
  <c r="C768" i="2"/>
  <c r="C762" i="2"/>
  <c r="C764" i="2"/>
  <c r="C763" i="2"/>
  <c r="C765" i="2"/>
  <c r="C766" i="2"/>
  <c r="C778" i="2"/>
  <c r="C776" i="2"/>
  <c r="C780" i="2"/>
  <c r="C777" i="2"/>
  <c r="C783" i="2"/>
  <c r="C782" i="2"/>
  <c r="C781" i="2"/>
  <c r="C775" i="2"/>
  <c r="C770" i="2"/>
  <c r="C773" i="2"/>
  <c r="C771" i="2"/>
  <c r="C772" i="2"/>
  <c r="C769" i="2"/>
  <c r="C774" i="2"/>
  <c r="C779" i="2"/>
  <c r="C793" i="2"/>
  <c r="C794" i="2"/>
  <c r="C784" i="2"/>
  <c r="C792" i="2"/>
  <c r="C785" i="2"/>
  <c r="C787" i="2"/>
  <c r="C789" i="2"/>
  <c r="C788" i="2"/>
  <c r="C786" i="2"/>
  <c r="C790" i="2"/>
  <c r="C791" i="2"/>
  <c r="C796" i="2"/>
  <c r="C797" i="2"/>
  <c r="C798" i="2"/>
  <c r="C799" i="2"/>
  <c r="C795" i="2"/>
  <c r="C800" i="2"/>
  <c r="C805" i="2"/>
  <c r="C801" i="2"/>
  <c r="C802" i="2"/>
  <c r="C803" i="2"/>
  <c r="C804" i="2"/>
  <c r="C813" i="2"/>
  <c r="C806" i="2"/>
  <c r="C808" i="2"/>
  <c r="C810" i="2"/>
  <c r="C809" i="2"/>
  <c r="C807" i="2"/>
  <c r="C811" i="2"/>
  <c r="C812" i="2"/>
  <c r="C820" i="2"/>
  <c r="C819" i="2"/>
  <c r="C817" i="2"/>
  <c r="C818" i="2"/>
  <c r="C821" i="2"/>
  <c r="C816" i="2"/>
  <c r="C815" i="2"/>
  <c r="C814" i="2"/>
  <c r="C827" i="2"/>
  <c r="C825" i="2"/>
  <c r="C823" i="2"/>
  <c r="C824" i="2"/>
  <c r="C826" i="2"/>
  <c r="C822" i="2"/>
  <c r="C842" i="2"/>
  <c r="C831" i="2"/>
  <c r="C832" i="2"/>
  <c r="C830" i="2"/>
  <c r="C838" i="2"/>
  <c r="C839" i="2"/>
  <c r="C840" i="2"/>
  <c r="C834" i="2"/>
  <c r="C835" i="2"/>
  <c r="C837" i="2"/>
  <c r="C833" i="2"/>
  <c r="C836" i="2"/>
  <c r="C841" i="2"/>
  <c r="C828" i="2"/>
  <c r="C829" i="2"/>
  <c r="C853" i="2"/>
  <c r="C857" i="2"/>
  <c r="C845" i="2"/>
  <c r="C846" i="2"/>
  <c r="C844" i="2"/>
  <c r="C852" i="2"/>
  <c r="C855" i="2"/>
  <c r="C854" i="2"/>
  <c r="C848" i="2"/>
  <c r="C851" i="2"/>
  <c r="C850" i="2"/>
  <c r="C847" i="2"/>
  <c r="C849" i="2"/>
  <c r="C856" i="2"/>
  <c r="C843" i="2"/>
  <c r="C872" i="2"/>
  <c r="C861" i="2"/>
  <c r="C862" i="2"/>
  <c r="C860" i="2"/>
  <c r="C868" i="2"/>
  <c r="C870" i="2"/>
  <c r="C869" i="2"/>
  <c r="C864" i="2"/>
  <c r="C866" i="2"/>
  <c r="C867" i="2"/>
  <c r="C863" i="2"/>
  <c r="C865" i="2"/>
  <c r="C871" i="2"/>
  <c r="C858" i="2"/>
  <c r="C859" i="2"/>
  <c r="C880" i="2"/>
  <c r="C873" i="2"/>
  <c r="C875" i="2"/>
  <c r="C877" i="2"/>
  <c r="C876" i="2"/>
  <c r="C874" i="2"/>
  <c r="C878" i="2"/>
  <c r="C879" i="2"/>
  <c r="C887" i="2"/>
  <c r="C888" i="2"/>
  <c r="C881" i="2"/>
  <c r="C882" i="2"/>
  <c r="C884" i="2"/>
  <c r="C883" i="2"/>
  <c r="C885" i="2"/>
  <c r="C886" i="2"/>
  <c r="C898" i="2"/>
  <c r="C901" i="2"/>
  <c r="C900" i="2"/>
  <c r="C895" i="2"/>
  <c r="C899" i="2"/>
  <c r="C890" i="2"/>
  <c r="C893" i="2"/>
  <c r="C891" i="2"/>
  <c r="C892" i="2"/>
  <c r="C889" i="2"/>
  <c r="C894" i="2"/>
  <c r="C897" i="2"/>
  <c r="C896" i="2"/>
  <c r="C909" i="2"/>
  <c r="C911" i="2"/>
  <c r="C910" i="2"/>
  <c r="C902" i="2"/>
  <c r="C904" i="2"/>
  <c r="C905" i="2"/>
  <c r="C906" i="2"/>
  <c r="C903" i="2"/>
  <c r="C907" i="2"/>
  <c r="C908" i="2"/>
  <c r="C917" i="2"/>
  <c r="C913" i="2"/>
  <c r="C916" i="2"/>
  <c r="C915" i="2"/>
  <c r="C914" i="2"/>
  <c r="C912" i="2"/>
  <c r="C919" i="2"/>
  <c r="C918" i="2"/>
  <c r="C948" i="2"/>
  <c r="C946" i="2"/>
  <c r="C945" i="2"/>
  <c r="C950" i="2"/>
  <c r="C949" i="2"/>
  <c r="C928" i="2"/>
  <c r="C923" i="2"/>
  <c r="C926" i="2"/>
  <c r="C925" i="2"/>
  <c r="C924" i="2"/>
  <c r="C922" i="2"/>
  <c r="C930" i="2"/>
  <c r="C931" i="2"/>
  <c r="C929" i="2"/>
  <c r="C927" i="2"/>
  <c r="C920" i="2"/>
  <c r="C921" i="2"/>
  <c r="C940" i="2"/>
  <c r="C939" i="2"/>
  <c r="C935" i="2"/>
  <c r="C938" i="2"/>
  <c r="C937" i="2"/>
  <c r="C936" i="2"/>
  <c r="C934" i="2"/>
  <c r="C941" i="2"/>
  <c r="C932" i="2"/>
  <c r="C933" i="2"/>
  <c r="C943" i="2"/>
  <c r="C942" i="2"/>
  <c r="C947" i="2"/>
  <c r="C944" i="2"/>
  <c r="C958" i="2"/>
  <c r="C959" i="2"/>
  <c r="C951" i="2"/>
  <c r="C953" i="2"/>
  <c r="C955" i="2"/>
  <c r="C954" i="2"/>
  <c r="C952" i="2"/>
  <c r="C956" i="2"/>
  <c r="C957" i="2"/>
  <c r="C960" i="2"/>
  <c r="C961" i="2"/>
  <c r="C962" i="2"/>
  <c r="C969" i="2"/>
  <c r="C967" i="2"/>
  <c r="C968" i="2"/>
  <c r="C970" i="2"/>
  <c r="C972" i="2"/>
  <c r="C971" i="2"/>
  <c r="C966" i="2"/>
  <c r="C963" i="2"/>
  <c r="C964" i="2"/>
  <c r="C965" i="2"/>
  <c r="C974" i="2"/>
  <c r="C973" i="2"/>
  <c r="C975" i="2"/>
  <c r="C977" i="2"/>
  <c r="C976" i="2"/>
  <c r="C990" i="2"/>
  <c r="C980" i="2"/>
  <c r="C979" i="2"/>
  <c r="C986" i="2"/>
  <c r="C988" i="2"/>
  <c r="C987" i="2"/>
  <c r="C982" i="2"/>
  <c r="C984" i="2"/>
  <c r="C985" i="2"/>
  <c r="C981" i="2"/>
  <c r="C983" i="2"/>
  <c r="C989" i="2"/>
  <c r="C978" i="2"/>
  <c r="C1001" i="2"/>
  <c r="C1002" i="2"/>
  <c r="C1000" i="2"/>
  <c r="C991" i="2"/>
  <c r="C994" i="2"/>
  <c r="C993" i="2"/>
  <c r="C996" i="2"/>
  <c r="C995" i="2"/>
  <c r="C992" i="2"/>
  <c r="C997" i="2"/>
  <c r="C998" i="2"/>
  <c r="C999" i="2"/>
  <c r="C1007" i="2"/>
  <c r="C1008" i="2"/>
  <c r="C1004" i="2"/>
  <c r="C1003" i="2"/>
  <c r="C1005" i="2"/>
  <c r="C1006" i="2"/>
  <c r="C1017" i="2"/>
  <c r="C1018" i="2"/>
  <c r="C1016" i="2"/>
  <c r="C1009" i="2"/>
  <c r="C1011" i="2"/>
  <c r="C1012" i="2"/>
  <c r="C1013" i="2"/>
  <c r="C1010" i="2"/>
  <c r="C1014" i="2"/>
  <c r="C1015" i="2"/>
  <c r="C1030" i="2"/>
  <c r="C1032" i="2"/>
  <c r="C1031" i="2"/>
  <c r="C1021" i="2"/>
  <c r="C1019" i="2"/>
  <c r="C1025" i="2"/>
  <c r="C1024" i="2"/>
  <c r="C1026" i="2"/>
  <c r="C1023" i="2"/>
  <c r="C1020" i="2"/>
  <c r="C1027" i="2"/>
  <c r="C1022" i="2"/>
  <c r="C1028" i="2"/>
  <c r="C1029" i="2"/>
  <c r="C1040" i="2"/>
  <c r="C1039" i="2"/>
  <c r="C1042" i="2"/>
  <c r="C1037" i="2"/>
  <c r="C1035" i="2"/>
  <c r="C1033" i="2"/>
  <c r="C1034" i="2"/>
  <c r="C1036" i="2"/>
  <c r="C1041" i="2"/>
  <c r="C1038" i="2"/>
  <c r="C1053" i="2"/>
  <c r="C1054" i="2"/>
  <c r="C1051" i="2"/>
  <c r="C1049" i="2"/>
  <c r="C1052" i="2"/>
  <c r="C1044" i="2"/>
  <c r="C1047" i="2"/>
  <c r="C1045" i="2"/>
  <c r="C1046" i="2"/>
  <c r="C1043" i="2"/>
  <c r="C1048" i="2"/>
  <c r="C1050" i="2"/>
  <c r="C1069" i="2"/>
  <c r="C1060" i="2"/>
  <c r="C1061" i="2"/>
  <c r="C1056" i="2"/>
  <c r="C1057" i="2"/>
  <c r="C1062" i="2"/>
  <c r="C1063" i="2"/>
  <c r="C1070" i="2"/>
  <c r="C1071" i="2"/>
  <c r="C1064" i="2"/>
  <c r="C1065" i="2"/>
  <c r="C1055" i="2"/>
  <c r="C1066" i="2"/>
  <c r="C1058" i="2"/>
  <c r="C1059" i="2"/>
  <c r="C1067" i="2"/>
  <c r="C1068" i="2"/>
  <c r="C1079" i="2"/>
  <c r="C1080" i="2"/>
  <c r="C1072" i="2"/>
  <c r="C1074" i="2"/>
  <c r="C1075" i="2"/>
  <c r="C1076" i="2"/>
  <c r="C1073" i="2"/>
  <c r="C1077" i="2"/>
  <c r="C1078" i="2"/>
  <c r="C1089" i="2"/>
  <c r="C1088" i="2"/>
  <c r="C1091" i="2"/>
  <c r="C1090" i="2"/>
  <c r="C1082" i="2"/>
  <c r="C1086" i="2"/>
  <c r="C1083" i="2"/>
  <c r="C1084" i="2"/>
  <c r="C1081" i="2"/>
  <c r="C1085" i="2"/>
  <c r="C1087" i="2"/>
  <c r="C1103" i="2"/>
  <c r="C1101" i="2"/>
  <c r="C1102" i="2"/>
  <c r="C1092" i="2"/>
  <c r="C1097" i="2"/>
  <c r="C1096" i="2"/>
  <c r="C1095" i="2"/>
  <c r="C1093" i="2"/>
  <c r="C1098" i="2"/>
  <c r="C1094" i="2"/>
  <c r="C1099" i="2"/>
  <c r="C1100" i="2"/>
  <c r="C1105" i="2"/>
  <c r="C1116" i="2"/>
  <c r="C1104" i="2"/>
  <c r="C1115" i="2"/>
  <c r="C1108" i="2"/>
  <c r="C1109" i="2"/>
  <c r="C1110" i="2"/>
  <c r="C1117" i="2"/>
  <c r="C1111" i="2"/>
  <c r="C1118" i="2"/>
  <c r="C1106" i="2"/>
  <c r="C1112" i="2"/>
  <c r="C1107" i="2"/>
  <c r="C1113" i="2"/>
  <c r="C1114" i="2"/>
  <c r="C1125" i="2"/>
  <c r="C1140" i="2"/>
  <c r="C1141" i="2"/>
  <c r="C1124" i="2"/>
  <c r="C1122" i="2"/>
  <c r="C1123" i="2"/>
  <c r="C1135" i="2"/>
  <c r="C1137" i="2"/>
  <c r="C1138" i="2"/>
  <c r="C1129" i="2"/>
  <c r="C1127" i="2"/>
  <c r="C1126" i="2"/>
  <c r="C1130" i="2"/>
  <c r="C1133" i="2"/>
  <c r="C1131" i="2"/>
  <c r="C1128" i="2"/>
  <c r="C1134" i="2"/>
  <c r="C1132" i="2"/>
  <c r="C1136" i="2"/>
  <c r="C1139" i="2"/>
  <c r="C1119" i="2"/>
  <c r="C1120" i="2"/>
  <c r="C1121" i="2"/>
  <c r="C1148" i="2"/>
  <c r="C1151" i="2"/>
  <c r="C1149" i="2"/>
  <c r="C1150" i="2"/>
  <c r="C1143" i="2"/>
  <c r="C1145" i="2"/>
  <c r="C1142" i="2"/>
  <c r="C1144" i="2"/>
  <c r="C1146" i="2"/>
  <c r="C1147" i="2"/>
  <c r="C1159" i="2"/>
  <c r="C1158" i="2"/>
  <c r="C1152" i="2"/>
  <c r="C1154" i="2"/>
  <c r="C1155" i="2"/>
  <c r="C1153" i="2"/>
  <c r="C1156" i="2"/>
  <c r="C1157" i="2"/>
  <c r="C1169" i="2"/>
  <c r="C1170" i="2"/>
  <c r="C1160" i="2"/>
  <c r="C1161" i="2"/>
  <c r="C1162" i="2"/>
  <c r="C1164" i="2"/>
  <c r="C1165" i="2"/>
  <c r="C1166" i="2"/>
  <c r="C1163" i="2"/>
  <c r="C1167" i="2"/>
  <c r="C1168" i="2"/>
  <c r="C1180" i="2"/>
  <c r="C1171" i="2"/>
  <c r="C1179" i="2"/>
  <c r="C1172" i="2"/>
  <c r="C1174" i="2"/>
  <c r="C1175" i="2"/>
  <c r="C1176" i="2"/>
  <c r="C1173" i="2"/>
  <c r="C1177" i="2"/>
  <c r="C1178" i="2"/>
  <c r="C1188" i="2"/>
  <c r="C1189" i="2"/>
  <c r="C1181" i="2"/>
  <c r="C1183" i="2"/>
  <c r="C1184" i="2"/>
  <c r="C1185" i="2"/>
  <c r="C1182" i="2"/>
  <c r="C1186" i="2"/>
  <c r="C1187" i="2"/>
  <c r="C1204" i="2"/>
  <c r="C1195" i="2"/>
  <c r="C1190" i="2"/>
  <c r="C1196" i="2"/>
  <c r="C1206" i="2"/>
  <c r="C1205" i="2"/>
  <c r="C1208" i="2"/>
  <c r="C1197" i="2"/>
  <c r="C1198" i="2"/>
  <c r="C1191" i="2"/>
  <c r="C1192" i="2"/>
  <c r="C1207" i="2"/>
  <c r="C1199" i="2"/>
  <c r="C1193" i="2"/>
  <c r="C1194" i="2"/>
  <c r="C1200" i="2"/>
  <c r="C1201" i="2"/>
  <c r="C1209" i="2"/>
  <c r="C1202" i="2"/>
  <c r="C1203" i="2"/>
  <c r="C1217" i="2"/>
  <c r="C1210" i="2"/>
  <c r="C1212" i="2"/>
  <c r="C1213" i="2"/>
  <c r="C1214" i="2"/>
  <c r="C1211" i="2"/>
  <c r="C1215" i="2"/>
  <c r="C1216" i="2"/>
  <c r="C1228" i="2"/>
  <c r="C1219" i="2"/>
  <c r="C1223" i="2"/>
  <c r="C1222" i="2"/>
  <c r="C1224" i="2"/>
  <c r="C1221" i="2"/>
  <c r="C1218" i="2"/>
  <c r="C1225" i="2"/>
  <c r="C1220" i="2"/>
  <c r="C1226" i="2"/>
  <c r="C1227" i="2"/>
  <c r="C1237" i="2"/>
  <c r="C1238" i="2"/>
  <c r="C1239" i="2"/>
  <c r="C1234" i="2"/>
  <c r="C1236" i="2"/>
  <c r="C1233" i="2"/>
  <c r="C1230" i="2"/>
  <c r="C1231" i="2"/>
  <c r="C1229" i="2"/>
  <c r="C1232" i="2"/>
  <c r="C1235" i="2"/>
  <c r="C1242" i="2"/>
  <c r="C1246" i="2"/>
  <c r="C1245" i="2"/>
  <c r="C1243" i="2"/>
  <c r="C1241" i="2"/>
  <c r="C1240" i="2"/>
  <c r="C1244" i="2"/>
  <c r="C1254" i="2"/>
  <c r="C1255" i="2"/>
  <c r="C1247" i="2"/>
  <c r="C1249" i="2"/>
  <c r="C1251" i="2"/>
  <c r="C1250" i="2"/>
  <c r="C1248" i="2"/>
  <c r="C1252" i="2"/>
  <c r="C1253" i="2"/>
  <c r="C1270" i="2"/>
  <c r="C1259" i="2"/>
  <c r="C1260" i="2"/>
  <c r="C1258" i="2"/>
  <c r="C1266" i="2"/>
  <c r="C1267" i="2"/>
  <c r="C1268" i="2"/>
  <c r="C1262" i="2"/>
  <c r="C1263" i="2"/>
  <c r="C1265" i="2"/>
  <c r="C1261" i="2"/>
  <c r="C1264" i="2"/>
  <c r="C1269" i="2"/>
  <c r="C1256" i="2"/>
  <c r="C1257" i="2"/>
  <c r="C1281" i="2"/>
  <c r="C1282" i="2"/>
  <c r="C1272" i="2"/>
  <c r="C1271" i="2"/>
  <c r="C1280" i="2"/>
  <c r="C1273" i="2"/>
  <c r="C1275" i="2"/>
  <c r="C1277" i="2"/>
  <c r="C1276" i="2"/>
  <c r="C1274" i="2"/>
  <c r="C1278" i="2"/>
  <c r="C1279" i="2"/>
  <c r="C1295" i="2"/>
  <c r="C1297" i="2"/>
  <c r="C1296" i="2"/>
  <c r="C1294" i="2"/>
  <c r="C1285" i="2"/>
  <c r="C1287" i="2"/>
  <c r="C1290" i="2"/>
  <c r="C1292" i="2"/>
  <c r="C1286" i="2"/>
  <c r="C1284" i="2"/>
  <c r="C1288" i="2"/>
  <c r="C1283" i="2"/>
  <c r="C1293" i="2"/>
  <c r="C1289" i="2"/>
  <c r="C1291" i="2"/>
  <c r="C1303" i="2"/>
  <c r="C1302" i="2"/>
  <c r="C1298" i="2"/>
  <c r="C1299" i="2"/>
  <c r="C1300" i="2"/>
  <c r="C1301" i="2"/>
  <c r="C1312" i="2"/>
  <c r="C1311" i="2"/>
  <c r="C1304" i="2"/>
  <c r="C1306" i="2"/>
  <c r="C1308" i="2"/>
  <c r="C1307" i="2"/>
  <c r="C1305" i="2"/>
  <c r="C1309" i="2"/>
  <c r="C1310" i="2"/>
  <c r="C1315" i="2"/>
  <c r="C1316" i="2"/>
  <c r="C1313" i="2"/>
  <c r="C1314" i="2"/>
  <c r="C1319" i="2"/>
  <c r="C1318" i="2"/>
  <c r="C1324" i="2"/>
  <c r="C1321" i="2"/>
  <c r="C1322" i="2"/>
  <c r="C1317" i="2"/>
  <c r="C1320" i="2"/>
  <c r="C1323" i="2"/>
  <c r="C1325" i="2"/>
  <c r="C1344" i="2"/>
  <c r="C1338" i="2"/>
  <c r="C1341" i="2"/>
  <c r="C1343" i="2"/>
  <c r="C1327" i="2"/>
  <c r="C1332" i="2"/>
  <c r="C1328" i="2"/>
  <c r="C1335" i="2"/>
  <c r="C1334" i="2"/>
  <c r="C1336" i="2"/>
  <c r="C1331" i="2"/>
  <c r="C1342" i="2"/>
  <c r="C1337" i="2"/>
  <c r="C1339" i="2"/>
  <c r="C1329" i="2"/>
  <c r="C1333" i="2"/>
  <c r="C1330" i="2"/>
  <c r="C1326" i="2"/>
  <c r="C1340" i="2"/>
  <c r="C1354" i="2"/>
  <c r="C1357" i="2"/>
  <c r="C1356" i="2"/>
  <c r="C1358" i="2"/>
  <c r="C1349" i="2"/>
  <c r="C1353" i="2"/>
  <c r="C1351" i="2"/>
  <c r="C1345" i="2"/>
  <c r="C1352" i="2"/>
  <c r="C1346" i="2"/>
  <c r="C1350" i="2"/>
  <c r="C1347" i="2"/>
  <c r="C1348" i="2"/>
  <c r="C1355" i="2"/>
  <c r="C1380" i="2"/>
  <c r="C1381" i="2"/>
  <c r="C1373" i="2"/>
  <c r="C1372" i="2"/>
  <c r="C1375" i="2"/>
  <c r="C1377" i="2"/>
  <c r="C1378" i="2"/>
  <c r="C1374" i="2"/>
  <c r="C1379" i="2"/>
  <c r="C1376" i="2"/>
  <c r="C1386" i="2"/>
  <c r="C1387" i="2"/>
  <c r="C1383" i="2"/>
  <c r="C1384" i="2"/>
  <c r="C1385" i="2"/>
  <c r="C1382" i="2"/>
  <c r="C1438" i="2"/>
  <c r="C1441" i="2"/>
  <c r="C1439" i="2"/>
  <c r="C1440" i="2"/>
  <c r="C1434" i="2"/>
  <c r="C1403" i="2"/>
  <c r="C1435" i="2"/>
  <c r="C1432" i="2"/>
  <c r="C1430" i="2"/>
  <c r="C1404" i="2"/>
  <c r="C1406" i="2"/>
  <c r="C1405" i="2"/>
  <c r="C1422" i="2"/>
  <c r="C1394" i="2"/>
  <c r="C1411" i="2"/>
  <c r="C1425" i="2"/>
  <c r="C1398" i="2"/>
  <c r="C1423" i="2"/>
  <c r="C1418" i="2"/>
  <c r="C1396" i="2"/>
  <c r="C1415" i="2"/>
  <c r="C1407" i="2"/>
  <c r="C1417" i="2"/>
  <c r="C1388" i="2"/>
  <c r="C1408" i="2"/>
  <c r="C1436" i="2"/>
  <c r="C1395" i="2"/>
  <c r="C1412" i="2"/>
  <c r="C1420" i="2"/>
  <c r="C1421" i="2"/>
  <c r="C1410" i="2"/>
  <c r="C1416" i="2"/>
  <c r="C1426" i="2"/>
  <c r="C1390" i="2"/>
  <c r="C1409" i="2"/>
  <c r="C1419" i="2"/>
  <c r="C1424" i="2"/>
  <c r="C1391" i="2"/>
  <c r="C1413" i="2"/>
  <c r="C1429" i="2"/>
  <c r="C1393" i="2"/>
  <c r="C1414" i="2"/>
  <c r="C1428" i="2"/>
  <c r="C1427" i="2"/>
  <c r="C1402" i="2"/>
  <c r="C1400" i="2"/>
  <c r="C1401" i="2"/>
  <c r="C1431" i="2"/>
  <c r="C1392" i="2"/>
  <c r="C1389" i="2"/>
  <c r="C1399" i="2"/>
  <c r="C1397" i="2"/>
  <c r="C1433" i="2"/>
  <c r="C1437" i="2"/>
  <c r="C1452" i="2"/>
  <c r="C1456" i="2"/>
  <c r="C1453" i="2"/>
  <c r="C1447" i="2"/>
  <c r="C1450" i="2"/>
  <c r="C1445" i="2"/>
  <c r="C1455" i="2"/>
  <c r="C1449" i="2"/>
  <c r="C1454" i="2"/>
  <c r="C1443" i="2"/>
  <c r="C1444" i="2"/>
  <c r="C1446" i="2"/>
  <c r="C1442" i="2"/>
  <c r="C1448" i="2"/>
  <c r="C1451" i="2"/>
  <c r="C1464" i="2"/>
  <c r="C1491" i="2"/>
  <c r="C1466" i="2"/>
  <c r="C1471" i="2"/>
  <c r="C1492" i="2"/>
  <c r="C1508" i="2"/>
  <c r="C1462" i="2"/>
  <c r="C1497" i="2"/>
  <c r="C1501" i="2"/>
  <c r="C1503" i="2"/>
  <c r="C1506" i="2"/>
  <c r="C1510" i="2"/>
  <c r="C1458" i="2"/>
  <c r="C1463" i="2"/>
  <c r="C1496" i="2"/>
  <c r="C1457" i="2"/>
  <c r="C1495" i="2"/>
  <c r="C1486" i="2"/>
  <c r="C1479" i="2"/>
  <c r="C1480" i="2"/>
  <c r="C1477" i="2"/>
  <c r="C1484" i="2"/>
  <c r="C1482" i="2"/>
  <c r="C1476" i="2"/>
  <c r="C1481" i="2"/>
  <c r="C1487" i="2"/>
  <c r="C1489" i="2"/>
  <c r="C1485" i="2"/>
  <c r="C1488" i="2"/>
  <c r="C1478" i="2"/>
  <c r="C1490" i="2"/>
  <c r="C1494" i="2"/>
  <c r="C1493" i="2"/>
  <c r="C1499" i="2"/>
  <c r="C1498" i="2"/>
  <c r="C1500" i="2"/>
  <c r="C1505" i="2"/>
  <c r="C1502" i="2"/>
  <c r="C1504" i="2"/>
  <c r="C1509" i="2"/>
  <c r="C1507" i="2"/>
  <c r="C1483" i="2"/>
  <c r="C1460" i="2"/>
  <c r="C1459" i="2"/>
  <c r="C1461" i="2"/>
  <c r="C1474" i="2"/>
  <c r="C1475" i="2"/>
  <c r="C1467" i="2"/>
  <c r="C1473" i="2"/>
  <c r="C1469" i="2"/>
  <c r="C1472" i="2"/>
  <c r="C1465" i="2"/>
  <c r="C1468" i="2"/>
  <c r="C1470" i="2"/>
  <c r="C1520" i="2"/>
  <c r="C1521" i="2"/>
  <c r="C1512" i="2"/>
  <c r="C1511" i="2"/>
  <c r="C1513" i="2"/>
  <c r="C1515" i="2"/>
  <c r="C1517" i="2"/>
  <c r="C1516" i="2"/>
  <c r="C1514" i="2"/>
  <c r="C1518" i="2"/>
  <c r="C1519" i="2"/>
  <c r="C1529" i="2"/>
  <c r="C1522" i="2"/>
  <c r="C1524" i="2"/>
  <c r="C1525" i="2"/>
  <c r="C1526" i="2"/>
  <c r="C1523" i="2"/>
  <c r="C1527" i="2"/>
  <c r="C1528" i="2"/>
  <c r="C1535" i="2"/>
  <c r="C1536" i="2"/>
  <c r="C1530" i="2"/>
  <c r="C1531" i="2"/>
  <c r="C1533" i="2"/>
  <c r="C1534" i="2"/>
  <c r="C1532" i="2"/>
  <c r="C1544" i="2"/>
  <c r="C1545" i="2"/>
  <c r="C1546" i="2"/>
  <c r="C1541" i="2"/>
  <c r="C1537" i="2"/>
  <c r="C1539" i="2"/>
  <c r="C1540" i="2"/>
  <c r="C1542" i="2"/>
  <c r="C1538" i="2"/>
  <c r="C1543" i="2"/>
  <c r="C1560" i="2"/>
  <c r="C1551" i="2"/>
  <c r="C1552" i="2"/>
  <c r="C1550" i="2"/>
  <c r="C1557" i="2"/>
  <c r="C1558" i="2"/>
  <c r="C1554" i="2"/>
  <c r="C1556" i="2"/>
  <c r="C1553" i="2"/>
  <c r="C1555" i="2"/>
  <c r="C1559" i="2"/>
  <c r="C1548" i="2"/>
  <c r="C1549" i="2"/>
  <c r="C1547" i="2"/>
  <c r="C1576" i="2"/>
  <c r="C1564" i="2"/>
  <c r="C1575" i="2"/>
  <c r="C1561" i="2"/>
  <c r="C1562" i="2"/>
  <c r="C1563" i="2"/>
  <c r="C1577" i="2"/>
  <c r="C1566" i="2"/>
  <c r="C1573" i="2"/>
  <c r="C1571" i="2"/>
  <c r="C1569" i="2"/>
  <c r="C1567" i="2"/>
  <c r="C1568" i="2"/>
  <c r="C1570" i="2"/>
  <c r="C1565" i="2"/>
  <c r="C1574" i="2"/>
  <c r="C1572" i="2"/>
  <c r="C1584" i="2"/>
  <c r="C1580" i="2"/>
  <c r="C1579" i="2"/>
  <c r="C1578" i="2"/>
  <c r="C1581" i="2"/>
  <c r="C1582" i="2"/>
  <c r="C1583" i="2"/>
  <c r="C1587" i="2"/>
  <c r="C1585" i="2"/>
  <c r="C1588" i="2"/>
  <c r="C1594" i="2"/>
  <c r="C1589" i="2"/>
  <c r="C1586" i="2"/>
  <c r="C1595" i="2"/>
  <c r="C1590" i="2"/>
  <c r="C1591" i="2"/>
  <c r="C1592" i="2"/>
  <c r="C1593" i="2"/>
  <c r="C1603" i="2"/>
  <c r="C1604" i="2"/>
  <c r="C1596" i="2"/>
  <c r="C1598" i="2"/>
  <c r="C1600" i="2"/>
  <c r="C1599" i="2"/>
  <c r="C1597" i="2"/>
  <c r="C1601" i="2"/>
  <c r="C1602" i="2"/>
  <c r="C1610" i="2"/>
  <c r="C1611" i="2"/>
  <c r="C1605" i="2"/>
  <c r="C1607" i="2"/>
  <c r="C1606" i="2"/>
  <c r="C1608" i="2"/>
  <c r="C1609" i="2"/>
  <c r="C1621" i="2"/>
  <c r="C1623" i="2"/>
  <c r="C1622" i="2"/>
  <c r="C1614" i="2"/>
  <c r="C1612" i="2"/>
  <c r="C1618" i="2"/>
  <c r="C1617" i="2"/>
  <c r="C1616" i="2"/>
  <c r="C1613" i="2"/>
  <c r="C1615" i="2"/>
  <c r="C1619" i="2"/>
  <c r="C1620" i="2"/>
  <c r="C1635" i="2"/>
  <c r="C1630" i="2"/>
  <c r="C1636" i="2"/>
  <c r="C1632" i="2"/>
  <c r="C1631" i="2"/>
  <c r="C1629" i="2"/>
  <c r="C1624" i="2"/>
  <c r="C1625" i="2"/>
  <c r="C1627" i="2"/>
  <c r="C1626" i="2"/>
  <c r="C1634" i="2"/>
  <c r="C1628" i="2"/>
  <c r="C1633" i="2"/>
  <c r="C1637" i="2"/>
  <c r="C1643" i="2"/>
  <c r="C1652" i="2"/>
  <c r="C1653" i="2"/>
  <c r="C1651" i="2"/>
  <c r="C1644" i="2"/>
  <c r="C1639" i="2"/>
  <c r="C1645" i="2"/>
  <c r="C1646" i="2"/>
  <c r="C1640" i="2"/>
  <c r="C1647" i="2"/>
  <c r="C1648" i="2"/>
  <c r="C1638" i="2"/>
  <c r="C1641" i="2"/>
  <c r="C1642" i="2"/>
  <c r="C1649" i="2"/>
  <c r="C1650" i="2"/>
  <c r="C1665" i="2"/>
  <c r="C1654" i="2"/>
  <c r="C1655" i="2"/>
  <c r="C1664" i="2"/>
  <c r="C1658" i="2"/>
  <c r="C1657" i="2"/>
  <c r="C1660" i="2"/>
  <c r="C1659" i="2"/>
  <c r="C1656" i="2"/>
  <c r="C1661" i="2"/>
  <c r="C1662" i="2"/>
  <c r="C1663" i="2"/>
  <c r="C1673" i="2"/>
  <c r="C1674" i="2"/>
  <c r="C1666" i="2"/>
  <c r="C1668" i="2"/>
  <c r="C1669" i="2"/>
  <c r="C1670" i="2"/>
  <c r="C1667" i="2"/>
  <c r="C1671" i="2"/>
  <c r="C1672" i="2"/>
  <c r="C1686" i="2"/>
  <c r="C1689" i="2"/>
  <c r="C1687" i="2"/>
  <c r="C1688" i="2"/>
  <c r="C1677" i="2"/>
  <c r="C1675" i="2"/>
  <c r="C1681" i="2"/>
  <c r="C1680" i="2"/>
  <c r="C1682" i="2"/>
  <c r="C1679" i="2"/>
  <c r="C1676" i="2"/>
  <c r="C1683" i="2"/>
  <c r="C1678" i="2"/>
  <c r="C1684" i="2"/>
  <c r="C1685" i="2"/>
  <c r="C1697" i="2"/>
  <c r="C1699" i="2"/>
  <c r="C1698" i="2"/>
  <c r="C1691" i="2"/>
  <c r="C1695" i="2"/>
  <c r="C1692" i="2"/>
  <c r="C1693" i="2"/>
  <c r="C1690" i="2"/>
  <c r="C1694" i="2"/>
  <c r="C1696" i="2"/>
  <c r="C1706" i="2"/>
  <c r="C1708" i="2"/>
  <c r="C1704" i="2"/>
  <c r="C1705" i="2"/>
  <c r="C1701" i="2"/>
  <c r="C1703" i="2"/>
  <c r="C1702" i="2"/>
  <c r="C1700" i="2"/>
  <c r="C1707" i="2"/>
  <c r="C1716" i="2"/>
  <c r="C1709" i="2"/>
  <c r="C1711" i="2"/>
  <c r="C1713" i="2"/>
  <c r="C1712" i="2"/>
  <c r="C1710" i="2"/>
  <c r="C1714" i="2"/>
  <c r="C1715" i="2"/>
  <c r="C1724" i="2"/>
  <c r="C1717" i="2"/>
  <c r="C1719" i="2"/>
  <c r="C1721" i="2"/>
  <c r="C1720" i="2"/>
  <c r="C1718" i="2"/>
  <c r="C1722" i="2"/>
  <c r="C1723" i="2"/>
  <c r="C1729" i="2"/>
  <c r="C1725" i="2"/>
  <c r="C1727" i="2"/>
  <c r="C1726" i="2"/>
  <c r="C1728" i="2"/>
  <c r="C1736" i="2"/>
  <c r="C1737" i="2"/>
  <c r="C1733" i="2"/>
  <c r="C1730" i="2"/>
  <c r="C1731" i="2"/>
  <c r="C1732" i="2"/>
  <c r="C1734" i="2"/>
  <c r="C1735" i="2"/>
  <c r="C1745" i="2"/>
  <c r="C1741" i="2"/>
  <c r="C1739" i="2"/>
  <c r="C1740" i="2"/>
  <c r="C1742" i="2"/>
  <c r="C1738" i="2"/>
  <c r="C1746" i="2"/>
  <c r="C1743" i="2"/>
  <c r="C1744" i="2"/>
  <c r="C1754" i="2"/>
  <c r="C1756" i="2"/>
  <c r="C1755" i="2"/>
  <c r="C1747" i="2"/>
  <c r="C1749" i="2"/>
  <c r="C1751" i="2"/>
  <c r="C1750" i="2"/>
  <c r="C1748" i="2"/>
  <c r="C1752" i="2"/>
  <c r="C1753" i="2"/>
  <c r="C1766" i="2"/>
  <c r="C1759" i="2"/>
  <c r="C1757" i="2"/>
  <c r="C1762" i="2"/>
  <c r="C1761" i="2"/>
  <c r="C1758" i="2"/>
  <c r="C1763" i="2"/>
  <c r="C1760" i="2"/>
  <c r="C1764" i="2"/>
  <c r="C1765" i="2"/>
  <c r="C1773" i="2"/>
  <c r="C1775" i="2"/>
  <c r="C1767" i="2"/>
  <c r="C1774" i="2"/>
  <c r="C1769" i="2"/>
  <c r="C1770" i="2"/>
  <c r="C1768" i="2"/>
  <c r="C1771" i="2"/>
  <c r="C1772" i="2"/>
  <c r="C1786" i="2"/>
  <c r="C1777" i="2"/>
  <c r="C1778" i="2"/>
  <c r="C1779" i="2"/>
  <c r="C1780" i="2"/>
  <c r="C1781" i="2"/>
  <c r="C1787" i="2"/>
  <c r="C1782" i="2"/>
  <c r="C1776" i="2"/>
  <c r="C1783" i="2"/>
  <c r="C1784" i="2"/>
  <c r="C1785" i="2"/>
  <c r="C1371" i="2"/>
  <c r="C1370" i="2"/>
  <c r="C1361" i="2"/>
  <c r="C1359" i="2"/>
  <c r="C1365" i="2"/>
  <c r="C1364" i="2"/>
  <c r="C1366" i="2"/>
  <c r="C1363" i="2"/>
  <c r="C1360" i="2"/>
  <c r="C1367" i="2"/>
  <c r="C1362" i="2"/>
  <c r="C1368" i="2"/>
  <c r="C1369" i="2"/>
  <c r="C1796" i="2"/>
  <c r="C1795" i="2"/>
  <c r="C1789" i="2"/>
  <c r="C1788" i="2"/>
  <c r="C1791" i="2"/>
  <c r="C1792" i="2"/>
  <c r="C1790" i="2"/>
  <c r="C1793" i="2"/>
  <c r="C1794" i="2"/>
  <c r="C1798" i="2"/>
  <c r="C1800" i="2"/>
  <c r="C1799" i="2"/>
  <c r="C1797" i="2"/>
  <c r="C1807" i="2"/>
  <c r="C1802" i="2"/>
  <c r="C1808" i="2"/>
  <c r="C1803" i="2"/>
  <c r="C1804" i="2"/>
  <c r="C1801" i="2"/>
  <c r="C1805" i="2"/>
  <c r="C1806" i="2"/>
  <c r="C1816" i="2"/>
  <c r="C1818" i="2"/>
  <c r="C1822" i="2"/>
  <c r="C1821" i="2"/>
  <c r="C1823" i="2"/>
  <c r="C1820" i="2"/>
  <c r="C1819" i="2"/>
  <c r="C1815" i="2"/>
  <c r="C1810" i="2"/>
  <c r="C1813" i="2"/>
  <c r="C1811" i="2"/>
  <c r="C1812" i="2"/>
  <c r="C1809" i="2"/>
  <c r="C1814" i="2"/>
  <c r="C1817" i="2"/>
  <c r="C1831" i="2"/>
  <c r="C1832" i="2"/>
  <c r="C1824" i="2"/>
  <c r="C1826" i="2"/>
  <c r="C1828" i="2"/>
  <c r="C1827" i="2"/>
  <c r="C1825" i="2"/>
  <c r="C1829" i="2"/>
  <c r="C1830" i="2"/>
  <c r="C1841" i="2"/>
  <c r="C1842" i="2"/>
  <c r="C1840" i="2"/>
  <c r="C1833" i="2"/>
  <c r="C1835" i="2"/>
  <c r="C1837" i="2"/>
  <c r="C1836" i="2"/>
  <c r="C1834" i="2"/>
  <c r="C1838" i="2"/>
  <c r="C1839" i="2"/>
  <c r="C1848" i="2"/>
  <c r="C1849" i="2"/>
  <c r="C1843" i="2"/>
  <c r="C1844" i="2"/>
  <c r="C1845" i="2"/>
  <c r="C1846" i="2"/>
  <c r="C1847" i="2"/>
  <c r="C1851" i="2"/>
  <c r="C1853" i="2"/>
  <c r="C1857" i="2"/>
  <c r="C1854" i="2"/>
  <c r="C1850" i="2"/>
  <c r="C1852" i="2"/>
  <c r="C1858" i="2"/>
  <c r="C1855" i="2"/>
  <c r="C1856" i="2"/>
  <c r="C1867" i="2"/>
  <c r="C1868" i="2"/>
  <c r="C1859" i="2"/>
  <c r="C1860" i="2"/>
  <c r="C1862" i="2"/>
  <c r="C1864" i="2"/>
  <c r="C1863" i="2"/>
  <c r="C1861" i="2"/>
  <c r="C1865" i="2"/>
  <c r="C1866" i="2"/>
  <c r="C1872" i="2"/>
  <c r="C1871" i="2"/>
  <c r="C1869" i="2"/>
  <c r="C1870" i="2"/>
  <c r="C1878" i="2"/>
  <c r="C1886" i="2"/>
  <c r="C1887" i="2"/>
  <c r="C1875" i="2"/>
  <c r="C1873" i="2"/>
  <c r="C1879" i="2"/>
  <c r="C1874" i="2"/>
  <c r="C1885" i="2"/>
  <c r="C1880" i="2"/>
  <c r="C1876" i="2"/>
  <c r="C1881" i="2"/>
  <c r="C1877" i="2"/>
  <c r="C1888" i="2"/>
  <c r="C1882" i="2"/>
  <c r="C1883" i="2"/>
  <c r="C1884" i="2"/>
  <c r="E12" i="2"/>
  <c r="E4" i="2"/>
  <c r="E3" i="2"/>
  <c r="E11" i="2"/>
  <c r="E5" i="2"/>
  <c r="E7" i="2"/>
  <c r="E8" i="2"/>
  <c r="E6" i="2"/>
  <c r="E9" i="2"/>
  <c r="E10" i="2"/>
  <c r="E21" i="2"/>
  <c r="E20" i="2"/>
  <c r="E13" i="2"/>
  <c r="E15" i="2"/>
  <c r="E16" i="2"/>
  <c r="E17" i="2"/>
  <c r="E14" i="2"/>
  <c r="E18" i="2"/>
  <c r="E19" i="2"/>
  <c r="E24" i="2"/>
  <c r="E37" i="2"/>
  <c r="E35" i="2"/>
  <c r="E38" i="2"/>
  <c r="E25" i="2"/>
  <c r="E26" i="2"/>
  <c r="E32" i="2"/>
  <c r="E34" i="2"/>
  <c r="E33" i="2"/>
  <c r="E28" i="2"/>
  <c r="E29" i="2"/>
  <c r="E31" i="2"/>
  <c r="E27" i="2"/>
  <c r="E30" i="2"/>
  <c r="E36" i="2"/>
  <c r="E22" i="2"/>
  <c r="E23" i="2"/>
  <c r="E43" i="2"/>
  <c r="E41" i="2"/>
  <c r="E47" i="2"/>
  <c r="E40" i="2"/>
  <c r="E44" i="2"/>
  <c r="E39" i="2"/>
  <c r="E42" i="2"/>
  <c r="E45" i="2"/>
  <c r="E48" i="2"/>
  <c r="E46" i="2"/>
  <c r="E60" i="2"/>
  <c r="E49" i="2"/>
  <c r="E59" i="2"/>
  <c r="E50" i="2"/>
  <c r="E53" i="2"/>
  <c r="E52" i="2"/>
  <c r="E54" i="2"/>
  <c r="E55" i="2"/>
  <c r="E51" i="2"/>
  <c r="E56" i="2"/>
  <c r="E57" i="2"/>
  <c r="E58" i="2"/>
  <c r="E68" i="2"/>
  <c r="E69" i="2"/>
  <c r="E61" i="2"/>
  <c r="E63" i="2"/>
  <c r="E64" i="2"/>
  <c r="E65" i="2"/>
  <c r="E62" i="2"/>
  <c r="E66" i="2"/>
  <c r="E67" i="2"/>
  <c r="E80" i="2"/>
  <c r="E79" i="2"/>
  <c r="E70" i="2"/>
  <c r="E73" i="2"/>
  <c r="E72" i="2"/>
  <c r="E75" i="2"/>
  <c r="E74" i="2"/>
  <c r="E71" i="2"/>
  <c r="E76" i="2"/>
  <c r="E78" i="2"/>
  <c r="E77" i="2"/>
  <c r="E91" i="2"/>
  <c r="E82" i="2"/>
  <c r="E93" i="2"/>
  <c r="E90" i="2"/>
  <c r="E85" i="2"/>
  <c r="E92" i="2"/>
  <c r="E83" i="2"/>
  <c r="E89" i="2"/>
  <c r="E84" i="2"/>
  <c r="E88" i="2"/>
  <c r="E81" i="2"/>
  <c r="E87" i="2"/>
  <c r="E86" i="2"/>
  <c r="E102" i="2"/>
  <c r="E103" i="2"/>
  <c r="E94" i="2"/>
  <c r="E95" i="2"/>
  <c r="E97" i="2"/>
  <c r="E98" i="2"/>
  <c r="E99" i="2"/>
  <c r="E96" i="2"/>
  <c r="E100" i="2"/>
  <c r="E101" i="2"/>
  <c r="E113" i="2"/>
  <c r="E115" i="2"/>
  <c r="E114" i="2"/>
  <c r="E104" i="2"/>
  <c r="E107" i="2"/>
  <c r="E106" i="2"/>
  <c r="E109" i="2"/>
  <c r="E108" i="2"/>
  <c r="E105" i="2"/>
  <c r="E110" i="2"/>
  <c r="E111" i="2"/>
  <c r="E112" i="2"/>
  <c r="E123" i="2"/>
  <c r="E124" i="2"/>
  <c r="E116" i="2"/>
  <c r="E118" i="2"/>
  <c r="E119" i="2"/>
  <c r="E120" i="2"/>
  <c r="E117" i="2"/>
  <c r="E121" i="2"/>
  <c r="E122" i="2"/>
  <c r="E135" i="2"/>
  <c r="E134" i="2"/>
  <c r="E132" i="2"/>
  <c r="E133" i="2"/>
  <c r="E138" i="2"/>
  <c r="E137" i="2"/>
  <c r="E126" i="2"/>
  <c r="E129" i="2"/>
  <c r="E128" i="2"/>
  <c r="E125" i="2"/>
  <c r="E127" i="2"/>
  <c r="E130" i="2"/>
  <c r="E131" i="2"/>
  <c r="E139" i="2"/>
  <c r="E136" i="2"/>
  <c r="E142" i="2"/>
  <c r="E141" i="2"/>
  <c r="E140" i="2"/>
  <c r="E151" i="2"/>
  <c r="E153" i="2"/>
  <c r="E143" i="2"/>
  <c r="E152" i="2"/>
  <c r="E144" i="2"/>
  <c r="E146" i="2"/>
  <c r="E147" i="2"/>
  <c r="E148" i="2"/>
  <c r="E145" i="2"/>
  <c r="E149" i="2"/>
  <c r="E150" i="2"/>
  <c r="E163" i="2"/>
  <c r="E164" i="2"/>
  <c r="E162" i="2"/>
  <c r="E154" i="2"/>
  <c r="E155" i="2"/>
  <c r="E156" i="2"/>
  <c r="E158" i="2"/>
  <c r="E157" i="2"/>
  <c r="E159" i="2"/>
  <c r="E160" i="2"/>
  <c r="E161" i="2"/>
  <c r="E165" i="2"/>
  <c r="E166" i="2"/>
  <c r="E168" i="2"/>
  <c r="E167" i="2"/>
  <c r="E169" i="2"/>
  <c r="E170" i="2"/>
  <c r="E180" i="2"/>
  <c r="E182" i="2"/>
  <c r="E171" i="2"/>
  <c r="E172" i="2"/>
  <c r="E181" i="2"/>
  <c r="E173" i="2"/>
  <c r="E175" i="2"/>
  <c r="E177" i="2"/>
  <c r="E176" i="2"/>
  <c r="E174" i="2"/>
  <c r="E178" i="2"/>
  <c r="E179" i="2"/>
  <c r="E194" i="2"/>
  <c r="E195" i="2"/>
  <c r="E185" i="2"/>
  <c r="E184" i="2"/>
  <c r="E183" i="2"/>
  <c r="E193" i="2"/>
  <c r="E186" i="2"/>
  <c r="E188" i="2"/>
  <c r="E189" i="2"/>
  <c r="E190" i="2"/>
  <c r="E187" i="2"/>
  <c r="E191" i="2"/>
  <c r="E192" i="2"/>
  <c r="E208" i="2"/>
  <c r="E207" i="2"/>
  <c r="E198" i="2"/>
  <c r="E196" i="2"/>
  <c r="E202" i="2"/>
  <c r="E201" i="2"/>
  <c r="E203" i="2"/>
  <c r="E200" i="2"/>
  <c r="E197" i="2"/>
  <c r="E204" i="2"/>
  <c r="E199" i="2"/>
  <c r="E205" i="2"/>
  <c r="E206" i="2"/>
  <c r="E217" i="2"/>
  <c r="E219" i="2"/>
  <c r="E216" i="2"/>
  <c r="E218" i="2"/>
  <c r="E210" i="2"/>
  <c r="E213" i="2"/>
  <c r="E211" i="2"/>
  <c r="E212" i="2"/>
  <c r="E209" i="2"/>
  <c r="E214" i="2"/>
  <c r="E215" i="2"/>
  <c r="E228" i="2"/>
  <c r="E221" i="2"/>
  <c r="E220" i="2"/>
  <c r="E222" i="2"/>
  <c r="E225" i="2"/>
  <c r="E224" i="2"/>
  <c r="E223" i="2"/>
  <c r="E226" i="2"/>
  <c r="E227" i="2"/>
  <c r="E236" i="2"/>
  <c r="E229" i="2"/>
  <c r="E231" i="2"/>
  <c r="E233" i="2"/>
  <c r="E232" i="2"/>
  <c r="E230" i="2"/>
  <c r="E234" i="2"/>
  <c r="E235" i="2"/>
  <c r="E249" i="2"/>
  <c r="E248" i="2"/>
  <c r="E237" i="2"/>
  <c r="E245" i="2"/>
  <c r="E241" i="2"/>
  <c r="E247" i="2"/>
  <c r="E239" i="2"/>
  <c r="E243" i="2"/>
  <c r="E240" i="2"/>
  <c r="E242" i="2"/>
  <c r="E238" i="2"/>
  <c r="E244" i="2"/>
  <c r="E246" i="2"/>
  <c r="E253" i="2"/>
  <c r="E255" i="2"/>
  <c r="E254" i="2"/>
  <c r="E250" i="2"/>
  <c r="E252" i="2"/>
  <c r="E251" i="2"/>
  <c r="E264" i="2"/>
  <c r="E265" i="2"/>
  <c r="E256" i="2"/>
  <c r="E257" i="2"/>
  <c r="E259" i="2"/>
  <c r="E261" i="2"/>
  <c r="E260" i="2"/>
  <c r="E258" i="2"/>
  <c r="E262" i="2"/>
  <c r="E263" i="2"/>
  <c r="E269" i="2"/>
  <c r="E270" i="2"/>
  <c r="E267" i="2"/>
  <c r="E268" i="2"/>
  <c r="E266" i="2"/>
  <c r="E271" i="2"/>
  <c r="E279" i="2"/>
  <c r="E280" i="2"/>
  <c r="E272" i="2"/>
  <c r="E274" i="2"/>
  <c r="E275" i="2"/>
  <c r="E276" i="2"/>
  <c r="E273" i="2"/>
  <c r="E277" i="2"/>
  <c r="E278" i="2"/>
  <c r="E360" i="2"/>
  <c r="E355" i="2"/>
  <c r="E357" i="2"/>
  <c r="E345" i="2"/>
  <c r="E347" i="2"/>
  <c r="E348" i="2"/>
  <c r="E343" i="2"/>
  <c r="E346" i="2"/>
  <c r="E350" i="2"/>
  <c r="E341" i="2"/>
  <c r="E353" i="2"/>
  <c r="E342" i="2"/>
  <c r="E351" i="2"/>
  <c r="E349" i="2"/>
  <c r="E344" i="2"/>
  <c r="E352" i="2"/>
  <c r="E354" i="2"/>
  <c r="E356" i="2"/>
  <c r="E358" i="2"/>
  <c r="E359" i="2"/>
  <c r="E369" i="2"/>
  <c r="E361" i="2"/>
  <c r="E370" i="2"/>
  <c r="E363" i="2"/>
  <c r="E364" i="2"/>
  <c r="E362" i="2"/>
  <c r="E365" i="2"/>
  <c r="E366" i="2"/>
  <c r="E367" i="2"/>
  <c r="E368" i="2"/>
  <c r="E378" i="2"/>
  <c r="E380" i="2"/>
  <c r="E379" i="2"/>
  <c r="E371" i="2"/>
  <c r="E373" i="2"/>
  <c r="E374" i="2"/>
  <c r="E375" i="2"/>
  <c r="E372" i="2"/>
  <c r="E376" i="2"/>
  <c r="E377" i="2"/>
  <c r="E390" i="2"/>
  <c r="E391" i="2"/>
  <c r="E382" i="2"/>
  <c r="E381" i="2"/>
  <c r="E383" i="2"/>
  <c r="E385" i="2"/>
  <c r="E387" i="2"/>
  <c r="E386" i="2"/>
  <c r="E384" i="2"/>
  <c r="E388" i="2"/>
  <c r="E389" i="2"/>
  <c r="E398" i="2"/>
  <c r="E393" i="2"/>
  <c r="E400" i="2"/>
  <c r="E401" i="2"/>
  <c r="E394" i="2"/>
  <c r="E397" i="2"/>
  <c r="E395" i="2"/>
  <c r="E396" i="2"/>
  <c r="E399" i="2"/>
  <c r="E392" i="2"/>
  <c r="E409" i="2"/>
  <c r="E410" i="2"/>
  <c r="E411" i="2"/>
  <c r="E403" i="2"/>
  <c r="E407" i="2"/>
  <c r="E404" i="2"/>
  <c r="E405" i="2"/>
  <c r="E402" i="2"/>
  <c r="E406" i="2"/>
  <c r="E408" i="2"/>
  <c r="E419" i="2"/>
  <c r="E412" i="2"/>
  <c r="E414" i="2"/>
  <c r="E415" i="2"/>
  <c r="E416" i="2"/>
  <c r="E413" i="2"/>
  <c r="E417" i="2"/>
  <c r="E418" i="2"/>
  <c r="E428" i="2"/>
  <c r="E429" i="2"/>
  <c r="E420" i="2"/>
  <c r="E421" i="2"/>
  <c r="E423" i="2"/>
  <c r="E424" i="2"/>
  <c r="E425" i="2"/>
  <c r="E422" i="2"/>
  <c r="E426" i="2"/>
  <c r="E427" i="2"/>
  <c r="E441" i="2"/>
  <c r="E440" i="2"/>
  <c r="E430" i="2"/>
  <c r="E439" i="2"/>
  <c r="E431" i="2"/>
  <c r="E433" i="2"/>
  <c r="E435" i="2"/>
  <c r="E434" i="2"/>
  <c r="E432" i="2"/>
  <c r="E436" i="2"/>
  <c r="E437" i="2"/>
  <c r="E438" i="2"/>
  <c r="E456" i="2"/>
  <c r="E463" i="2"/>
  <c r="E443" i="2"/>
  <c r="E454" i="2"/>
  <c r="E453" i="2"/>
  <c r="E462" i="2"/>
  <c r="E445" i="2"/>
  <c r="E470" i="2"/>
  <c r="E455" i="2"/>
  <c r="E444" i="2"/>
  <c r="E442" i="2"/>
  <c r="E466" i="2"/>
  <c r="E471" i="2"/>
  <c r="E459" i="2"/>
  <c r="E452" i="2"/>
  <c r="E451" i="2"/>
  <c r="E450" i="2"/>
  <c r="E446" i="2"/>
  <c r="E447" i="2"/>
  <c r="E449" i="2"/>
  <c r="E464" i="2"/>
  <c r="E465" i="2"/>
  <c r="E458" i="2"/>
  <c r="E461" i="2"/>
  <c r="E448" i="2"/>
  <c r="E467" i="2"/>
  <c r="E457" i="2"/>
  <c r="E460" i="2"/>
  <c r="E469" i="2"/>
  <c r="E468" i="2"/>
  <c r="E476" i="2"/>
  <c r="E473" i="2"/>
  <c r="E481" i="2"/>
  <c r="E472" i="2"/>
  <c r="E474" i="2"/>
  <c r="E475" i="2"/>
  <c r="E477" i="2"/>
  <c r="E478" i="2"/>
  <c r="E479" i="2"/>
  <c r="E480" i="2"/>
  <c r="E489" i="2"/>
  <c r="E482" i="2"/>
  <c r="E484" i="2"/>
  <c r="E485" i="2"/>
  <c r="E486" i="2"/>
  <c r="E483" i="2"/>
  <c r="E487" i="2"/>
  <c r="E488" i="2"/>
  <c r="E494" i="2"/>
  <c r="E492" i="2"/>
  <c r="E491" i="2"/>
  <c r="E490" i="2"/>
  <c r="E495" i="2"/>
  <c r="E493" i="2"/>
  <c r="E505" i="2"/>
  <c r="E508" i="2"/>
  <c r="E507" i="2"/>
  <c r="E499" i="2"/>
  <c r="E503" i="2"/>
  <c r="E506" i="2"/>
  <c r="E497" i="2"/>
  <c r="E501" i="2"/>
  <c r="E498" i="2"/>
  <c r="E500" i="2"/>
  <c r="E496" i="2"/>
  <c r="E502" i="2"/>
  <c r="E504" i="2"/>
  <c r="E514" i="2"/>
  <c r="E512" i="2"/>
  <c r="E511" i="2"/>
  <c r="E513" i="2"/>
  <c r="E516" i="2"/>
  <c r="E515" i="2"/>
  <c r="E510" i="2"/>
  <c r="E509" i="2"/>
  <c r="E527" i="2"/>
  <c r="E528" i="2"/>
  <c r="E526" i="2"/>
  <c r="E518" i="2"/>
  <c r="E521" i="2"/>
  <c r="E522" i="2"/>
  <c r="E520" i="2"/>
  <c r="E517" i="2"/>
  <c r="E523" i="2"/>
  <c r="E519" i="2"/>
  <c r="E524" i="2"/>
  <c r="E525" i="2"/>
  <c r="E535" i="2"/>
  <c r="E532" i="2"/>
  <c r="E536" i="2"/>
  <c r="E533" i="2"/>
  <c r="E539" i="2"/>
  <c r="E534" i="2"/>
  <c r="E531" i="2"/>
  <c r="E530" i="2"/>
  <c r="E529" i="2"/>
  <c r="E537" i="2"/>
  <c r="E538" i="2"/>
  <c r="E555" i="2"/>
  <c r="E545" i="2"/>
  <c r="E556" i="2"/>
  <c r="E557" i="2"/>
  <c r="E540" i="2"/>
  <c r="E554" i="2"/>
  <c r="E546" i="2"/>
  <c r="E547" i="2"/>
  <c r="E542" i="2"/>
  <c r="E543" i="2"/>
  <c r="E548" i="2"/>
  <c r="E558" i="2"/>
  <c r="E559" i="2"/>
  <c r="E549" i="2"/>
  <c r="E541" i="2"/>
  <c r="E544" i="2"/>
  <c r="E550" i="2"/>
  <c r="E551" i="2"/>
  <c r="E552" i="2"/>
  <c r="E553" i="2"/>
  <c r="E568" i="2"/>
  <c r="E569" i="2"/>
  <c r="E574" i="2"/>
  <c r="E573" i="2"/>
  <c r="E572" i="2"/>
  <c r="E571" i="2"/>
  <c r="E567" i="2"/>
  <c r="E570" i="2"/>
  <c r="E564" i="2"/>
  <c r="E565" i="2"/>
  <c r="E561" i="2"/>
  <c r="E563" i="2"/>
  <c r="E562" i="2"/>
  <c r="E560" i="2"/>
  <c r="E566" i="2"/>
  <c r="E575" i="2"/>
  <c r="E577" i="2"/>
  <c r="E578" i="2"/>
  <c r="E579" i="2"/>
  <c r="E581" i="2"/>
  <c r="E580" i="2"/>
  <c r="E576" i="2"/>
  <c r="E583" i="2"/>
  <c r="E593" i="2"/>
  <c r="E586" i="2"/>
  <c r="E592" i="2"/>
  <c r="E595" i="2"/>
  <c r="E587" i="2"/>
  <c r="E588" i="2"/>
  <c r="E582" i="2"/>
  <c r="E594" i="2"/>
  <c r="E589" i="2"/>
  <c r="E584" i="2"/>
  <c r="E590" i="2"/>
  <c r="E585" i="2"/>
  <c r="E591" i="2"/>
  <c r="E602" i="2"/>
  <c r="E596" i="2"/>
  <c r="E597" i="2"/>
  <c r="E598" i="2"/>
  <c r="E599" i="2"/>
  <c r="E600" i="2"/>
  <c r="E601" i="2"/>
  <c r="E608" i="2"/>
  <c r="E610" i="2"/>
  <c r="E603" i="2"/>
  <c r="E606" i="2"/>
  <c r="E604" i="2"/>
  <c r="E607" i="2"/>
  <c r="E611" i="2"/>
  <c r="E612" i="2"/>
  <c r="E605" i="2"/>
  <c r="E609" i="2"/>
  <c r="E621" i="2"/>
  <c r="E622" i="2"/>
  <c r="E613" i="2"/>
  <c r="E614" i="2"/>
  <c r="E616" i="2"/>
  <c r="E618" i="2"/>
  <c r="E617" i="2"/>
  <c r="E615" i="2"/>
  <c r="E619" i="2"/>
  <c r="E620" i="2"/>
  <c r="E625" i="2"/>
  <c r="E628" i="2"/>
  <c r="E627" i="2"/>
  <c r="E629" i="2"/>
  <c r="E626" i="2"/>
  <c r="E623" i="2"/>
  <c r="E624" i="2"/>
  <c r="E630" i="2"/>
  <c r="E638" i="2"/>
  <c r="E631" i="2"/>
  <c r="E633" i="2"/>
  <c r="E635" i="2"/>
  <c r="E634" i="2"/>
  <c r="E632" i="2"/>
  <c r="E636" i="2"/>
  <c r="E637" i="2"/>
  <c r="E648" i="2"/>
  <c r="E647" i="2"/>
  <c r="E649" i="2"/>
  <c r="E646" i="2"/>
  <c r="E639" i="2"/>
  <c r="E640" i="2"/>
  <c r="E641" i="2"/>
  <c r="E642" i="2"/>
  <c r="E643" i="2"/>
  <c r="E644" i="2"/>
  <c r="E645" i="2"/>
  <c r="E654" i="2"/>
  <c r="E655" i="2"/>
  <c r="E650" i="2"/>
  <c r="E651" i="2"/>
  <c r="E652" i="2"/>
  <c r="E653" i="2"/>
  <c r="E658" i="2"/>
  <c r="E669" i="2"/>
  <c r="E661" i="2"/>
  <c r="E662" i="2"/>
  <c r="E663" i="2"/>
  <c r="E668" i="2"/>
  <c r="E657" i="2"/>
  <c r="E664" i="2"/>
  <c r="E656" i="2"/>
  <c r="E670" i="2"/>
  <c r="E665" i="2"/>
  <c r="E666" i="2"/>
  <c r="E659" i="2"/>
  <c r="E667" i="2"/>
  <c r="E660" i="2"/>
  <c r="E691" i="2"/>
  <c r="E692" i="2"/>
  <c r="E671" i="2"/>
  <c r="E679" i="2"/>
  <c r="E678" i="2"/>
  <c r="E672" i="2"/>
  <c r="E688" i="2"/>
  <c r="E686" i="2"/>
  <c r="E689" i="2"/>
  <c r="E687" i="2"/>
  <c r="E681" i="2"/>
  <c r="E682" i="2"/>
  <c r="E684" i="2"/>
  <c r="E685" i="2"/>
  <c r="E680" i="2"/>
  <c r="E677" i="2"/>
  <c r="E690" i="2"/>
  <c r="E674" i="2"/>
  <c r="E673" i="2"/>
  <c r="E675" i="2"/>
  <c r="E693" i="2"/>
  <c r="E676" i="2"/>
  <c r="E683" i="2"/>
  <c r="E702" i="2"/>
  <c r="E701" i="2"/>
  <c r="E694" i="2"/>
  <c r="E696" i="2"/>
  <c r="E698" i="2"/>
  <c r="E697" i="2"/>
  <c r="E695" i="2"/>
  <c r="E699" i="2"/>
  <c r="E700" i="2"/>
  <c r="E711" i="2"/>
  <c r="E712" i="2"/>
  <c r="E703" i="2"/>
  <c r="E704" i="2"/>
  <c r="E706" i="2"/>
  <c r="E708" i="2"/>
  <c r="E707" i="2"/>
  <c r="E705" i="2"/>
  <c r="E709" i="2"/>
  <c r="E710" i="2"/>
  <c r="E715" i="2"/>
  <c r="E716" i="2"/>
  <c r="E713" i="2"/>
  <c r="E714" i="2"/>
  <c r="E717" i="2"/>
  <c r="E718" i="2"/>
  <c r="E726" i="2"/>
  <c r="E728" i="2"/>
  <c r="E727" i="2"/>
  <c r="E719" i="2"/>
  <c r="E721" i="2"/>
  <c r="E723" i="2"/>
  <c r="E722" i="2"/>
  <c r="E720" i="2"/>
  <c r="E724" i="2"/>
  <c r="E725" i="2"/>
  <c r="E751" i="2"/>
  <c r="E744" i="2"/>
  <c r="E745" i="2"/>
  <c r="E747" i="2"/>
  <c r="E748" i="2"/>
  <c r="E746" i="2"/>
  <c r="E749" i="2"/>
  <c r="E750" i="2"/>
  <c r="E755" i="2"/>
  <c r="E760" i="2"/>
  <c r="E761" i="2"/>
  <c r="E756" i="2"/>
  <c r="E753" i="2"/>
  <c r="E757" i="2"/>
  <c r="E758" i="2"/>
  <c r="E759" i="2"/>
  <c r="E752" i="2"/>
  <c r="E754" i="2"/>
  <c r="E767" i="2"/>
  <c r="E768" i="2"/>
  <c r="E762" i="2"/>
  <c r="E764" i="2"/>
  <c r="E763" i="2"/>
  <c r="E765" i="2"/>
  <c r="E766" i="2"/>
  <c r="E778" i="2"/>
  <c r="E776" i="2"/>
  <c r="E780" i="2"/>
  <c r="E777" i="2"/>
  <c r="E783" i="2"/>
  <c r="E782" i="2"/>
  <c r="E781" i="2"/>
  <c r="E775" i="2"/>
  <c r="E770" i="2"/>
  <c r="E773" i="2"/>
  <c r="E771" i="2"/>
  <c r="E772" i="2"/>
  <c r="E769" i="2"/>
  <c r="E774" i="2"/>
  <c r="E779" i="2"/>
  <c r="E793" i="2"/>
  <c r="E794" i="2"/>
  <c r="E784" i="2"/>
  <c r="E792" i="2"/>
  <c r="E785" i="2"/>
  <c r="E787" i="2"/>
  <c r="E789" i="2"/>
  <c r="E788" i="2"/>
  <c r="E786" i="2"/>
  <c r="E790" i="2"/>
  <c r="E791" i="2"/>
  <c r="E796" i="2"/>
  <c r="E797" i="2"/>
  <c r="E798" i="2"/>
  <c r="E799" i="2"/>
  <c r="E795" i="2"/>
  <c r="E800" i="2"/>
  <c r="E805" i="2"/>
  <c r="E801" i="2"/>
  <c r="E802" i="2"/>
  <c r="E803" i="2"/>
  <c r="E804" i="2"/>
  <c r="E813" i="2"/>
  <c r="E806" i="2"/>
  <c r="E808" i="2"/>
  <c r="E810" i="2"/>
  <c r="E809" i="2"/>
  <c r="E807" i="2"/>
  <c r="E811" i="2"/>
  <c r="E812" i="2"/>
  <c r="E820" i="2"/>
  <c r="E819" i="2"/>
  <c r="E817" i="2"/>
  <c r="E818" i="2"/>
  <c r="E821" i="2"/>
  <c r="E816" i="2"/>
  <c r="E815" i="2"/>
  <c r="E814" i="2"/>
  <c r="E827" i="2"/>
  <c r="E825" i="2"/>
  <c r="E823" i="2"/>
  <c r="E824" i="2"/>
  <c r="E826" i="2"/>
  <c r="E822" i="2"/>
  <c r="E842" i="2"/>
  <c r="E831" i="2"/>
  <c r="E832" i="2"/>
  <c r="E830" i="2"/>
  <c r="E838" i="2"/>
  <c r="E839" i="2"/>
  <c r="E840" i="2"/>
  <c r="E834" i="2"/>
  <c r="E835" i="2"/>
  <c r="E837" i="2"/>
  <c r="E833" i="2"/>
  <c r="E836" i="2"/>
  <c r="E841" i="2"/>
  <c r="E828" i="2"/>
  <c r="E829" i="2"/>
  <c r="E853" i="2"/>
  <c r="E857" i="2"/>
  <c r="E845" i="2"/>
  <c r="E846" i="2"/>
  <c r="E844" i="2"/>
  <c r="E852" i="2"/>
  <c r="E855" i="2"/>
  <c r="E854" i="2"/>
  <c r="E848" i="2"/>
  <c r="E851" i="2"/>
  <c r="E850" i="2"/>
  <c r="E847" i="2"/>
  <c r="E849" i="2"/>
  <c r="E856" i="2"/>
  <c r="E843" i="2"/>
  <c r="E872" i="2"/>
  <c r="E861" i="2"/>
  <c r="E862" i="2"/>
  <c r="E860" i="2"/>
  <c r="E868" i="2"/>
  <c r="E870" i="2"/>
  <c r="E869" i="2"/>
  <c r="E864" i="2"/>
  <c r="E866" i="2"/>
  <c r="E867" i="2"/>
  <c r="E863" i="2"/>
  <c r="E865" i="2"/>
  <c r="E871" i="2"/>
  <c r="E858" i="2"/>
  <c r="E859" i="2"/>
  <c r="E880" i="2"/>
  <c r="E873" i="2"/>
  <c r="E875" i="2"/>
  <c r="E877" i="2"/>
  <c r="E876" i="2"/>
  <c r="E874" i="2"/>
  <c r="E878" i="2"/>
  <c r="E879" i="2"/>
  <c r="E887" i="2"/>
  <c r="E888" i="2"/>
  <c r="E881" i="2"/>
  <c r="E882" i="2"/>
  <c r="E884" i="2"/>
  <c r="E883" i="2"/>
  <c r="E885" i="2"/>
  <c r="E886" i="2"/>
  <c r="E898" i="2"/>
  <c r="E901" i="2"/>
  <c r="E900" i="2"/>
  <c r="E895" i="2"/>
  <c r="E899" i="2"/>
  <c r="E890" i="2"/>
  <c r="E893" i="2"/>
  <c r="E891" i="2"/>
  <c r="E892" i="2"/>
  <c r="E889" i="2"/>
  <c r="E894" i="2"/>
  <c r="E897" i="2"/>
  <c r="E896" i="2"/>
  <c r="E909" i="2"/>
  <c r="E911" i="2"/>
  <c r="E910" i="2"/>
  <c r="E902" i="2"/>
  <c r="E904" i="2"/>
  <c r="E905" i="2"/>
  <c r="E906" i="2"/>
  <c r="E903" i="2"/>
  <c r="E907" i="2"/>
  <c r="E908" i="2"/>
  <c r="E917" i="2"/>
  <c r="E913" i="2"/>
  <c r="E916" i="2"/>
  <c r="E915" i="2"/>
  <c r="E914" i="2"/>
  <c r="E912" i="2"/>
  <c r="E919" i="2"/>
  <c r="E918" i="2"/>
  <c r="E948" i="2"/>
  <c r="E946" i="2"/>
  <c r="E945" i="2"/>
  <c r="E950" i="2"/>
  <c r="E949" i="2"/>
  <c r="E928" i="2"/>
  <c r="E923" i="2"/>
  <c r="E926" i="2"/>
  <c r="E925" i="2"/>
  <c r="E924" i="2"/>
  <c r="E922" i="2"/>
  <c r="E930" i="2"/>
  <c r="E931" i="2"/>
  <c r="E929" i="2"/>
  <c r="E927" i="2"/>
  <c r="E920" i="2"/>
  <c r="E921" i="2"/>
  <c r="E947" i="2"/>
  <c r="E944" i="2"/>
  <c r="E958" i="2"/>
  <c r="E959" i="2"/>
  <c r="E951" i="2"/>
  <c r="E953" i="2"/>
  <c r="E955" i="2"/>
  <c r="E954" i="2"/>
  <c r="E952" i="2"/>
  <c r="E956" i="2"/>
  <c r="E957" i="2"/>
  <c r="E960" i="2"/>
  <c r="E961" i="2"/>
  <c r="E962" i="2"/>
  <c r="E969" i="2"/>
  <c r="E967" i="2"/>
  <c r="E968" i="2"/>
  <c r="E970" i="2"/>
  <c r="E972" i="2"/>
  <c r="E971" i="2"/>
  <c r="E966" i="2"/>
  <c r="E963" i="2"/>
  <c r="E964" i="2"/>
  <c r="E965" i="2"/>
  <c r="E974" i="2"/>
  <c r="E973" i="2"/>
  <c r="E975" i="2"/>
  <c r="E977" i="2"/>
  <c r="E976" i="2"/>
  <c r="E990" i="2"/>
  <c r="E980" i="2"/>
  <c r="E979" i="2"/>
  <c r="E986" i="2"/>
  <c r="E988" i="2"/>
  <c r="E987" i="2"/>
  <c r="E982" i="2"/>
  <c r="E984" i="2"/>
  <c r="E985" i="2"/>
  <c r="E981" i="2"/>
  <c r="E983" i="2"/>
  <c r="E989" i="2"/>
  <c r="E978" i="2"/>
  <c r="E1001" i="2"/>
  <c r="E1002" i="2"/>
  <c r="E1000" i="2"/>
  <c r="E991" i="2"/>
  <c r="E994" i="2"/>
  <c r="E993" i="2"/>
  <c r="E996" i="2"/>
  <c r="E995" i="2"/>
  <c r="E992" i="2"/>
  <c r="E997" i="2"/>
  <c r="E998" i="2"/>
  <c r="E999" i="2"/>
  <c r="E1007" i="2"/>
  <c r="E1008" i="2"/>
  <c r="E1004" i="2"/>
  <c r="E1003" i="2"/>
  <c r="E1005" i="2"/>
  <c r="E1006" i="2"/>
  <c r="E1017" i="2"/>
  <c r="E1018" i="2"/>
  <c r="E1016" i="2"/>
  <c r="E1009" i="2"/>
  <c r="E1011" i="2"/>
  <c r="E1012" i="2"/>
  <c r="E1013" i="2"/>
  <c r="E1010" i="2"/>
  <c r="E1014" i="2"/>
  <c r="E1015" i="2"/>
  <c r="E1030" i="2"/>
  <c r="E1032" i="2"/>
  <c r="E1031" i="2"/>
  <c r="E1021" i="2"/>
  <c r="E1019" i="2"/>
  <c r="E1025" i="2"/>
  <c r="E1024" i="2"/>
  <c r="E1026" i="2"/>
  <c r="E1023" i="2"/>
  <c r="E1020" i="2"/>
  <c r="E1027" i="2"/>
  <c r="E1022" i="2"/>
  <c r="E1028" i="2"/>
  <c r="E1029" i="2"/>
  <c r="E1040" i="2"/>
  <c r="E1039" i="2"/>
  <c r="E1042" i="2"/>
  <c r="E1037" i="2"/>
  <c r="E1035" i="2"/>
  <c r="E1033" i="2"/>
  <c r="E1034" i="2"/>
  <c r="E1036" i="2"/>
  <c r="E1041" i="2"/>
  <c r="E1038" i="2"/>
  <c r="E1053" i="2"/>
  <c r="E1054" i="2"/>
  <c r="E1051" i="2"/>
  <c r="E1049" i="2"/>
  <c r="E1052" i="2"/>
  <c r="E1044" i="2"/>
  <c r="E1047" i="2"/>
  <c r="E1045" i="2"/>
  <c r="E1046" i="2"/>
  <c r="E1043" i="2"/>
  <c r="E1048" i="2"/>
  <c r="E1050" i="2"/>
  <c r="E1069" i="2"/>
  <c r="E1060" i="2"/>
  <c r="E1061" i="2"/>
  <c r="E1056" i="2"/>
  <c r="E1057" i="2"/>
  <c r="E1062" i="2"/>
  <c r="E1063" i="2"/>
  <c r="E1070" i="2"/>
  <c r="E1071" i="2"/>
  <c r="E1064" i="2"/>
  <c r="E1065" i="2"/>
  <c r="E1055" i="2"/>
  <c r="E1066" i="2"/>
  <c r="E1058" i="2"/>
  <c r="E1059" i="2"/>
  <c r="E1067" i="2"/>
  <c r="E1068" i="2"/>
  <c r="E1079" i="2"/>
  <c r="E1080" i="2"/>
  <c r="E1072" i="2"/>
  <c r="E1074" i="2"/>
  <c r="E1075" i="2"/>
  <c r="E1076" i="2"/>
  <c r="E1073" i="2"/>
  <c r="E1077" i="2"/>
  <c r="E1078" i="2"/>
  <c r="E1089" i="2"/>
  <c r="E1088" i="2"/>
  <c r="E1091" i="2"/>
  <c r="E1090" i="2"/>
  <c r="E1082" i="2"/>
  <c r="E1086" i="2"/>
  <c r="E1083" i="2"/>
  <c r="E1084" i="2"/>
  <c r="E1081" i="2"/>
  <c r="E1085" i="2"/>
  <c r="E1087" i="2"/>
  <c r="E1103" i="2"/>
  <c r="E1101" i="2"/>
  <c r="E1102" i="2"/>
  <c r="E1092" i="2"/>
  <c r="E1097" i="2"/>
  <c r="E1096" i="2"/>
  <c r="E1095" i="2"/>
  <c r="E1093" i="2"/>
  <c r="E1098" i="2"/>
  <c r="E1094" i="2"/>
  <c r="E1099" i="2"/>
  <c r="E1100" i="2"/>
  <c r="E1105" i="2"/>
  <c r="E1116" i="2"/>
  <c r="E1104" i="2"/>
  <c r="E1115" i="2"/>
  <c r="E1108" i="2"/>
  <c r="E1109" i="2"/>
  <c r="E1110" i="2"/>
  <c r="E1117" i="2"/>
  <c r="E1111" i="2"/>
  <c r="E1118" i="2"/>
  <c r="E1106" i="2"/>
  <c r="E1112" i="2"/>
  <c r="E1107" i="2"/>
  <c r="E1113" i="2"/>
  <c r="E1114" i="2"/>
  <c r="E1148" i="2"/>
  <c r="E1151" i="2"/>
  <c r="E1149" i="2"/>
  <c r="E1150" i="2"/>
  <c r="E1143" i="2"/>
  <c r="E1145" i="2"/>
  <c r="E1142" i="2"/>
  <c r="E1144" i="2"/>
  <c r="E1146" i="2"/>
  <c r="E1147" i="2"/>
  <c r="E1159" i="2"/>
  <c r="E1158" i="2"/>
  <c r="E1152" i="2"/>
  <c r="E1154" i="2"/>
  <c r="E1155" i="2"/>
  <c r="E1153" i="2"/>
  <c r="E1156" i="2"/>
  <c r="E1157" i="2"/>
  <c r="E1169" i="2"/>
  <c r="E1170" i="2"/>
  <c r="E1160" i="2"/>
  <c r="E1161" i="2"/>
  <c r="E1162" i="2"/>
  <c r="E1164" i="2"/>
  <c r="E1165" i="2"/>
  <c r="E1166" i="2"/>
  <c r="E1163" i="2"/>
  <c r="E1167" i="2"/>
  <c r="E1168" i="2"/>
  <c r="E1180" i="2"/>
  <c r="E1171" i="2"/>
  <c r="E1179" i="2"/>
  <c r="E1172" i="2"/>
  <c r="E1174" i="2"/>
  <c r="E1175" i="2"/>
  <c r="E1176" i="2"/>
  <c r="E1173" i="2"/>
  <c r="E1177" i="2"/>
  <c r="E1178" i="2"/>
  <c r="E1188" i="2"/>
  <c r="E1189" i="2"/>
  <c r="E1181" i="2"/>
  <c r="E1183" i="2"/>
  <c r="E1184" i="2"/>
  <c r="E1185" i="2"/>
  <c r="E1182" i="2"/>
  <c r="E1186" i="2"/>
  <c r="E1187" i="2"/>
  <c r="E1204" i="2"/>
  <c r="E1195" i="2"/>
  <c r="E1190" i="2"/>
  <c r="E1196" i="2"/>
  <c r="E1206" i="2"/>
  <c r="E1205" i="2"/>
  <c r="E1208" i="2"/>
  <c r="E1197" i="2"/>
  <c r="E1198" i="2"/>
  <c r="E1191" i="2"/>
  <c r="E1192" i="2"/>
  <c r="E1207" i="2"/>
  <c r="E1199" i="2"/>
  <c r="E1193" i="2"/>
  <c r="E1194" i="2"/>
  <c r="E1200" i="2"/>
  <c r="E1201" i="2"/>
  <c r="E1209" i="2"/>
  <c r="E1202" i="2"/>
  <c r="E1203" i="2"/>
  <c r="E1217" i="2"/>
  <c r="E1210" i="2"/>
  <c r="E1212" i="2"/>
  <c r="E1213" i="2"/>
  <c r="E1214" i="2"/>
  <c r="E1211" i="2"/>
  <c r="E1215" i="2"/>
  <c r="E1216" i="2"/>
  <c r="E1228" i="2"/>
  <c r="E1219" i="2"/>
  <c r="E1223" i="2"/>
  <c r="E1222" i="2"/>
  <c r="E1224" i="2"/>
  <c r="E1221" i="2"/>
  <c r="E1218" i="2"/>
  <c r="E1225" i="2"/>
  <c r="E1220" i="2"/>
  <c r="E1226" i="2"/>
  <c r="E1227" i="2"/>
  <c r="E1237" i="2"/>
  <c r="E1238" i="2"/>
  <c r="E1239" i="2"/>
  <c r="E1234" i="2"/>
  <c r="E1236" i="2"/>
  <c r="E1233" i="2"/>
  <c r="E1230" i="2"/>
  <c r="E1231" i="2"/>
  <c r="E1229" i="2"/>
  <c r="E1232" i="2"/>
  <c r="E1235" i="2"/>
  <c r="E1242" i="2"/>
  <c r="E1246" i="2"/>
  <c r="E1245" i="2"/>
  <c r="E1243" i="2"/>
  <c r="E1241" i="2"/>
  <c r="E1240" i="2"/>
  <c r="E1244" i="2"/>
  <c r="E1254" i="2"/>
  <c r="E1255" i="2"/>
  <c r="E1247" i="2"/>
  <c r="E1249" i="2"/>
  <c r="E1251" i="2"/>
  <c r="E1250" i="2"/>
  <c r="E1248" i="2"/>
  <c r="E1252" i="2"/>
  <c r="E1253" i="2"/>
  <c r="E1270" i="2"/>
  <c r="E1259" i="2"/>
  <c r="E1260" i="2"/>
  <c r="E1258" i="2"/>
  <c r="E1266" i="2"/>
  <c r="E1267" i="2"/>
  <c r="E1268" i="2"/>
  <c r="E1262" i="2"/>
  <c r="E1263" i="2"/>
  <c r="E1265" i="2"/>
  <c r="E1261" i="2"/>
  <c r="E1264" i="2"/>
  <c r="E1269" i="2"/>
  <c r="E1256" i="2"/>
  <c r="E1257" i="2"/>
  <c r="E1281" i="2"/>
  <c r="E1282" i="2"/>
  <c r="E1272" i="2"/>
  <c r="E1271" i="2"/>
  <c r="E1280" i="2"/>
  <c r="E1273" i="2"/>
  <c r="E1275" i="2"/>
  <c r="E1277" i="2"/>
  <c r="E1276" i="2"/>
  <c r="E1274" i="2"/>
  <c r="E1278" i="2"/>
  <c r="E1279" i="2"/>
  <c r="E1295" i="2"/>
  <c r="E1297" i="2"/>
  <c r="E1296" i="2"/>
  <c r="E1303" i="2"/>
  <c r="E1302" i="2"/>
  <c r="E1298" i="2"/>
  <c r="E1299" i="2"/>
  <c r="E1300" i="2"/>
  <c r="E1301" i="2"/>
  <c r="E1312" i="2"/>
  <c r="E1311" i="2"/>
  <c r="E1304" i="2"/>
  <c r="E1306" i="2"/>
  <c r="E1308" i="2"/>
  <c r="E1307" i="2"/>
  <c r="E1305" i="2"/>
  <c r="E1309" i="2"/>
  <c r="E1310" i="2"/>
  <c r="E1315" i="2"/>
  <c r="E1316" i="2"/>
  <c r="E1313" i="2"/>
  <c r="E1314" i="2"/>
  <c r="E1319" i="2"/>
  <c r="E1318" i="2"/>
  <c r="E1324" i="2"/>
  <c r="E1321" i="2"/>
  <c r="E1322" i="2"/>
  <c r="E1317" i="2"/>
  <c r="E1320" i="2"/>
  <c r="E1323" i="2"/>
  <c r="E1325" i="2"/>
  <c r="E1354" i="2"/>
  <c r="E1357" i="2"/>
  <c r="E1356" i="2"/>
  <c r="E1358" i="2"/>
  <c r="E1349" i="2"/>
  <c r="E1353" i="2"/>
  <c r="E1351" i="2"/>
  <c r="E1345" i="2"/>
  <c r="E1352" i="2"/>
  <c r="E1346" i="2"/>
  <c r="E1350" i="2"/>
  <c r="E1347" i="2"/>
  <c r="E1348" i="2"/>
  <c r="E1355" i="2"/>
  <c r="E1380" i="2"/>
  <c r="E1381" i="2"/>
  <c r="E1373" i="2"/>
  <c r="E1372" i="2"/>
  <c r="E1375" i="2"/>
  <c r="E1377" i="2"/>
  <c r="E1378" i="2"/>
  <c r="E1374" i="2"/>
  <c r="E1379" i="2"/>
  <c r="E1376" i="2"/>
  <c r="E1386" i="2"/>
  <c r="E1387" i="2"/>
  <c r="E1383" i="2"/>
  <c r="E1384" i="2"/>
  <c r="E1385" i="2"/>
  <c r="E1382" i="2"/>
  <c r="E1452" i="2"/>
  <c r="E1456" i="2"/>
  <c r="E1453" i="2"/>
  <c r="E1447" i="2"/>
  <c r="E1450" i="2"/>
  <c r="E1445" i="2"/>
  <c r="E1455" i="2"/>
  <c r="E1449" i="2"/>
  <c r="E1454" i="2"/>
  <c r="E1443" i="2"/>
  <c r="E1444" i="2"/>
  <c r="E1446" i="2"/>
  <c r="E1442" i="2"/>
  <c r="E1448" i="2"/>
  <c r="E1451" i="2"/>
  <c r="E1464" i="2"/>
  <c r="E1491" i="2"/>
  <c r="E1466" i="2"/>
  <c r="E1471" i="2"/>
  <c r="E1492" i="2"/>
  <c r="E1508" i="2"/>
  <c r="E1462" i="2"/>
  <c r="E1497" i="2"/>
  <c r="E1501" i="2"/>
  <c r="E1503" i="2"/>
  <c r="E1506" i="2"/>
  <c r="E1510" i="2"/>
  <c r="E1458" i="2"/>
  <c r="E1463" i="2"/>
  <c r="E1496" i="2"/>
  <c r="E1457" i="2"/>
  <c r="E1495" i="2"/>
  <c r="E1486" i="2"/>
  <c r="E1479" i="2"/>
  <c r="E1480" i="2"/>
  <c r="E1477" i="2"/>
  <c r="E1484" i="2"/>
  <c r="E1482" i="2"/>
  <c r="E1476" i="2"/>
  <c r="E1481" i="2"/>
  <c r="E1487" i="2"/>
  <c r="E1489" i="2"/>
  <c r="E1485" i="2"/>
  <c r="E1488" i="2"/>
  <c r="E1478" i="2"/>
  <c r="E1490" i="2"/>
  <c r="E1494" i="2"/>
  <c r="E1493" i="2"/>
  <c r="E1499" i="2"/>
  <c r="E1498" i="2"/>
  <c r="E1500" i="2"/>
  <c r="E1505" i="2"/>
  <c r="E1502" i="2"/>
  <c r="E1504" i="2"/>
  <c r="E1509" i="2"/>
  <c r="E1507" i="2"/>
  <c r="E1483" i="2"/>
  <c r="E1460" i="2"/>
  <c r="E1459" i="2"/>
  <c r="E1461" i="2"/>
  <c r="E1474" i="2"/>
  <c r="E1475" i="2"/>
  <c r="E1467" i="2"/>
  <c r="E1473" i="2"/>
  <c r="E1469" i="2"/>
  <c r="E1472" i="2"/>
  <c r="E1465" i="2"/>
  <c r="E1468" i="2"/>
  <c r="E1470" i="2"/>
  <c r="E1520" i="2"/>
  <c r="E1521" i="2"/>
  <c r="E1512" i="2"/>
  <c r="E1511" i="2"/>
  <c r="E1513" i="2"/>
  <c r="E1515" i="2"/>
  <c r="E1517" i="2"/>
  <c r="E1516" i="2"/>
  <c r="E1514" i="2"/>
  <c r="E1518" i="2"/>
  <c r="E1519" i="2"/>
  <c r="E1529" i="2"/>
  <c r="E1522" i="2"/>
  <c r="E1524" i="2"/>
  <c r="E1525" i="2"/>
  <c r="E1526" i="2"/>
  <c r="E1523" i="2"/>
  <c r="E1527" i="2"/>
  <c r="E1528" i="2"/>
  <c r="E1535" i="2"/>
  <c r="E1536" i="2"/>
  <c r="E1530" i="2"/>
  <c r="E1531" i="2"/>
  <c r="E1533" i="2"/>
  <c r="E1534" i="2"/>
  <c r="E1532" i="2"/>
  <c r="E1560" i="2"/>
  <c r="E1551" i="2"/>
  <c r="E1552" i="2"/>
  <c r="E1550" i="2"/>
  <c r="E1557" i="2"/>
  <c r="E1558" i="2"/>
  <c r="E1554" i="2"/>
  <c r="E1556" i="2"/>
  <c r="E1553" i="2"/>
  <c r="E1555" i="2"/>
  <c r="E1559" i="2"/>
  <c r="E1548" i="2"/>
  <c r="E1549" i="2"/>
  <c r="E1547" i="2"/>
  <c r="E1576" i="2"/>
  <c r="E1564" i="2"/>
  <c r="E1575" i="2"/>
  <c r="E1561" i="2"/>
  <c r="E1562" i="2"/>
  <c r="E1563" i="2"/>
  <c r="E1577" i="2"/>
  <c r="E1566" i="2"/>
  <c r="E1573" i="2"/>
  <c r="E1571" i="2"/>
  <c r="E1569" i="2"/>
  <c r="E1567" i="2"/>
  <c r="E1568" i="2"/>
  <c r="E1570" i="2"/>
  <c r="E1565" i="2"/>
  <c r="E1574" i="2"/>
  <c r="E1572" i="2"/>
  <c r="E1584" i="2"/>
  <c r="E1580" i="2"/>
  <c r="E1579" i="2"/>
  <c r="E1578" i="2"/>
  <c r="E1581" i="2"/>
  <c r="E1582" i="2"/>
  <c r="E1583" i="2"/>
  <c r="E1587" i="2"/>
  <c r="E1585" i="2"/>
  <c r="E1588" i="2"/>
  <c r="E1594" i="2"/>
  <c r="E1589" i="2"/>
  <c r="E1586" i="2"/>
  <c r="E1595" i="2"/>
  <c r="E1590" i="2"/>
  <c r="E1591" i="2"/>
  <c r="E1592" i="2"/>
  <c r="E1593" i="2"/>
  <c r="E1603" i="2"/>
  <c r="E1604" i="2"/>
  <c r="E1596" i="2"/>
  <c r="E1598" i="2"/>
  <c r="E1600" i="2"/>
  <c r="E1599" i="2"/>
  <c r="E1597" i="2"/>
  <c r="E1601" i="2"/>
  <c r="E1602" i="2"/>
  <c r="E1610" i="2"/>
  <c r="E1611" i="2"/>
  <c r="E1605" i="2"/>
  <c r="E1607" i="2"/>
  <c r="E1606" i="2"/>
  <c r="E1608" i="2"/>
  <c r="E1609" i="2"/>
  <c r="E1621" i="2"/>
  <c r="E1623" i="2"/>
  <c r="E1622" i="2"/>
  <c r="E1614" i="2"/>
  <c r="E1612" i="2"/>
  <c r="E1618" i="2"/>
  <c r="E1617" i="2"/>
  <c r="E1616" i="2"/>
  <c r="E1613" i="2"/>
  <c r="E1615" i="2"/>
  <c r="E1619" i="2"/>
  <c r="E1620" i="2"/>
  <c r="E1635" i="2"/>
  <c r="E1630" i="2"/>
  <c r="E1636" i="2"/>
  <c r="E1632" i="2"/>
  <c r="E1631" i="2"/>
  <c r="E1629" i="2"/>
  <c r="E1624" i="2"/>
  <c r="E1625" i="2"/>
  <c r="E1627" i="2"/>
  <c r="E1626" i="2"/>
  <c r="E1634" i="2"/>
  <c r="E1628" i="2"/>
  <c r="E1633" i="2"/>
  <c r="E1637" i="2"/>
  <c r="E1643" i="2"/>
  <c r="E1652" i="2"/>
  <c r="E1653" i="2"/>
  <c r="E1651" i="2"/>
  <c r="E1644" i="2"/>
  <c r="E1639" i="2"/>
  <c r="E1645" i="2"/>
  <c r="E1646" i="2"/>
  <c r="E1640" i="2"/>
  <c r="E1647" i="2"/>
  <c r="E1648" i="2"/>
  <c r="E1638" i="2"/>
  <c r="E1641" i="2"/>
  <c r="E1642" i="2"/>
  <c r="E1649" i="2"/>
  <c r="E1650" i="2"/>
  <c r="E1665" i="2"/>
  <c r="E1654" i="2"/>
  <c r="E1655" i="2"/>
  <c r="E1664" i="2"/>
  <c r="E1658" i="2"/>
  <c r="E1657" i="2"/>
  <c r="E1660" i="2"/>
  <c r="E1659" i="2"/>
  <c r="E1656" i="2"/>
  <c r="E1661" i="2"/>
  <c r="E1662" i="2"/>
  <c r="E1663" i="2"/>
  <c r="E1673" i="2"/>
  <c r="E1674" i="2"/>
  <c r="E1666" i="2"/>
  <c r="E1668" i="2"/>
  <c r="E1669" i="2"/>
  <c r="E1670" i="2"/>
  <c r="E1667" i="2"/>
  <c r="E1671" i="2"/>
  <c r="E1672" i="2"/>
  <c r="E1686" i="2"/>
  <c r="E1689" i="2"/>
  <c r="E1687" i="2"/>
  <c r="E1688" i="2"/>
  <c r="E1677" i="2"/>
  <c r="E1675" i="2"/>
  <c r="E1681" i="2"/>
  <c r="E1680" i="2"/>
  <c r="E1682" i="2"/>
  <c r="E1679" i="2"/>
  <c r="E1676" i="2"/>
  <c r="E1683" i="2"/>
  <c r="E1678" i="2"/>
  <c r="E1684" i="2"/>
  <c r="E1685" i="2"/>
  <c r="E1697" i="2"/>
  <c r="E1699" i="2"/>
  <c r="E1698" i="2"/>
  <c r="E1691" i="2"/>
  <c r="E1695" i="2"/>
  <c r="E1692" i="2"/>
  <c r="E1693" i="2"/>
  <c r="E1690" i="2"/>
  <c r="E1694" i="2"/>
  <c r="E1696" i="2"/>
  <c r="E1716" i="2"/>
  <c r="E1709" i="2"/>
  <c r="E1711" i="2"/>
  <c r="E1713" i="2"/>
  <c r="E1712" i="2"/>
  <c r="E1710" i="2"/>
  <c r="E1714" i="2"/>
  <c r="E1715" i="2"/>
  <c r="E1724" i="2"/>
  <c r="E1717" i="2"/>
  <c r="E1719" i="2"/>
  <c r="E1721" i="2"/>
  <c r="E1720" i="2"/>
  <c r="E1718" i="2"/>
  <c r="E1722" i="2"/>
  <c r="E1723" i="2"/>
  <c r="E1729" i="2"/>
  <c r="E1725" i="2"/>
  <c r="E1727" i="2"/>
  <c r="E1726" i="2"/>
  <c r="E1728" i="2"/>
  <c r="E1736" i="2"/>
  <c r="E1737" i="2"/>
  <c r="E1733" i="2"/>
  <c r="E1730" i="2"/>
  <c r="E1731" i="2"/>
  <c r="E1732" i="2"/>
  <c r="E1734" i="2"/>
  <c r="E1735" i="2"/>
  <c r="E1745" i="2"/>
  <c r="E1741" i="2"/>
  <c r="E1739" i="2"/>
  <c r="E1740" i="2"/>
  <c r="E1742" i="2"/>
  <c r="E1738" i="2"/>
  <c r="E1746" i="2"/>
  <c r="E1743" i="2"/>
  <c r="E1744" i="2"/>
  <c r="E1754" i="2"/>
  <c r="E1756" i="2"/>
  <c r="E1755" i="2"/>
  <c r="E1747" i="2"/>
  <c r="E1749" i="2"/>
  <c r="E1751" i="2"/>
  <c r="E1750" i="2"/>
  <c r="E1748" i="2"/>
  <c r="E1752" i="2"/>
  <c r="E1753" i="2"/>
  <c r="E1766" i="2"/>
  <c r="E1759" i="2"/>
  <c r="E1757" i="2"/>
  <c r="E1762" i="2"/>
  <c r="E1761" i="2"/>
  <c r="E1758" i="2"/>
  <c r="E1763" i="2"/>
  <c r="E1760" i="2"/>
  <c r="E1764" i="2"/>
  <c r="E1765" i="2"/>
  <c r="E1773" i="2"/>
  <c r="E1775" i="2"/>
  <c r="E1767" i="2"/>
  <c r="E1774" i="2"/>
  <c r="E1769" i="2"/>
  <c r="E1770" i="2"/>
  <c r="E1768" i="2"/>
  <c r="E1771" i="2"/>
  <c r="E1772" i="2"/>
  <c r="E1786" i="2"/>
  <c r="E1777" i="2"/>
  <c r="E1778" i="2"/>
  <c r="E1779" i="2"/>
  <c r="E1780" i="2"/>
  <c r="E1781" i="2"/>
  <c r="E1787" i="2"/>
  <c r="E1782" i="2"/>
  <c r="E1776" i="2"/>
  <c r="E1783" i="2"/>
  <c r="E1784" i="2"/>
  <c r="E1785" i="2"/>
  <c r="E1371" i="2"/>
  <c r="E1370" i="2"/>
  <c r="E1361" i="2"/>
  <c r="E1359" i="2"/>
  <c r="E1365" i="2"/>
  <c r="E1364" i="2"/>
  <c r="E1366" i="2"/>
  <c r="E1363" i="2"/>
  <c r="E1360" i="2"/>
  <c r="E1367" i="2"/>
  <c r="E1362" i="2"/>
  <c r="E1368" i="2"/>
  <c r="E1369" i="2"/>
  <c r="E1798" i="2"/>
  <c r="E1800" i="2"/>
  <c r="E1799" i="2"/>
  <c r="E1797" i="2"/>
  <c r="E1807" i="2"/>
  <c r="E1802" i="2"/>
  <c r="E1808" i="2"/>
  <c r="E1803" i="2"/>
  <c r="E1804" i="2"/>
  <c r="E1801" i="2"/>
  <c r="E1805" i="2"/>
  <c r="E1806" i="2"/>
  <c r="E1816" i="2"/>
  <c r="E1818" i="2"/>
  <c r="E1822" i="2"/>
  <c r="E1821" i="2"/>
  <c r="E1823" i="2"/>
  <c r="E1820" i="2"/>
  <c r="E1819" i="2"/>
  <c r="E1815" i="2"/>
  <c r="E1810" i="2"/>
  <c r="E1813" i="2"/>
  <c r="E1811" i="2"/>
  <c r="E1812" i="2"/>
  <c r="E1809" i="2"/>
  <c r="E1814" i="2"/>
  <c r="E1817" i="2"/>
  <c r="E1831" i="2"/>
  <c r="E1832" i="2"/>
  <c r="E1824" i="2"/>
  <c r="E1826" i="2"/>
  <c r="E1828" i="2"/>
  <c r="E1827" i="2"/>
  <c r="E1825" i="2"/>
  <c r="E1829" i="2"/>
  <c r="E1830" i="2"/>
  <c r="E1841" i="2"/>
  <c r="E1842" i="2"/>
  <c r="E1840" i="2"/>
  <c r="E1833" i="2"/>
  <c r="E1835" i="2"/>
  <c r="E1837" i="2"/>
  <c r="E1836" i="2"/>
  <c r="E1834" i="2"/>
  <c r="E1838" i="2"/>
  <c r="E1839" i="2"/>
  <c r="E1848" i="2"/>
  <c r="E1849" i="2"/>
  <c r="E1843" i="2"/>
  <c r="E1844" i="2"/>
  <c r="E1845" i="2"/>
  <c r="E1846" i="2"/>
  <c r="E1847" i="2"/>
  <c r="E1851" i="2"/>
  <c r="E1853" i="2"/>
  <c r="E1857" i="2"/>
  <c r="E1854" i="2"/>
  <c r="E1850" i="2"/>
  <c r="E1852" i="2"/>
  <c r="E1858" i="2"/>
  <c r="E1855" i="2"/>
  <c r="E1856" i="2"/>
  <c r="E1867" i="2"/>
  <c r="E1868" i="2"/>
  <c r="E1859" i="2"/>
  <c r="E1860" i="2"/>
  <c r="E1862" i="2"/>
  <c r="E1864" i="2"/>
  <c r="E1863" i="2"/>
  <c r="E1861" i="2"/>
  <c r="E1865" i="2"/>
  <c r="E1866" i="2"/>
  <c r="E1872" i="2"/>
  <c r="E1871" i="2"/>
  <c r="E1869" i="2"/>
  <c r="E1870" i="2"/>
  <c r="E1878" i="2"/>
  <c r="E1886" i="2"/>
  <c r="E1887" i="2"/>
  <c r="E1875" i="2"/>
  <c r="E1873" i="2"/>
  <c r="E1879" i="2"/>
  <c r="E1874" i="2"/>
  <c r="E1885" i="2"/>
  <c r="E1880" i="2"/>
  <c r="E1876" i="2"/>
  <c r="E1881" i="2"/>
  <c r="E1877" i="2"/>
  <c r="E1888" i="2"/>
  <c r="E1882" i="2"/>
  <c r="E1883" i="2"/>
  <c r="E1884" i="2"/>
  <c r="E287" i="2" l="1"/>
  <c r="E293" i="2"/>
  <c r="E284" i="2"/>
  <c r="E335" i="2"/>
  <c r="E303" i="2"/>
  <c r="E285" i="2"/>
  <c r="E316" i="2"/>
  <c r="E292" i="2"/>
  <c r="E331" i="2"/>
  <c r="E299" i="2"/>
  <c r="E304" i="2"/>
  <c r="E318" i="2"/>
  <c r="E306" i="2"/>
  <c r="E339" i="2"/>
  <c r="E334" i="2"/>
  <c r="E297" i="2"/>
  <c r="E295" i="2"/>
  <c r="E317" i="2"/>
  <c r="E310" i="2"/>
  <c r="E327" i="2"/>
  <c r="E340" i="2"/>
  <c r="E302" i="2"/>
  <c r="E328" i="2"/>
  <c r="E301" i="2"/>
  <c r="E282" i="2"/>
  <c r="E281" i="2"/>
  <c r="E321" i="2"/>
  <c r="E307" i="2"/>
  <c r="E323" i="2"/>
  <c r="E333" i="2"/>
  <c r="E338" i="2"/>
  <c r="E283" i="2"/>
  <c r="E324" i="2"/>
  <c r="E312" i="2"/>
  <c r="E320" i="2"/>
  <c r="E337" i="2"/>
  <c r="E289" i="2"/>
  <c r="E332" i="2"/>
  <c r="E300" i="2"/>
  <c r="E311" i="2"/>
  <c r="E326" i="2"/>
  <c r="E313" i="2"/>
  <c r="E319" i="2"/>
  <c r="E291" i="2"/>
  <c r="E288" i="2"/>
  <c r="E330" i="2"/>
  <c r="E296" i="2"/>
  <c r="E308" i="2"/>
  <c r="E325" i="2"/>
  <c r="E305" i="2"/>
  <c r="E309" i="2"/>
  <c r="E290" i="2"/>
  <c r="E286" i="2"/>
  <c r="E329" i="2"/>
  <c r="E336" i="2"/>
  <c r="E298" i="2"/>
  <c r="E314" i="2"/>
  <c r="E294" i="2"/>
  <c r="E315" i="2"/>
  <c r="E322" i="2"/>
  <c r="E1341" i="2"/>
  <c r="E1331" i="2"/>
  <c r="E1340" i="2"/>
  <c r="E1343" i="2"/>
  <c r="E1342" i="2"/>
  <c r="E1327" i="2"/>
  <c r="E1337" i="2"/>
  <c r="E1332" i="2"/>
  <c r="E1339" i="2"/>
  <c r="E1328" i="2"/>
  <c r="E1329" i="2"/>
  <c r="E1326" i="2"/>
  <c r="E1335" i="2"/>
  <c r="E1333" i="2"/>
  <c r="E1338" i="2"/>
  <c r="E1336" i="2"/>
  <c r="E1344" i="2"/>
  <c r="E1334" i="2"/>
  <c r="E1330" i="2"/>
  <c r="D938" i="2"/>
  <c r="D943" i="2"/>
  <c r="D937" i="2"/>
  <c r="D942" i="2"/>
  <c r="D936" i="2"/>
  <c r="D934" i="2"/>
  <c r="D941" i="2"/>
  <c r="D940" i="2"/>
  <c r="D932" i="2"/>
  <c r="D939" i="2"/>
  <c r="D933" i="2"/>
  <c r="D935" i="2"/>
  <c r="E1287" i="2"/>
  <c r="E1288" i="2"/>
  <c r="E1285" i="2"/>
  <c r="E1290" i="2"/>
  <c r="E1283" i="2"/>
  <c r="E1292" i="2"/>
  <c r="E1293" i="2"/>
  <c r="E1284" i="2"/>
  <c r="E1289" i="2"/>
  <c r="E1291" i="2"/>
  <c r="E1286" i="2"/>
  <c r="E1294" i="2"/>
  <c r="D1788" i="2"/>
  <c r="D1790" i="2"/>
  <c r="D1793" i="2"/>
  <c r="D1794" i="2"/>
  <c r="D1796" i="2"/>
  <c r="D1795" i="2"/>
  <c r="D1791" i="2"/>
  <c r="D1789" i="2"/>
  <c r="D1792" i="2"/>
  <c r="D1539" i="2"/>
  <c r="D1540" i="2"/>
  <c r="D1542" i="2"/>
  <c r="D1544" i="2"/>
  <c r="D1538" i="2"/>
  <c r="D1545" i="2"/>
  <c r="D1543" i="2"/>
  <c r="D1546" i="2"/>
  <c r="D1541" i="2"/>
  <c r="D1537" i="2"/>
  <c r="E1141" i="2"/>
  <c r="E1129" i="2"/>
  <c r="E1132" i="2"/>
  <c r="E1124" i="2"/>
  <c r="E1127" i="2"/>
  <c r="E1136" i="2"/>
  <c r="E1126" i="2"/>
  <c r="E1139" i="2"/>
  <c r="E1140" i="2"/>
  <c r="E1122" i="2"/>
  <c r="E1130" i="2"/>
  <c r="E1119" i="2"/>
  <c r="E1123" i="2"/>
  <c r="E1133" i="2"/>
  <c r="E1120" i="2"/>
  <c r="E1138" i="2"/>
  <c r="E1135" i="2"/>
  <c r="E1131" i="2"/>
  <c r="E1121" i="2"/>
  <c r="E1134" i="2"/>
  <c r="E1125" i="2"/>
  <c r="E1137" i="2"/>
  <c r="E1128" i="2"/>
  <c r="E1438" i="2"/>
  <c r="E1434" i="2"/>
  <c r="E1406" i="2"/>
  <c r="E1411" i="2"/>
  <c r="E1415" i="2"/>
  <c r="E1395" i="2"/>
  <c r="E1390" i="2"/>
  <c r="E1393" i="2"/>
  <c r="E1405" i="2"/>
  <c r="E1407" i="2"/>
  <c r="E1412" i="2"/>
  <c r="E1409" i="2"/>
  <c r="E1414" i="2"/>
  <c r="E1433" i="2"/>
  <c r="E1396" i="2"/>
  <c r="E1397" i="2"/>
  <c r="E1403" i="2"/>
  <c r="E1417" i="2"/>
  <c r="E1420" i="2"/>
  <c r="E1419" i="2"/>
  <c r="E1428" i="2"/>
  <c r="E1431" i="2"/>
  <c r="E1404" i="2"/>
  <c r="E1441" i="2"/>
  <c r="E1435" i="2"/>
  <c r="E1425" i="2"/>
  <c r="E1424" i="2"/>
  <c r="E1427" i="2"/>
  <c r="E1426" i="2"/>
  <c r="E1439" i="2"/>
  <c r="E1432" i="2"/>
  <c r="E1398" i="2"/>
  <c r="E1388" i="2"/>
  <c r="E1421" i="2"/>
  <c r="E1391" i="2"/>
  <c r="E1392" i="2"/>
  <c r="E1394" i="2"/>
  <c r="E1401" i="2"/>
  <c r="E1440" i="2"/>
  <c r="E1430" i="2"/>
  <c r="E1422" i="2"/>
  <c r="E1423" i="2"/>
  <c r="E1408" i="2"/>
  <c r="E1410" i="2"/>
  <c r="E1413" i="2"/>
  <c r="E1402" i="2"/>
  <c r="E1389" i="2"/>
  <c r="E1437" i="2"/>
  <c r="E1418" i="2"/>
  <c r="E1436" i="2"/>
  <c r="E1416" i="2"/>
  <c r="E1429" i="2"/>
  <c r="E1400" i="2"/>
  <c r="E1399" i="2"/>
  <c r="E935" i="2"/>
  <c r="E938" i="2"/>
  <c r="E943" i="2"/>
  <c r="E937" i="2"/>
  <c r="E942" i="2"/>
  <c r="E936" i="2"/>
  <c r="E934" i="2"/>
  <c r="E933" i="2"/>
  <c r="E941" i="2"/>
  <c r="E940" i="2"/>
  <c r="E932" i="2"/>
  <c r="E939" i="2"/>
  <c r="D1702" i="2"/>
  <c r="D1700" i="2"/>
  <c r="D1706" i="2"/>
  <c r="D1707" i="2"/>
  <c r="D1708" i="2"/>
  <c r="D1704" i="2"/>
  <c r="D1705" i="2"/>
  <c r="D1701" i="2"/>
  <c r="D1703" i="2"/>
  <c r="E1789" i="2"/>
  <c r="E1792" i="2"/>
  <c r="E1788" i="2"/>
  <c r="E1790" i="2"/>
  <c r="E1793" i="2"/>
  <c r="E1794" i="2"/>
  <c r="E1796" i="2"/>
  <c r="E1795" i="2"/>
  <c r="E1791" i="2"/>
  <c r="E1537" i="2"/>
  <c r="E1539" i="2"/>
  <c r="E1540" i="2"/>
  <c r="E1542" i="2"/>
  <c r="E1544" i="2"/>
  <c r="E1538" i="2"/>
  <c r="E1545" i="2"/>
  <c r="E1543" i="2"/>
  <c r="E1546" i="2"/>
  <c r="E1541" i="2"/>
  <c r="D738" i="2"/>
  <c r="D737" i="2"/>
  <c r="D736" i="2"/>
  <c r="D743" i="2"/>
  <c r="D732" i="2"/>
  <c r="D741" i="2"/>
  <c r="D739" i="2"/>
  <c r="D734" i="2"/>
  <c r="D740" i="2"/>
  <c r="D742" i="2"/>
  <c r="D730" i="2"/>
  <c r="D733" i="2"/>
  <c r="D735" i="2"/>
  <c r="D729" i="2"/>
  <c r="D731" i="2"/>
  <c r="D1124" i="2"/>
  <c r="D1127" i="2"/>
  <c r="D1136" i="2"/>
  <c r="D1126" i="2"/>
  <c r="D1139" i="2"/>
  <c r="D1122" i="2"/>
  <c r="D1130" i="2"/>
  <c r="D1119" i="2"/>
  <c r="D1123" i="2"/>
  <c r="D1133" i="2"/>
  <c r="D1120" i="2"/>
  <c r="D1135" i="2"/>
  <c r="D1131" i="2"/>
  <c r="D1121" i="2"/>
  <c r="D1125" i="2"/>
  <c r="D1137" i="2"/>
  <c r="D1128" i="2"/>
  <c r="D1140" i="2"/>
  <c r="D1138" i="2"/>
  <c r="D1134" i="2"/>
  <c r="D1141" i="2"/>
  <c r="D1129" i="2"/>
  <c r="D1132" i="2"/>
  <c r="D1405" i="2"/>
  <c r="D1407" i="2"/>
  <c r="D1412" i="2"/>
  <c r="D1409" i="2"/>
  <c r="D1414" i="2"/>
  <c r="D1433" i="2"/>
  <c r="D1403" i="2"/>
  <c r="D1417" i="2"/>
  <c r="D1420" i="2"/>
  <c r="D1419" i="2"/>
  <c r="D1428" i="2"/>
  <c r="D1431" i="2"/>
  <c r="D1441" i="2"/>
  <c r="D1435" i="2"/>
  <c r="D1425" i="2"/>
  <c r="D1424" i="2"/>
  <c r="D1427" i="2"/>
  <c r="D1439" i="2"/>
  <c r="D1432" i="2"/>
  <c r="D1398" i="2"/>
  <c r="D1388" i="2"/>
  <c r="D1421" i="2"/>
  <c r="D1391" i="2"/>
  <c r="D1392" i="2"/>
  <c r="D1440" i="2"/>
  <c r="D1430" i="2"/>
  <c r="D1422" i="2"/>
  <c r="D1423" i="2"/>
  <c r="D1408" i="2"/>
  <c r="D1410" i="2"/>
  <c r="D1413" i="2"/>
  <c r="D1402" i="2"/>
  <c r="D1389" i="2"/>
  <c r="D1437" i="2"/>
  <c r="D1418" i="2"/>
  <c r="D1436" i="2"/>
  <c r="D1416" i="2"/>
  <c r="D1429" i="2"/>
  <c r="D1400" i="2"/>
  <c r="D1399" i="2"/>
  <c r="D1404" i="2"/>
  <c r="D1394" i="2"/>
  <c r="D1396" i="2"/>
  <c r="D1426" i="2"/>
  <c r="D1401" i="2"/>
  <c r="D1397" i="2"/>
  <c r="D1438" i="2"/>
  <c r="D1434" i="2"/>
  <c r="D1406" i="2"/>
  <c r="D1411" i="2"/>
  <c r="D1415" i="2"/>
  <c r="D1395" i="2"/>
  <c r="D1390" i="2"/>
  <c r="D1393" i="2"/>
  <c r="D292" i="2"/>
  <c r="D331" i="2"/>
  <c r="D299" i="2"/>
  <c r="D304" i="2"/>
  <c r="D318" i="2"/>
  <c r="D306" i="2"/>
  <c r="D339" i="2"/>
  <c r="D334" i="2"/>
  <c r="D297" i="2"/>
  <c r="D295" i="2"/>
  <c r="D317" i="2"/>
  <c r="D310" i="2"/>
  <c r="D327" i="2"/>
  <c r="D340" i="2"/>
  <c r="D302" i="2"/>
  <c r="D328" i="2"/>
  <c r="D301" i="2"/>
  <c r="D282" i="2"/>
  <c r="D281" i="2"/>
  <c r="D321" i="2"/>
  <c r="D307" i="2"/>
  <c r="D323" i="2"/>
  <c r="D333" i="2"/>
  <c r="D338" i="2"/>
  <c r="D283" i="2"/>
  <c r="D324" i="2"/>
  <c r="D312" i="2"/>
  <c r="D320" i="2"/>
  <c r="D337" i="2"/>
  <c r="D289" i="2"/>
  <c r="D332" i="2"/>
  <c r="D300" i="2"/>
  <c r="D311" i="2"/>
  <c r="D326" i="2"/>
  <c r="D313" i="2"/>
  <c r="D319" i="2"/>
  <c r="D291" i="2"/>
  <c r="D288" i="2"/>
  <c r="D330" i="2"/>
  <c r="D296" i="2"/>
  <c r="D308" i="2"/>
  <c r="D325" i="2"/>
  <c r="D305" i="2"/>
  <c r="D309" i="2"/>
  <c r="D290" i="2"/>
  <c r="D286" i="2"/>
  <c r="D329" i="2"/>
  <c r="D336" i="2"/>
  <c r="D298" i="2"/>
  <c r="D314" i="2"/>
  <c r="D294" i="2"/>
  <c r="D315" i="2"/>
  <c r="D322" i="2"/>
  <c r="D287" i="2"/>
  <c r="D293" i="2"/>
  <c r="D284" i="2"/>
  <c r="D335" i="2"/>
  <c r="D303" i="2"/>
  <c r="D285" i="2"/>
  <c r="D316" i="2"/>
  <c r="D1343" i="2"/>
  <c r="D1342" i="2"/>
  <c r="D1327" i="2"/>
  <c r="D1337" i="2"/>
  <c r="D1332" i="2"/>
  <c r="D1339" i="2"/>
  <c r="D1328" i="2"/>
  <c r="D1329" i="2"/>
  <c r="D1335" i="2"/>
  <c r="D1333" i="2"/>
  <c r="D1344" i="2"/>
  <c r="D1334" i="2"/>
  <c r="D1330" i="2"/>
  <c r="D1338" i="2"/>
  <c r="D1336" i="2"/>
  <c r="D1326" i="2"/>
  <c r="D1341" i="2"/>
  <c r="D1331" i="2"/>
  <c r="D1340" i="2"/>
  <c r="E1703" i="2"/>
  <c r="E1702" i="2"/>
  <c r="E1700" i="2"/>
  <c r="E1701" i="2"/>
  <c r="E1706" i="2"/>
  <c r="E1707" i="2"/>
  <c r="E1708" i="2"/>
  <c r="E1704" i="2"/>
  <c r="E1705" i="2"/>
  <c r="D1290" i="2"/>
  <c r="D1283" i="2"/>
  <c r="D1292" i="2"/>
  <c r="D1293" i="2"/>
  <c r="D1289" i="2"/>
  <c r="D1291" i="2"/>
  <c r="D1286" i="2"/>
  <c r="D1294" i="2"/>
  <c r="D1285" i="2"/>
  <c r="D1284" i="2"/>
  <c r="D1287" i="2"/>
  <c r="D1288" i="2"/>
  <c r="E729" i="2"/>
  <c r="E731" i="2"/>
  <c r="E738" i="2"/>
  <c r="E737" i="2"/>
  <c r="E736" i="2"/>
  <c r="E743" i="2"/>
  <c r="E732" i="2"/>
  <c r="E741" i="2"/>
  <c r="E739" i="2"/>
  <c r="E734" i="2"/>
  <c r="E740" i="2"/>
  <c r="E742" i="2"/>
  <c r="E730" i="2"/>
  <c r="E733" i="2"/>
  <c r="E735" i="2"/>
  <c r="M3208" i="27" l="1"/>
  <c r="M3207" i="27"/>
  <c r="M3206" i="27"/>
  <c r="M3205" i="27"/>
  <c r="M3204" i="27"/>
  <c r="M3203" i="27"/>
  <c r="M3202" i="27"/>
  <c r="M3201" i="27"/>
  <c r="M3200" i="27"/>
  <c r="M3199" i="27"/>
  <c r="M3198" i="27"/>
  <c r="M3197" i="27"/>
  <c r="M3196" i="27"/>
  <c r="M3195" i="27"/>
  <c r="M3194" i="27"/>
  <c r="M3193" i="27"/>
  <c r="M3192" i="27"/>
  <c r="M3191" i="27"/>
  <c r="M3190" i="27"/>
  <c r="M3189" i="27"/>
  <c r="M3188" i="27"/>
  <c r="M3187" i="27"/>
  <c r="M3186" i="27"/>
  <c r="M3185" i="27"/>
  <c r="M3184" i="27"/>
  <c r="M3183" i="27"/>
  <c r="M3182" i="27"/>
  <c r="M3181" i="27"/>
  <c r="M3180" i="27"/>
  <c r="M3179" i="27"/>
  <c r="M3178" i="27"/>
  <c r="M3176" i="27"/>
  <c r="M3175" i="27"/>
  <c r="M3174" i="27"/>
  <c r="M3173" i="27"/>
  <c r="M3172" i="27"/>
  <c r="M3171" i="27"/>
  <c r="M3170" i="27"/>
  <c r="M3169" i="27"/>
  <c r="M3168" i="27"/>
  <c r="M3167" i="27"/>
  <c r="M3166" i="27"/>
  <c r="M3165" i="27"/>
  <c r="M3164" i="27"/>
  <c r="M3162" i="27"/>
  <c r="M3161" i="27"/>
  <c r="M3160" i="27"/>
  <c r="M3159" i="27"/>
  <c r="M3158" i="27"/>
  <c r="M3157" i="27"/>
  <c r="M3156" i="27"/>
  <c r="M3155" i="27"/>
  <c r="M3154" i="27"/>
  <c r="M3153" i="27"/>
  <c r="M3152" i="27"/>
  <c r="M3151" i="27"/>
  <c r="M3149" i="27"/>
  <c r="M3148" i="27"/>
  <c r="M3147" i="27"/>
  <c r="M3146" i="27"/>
  <c r="M3145" i="27"/>
  <c r="M3144" i="27"/>
  <c r="M3143" i="27"/>
  <c r="M3142" i="27"/>
  <c r="M3141" i="27"/>
  <c r="M3140" i="27"/>
  <c r="M3139" i="27"/>
  <c r="M3138" i="27"/>
  <c r="M3137" i="27"/>
  <c r="M3136" i="27"/>
  <c r="M3135" i="27"/>
  <c r="M3129" i="27"/>
  <c r="M3128" i="27"/>
  <c r="M3127" i="27"/>
  <c r="M3126" i="27"/>
  <c r="M3125" i="27"/>
  <c r="M3124" i="27"/>
  <c r="M3123" i="27"/>
  <c r="M3122" i="27"/>
  <c r="M3121" i="27"/>
  <c r="M3120" i="27"/>
  <c r="M3119" i="27"/>
  <c r="M3118" i="27"/>
  <c r="M3117" i="27"/>
  <c r="M3116" i="27"/>
  <c r="M3114" i="27"/>
  <c r="M3113" i="27"/>
  <c r="M3112" i="27"/>
  <c r="M3111" i="27"/>
  <c r="M3110" i="27"/>
  <c r="M3109" i="27"/>
  <c r="M3108" i="27"/>
  <c r="M3107" i="27"/>
  <c r="M3106" i="27"/>
  <c r="M3105" i="27"/>
  <c r="M3104" i="27"/>
  <c r="M3103" i="27"/>
  <c r="M3102" i="27"/>
  <c r="M3101" i="27"/>
  <c r="M3100" i="27"/>
  <c r="M3099" i="27"/>
  <c r="M3098" i="27"/>
  <c r="M3097" i="27"/>
  <c r="M3096" i="27"/>
  <c r="M3095" i="27"/>
  <c r="M3094" i="27"/>
  <c r="M3093" i="27"/>
  <c r="M3092" i="27"/>
  <c r="M3091" i="27"/>
  <c r="M3089" i="27"/>
  <c r="M3088" i="27"/>
  <c r="M3087" i="27"/>
  <c r="M3086" i="27"/>
  <c r="M3085" i="27"/>
  <c r="M3084" i="27"/>
  <c r="M3083" i="27"/>
  <c r="M3082" i="27"/>
  <c r="M3081" i="27"/>
  <c r="M3080" i="27"/>
  <c r="M3079" i="27"/>
  <c r="M3078" i="27"/>
  <c r="M3077" i="27"/>
  <c r="M3076" i="27"/>
  <c r="M3075" i="27"/>
  <c r="M3074" i="27"/>
  <c r="M3073" i="27"/>
  <c r="M3072" i="27"/>
  <c r="M3071" i="27"/>
  <c r="M3070" i="27"/>
  <c r="M3069" i="27"/>
  <c r="M3068" i="27"/>
  <c r="M3067" i="27"/>
  <c r="M3066" i="27"/>
  <c r="M3065" i="27"/>
  <c r="M3064" i="27"/>
  <c r="M3063" i="27"/>
  <c r="M3061" i="27"/>
  <c r="M3060" i="27"/>
  <c r="M3059" i="27"/>
  <c r="M3058" i="27"/>
  <c r="M3057" i="27"/>
  <c r="M3056" i="27"/>
  <c r="M3055" i="27"/>
  <c r="M3054" i="27"/>
  <c r="M3053" i="27"/>
  <c r="M3052" i="27"/>
  <c r="M3051" i="27"/>
  <c r="M3050" i="27"/>
  <c r="M3049" i="27"/>
  <c r="M3048" i="27"/>
  <c r="M3047" i="27"/>
  <c r="M3046" i="27"/>
  <c r="M3045" i="27"/>
  <c r="M3044" i="27"/>
  <c r="M3043" i="27"/>
  <c r="M3042" i="27"/>
  <c r="M3041" i="27"/>
  <c r="M3040" i="27"/>
  <c r="M3039" i="27"/>
  <c r="M3037" i="27"/>
  <c r="M3036" i="27"/>
  <c r="M3035" i="27"/>
  <c r="M3034" i="27"/>
  <c r="M3033" i="27"/>
  <c r="M3032" i="27"/>
  <c r="M3031" i="27"/>
  <c r="M3030" i="27"/>
  <c r="M3029" i="27"/>
  <c r="M3028" i="27"/>
  <c r="M3027" i="27"/>
  <c r="M3026" i="27"/>
  <c r="M3024" i="27"/>
  <c r="M3023" i="27"/>
  <c r="M3022" i="27"/>
  <c r="M3021" i="27"/>
  <c r="M3020" i="27"/>
  <c r="M3019" i="27"/>
  <c r="M3018" i="27"/>
  <c r="M3017" i="27"/>
  <c r="M3016" i="27"/>
  <c r="M3015" i="27"/>
  <c r="M3013" i="27"/>
  <c r="M3012" i="27"/>
  <c r="M3011" i="27"/>
  <c r="M3010" i="27"/>
  <c r="M3009" i="27"/>
  <c r="M3008" i="27"/>
  <c r="M3007" i="27"/>
  <c r="M3006" i="27"/>
  <c r="M3005" i="27"/>
  <c r="M3004" i="27"/>
  <c r="M3003" i="27"/>
  <c r="M3002" i="27"/>
  <c r="M3001" i="27"/>
  <c r="M3000" i="27"/>
  <c r="M2999" i="27"/>
  <c r="M2998" i="27"/>
  <c r="M2996" i="27"/>
  <c r="M2995" i="27"/>
  <c r="M2994" i="27"/>
  <c r="M2993" i="27"/>
  <c r="M2992" i="27"/>
  <c r="M2991" i="27"/>
  <c r="M2990" i="27"/>
  <c r="M2989" i="27"/>
  <c r="M2988" i="27"/>
  <c r="M2987" i="27"/>
  <c r="M2985" i="27"/>
  <c r="M2984" i="27"/>
  <c r="M2983" i="27"/>
  <c r="M2982" i="27"/>
  <c r="M2981" i="27"/>
  <c r="M2980" i="27"/>
  <c r="M2979" i="27"/>
  <c r="M2978" i="27"/>
  <c r="M2977" i="27"/>
  <c r="M2976" i="27"/>
  <c r="M2975" i="27"/>
  <c r="M2971" i="27"/>
  <c r="M2970" i="27"/>
  <c r="M2969" i="27"/>
  <c r="M2968" i="27"/>
  <c r="M2966" i="27"/>
  <c r="M2965" i="27"/>
  <c r="M2964" i="27"/>
  <c r="M2962" i="27"/>
  <c r="M2961" i="27"/>
  <c r="M2960" i="27"/>
  <c r="M2959" i="27"/>
  <c r="M2958" i="27"/>
  <c r="M2957" i="27"/>
  <c r="M2956" i="27"/>
  <c r="M2955" i="27"/>
  <c r="M2954" i="27"/>
  <c r="M2953" i="27"/>
  <c r="M2952" i="27"/>
  <c r="M2951" i="27"/>
  <c r="M2950" i="27"/>
  <c r="M2949" i="27"/>
  <c r="M2947" i="27"/>
  <c r="M2946" i="27"/>
  <c r="M2945" i="27"/>
  <c r="M2944" i="27"/>
  <c r="M2943" i="27"/>
  <c r="M2942" i="27"/>
  <c r="M2941" i="27"/>
  <c r="M2940" i="27"/>
  <c r="M2939" i="27"/>
  <c r="M2938" i="27"/>
  <c r="M2937" i="27"/>
  <c r="M2936" i="27"/>
  <c r="M2935" i="27"/>
  <c r="M2934" i="27"/>
  <c r="M2932" i="27"/>
  <c r="M2931" i="27"/>
  <c r="M2930" i="27"/>
  <c r="M2929" i="27"/>
  <c r="M2927" i="27"/>
  <c r="M2926" i="27"/>
  <c r="M2925" i="27"/>
  <c r="M2924" i="27"/>
  <c r="M2923" i="27"/>
  <c r="M2922" i="27"/>
  <c r="M2921" i="27"/>
  <c r="M2920" i="27"/>
  <c r="M2919" i="27"/>
  <c r="M2918" i="27"/>
  <c r="M2917" i="27"/>
  <c r="M2916" i="27"/>
  <c r="M2914" i="27"/>
  <c r="M2913" i="27"/>
  <c r="M2912" i="27"/>
  <c r="M2911" i="27"/>
  <c r="M2910" i="27"/>
  <c r="M2909" i="27"/>
  <c r="M2908" i="27"/>
  <c r="M2907" i="27"/>
  <c r="M2906" i="27"/>
  <c r="M2905" i="27"/>
  <c r="M2904" i="27"/>
  <c r="M2903" i="27"/>
  <c r="M2902" i="27"/>
  <c r="M2901" i="27"/>
  <c r="M2900" i="27"/>
  <c r="M2899" i="27"/>
  <c r="M2898" i="27"/>
  <c r="M2897" i="27"/>
  <c r="M2896" i="27"/>
  <c r="M2895" i="27"/>
  <c r="M2894" i="27"/>
  <c r="M2893" i="27"/>
  <c r="M2892" i="27"/>
  <c r="M2891" i="27"/>
  <c r="M2890" i="27"/>
  <c r="M2889" i="27"/>
  <c r="M2888" i="27"/>
  <c r="M2887" i="27"/>
  <c r="M2886" i="27"/>
  <c r="M2885" i="27"/>
  <c r="M2884" i="27"/>
  <c r="M2883" i="27"/>
  <c r="M2882" i="27"/>
  <c r="M2881" i="27"/>
  <c r="M2880" i="27"/>
  <c r="M2879" i="27"/>
  <c r="M2878" i="27"/>
  <c r="M2877" i="27"/>
  <c r="M2876" i="27"/>
  <c r="M2875" i="27"/>
  <c r="M2874" i="27"/>
  <c r="M2873" i="27"/>
  <c r="M2872" i="27"/>
  <c r="M2871" i="27"/>
  <c r="M2870" i="27"/>
  <c r="M2869" i="27"/>
  <c r="M2868" i="27"/>
  <c r="M2867" i="27"/>
  <c r="M2866" i="27"/>
  <c r="M2865" i="27"/>
  <c r="M2864" i="27"/>
  <c r="M2863" i="27"/>
  <c r="M2862" i="27"/>
  <c r="M2861" i="27"/>
  <c r="M2859" i="27"/>
  <c r="M2858" i="27"/>
  <c r="M2857" i="27"/>
  <c r="M2856" i="27"/>
  <c r="M2855" i="27"/>
  <c r="M2854" i="27"/>
  <c r="M2853" i="27"/>
  <c r="M2852" i="27"/>
  <c r="M2851" i="27"/>
  <c r="M2850" i="27"/>
  <c r="M2849" i="27"/>
  <c r="M2848" i="27"/>
  <c r="M2847" i="27"/>
  <c r="M2846" i="27"/>
  <c r="M2845" i="27"/>
  <c r="M2844" i="27"/>
  <c r="M2843" i="27"/>
  <c r="M2841" i="27"/>
  <c r="M2840" i="27"/>
  <c r="M2839" i="27"/>
  <c r="M2838" i="27"/>
  <c r="M2837" i="27"/>
  <c r="M2836" i="27"/>
  <c r="M2835" i="27"/>
  <c r="M2834" i="27"/>
  <c r="M2833" i="27"/>
  <c r="M2832" i="27"/>
  <c r="M2831" i="27"/>
  <c r="M2830" i="27"/>
  <c r="M2829" i="27"/>
  <c r="M2828" i="27"/>
  <c r="M2827" i="27"/>
  <c r="M2826" i="27"/>
  <c r="M2825" i="27"/>
  <c r="M2824" i="27"/>
  <c r="M2823" i="27"/>
  <c r="M2822" i="27"/>
  <c r="M2821" i="27"/>
  <c r="M2820" i="27"/>
  <c r="M2819" i="27"/>
  <c r="M2818" i="27"/>
  <c r="M2817" i="27"/>
  <c r="M2816" i="27"/>
  <c r="M2815" i="27"/>
  <c r="M2814" i="27"/>
  <c r="M2813" i="27"/>
  <c r="M2812" i="27"/>
  <c r="M2811" i="27"/>
  <c r="M2810" i="27"/>
  <c r="M2809" i="27"/>
  <c r="M2808" i="27"/>
  <c r="M2807" i="27"/>
  <c r="M2806" i="27"/>
  <c r="M2805" i="27"/>
  <c r="M2804" i="27"/>
  <c r="M2803" i="27"/>
  <c r="M2802" i="27"/>
  <c r="M2801" i="27"/>
  <c r="M2800" i="27"/>
  <c r="M2799" i="27"/>
  <c r="M2798" i="27"/>
  <c r="M2797" i="27"/>
  <c r="M2796" i="27"/>
  <c r="M2795" i="27"/>
  <c r="M2794" i="27"/>
  <c r="M2793" i="27"/>
  <c r="M2792" i="27"/>
  <c r="M2791" i="27"/>
  <c r="M2790" i="27"/>
  <c r="M2789" i="27"/>
  <c r="M2788" i="27"/>
  <c r="M2787" i="27"/>
  <c r="M2786" i="27"/>
  <c r="M2785" i="27"/>
  <c r="M2784" i="27"/>
  <c r="M2783" i="27"/>
  <c r="M2782" i="27"/>
  <c r="M2781" i="27"/>
  <c r="M2780" i="27"/>
  <c r="M2779" i="27"/>
  <c r="M2778" i="27"/>
  <c r="M2777" i="27"/>
  <c r="M2776" i="27"/>
  <c r="M2775" i="27"/>
  <c r="M2774" i="27"/>
  <c r="M2773" i="27"/>
  <c r="M2772" i="27"/>
  <c r="M2771" i="27"/>
  <c r="M2770" i="27"/>
  <c r="M2769" i="27"/>
  <c r="M2768" i="27"/>
  <c r="M2767" i="27"/>
  <c r="M2766" i="27"/>
  <c r="M2765" i="27"/>
  <c r="M2764" i="27"/>
  <c r="M2763" i="27"/>
  <c r="M2762" i="27"/>
  <c r="M2760" i="27"/>
  <c r="M2759" i="27"/>
  <c r="M2758" i="27"/>
  <c r="M2757" i="27"/>
  <c r="M2756" i="27"/>
  <c r="M2755" i="27"/>
  <c r="M2754" i="27"/>
  <c r="M2753" i="27"/>
  <c r="M2752" i="27"/>
  <c r="M2751" i="27"/>
  <c r="M2750" i="27"/>
  <c r="M2749" i="27"/>
  <c r="M2748" i="27"/>
  <c r="M2747" i="27"/>
  <c r="M2746" i="27"/>
  <c r="M2745" i="27"/>
  <c r="M2743" i="27"/>
  <c r="M2742" i="27"/>
  <c r="M2741" i="27"/>
  <c r="M2740" i="27"/>
  <c r="M2739" i="27"/>
  <c r="M2738" i="27"/>
  <c r="M2737" i="27"/>
  <c r="M2735" i="27"/>
  <c r="M2734" i="27"/>
  <c r="M2733" i="27"/>
  <c r="M2732" i="27"/>
  <c r="M2731" i="27"/>
  <c r="M2730" i="27"/>
  <c r="M2729" i="27"/>
  <c r="M2728" i="27"/>
  <c r="M2727" i="27"/>
  <c r="M2726" i="27"/>
  <c r="M2725" i="27"/>
  <c r="M2724" i="27"/>
  <c r="M2722" i="27"/>
  <c r="M2721" i="27"/>
  <c r="M2720" i="27"/>
  <c r="M2719" i="27"/>
  <c r="M2718" i="27"/>
  <c r="M2717" i="27"/>
  <c r="M2716" i="27"/>
  <c r="M2715" i="27"/>
  <c r="M2714" i="27"/>
  <c r="M2713" i="27"/>
  <c r="M2712" i="27"/>
  <c r="M2711" i="27"/>
  <c r="M2709" i="27"/>
  <c r="M2708" i="27"/>
  <c r="M2707" i="27"/>
  <c r="M2706" i="27"/>
  <c r="M2705" i="27"/>
  <c r="M2704" i="27"/>
  <c r="M2703" i="27"/>
  <c r="M2702" i="27"/>
  <c r="M2701" i="27"/>
  <c r="M2700" i="27"/>
  <c r="M2699" i="27"/>
  <c r="M2698" i="27"/>
  <c r="M2696" i="27"/>
  <c r="M2695" i="27"/>
  <c r="M2694" i="27"/>
  <c r="M2693" i="27"/>
  <c r="M2692" i="27"/>
  <c r="M2691" i="27"/>
  <c r="M2690" i="27"/>
  <c r="M2689" i="27"/>
  <c r="M2688" i="27"/>
  <c r="M2687" i="27"/>
  <c r="M2686" i="27"/>
  <c r="M2685" i="27"/>
  <c r="M2683" i="27"/>
  <c r="M2682" i="27"/>
  <c r="M2681" i="27"/>
  <c r="M2680" i="27"/>
  <c r="M2679" i="27"/>
  <c r="M2678" i="27"/>
  <c r="M2677" i="27"/>
  <c r="M2676" i="27"/>
  <c r="M2675" i="27"/>
  <c r="M2674" i="27"/>
  <c r="M2673" i="27"/>
  <c r="M2672" i="27"/>
  <c r="M2671" i="27"/>
  <c r="M2670" i="27"/>
  <c r="M2669" i="27"/>
  <c r="M2667" i="27"/>
  <c r="M2665" i="27"/>
  <c r="M2663" i="27"/>
  <c r="M2661" i="27"/>
  <c r="M2660" i="27"/>
  <c r="M2659" i="27"/>
  <c r="M2658" i="27"/>
  <c r="M2657" i="27"/>
  <c r="M2656" i="27"/>
  <c r="M2655" i="27"/>
  <c r="M2654" i="27"/>
  <c r="M2653" i="27"/>
  <c r="M2652" i="27"/>
  <c r="M2650" i="27"/>
  <c r="M2649" i="27"/>
  <c r="M2648" i="27"/>
  <c r="M2647" i="27"/>
  <c r="M2646" i="27"/>
  <c r="M2645" i="27"/>
  <c r="M2644" i="27"/>
  <c r="M2643" i="27"/>
  <c r="M2641" i="27"/>
  <c r="M2640" i="27"/>
  <c r="M2639" i="27"/>
  <c r="M2638" i="27"/>
  <c r="M2637" i="27"/>
  <c r="M2636" i="27"/>
  <c r="M2635" i="27"/>
  <c r="M2634" i="27"/>
  <c r="M2633" i="27"/>
  <c r="M2632" i="27"/>
  <c r="M2631" i="27"/>
  <c r="M2630" i="27"/>
  <c r="M2628" i="27"/>
  <c r="M2627" i="27"/>
  <c r="M2626" i="27"/>
  <c r="M2625" i="27"/>
  <c r="M2624" i="27"/>
  <c r="M2623" i="27"/>
  <c r="M2622" i="27"/>
  <c r="M2621" i="27"/>
  <c r="M2620" i="27"/>
  <c r="M2619" i="27"/>
  <c r="M2618" i="27"/>
  <c r="M2617" i="27"/>
  <c r="M2616" i="27"/>
  <c r="M2614" i="27"/>
  <c r="M2613" i="27"/>
  <c r="M2612" i="27"/>
  <c r="M2611" i="27"/>
  <c r="M2610" i="27"/>
  <c r="M2609" i="27"/>
  <c r="M2600" i="27"/>
  <c r="M2599" i="27"/>
  <c r="M2598" i="27"/>
  <c r="M2597" i="27"/>
  <c r="M2596" i="27"/>
  <c r="M2595" i="27"/>
  <c r="M2594" i="27"/>
  <c r="M2593" i="27"/>
  <c r="M2592" i="27"/>
  <c r="M2591" i="27"/>
  <c r="M2589" i="27"/>
  <c r="M2588" i="27"/>
  <c r="M2587" i="27"/>
  <c r="M2586" i="27"/>
  <c r="M2585" i="27"/>
  <c r="M2584" i="27"/>
  <c r="M2583" i="27"/>
  <c r="M2582" i="27"/>
  <c r="M2581" i="27"/>
  <c r="M2580" i="27"/>
  <c r="M2579" i="27"/>
  <c r="M2578" i="27"/>
  <c r="M2577" i="27"/>
  <c r="M2576" i="27"/>
  <c r="M2575" i="27"/>
  <c r="M2574" i="27"/>
  <c r="M2573" i="27"/>
  <c r="M2572" i="27"/>
  <c r="M2571" i="27"/>
  <c r="M2569" i="27"/>
  <c r="M2568" i="27"/>
  <c r="M2567" i="27"/>
  <c r="M2566" i="27"/>
  <c r="M2565" i="27"/>
  <c r="M2564" i="27"/>
  <c r="M2563" i="27"/>
  <c r="M2562" i="27"/>
  <c r="M2560" i="27"/>
  <c r="M2559" i="27"/>
  <c r="M2558" i="27"/>
  <c r="M2557" i="27"/>
  <c r="M2556" i="27"/>
  <c r="M2555" i="27"/>
  <c r="M2554" i="27"/>
  <c r="M2553" i="27"/>
  <c r="M2551" i="27"/>
  <c r="M2550" i="27"/>
  <c r="M2549" i="27"/>
  <c r="M2548" i="27"/>
  <c r="M2547" i="27"/>
  <c r="M2546" i="27"/>
  <c r="M2545" i="27"/>
  <c r="M2544" i="27"/>
  <c r="M2542" i="27"/>
  <c r="N2542" i="27" s="1"/>
  <c r="M2541" i="27"/>
  <c r="N2541" i="27" s="1"/>
  <c r="M2540" i="27"/>
  <c r="N2540" i="27" s="1"/>
  <c r="M2539" i="27"/>
  <c r="N2539" i="27" s="1"/>
  <c r="M2538" i="27"/>
  <c r="N2538" i="27" s="1"/>
  <c r="M2537" i="27"/>
  <c r="N2537" i="27" s="1"/>
  <c r="M2536" i="27"/>
  <c r="N2536" i="27" s="1"/>
  <c r="M2535" i="27"/>
  <c r="N2535" i="27" s="1"/>
  <c r="M2534" i="27"/>
  <c r="N2534" i="27" s="1"/>
  <c r="M2533" i="27"/>
  <c r="N2533" i="27" s="1"/>
  <c r="M2532" i="27"/>
  <c r="N2532" i="27" s="1"/>
  <c r="M2531" i="27"/>
  <c r="N2531" i="27" s="1"/>
  <c r="M2530" i="27"/>
  <c r="N2530" i="27" s="1"/>
  <c r="M2529" i="27"/>
  <c r="N2529" i="27" s="1"/>
  <c r="M2528" i="27"/>
  <c r="N2528" i="27" s="1"/>
  <c r="M2527" i="27"/>
  <c r="N2527" i="27" s="1"/>
  <c r="M2526" i="27"/>
  <c r="N2526" i="27" s="1"/>
  <c r="M2525" i="27"/>
  <c r="N2525" i="27" s="1"/>
  <c r="M2523" i="27"/>
  <c r="N2523" i="27" s="1"/>
  <c r="M2522" i="27"/>
  <c r="N2522" i="27" s="1"/>
  <c r="M2521" i="27"/>
  <c r="N2521" i="27" s="1"/>
  <c r="M2520" i="27"/>
  <c r="N2520" i="27" s="1"/>
  <c r="M2519" i="27"/>
  <c r="N2519" i="27" s="1"/>
  <c r="M2518" i="27"/>
  <c r="N2518" i="27" s="1"/>
  <c r="M2517" i="27"/>
  <c r="N2517" i="27" s="1"/>
  <c r="M2516" i="27"/>
  <c r="N2516" i="27" s="1"/>
  <c r="M2515" i="27"/>
  <c r="N2515" i="27" s="1"/>
  <c r="M2514" i="27"/>
  <c r="N2514" i="27" s="1"/>
  <c r="M2513" i="27"/>
  <c r="N2513" i="27" s="1"/>
  <c r="M2512" i="27"/>
  <c r="N2512" i="27" s="1"/>
  <c r="M2511" i="27"/>
  <c r="N2511" i="27" s="1"/>
  <c r="M2510" i="27"/>
  <c r="N2510" i="27" s="1"/>
  <c r="M2509" i="27"/>
  <c r="N2509" i="27" s="1"/>
  <c r="M2508" i="27"/>
  <c r="N2508" i="27" s="1"/>
  <c r="M2507" i="27"/>
  <c r="N2507" i="27" s="1"/>
  <c r="M2506" i="27"/>
  <c r="N2506" i="27" s="1"/>
  <c r="M2273" i="27"/>
  <c r="M2272" i="27"/>
  <c r="M2271" i="27"/>
  <c r="M2270" i="27"/>
  <c r="M2269" i="27"/>
  <c r="M2268" i="27"/>
  <c r="M2267" i="27"/>
  <c r="M2266" i="27"/>
  <c r="M2265" i="27"/>
  <c r="M2264" i="27"/>
  <c r="M2263" i="27"/>
  <c r="M2262" i="27"/>
  <c r="M2261" i="27"/>
  <c r="M2260" i="27"/>
  <c r="M2259" i="27"/>
  <c r="M2258" i="27"/>
  <c r="M2257" i="27"/>
  <c r="M2256" i="27"/>
  <c r="M2254" i="27"/>
  <c r="N2254" i="27" s="1"/>
  <c r="M2253" i="27"/>
  <c r="N2253" i="27" s="1"/>
  <c r="M2252" i="27"/>
  <c r="N2252" i="27" s="1"/>
  <c r="M2251" i="27"/>
  <c r="N2251" i="27" s="1"/>
  <c r="M2250" i="27"/>
  <c r="N2250" i="27" s="1"/>
  <c r="M2248" i="27"/>
  <c r="M2247" i="27"/>
  <c r="M2246" i="27"/>
  <c r="M2245" i="27"/>
  <c r="M2244" i="27"/>
  <c r="M2243" i="27"/>
  <c r="M2242" i="27"/>
  <c r="M2241" i="27"/>
  <c r="M2240" i="27"/>
  <c r="M2239" i="27"/>
  <c r="M2238" i="27"/>
  <c r="M2237" i="27"/>
  <c r="M2236" i="27"/>
  <c r="M2235" i="27"/>
  <c r="M2234" i="27"/>
  <c r="M2233" i="27"/>
  <c r="M2232" i="27"/>
  <c r="M2131" i="27"/>
  <c r="M2130" i="27"/>
  <c r="M2129" i="27"/>
  <c r="M2128" i="27"/>
  <c r="M2127" i="27"/>
  <c r="M2126" i="27"/>
  <c r="M2125" i="27"/>
  <c r="M2124" i="27"/>
  <c r="M2123" i="27"/>
  <c r="M2122" i="27"/>
  <c r="M2121" i="27"/>
  <c r="M2120" i="27"/>
  <c r="M2119" i="27"/>
  <c r="M2118" i="27"/>
  <c r="M2117" i="27"/>
  <c r="M2116" i="27"/>
  <c r="M2115" i="27"/>
  <c r="M2114" i="27"/>
  <c r="M2079" i="27"/>
  <c r="M2078" i="27"/>
  <c r="M2077" i="27"/>
  <c r="M2076" i="27"/>
  <c r="M2075" i="27"/>
  <c r="M2074" i="27"/>
  <c r="M2073" i="27"/>
  <c r="M2072" i="27"/>
  <c r="M2071" i="27"/>
  <c r="M2070" i="27"/>
  <c r="M2069" i="27"/>
  <c r="M2068" i="27"/>
  <c r="M2067" i="27"/>
  <c r="M2066" i="27"/>
  <c r="M2065" i="27"/>
  <c r="M2064" i="27"/>
  <c r="M2062" i="27"/>
  <c r="M2061" i="27"/>
  <c r="M2060" i="27"/>
  <c r="M2059" i="27"/>
  <c r="M2058" i="27"/>
  <c r="M2057" i="27"/>
  <c r="M2056" i="27"/>
  <c r="M2055" i="27"/>
  <c r="M2054" i="27"/>
  <c r="M2053" i="27"/>
  <c r="M2052" i="27"/>
  <c r="M2051" i="27"/>
  <c r="M2050" i="27"/>
  <c r="M2049" i="27"/>
  <c r="M2048" i="27"/>
  <c r="M2047" i="27"/>
  <c r="M2046" i="27"/>
  <c r="M2044" i="27"/>
  <c r="M2043" i="27"/>
  <c r="M2042" i="27"/>
  <c r="M2041" i="27"/>
  <c r="M2040" i="27"/>
  <c r="M2039" i="27"/>
  <c r="M2038" i="27"/>
  <c r="M2037" i="27"/>
  <c r="M2036" i="27"/>
  <c r="M2035" i="27"/>
  <c r="M2034" i="27"/>
  <c r="M2033" i="27"/>
  <c r="M2032" i="27"/>
  <c r="M2031" i="27"/>
  <c r="M2030" i="27"/>
  <c r="M2029" i="27"/>
  <c r="M2027" i="27"/>
  <c r="M2026" i="27"/>
  <c r="M2025" i="27"/>
  <c r="M2024" i="27"/>
  <c r="M2023" i="27"/>
  <c r="M2022" i="27"/>
  <c r="M2021" i="27"/>
  <c r="M2020" i="27"/>
  <c r="M2019" i="27"/>
  <c r="M2018" i="27"/>
  <c r="M2017" i="27"/>
  <c r="M2016" i="27"/>
  <c r="M2015" i="27"/>
  <c r="M2014" i="27"/>
  <c r="M2013" i="27"/>
  <c r="M2012" i="27"/>
  <c r="M2010" i="27"/>
  <c r="M2009" i="27"/>
  <c r="M2008" i="27"/>
  <c r="M2007" i="27"/>
  <c r="M2006" i="27"/>
  <c r="M2005" i="27"/>
  <c r="M2004" i="27"/>
  <c r="M2003" i="27"/>
  <c r="M2002" i="27"/>
  <c r="M2001" i="27"/>
  <c r="M2000" i="27"/>
  <c r="M1999" i="27"/>
  <c r="M1998" i="27"/>
  <c r="M1997" i="27"/>
  <c r="M1996" i="27"/>
  <c r="M1995" i="27"/>
  <c r="M1994" i="27"/>
  <c r="M1993" i="27"/>
  <c r="M1760" i="27"/>
  <c r="M1759" i="27"/>
  <c r="M1758" i="27"/>
  <c r="M1757" i="27"/>
  <c r="M1756" i="27"/>
  <c r="M1755" i="27"/>
  <c r="M1754" i="27"/>
  <c r="M1753" i="27"/>
  <c r="M1752" i="27"/>
  <c r="M1751" i="27"/>
  <c r="M1750" i="27"/>
  <c r="M1749" i="27"/>
  <c r="M1615" i="27"/>
  <c r="M1614" i="27"/>
  <c r="M1613" i="27"/>
  <c r="M1612" i="27"/>
  <c r="M1611" i="27"/>
  <c r="M1610" i="27"/>
  <c r="M1609" i="27"/>
  <c r="M1608" i="27"/>
  <c r="M1607" i="27"/>
  <c r="M1606" i="27"/>
  <c r="M1605" i="27"/>
  <c r="M1604" i="27"/>
  <c r="M1603" i="27"/>
  <c r="M1602" i="27"/>
  <c r="M1601" i="27"/>
  <c r="M1600" i="27"/>
  <c r="M1599" i="27"/>
  <c r="M1598" i="27"/>
  <c r="M1595" i="27"/>
  <c r="M1594" i="27"/>
  <c r="M1593" i="27"/>
  <c r="M1592" i="27"/>
  <c r="M1591" i="27"/>
  <c r="M1590" i="27"/>
  <c r="M1589" i="27"/>
  <c r="M1588" i="27"/>
  <c r="M1587" i="27"/>
  <c r="M1586" i="27"/>
  <c r="M1585" i="27"/>
  <c r="M1584" i="27"/>
  <c r="M1583" i="27"/>
  <c r="M1582" i="27"/>
  <c r="M1581" i="27"/>
  <c r="M1580" i="27"/>
  <c r="M1579" i="27"/>
  <c r="M1578" i="27"/>
  <c r="M1577" i="27"/>
  <c r="M1576" i="27"/>
  <c r="M1571" i="27"/>
  <c r="M1570" i="27"/>
  <c r="M1569" i="27"/>
  <c r="M1568" i="27"/>
  <c r="M1567" i="27"/>
  <c r="M1566" i="27"/>
  <c r="M1565" i="27"/>
  <c r="M1564" i="27"/>
  <c r="M1563" i="27"/>
  <c r="M1562" i="27"/>
  <c r="M1561" i="27"/>
  <c r="M1560" i="27"/>
  <c r="M1559" i="27"/>
  <c r="M1557" i="27"/>
  <c r="M1556" i="27"/>
  <c r="M1555" i="27"/>
  <c r="M1554" i="27"/>
  <c r="M1553" i="27"/>
  <c r="M1552" i="27"/>
  <c r="M1551" i="27"/>
  <c r="M1550" i="27"/>
  <c r="M1549" i="27"/>
  <c r="M1548" i="27"/>
  <c r="M1547" i="27"/>
  <c r="M1546" i="27"/>
  <c r="M1545" i="27"/>
  <c r="M1543" i="27"/>
  <c r="M1542" i="27"/>
  <c r="M1541" i="27"/>
  <c r="M1540" i="27"/>
  <c r="M1539" i="27"/>
  <c r="M1538" i="27"/>
  <c r="M1537" i="27"/>
  <c r="M1536" i="27"/>
  <c r="M1535" i="27"/>
  <c r="M1534" i="27"/>
  <c r="M1533" i="27"/>
  <c r="M1532" i="27"/>
  <c r="M1531" i="27"/>
  <c r="M1529" i="27"/>
  <c r="M1528" i="27"/>
  <c r="M1527" i="27"/>
  <c r="M1526" i="27"/>
  <c r="M1525" i="27"/>
  <c r="M1524" i="27"/>
  <c r="M1523" i="27"/>
  <c r="M1522" i="27"/>
  <c r="M1521" i="27"/>
  <c r="M1520" i="27"/>
  <c r="M1519" i="27"/>
  <c r="M1518" i="27"/>
  <c r="M1517" i="27"/>
  <c r="M1515" i="27"/>
  <c r="M1514" i="27"/>
  <c r="M1513" i="27"/>
  <c r="M1512" i="27"/>
  <c r="M1511" i="27"/>
  <c r="M1510" i="27"/>
  <c r="M1509" i="27"/>
  <c r="M1508" i="27"/>
  <c r="M1507" i="27"/>
  <c r="M1506" i="27"/>
  <c r="M1505" i="27"/>
  <c r="M1504" i="27"/>
  <c r="M1503" i="27"/>
  <c r="M1484" i="27"/>
  <c r="N1484" i="27" s="1"/>
  <c r="M1483" i="27"/>
  <c r="N1483" i="27" s="1"/>
  <c r="M1482" i="27"/>
  <c r="N1482" i="27" s="1"/>
  <c r="M1481" i="27"/>
  <c r="N1481" i="27" s="1"/>
  <c r="M1480" i="27"/>
  <c r="M1479" i="27"/>
  <c r="M1478" i="27"/>
  <c r="M1477" i="27"/>
  <c r="M1476" i="27"/>
  <c r="M1475" i="27"/>
  <c r="N1475" i="27" s="1"/>
  <c r="M1474" i="27"/>
  <c r="M1473" i="27"/>
  <c r="M1472" i="27"/>
  <c r="N1472" i="27" s="1"/>
  <c r="M1471" i="27"/>
  <c r="N1471" i="27" s="1"/>
  <c r="M1470" i="27"/>
  <c r="N1470" i="27" s="1"/>
  <c r="M1469" i="27"/>
  <c r="M1467" i="27"/>
  <c r="N1467" i="27" s="1"/>
  <c r="M1466" i="27"/>
  <c r="N1466" i="27" s="1"/>
  <c r="M1465" i="27"/>
  <c r="N1465" i="27" s="1"/>
  <c r="M1464" i="27"/>
  <c r="N1464" i="27" s="1"/>
  <c r="M1463" i="27"/>
  <c r="N1463" i="27" s="1"/>
  <c r="M1462" i="27"/>
  <c r="N1462" i="27" s="1"/>
  <c r="M1461" i="27"/>
  <c r="N1461" i="27" s="1"/>
  <c r="M1460" i="27"/>
  <c r="N1460" i="27" s="1"/>
  <c r="M1459" i="27"/>
  <c r="N1459" i="27" s="1"/>
  <c r="M1458" i="27"/>
  <c r="N1458" i="27" s="1"/>
  <c r="M1457" i="27"/>
  <c r="M1456" i="27"/>
  <c r="N1456" i="27" s="1"/>
  <c r="M1455" i="27"/>
  <c r="N1455" i="27" s="1"/>
  <c r="M1454" i="27"/>
  <c r="N1454" i="27" s="1"/>
  <c r="M1453" i="27"/>
  <c r="N1453" i="27" s="1"/>
  <c r="M1452" i="27"/>
  <c r="N1452" i="27" s="1"/>
  <c r="M1450" i="27"/>
  <c r="N1450" i="27" s="1"/>
  <c r="M1449" i="27"/>
  <c r="N1449" i="27" s="1"/>
  <c r="M1448" i="27"/>
  <c r="N1448" i="27" s="1"/>
  <c r="M1447" i="27"/>
  <c r="N1447" i="27" s="1"/>
  <c r="M1446" i="27"/>
  <c r="N1446" i="27" s="1"/>
  <c r="M1445" i="27"/>
  <c r="N1445" i="27" s="1"/>
  <c r="M1444" i="27"/>
  <c r="N1444" i="27" s="1"/>
  <c r="M1443" i="27"/>
  <c r="N1443" i="27" s="1"/>
  <c r="M1442" i="27"/>
  <c r="N1442" i="27" s="1"/>
  <c r="M1441" i="27"/>
  <c r="N1441" i="27" s="1"/>
  <c r="M1440" i="27"/>
  <c r="M1439" i="27"/>
  <c r="N1439" i="27" s="1"/>
  <c r="M1438" i="27"/>
  <c r="N1438" i="27" s="1"/>
  <c r="M1437" i="27"/>
  <c r="N1437" i="27" s="1"/>
  <c r="M1436" i="27"/>
  <c r="N1436" i="27" s="1"/>
  <c r="M1435" i="27"/>
  <c r="N1435" i="27" s="1"/>
  <c r="M1433" i="27"/>
  <c r="N1433" i="27" s="1"/>
  <c r="M1432" i="27"/>
  <c r="N1432" i="27" s="1"/>
  <c r="M1431" i="27"/>
  <c r="N1431" i="27" s="1"/>
  <c r="M1430" i="27"/>
  <c r="N1430" i="27" s="1"/>
  <c r="M1429" i="27"/>
  <c r="N1429" i="27" s="1"/>
  <c r="M1428" i="27"/>
  <c r="N1428" i="27" s="1"/>
  <c r="M1427" i="27"/>
  <c r="N1427" i="27" s="1"/>
  <c r="M1426" i="27"/>
  <c r="N1426" i="27" s="1"/>
  <c r="M1425" i="27"/>
  <c r="N1425" i="27" s="1"/>
  <c r="M1424" i="27"/>
  <c r="N1424" i="27" s="1"/>
  <c r="M1423" i="27"/>
  <c r="M1422" i="27"/>
  <c r="N1422" i="27" s="1"/>
  <c r="M1421" i="27"/>
  <c r="N1421" i="27" s="1"/>
  <c r="M1420" i="27"/>
  <c r="N1420" i="27" s="1"/>
  <c r="M1419" i="27"/>
  <c r="N1419" i="27" s="1"/>
  <c r="M1418" i="27"/>
  <c r="N1418" i="27" s="1"/>
  <c r="M1416" i="27"/>
  <c r="M1415" i="27"/>
  <c r="N1415" i="27" s="1"/>
  <c r="M1414" i="27"/>
  <c r="N1414" i="27" s="1"/>
  <c r="M1413" i="27"/>
  <c r="M1412" i="27"/>
  <c r="N1412" i="27" s="1"/>
  <c r="M1411" i="27"/>
  <c r="N1411" i="27" s="1"/>
  <c r="M1410" i="27"/>
  <c r="N1410" i="27" s="1"/>
  <c r="M1409" i="27"/>
  <c r="N1409" i="27" s="1"/>
  <c r="M1408" i="27"/>
  <c r="N1408" i="27" s="1"/>
  <c r="M1407" i="27"/>
  <c r="N1407" i="27" s="1"/>
  <c r="M1406" i="27"/>
  <c r="M1405" i="27"/>
  <c r="N1405" i="27" s="1"/>
  <c r="M1404" i="27"/>
  <c r="N1404" i="27" s="1"/>
  <c r="M1403" i="27"/>
  <c r="N1403" i="27" s="1"/>
  <c r="M1402" i="27"/>
  <c r="N1402" i="27" s="1"/>
  <c r="M1401" i="27"/>
  <c r="N1401" i="27" s="1"/>
  <c r="M1399" i="27"/>
  <c r="M1398" i="27"/>
  <c r="M1397" i="27"/>
  <c r="N1397" i="27" s="1"/>
  <c r="M1396" i="27"/>
  <c r="M1395" i="27"/>
  <c r="N1395" i="27" s="1"/>
  <c r="M1394" i="27"/>
  <c r="N1394" i="27" s="1"/>
  <c r="M1393" i="27"/>
  <c r="N1393" i="27" s="1"/>
  <c r="M1392" i="27"/>
  <c r="N1392" i="27" s="1"/>
  <c r="M1391" i="27"/>
  <c r="N1391" i="27" s="1"/>
  <c r="M1390" i="27"/>
  <c r="N1390" i="27" s="1"/>
  <c r="M1389" i="27"/>
  <c r="M1388" i="27"/>
  <c r="N1388" i="27" s="1"/>
  <c r="M1387" i="27"/>
  <c r="N1387" i="27" s="1"/>
  <c r="M1386" i="27"/>
  <c r="N1386" i="27" s="1"/>
  <c r="M1385" i="27"/>
  <c r="N1385" i="27" s="1"/>
  <c r="M1384" i="27"/>
  <c r="N1384" i="27" s="1"/>
  <c r="M1382" i="27"/>
  <c r="N1382" i="27" s="1"/>
  <c r="M1381" i="27"/>
  <c r="N1381" i="27" s="1"/>
  <c r="M1380" i="27"/>
  <c r="N1380" i="27" s="1"/>
  <c r="M1379" i="27"/>
  <c r="N1379" i="27" s="1"/>
  <c r="M1378" i="27"/>
  <c r="N1378" i="27" s="1"/>
  <c r="M1377" i="27"/>
  <c r="N1377" i="27" s="1"/>
  <c r="M1376" i="27"/>
  <c r="N1376" i="27" s="1"/>
  <c r="M1375" i="27"/>
  <c r="N1375" i="27" s="1"/>
  <c r="M1374" i="27"/>
  <c r="N1374" i="27" s="1"/>
  <c r="M1373" i="27"/>
  <c r="N1373" i="27" s="1"/>
  <c r="M1372" i="27"/>
  <c r="M1371" i="27"/>
  <c r="N1371" i="27" s="1"/>
  <c r="M1370" i="27"/>
  <c r="N1370" i="27" s="1"/>
  <c r="M1369" i="27"/>
  <c r="N1369" i="27" s="1"/>
  <c r="M1368" i="27"/>
  <c r="N1368" i="27" s="1"/>
  <c r="M1367" i="27"/>
  <c r="N1367" i="27" s="1"/>
  <c r="M1365" i="27"/>
  <c r="N1365" i="27" s="1"/>
  <c r="M1364" i="27"/>
  <c r="N1364" i="27" s="1"/>
  <c r="M1363" i="27"/>
  <c r="N1363" i="27" s="1"/>
  <c r="M1362" i="27"/>
  <c r="N1362" i="27" s="1"/>
  <c r="M1361" i="27"/>
  <c r="N1361" i="27" s="1"/>
  <c r="M1360" i="27"/>
  <c r="N1360" i="27" s="1"/>
  <c r="M1359" i="27"/>
  <c r="N1359" i="27" s="1"/>
  <c r="M1358" i="27"/>
  <c r="N1358" i="27" s="1"/>
  <c r="M1357" i="27"/>
  <c r="M1356" i="27"/>
  <c r="N1356" i="27" s="1"/>
  <c r="M1355" i="27"/>
  <c r="M1354" i="27"/>
  <c r="N1354" i="27" s="1"/>
  <c r="M1353" i="27"/>
  <c r="N1353" i="27" s="1"/>
  <c r="M1352" i="27"/>
  <c r="N1352" i="27" s="1"/>
  <c r="M1351" i="27"/>
  <c r="N1351" i="27" s="1"/>
  <c r="M1350" i="27"/>
  <c r="N1350" i="27" s="1"/>
  <c r="M1348" i="27"/>
  <c r="N1348" i="27" s="1"/>
  <c r="M1347" i="27"/>
  <c r="N1347" i="27" s="1"/>
  <c r="M1346" i="27"/>
  <c r="N1346" i="27" s="1"/>
  <c r="M1345" i="27"/>
  <c r="N1345" i="27" s="1"/>
  <c r="M1344" i="27"/>
  <c r="N1344" i="27" s="1"/>
  <c r="M1343" i="27"/>
  <c r="N1343" i="27" s="1"/>
  <c r="M1342" i="27"/>
  <c r="N1342" i="27" s="1"/>
  <c r="M1341" i="27"/>
  <c r="N1341" i="27" s="1"/>
  <c r="M1340" i="27"/>
  <c r="N1340" i="27" s="1"/>
  <c r="M1339" i="27"/>
  <c r="N1339" i="27" s="1"/>
  <c r="M1338" i="27"/>
  <c r="M1337" i="27"/>
  <c r="N1337" i="27" s="1"/>
  <c r="M1336" i="27"/>
  <c r="N1336" i="27" s="1"/>
  <c r="M1335" i="27"/>
  <c r="N1335" i="27" s="1"/>
  <c r="M1334" i="27"/>
  <c r="N1334" i="27" s="1"/>
  <c r="M1333" i="27"/>
  <c r="N1333" i="27" s="1"/>
  <c r="M1331" i="27"/>
  <c r="N1331" i="27" s="1"/>
  <c r="M1330" i="27"/>
  <c r="N1330" i="27" s="1"/>
  <c r="M1329" i="27"/>
  <c r="N1329" i="27" s="1"/>
  <c r="M1328" i="27"/>
  <c r="M1327" i="27"/>
  <c r="N1327" i="27" s="1"/>
  <c r="M1326" i="27"/>
  <c r="M1325" i="27"/>
  <c r="N1325" i="27" s="1"/>
  <c r="M1324" i="27"/>
  <c r="N1324" i="27" s="1"/>
  <c r="M1323" i="27"/>
  <c r="M1322" i="27"/>
  <c r="N1322" i="27" s="1"/>
  <c r="M1321" i="27"/>
  <c r="M1320" i="27"/>
  <c r="N1320" i="27" s="1"/>
  <c r="M1319" i="27"/>
  <c r="N1319" i="27" s="1"/>
  <c r="M1318" i="27"/>
  <c r="N1318" i="27" s="1"/>
  <c r="M1317" i="27"/>
  <c r="N1317" i="27" s="1"/>
  <c r="M1316" i="27"/>
  <c r="N1316" i="27" s="1"/>
  <c r="M1314" i="27"/>
  <c r="M1313" i="27"/>
  <c r="N1313" i="27" s="1"/>
  <c r="M1312" i="27"/>
  <c r="N1312" i="27" s="1"/>
  <c r="M1311" i="27"/>
  <c r="N1311" i="27" s="1"/>
  <c r="M1310" i="27"/>
  <c r="N1310" i="27" s="1"/>
  <c r="M1309" i="27"/>
  <c r="N1309" i="27" s="1"/>
  <c r="M1308" i="27"/>
  <c r="M1307" i="27"/>
  <c r="M1306" i="27"/>
  <c r="M1305" i="27"/>
  <c r="M1304" i="27"/>
  <c r="N1304" i="27" s="1"/>
  <c r="M1303" i="27"/>
  <c r="M1302" i="27"/>
  <c r="N1302" i="27" s="1"/>
  <c r="M1301" i="27"/>
  <c r="N1301" i="27" s="1"/>
  <c r="M1300" i="27"/>
  <c r="N1300" i="27" s="1"/>
  <c r="M1299" i="27"/>
  <c r="N1299" i="27" s="1"/>
  <c r="M1297" i="27"/>
  <c r="M1296" i="27"/>
  <c r="N1296" i="27" s="1"/>
  <c r="M1295" i="27"/>
  <c r="N1295" i="27" s="1"/>
  <c r="M1294" i="27"/>
  <c r="M1293" i="27"/>
  <c r="N1293" i="27" s="1"/>
  <c r="M1292" i="27"/>
  <c r="N1292" i="27" s="1"/>
  <c r="M1291" i="27"/>
  <c r="N1291" i="27" s="1"/>
  <c r="M1290" i="27"/>
  <c r="N1290" i="27" s="1"/>
  <c r="M1289" i="27"/>
  <c r="N1289" i="27" s="1"/>
  <c r="M1288" i="27"/>
  <c r="N1288" i="27" s="1"/>
  <c r="M1287" i="27"/>
  <c r="M1286" i="27"/>
  <c r="N1286" i="27" s="1"/>
  <c r="M1285" i="27"/>
  <c r="N1285" i="27" s="1"/>
  <c r="M1284" i="27"/>
  <c r="N1284" i="27" s="1"/>
  <c r="M1283" i="27"/>
  <c r="N1283" i="27" s="1"/>
  <c r="M1282" i="27"/>
  <c r="N1282" i="27" s="1"/>
  <c r="M1280" i="27"/>
  <c r="M1279" i="27"/>
  <c r="M1278" i="27"/>
  <c r="M1277" i="27"/>
  <c r="M1276" i="27"/>
  <c r="M1275" i="27"/>
  <c r="M1274" i="27"/>
  <c r="M1273" i="27"/>
  <c r="M1272" i="27"/>
  <c r="M1271" i="27"/>
  <c r="M1270" i="27"/>
  <c r="M1269" i="27"/>
  <c r="M1268" i="27"/>
  <c r="M1266" i="27"/>
  <c r="M1265" i="27"/>
  <c r="M1264" i="27"/>
  <c r="M1263" i="27"/>
  <c r="M1262" i="27"/>
  <c r="M1261" i="27"/>
  <c r="M1260" i="27"/>
  <c r="M1259" i="27"/>
  <c r="M1258" i="27"/>
  <c r="M1257" i="27"/>
  <c r="M1256" i="27"/>
  <c r="M1255" i="27"/>
  <c r="M1254" i="27"/>
  <c r="M1252" i="27"/>
  <c r="M1251" i="27"/>
  <c r="M1250" i="27"/>
  <c r="M1249" i="27"/>
  <c r="M1248" i="27"/>
  <c r="M1247" i="27"/>
  <c r="M1246" i="27"/>
  <c r="M1245" i="27"/>
  <c r="M1244" i="27"/>
  <c r="M1243" i="27"/>
  <c r="M1242" i="27"/>
  <c r="M1241" i="27"/>
  <c r="M1240" i="27"/>
  <c r="M1238" i="27"/>
  <c r="M1237" i="27"/>
  <c r="M1236" i="27"/>
  <c r="M1235" i="27"/>
  <c r="M1234" i="27"/>
  <c r="M1233" i="27"/>
  <c r="M1232" i="27"/>
  <c r="M1231" i="27"/>
  <c r="M1230" i="27"/>
  <c r="M1229" i="27"/>
  <c r="M1228" i="27"/>
  <c r="M1227" i="27"/>
  <c r="M1226" i="27"/>
  <c r="M1224" i="27"/>
  <c r="M1223" i="27"/>
  <c r="M1222" i="27"/>
  <c r="M1221" i="27"/>
  <c r="M1220" i="27"/>
  <c r="M1219" i="27"/>
  <c r="M1218" i="27"/>
  <c r="M1217" i="27"/>
  <c r="M1216" i="27"/>
  <c r="M1215" i="27"/>
  <c r="M1214" i="27"/>
  <c r="M1213" i="27"/>
  <c r="M1212" i="27"/>
  <c r="M1210" i="27"/>
  <c r="M1209" i="27"/>
  <c r="M1208" i="27"/>
  <c r="M1207" i="27"/>
  <c r="M1206" i="27"/>
  <c r="M1205" i="27"/>
  <c r="M1204" i="27"/>
  <c r="M1203" i="27"/>
  <c r="M1202" i="27"/>
  <c r="M1201" i="27"/>
  <c r="M1200" i="27"/>
  <c r="M1199" i="27"/>
  <c r="M1198" i="27"/>
  <c r="M1196" i="27"/>
  <c r="M1195" i="27"/>
  <c r="M1194" i="27"/>
  <c r="M1193" i="27"/>
  <c r="M1192" i="27"/>
  <c r="M1191" i="27"/>
  <c r="M1190" i="27"/>
  <c r="M1189" i="27"/>
  <c r="M1188" i="27"/>
  <c r="M1187" i="27"/>
  <c r="M1186" i="27"/>
  <c r="M1185" i="27"/>
  <c r="M1184" i="27"/>
  <c r="M1182" i="27"/>
  <c r="M1181" i="27"/>
  <c r="M1180" i="27"/>
  <c r="M1179" i="27"/>
  <c r="M1178" i="27"/>
  <c r="M1177" i="27"/>
  <c r="M1176" i="27"/>
  <c r="M1175" i="27"/>
  <c r="M1174" i="27"/>
  <c r="M1173" i="27"/>
  <c r="M1172" i="27"/>
  <c r="M1171" i="27"/>
  <c r="M1170" i="27"/>
  <c r="M1168" i="27"/>
  <c r="M1167" i="27"/>
  <c r="M1166" i="27"/>
  <c r="M1165" i="27"/>
  <c r="M1164" i="27"/>
  <c r="M1163" i="27"/>
  <c r="M1162" i="27"/>
  <c r="M1161" i="27"/>
  <c r="M1160" i="27"/>
  <c r="M1159" i="27"/>
  <c r="M1158" i="27"/>
  <c r="M1157" i="27"/>
  <c r="M1156" i="27"/>
  <c r="M1154" i="27"/>
  <c r="M1153" i="27"/>
  <c r="M1152" i="27"/>
  <c r="M1151" i="27"/>
  <c r="M1150" i="27"/>
  <c r="M1149" i="27"/>
  <c r="M1148" i="27"/>
  <c r="M1147" i="27"/>
  <c r="M1146" i="27"/>
  <c r="M1145" i="27"/>
  <c r="M1144" i="27"/>
  <c r="M1143" i="27"/>
  <c r="M1142" i="27"/>
  <c r="M1140" i="27"/>
  <c r="M1139" i="27"/>
  <c r="M1138" i="27"/>
  <c r="M1137" i="27"/>
  <c r="M1136" i="27"/>
  <c r="M1135" i="27"/>
  <c r="M1134" i="27"/>
  <c r="M1133" i="27"/>
  <c r="M1132" i="27"/>
  <c r="M1131" i="27"/>
  <c r="M1130" i="27"/>
  <c r="M1129" i="27"/>
  <c r="M1128" i="27"/>
  <c r="M1126" i="27"/>
  <c r="M1125" i="27"/>
  <c r="M1124" i="27"/>
  <c r="M1123" i="27"/>
  <c r="M1122" i="27"/>
  <c r="M1121" i="27"/>
  <c r="M1120" i="27"/>
  <c r="M1119" i="27"/>
  <c r="M1118" i="27"/>
  <c r="M1117" i="27"/>
  <c r="M1116" i="27"/>
  <c r="M1115" i="27"/>
  <c r="M1114" i="27"/>
  <c r="M1112" i="27"/>
  <c r="M1111" i="27"/>
  <c r="M1110" i="27"/>
  <c r="M1109" i="27"/>
  <c r="M1108" i="27"/>
  <c r="M1107" i="27"/>
  <c r="M1106" i="27"/>
  <c r="M1105" i="27"/>
  <c r="M1104" i="27"/>
  <c r="M1103" i="27"/>
  <c r="M1102" i="27"/>
  <c r="M1101" i="27"/>
  <c r="M1100" i="27"/>
  <c r="M1098" i="27"/>
  <c r="M1097" i="27"/>
  <c r="M1096" i="27"/>
  <c r="M1095" i="27"/>
  <c r="M1094" i="27"/>
  <c r="M1093" i="27"/>
  <c r="M1092" i="27"/>
  <c r="M1091" i="27"/>
  <c r="M1090" i="27"/>
  <c r="M1089" i="27"/>
  <c r="M1088" i="27"/>
  <c r="M1087" i="27"/>
  <c r="M1086" i="27"/>
  <c r="M1084" i="27"/>
  <c r="M1083" i="27"/>
  <c r="M1082" i="27"/>
  <c r="M1081" i="27"/>
  <c r="M1080" i="27"/>
  <c r="M1079" i="27"/>
  <c r="M1078" i="27"/>
  <c r="M1077" i="27"/>
  <c r="M1076" i="27"/>
  <c r="M1075" i="27"/>
  <c r="M1074" i="27"/>
  <c r="M1073" i="27"/>
  <c r="M1072" i="27"/>
  <c r="M1070" i="27"/>
  <c r="M1069" i="27"/>
  <c r="M1068" i="27"/>
  <c r="M1067" i="27"/>
  <c r="M1066" i="27"/>
  <c r="M1065" i="27"/>
  <c r="M1064" i="27"/>
  <c r="M1063" i="27"/>
  <c r="M1062" i="27"/>
  <c r="M1061" i="27"/>
  <c r="M1060" i="27"/>
  <c r="M1059" i="27"/>
  <c r="M1058" i="27"/>
  <c r="M1056" i="27"/>
  <c r="M1055" i="27"/>
  <c r="M1054" i="27"/>
  <c r="M1053" i="27"/>
  <c r="M1052" i="27"/>
  <c r="M1051" i="27"/>
  <c r="M1050" i="27"/>
  <c r="M1049" i="27"/>
  <c r="M1048" i="27"/>
  <c r="M1047" i="27"/>
  <c r="M1046" i="27"/>
  <c r="M1045" i="27"/>
  <c r="M1044" i="27"/>
  <c r="M1042" i="27"/>
  <c r="M1041" i="27"/>
  <c r="M1040" i="27"/>
  <c r="M1039" i="27"/>
  <c r="M1038" i="27"/>
  <c r="M1037" i="27"/>
  <c r="M1036" i="27"/>
  <c r="M1035" i="27"/>
  <c r="M1034" i="27"/>
  <c r="M1033" i="27"/>
  <c r="M1032" i="27"/>
  <c r="M1031" i="27"/>
  <c r="M1030" i="27"/>
  <c r="M1028" i="27"/>
  <c r="M1027" i="27"/>
  <c r="M1026" i="27"/>
  <c r="M1025" i="27"/>
  <c r="M1024" i="27"/>
  <c r="M1023" i="27"/>
  <c r="M1022" i="27"/>
  <c r="M1021" i="27"/>
  <c r="M1020" i="27"/>
  <c r="M1019" i="27"/>
  <c r="M1018" i="27"/>
  <c r="M1017" i="27"/>
  <c r="M1016" i="27"/>
  <c r="M1014" i="27"/>
  <c r="M1013" i="27"/>
  <c r="M1012" i="27"/>
  <c r="M1011" i="27"/>
  <c r="M1010" i="27"/>
  <c r="M1009" i="27"/>
  <c r="M1008" i="27"/>
  <c r="M1007" i="27"/>
  <c r="M1006" i="27"/>
  <c r="M1005" i="27"/>
  <c r="M1004" i="27"/>
  <c r="M1003" i="27"/>
  <c r="M1002" i="27"/>
  <c r="M1000" i="27"/>
  <c r="M999" i="27"/>
  <c r="M998" i="27"/>
  <c r="M997" i="27"/>
  <c r="M996" i="27"/>
  <c r="M995" i="27"/>
  <c r="M994" i="27"/>
  <c r="M993" i="27"/>
  <c r="M992" i="27"/>
  <c r="M991" i="27"/>
  <c r="M990" i="27"/>
  <c r="M989" i="27"/>
  <c r="M988" i="27"/>
  <c r="M986" i="27"/>
  <c r="M985" i="27"/>
  <c r="M984" i="27"/>
  <c r="M983" i="27"/>
  <c r="M982" i="27"/>
  <c r="M981" i="27"/>
  <c r="M980" i="27"/>
  <c r="M979" i="27"/>
  <c r="M978" i="27"/>
  <c r="M977" i="27"/>
  <c r="M976" i="27"/>
  <c r="M975" i="27"/>
  <c r="M974" i="27"/>
  <c r="M972" i="27"/>
  <c r="M971" i="27"/>
  <c r="M970" i="27"/>
  <c r="M969" i="27"/>
  <c r="M968" i="27"/>
  <c r="M967" i="27"/>
  <c r="M966" i="27"/>
  <c r="M965" i="27"/>
  <c r="M964" i="27"/>
  <c r="M963" i="27"/>
  <c r="M962" i="27"/>
  <c r="M961" i="27"/>
  <c r="M960" i="27"/>
  <c r="M958" i="27"/>
  <c r="M957" i="27"/>
  <c r="M956" i="27"/>
  <c r="M955" i="27"/>
  <c r="M954" i="27"/>
  <c r="M953" i="27"/>
  <c r="M952" i="27"/>
  <c r="M951" i="27"/>
  <c r="M950" i="27"/>
  <c r="M949" i="27"/>
  <c r="M948" i="27"/>
  <c r="M947" i="27"/>
  <c r="M946" i="27"/>
  <c r="M945" i="27"/>
  <c r="M944" i="27"/>
  <c r="M942" i="27"/>
  <c r="M941" i="27"/>
  <c r="M940" i="27"/>
  <c r="M939" i="27"/>
  <c r="M938" i="27"/>
  <c r="M937" i="27"/>
  <c r="M936" i="27"/>
  <c r="M935" i="27"/>
  <c r="M934" i="27"/>
  <c r="M933" i="27"/>
  <c r="M932" i="27"/>
  <c r="M931" i="27"/>
  <c r="M930" i="27"/>
  <c r="M929" i="27"/>
  <c r="M928" i="27"/>
  <c r="M926" i="27"/>
  <c r="M925" i="27"/>
  <c r="M924" i="27"/>
  <c r="M923" i="27"/>
  <c r="M922" i="27"/>
  <c r="M921" i="27"/>
  <c r="M920" i="27"/>
  <c r="M919" i="27"/>
  <c r="M918" i="27"/>
  <c r="M917" i="27"/>
  <c r="M916" i="27"/>
  <c r="M915" i="27"/>
  <c r="M914" i="27"/>
  <c r="M913" i="27"/>
  <c r="M911" i="27"/>
  <c r="M910" i="27"/>
  <c r="M909" i="27"/>
  <c r="M908" i="27"/>
  <c r="M907" i="27"/>
  <c r="M906" i="27"/>
  <c r="M905" i="27"/>
  <c r="M904" i="27"/>
  <c r="M903" i="27"/>
  <c r="M902" i="27"/>
  <c r="M901" i="27"/>
  <c r="M900" i="27"/>
  <c r="M899" i="27"/>
  <c r="M898" i="27"/>
  <c r="M897" i="27"/>
  <c r="M895" i="27"/>
  <c r="M894" i="27"/>
  <c r="M893" i="27"/>
  <c r="M892" i="27"/>
  <c r="M891" i="27"/>
  <c r="M890" i="27"/>
  <c r="M889" i="27"/>
  <c r="M888" i="27"/>
  <c r="M887" i="27"/>
  <c r="M886" i="27"/>
  <c r="M885" i="27"/>
  <c r="M884" i="27"/>
  <c r="M883" i="27"/>
  <c r="M882" i="27"/>
  <c r="M881" i="27"/>
  <c r="M879" i="27"/>
  <c r="M878" i="27"/>
  <c r="M877" i="27"/>
  <c r="M876" i="27"/>
  <c r="M875" i="27"/>
  <c r="M874" i="27"/>
  <c r="M873" i="27"/>
  <c r="M872" i="27"/>
  <c r="M871" i="27"/>
  <c r="M870" i="27"/>
  <c r="M869" i="27"/>
  <c r="M868" i="27"/>
  <c r="M867" i="27"/>
  <c r="M866" i="27"/>
  <c r="M865" i="27"/>
  <c r="M863" i="27"/>
  <c r="M862" i="27"/>
  <c r="M861" i="27"/>
  <c r="M860" i="27"/>
  <c r="M859" i="27"/>
  <c r="M858" i="27"/>
  <c r="M857" i="27"/>
  <c r="M856" i="27"/>
  <c r="M855" i="27"/>
  <c r="M854" i="27"/>
  <c r="M853" i="27"/>
  <c r="M852" i="27"/>
  <c r="M851" i="27"/>
  <c r="M849" i="27"/>
  <c r="M848" i="27"/>
  <c r="M847" i="27"/>
  <c r="M846" i="27"/>
  <c r="M845" i="27"/>
  <c r="M844" i="27"/>
  <c r="M843" i="27"/>
  <c r="M842" i="27"/>
  <c r="M841" i="27"/>
  <c r="M840" i="27"/>
  <c r="M839" i="27"/>
  <c r="M838" i="27"/>
  <c r="M837" i="27"/>
  <c r="M835" i="27"/>
  <c r="M834" i="27"/>
  <c r="M833" i="27"/>
  <c r="M832" i="27"/>
  <c r="M831" i="27"/>
  <c r="M830" i="27"/>
  <c r="M829" i="27"/>
  <c r="M828" i="27"/>
  <c r="M827" i="27"/>
  <c r="M826" i="27"/>
  <c r="M825" i="27"/>
  <c r="M824" i="27"/>
  <c r="M823" i="27"/>
  <c r="M821" i="27"/>
  <c r="M820" i="27"/>
  <c r="M819" i="27"/>
  <c r="M818" i="27"/>
  <c r="M817" i="27"/>
  <c r="M816" i="27"/>
  <c r="M815" i="27"/>
  <c r="M814" i="27"/>
  <c r="M813" i="27"/>
  <c r="M812" i="27"/>
  <c r="M811" i="27"/>
  <c r="M810" i="27"/>
  <c r="M809" i="27"/>
  <c r="M807" i="27"/>
  <c r="M806" i="27"/>
  <c r="M805" i="27"/>
  <c r="M804" i="27"/>
  <c r="M803" i="27"/>
  <c r="M802" i="27"/>
  <c r="M801" i="27"/>
  <c r="M800" i="27"/>
  <c r="M799" i="27"/>
  <c r="M798" i="27"/>
  <c r="M797" i="27"/>
  <c r="M796" i="27"/>
  <c r="M795" i="27"/>
  <c r="M793" i="27"/>
  <c r="M792" i="27"/>
  <c r="M791" i="27"/>
  <c r="M790" i="27"/>
  <c r="M789" i="27"/>
  <c r="M788" i="27"/>
  <c r="M787" i="27"/>
  <c r="M786" i="27"/>
  <c r="M785" i="27"/>
  <c r="M784" i="27"/>
  <c r="M783" i="27"/>
  <c r="M782" i="27"/>
  <c r="M781" i="27"/>
  <c r="M779" i="27"/>
  <c r="M778" i="27"/>
  <c r="M777" i="27"/>
  <c r="M776" i="27"/>
  <c r="M775" i="27"/>
  <c r="M774" i="27"/>
  <c r="M773" i="27"/>
  <c r="M772" i="27"/>
  <c r="M771" i="27"/>
  <c r="M770" i="27"/>
  <c r="M769" i="27"/>
  <c r="M768" i="27"/>
  <c r="M767" i="27"/>
  <c r="M765" i="27"/>
  <c r="M764" i="27"/>
  <c r="M763" i="27"/>
  <c r="M762" i="27"/>
  <c r="M761" i="27"/>
  <c r="M760" i="27"/>
  <c r="M759" i="27"/>
  <c r="M758" i="27"/>
  <c r="M757" i="27"/>
  <c r="M756" i="27"/>
  <c r="M755" i="27"/>
  <c r="M754" i="27"/>
  <c r="M753" i="27"/>
  <c r="M751" i="27"/>
  <c r="M750" i="27"/>
  <c r="M749" i="27"/>
  <c r="M748" i="27"/>
  <c r="M747" i="27"/>
  <c r="M746" i="27"/>
  <c r="M745" i="27"/>
  <c r="M744" i="27"/>
  <c r="M743" i="27"/>
  <c r="M742" i="27"/>
  <c r="M741" i="27"/>
  <c r="M740" i="27"/>
  <c r="M739" i="27"/>
  <c r="M737" i="27"/>
  <c r="M736" i="27"/>
  <c r="M735" i="27"/>
  <c r="M734" i="27"/>
  <c r="M733" i="27"/>
  <c r="M732" i="27"/>
  <c r="M731" i="27"/>
  <c r="M730" i="27"/>
  <c r="M729" i="27"/>
  <c r="M728" i="27"/>
  <c r="M727" i="27"/>
  <c r="M726" i="27"/>
  <c r="M725" i="27"/>
  <c r="M723" i="27"/>
  <c r="M722" i="27"/>
  <c r="M721" i="27"/>
  <c r="M720" i="27"/>
  <c r="M719" i="27"/>
  <c r="M718" i="27"/>
  <c r="M717" i="27"/>
  <c r="M716" i="27"/>
  <c r="M715" i="27"/>
  <c r="M714" i="27"/>
  <c r="M713" i="27"/>
  <c r="M712" i="27"/>
  <c r="M711" i="27"/>
  <c r="M709" i="27"/>
  <c r="M708" i="27"/>
  <c r="M707" i="27"/>
  <c r="M706" i="27"/>
  <c r="M705" i="27"/>
  <c r="M704" i="27"/>
  <c r="M703" i="27"/>
  <c r="M702" i="27"/>
  <c r="M701" i="27"/>
  <c r="M700" i="27"/>
  <c r="M699" i="27"/>
  <c r="M698" i="27"/>
  <c r="M697" i="27"/>
  <c r="M695" i="27"/>
  <c r="M694" i="27"/>
  <c r="M693" i="27"/>
  <c r="M692" i="27"/>
  <c r="M691" i="27"/>
  <c r="M690" i="27"/>
  <c r="M689" i="27"/>
  <c r="M688" i="27"/>
  <c r="M687" i="27"/>
  <c r="M686" i="27"/>
  <c r="M685" i="27"/>
  <c r="M684" i="27"/>
  <c r="M683" i="27"/>
  <c r="M681" i="27"/>
  <c r="M680" i="27"/>
  <c r="M679" i="27"/>
  <c r="M678" i="27"/>
  <c r="M677" i="27"/>
  <c r="M676" i="27"/>
  <c r="M675" i="27"/>
  <c r="M674" i="27"/>
  <c r="M673" i="27"/>
  <c r="M672" i="27"/>
  <c r="M671" i="27"/>
  <c r="M670" i="27"/>
  <c r="M669" i="27"/>
  <c r="M667" i="27"/>
  <c r="M666" i="27"/>
  <c r="M665" i="27"/>
  <c r="M664" i="27"/>
  <c r="M663" i="27"/>
  <c r="M662" i="27"/>
  <c r="M661" i="27"/>
  <c r="M660" i="27"/>
  <c r="M659" i="27"/>
  <c r="M658" i="27"/>
  <c r="M657" i="27"/>
  <c r="M656" i="27"/>
  <c r="M655" i="27"/>
  <c r="M653" i="27"/>
  <c r="M652" i="27"/>
  <c r="M651" i="27"/>
  <c r="M650" i="27"/>
  <c r="M649" i="27"/>
  <c r="M648" i="27"/>
  <c r="M647" i="27"/>
  <c r="M646" i="27"/>
  <c r="M645" i="27"/>
  <c r="M644" i="27"/>
  <c r="M643" i="27"/>
  <c r="M642" i="27"/>
  <c r="M641" i="27"/>
  <c r="M639" i="27"/>
  <c r="M638" i="27"/>
  <c r="M637" i="27"/>
  <c r="M636" i="27"/>
  <c r="M635" i="27"/>
  <c r="M634" i="27"/>
  <c r="M633" i="27"/>
  <c r="M632" i="27"/>
  <c r="M631" i="27"/>
  <c r="M630" i="27"/>
  <c r="M629" i="27"/>
  <c r="M628" i="27"/>
  <c r="M627" i="27"/>
  <c r="M625" i="27"/>
  <c r="M624" i="27"/>
  <c r="M623" i="27"/>
  <c r="M622" i="27"/>
  <c r="M621" i="27"/>
  <c r="M620" i="27"/>
  <c r="M619" i="27"/>
  <c r="M618" i="27"/>
  <c r="M617" i="27"/>
  <c r="M616" i="27"/>
  <c r="M615" i="27"/>
  <c r="M614" i="27"/>
  <c r="M613" i="27"/>
  <c r="M611" i="27"/>
  <c r="M610" i="27"/>
  <c r="M609" i="27"/>
  <c r="M608" i="27"/>
  <c r="M607" i="27"/>
  <c r="M606" i="27"/>
  <c r="M605" i="27"/>
  <c r="M604" i="27"/>
  <c r="M603" i="27"/>
  <c r="M602" i="27"/>
  <c r="M601" i="27"/>
  <c r="M600" i="27"/>
  <c r="M599" i="27"/>
  <c r="M597" i="27"/>
  <c r="M596" i="27"/>
  <c r="M595" i="27"/>
  <c r="M594" i="27"/>
  <c r="M593" i="27"/>
  <c r="M592" i="27"/>
  <c r="M591" i="27"/>
  <c r="M590" i="27"/>
  <c r="M589" i="27"/>
  <c r="M588" i="27"/>
  <c r="M587" i="27"/>
  <c r="M586" i="27"/>
  <c r="M585" i="27"/>
  <c r="M583" i="27"/>
  <c r="M582" i="27"/>
  <c r="M581" i="27"/>
  <c r="M580" i="27"/>
  <c r="M579" i="27"/>
  <c r="M578" i="27"/>
  <c r="M577" i="27"/>
  <c r="M576" i="27"/>
  <c r="M575" i="27"/>
  <c r="M574" i="27"/>
  <c r="M573" i="27"/>
  <c r="M572" i="27"/>
  <c r="M571" i="27"/>
  <c r="M569" i="27"/>
  <c r="M568" i="27"/>
  <c r="M567" i="27"/>
  <c r="M566" i="27"/>
  <c r="M565" i="27"/>
  <c r="M564" i="27"/>
  <c r="M563" i="27"/>
  <c r="M562" i="27"/>
  <c r="M561" i="27"/>
  <c r="M560" i="27"/>
  <c r="M559" i="27"/>
  <c r="M558" i="27"/>
  <c r="M557" i="27"/>
  <c r="M556" i="27"/>
  <c r="M555" i="27"/>
  <c r="M553" i="27"/>
  <c r="M552" i="27"/>
  <c r="M551" i="27"/>
  <c r="M550" i="27"/>
  <c r="M549" i="27"/>
  <c r="M548" i="27"/>
  <c r="M547" i="27"/>
  <c r="M546" i="27"/>
  <c r="M545" i="27"/>
  <c r="M544" i="27"/>
  <c r="M543" i="27"/>
  <c r="M542" i="27"/>
  <c r="M539" i="27"/>
  <c r="M538" i="27"/>
  <c r="M537" i="27"/>
  <c r="M536" i="27"/>
  <c r="M535" i="27"/>
  <c r="M534" i="27"/>
  <c r="M533" i="27"/>
  <c r="M532" i="27"/>
  <c r="M531" i="27"/>
  <c r="M530" i="27"/>
  <c r="M529" i="27"/>
  <c r="M528" i="27"/>
  <c r="M527" i="27"/>
  <c r="M525" i="27"/>
  <c r="M524" i="27"/>
  <c r="M523" i="27"/>
  <c r="M522" i="27"/>
  <c r="M521" i="27"/>
  <c r="M520" i="27"/>
  <c r="M519" i="27"/>
  <c r="M518" i="27"/>
  <c r="M517" i="27"/>
  <c r="M516" i="27"/>
  <c r="M515" i="27"/>
  <c r="M514" i="27"/>
  <c r="M513" i="27"/>
  <c r="M511" i="27"/>
  <c r="M510" i="27"/>
  <c r="M509" i="27"/>
  <c r="M508" i="27"/>
  <c r="M507" i="27"/>
  <c r="M506" i="27"/>
  <c r="M505" i="27"/>
  <c r="M504" i="27"/>
  <c r="M503" i="27"/>
  <c r="M502" i="27"/>
  <c r="M501" i="27"/>
  <c r="M500" i="27"/>
  <c r="M499" i="27"/>
  <c r="M497" i="27"/>
  <c r="M496" i="27"/>
  <c r="M495" i="27"/>
  <c r="M494" i="27"/>
  <c r="M493" i="27"/>
  <c r="M492" i="27"/>
  <c r="M491" i="27"/>
  <c r="M490" i="27"/>
  <c r="M489" i="27"/>
  <c r="M488" i="27"/>
  <c r="M487" i="27"/>
  <c r="M486" i="27"/>
  <c r="M485" i="27"/>
  <c r="M483" i="27"/>
  <c r="M482" i="27"/>
  <c r="M481" i="27"/>
  <c r="M480" i="27"/>
  <c r="M479" i="27"/>
  <c r="M478" i="27"/>
  <c r="M477" i="27"/>
  <c r="M476" i="27"/>
  <c r="M475" i="27"/>
  <c r="M474" i="27"/>
  <c r="M473" i="27"/>
  <c r="M472" i="27"/>
  <c r="M471" i="27"/>
  <c r="M469" i="27"/>
  <c r="M468" i="27"/>
  <c r="M467" i="27"/>
  <c r="M466" i="27"/>
  <c r="M465" i="27"/>
  <c r="M464" i="27"/>
  <c r="M463" i="27"/>
  <c r="M462" i="27"/>
  <c r="M461" i="27"/>
  <c r="M460" i="27"/>
  <c r="M459" i="27"/>
  <c r="M458" i="27"/>
  <c r="M457" i="27"/>
  <c r="M455" i="27"/>
  <c r="M454" i="27"/>
  <c r="M453" i="27"/>
  <c r="M452" i="27"/>
  <c r="M451" i="27"/>
  <c r="M450" i="27"/>
  <c r="M449" i="27"/>
  <c r="M448" i="27"/>
  <c r="M447" i="27"/>
  <c r="M446" i="27"/>
  <c r="M445" i="27"/>
  <c r="M444" i="27"/>
  <c r="M443" i="27"/>
  <c r="M441" i="27"/>
  <c r="M440" i="27"/>
  <c r="M439" i="27"/>
  <c r="M438" i="27"/>
  <c r="M437" i="27"/>
  <c r="M436" i="27"/>
  <c r="M435" i="27"/>
  <c r="M434" i="27"/>
  <c r="M433" i="27"/>
  <c r="M432" i="27"/>
  <c r="M431" i="27"/>
  <c r="M430" i="27"/>
  <c r="M429" i="27"/>
  <c r="M427" i="27"/>
  <c r="M426" i="27"/>
  <c r="M425" i="27"/>
  <c r="M424" i="27"/>
  <c r="M423" i="27"/>
  <c r="M422" i="27"/>
  <c r="M421" i="27"/>
  <c r="M420" i="27"/>
  <c r="M419" i="27"/>
  <c r="M418" i="27"/>
  <c r="M417" i="27"/>
  <c r="M416" i="27"/>
  <c r="M415" i="27"/>
  <c r="M413" i="27"/>
  <c r="M412" i="27"/>
  <c r="M411" i="27"/>
  <c r="M410" i="27"/>
  <c r="M409" i="27"/>
  <c r="M408" i="27"/>
  <c r="M407" i="27"/>
  <c r="M406" i="27"/>
  <c r="M405" i="27"/>
  <c r="M404" i="27"/>
  <c r="M403" i="27"/>
  <c r="M402" i="27"/>
  <c r="M401" i="27"/>
  <c r="M399" i="27"/>
  <c r="M398" i="27"/>
  <c r="M397" i="27"/>
  <c r="M396" i="27"/>
  <c r="M395" i="27"/>
  <c r="M394" i="27"/>
  <c r="M393" i="27"/>
  <c r="M392" i="27"/>
  <c r="M391" i="27"/>
  <c r="M390" i="27"/>
  <c r="M389" i="27"/>
  <c r="M388" i="27"/>
  <c r="M387" i="27"/>
  <c r="M386" i="27"/>
  <c r="M385" i="27"/>
  <c r="M384" i="27"/>
  <c r="M383" i="27"/>
  <c r="M382" i="27"/>
  <c r="M381" i="27"/>
  <c r="M380" i="27"/>
  <c r="M379" i="27"/>
  <c r="M378" i="27"/>
  <c r="M377" i="27"/>
  <c r="M375" i="27"/>
  <c r="M374" i="27"/>
  <c r="M373" i="27"/>
  <c r="M372" i="27"/>
  <c r="M371" i="27"/>
  <c r="M370" i="27"/>
  <c r="M369" i="27"/>
  <c r="M368" i="27"/>
  <c r="M367" i="27"/>
  <c r="M366" i="27"/>
  <c r="M365" i="27"/>
  <c r="M364" i="27"/>
  <c r="M363" i="27"/>
  <c r="M362" i="27"/>
  <c r="M361" i="27"/>
  <c r="M359" i="27"/>
  <c r="M358" i="27"/>
  <c r="M357" i="27"/>
  <c r="M356" i="27"/>
  <c r="M355" i="27"/>
  <c r="M354" i="27"/>
  <c r="M353" i="27"/>
  <c r="M352" i="27"/>
  <c r="M351" i="27"/>
  <c r="M350" i="27"/>
  <c r="M349" i="27"/>
  <c r="M348" i="27"/>
  <c r="M347" i="27"/>
  <c r="M345" i="27"/>
  <c r="M344" i="27"/>
  <c r="M343" i="27"/>
  <c r="M342" i="27"/>
  <c r="M341" i="27"/>
  <c r="M340" i="27"/>
  <c r="M339" i="27"/>
  <c r="M338" i="27"/>
  <c r="M337" i="27"/>
  <c r="M336" i="27"/>
  <c r="M335" i="27"/>
  <c r="M334" i="27"/>
  <c r="M333" i="27"/>
  <c r="M331" i="27"/>
  <c r="M330" i="27"/>
  <c r="M329" i="27"/>
  <c r="M328" i="27"/>
  <c r="M327" i="27"/>
  <c r="M326" i="27"/>
  <c r="M325" i="27"/>
  <c r="M324" i="27"/>
  <c r="M323" i="27"/>
  <c r="M322" i="27"/>
  <c r="M321" i="27"/>
  <c r="M320" i="27"/>
  <c r="M319" i="27"/>
  <c r="M267" i="27"/>
  <c r="M266" i="27"/>
  <c r="M265" i="27"/>
  <c r="M264" i="27"/>
  <c r="M263" i="27"/>
  <c r="M262" i="27"/>
  <c r="M261" i="27"/>
  <c r="M260" i="27"/>
  <c r="M259" i="27"/>
  <c r="M258" i="27"/>
  <c r="M257" i="27"/>
  <c r="M256" i="27"/>
  <c r="M255" i="27"/>
  <c r="M203" i="27"/>
  <c r="M202" i="27"/>
  <c r="M201" i="27"/>
  <c r="M200" i="27"/>
  <c r="M199" i="27"/>
  <c r="M198" i="27"/>
  <c r="M197" i="27"/>
  <c r="M196" i="27"/>
  <c r="M195" i="27"/>
  <c r="M194" i="27"/>
  <c r="M193" i="27"/>
  <c r="M192" i="27"/>
  <c r="M191" i="27"/>
  <c r="M189" i="27"/>
  <c r="M188" i="27"/>
  <c r="M187" i="27"/>
  <c r="M186" i="27"/>
  <c r="M185" i="27"/>
  <c r="M184" i="27"/>
  <c r="M183" i="27"/>
  <c r="M182" i="27"/>
  <c r="M181" i="27"/>
  <c r="M180" i="27"/>
  <c r="M179" i="27"/>
  <c r="M178" i="27"/>
  <c r="M177" i="27"/>
  <c r="M175" i="27"/>
  <c r="M174" i="27"/>
  <c r="M173" i="27"/>
  <c r="M172" i="27"/>
  <c r="M171" i="27"/>
  <c r="M170" i="27"/>
  <c r="M169" i="27"/>
  <c r="M168" i="27"/>
  <c r="M167" i="27"/>
  <c r="M166" i="27"/>
  <c r="M165" i="27"/>
  <c r="M164" i="27"/>
  <c r="M163" i="27"/>
  <c r="M162" i="27"/>
  <c r="M160" i="27"/>
  <c r="M159" i="27"/>
  <c r="M158" i="27"/>
  <c r="M157" i="27"/>
  <c r="M156" i="27"/>
  <c r="M155" i="27"/>
  <c r="M154" i="27"/>
  <c r="M153" i="27"/>
  <c r="M152" i="27"/>
  <c r="M151" i="27"/>
  <c r="M150" i="27"/>
  <c r="M149" i="27"/>
  <c r="M148" i="27"/>
  <c r="M146" i="27"/>
  <c r="M145" i="27"/>
  <c r="M144" i="27"/>
  <c r="M143" i="27"/>
  <c r="M142" i="27"/>
  <c r="M141" i="27"/>
  <c r="M140" i="27"/>
  <c r="M139" i="27"/>
  <c r="M138" i="27"/>
  <c r="M137" i="27"/>
  <c r="M136" i="27"/>
  <c r="M135" i="27"/>
  <c r="M134" i="27"/>
  <c r="M133" i="27"/>
  <c r="M131" i="27"/>
  <c r="M130" i="27"/>
  <c r="M129" i="27"/>
  <c r="M128" i="27"/>
  <c r="M127" i="27"/>
  <c r="M126" i="27"/>
  <c r="M125" i="27"/>
  <c r="M124" i="27"/>
  <c r="M123" i="27"/>
  <c r="M122" i="27"/>
  <c r="N122" i="27" s="1"/>
  <c r="M121" i="27"/>
  <c r="N121" i="27" s="1"/>
  <c r="M120" i="27"/>
  <c r="N120" i="27" s="1"/>
  <c r="M119" i="27"/>
  <c r="N119" i="27" s="1"/>
  <c r="M118" i="27"/>
  <c r="N118" i="27" s="1"/>
  <c r="M117" i="27"/>
  <c r="N117" i="27" s="1"/>
  <c r="M116" i="27"/>
  <c r="N116" i="27" s="1"/>
  <c r="M115" i="27"/>
  <c r="N115" i="27" s="1"/>
  <c r="M114" i="27"/>
  <c r="N114" i="27" s="1"/>
  <c r="M113" i="27"/>
  <c r="N113" i="27" s="1"/>
  <c r="M112" i="27"/>
  <c r="N112" i="27" s="1"/>
  <c r="M111" i="27"/>
  <c r="N111" i="27" s="1"/>
  <c r="M110" i="27"/>
  <c r="N110" i="27" s="1"/>
  <c r="M109" i="27"/>
  <c r="N109" i="27" s="1"/>
  <c r="M108" i="27"/>
  <c r="N108" i="27" s="1"/>
  <c r="M107" i="27"/>
  <c r="N107" i="27" s="1"/>
  <c r="M106" i="27"/>
  <c r="N106" i="27" s="1"/>
  <c r="M105" i="27"/>
  <c r="N105" i="27" s="1"/>
  <c r="M104" i="27"/>
  <c r="N104" i="27" s="1"/>
  <c r="M103" i="27"/>
  <c r="N103" i="27" s="1"/>
  <c r="M102" i="27"/>
  <c r="N102" i="27" s="1"/>
  <c r="M101" i="27"/>
  <c r="N101" i="27" s="1"/>
  <c r="M100" i="27"/>
  <c r="N100" i="27" s="1"/>
  <c r="M99" i="27"/>
  <c r="N99" i="27" s="1"/>
  <c r="M98" i="27"/>
  <c r="N98" i="27" s="1"/>
  <c r="M97" i="27"/>
  <c r="N97" i="27" s="1"/>
  <c r="M96" i="27"/>
  <c r="N96" i="27" s="1"/>
  <c r="M95" i="27"/>
  <c r="N95" i="27" s="1"/>
  <c r="M94" i="27"/>
  <c r="N94" i="27" s="1"/>
  <c r="M93" i="27"/>
  <c r="N93" i="27" s="1"/>
  <c r="M92" i="27"/>
  <c r="N92" i="27" s="1"/>
  <c r="M91" i="27"/>
  <c r="N91" i="27" s="1"/>
  <c r="M90" i="27"/>
  <c r="N90" i="27" s="1"/>
  <c r="M89" i="27"/>
  <c r="N89" i="27" s="1"/>
  <c r="M88" i="27"/>
  <c r="N88" i="27" s="1"/>
  <c r="M87" i="27"/>
  <c r="N87" i="27" s="1"/>
  <c r="M86" i="27"/>
  <c r="N86" i="27" s="1"/>
  <c r="M85" i="27"/>
  <c r="N85" i="27" s="1"/>
  <c r="M84" i="27"/>
  <c r="N84" i="27" s="1"/>
  <c r="M83" i="27"/>
  <c r="N83" i="27" s="1"/>
  <c r="M82" i="27"/>
  <c r="N82" i="27" s="1"/>
  <c r="M81" i="27"/>
  <c r="N81" i="27" s="1"/>
  <c r="M80" i="27"/>
  <c r="N80" i="27" s="1"/>
  <c r="M79" i="27"/>
  <c r="N79" i="27" s="1"/>
  <c r="M78" i="27"/>
  <c r="N78" i="27" s="1"/>
  <c r="M77" i="27"/>
  <c r="N77" i="27" s="1"/>
  <c r="M76" i="27"/>
  <c r="N76" i="27" s="1"/>
  <c r="M75" i="27"/>
  <c r="N75" i="27" s="1"/>
  <c r="M74" i="27"/>
  <c r="N74" i="27" s="1"/>
  <c r="M73" i="27"/>
  <c r="N73" i="27" s="1"/>
  <c r="M72" i="27"/>
  <c r="N72" i="27" s="1"/>
  <c r="M71" i="27"/>
  <c r="N71" i="27" s="1"/>
  <c r="M70" i="27"/>
  <c r="N70" i="27" s="1"/>
  <c r="M69" i="27"/>
  <c r="N69" i="27" s="1"/>
  <c r="M68" i="27"/>
  <c r="N68" i="27" s="1"/>
  <c r="M67" i="27"/>
  <c r="N67" i="27" s="1"/>
  <c r="M66" i="27"/>
  <c r="N66" i="27" s="1"/>
  <c r="M65" i="27"/>
  <c r="N65" i="27" s="1"/>
  <c r="M64" i="27"/>
  <c r="N64" i="27" s="1"/>
  <c r="M63" i="27"/>
  <c r="N63" i="27" s="1"/>
  <c r="M62" i="27"/>
  <c r="N62" i="27" s="1"/>
  <c r="M61" i="27"/>
  <c r="N61" i="27" s="1"/>
  <c r="M60" i="27"/>
  <c r="N60" i="27" s="1"/>
  <c r="M59" i="27"/>
  <c r="N59" i="27" s="1"/>
  <c r="M58" i="27"/>
  <c r="N58" i="27" s="1"/>
  <c r="M57" i="27"/>
  <c r="N57" i="27" s="1"/>
  <c r="M56" i="27"/>
  <c r="N56" i="27" s="1"/>
  <c r="M55" i="27"/>
  <c r="N55" i="27" s="1"/>
  <c r="M54" i="27"/>
  <c r="N54" i="27" s="1"/>
  <c r="M53" i="27"/>
  <c r="N53" i="27" s="1"/>
  <c r="M52" i="27"/>
  <c r="N52" i="27" s="1"/>
  <c r="M51" i="27"/>
  <c r="N51" i="27" s="1"/>
  <c r="M50" i="27"/>
  <c r="N50" i="27" s="1"/>
  <c r="M49" i="27"/>
  <c r="N49" i="27" s="1"/>
  <c r="M48" i="27"/>
  <c r="N48" i="27" s="1"/>
  <c r="M47" i="27"/>
  <c r="N47" i="27" s="1"/>
  <c r="M46" i="27"/>
  <c r="N46" i="27" s="1"/>
  <c r="M45" i="27"/>
  <c r="N45" i="27" s="1"/>
  <c r="M44" i="27"/>
  <c r="N44" i="27" s="1"/>
  <c r="M42" i="27"/>
  <c r="M41" i="27"/>
  <c r="M40" i="27"/>
  <c r="M39" i="27"/>
  <c r="M38" i="27"/>
  <c r="M37" i="27"/>
  <c r="M36" i="27"/>
  <c r="M35" i="27"/>
  <c r="M34" i="27"/>
  <c r="M33" i="27"/>
  <c r="M32" i="27"/>
  <c r="AH31" i="27"/>
  <c r="M31" i="27"/>
  <c r="AH30" i="27"/>
  <c r="M30" i="27"/>
  <c r="AH29" i="27"/>
  <c r="M29" i="27"/>
  <c r="AH28" i="27"/>
  <c r="M28" i="27"/>
  <c r="AH27" i="27"/>
  <c r="M27" i="27"/>
  <c r="AH26" i="27"/>
  <c r="M26" i="27"/>
  <c r="AH25" i="27"/>
  <c r="M25" i="27"/>
  <c r="AH24" i="27"/>
  <c r="M24" i="27"/>
  <c r="AH23" i="27"/>
  <c r="M23" i="27"/>
  <c r="AH22" i="27"/>
  <c r="M22" i="27"/>
  <c r="AH21" i="27"/>
  <c r="M21" i="27"/>
  <c r="AH20" i="27"/>
  <c r="M20" i="27"/>
  <c r="AH19" i="27"/>
  <c r="M19" i="27"/>
  <c r="AH18" i="27"/>
  <c r="M18" i="27"/>
  <c r="AH17" i="27"/>
  <c r="M17" i="27"/>
  <c r="AH16" i="27"/>
  <c r="M16" i="27"/>
  <c r="AH15" i="27"/>
  <c r="M15" i="27"/>
  <c r="AH14" i="27"/>
  <c r="M14" i="27"/>
  <c r="AH13" i="27"/>
  <c r="M13" i="27"/>
  <c r="K13" i="27"/>
  <c r="AH12" i="27"/>
  <c r="AH11" i="27"/>
  <c r="M11" i="27"/>
  <c r="AH10" i="27"/>
  <c r="M10" i="27"/>
  <c r="M9" i="27"/>
  <c r="M8" i="27"/>
  <c r="M7" i="27"/>
  <c r="M6" i="27"/>
  <c r="M5" i="27"/>
  <c r="M4" i="27"/>
  <c r="M3" i="27"/>
  <c r="M3208" i="24"/>
  <c r="M3207" i="24"/>
  <c r="M3206" i="24"/>
  <c r="M3205" i="24"/>
  <c r="M3204" i="24"/>
  <c r="M3203" i="24"/>
  <c r="M3202" i="24"/>
  <c r="M3201" i="24"/>
  <c r="M3200" i="24"/>
  <c r="M3199" i="24"/>
  <c r="M3198" i="24"/>
  <c r="M3197" i="24"/>
  <c r="M3196" i="24"/>
  <c r="M3195" i="24"/>
  <c r="M3194" i="24"/>
  <c r="M3193" i="24"/>
  <c r="M3192" i="24"/>
  <c r="M3191" i="24"/>
  <c r="M3190" i="24"/>
  <c r="M3189" i="24"/>
  <c r="M3188" i="24"/>
  <c r="M3187" i="24"/>
  <c r="M3186" i="24"/>
  <c r="M3185" i="24"/>
  <c r="M3184" i="24"/>
  <c r="M3183" i="24"/>
  <c r="M3182" i="24"/>
  <c r="M3181" i="24"/>
  <c r="M3180" i="24"/>
  <c r="M3179" i="24"/>
  <c r="M3178" i="24"/>
  <c r="M3176" i="24"/>
  <c r="M3175" i="24"/>
  <c r="M3174" i="24"/>
  <c r="M3173" i="24"/>
  <c r="M3172" i="24"/>
  <c r="M3171" i="24"/>
  <c r="M3170" i="24"/>
  <c r="M3169" i="24"/>
  <c r="M3168" i="24"/>
  <c r="M3167" i="24"/>
  <c r="M3166" i="24"/>
  <c r="M3165" i="24"/>
  <c r="M3164" i="24"/>
  <c r="M3162" i="24"/>
  <c r="M3161" i="24"/>
  <c r="M3160" i="24"/>
  <c r="M3159" i="24"/>
  <c r="M3158" i="24"/>
  <c r="M3157" i="24"/>
  <c r="M3156" i="24"/>
  <c r="M3155" i="24"/>
  <c r="M3154" i="24"/>
  <c r="M3153" i="24"/>
  <c r="M3152" i="24"/>
  <c r="M3151" i="24"/>
  <c r="M3149" i="24"/>
  <c r="M3148" i="24"/>
  <c r="M3147" i="24"/>
  <c r="M3146" i="24"/>
  <c r="M3145" i="24"/>
  <c r="M3144" i="24"/>
  <c r="M3143" i="24"/>
  <c r="M3142" i="24"/>
  <c r="M3141" i="24"/>
  <c r="M3140" i="24"/>
  <c r="M3139" i="24"/>
  <c r="M3138" i="24"/>
  <c r="M3137" i="24"/>
  <c r="M3136" i="24"/>
  <c r="M3135" i="24"/>
  <c r="M3129" i="24"/>
  <c r="M3128" i="24"/>
  <c r="M3127" i="24"/>
  <c r="M3126" i="24"/>
  <c r="M3125" i="24"/>
  <c r="M3124" i="24"/>
  <c r="M3123" i="24"/>
  <c r="M3122" i="24"/>
  <c r="M3121" i="24"/>
  <c r="M3120" i="24"/>
  <c r="M3119" i="24"/>
  <c r="M3118" i="24"/>
  <c r="M3117" i="24"/>
  <c r="M3116" i="24"/>
  <c r="M3114" i="24"/>
  <c r="M3113" i="24"/>
  <c r="M3112" i="24"/>
  <c r="M3111" i="24"/>
  <c r="M3110" i="24"/>
  <c r="M3109" i="24"/>
  <c r="M3108" i="24"/>
  <c r="M3107" i="24"/>
  <c r="M3106" i="24"/>
  <c r="M3105" i="24"/>
  <c r="M3104" i="24"/>
  <c r="M3103" i="24"/>
  <c r="M3102" i="24"/>
  <c r="M3101" i="24"/>
  <c r="M3100" i="24"/>
  <c r="M3099" i="24"/>
  <c r="M3098" i="24"/>
  <c r="M3097" i="24"/>
  <c r="M3096" i="24"/>
  <c r="M3095" i="24"/>
  <c r="M3094" i="24"/>
  <c r="M3093" i="24"/>
  <c r="M3092" i="24"/>
  <c r="M3091" i="24"/>
  <c r="M3089" i="24"/>
  <c r="M3088" i="24"/>
  <c r="M3087" i="24"/>
  <c r="M3086" i="24"/>
  <c r="M3085" i="24"/>
  <c r="M3084" i="24"/>
  <c r="M3083" i="24"/>
  <c r="M3082" i="24"/>
  <c r="M3081" i="24"/>
  <c r="M3080" i="24"/>
  <c r="M3079" i="24"/>
  <c r="M3078" i="24"/>
  <c r="M3077" i="24"/>
  <c r="M3076" i="24"/>
  <c r="M3075" i="24"/>
  <c r="M3074" i="24"/>
  <c r="M3073" i="24"/>
  <c r="M3072" i="24"/>
  <c r="M3071" i="24"/>
  <c r="M3070" i="24"/>
  <c r="M3069" i="24"/>
  <c r="M3068" i="24"/>
  <c r="M3067" i="24"/>
  <c r="M3066" i="24"/>
  <c r="M3065" i="24"/>
  <c r="M3064" i="24"/>
  <c r="M3063" i="24"/>
  <c r="M3061" i="24"/>
  <c r="M3060" i="24"/>
  <c r="M3059" i="24"/>
  <c r="M3058" i="24"/>
  <c r="M3057" i="24"/>
  <c r="M3056" i="24"/>
  <c r="M3055" i="24"/>
  <c r="M3054" i="24"/>
  <c r="M3053" i="24"/>
  <c r="M3052" i="24"/>
  <c r="M3051" i="24"/>
  <c r="M3050" i="24"/>
  <c r="M3049" i="24"/>
  <c r="M3048" i="24"/>
  <c r="M3047" i="24"/>
  <c r="M3046" i="24"/>
  <c r="M3045" i="24"/>
  <c r="M3044" i="24"/>
  <c r="M3043" i="24"/>
  <c r="M3042" i="24"/>
  <c r="M3041" i="24"/>
  <c r="M3040" i="24"/>
  <c r="M3039" i="24"/>
  <c r="M3037" i="24"/>
  <c r="M3036" i="24"/>
  <c r="M3035" i="24"/>
  <c r="M3034" i="24"/>
  <c r="M3033" i="24"/>
  <c r="M3032" i="24"/>
  <c r="M3031" i="24"/>
  <c r="M3030" i="24"/>
  <c r="M3029" i="24"/>
  <c r="M3028" i="24"/>
  <c r="M3027" i="24"/>
  <c r="M3026" i="24"/>
  <c r="M3024" i="24"/>
  <c r="M3023" i="24"/>
  <c r="M3022" i="24"/>
  <c r="M3021" i="24"/>
  <c r="M3020" i="24"/>
  <c r="M3019" i="24"/>
  <c r="M3018" i="24"/>
  <c r="M3017" i="24"/>
  <c r="M3016" i="24"/>
  <c r="M3015" i="24"/>
  <c r="M3013" i="24"/>
  <c r="M3012" i="24"/>
  <c r="M3011" i="24"/>
  <c r="M3010" i="24"/>
  <c r="M3009" i="24"/>
  <c r="M3008" i="24"/>
  <c r="M3007" i="24"/>
  <c r="M3006" i="24"/>
  <c r="M3005" i="24"/>
  <c r="M3004" i="24"/>
  <c r="M3003" i="24"/>
  <c r="M3002" i="24"/>
  <c r="M3001" i="24"/>
  <c r="M3000" i="24"/>
  <c r="M2999" i="24"/>
  <c r="M2998" i="24"/>
  <c r="M2996" i="24"/>
  <c r="M2995" i="24"/>
  <c r="M2994" i="24"/>
  <c r="M2993" i="24"/>
  <c r="M2992" i="24"/>
  <c r="M2991" i="24"/>
  <c r="M2990" i="24"/>
  <c r="M2989" i="24"/>
  <c r="M2988" i="24"/>
  <c r="M2987" i="24"/>
  <c r="M2985" i="24"/>
  <c r="M2984" i="24"/>
  <c r="M2983" i="24"/>
  <c r="M2982" i="24"/>
  <c r="M2981" i="24"/>
  <c r="M2980" i="24"/>
  <c r="M2979" i="24"/>
  <c r="M2978" i="24"/>
  <c r="M2977" i="24"/>
  <c r="M2976" i="24"/>
  <c r="M2975" i="24"/>
  <c r="M2971" i="24"/>
  <c r="M2970" i="24"/>
  <c r="M2969" i="24"/>
  <c r="M2968" i="24"/>
  <c r="M2966" i="24"/>
  <c r="M2965" i="24"/>
  <c r="M2964" i="24"/>
  <c r="M2962" i="24"/>
  <c r="M2961" i="24"/>
  <c r="M2960" i="24"/>
  <c r="M2959" i="24"/>
  <c r="M2958" i="24"/>
  <c r="M2957" i="24"/>
  <c r="M2956" i="24"/>
  <c r="M2955" i="24"/>
  <c r="M2954" i="24"/>
  <c r="M2953" i="24"/>
  <c r="M2952" i="24"/>
  <c r="M2951" i="24"/>
  <c r="M2950" i="24"/>
  <c r="M2949" i="24"/>
  <c r="M2947" i="24"/>
  <c r="M2946" i="24"/>
  <c r="M2945" i="24"/>
  <c r="M2944" i="24"/>
  <c r="M2943" i="24"/>
  <c r="M2942" i="24"/>
  <c r="M2941" i="24"/>
  <c r="M2940" i="24"/>
  <c r="M2939" i="24"/>
  <c r="M2938" i="24"/>
  <c r="M2937" i="24"/>
  <c r="M2936" i="24"/>
  <c r="M2935" i="24"/>
  <c r="M2934" i="24"/>
  <c r="M2932" i="24"/>
  <c r="M2931" i="24"/>
  <c r="M2930" i="24"/>
  <c r="M2929" i="24"/>
  <c r="M2927" i="24"/>
  <c r="M2926" i="24"/>
  <c r="M2925" i="24"/>
  <c r="M2924" i="24"/>
  <c r="M2923" i="24"/>
  <c r="M2922" i="24"/>
  <c r="M2921" i="24"/>
  <c r="M2920" i="24"/>
  <c r="M2919" i="24"/>
  <c r="M2918" i="24"/>
  <c r="M2917" i="24"/>
  <c r="M2916" i="24"/>
  <c r="M2914" i="24"/>
  <c r="M2913" i="24"/>
  <c r="M2912" i="24"/>
  <c r="M2911" i="24"/>
  <c r="M2910" i="24"/>
  <c r="M2909" i="24"/>
  <c r="M2908" i="24"/>
  <c r="M2907" i="24"/>
  <c r="M2906" i="24"/>
  <c r="M2905" i="24"/>
  <c r="M2904" i="24"/>
  <c r="M2903" i="24"/>
  <c r="M2902" i="24"/>
  <c r="M2901" i="24"/>
  <c r="M2900" i="24"/>
  <c r="M2899" i="24"/>
  <c r="M2898" i="24"/>
  <c r="M2897" i="24"/>
  <c r="M2896" i="24"/>
  <c r="M2895" i="24"/>
  <c r="M2894" i="24"/>
  <c r="M2893" i="24"/>
  <c r="M2892" i="24"/>
  <c r="M2891" i="24"/>
  <c r="M2890" i="24"/>
  <c r="M2889" i="24"/>
  <c r="M2888" i="24"/>
  <c r="M2887" i="24"/>
  <c r="M2886" i="24"/>
  <c r="M2885" i="24"/>
  <c r="M2884" i="24"/>
  <c r="M2883" i="24"/>
  <c r="M2882" i="24"/>
  <c r="M2881" i="24"/>
  <c r="M2880" i="24"/>
  <c r="M2879" i="24"/>
  <c r="M2878" i="24"/>
  <c r="M2877" i="24"/>
  <c r="M2876" i="24"/>
  <c r="M2875" i="24"/>
  <c r="M2874" i="24"/>
  <c r="M2873" i="24"/>
  <c r="M2872" i="24"/>
  <c r="M2871" i="24"/>
  <c r="M2870" i="24"/>
  <c r="M2869" i="24"/>
  <c r="M2868" i="24"/>
  <c r="M2867" i="24"/>
  <c r="M2866" i="24"/>
  <c r="M2865" i="24"/>
  <c r="M2864" i="24"/>
  <c r="M2863" i="24"/>
  <c r="M2862" i="24"/>
  <c r="M2861" i="24"/>
  <c r="M2859" i="24"/>
  <c r="M2858" i="24"/>
  <c r="M2857" i="24"/>
  <c r="M2856" i="24"/>
  <c r="M2855" i="24"/>
  <c r="M2854" i="24"/>
  <c r="M2853" i="24"/>
  <c r="M2852" i="24"/>
  <c r="M2851" i="24"/>
  <c r="M2850" i="24"/>
  <c r="M2849" i="24"/>
  <c r="M2848" i="24"/>
  <c r="M2847" i="24"/>
  <c r="M2846" i="24"/>
  <c r="M2845" i="24"/>
  <c r="M2844" i="24"/>
  <c r="M2843" i="24"/>
  <c r="M2841" i="24"/>
  <c r="M2840" i="24"/>
  <c r="M2839" i="24"/>
  <c r="M2838" i="24"/>
  <c r="M2837" i="24"/>
  <c r="M2836" i="24"/>
  <c r="M2835" i="24"/>
  <c r="M2834" i="24"/>
  <c r="M2833" i="24"/>
  <c r="M2832" i="24"/>
  <c r="M2831" i="24"/>
  <c r="M2830" i="24"/>
  <c r="M2829" i="24"/>
  <c r="M2828" i="24"/>
  <c r="M2827" i="24"/>
  <c r="M2826" i="24"/>
  <c r="M2825" i="24"/>
  <c r="M2824" i="24"/>
  <c r="M2823" i="24"/>
  <c r="M2822" i="24"/>
  <c r="M2821" i="24"/>
  <c r="M2820" i="24"/>
  <c r="M2819" i="24"/>
  <c r="M2818" i="24"/>
  <c r="M2817" i="24"/>
  <c r="M2816" i="24"/>
  <c r="M2815" i="24"/>
  <c r="M2814" i="24"/>
  <c r="M2813" i="24"/>
  <c r="M2812" i="24"/>
  <c r="M2811" i="24"/>
  <c r="M2810" i="24"/>
  <c r="M2809" i="24"/>
  <c r="M2808" i="24"/>
  <c r="M2807" i="24"/>
  <c r="M2806" i="24"/>
  <c r="M2805" i="24"/>
  <c r="M2804" i="24"/>
  <c r="M2803" i="24"/>
  <c r="M2802" i="24"/>
  <c r="M2801" i="24"/>
  <c r="M2800" i="24"/>
  <c r="M2799" i="24"/>
  <c r="M2798" i="24"/>
  <c r="M2797" i="24"/>
  <c r="M2796" i="24"/>
  <c r="M2795" i="24"/>
  <c r="M2794" i="24"/>
  <c r="M2793" i="24"/>
  <c r="M2792" i="24"/>
  <c r="M2791" i="24"/>
  <c r="M2790" i="24"/>
  <c r="M2789" i="24"/>
  <c r="M2788" i="24"/>
  <c r="M2787" i="24"/>
  <c r="M2786" i="24"/>
  <c r="M2785" i="24"/>
  <c r="M2784" i="24"/>
  <c r="M2783" i="24"/>
  <c r="M2782" i="24"/>
  <c r="M2781" i="24"/>
  <c r="M2780" i="24"/>
  <c r="M2779" i="24"/>
  <c r="M2778" i="24"/>
  <c r="M2777" i="24"/>
  <c r="M2776" i="24"/>
  <c r="M2775" i="24"/>
  <c r="M2774" i="24"/>
  <c r="M2773" i="24"/>
  <c r="M2772" i="24"/>
  <c r="M2771" i="24"/>
  <c r="M2770" i="24"/>
  <c r="M2769" i="24"/>
  <c r="M2768" i="24"/>
  <c r="M2767" i="24"/>
  <c r="M2766" i="24"/>
  <c r="M2765" i="24"/>
  <c r="M2764" i="24"/>
  <c r="M2763" i="24"/>
  <c r="M2762" i="24"/>
  <c r="M2760" i="24"/>
  <c r="M2759" i="24"/>
  <c r="M2758" i="24"/>
  <c r="M2757" i="24"/>
  <c r="M2756" i="24"/>
  <c r="M2755" i="24"/>
  <c r="M2754" i="24"/>
  <c r="M2753" i="24"/>
  <c r="M2752" i="24"/>
  <c r="M2751" i="24"/>
  <c r="M2750" i="24"/>
  <c r="M2749" i="24"/>
  <c r="M2748" i="24"/>
  <c r="M2747" i="24"/>
  <c r="M2746" i="24"/>
  <c r="M2745" i="24"/>
  <c r="M2743" i="24"/>
  <c r="M2742" i="24"/>
  <c r="M2741" i="24"/>
  <c r="M2740" i="24"/>
  <c r="M2739" i="24"/>
  <c r="M2738" i="24"/>
  <c r="M2737" i="24"/>
  <c r="M2735" i="24"/>
  <c r="M2734" i="24"/>
  <c r="M2733" i="24"/>
  <c r="M2732" i="24"/>
  <c r="M2731" i="24"/>
  <c r="M2730" i="24"/>
  <c r="M2729" i="24"/>
  <c r="M2728" i="24"/>
  <c r="M2727" i="24"/>
  <c r="M2726" i="24"/>
  <c r="M2725" i="24"/>
  <c r="M2724" i="24"/>
  <c r="M2722" i="24"/>
  <c r="M2721" i="24"/>
  <c r="M2720" i="24"/>
  <c r="M2719" i="24"/>
  <c r="M2718" i="24"/>
  <c r="M2717" i="24"/>
  <c r="M2716" i="24"/>
  <c r="M2715" i="24"/>
  <c r="M2714" i="24"/>
  <c r="M2713" i="24"/>
  <c r="M2712" i="24"/>
  <c r="M2711" i="24"/>
  <c r="M2709" i="24"/>
  <c r="M2708" i="24"/>
  <c r="M2707" i="24"/>
  <c r="M2706" i="24"/>
  <c r="M2705" i="24"/>
  <c r="M2704" i="24"/>
  <c r="M2703" i="24"/>
  <c r="M2702" i="24"/>
  <c r="M2701" i="24"/>
  <c r="M2700" i="24"/>
  <c r="M2699" i="24"/>
  <c r="M2698" i="24"/>
  <c r="M2696" i="24"/>
  <c r="M2695" i="24"/>
  <c r="M2694" i="24"/>
  <c r="M2693" i="24"/>
  <c r="M2692" i="24"/>
  <c r="M2691" i="24"/>
  <c r="M2690" i="24"/>
  <c r="M2689" i="24"/>
  <c r="M2688" i="24"/>
  <c r="M2687" i="24"/>
  <c r="M2686" i="24"/>
  <c r="M2685" i="24"/>
  <c r="M2683" i="24"/>
  <c r="M2682" i="24"/>
  <c r="M2681" i="24"/>
  <c r="M2680" i="24"/>
  <c r="M2679" i="24"/>
  <c r="M2678" i="24"/>
  <c r="M2677" i="24"/>
  <c r="M2676" i="24"/>
  <c r="M2675" i="24"/>
  <c r="M2674" i="24"/>
  <c r="M2673" i="24"/>
  <c r="M2672" i="24"/>
  <c r="M2671" i="24"/>
  <c r="M2670" i="24"/>
  <c r="M2669" i="24"/>
  <c r="M2667" i="24"/>
  <c r="M2665" i="24"/>
  <c r="M2663" i="24"/>
  <c r="M2661" i="24"/>
  <c r="M2660" i="24"/>
  <c r="M2659" i="24"/>
  <c r="M2658" i="24"/>
  <c r="M2657" i="24"/>
  <c r="M2656" i="24"/>
  <c r="M2655" i="24"/>
  <c r="M2654" i="24"/>
  <c r="M2653" i="24"/>
  <c r="M2652" i="24"/>
  <c r="M2650" i="24"/>
  <c r="M2649" i="24"/>
  <c r="M2648" i="24"/>
  <c r="M2647" i="24"/>
  <c r="M2646" i="24"/>
  <c r="M2645" i="24"/>
  <c r="M2644" i="24"/>
  <c r="M2643" i="24"/>
  <c r="M2641" i="24"/>
  <c r="M2640" i="24"/>
  <c r="M2639" i="24"/>
  <c r="M2638" i="24"/>
  <c r="M2637" i="24"/>
  <c r="M2636" i="24"/>
  <c r="M2635" i="24"/>
  <c r="M2634" i="24"/>
  <c r="M2633" i="24"/>
  <c r="M2632" i="24"/>
  <c r="M2631" i="24"/>
  <c r="M2630" i="24"/>
  <c r="M2628" i="24"/>
  <c r="M2627" i="24"/>
  <c r="M2626" i="24"/>
  <c r="M2625" i="24"/>
  <c r="M2624" i="24"/>
  <c r="M2623" i="24"/>
  <c r="M2622" i="24"/>
  <c r="M2621" i="24"/>
  <c r="M2620" i="24"/>
  <c r="M2619" i="24"/>
  <c r="M2618" i="24"/>
  <c r="M2617" i="24"/>
  <c r="M2616" i="24"/>
  <c r="M2614" i="24"/>
  <c r="M2613" i="24"/>
  <c r="M2612" i="24"/>
  <c r="M2611" i="24"/>
  <c r="M2610" i="24"/>
  <c r="M2609" i="24"/>
  <c r="M2600" i="24"/>
  <c r="M2599" i="24"/>
  <c r="M2598" i="24"/>
  <c r="M2597" i="24"/>
  <c r="M2596" i="24"/>
  <c r="M2595" i="24"/>
  <c r="M2594" i="24"/>
  <c r="M2593" i="24"/>
  <c r="M2592" i="24"/>
  <c r="M2591" i="24"/>
  <c r="M2589" i="24"/>
  <c r="M2588" i="24"/>
  <c r="M2587" i="24"/>
  <c r="M2586" i="24"/>
  <c r="M2585" i="24"/>
  <c r="M2584" i="24"/>
  <c r="M2583" i="24"/>
  <c r="M2582" i="24"/>
  <c r="M2581" i="24"/>
  <c r="M2580" i="24"/>
  <c r="M2579" i="24"/>
  <c r="M2578" i="24"/>
  <c r="M2577" i="24"/>
  <c r="M2576" i="24"/>
  <c r="M2575" i="24"/>
  <c r="M2574" i="24"/>
  <c r="M2573" i="24"/>
  <c r="M2572" i="24"/>
  <c r="M2571" i="24"/>
  <c r="M2569" i="24"/>
  <c r="M2568" i="24"/>
  <c r="M2567" i="24"/>
  <c r="M2566" i="24"/>
  <c r="M2565" i="24"/>
  <c r="M2564" i="24"/>
  <c r="M2563" i="24"/>
  <c r="M2562" i="24"/>
  <c r="M2560" i="24"/>
  <c r="M2559" i="24"/>
  <c r="M2558" i="24"/>
  <c r="M2557" i="24"/>
  <c r="M2556" i="24"/>
  <c r="M2555" i="24"/>
  <c r="M2554" i="24"/>
  <c r="M2553" i="24"/>
  <c r="M2551" i="24"/>
  <c r="M2550" i="24"/>
  <c r="M2549" i="24"/>
  <c r="M2548" i="24"/>
  <c r="M2547" i="24"/>
  <c r="M2546" i="24"/>
  <c r="M2545" i="24"/>
  <c r="M2544" i="24"/>
  <c r="M2542" i="24"/>
  <c r="N2542" i="24" s="1"/>
  <c r="M2541" i="24"/>
  <c r="N2541" i="24" s="1"/>
  <c r="M2540" i="24"/>
  <c r="N2540" i="24" s="1"/>
  <c r="M2539" i="24"/>
  <c r="N2539" i="24" s="1"/>
  <c r="M2538" i="24"/>
  <c r="N2538" i="24" s="1"/>
  <c r="M2537" i="24"/>
  <c r="N2537" i="24" s="1"/>
  <c r="M2536" i="24"/>
  <c r="N2536" i="24" s="1"/>
  <c r="M2535" i="24"/>
  <c r="N2535" i="24" s="1"/>
  <c r="M2534" i="24"/>
  <c r="N2534" i="24" s="1"/>
  <c r="M2533" i="24"/>
  <c r="N2533" i="24" s="1"/>
  <c r="M2532" i="24"/>
  <c r="N2532" i="24" s="1"/>
  <c r="M2531" i="24"/>
  <c r="N2531" i="24" s="1"/>
  <c r="M2530" i="24"/>
  <c r="N2530" i="24" s="1"/>
  <c r="M2529" i="24"/>
  <c r="N2529" i="24" s="1"/>
  <c r="M2528" i="24"/>
  <c r="N2528" i="24" s="1"/>
  <c r="M2527" i="24"/>
  <c r="N2527" i="24" s="1"/>
  <c r="M2526" i="24"/>
  <c r="N2526" i="24" s="1"/>
  <c r="M2525" i="24"/>
  <c r="N2525" i="24" s="1"/>
  <c r="M2523" i="24"/>
  <c r="N2523" i="24" s="1"/>
  <c r="M2522" i="24"/>
  <c r="N2522" i="24" s="1"/>
  <c r="M2521" i="24"/>
  <c r="N2521" i="24" s="1"/>
  <c r="M2520" i="24"/>
  <c r="N2520" i="24" s="1"/>
  <c r="M2519" i="24"/>
  <c r="N2519" i="24" s="1"/>
  <c r="M2518" i="24"/>
  <c r="N2518" i="24" s="1"/>
  <c r="M2517" i="24"/>
  <c r="N2517" i="24" s="1"/>
  <c r="M2516" i="24"/>
  <c r="N2516" i="24" s="1"/>
  <c r="M2515" i="24"/>
  <c r="N2515" i="24" s="1"/>
  <c r="M2514" i="24"/>
  <c r="N2514" i="24" s="1"/>
  <c r="M2513" i="24"/>
  <c r="N2513" i="24" s="1"/>
  <c r="M2512" i="24"/>
  <c r="N2512" i="24" s="1"/>
  <c r="M2511" i="24"/>
  <c r="N2511" i="24" s="1"/>
  <c r="M2510" i="24"/>
  <c r="N2510" i="24" s="1"/>
  <c r="M2509" i="24"/>
  <c r="N2509" i="24" s="1"/>
  <c r="M2508" i="24"/>
  <c r="N2508" i="24" s="1"/>
  <c r="M2507" i="24"/>
  <c r="N2507" i="24" s="1"/>
  <c r="M2506" i="24"/>
  <c r="N2506" i="24" s="1"/>
  <c r="M2504" i="24"/>
  <c r="M2503" i="24"/>
  <c r="M2502" i="24"/>
  <c r="M2501" i="24"/>
  <c r="M2500" i="24"/>
  <c r="M2499" i="24"/>
  <c r="M2498" i="24"/>
  <c r="M2497" i="24"/>
  <c r="M2496" i="24"/>
  <c r="M2495" i="24"/>
  <c r="M2494" i="24"/>
  <c r="M2493" i="24"/>
  <c r="M2492" i="24"/>
  <c r="M2491" i="24"/>
  <c r="M2490" i="24"/>
  <c r="M2489" i="24"/>
  <c r="M2488" i="24"/>
  <c r="M2487" i="24"/>
  <c r="M2486" i="24"/>
  <c r="M2485" i="24"/>
  <c r="M2484" i="24"/>
  <c r="M2483" i="24"/>
  <c r="M2482" i="24"/>
  <c r="M2481" i="24"/>
  <c r="M2480" i="24"/>
  <c r="M2479" i="24"/>
  <c r="M2478" i="24"/>
  <c r="M2477" i="24"/>
  <c r="M2476" i="24"/>
  <c r="M2475" i="24"/>
  <c r="M2474" i="24"/>
  <c r="M2473" i="24"/>
  <c r="M2471" i="24"/>
  <c r="M2470" i="24"/>
  <c r="M2469" i="24"/>
  <c r="M2468" i="24"/>
  <c r="M2467" i="24"/>
  <c r="M2466" i="24"/>
  <c r="M2465" i="24"/>
  <c r="M2464" i="24"/>
  <c r="M2463" i="24"/>
  <c r="M2462" i="24"/>
  <c r="M2461" i="24"/>
  <c r="M2460" i="24"/>
  <c r="M2459" i="24"/>
  <c r="M2458" i="24"/>
  <c r="M2457" i="24"/>
  <c r="M2456" i="24"/>
  <c r="M2455" i="24"/>
  <c r="M2454" i="24"/>
  <c r="M2453" i="24"/>
  <c r="M2452" i="24"/>
  <c r="M2451" i="24"/>
  <c r="M2450" i="24"/>
  <c r="M2449" i="24"/>
  <c r="M2448" i="24"/>
  <c r="M2447" i="24"/>
  <c r="M2446" i="24"/>
  <c r="M2445" i="24"/>
  <c r="M2444" i="24"/>
  <c r="M2443" i="24"/>
  <c r="M2442" i="24"/>
  <c r="M2441" i="24"/>
  <c r="M2440" i="24"/>
  <c r="M2438" i="24"/>
  <c r="M2437" i="24"/>
  <c r="M2436" i="24"/>
  <c r="M2435" i="24"/>
  <c r="M2434" i="24"/>
  <c r="M2433" i="24"/>
  <c r="M2432" i="24"/>
  <c r="M2431" i="24"/>
  <c r="M2430" i="24"/>
  <c r="M2429" i="24"/>
  <c r="M2428" i="24"/>
  <c r="M2427" i="24"/>
  <c r="M2426" i="24"/>
  <c r="M2425" i="24"/>
  <c r="M2424" i="24"/>
  <c r="M2423" i="24"/>
  <c r="M2422" i="24"/>
  <c r="M2421" i="24"/>
  <c r="M2420" i="24"/>
  <c r="M2419" i="24"/>
  <c r="M2418" i="24"/>
  <c r="M2417" i="24"/>
  <c r="M2416" i="24"/>
  <c r="M2415" i="24"/>
  <c r="M2414" i="24"/>
  <c r="M2413" i="24"/>
  <c r="M2412" i="24"/>
  <c r="M2411" i="24"/>
  <c r="M2410" i="24"/>
  <c r="M2409" i="24"/>
  <c r="M2408" i="24"/>
  <c r="M2407" i="24"/>
  <c r="M2405" i="24"/>
  <c r="M2404" i="24"/>
  <c r="M2403" i="24"/>
  <c r="M2402" i="24"/>
  <c r="M2401" i="24"/>
  <c r="M2400" i="24"/>
  <c r="M2399" i="24"/>
  <c r="M2398" i="24"/>
  <c r="M2397" i="24"/>
  <c r="M2396" i="24"/>
  <c r="M2395" i="24"/>
  <c r="M2394" i="24"/>
  <c r="M2393" i="24"/>
  <c r="M2392" i="24"/>
  <c r="M2391" i="24"/>
  <c r="M2390" i="24"/>
  <c r="M2389" i="24"/>
  <c r="M2388" i="24"/>
  <c r="M2387" i="24"/>
  <c r="M2386" i="24"/>
  <c r="M2385" i="24"/>
  <c r="M2384" i="24"/>
  <c r="M2383" i="24"/>
  <c r="M2382" i="24"/>
  <c r="M2381" i="24"/>
  <c r="M2380" i="24"/>
  <c r="M2379" i="24"/>
  <c r="M2378" i="24"/>
  <c r="M2377" i="24"/>
  <c r="M2376" i="24"/>
  <c r="M2375" i="24"/>
  <c r="M2374" i="24"/>
  <c r="M2372" i="24"/>
  <c r="M2371" i="24"/>
  <c r="M2370" i="24"/>
  <c r="M2369" i="24"/>
  <c r="M2368" i="24"/>
  <c r="M2367" i="24"/>
  <c r="M2366" i="24"/>
  <c r="M2365" i="24"/>
  <c r="M2364" i="24"/>
  <c r="M2363" i="24"/>
  <c r="M2362" i="24"/>
  <c r="M2361" i="24"/>
  <c r="M2360" i="24"/>
  <c r="M2359" i="24"/>
  <c r="M2358" i="24"/>
  <c r="M2357" i="24"/>
  <c r="M2356" i="24"/>
  <c r="M2355" i="24"/>
  <c r="M2354" i="24"/>
  <c r="M2353" i="24"/>
  <c r="M2352" i="24"/>
  <c r="M2351" i="24"/>
  <c r="M2350" i="24"/>
  <c r="M2349" i="24"/>
  <c r="M2348" i="24"/>
  <c r="M2347" i="24"/>
  <c r="M2346" i="24"/>
  <c r="M2345" i="24"/>
  <c r="M2344" i="24"/>
  <c r="M2343" i="24"/>
  <c r="M2342" i="24"/>
  <c r="M2341" i="24"/>
  <c r="M2339" i="24"/>
  <c r="M2338" i="24"/>
  <c r="M2337" i="24"/>
  <c r="M2336" i="24"/>
  <c r="M2335" i="24"/>
  <c r="M2334" i="24"/>
  <c r="M2333" i="24"/>
  <c r="M2332" i="24"/>
  <c r="M2331" i="24"/>
  <c r="M2330" i="24"/>
  <c r="M2329" i="24"/>
  <c r="M2328" i="24"/>
  <c r="M2327" i="24"/>
  <c r="M2326" i="24"/>
  <c r="M2325" i="24"/>
  <c r="M2324" i="24"/>
  <c r="M2323" i="24"/>
  <c r="M2322" i="24"/>
  <c r="M2321" i="24"/>
  <c r="M2320" i="24"/>
  <c r="M2319" i="24"/>
  <c r="M2318" i="24"/>
  <c r="M2317" i="24"/>
  <c r="M2316" i="24"/>
  <c r="M2315" i="24"/>
  <c r="M2314" i="24"/>
  <c r="M2313" i="24"/>
  <c r="M2312" i="24"/>
  <c r="M2311" i="24"/>
  <c r="M2310" i="24"/>
  <c r="M2309" i="24"/>
  <c r="M2308" i="24"/>
  <c r="M2306" i="24"/>
  <c r="M2305" i="24"/>
  <c r="M2304" i="24"/>
  <c r="M2303" i="24"/>
  <c r="M2302" i="24"/>
  <c r="M2301" i="24"/>
  <c r="M2300" i="24"/>
  <c r="M2299" i="24"/>
  <c r="M2298" i="24"/>
  <c r="M2297" i="24"/>
  <c r="M2296" i="24"/>
  <c r="M2295" i="24"/>
  <c r="M2294" i="24"/>
  <c r="M2293" i="24"/>
  <c r="M2292" i="24"/>
  <c r="M2291" i="24"/>
  <c r="M2290" i="24"/>
  <c r="M2289" i="24"/>
  <c r="M2288" i="24"/>
  <c r="M2287" i="24"/>
  <c r="M2286" i="24"/>
  <c r="M2285" i="24"/>
  <c r="M2284" i="24"/>
  <c r="M2283" i="24"/>
  <c r="M2282" i="24"/>
  <c r="M2281" i="24"/>
  <c r="M2280" i="24"/>
  <c r="M2279" i="24"/>
  <c r="M2278" i="24"/>
  <c r="M2277" i="24"/>
  <c r="M2276" i="24"/>
  <c r="M2275" i="24"/>
  <c r="M2273" i="24"/>
  <c r="M2272" i="24"/>
  <c r="M2271" i="24"/>
  <c r="M2270" i="24"/>
  <c r="M2269" i="24"/>
  <c r="M2268" i="24"/>
  <c r="M2267" i="24"/>
  <c r="M2266" i="24"/>
  <c r="M2265" i="24"/>
  <c r="M2264" i="24"/>
  <c r="M2263" i="24"/>
  <c r="M2262" i="24"/>
  <c r="M2261" i="24"/>
  <c r="M2260" i="24"/>
  <c r="M2259" i="24"/>
  <c r="M2258" i="24"/>
  <c r="M2257" i="24"/>
  <c r="M2256" i="24"/>
  <c r="M2254" i="24"/>
  <c r="N2254" i="24" s="1"/>
  <c r="M2253" i="24"/>
  <c r="N2253" i="24" s="1"/>
  <c r="M2252" i="24"/>
  <c r="N2252" i="24" s="1"/>
  <c r="M2251" i="24"/>
  <c r="N2251" i="24" s="1"/>
  <c r="M2250" i="24"/>
  <c r="N2250" i="24" s="1"/>
  <c r="M2248" i="24"/>
  <c r="M2247" i="24"/>
  <c r="M2246" i="24"/>
  <c r="M2245" i="24"/>
  <c r="M2244" i="24"/>
  <c r="M2243" i="24"/>
  <c r="M2242" i="24"/>
  <c r="M2241" i="24"/>
  <c r="M2240" i="24"/>
  <c r="M2239" i="24"/>
  <c r="M2238" i="24"/>
  <c r="M2237" i="24"/>
  <c r="M2236" i="24"/>
  <c r="M2235" i="24"/>
  <c r="M2234" i="24"/>
  <c r="M2233" i="24"/>
  <c r="M2232" i="24"/>
  <c r="M2230" i="24"/>
  <c r="M2229" i="24"/>
  <c r="M2228" i="24"/>
  <c r="M2227" i="24"/>
  <c r="M2226" i="24"/>
  <c r="M2225" i="24"/>
  <c r="M2224" i="24"/>
  <c r="M2223" i="24"/>
  <c r="M2222" i="24"/>
  <c r="M2221" i="24"/>
  <c r="M2220" i="24"/>
  <c r="M2219" i="24"/>
  <c r="M2218" i="24"/>
  <c r="M2217" i="24"/>
  <c r="M2216" i="24"/>
  <c r="M2215" i="24"/>
  <c r="M2214" i="24"/>
  <c r="M2213" i="24"/>
  <c r="M2212" i="24"/>
  <c r="M2211" i="24"/>
  <c r="M2210" i="24"/>
  <c r="M2209" i="24"/>
  <c r="M2208" i="24"/>
  <c r="M2207" i="24"/>
  <c r="M2206" i="24"/>
  <c r="M2205" i="24"/>
  <c r="M2204" i="24"/>
  <c r="M2203" i="24"/>
  <c r="M2202" i="24"/>
  <c r="M2201" i="24"/>
  <c r="M2200" i="24"/>
  <c r="M2199" i="24"/>
  <c r="M2197" i="24"/>
  <c r="M2196" i="24"/>
  <c r="M2195" i="24"/>
  <c r="M2194" i="24"/>
  <c r="M2193" i="24"/>
  <c r="M2192" i="24"/>
  <c r="M2191" i="24"/>
  <c r="M2190" i="24"/>
  <c r="M2189" i="24"/>
  <c r="M2188" i="24"/>
  <c r="M2187" i="24"/>
  <c r="M2186" i="24"/>
  <c r="M2185" i="24"/>
  <c r="M2184" i="24"/>
  <c r="M2183" i="24"/>
  <c r="M2182" i="24"/>
  <c r="M2181" i="24"/>
  <c r="M2180" i="24"/>
  <c r="M2179" i="24"/>
  <c r="M2178" i="24"/>
  <c r="M2177" i="24"/>
  <c r="M2176" i="24"/>
  <c r="M2175" i="24"/>
  <c r="M2174" i="24"/>
  <c r="M2173" i="24"/>
  <c r="M2172" i="24"/>
  <c r="M2171" i="24"/>
  <c r="M2170" i="24"/>
  <c r="M2169" i="24"/>
  <c r="M2168" i="24"/>
  <c r="M2167" i="24"/>
  <c r="M2166" i="24"/>
  <c r="M2164" i="24"/>
  <c r="M2163" i="24"/>
  <c r="M2162" i="24"/>
  <c r="M2161" i="24"/>
  <c r="M2160" i="24"/>
  <c r="M2159" i="24"/>
  <c r="M2158" i="24"/>
  <c r="M2157" i="24"/>
  <c r="M2156" i="24"/>
  <c r="M2155" i="24"/>
  <c r="M2154" i="24"/>
  <c r="M2153" i="24"/>
  <c r="M2152" i="24"/>
  <c r="M2151" i="24"/>
  <c r="M2150" i="24"/>
  <c r="M2149" i="24"/>
  <c r="M2148" i="24"/>
  <c r="M2147" i="24"/>
  <c r="M2146" i="24"/>
  <c r="M2145" i="24"/>
  <c r="M2144" i="24"/>
  <c r="M2143" i="24"/>
  <c r="M2142" i="24"/>
  <c r="M2141" i="24"/>
  <c r="M2140" i="24"/>
  <c r="M2139" i="24"/>
  <c r="M2138" i="24"/>
  <c r="M2137" i="24"/>
  <c r="M2136" i="24"/>
  <c r="M2135" i="24"/>
  <c r="M2134" i="24"/>
  <c r="M2133" i="24"/>
  <c r="M2131" i="24"/>
  <c r="M2130" i="24"/>
  <c r="M2129" i="24"/>
  <c r="M2128" i="24"/>
  <c r="M2127" i="24"/>
  <c r="M2126" i="24"/>
  <c r="M2125" i="24"/>
  <c r="M2124" i="24"/>
  <c r="M2123" i="24"/>
  <c r="M2122" i="24"/>
  <c r="M2121" i="24"/>
  <c r="M2120" i="24"/>
  <c r="M2119" i="24"/>
  <c r="M2118" i="24"/>
  <c r="M2117" i="24"/>
  <c r="M2116" i="24"/>
  <c r="M2115" i="24"/>
  <c r="M2114" i="24"/>
  <c r="M2112" i="24"/>
  <c r="M2111" i="24"/>
  <c r="M2110" i="24"/>
  <c r="M2109" i="24"/>
  <c r="M2108" i="24"/>
  <c r="M2107" i="24"/>
  <c r="M2106" i="24"/>
  <c r="M2105" i="24"/>
  <c r="M2104" i="24"/>
  <c r="M2103" i="24"/>
  <c r="M2102" i="24"/>
  <c r="M2101" i="24"/>
  <c r="M2100" i="24"/>
  <c r="M2099" i="24"/>
  <c r="M2098" i="24"/>
  <c r="M2097" i="24"/>
  <c r="M2096" i="24"/>
  <c r="M2095" i="24"/>
  <c r="M2094" i="24"/>
  <c r="M2093" i="24"/>
  <c r="M2092" i="24"/>
  <c r="M2091" i="24"/>
  <c r="M2090" i="24"/>
  <c r="M2089" i="24"/>
  <c r="M2088" i="24"/>
  <c r="M2087" i="24"/>
  <c r="M2086" i="24"/>
  <c r="M2085" i="24"/>
  <c r="M2084" i="24"/>
  <c r="M2083" i="24"/>
  <c r="M2082" i="24"/>
  <c r="M2081" i="24"/>
  <c r="M2079" i="24"/>
  <c r="M2078" i="24"/>
  <c r="M2077" i="24"/>
  <c r="M2076" i="24"/>
  <c r="M2075" i="24"/>
  <c r="M2074" i="24"/>
  <c r="M2073" i="24"/>
  <c r="M2072" i="24"/>
  <c r="M2071" i="24"/>
  <c r="M2070" i="24"/>
  <c r="M2069" i="24"/>
  <c r="M2068" i="24"/>
  <c r="M2067" i="24"/>
  <c r="M2066" i="24"/>
  <c r="M2065" i="24"/>
  <c r="M2064" i="24"/>
  <c r="M2062" i="24"/>
  <c r="M2061" i="24"/>
  <c r="M2060" i="24"/>
  <c r="M2059" i="24"/>
  <c r="M2058" i="24"/>
  <c r="M2057" i="24"/>
  <c r="M2056" i="24"/>
  <c r="M2055" i="24"/>
  <c r="M2054" i="24"/>
  <c r="M2053" i="24"/>
  <c r="M2052" i="24"/>
  <c r="M2051" i="24"/>
  <c r="M2050" i="24"/>
  <c r="M2049" i="24"/>
  <c r="M2048" i="24"/>
  <c r="M2047" i="24"/>
  <c r="M2046" i="24"/>
  <c r="M2044" i="24"/>
  <c r="M2043" i="24"/>
  <c r="M2042" i="24"/>
  <c r="M2041" i="24"/>
  <c r="M2040" i="24"/>
  <c r="M2039" i="24"/>
  <c r="M2038" i="24"/>
  <c r="M2037" i="24"/>
  <c r="M2036" i="24"/>
  <c r="M2035" i="24"/>
  <c r="M2034" i="24"/>
  <c r="M2033" i="24"/>
  <c r="M2032" i="24"/>
  <c r="M2031" i="24"/>
  <c r="M2030" i="24"/>
  <c r="M2029" i="24"/>
  <c r="M2027" i="24"/>
  <c r="M2026" i="24"/>
  <c r="M2025" i="24"/>
  <c r="M2024" i="24"/>
  <c r="M2023" i="24"/>
  <c r="M2022" i="24"/>
  <c r="M2021" i="24"/>
  <c r="M2020" i="24"/>
  <c r="M2019" i="24"/>
  <c r="M2018" i="24"/>
  <c r="M2017" i="24"/>
  <c r="M2016" i="24"/>
  <c r="M2015" i="24"/>
  <c r="M2014" i="24"/>
  <c r="M2013" i="24"/>
  <c r="M2012" i="24"/>
  <c r="M2010" i="24"/>
  <c r="M2009" i="24"/>
  <c r="M2008" i="24"/>
  <c r="M2007" i="24"/>
  <c r="M2006" i="24"/>
  <c r="M2005" i="24"/>
  <c r="M2004" i="24"/>
  <c r="M2003" i="24"/>
  <c r="M2002" i="24"/>
  <c r="M2001" i="24"/>
  <c r="M2000" i="24"/>
  <c r="M1999" i="24"/>
  <c r="M1998" i="24"/>
  <c r="M1997" i="24"/>
  <c r="M1996" i="24"/>
  <c r="M1995" i="24"/>
  <c r="M1994" i="24"/>
  <c r="M1993" i="24"/>
  <c r="M1991" i="24"/>
  <c r="M1990" i="24"/>
  <c r="M1989" i="24"/>
  <c r="M1988" i="24"/>
  <c r="M1987" i="24"/>
  <c r="M1986" i="24"/>
  <c r="M1985" i="24"/>
  <c r="M1984" i="24"/>
  <c r="M1983" i="24"/>
  <c r="M1982" i="24"/>
  <c r="M1981" i="24"/>
  <c r="M1980" i="24"/>
  <c r="M1979" i="24"/>
  <c r="M1978" i="24"/>
  <c r="M1977" i="24"/>
  <c r="M1976" i="24"/>
  <c r="M1975" i="24"/>
  <c r="M1974" i="24"/>
  <c r="M1973" i="24"/>
  <c r="M1972" i="24"/>
  <c r="M1971" i="24"/>
  <c r="M1970" i="24"/>
  <c r="M1969" i="24"/>
  <c r="M1968" i="24"/>
  <c r="M1967" i="24"/>
  <c r="M1966" i="24"/>
  <c r="M1965" i="24"/>
  <c r="M1964" i="24"/>
  <c r="M1963" i="24"/>
  <c r="M1962" i="24"/>
  <c r="M1961" i="24"/>
  <c r="M1960" i="24"/>
  <c r="M1958" i="24"/>
  <c r="M1957" i="24"/>
  <c r="M1956" i="24"/>
  <c r="M1955" i="24"/>
  <c r="M1954" i="24"/>
  <c r="M1953" i="24"/>
  <c r="M1952" i="24"/>
  <c r="M1951" i="24"/>
  <c r="M1950" i="24"/>
  <c r="M1949" i="24"/>
  <c r="M1948" i="24"/>
  <c r="M1947" i="24"/>
  <c r="M1946" i="24"/>
  <c r="M1945" i="24"/>
  <c r="M1944" i="24"/>
  <c r="M1943" i="24"/>
  <c r="M1942" i="24"/>
  <c r="M1941" i="24"/>
  <c r="M1940" i="24"/>
  <c r="M1939" i="24"/>
  <c r="M1938" i="24"/>
  <c r="M1937" i="24"/>
  <c r="M1936" i="24"/>
  <c r="M1935" i="24"/>
  <c r="M1934" i="24"/>
  <c r="M1933" i="24"/>
  <c r="M1932" i="24"/>
  <c r="M1931" i="24"/>
  <c r="M1930" i="24"/>
  <c r="M1929" i="24"/>
  <c r="M1928" i="24"/>
  <c r="M1927" i="24"/>
  <c r="M1925" i="24"/>
  <c r="M1924" i="24"/>
  <c r="M1923" i="24"/>
  <c r="M1922" i="24"/>
  <c r="M1921" i="24"/>
  <c r="M1920" i="24"/>
  <c r="M1919" i="24"/>
  <c r="M1918" i="24"/>
  <c r="M1917" i="24"/>
  <c r="M1916" i="24"/>
  <c r="M1915" i="24"/>
  <c r="M1914" i="24"/>
  <c r="M1913" i="24"/>
  <c r="M1912" i="24"/>
  <c r="M1911" i="24"/>
  <c r="M1910" i="24"/>
  <c r="M1909" i="24"/>
  <c r="M1908" i="24"/>
  <c r="M1907" i="24"/>
  <c r="M1906" i="24"/>
  <c r="M1905" i="24"/>
  <c r="M1904" i="24"/>
  <c r="M1903" i="24"/>
  <c r="M1902" i="24"/>
  <c r="M1901" i="24"/>
  <c r="M1900" i="24"/>
  <c r="M1899" i="24"/>
  <c r="M1898" i="24"/>
  <c r="M1897" i="24"/>
  <c r="M1896" i="24"/>
  <c r="M1895" i="24"/>
  <c r="M1894" i="24"/>
  <c r="M1892" i="24"/>
  <c r="M1891" i="24"/>
  <c r="M1890" i="24"/>
  <c r="M1889" i="24"/>
  <c r="M1888" i="24"/>
  <c r="M1887" i="24"/>
  <c r="M1886" i="24"/>
  <c r="M1885" i="24"/>
  <c r="M1884" i="24"/>
  <c r="M1883" i="24"/>
  <c r="M1882" i="24"/>
  <c r="M1881" i="24"/>
  <c r="M1880" i="24"/>
  <c r="M1879" i="24"/>
  <c r="M1878" i="24"/>
  <c r="M1877" i="24"/>
  <c r="M1876" i="24"/>
  <c r="M1875" i="24"/>
  <c r="M1874" i="24"/>
  <c r="M1873" i="24"/>
  <c r="M1872" i="24"/>
  <c r="M1871" i="24"/>
  <c r="M1870" i="24"/>
  <c r="M1869" i="24"/>
  <c r="M1868" i="24"/>
  <c r="M1867" i="24"/>
  <c r="M1866" i="24"/>
  <c r="M1865" i="24"/>
  <c r="M1864" i="24"/>
  <c r="M1863" i="24"/>
  <c r="M1862" i="24"/>
  <c r="M1861" i="24"/>
  <c r="M1859" i="24"/>
  <c r="M1858" i="24"/>
  <c r="M1857" i="24"/>
  <c r="M1856" i="24"/>
  <c r="M1855" i="24"/>
  <c r="M1854" i="24"/>
  <c r="M1853" i="24"/>
  <c r="M1852" i="24"/>
  <c r="M1851" i="24"/>
  <c r="M1850" i="24"/>
  <c r="M1849" i="24"/>
  <c r="M1848" i="24"/>
  <c r="M1847" i="24"/>
  <c r="M1846" i="24"/>
  <c r="M1845" i="24"/>
  <c r="M1844" i="24"/>
  <c r="M1843" i="24"/>
  <c r="M1842" i="24"/>
  <c r="M1841" i="24"/>
  <c r="M1840" i="24"/>
  <c r="M1839" i="24"/>
  <c r="M1838" i="24"/>
  <c r="M1837" i="24"/>
  <c r="M1836" i="24"/>
  <c r="M1835" i="24"/>
  <c r="M1834" i="24"/>
  <c r="M1833" i="24"/>
  <c r="M1832" i="24"/>
  <c r="M1831" i="24"/>
  <c r="M1830" i="24"/>
  <c r="M1829" i="24"/>
  <c r="M1828" i="24"/>
  <c r="M1826" i="24"/>
  <c r="M1825" i="24"/>
  <c r="M1824" i="24"/>
  <c r="M1823" i="24"/>
  <c r="M1822" i="24"/>
  <c r="M1821" i="24"/>
  <c r="M1820" i="24"/>
  <c r="M1819" i="24"/>
  <c r="M1818" i="24"/>
  <c r="M1817" i="24"/>
  <c r="M1816" i="24"/>
  <c r="M1815" i="24"/>
  <c r="M1814" i="24"/>
  <c r="M1813" i="24"/>
  <c r="M1812" i="24"/>
  <c r="M1811" i="24"/>
  <c r="M1810" i="24"/>
  <c r="M1809" i="24"/>
  <c r="M1808" i="24"/>
  <c r="M1807" i="24"/>
  <c r="M1806" i="24"/>
  <c r="M1805" i="24"/>
  <c r="M1804" i="24"/>
  <c r="M1803" i="24"/>
  <c r="M1802" i="24"/>
  <c r="M1801" i="24"/>
  <c r="M1800" i="24"/>
  <c r="M1799" i="24"/>
  <c r="M1798" i="24"/>
  <c r="M1797" i="24"/>
  <c r="M1796" i="24"/>
  <c r="M1795" i="24"/>
  <c r="M1793" i="24"/>
  <c r="M1792" i="24"/>
  <c r="M1791" i="24"/>
  <c r="M1790" i="24"/>
  <c r="M1789" i="24"/>
  <c r="M1788" i="24"/>
  <c r="M1787" i="24"/>
  <c r="M1786" i="24"/>
  <c r="M1785" i="24"/>
  <c r="M1784" i="24"/>
  <c r="M1783" i="24"/>
  <c r="M1782" i="24"/>
  <c r="M1781" i="24"/>
  <c r="M1780" i="24"/>
  <c r="M1779" i="24"/>
  <c r="M1778" i="24"/>
  <c r="M1777" i="24"/>
  <c r="M1776" i="24"/>
  <c r="M1775" i="24"/>
  <c r="M1774" i="24"/>
  <c r="M1773" i="24"/>
  <c r="M1772" i="24"/>
  <c r="M1771" i="24"/>
  <c r="M1770" i="24"/>
  <c r="M1769" i="24"/>
  <c r="M1768" i="24"/>
  <c r="M1767" i="24"/>
  <c r="M1766" i="24"/>
  <c r="M1765" i="24"/>
  <c r="M1764" i="24"/>
  <c r="M1763" i="24"/>
  <c r="M1762" i="24"/>
  <c r="M1760" i="24"/>
  <c r="M1759" i="24"/>
  <c r="M1758" i="24"/>
  <c r="M1757" i="24"/>
  <c r="M1756" i="24"/>
  <c r="M1755" i="24"/>
  <c r="M1754" i="24"/>
  <c r="M1753" i="24"/>
  <c r="M1752" i="24"/>
  <c r="M1751" i="24"/>
  <c r="M1750" i="24"/>
  <c r="M1749" i="24"/>
  <c r="M1747" i="24"/>
  <c r="M1746" i="24"/>
  <c r="M1745" i="24"/>
  <c r="M1744" i="24"/>
  <c r="M1743" i="24"/>
  <c r="M1742" i="24"/>
  <c r="M1741" i="24"/>
  <c r="M1740" i="24"/>
  <c r="M1739" i="24"/>
  <c r="M1738" i="24"/>
  <c r="M1737" i="24"/>
  <c r="M1736" i="24"/>
  <c r="M1735" i="24"/>
  <c r="M1734" i="24"/>
  <c r="M1733" i="24"/>
  <c r="M1732" i="24"/>
  <c r="M1731" i="24"/>
  <c r="M1730" i="24"/>
  <c r="M1729" i="24"/>
  <c r="M1728" i="24"/>
  <c r="M1727" i="24"/>
  <c r="M1726" i="24"/>
  <c r="M1725" i="24"/>
  <c r="M1724" i="24"/>
  <c r="M1723" i="24"/>
  <c r="M1722" i="24"/>
  <c r="M1721" i="24"/>
  <c r="M1720" i="24"/>
  <c r="M1719" i="24"/>
  <c r="M1718" i="24"/>
  <c r="M1717" i="24"/>
  <c r="M1716" i="24"/>
  <c r="M1714" i="24"/>
  <c r="M1713" i="24"/>
  <c r="M1712" i="24"/>
  <c r="M1711" i="24"/>
  <c r="M1710" i="24"/>
  <c r="M1709" i="24"/>
  <c r="M1708" i="24"/>
  <c r="M1707" i="24"/>
  <c r="M1706" i="24"/>
  <c r="M1705" i="24"/>
  <c r="M1704" i="24"/>
  <c r="M1703" i="24"/>
  <c r="M1702" i="24"/>
  <c r="M1701" i="24"/>
  <c r="M1700" i="24"/>
  <c r="M1699" i="24"/>
  <c r="M1698" i="24"/>
  <c r="M1697" i="24"/>
  <c r="M1696" i="24"/>
  <c r="M1695" i="24"/>
  <c r="M1694" i="24"/>
  <c r="M1693" i="24"/>
  <c r="M1692" i="24"/>
  <c r="M1691" i="24"/>
  <c r="M1690" i="24"/>
  <c r="M1689" i="24"/>
  <c r="M1688" i="24"/>
  <c r="M1687" i="24"/>
  <c r="M1686" i="24"/>
  <c r="M1685" i="24"/>
  <c r="M1684" i="24"/>
  <c r="M1683" i="24"/>
  <c r="M1680" i="24"/>
  <c r="M1679" i="24"/>
  <c r="M1678" i="24"/>
  <c r="M1677" i="24"/>
  <c r="M1676" i="24"/>
  <c r="M1675" i="24"/>
  <c r="M1674" i="24"/>
  <c r="M1673" i="24"/>
  <c r="M1672" i="24"/>
  <c r="M1671" i="24"/>
  <c r="M1670" i="24"/>
  <c r="M1669" i="24"/>
  <c r="M1668" i="24"/>
  <c r="M1667" i="24"/>
  <c r="M1666" i="24"/>
  <c r="M1665" i="24"/>
  <c r="M1664" i="24"/>
  <c r="M1663" i="24"/>
  <c r="M1662" i="24"/>
  <c r="M1661" i="24"/>
  <c r="M1660" i="24"/>
  <c r="M1659" i="24"/>
  <c r="M1658" i="24"/>
  <c r="M1657" i="24"/>
  <c r="M1656" i="24"/>
  <c r="M1655" i="24"/>
  <c r="M1654" i="24"/>
  <c r="M1653" i="24"/>
  <c r="M1652" i="24"/>
  <c r="M1651" i="24"/>
  <c r="M1648" i="24"/>
  <c r="M1647" i="24"/>
  <c r="M1646" i="24"/>
  <c r="M1645" i="24"/>
  <c r="M1644" i="24"/>
  <c r="M1643" i="24"/>
  <c r="M1642" i="24"/>
  <c r="M1641" i="24"/>
  <c r="M1640" i="24"/>
  <c r="M1639" i="24"/>
  <c r="M1638" i="24"/>
  <c r="M1637" i="24"/>
  <c r="M1636" i="24"/>
  <c r="M1635" i="24"/>
  <c r="M1634" i="24"/>
  <c r="M1633" i="24"/>
  <c r="M1632" i="24"/>
  <c r="M1631" i="24"/>
  <c r="M1630" i="24"/>
  <c r="M1629" i="24"/>
  <c r="M1628" i="24"/>
  <c r="M1627" i="24"/>
  <c r="M1626" i="24"/>
  <c r="M1625" i="24"/>
  <c r="M1624" i="24"/>
  <c r="M1623" i="24"/>
  <c r="M1622" i="24"/>
  <c r="M1621" i="24"/>
  <c r="M1620" i="24"/>
  <c r="M1619" i="24"/>
  <c r="M1618" i="24"/>
  <c r="M1617" i="24"/>
  <c r="M1615" i="24"/>
  <c r="M1614" i="24"/>
  <c r="M1613" i="24"/>
  <c r="M1612" i="24"/>
  <c r="M1611" i="24"/>
  <c r="M1610" i="24"/>
  <c r="M1609" i="24"/>
  <c r="M1608" i="24"/>
  <c r="M1607" i="24"/>
  <c r="M1606" i="24"/>
  <c r="M1605" i="24"/>
  <c r="M1604" i="24"/>
  <c r="M1603" i="24"/>
  <c r="M1602" i="24"/>
  <c r="M1601" i="24"/>
  <c r="M1600" i="24"/>
  <c r="M1599" i="24"/>
  <c r="M1598" i="24"/>
  <c r="M1595" i="24"/>
  <c r="M1594" i="24"/>
  <c r="M1593" i="24"/>
  <c r="M1592" i="24"/>
  <c r="M1591" i="24"/>
  <c r="M1590" i="24"/>
  <c r="M1589" i="24"/>
  <c r="M1588" i="24"/>
  <c r="M1587" i="24"/>
  <c r="M1586" i="24"/>
  <c r="M1585" i="24"/>
  <c r="M1584" i="24"/>
  <c r="M1583" i="24"/>
  <c r="M1582" i="24"/>
  <c r="M1581" i="24"/>
  <c r="M1580" i="24"/>
  <c r="M1579" i="24"/>
  <c r="M1578" i="24"/>
  <c r="M1577" i="24"/>
  <c r="M1576" i="24"/>
  <c r="M1571" i="24"/>
  <c r="M1570" i="24"/>
  <c r="M1569" i="24"/>
  <c r="M1568" i="24"/>
  <c r="M1567" i="24"/>
  <c r="M1566" i="24"/>
  <c r="M1565" i="24"/>
  <c r="M1564" i="24"/>
  <c r="M1563" i="24"/>
  <c r="M1562" i="24"/>
  <c r="M1561" i="24"/>
  <c r="M1560" i="24"/>
  <c r="M1559" i="24"/>
  <c r="M1557" i="24"/>
  <c r="M1556" i="24"/>
  <c r="M1555" i="24"/>
  <c r="M1554" i="24"/>
  <c r="M1553" i="24"/>
  <c r="M1552" i="24"/>
  <c r="M1551" i="24"/>
  <c r="M1550" i="24"/>
  <c r="M1549" i="24"/>
  <c r="M1548" i="24"/>
  <c r="M1547" i="24"/>
  <c r="M1546" i="24"/>
  <c r="M1545" i="24"/>
  <c r="M1543" i="24"/>
  <c r="M1542" i="24"/>
  <c r="M1541" i="24"/>
  <c r="M1540" i="24"/>
  <c r="M1539" i="24"/>
  <c r="M1538" i="24"/>
  <c r="M1537" i="24"/>
  <c r="M1536" i="24"/>
  <c r="M1535" i="24"/>
  <c r="M1534" i="24"/>
  <c r="M1533" i="24"/>
  <c r="M1532" i="24"/>
  <c r="M1531" i="24"/>
  <c r="M1529" i="24"/>
  <c r="M1528" i="24"/>
  <c r="M1527" i="24"/>
  <c r="M1526" i="24"/>
  <c r="M1525" i="24"/>
  <c r="M1524" i="24"/>
  <c r="M1523" i="24"/>
  <c r="M1522" i="24"/>
  <c r="M1521" i="24"/>
  <c r="M1520" i="24"/>
  <c r="M1519" i="24"/>
  <c r="M1518" i="24"/>
  <c r="M1517" i="24"/>
  <c r="M1515" i="24"/>
  <c r="M1514" i="24"/>
  <c r="M1513" i="24"/>
  <c r="M1512" i="24"/>
  <c r="M1511" i="24"/>
  <c r="M1510" i="24"/>
  <c r="M1509" i="24"/>
  <c r="M1508" i="24"/>
  <c r="M1507" i="24"/>
  <c r="M1506" i="24"/>
  <c r="M1505" i="24"/>
  <c r="M1504" i="24"/>
  <c r="M1503" i="24"/>
  <c r="M1484" i="24"/>
  <c r="N1484" i="24" s="1"/>
  <c r="M1483" i="24"/>
  <c r="N1483" i="24" s="1"/>
  <c r="M1482" i="24"/>
  <c r="N1482" i="24" s="1"/>
  <c r="M1481" i="24"/>
  <c r="N1481" i="24" s="1"/>
  <c r="M1480" i="24"/>
  <c r="M1479" i="24"/>
  <c r="M1478" i="24"/>
  <c r="M1477" i="24"/>
  <c r="M1476" i="24"/>
  <c r="M1475" i="24"/>
  <c r="N1475" i="24" s="1"/>
  <c r="M1474" i="24"/>
  <c r="M1473" i="24"/>
  <c r="M1472" i="24"/>
  <c r="N1472" i="24" s="1"/>
  <c r="M1471" i="24"/>
  <c r="N1471" i="24" s="1"/>
  <c r="M1470" i="24"/>
  <c r="N1470" i="24" s="1"/>
  <c r="M1469" i="24"/>
  <c r="M1467" i="24"/>
  <c r="N1467" i="24" s="1"/>
  <c r="M1466" i="24"/>
  <c r="N1466" i="24" s="1"/>
  <c r="M1465" i="24"/>
  <c r="N1465" i="24" s="1"/>
  <c r="M1464" i="24"/>
  <c r="N1464" i="24" s="1"/>
  <c r="M1463" i="24"/>
  <c r="N1463" i="24" s="1"/>
  <c r="M1462" i="24"/>
  <c r="N1462" i="24" s="1"/>
  <c r="M1461" i="24"/>
  <c r="N1461" i="24" s="1"/>
  <c r="M1460" i="24"/>
  <c r="N1460" i="24" s="1"/>
  <c r="M1459" i="24"/>
  <c r="N1459" i="24" s="1"/>
  <c r="M1458" i="24"/>
  <c r="N1458" i="24" s="1"/>
  <c r="M1457" i="24"/>
  <c r="M1456" i="24"/>
  <c r="N1456" i="24" s="1"/>
  <c r="M1455" i="24"/>
  <c r="N1455" i="24" s="1"/>
  <c r="M1454" i="24"/>
  <c r="N1454" i="24" s="1"/>
  <c r="M1453" i="24"/>
  <c r="N1453" i="24" s="1"/>
  <c r="M1452" i="24"/>
  <c r="N1452" i="24" s="1"/>
  <c r="M1450" i="24"/>
  <c r="N1450" i="24" s="1"/>
  <c r="M1449" i="24"/>
  <c r="N1449" i="24" s="1"/>
  <c r="M1448" i="24"/>
  <c r="N1448" i="24" s="1"/>
  <c r="M1447" i="24"/>
  <c r="N1447" i="24" s="1"/>
  <c r="M1446" i="24"/>
  <c r="N1446" i="24" s="1"/>
  <c r="M1445" i="24"/>
  <c r="N1445" i="24" s="1"/>
  <c r="M1444" i="24"/>
  <c r="N1444" i="24" s="1"/>
  <c r="M1443" i="24"/>
  <c r="N1443" i="24" s="1"/>
  <c r="M1442" i="24"/>
  <c r="N1442" i="24" s="1"/>
  <c r="M1441" i="24"/>
  <c r="N1441" i="24" s="1"/>
  <c r="M1440" i="24"/>
  <c r="M1439" i="24"/>
  <c r="N1439" i="24" s="1"/>
  <c r="M1438" i="24"/>
  <c r="N1438" i="24" s="1"/>
  <c r="M1437" i="24"/>
  <c r="N1437" i="24" s="1"/>
  <c r="M1436" i="24"/>
  <c r="N1436" i="24" s="1"/>
  <c r="M1435" i="24"/>
  <c r="N1435" i="24" s="1"/>
  <c r="M1433" i="24"/>
  <c r="N1433" i="24" s="1"/>
  <c r="M1432" i="24"/>
  <c r="N1432" i="24" s="1"/>
  <c r="M1431" i="24"/>
  <c r="N1431" i="24" s="1"/>
  <c r="M1430" i="24"/>
  <c r="N1430" i="24" s="1"/>
  <c r="M1429" i="24"/>
  <c r="N1429" i="24" s="1"/>
  <c r="M1428" i="24"/>
  <c r="N1428" i="24" s="1"/>
  <c r="M1427" i="24"/>
  <c r="N1427" i="24" s="1"/>
  <c r="M1426" i="24"/>
  <c r="N1426" i="24" s="1"/>
  <c r="M1425" i="24"/>
  <c r="N1425" i="24" s="1"/>
  <c r="M1424" i="24"/>
  <c r="N1424" i="24" s="1"/>
  <c r="M1423" i="24"/>
  <c r="M1422" i="24"/>
  <c r="N1422" i="24" s="1"/>
  <c r="M1421" i="24"/>
  <c r="N1421" i="24" s="1"/>
  <c r="M1420" i="24"/>
  <c r="N1420" i="24" s="1"/>
  <c r="M1419" i="24"/>
  <c r="N1419" i="24" s="1"/>
  <c r="M1418" i="24"/>
  <c r="N1418" i="24" s="1"/>
  <c r="M1416" i="24"/>
  <c r="M1415" i="24"/>
  <c r="N1415" i="24" s="1"/>
  <c r="M1414" i="24"/>
  <c r="N1414" i="24" s="1"/>
  <c r="M1413" i="24"/>
  <c r="M1412" i="24"/>
  <c r="N1412" i="24" s="1"/>
  <c r="M1411" i="24"/>
  <c r="N1411" i="24" s="1"/>
  <c r="M1410" i="24"/>
  <c r="N1410" i="24" s="1"/>
  <c r="M1409" i="24"/>
  <c r="N1409" i="24" s="1"/>
  <c r="M1408" i="24"/>
  <c r="N1408" i="24" s="1"/>
  <c r="M1407" i="24"/>
  <c r="N1407" i="24" s="1"/>
  <c r="M1406" i="24"/>
  <c r="M1405" i="24"/>
  <c r="N1405" i="24" s="1"/>
  <c r="M1404" i="24"/>
  <c r="N1404" i="24" s="1"/>
  <c r="M1403" i="24"/>
  <c r="N1403" i="24" s="1"/>
  <c r="M1402" i="24"/>
  <c r="N1402" i="24" s="1"/>
  <c r="M1401" i="24"/>
  <c r="N1401" i="24" s="1"/>
  <c r="M1399" i="24"/>
  <c r="M1398" i="24"/>
  <c r="M1397" i="24"/>
  <c r="N1397" i="24" s="1"/>
  <c r="M1396" i="24"/>
  <c r="M1395" i="24"/>
  <c r="N1395" i="24" s="1"/>
  <c r="M1394" i="24"/>
  <c r="N1394" i="24" s="1"/>
  <c r="M1393" i="24"/>
  <c r="N1393" i="24" s="1"/>
  <c r="M1392" i="24"/>
  <c r="N1392" i="24" s="1"/>
  <c r="M1391" i="24"/>
  <c r="N1391" i="24" s="1"/>
  <c r="M1390" i="24"/>
  <c r="N1390" i="24" s="1"/>
  <c r="M1389" i="24"/>
  <c r="M1388" i="24"/>
  <c r="N1388" i="24" s="1"/>
  <c r="M1387" i="24"/>
  <c r="N1387" i="24" s="1"/>
  <c r="M1386" i="24"/>
  <c r="N1386" i="24" s="1"/>
  <c r="M1385" i="24"/>
  <c r="N1385" i="24" s="1"/>
  <c r="M1384" i="24"/>
  <c r="N1384" i="24" s="1"/>
  <c r="M1382" i="24"/>
  <c r="N1382" i="24" s="1"/>
  <c r="M1381" i="24"/>
  <c r="N1381" i="24" s="1"/>
  <c r="M1380" i="24"/>
  <c r="N1380" i="24" s="1"/>
  <c r="M1379" i="24"/>
  <c r="N1379" i="24" s="1"/>
  <c r="M1378" i="24"/>
  <c r="N1378" i="24" s="1"/>
  <c r="M1377" i="24"/>
  <c r="N1377" i="24" s="1"/>
  <c r="M1376" i="24"/>
  <c r="N1376" i="24" s="1"/>
  <c r="M1375" i="24"/>
  <c r="N1375" i="24" s="1"/>
  <c r="M1374" i="24"/>
  <c r="N1374" i="24" s="1"/>
  <c r="M1373" i="24"/>
  <c r="N1373" i="24" s="1"/>
  <c r="M1372" i="24"/>
  <c r="M1371" i="24"/>
  <c r="N1371" i="24" s="1"/>
  <c r="M1370" i="24"/>
  <c r="N1370" i="24" s="1"/>
  <c r="M1369" i="24"/>
  <c r="N1369" i="24" s="1"/>
  <c r="M1368" i="24"/>
  <c r="N1368" i="24" s="1"/>
  <c r="M1367" i="24"/>
  <c r="N1367" i="24" s="1"/>
  <c r="M1365" i="24"/>
  <c r="N1365" i="24" s="1"/>
  <c r="M1364" i="24"/>
  <c r="N1364" i="24" s="1"/>
  <c r="M1363" i="24"/>
  <c r="N1363" i="24" s="1"/>
  <c r="M1362" i="24"/>
  <c r="N1362" i="24" s="1"/>
  <c r="M1361" i="24"/>
  <c r="N1361" i="24" s="1"/>
  <c r="M1360" i="24"/>
  <c r="N1360" i="24" s="1"/>
  <c r="M1359" i="24"/>
  <c r="N1359" i="24" s="1"/>
  <c r="M1358" i="24"/>
  <c r="N1358" i="24" s="1"/>
  <c r="M1357" i="24"/>
  <c r="M1356" i="24"/>
  <c r="N1356" i="24" s="1"/>
  <c r="M1355" i="24"/>
  <c r="M1354" i="24"/>
  <c r="N1354" i="24" s="1"/>
  <c r="M1353" i="24"/>
  <c r="N1353" i="24" s="1"/>
  <c r="M1352" i="24"/>
  <c r="N1352" i="24" s="1"/>
  <c r="M1351" i="24"/>
  <c r="N1351" i="24" s="1"/>
  <c r="M1350" i="24"/>
  <c r="N1350" i="24" s="1"/>
  <c r="M1348" i="24"/>
  <c r="N1348" i="24" s="1"/>
  <c r="M1347" i="24"/>
  <c r="N1347" i="24" s="1"/>
  <c r="M1346" i="24"/>
  <c r="N1346" i="24" s="1"/>
  <c r="M1345" i="24"/>
  <c r="N1345" i="24" s="1"/>
  <c r="M1344" i="24"/>
  <c r="N1344" i="24" s="1"/>
  <c r="M1343" i="24"/>
  <c r="N1343" i="24" s="1"/>
  <c r="M1342" i="24"/>
  <c r="N1342" i="24" s="1"/>
  <c r="M1341" i="24"/>
  <c r="N1341" i="24" s="1"/>
  <c r="M1340" i="24"/>
  <c r="N1340" i="24" s="1"/>
  <c r="M1339" i="24"/>
  <c r="N1339" i="24" s="1"/>
  <c r="M1338" i="24"/>
  <c r="M1337" i="24"/>
  <c r="N1337" i="24" s="1"/>
  <c r="M1336" i="24"/>
  <c r="N1336" i="24" s="1"/>
  <c r="M1335" i="24"/>
  <c r="N1335" i="24" s="1"/>
  <c r="M1334" i="24"/>
  <c r="N1334" i="24" s="1"/>
  <c r="M1333" i="24"/>
  <c r="N1333" i="24" s="1"/>
  <c r="M1331" i="24"/>
  <c r="N1331" i="24" s="1"/>
  <c r="M1330" i="24"/>
  <c r="N1330" i="24" s="1"/>
  <c r="M1329" i="24"/>
  <c r="N1329" i="24" s="1"/>
  <c r="M1328" i="24"/>
  <c r="M1327" i="24"/>
  <c r="N1327" i="24" s="1"/>
  <c r="M1326" i="24"/>
  <c r="M1325" i="24"/>
  <c r="N1325" i="24" s="1"/>
  <c r="M1324" i="24"/>
  <c r="N1324" i="24" s="1"/>
  <c r="M1323" i="24"/>
  <c r="M1322" i="24"/>
  <c r="N1322" i="24" s="1"/>
  <c r="M1321" i="24"/>
  <c r="M1320" i="24"/>
  <c r="N1320" i="24" s="1"/>
  <c r="M1319" i="24"/>
  <c r="N1319" i="24" s="1"/>
  <c r="M1318" i="24"/>
  <c r="N1318" i="24" s="1"/>
  <c r="M1317" i="24"/>
  <c r="N1317" i="24" s="1"/>
  <c r="M1316" i="24"/>
  <c r="N1316" i="24" s="1"/>
  <c r="M1314" i="24"/>
  <c r="M1313" i="24"/>
  <c r="N1313" i="24" s="1"/>
  <c r="M1312" i="24"/>
  <c r="N1312" i="24" s="1"/>
  <c r="M1311" i="24"/>
  <c r="N1311" i="24" s="1"/>
  <c r="M1310" i="24"/>
  <c r="N1310" i="24" s="1"/>
  <c r="M1309" i="24"/>
  <c r="N1309" i="24" s="1"/>
  <c r="M1308" i="24"/>
  <c r="M1307" i="24"/>
  <c r="M1306" i="24"/>
  <c r="M1305" i="24"/>
  <c r="M1304" i="24"/>
  <c r="N1304" i="24" s="1"/>
  <c r="M1303" i="24"/>
  <c r="M1302" i="24"/>
  <c r="N1302" i="24" s="1"/>
  <c r="M1301" i="24"/>
  <c r="N1301" i="24" s="1"/>
  <c r="M1300" i="24"/>
  <c r="N1300" i="24" s="1"/>
  <c r="M1299" i="24"/>
  <c r="N1299" i="24" s="1"/>
  <c r="M1297" i="24"/>
  <c r="M1296" i="24"/>
  <c r="N1296" i="24" s="1"/>
  <c r="M1295" i="24"/>
  <c r="N1295" i="24" s="1"/>
  <c r="M1294" i="24"/>
  <c r="M1293" i="24"/>
  <c r="N1293" i="24" s="1"/>
  <c r="M1292" i="24"/>
  <c r="N1292" i="24" s="1"/>
  <c r="M1291" i="24"/>
  <c r="N1291" i="24" s="1"/>
  <c r="M1290" i="24"/>
  <c r="N1290" i="24" s="1"/>
  <c r="M1289" i="24"/>
  <c r="N1289" i="24" s="1"/>
  <c r="M1288" i="24"/>
  <c r="N1288" i="24" s="1"/>
  <c r="M1287" i="24"/>
  <c r="M1286" i="24"/>
  <c r="N1286" i="24" s="1"/>
  <c r="M1285" i="24"/>
  <c r="N1285" i="24" s="1"/>
  <c r="M1284" i="24"/>
  <c r="N1284" i="24" s="1"/>
  <c r="M1283" i="24"/>
  <c r="N1283" i="24" s="1"/>
  <c r="M1282" i="24"/>
  <c r="N1282" i="24" s="1"/>
  <c r="M1280" i="24"/>
  <c r="M1279" i="24"/>
  <c r="M1278" i="24"/>
  <c r="M1277" i="24"/>
  <c r="M1276" i="24"/>
  <c r="M1275" i="24"/>
  <c r="M1274" i="24"/>
  <c r="M1273" i="24"/>
  <c r="M1272" i="24"/>
  <c r="M1271" i="24"/>
  <c r="M1270" i="24"/>
  <c r="M1269" i="24"/>
  <c r="M1268" i="24"/>
  <c r="M1266" i="24"/>
  <c r="M1265" i="24"/>
  <c r="M1264" i="24"/>
  <c r="M1263" i="24"/>
  <c r="M1262" i="24"/>
  <c r="M1261" i="24"/>
  <c r="M1260" i="24"/>
  <c r="M1259" i="24"/>
  <c r="M1258" i="24"/>
  <c r="M1257" i="24"/>
  <c r="M1256" i="24"/>
  <c r="M1255" i="24"/>
  <c r="M1254" i="24"/>
  <c r="M1252" i="24"/>
  <c r="M1251" i="24"/>
  <c r="M1250" i="24"/>
  <c r="M1249" i="24"/>
  <c r="M1248" i="24"/>
  <c r="M1247" i="24"/>
  <c r="M1246" i="24"/>
  <c r="M1245" i="24"/>
  <c r="M1244" i="24"/>
  <c r="M1243" i="24"/>
  <c r="M1242" i="24"/>
  <c r="M1241" i="24"/>
  <c r="M1240" i="24"/>
  <c r="M1238" i="24"/>
  <c r="M1237" i="24"/>
  <c r="M1236" i="24"/>
  <c r="M1235" i="24"/>
  <c r="M1234" i="24"/>
  <c r="M1233" i="24"/>
  <c r="M1232" i="24"/>
  <c r="M1231" i="24"/>
  <c r="M1230" i="24"/>
  <c r="M1229" i="24"/>
  <c r="M1228" i="24"/>
  <c r="M1227" i="24"/>
  <c r="M1226" i="24"/>
  <c r="M1224" i="24"/>
  <c r="M1223" i="24"/>
  <c r="M1222" i="24"/>
  <c r="M1221" i="24"/>
  <c r="M1220" i="24"/>
  <c r="M1219" i="24"/>
  <c r="M1218" i="24"/>
  <c r="M1217" i="24"/>
  <c r="M1216" i="24"/>
  <c r="M1215" i="24"/>
  <c r="M1214" i="24"/>
  <c r="M1213" i="24"/>
  <c r="M1212" i="24"/>
  <c r="M1210" i="24"/>
  <c r="M1209" i="24"/>
  <c r="M1208" i="24"/>
  <c r="M1207" i="24"/>
  <c r="M1206" i="24"/>
  <c r="M1205" i="24"/>
  <c r="M1204" i="24"/>
  <c r="M1203" i="24"/>
  <c r="M1202" i="24"/>
  <c r="M1201" i="24"/>
  <c r="M1200" i="24"/>
  <c r="M1199" i="24"/>
  <c r="M1198" i="24"/>
  <c r="M1196" i="24"/>
  <c r="M1195" i="24"/>
  <c r="M1194" i="24"/>
  <c r="M1193" i="24"/>
  <c r="M1192" i="24"/>
  <c r="M1191" i="24"/>
  <c r="M1190" i="24"/>
  <c r="M1189" i="24"/>
  <c r="M1188" i="24"/>
  <c r="M1187" i="24"/>
  <c r="M1186" i="24"/>
  <c r="M1185" i="24"/>
  <c r="M1184" i="24"/>
  <c r="M1182" i="24"/>
  <c r="M1181" i="24"/>
  <c r="M1180" i="24"/>
  <c r="M1179" i="24"/>
  <c r="M1178" i="24"/>
  <c r="M1177" i="24"/>
  <c r="M1176" i="24"/>
  <c r="M1175" i="24"/>
  <c r="M1174" i="24"/>
  <c r="M1173" i="24"/>
  <c r="M1172" i="24"/>
  <c r="M1171" i="24"/>
  <c r="M1170" i="24"/>
  <c r="M1168" i="24"/>
  <c r="M1167" i="24"/>
  <c r="M1166" i="24"/>
  <c r="M1165" i="24"/>
  <c r="M1164" i="24"/>
  <c r="M1163" i="24"/>
  <c r="M1162" i="24"/>
  <c r="M1161" i="24"/>
  <c r="M1160" i="24"/>
  <c r="M1159" i="24"/>
  <c r="M1158" i="24"/>
  <c r="M1157" i="24"/>
  <c r="M1156" i="24"/>
  <c r="M1154" i="24"/>
  <c r="M1153" i="24"/>
  <c r="M1152" i="24"/>
  <c r="M1151" i="24"/>
  <c r="M1150" i="24"/>
  <c r="M1149" i="24"/>
  <c r="M1148" i="24"/>
  <c r="M1147" i="24"/>
  <c r="M1146" i="24"/>
  <c r="M1145" i="24"/>
  <c r="M1144" i="24"/>
  <c r="M1143" i="24"/>
  <c r="M1142" i="24"/>
  <c r="M1140" i="24"/>
  <c r="M1139" i="24"/>
  <c r="M1138" i="24"/>
  <c r="M1137" i="24"/>
  <c r="M1136" i="24"/>
  <c r="M1135" i="24"/>
  <c r="M1134" i="24"/>
  <c r="M1133" i="24"/>
  <c r="M1132" i="24"/>
  <c r="M1131" i="24"/>
  <c r="M1130" i="24"/>
  <c r="M1129" i="24"/>
  <c r="M1128" i="24"/>
  <c r="M1126" i="24"/>
  <c r="M1125" i="24"/>
  <c r="M1124" i="24"/>
  <c r="M1123" i="24"/>
  <c r="M1122" i="24"/>
  <c r="M1121" i="24"/>
  <c r="M1120" i="24"/>
  <c r="M1119" i="24"/>
  <c r="M1118" i="24"/>
  <c r="M1117" i="24"/>
  <c r="M1116" i="24"/>
  <c r="M1115" i="24"/>
  <c r="M1114" i="24"/>
  <c r="M1112" i="24"/>
  <c r="M1111" i="24"/>
  <c r="M1110" i="24"/>
  <c r="M1109" i="24"/>
  <c r="M1108" i="24"/>
  <c r="M1107" i="24"/>
  <c r="M1106" i="24"/>
  <c r="M1105" i="24"/>
  <c r="M1104" i="24"/>
  <c r="M1103" i="24"/>
  <c r="M1102" i="24"/>
  <c r="M1101" i="24"/>
  <c r="M1100" i="24"/>
  <c r="M1098" i="24"/>
  <c r="M1097" i="24"/>
  <c r="M1096" i="24"/>
  <c r="M1095" i="24"/>
  <c r="M1094" i="24"/>
  <c r="M1093" i="24"/>
  <c r="M1092" i="24"/>
  <c r="M1091" i="24"/>
  <c r="M1090" i="24"/>
  <c r="M1089" i="24"/>
  <c r="M1088" i="24"/>
  <c r="M1087" i="24"/>
  <c r="M1086" i="24"/>
  <c r="M1084" i="24"/>
  <c r="M1083" i="24"/>
  <c r="M1082" i="24"/>
  <c r="M1081" i="24"/>
  <c r="M1080" i="24"/>
  <c r="M1079" i="24"/>
  <c r="M1078" i="24"/>
  <c r="M1077" i="24"/>
  <c r="M1076" i="24"/>
  <c r="M1075" i="24"/>
  <c r="M1074" i="24"/>
  <c r="M1073" i="24"/>
  <c r="M1072" i="24"/>
  <c r="M1070" i="24"/>
  <c r="M1069" i="24"/>
  <c r="M1068" i="24"/>
  <c r="M1067" i="24"/>
  <c r="M1066" i="24"/>
  <c r="M1065" i="24"/>
  <c r="M1064" i="24"/>
  <c r="M1063" i="24"/>
  <c r="M1062" i="24"/>
  <c r="M1061" i="24"/>
  <c r="M1060" i="24"/>
  <c r="M1059" i="24"/>
  <c r="M1058" i="24"/>
  <c r="M1056" i="24"/>
  <c r="M1055" i="24"/>
  <c r="M1054" i="24"/>
  <c r="M1053" i="24"/>
  <c r="M1052" i="24"/>
  <c r="M1051" i="24"/>
  <c r="M1050" i="24"/>
  <c r="M1049" i="24"/>
  <c r="M1048" i="24"/>
  <c r="M1047" i="24"/>
  <c r="M1046" i="24"/>
  <c r="M1045" i="24"/>
  <c r="M1044" i="24"/>
  <c r="M1042" i="24"/>
  <c r="M1041" i="24"/>
  <c r="M1040" i="24"/>
  <c r="M1039" i="24"/>
  <c r="M1038" i="24"/>
  <c r="M1037" i="24"/>
  <c r="M1036" i="24"/>
  <c r="M1035" i="24"/>
  <c r="M1034" i="24"/>
  <c r="M1033" i="24"/>
  <c r="M1032" i="24"/>
  <c r="M1031" i="24"/>
  <c r="M1030" i="24"/>
  <c r="M1028" i="24"/>
  <c r="M1027" i="24"/>
  <c r="M1026" i="24"/>
  <c r="M1025" i="24"/>
  <c r="M1024" i="24"/>
  <c r="M1023" i="24"/>
  <c r="M1022" i="24"/>
  <c r="M1021" i="24"/>
  <c r="M1020" i="24"/>
  <c r="M1019" i="24"/>
  <c r="M1018" i="24"/>
  <c r="M1017" i="24"/>
  <c r="M1016" i="24"/>
  <c r="M1014" i="24"/>
  <c r="M1013" i="24"/>
  <c r="M1012" i="24"/>
  <c r="M1011" i="24"/>
  <c r="M1010" i="24"/>
  <c r="M1009" i="24"/>
  <c r="M1008" i="24"/>
  <c r="M1007" i="24"/>
  <c r="M1006" i="24"/>
  <c r="M1005" i="24"/>
  <c r="M1004" i="24"/>
  <c r="M1003" i="24"/>
  <c r="M1002" i="24"/>
  <c r="M1000" i="24"/>
  <c r="M999" i="24"/>
  <c r="M998" i="24"/>
  <c r="M997" i="24"/>
  <c r="M996" i="24"/>
  <c r="M995" i="24"/>
  <c r="M994" i="24"/>
  <c r="M993" i="24"/>
  <c r="M992" i="24"/>
  <c r="M991" i="24"/>
  <c r="M990" i="24"/>
  <c r="M989" i="24"/>
  <c r="M988" i="24"/>
  <c r="M986" i="24"/>
  <c r="M985" i="24"/>
  <c r="M984" i="24"/>
  <c r="M983" i="24"/>
  <c r="M982" i="24"/>
  <c r="M981" i="24"/>
  <c r="M980" i="24"/>
  <c r="M979" i="24"/>
  <c r="M978" i="24"/>
  <c r="M977" i="24"/>
  <c r="M976" i="24"/>
  <c r="M975" i="24"/>
  <c r="M974" i="24"/>
  <c r="M972" i="24"/>
  <c r="M971" i="24"/>
  <c r="M970" i="24"/>
  <c r="M969" i="24"/>
  <c r="M968" i="24"/>
  <c r="M967" i="24"/>
  <c r="M966" i="24"/>
  <c r="M965" i="24"/>
  <c r="M964" i="24"/>
  <c r="M963" i="24"/>
  <c r="M962" i="24"/>
  <c r="M961" i="24"/>
  <c r="M960" i="24"/>
  <c r="M958" i="24"/>
  <c r="M957" i="24"/>
  <c r="M956" i="24"/>
  <c r="M955" i="24"/>
  <c r="M954" i="24"/>
  <c r="M953" i="24"/>
  <c r="M952" i="24"/>
  <c r="M951" i="24"/>
  <c r="M950" i="24"/>
  <c r="M949" i="24"/>
  <c r="M948" i="24"/>
  <c r="M947" i="24"/>
  <c r="M946" i="24"/>
  <c r="M945" i="24"/>
  <c r="M944" i="24"/>
  <c r="M942" i="24"/>
  <c r="M941" i="24"/>
  <c r="M940" i="24"/>
  <c r="M939" i="24"/>
  <c r="M938" i="24"/>
  <c r="M937" i="24"/>
  <c r="M936" i="24"/>
  <c r="M935" i="24"/>
  <c r="M934" i="24"/>
  <c r="M933" i="24"/>
  <c r="M932" i="24"/>
  <c r="M931" i="24"/>
  <c r="M930" i="24"/>
  <c r="M929" i="24"/>
  <c r="M928" i="24"/>
  <c r="M926" i="24"/>
  <c r="M925" i="24"/>
  <c r="M924" i="24"/>
  <c r="M923" i="24"/>
  <c r="M922" i="24"/>
  <c r="M921" i="24"/>
  <c r="M920" i="24"/>
  <c r="M919" i="24"/>
  <c r="M918" i="24"/>
  <c r="M917" i="24"/>
  <c r="M916" i="24"/>
  <c r="M915" i="24"/>
  <c r="M914" i="24"/>
  <c r="M913" i="24"/>
  <c r="M911" i="24"/>
  <c r="M910" i="24"/>
  <c r="M909" i="24"/>
  <c r="M908" i="24"/>
  <c r="M907" i="24"/>
  <c r="M906" i="24"/>
  <c r="M905" i="24"/>
  <c r="M904" i="24"/>
  <c r="M903" i="24"/>
  <c r="M902" i="24"/>
  <c r="M901" i="24"/>
  <c r="M900" i="24"/>
  <c r="M899" i="24"/>
  <c r="M898" i="24"/>
  <c r="M897" i="24"/>
  <c r="M895" i="24"/>
  <c r="M894" i="24"/>
  <c r="M893" i="24"/>
  <c r="M892" i="24"/>
  <c r="M891" i="24"/>
  <c r="M890" i="24"/>
  <c r="M889" i="24"/>
  <c r="M888" i="24"/>
  <c r="M887" i="24"/>
  <c r="M886" i="24"/>
  <c r="M885" i="24"/>
  <c r="M884" i="24"/>
  <c r="M883" i="24"/>
  <c r="M882" i="24"/>
  <c r="M881" i="24"/>
  <c r="M879" i="24"/>
  <c r="M878" i="24"/>
  <c r="M877" i="24"/>
  <c r="M876" i="24"/>
  <c r="M875" i="24"/>
  <c r="M874" i="24"/>
  <c r="M873" i="24"/>
  <c r="M872" i="24"/>
  <c r="M871" i="24"/>
  <c r="M870" i="24"/>
  <c r="M869" i="24"/>
  <c r="M868" i="24"/>
  <c r="M867" i="24"/>
  <c r="M866" i="24"/>
  <c r="M865" i="24"/>
  <c r="M863" i="24"/>
  <c r="M862" i="24"/>
  <c r="M861" i="24"/>
  <c r="M860" i="24"/>
  <c r="M859" i="24"/>
  <c r="M858" i="24"/>
  <c r="M857" i="24"/>
  <c r="M856" i="24"/>
  <c r="M855" i="24"/>
  <c r="M854" i="24"/>
  <c r="M853" i="24"/>
  <c r="M852" i="24"/>
  <c r="M851" i="24"/>
  <c r="M849" i="24"/>
  <c r="M848" i="24"/>
  <c r="M847" i="24"/>
  <c r="M846" i="24"/>
  <c r="M845" i="24"/>
  <c r="M844" i="24"/>
  <c r="M843" i="24"/>
  <c r="M842" i="24"/>
  <c r="M841" i="24"/>
  <c r="M840" i="24"/>
  <c r="M839" i="24"/>
  <c r="M838" i="24"/>
  <c r="M837" i="24"/>
  <c r="M835" i="24"/>
  <c r="M834" i="24"/>
  <c r="M833" i="24"/>
  <c r="M832" i="24"/>
  <c r="M831" i="24"/>
  <c r="M830" i="24"/>
  <c r="M829" i="24"/>
  <c r="M828" i="24"/>
  <c r="M827" i="24"/>
  <c r="M826" i="24"/>
  <c r="M825" i="24"/>
  <c r="M824" i="24"/>
  <c r="M823" i="24"/>
  <c r="M821" i="24"/>
  <c r="M820" i="24"/>
  <c r="M819" i="24"/>
  <c r="M818" i="24"/>
  <c r="M817" i="24"/>
  <c r="M816" i="24"/>
  <c r="M815" i="24"/>
  <c r="M814" i="24"/>
  <c r="M813" i="24"/>
  <c r="M812" i="24"/>
  <c r="M811" i="24"/>
  <c r="M810" i="24"/>
  <c r="M809" i="24"/>
  <c r="M807" i="24"/>
  <c r="M806" i="24"/>
  <c r="M805" i="24"/>
  <c r="M804" i="24"/>
  <c r="M803" i="24"/>
  <c r="M802" i="24"/>
  <c r="M801" i="24"/>
  <c r="M800" i="24"/>
  <c r="M799" i="24"/>
  <c r="M798" i="24"/>
  <c r="M797" i="24"/>
  <c r="M796" i="24"/>
  <c r="M795" i="24"/>
  <c r="M793" i="24"/>
  <c r="M792" i="24"/>
  <c r="M791" i="24"/>
  <c r="M790" i="24"/>
  <c r="M789" i="24"/>
  <c r="M788" i="24"/>
  <c r="M787" i="24"/>
  <c r="M786" i="24"/>
  <c r="M785" i="24"/>
  <c r="M784" i="24"/>
  <c r="M783" i="24"/>
  <c r="M782" i="24"/>
  <c r="M781" i="24"/>
  <c r="M779" i="24"/>
  <c r="M778" i="24"/>
  <c r="M777" i="24"/>
  <c r="M776" i="24"/>
  <c r="M775" i="24"/>
  <c r="M774" i="24"/>
  <c r="M773" i="24"/>
  <c r="M772" i="24"/>
  <c r="M771" i="24"/>
  <c r="M770" i="24"/>
  <c r="M769" i="24"/>
  <c r="M768" i="24"/>
  <c r="M767" i="24"/>
  <c r="M765" i="24"/>
  <c r="M764" i="24"/>
  <c r="M763" i="24"/>
  <c r="M762" i="24"/>
  <c r="M761" i="24"/>
  <c r="M760" i="24"/>
  <c r="M759" i="24"/>
  <c r="M758" i="24"/>
  <c r="M757" i="24"/>
  <c r="M756" i="24"/>
  <c r="M755" i="24"/>
  <c r="M754" i="24"/>
  <c r="M753" i="24"/>
  <c r="M751" i="24"/>
  <c r="M750" i="24"/>
  <c r="M749" i="24"/>
  <c r="M748" i="24"/>
  <c r="M747" i="24"/>
  <c r="M746" i="24"/>
  <c r="M745" i="24"/>
  <c r="M744" i="24"/>
  <c r="M743" i="24"/>
  <c r="M742" i="24"/>
  <c r="M741" i="24"/>
  <c r="M740" i="24"/>
  <c r="M739" i="24"/>
  <c r="M737" i="24"/>
  <c r="M736" i="24"/>
  <c r="M735" i="24"/>
  <c r="M734" i="24"/>
  <c r="M733" i="24"/>
  <c r="M732" i="24"/>
  <c r="M731" i="24"/>
  <c r="M730" i="24"/>
  <c r="M729" i="24"/>
  <c r="M728" i="24"/>
  <c r="M727" i="24"/>
  <c r="M726" i="24"/>
  <c r="M725" i="24"/>
  <c r="M723" i="24"/>
  <c r="M722" i="24"/>
  <c r="M721" i="24"/>
  <c r="M720" i="24"/>
  <c r="M719" i="24"/>
  <c r="M718" i="24"/>
  <c r="M717" i="24"/>
  <c r="M716" i="24"/>
  <c r="M715" i="24"/>
  <c r="M714" i="24"/>
  <c r="M713" i="24"/>
  <c r="M712" i="24"/>
  <c r="M711" i="24"/>
  <c r="M709" i="24"/>
  <c r="M708" i="24"/>
  <c r="M707" i="24"/>
  <c r="M706" i="24"/>
  <c r="M705" i="24"/>
  <c r="M704" i="24"/>
  <c r="M703" i="24"/>
  <c r="M702" i="24"/>
  <c r="M701" i="24"/>
  <c r="M700" i="24"/>
  <c r="M699" i="24"/>
  <c r="M698" i="24"/>
  <c r="M697" i="24"/>
  <c r="M695" i="24"/>
  <c r="M694" i="24"/>
  <c r="M693" i="24"/>
  <c r="M692" i="24"/>
  <c r="M691" i="24"/>
  <c r="M690" i="24"/>
  <c r="M689" i="24"/>
  <c r="M688" i="24"/>
  <c r="M687" i="24"/>
  <c r="M686" i="24"/>
  <c r="M685" i="24"/>
  <c r="M684" i="24"/>
  <c r="M683" i="24"/>
  <c r="M681" i="24"/>
  <c r="M680" i="24"/>
  <c r="M679" i="24"/>
  <c r="M678" i="24"/>
  <c r="M677" i="24"/>
  <c r="M676" i="24"/>
  <c r="M675" i="24"/>
  <c r="M674" i="24"/>
  <c r="M673" i="24"/>
  <c r="M672" i="24"/>
  <c r="M671" i="24"/>
  <c r="M670" i="24"/>
  <c r="M669" i="24"/>
  <c r="M667" i="24"/>
  <c r="M666" i="24"/>
  <c r="M665" i="24"/>
  <c r="M664" i="24"/>
  <c r="M663" i="24"/>
  <c r="M662" i="24"/>
  <c r="M661" i="24"/>
  <c r="M660" i="24"/>
  <c r="M659" i="24"/>
  <c r="M658" i="24"/>
  <c r="M657" i="24"/>
  <c r="M656" i="24"/>
  <c r="M655" i="24"/>
  <c r="M653" i="24"/>
  <c r="M652" i="24"/>
  <c r="M651" i="24"/>
  <c r="M650" i="24"/>
  <c r="M649" i="24"/>
  <c r="M648" i="24"/>
  <c r="M647" i="24"/>
  <c r="M646" i="24"/>
  <c r="M645" i="24"/>
  <c r="M644" i="24"/>
  <c r="M643" i="24"/>
  <c r="M642" i="24"/>
  <c r="M641" i="24"/>
  <c r="M639" i="24"/>
  <c r="M638" i="24"/>
  <c r="M637" i="24"/>
  <c r="M636" i="24"/>
  <c r="M635" i="24"/>
  <c r="M634" i="24"/>
  <c r="M633" i="24"/>
  <c r="M632" i="24"/>
  <c r="M631" i="24"/>
  <c r="M630" i="24"/>
  <c r="M629" i="24"/>
  <c r="M628" i="24"/>
  <c r="M627" i="24"/>
  <c r="M625" i="24"/>
  <c r="M624" i="24"/>
  <c r="M623" i="24"/>
  <c r="M622" i="24"/>
  <c r="M621" i="24"/>
  <c r="M620" i="24"/>
  <c r="M619" i="24"/>
  <c r="M618" i="24"/>
  <c r="M617" i="24"/>
  <c r="M616" i="24"/>
  <c r="M615" i="24"/>
  <c r="M614" i="24"/>
  <c r="M613" i="24"/>
  <c r="M611" i="24"/>
  <c r="M610" i="24"/>
  <c r="M609" i="24"/>
  <c r="M608" i="24"/>
  <c r="M607" i="24"/>
  <c r="M606" i="24"/>
  <c r="M605" i="24"/>
  <c r="M604" i="24"/>
  <c r="M603" i="24"/>
  <c r="M602" i="24"/>
  <c r="M601" i="24"/>
  <c r="M600" i="24"/>
  <c r="M599" i="24"/>
  <c r="M597" i="24"/>
  <c r="M596" i="24"/>
  <c r="M595" i="24"/>
  <c r="M594" i="24"/>
  <c r="M593" i="24"/>
  <c r="M592" i="24"/>
  <c r="M591" i="24"/>
  <c r="M590" i="24"/>
  <c r="M589" i="24"/>
  <c r="M588" i="24"/>
  <c r="M587" i="24"/>
  <c r="M586" i="24"/>
  <c r="M585" i="24"/>
  <c r="M583" i="24"/>
  <c r="M582" i="24"/>
  <c r="M581" i="24"/>
  <c r="M580" i="24"/>
  <c r="M579" i="24"/>
  <c r="M578" i="24"/>
  <c r="M577" i="24"/>
  <c r="M576" i="24"/>
  <c r="M575" i="24"/>
  <c r="M574" i="24"/>
  <c r="M573" i="24"/>
  <c r="M572" i="24"/>
  <c r="M571" i="24"/>
  <c r="M569" i="24"/>
  <c r="M568" i="24"/>
  <c r="M567" i="24"/>
  <c r="M566" i="24"/>
  <c r="M565" i="24"/>
  <c r="M564" i="24"/>
  <c r="M563" i="24"/>
  <c r="M562" i="24"/>
  <c r="M561" i="24"/>
  <c r="M560" i="24"/>
  <c r="M559" i="24"/>
  <c r="M558" i="24"/>
  <c r="M557" i="24"/>
  <c r="M556" i="24"/>
  <c r="M555" i="24"/>
  <c r="M553" i="24"/>
  <c r="M552" i="24"/>
  <c r="M551" i="24"/>
  <c r="M550" i="24"/>
  <c r="M549" i="24"/>
  <c r="M548" i="24"/>
  <c r="M547" i="24"/>
  <c r="M546" i="24"/>
  <c r="M545" i="24"/>
  <c r="M544" i="24"/>
  <c r="M543" i="24"/>
  <c r="M542" i="24"/>
  <c r="M539" i="24"/>
  <c r="M538" i="24"/>
  <c r="M537" i="24"/>
  <c r="M536" i="24"/>
  <c r="M535" i="24"/>
  <c r="M534" i="24"/>
  <c r="M533" i="24"/>
  <c r="M532" i="24"/>
  <c r="M531" i="24"/>
  <c r="M530" i="24"/>
  <c r="M529" i="24"/>
  <c r="M528" i="24"/>
  <c r="M527" i="24"/>
  <c r="M525" i="24"/>
  <c r="M524" i="24"/>
  <c r="M523" i="24"/>
  <c r="M522" i="24"/>
  <c r="M521" i="24"/>
  <c r="M520" i="24"/>
  <c r="M519" i="24"/>
  <c r="M518" i="24"/>
  <c r="M517" i="24"/>
  <c r="M516" i="24"/>
  <c r="M515" i="24"/>
  <c r="M514" i="24"/>
  <c r="M513" i="24"/>
  <c r="M511" i="24"/>
  <c r="M510" i="24"/>
  <c r="M509" i="24"/>
  <c r="M508" i="24"/>
  <c r="M507" i="24"/>
  <c r="M506" i="24"/>
  <c r="M505" i="24"/>
  <c r="M504" i="24"/>
  <c r="M503" i="24"/>
  <c r="M502" i="24"/>
  <c r="M501" i="24"/>
  <c r="M500" i="24"/>
  <c r="M499" i="24"/>
  <c r="M497" i="24"/>
  <c r="M496" i="24"/>
  <c r="M495" i="24"/>
  <c r="M494" i="24"/>
  <c r="M493" i="24"/>
  <c r="M492" i="24"/>
  <c r="M491" i="24"/>
  <c r="M490" i="24"/>
  <c r="M489" i="24"/>
  <c r="M488" i="24"/>
  <c r="M487" i="24"/>
  <c r="M486" i="24"/>
  <c r="M485" i="24"/>
  <c r="M483" i="24"/>
  <c r="M482" i="24"/>
  <c r="M481" i="24"/>
  <c r="M480" i="24"/>
  <c r="M479" i="24"/>
  <c r="M478" i="24"/>
  <c r="M477" i="24"/>
  <c r="M476" i="24"/>
  <c r="M475" i="24"/>
  <c r="M474" i="24"/>
  <c r="M473" i="24"/>
  <c r="M472" i="24"/>
  <c r="M471" i="24"/>
  <c r="M469" i="24"/>
  <c r="M468" i="24"/>
  <c r="M467" i="24"/>
  <c r="M466" i="24"/>
  <c r="M465" i="24"/>
  <c r="M464" i="24"/>
  <c r="M463" i="24"/>
  <c r="M462" i="24"/>
  <c r="M461" i="24"/>
  <c r="M460" i="24"/>
  <c r="M459" i="24"/>
  <c r="M458" i="24"/>
  <c r="M457" i="24"/>
  <c r="M455" i="24"/>
  <c r="M454" i="24"/>
  <c r="M453" i="24"/>
  <c r="M452" i="24"/>
  <c r="M451" i="24"/>
  <c r="M450" i="24"/>
  <c r="M449" i="24"/>
  <c r="M448" i="24"/>
  <c r="M447" i="24"/>
  <c r="M446" i="24"/>
  <c r="M445" i="24"/>
  <c r="M444" i="24"/>
  <c r="M443" i="24"/>
  <c r="M441" i="24"/>
  <c r="M440" i="24"/>
  <c r="M439" i="24"/>
  <c r="M438" i="24"/>
  <c r="M437" i="24"/>
  <c r="M436" i="24"/>
  <c r="M435" i="24"/>
  <c r="M434" i="24"/>
  <c r="M433" i="24"/>
  <c r="M432" i="24"/>
  <c r="M431" i="24"/>
  <c r="M430" i="24"/>
  <c r="M429" i="24"/>
  <c r="M427" i="24"/>
  <c r="M426" i="24"/>
  <c r="M425" i="24"/>
  <c r="M424" i="24"/>
  <c r="M423" i="24"/>
  <c r="M422" i="24"/>
  <c r="M421" i="24"/>
  <c r="M420" i="24"/>
  <c r="M419" i="24"/>
  <c r="M418" i="24"/>
  <c r="M417" i="24"/>
  <c r="M416" i="24"/>
  <c r="M415" i="24"/>
  <c r="M413" i="24"/>
  <c r="M412" i="24"/>
  <c r="M411" i="24"/>
  <c r="M410" i="24"/>
  <c r="M409" i="24"/>
  <c r="M408" i="24"/>
  <c r="M407" i="24"/>
  <c r="M406" i="24"/>
  <c r="M405" i="24"/>
  <c r="M404" i="24"/>
  <c r="M403" i="24"/>
  <c r="M402" i="24"/>
  <c r="M401" i="24"/>
  <c r="M399" i="24"/>
  <c r="M398" i="24"/>
  <c r="M397" i="24"/>
  <c r="M396" i="24"/>
  <c r="M395" i="24"/>
  <c r="M394" i="24"/>
  <c r="M393" i="24"/>
  <c r="M392" i="24"/>
  <c r="M391" i="24"/>
  <c r="M390" i="24"/>
  <c r="M389" i="24"/>
  <c r="M388" i="24"/>
  <c r="M387" i="24"/>
  <c r="M386" i="24"/>
  <c r="M385" i="24"/>
  <c r="M384" i="24"/>
  <c r="M383" i="24"/>
  <c r="M382" i="24"/>
  <c r="M381" i="24"/>
  <c r="M380" i="24"/>
  <c r="M379" i="24"/>
  <c r="M378" i="24"/>
  <c r="M377" i="24"/>
  <c r="M375" i="24"/>
  <c r="M374" i="24"/>
  <c r="M373" i="24"/>
  <c r="M372" i="24"/>
  <c r="M371" i="24"/>
  <c r="M370" i="24"/>
  <c r="M369" i="24"/>
  <c r="M368" i="24"/>
  <c r="M367" i="24"/>
  <c r="M366" i="24"/>
  <c r="M365" i="24"/>
  <c r="M364" i="24"/>
  <c r="M363" i="24"/>
  <c r="M362" i="24"/>
  <c r="M361" i="24"/>
  <c r="M359" i="24"/>
  <c r="M358" i="24"/>
  <c r="M357" i="24"/>
  <c r="M356" i="24"/>
  <c r="M355" i="24"/>
  <c r="M354" i="24"/>
  <c r="M353" i="24"/>
  <c r="M352" i="24"/>
  <c r="M351" i="24"/>
  <c r="M350" i="24"/>
  <c r="M349" i="24"/>
  <c r="M348" i="24"/>
  <c r="M347" i="24"/>
  <c r="M345" i="24"/>
  <c r="M344" i="24"/>
  <c r="M343" i="24"/>
  <c r="M342" i="24"/>
  <c r="M341" i="24"/>
  <c r="M340" i="24"/>
  <c r="M339" i="24"/>
  <c r="M338" i="24"/>
  <c r="M337" i="24"/>
  <c r="M336" i="24"/>
  <c r="M335" i="24"/>
  <c r="M334" i="24"/>
  <c r="M333" i="24"/>
  <c r="M331" i="24"/>
  <c r="M330" i="24"/>
  <c r="M329" i="24"/>
  <c r="M328" i="24"/>
  <c r="M327" i="24"/>
  <c r="M326" i="24"/>
  <c r="M325" i="24"/>
  <c r="M324" i="24"/>
  <c r="M323" i="24"/>
  <c r="M322" i="24"/>
  <c r="M321" i="24"/>
  <c r="M320" i="24"/>
  <c r="M319" i="24"/>
  <c r="M267" i="24"/>
  <c r="M266" i="24"/>
  <c r="M265" i="24"/>
  <c r="M264" i="24"/>
  <c r="M263" i="24"/>
  <c r="M262" i="24"/>
  <c r="M261" i="24"/>
  <c r="M260" i="24"/>
  <c r="M259" i="24"/>
  <c r="M258" i="24"/>
  <c r="M257" i="24"/>
  <c r="M256" i="24"/>
  <c r="M255" i="24"/>
  <c r="M203" i="24"/>
  <c r="M202" i="24"/>
  <c r="M201" i="24"/>
  <c r="M200" i="24"/>
  <c r="M199" i="24"/>
  <c r="M198" i="24"/>
  <c r="M197" i="24"/>
  <c r="M196" i="24"/>
  <c r="M195" i="24"/>
  <c r="M194" i="24"/>
  <c r="M193" i="24"/>
  <c r="M192" i="24"/>
  <c r="M191" i="24"/>
  <c r="M189" i="24"/>
  <c r="M188" i="24"/>
  <c r="M187" i="24"/>
  <c r="M186" i="24"/>
  <c r="M185" i="24"/>
  <c r="M184" i="24"/>
  <c r="M183" i="24"/>
  <c r="M182" i="24"/>
  <c r="M181" i="24"/>
  <c r="M180" i="24"/>
  <c r="M179" i="24"/>
  <c r="M178" i="24"/>
  <c r="M177" i="24"/>
  <c r="M175" i="24"/>
  <c r="M174" i="24"/>
  <c r="M173" i="24"/>
  <c r="M172" i="24"/>
  <c r="M171" i="24"/>
  <c r="M170" i="24"/>
  <c r="M169" i="24"/>
  <c r="M168" i="24"/>
  <c r="M167" i="24"/>
  <c r="M166" i="24"/>
  <c r="M165" i="24"/>
  <c r="M164" i="24"/>
  <c r="M163" i="24"/>
  <c r="M162" i="24"/>
  <c r="M160" i="24"/>
  <c r="M159" i="24"/>
  <c r="M158" i="24"/>
  <c r="M157" i="24"/>
  <c r="M156" i="24"/>
  <c r="M155" i="24"/>
  <c r="M154" i="24"/>
  <c r="M153" i="24"/>
  <c r="M152" i="24"/>
  <c r="M151" i="24"/>
  <c r="M150" i="24"/>
  <c r="M149" i="24"/>
  <c r="M148" i="24"/>
  <c r="M146" i="24"/>
  <c r="M145" i="24"/>
  <c r="M144" i="24"/>
  <c r="M143" i="24"/>
  <c r="M142" i="24"/>
  <c r="M141" i="24"/>
  <c r="M140" i="24"/>
  <c r="M139" i="24"/>
  <c r="M138" i="24"/>
  <c r="M137" i="24"/>
  <c r="M136" i="24"/>
  <c r="M135" i="24"/>
  <c r="M134" i="24"/>
  <c r="M133" i="24"/>
  <c r="M131" i="24"/>
  <c r="N131" i="24" s="1"/>
  <c r="M130" i="24"/>
  <c r="M129" i="24"/>
  <c r="M128" i="24"/>
  <c r="M127" i="24"/>
  <c r="N127" i="24" s="1"/>
  <c r="M126" i="24"/>
  <c r="N126" i="24" s="1"/>
  <c r="M125" i="24"/>
  <c r="N125" i="24" s="1"/>
  <c r="M124" i="24"/>
  <c r="N124" i="24" s="1"/>
  <c r="M123" i="24"/>
  <c r="N123" i="24" s="1"/>
  <c r="M122" i="24"/>
  <c r="N122" i="24" s="1"/>
  <c r="M121" i="24"/>
  <c r="N121" i="24" s="1"/>
  <c r="M120" i="24"/>
  <c r="N120" i="24" s="1"/>
  <c r="M119" i="24"/>
  <c r="N119" i="24" s="1"/>
  <c r="M118" i="24"/>
  <c r="N118" i="24" s="1"/>
  <c r="M117" i="24"/>
  <c r="N117" i="24" s="1"/>
  <c r="M116" i="24"/>
  <c r="N116" i="24" s="1"/>
  <c r="M115" i="24"/>
  <c r="N115" i="24" s="1"/>
  <c r="M114" i="24"/>
  <c r="N114" i="24" s="1"/>
  <c r="M113" i="24"/>
  <c r="N113" i="24" s="1"/>
  <c r="M112" i="24"/>
  <c r="N112" i="24" s="1"/>
  <c r="M111" i="24"/>
  <c r="N111" i="24" s="1"/>
  <c r="M110" i="24"/>
  <c r="N110" i="24" s="1"/>
  <c r="M109" i="24"/>
  <c r="N109" i="24" s="1"/>
  <c r="M108" i="24"/>
  <c r="N108" i="24" s="1"/>
  <c r="M107" i="24"/>
  <c r="N107" i="24" s="1"/>
  <c r="M106" i="24"/>
  <c r="N106" i="24" s="1"/>
  <c r="M105" i="24"/>
  <c r="N105" i="24" s="1"/>
  <c r="M104" i="24"/>
  <c r="N104" i="24" s="1"/>
  <c r="M103" i="24"/>
  <c r="N103" i="24" s="1"/>
  <c r="M102" i="24"/>
  <c r="N102" i="24" s="1"/>
  <c r="M101" i="24"/>
  <c r="N101" i="24" s="1"/>
  <c r="M100" i="24"/>
  <c r="N100" i="24" s="1"/>
  <c r="M99" i="24"/>
  <c r="N99" i="24" s="1"/>
  <c r="M98" i="24"/>
  <c r="N98" i="24" s="1"/>
  <c r="M97" i="24"/>
  <c r="N97" i="24" s="1"/>
  <c r="M96" i="24"/>
  <c r="N96" i="24" s="1"/>
  <c r="M95" i="24"/>
  <c r="N95" i="24" s="1"/>
  <c r="M94" i="24"/>
  <c r="N94" i="24" s="1"/>
  <c r="M93" i="24"/>
  <c r="N93" i="24" s="1"/>
  <c r="M92" i="24"/>
  <c r="N92" i="24" s="1"/>
  <c r="M91" i="24"/>
  <c r="N91" i="24" s="1"/>
  <c r="M90" i="24"/>
  <c r="N90" i="24" s="1"/>
  <c r="M89" i="24"/>
  <c r="N89" i="24" s="1"/>
  <c r="M88" i="24"/>
  <c r="N88" i="24" s="1"/>
  <c r="M87" i="24"/>
  <c r="N87" i="24" s="1"/>
  <c r="M86" i="24"/>
  <c r="N86" i="24" s="1"/>
  <c r="M85" i="24"/>
  <c r="N85" i="24" s="1"/>
  <c r="M84" i="24"/>
  <c r="N84" i="24" s="1"/>
  <c r="M83" i="24"/>
  <c r="N83" i="24" s="1"/>
  <c r="M82" i="24"/>
  <c r="N82" i="24" s="1"/>
  <c r="M81" i="24"/>
  <c r="N81" i="24" s="1"/>
  <c r="M80" i="24"/>
  <c r="N80" i="24" s="1"/>
  <c r="M79" i="24"/>
  <c r="N79" i="24" s="1"/>
  <c r="M78" i="24"/>
  <c r="N78" i="24" s="1"/>
  <c r="M77" i="24"/>
  <c r="N77" i="24" s="1"/>
  <c r="M76" i="24"/>
  <c r="N76" i="24" s="1"/>
  <c r="M75" i="24"/>
  <c r="N75" i="24" s="1"/>
  <c r="M74" i="24"/>
  <c r="N74" i="24" s="1"/>
  <c r="M73" i="24"/>
  <c r="N73" i="24" s="1"/>
  <c r="M72" i="24"/>
  <c r="N72" i="24" s="1"/>
  <c r="M71" i="24"/>
  <c r="N71" i="24" s="1"/>
  <c r="M70" i="24"/>
  <c r="N70" i="24" s="1"/>
  <c r="M69" i="24"/>
  <c r="N69" i="24" s="1"/>
  <c r="M68" i="24"/>
  <c r="N68" i="24" s="1"/>
  <c r="M67" i="24"/>
  <c r="N67" i="24" s="1"/>
  <c r="M66" i="24"/>
  <c r="N66" i="24" s="1"/>
  <c r="M65" i="24"/>
  <c r="N65" i="24" s="1"/>
  <c r="M64" i="24"/>
  <c r="N64" i="24" s="1"/>
  <c r="M63" i="24"/>
  <c r="N63" i="24" s="1"/>
  <c r="M62" i="24"/>
  <c r="N62" i="24" s="1"/>
  <c r="M61" i="24"/>
  <c r="N61" i="24" s="1"/>
  <c r="M60" i="24"/>
  <c r="N60" i="24" s="1"/>
  <c r="M59" i="24"/>
  <c r="N59" i="24" s="1"/>
  <c r="M58" i="24"/>
  <c r="N58" i="24" s="1"/>
  <c r="M57" i="24"/>
  <c r="N57" i="24" s="1"/>
  <c r="M56" i="24"/>
  <c r="N56" i="24" s="1"/>
  <c r="M55" i="24"/>
  <c r="N55" i="24" s="1"/>
  <c r="M54" i="24"/>
  <c r="N54" i="24" s="1"/>
  <c r="M53" i="24"/>
  <c r="N53" i="24" s="1"/>
  <c r="M52" i="24"/>
  <c r="N52" i="24" s="1"/>
  <c r="M51" i="24"/>
  <c r="N51" i="24" s="1"/>
  <c r="M50" i="24"/>
  <c r="N50" i="24" s="1"/>
  <c r="M49" i="24"/>
  <c r="N49" i="24" s="1"/>
  <c r="M48" i="24"/>
  <c r="N48" i="24" s="1"/>
  <c r="M47" i="24"/>
  <c r="N47" i="24" s="1"/>
  <c r="M46" i="24"/>
  <c r="N46" i="24" s="1"/>
  <c r="M45" i="24"/>
  <c r="N45" i="24" s="1"/>
  <c r="M44" i="24"/>
  <c r="N44" i="24" s="1"/>
  <c r="M42" i="24"/>
  <c r="M41" i="24"/>
  <c r="M40" i="24"/>
  <c r="M39" i="24"/>
  <c r="M38" i="24"/>
  <c r="M37" i="24"/>
  <c r="M36" i="24"/>
  <c r="M35" i="24"/>
  <c r="M34" i="24"/>
  <c r="M33" i="24"/>
  <c r="M32" i="24"/>
  <c r="AH31" i="24"/>
  <c r="M31" i="24"/>
  <c r="AH30" i="24"/>
  <c r="M30" i="24"/>
  <c r="AH29" i="24"/>
  <c r="M29" i="24"/>
  <c r="AH28" i="24"/>
  <c r="M28" i="24"/>
  <c r="AH27" i="24"/>
  <c r="M27" i="24"/>
  <c r="AH26" i="24"/>
  <c r="M26" i="24"/>
  <c r="AH25" i="24"/>
  <c r="M25" i="24"/>
  <c r="AH24" i="24"/>
  <c r="M24" i="24"/>
  <c r="AH23" i="24"/>
  <c r="M23" i="24"/>
  <c r="AH22" i="24"/>
  <c r="M22" i="24"/>
  <c r="AH21" i="24"/>
  <c r="M21" i="24"/>
  <c r="AH20" i="24"/>
  <c r="M20" i="24"/>
  <c r="AH19" i="24"/>
  <c r="M19" i="24"/>
  <c r="AH18" i="24"/>
  <c r="M18" i="24"/>
  <c r="AH17" i="24"/>
  <c r="M17" i="24"/>
  <c r="AH16" i="24"/>
  <c r="M16" i="24"/>
  <c r="AH15" i="24"/>
  <c r="M15" i="24"/>
  <c r="AH14" i="24"/>
  <c r="M14" i="24"/>
  <c r="AH13" i="24"/>
  <c r="M13" i="24"/>
  <c r="K13" i="24"/>
  <c r="AH12" i="24"/>
  <c r="AH11" i="24"/>
  <c r="M11" i="24"/>
  <c r="AH10" i="24"/>
  <c r="M10" i="24"/>
  <c r="M9" i="24"/>
  <c r="M8" i="24"/>
  <c r="M7" i="24"/>
  <c r="N7" i="24" s="1"/>
  <c r="M6" i="24"/>
  <c r="M5" i="24"/>
  <c r="M4" i="24"/>
  <c r="M3" i="24"/>
  <c r="L691" i="2"/>
  <c r="L692" i="2"/>
  <c r="L671" i="2"/>
  <c r="L679" i="2"/>
  <c r="L678" i="2"/>
  <c r="L672" i="2"/>
  <c r="L688" i="2"/>
  <c r="L515" i="2"/>
  <c r="L323" i="2"/>
  <c r="L290" i="2"/>
  <c r="L287" i="2"/>
  <c r="L327" i="2"/>
  <c r="L291" i="2"/>
  <c r="L293" i="2"/>
  <c r="L340" i="2"/>
  <c r="L333" i="2"/>
  <c r="L289" i="2"/>
  <c r="L288" i="2"/>
  <c r="L286" i="2"/>
  <c r="L284" i="2"/>
  <c r="L339" i="2"/>
  <c r="L302" i="2"/>
  <c r="L330" i="2"/>
  <c r="L329" i="2"/>
  <c r="L331" i="2"/>
  <c r="L334" i="2"/>
  <c r="L328" i="2"/>
  <c r="L336" i="2"/>
  <c r="L335" i="2"/>
  <c r="L299" i="2"/>
  <c r="L297" i="2"/>
  <c r="L301" i="2"/>
  <c r="L338" i="2"/>
  <c r="L300" i="2"/>
  <c r="L298" i="2"/>
  <c r="L303" i="2"/>
  <c r="L311" i="2"/>
  <c r="L308" i="2"/>
  <c r="L314" i="2"/>
  <c r="L304" i="2"/>
  <c r="L295" i="2"/>
  <c r="L281" i="2"/>
  <c r="L324" i="2"/>
  <c r="L326" i="2"/>
  <c r="L325" i="2"/>
  <c r="L318" i="2"/>
  <c r="L317" i="2"/>
  <c r="L312" i="2"/>
  <c r="L1054" i="2"/>
  <c r="L901" i="2"/>
  <c r="L900" i="2"/>
  <c r="L783" i="2"/>
  <c r="L782" i="2"/>
  <c r="L693" i="2"/>
  <c r="L249" i="2"/>
  <c r="L1238" i="2"/>
  <c r="L1239" i="2"/>
  <c r="L410" i="2"/>
  <c r="L411" i="2"/>
  <c r="L1822" i="2"/>
  <c r="L1821" i="2"/>
  <c r="L1823" i="2"/>
  <c r="L1699" i="2"/>
  <c r="L1698" i="2"/>
  <c r="L1091" i="2"/>
  <c r="L508" i="2"/>
  <c r="L219" i="2"/>
  <c r="L1508" i="2"/>
  <c r="L1503" i="2"/>
  <c r="L1506" i="2"/>
  <c r="L1510" i="2"/>
  <c r="L1505" i="2"/>
  <c r="L1502" i="2"/>
  <c r="L1504" i="2"/>
  <c r="L1509" i="2"/>
  <c r="L1507" i="2"/>
  <c r="L1456" i="2"/>
  <c r="L1441" i="2"/>
  <c r="L1439" i="2"/>
  <c r="L1440" i="2"/>
  <c r="L1386" i="2"/>
  <c r="L1387" i="2"/>
  <c r="L1383" i="2"/>
  <c r="L1384" i="2"/>
  <c r="L1385" i="2"/>
  <c r="L1382" i="2"/>
  <c r="L1872" i="2"/>
  <c r="L743" i="2"/>
  <c r="L742" i="2"/>
  <c r="L1800" i="2"/>
  <c r="L1766" i="2"/>
  <c r="L1689" i="2"/>
  <c r="L1623" i="2"/>
  <c r="L1371" i="2"/>
  <c r="L1151" i="2"/>
  <c r="L1103" i="2"/>
  <c r="L1032" i="2"/>
  <c r="L528" i="2"/>
  <c r="L1796" i="2"/>
  <c r="L208" i="2"/>
  <c r="L1303" i="2"/>
  <c r="L441" i="2"/>
  <c r="L1312" i="2"/>
  <c r="L1159" i="2"/>
  <c r="L648" i="2"/>
  <c r="L647" i="2"/>
  <c r="L649" i="2"/>
  <c r="L1357" i="2"/>
  <c r="L1358" i="2"/>
  <c r="L337" i="2"/>
  <c r="L1636" i="2"/>
  <c r="L507" i="2"/>
  <c r="L218" i="2"/>
  <c r="L1497" i="2"/>
  <c r="L1501" i="2"/>
  <c r="L1499" i="2"/>
  <c r="L1498" i="2"/>
  <c r="L1500" i="2"/>
  <c r="L1042" i="2"/>
  <c r="L1297" i="2"/>
  <c r="L1546" i="2"/>
  <c r="L1737" i="2"/>
  <c r="L1246" i="2"/>
  <c r="L539" i="2"/>
  <c r="L1325" i="2"/>
  <c r="L1344" i="2"/>
  <c r="L574" i="2"/>
  <c r="L741" i="2"/>
  <c r="L740" i="2"/>
  <c r="L911" i="2"/>
  <c r="L888" i="2"/>
  <c r="L712" i="2"/>
  <c r="L638" i="2"/>
  <c r="L228" i="2"/>
  <c r="L1688" i="2"/>
  <c r="L1150" i="2"/>
  <c r="L1102" i="2"/>
  <c r="L1832" i="2"/>
  <c r="L1604" i="2"/>
  <c r="L1842" i="2"/>
  <c r="L805" i="2"/>
  <c r="L702" i="2"/>
  <c r="L622" i="2"/>
  <c r="L380" i="2"/>
  <c r="L103" i="2"/>
  <c r="L1756" i="2"/>
  <c r="L1536" i="2"/>
  <c r="L1529" i="2"/>
  <c r="L1316" i="2"/>
  <c r="L1180" i="2"/>
  <c r="L1018" i="2"/>
  <c r="L1008" i="2"/>
  <c r="L751" i="2"/>
  <c r="L612" i="2"/>
  <c r="L182" i="2"/>
  <c r="L21" i="2"/>
  <c r="L1611" i="2"/>
  <c r="L1302" i="2"/>
  <c r="L1665" i="2"/>
  <c r="L1002" i="2"/>
  <c r="L440" i="2"/>
  <c r="L164" i="2"/>
  <c r="L80" i="2"/>
  <c r="L60" i="2"/>
  <c r="L1255" i="2"/>
  <c r="L1311" i="2"/>
  <c r="L1158" i="2"/>
  <c r="L959" i="2"/>
  <c r="L391" i="2"/>
  <c r="L1849" i="2"/>
  <c r="L655" i="2"/>
  <c r="L195" i="2"/>
  <c r="L1868" i="2"/>
  <c r="L1189" i="2"/>
  <c r="L1080" i="2"/>
  <c r="L630" i="2"/>
  <c r="L419" i="2"/>
  <c r="L69" i="2"/>
  <c r="L794" i="2"/>
  <c r="L1674" i="2"/>
  <c r="L1170" i="2"/>
  <c r="L429" i="2"/>
  <c r="L124" i="2"/>
  <c r="L115" i="2"/>
  <c r="L919" i="2"/>
  <c r="L768" i="2"/>
  <c r="L728" i="2"/>
  <c r="L602" i="2"/>
  <c r="L1521" i="2"/>
  <c r="L1217" i="2"/>
  <c r="L265" i="2"/>
  <c r="L813" i="2"/>
  <c r="L280" i="2"/>
  <c r="L1775" i="2"/>
  <c r="L1282" i="2"/>
  <c r="L153" i="2"/>
  <c r="L931" i="2"/>
  <c r="L950" i="2"/>
  <c r="L943" i="2"/>
  <c r="L1716" i="2"/>
  <c r="L489" i="2"/>
  <c r="L481" i="2"/>
  <c r="L12" i="2"/>
  <c r="L1356" i="2"/>
  <c r="L332" i="2"/>
  <c r="L1708" i="2"/>
  <c r="L1629" i="2"/>
  <c r="L1049" i="2"/>
  <c r="L895" i="2"/>
  <c r="L1234" i="2"/>
  <c r="L503" i="2"/>
  <c r="L1449" i="2"/>
  <c r="L1434" i="2"/>
  <c r="L532" i="2"/>
  <c r="L444" i="2"/>
  <c r="L775" i="2"/>
  <c r="L407" i="2"/>
  <c r="L1695" i="2"/>
  <c r="L1086" i="2"/>
  <c r="L1378" i="2"/>
  <c r="L565" i="2"/>
  <c r="L270" i="2"/>
  <c r="L572" i="2"/>
  <c r="L1267" i="2"/>
  <c r="L988" i="2"/>
  <c r="L870" i="2"/>
  <c r="L853" i="2"/>
  <c r="L855" i="2"/>
  <c r="L839" i="2"/>
  <c r="L35" i="2"/>
  <c r="L34" i="2"/>
  <c r="L1137" i="2"/>
  <c r="L907" i="2"/>
  <c r="L885" i="2"/>
  <c r="L709" i="2"/>
  <c r="L636" i="2"/>
  <c r="L226" i="2"/>
  <c r="L1829" i="2"/>
  <c r="L1601" i="2"/>
  <c r="L1838" i="2"/>
  <c r="L803" i="2"/>
  <c r="L699" i="2"/>
  <c r="L619" i="2"/>
  <c r="L376" i="2"/>
  <c r="L100" i="2"/>
  <c r="L1752" i="2"/>
  <c r="L1722" i="2"/>
  <c r="L1582" i="2"/>
  <c r="L1527" i="2"/>
  <c r="L1177" i="2"/>
  <c r="L1014" i="2"/>
  <c r="L1005" i="2"/>
  <c r="L749" i="2"/>
  <c r="L608" i="2"/>
  <c r="L178" i="2"/>
  <c r="L18" i="2"/>
  <c r="L1608" i="2"/>
  <c r="L1300" i="2"/>
  <c r="L1661" i="2"/>
  <c r="L997" i="2"/>
  <c r="L436" i="2"/>
  <c r="L159" i="2"/>
  <c r="L76" i="2"/>
  <c r="L56" i="2"/>
  <c r="L1252" i="2"/>
  <c r="L1309" i="2"/>
  <c r="L1156" i="2"/>
  <c r="L956" i="2"/>
  <c r="L388" i="2"/>
  <c r="L1846" i="2"/>
  <c r="L652" i="2"/>
  <c r="L191" i="2"/>
  <c r="L1865" i="2"/>
  <c r="L1186" i="2"/>
  <c r="L1077" i="2"/>
  <c r="L627" i="2"/>
  <c r="L417" i="2"/>
  <c r="L66" i="2"/>
  <c r="L790" i="2"/>
  <c r="L1671" i="2"/>
  <c r="L1167" i="2"/>
  <c r="L878" i="2"/>
  <c r="L426" i="2"/>
  <c r="L234" i="2"/>
  <c r="L121" i="2"/>
  <c r="L110" i="2"/>
  <c r="L917" i="2"/>
  <c r="L765" i="2"/>
  <c r="L724" i="2"/>
  <c r="L600" i="2"/>
  <c r="L1518" i="2"/>
  <c r="L1215" i="2"/>
  <c r="L262" i="2"/>
  <c r="L811" i="2"/>
  <c r="L277" i="2"/>
  <c r="L1771" i="2"/>
  <c r="L1278" i="2"/>
  <c r="L973" i="2"/>
  <c r="L644" i="2"/>
  <c r="L149" i="2"/>
  <c r="L927" i="2"/>
  <c r="L947" i="2"/>
  <c r="L939" i="2"/>
  <c r="L1714" i="2"/>
  <c r="L487" i="2"/>
  <c r="L479" i="2"/>
  <c r="L9" i="2"/>
  <c r="L1353" i="2"/>
  <c r="L296" i="2"/>
  <c r="L245" i="2"/>
  <c r="L1815" i="2"/>
  <c r="L1486" i="2"/>
  <c r="L1479" i="2"/>
  <c r="L1480" i="2"/>
  <c r="L1477" i="2"/>
  <c r="L1484" i="2"/>
  <c r="L1482" i="2"/>
  <c r="L1476" i="2"/>
  <c r="L1481" i="2"/>
  <c r="L1487" i="2"/>
  <c r="L1489" i="2"/>
  <c r="L1485" i="2"/>
  <c r="L1488" i="2"/>
  <c r="L1478" i="2"/>
  <c r="L1483" i="2"/>
  <c r="L1435" i="2"/>
  <c r="L1037" i="2"/>
  <c r="L1295" i="2"/>
  <c r="L1542" i="2"/>
  <c r="L1734" i="2"/>
  <c r="L1242" i="2"/>
  <c r="L1243" i="2"/>
  <c r="L533" i="2"/>
  <c r="L492" i="2"/>
  <c r="L1322" i="2"/>
  <c r="L1338" i="2"/>
  <c r="L1339" i="2"/>
  <c r="L1886" i="2"/>
  <c r="L1887" i="2"/>
  <c r="L1807" i="2"/>
  <c r="L1808" i="2"/>
  <c r="L1786" i="2"/>
  <c r="L1787" i="2"/>
  <c r="L1653" i="2"/>
  <c r="L1652" i="2"/>
  <c r="L1558" i="2"/>
  <c r="L1268" i="2"/>
  <c r="L1207" i="2"/>
  <c r="L1206" i="2"/>
  <c r="L1117" i="2"/>
  <c r="L1116" i="2"/>
  <c r="L1070" i="2"/>
  <c r="L987" i="2"/>
  <c r="L869" i="2"/>
  <c r="L854" i="2"/>
  <c r="L840" i="2"/>
  <c r="L820" i="2"/>
  <c r="L761" i="2"/>
  <c r="L760" i="2"/>
  <c r="L669" i="2"/>
  <c r="L594" i="2"/>
  <c r="L593" i="2"/>
  <c r="L558" i="2"/>
  <c r="L555" i="2"/>
  <c r="L557" i="2"/>
  <c r="L556" i="2"/>
  <c r="L397" i="2"/>
  <c r="L47" i="2"/>
  <c r="L33" i="2"/>
  <c r="L1138" i="2"/>
  <c r="L1764" i="2"/>
  <c r="L1684" i="2"/>
  <c r="L1619" i="2"/>
  <c r="L1368" i="2"/>
  <c r="L1226" i="2"/>
  <c r="L1146" i="2"/>
  <c r="L1099" i="2"/>
  <c r="L1028" i="2"/>
  <c r="L524" i="2"/>
  <c r="L1793" i="2"/>
  <c r="L205" i="2"/>
  <c r="L974" i="2"/>
  <c r="L1705" i="2"/>
  <c r="L1625" i="2"/>
  <c r="L1628" i="2"/>
  <c r="L1047" i="2"/>
  <c r="L1048" i="2"/>
  <c r="L893" i="2"/>
  <c r="L894" i="2"/>
  <c r="L773" i="2"/>
  <c r="L774" i="2"/>
  <c r="L243" i="2"/>
  <c r="L244" i="2"/>
  <c r="L1233" i="2"/>
  <c r="L1232" i="2"/>
  <c r="L406" i="2"/>
  <c r="L1813" i="2"/>
  <c r="L1814" i="2"/>
  <c r="L1694" i="2"/>
  <c r="L1085" i="2"/>
  <c r="L501" i="2"/>
  <c r="L502" i="2"/>
  <c r="L213" i="2"/>
  <c r="L214" i="2"/>
  <c r="L1474" i="2"/>
  <c r="L1475" i="2"/>
  <c r="L1447" i="2"/>
  <c r="L1448" i="2"/>
  <c r="L1432" i="2"/>
  <c r="L1430" i="2"/>
  <c r="L1431" i="2"/>
  <c r="L1433" i="2"/>
  <c r="L1377" i="2"/>
  <c r="L1742" i="2"/>
  <c r="L1036" i="2"/>
  <c r="L1288" i="2"/>
  <c r="L1541" i="2"/>
  <c r="L1733" i="2"/>
  <c r="L1321" i="2"/>
  <c r="L1337" i="2"/>
  <c r="L564" i="2"/>
  <c r="L269" i="2"/>
  <c r="L571" i="2"/>
  <c r="L90" i="2"/>
  <c r="L737" i="2"/>
  <c r="L1885" i="2"/>
  <c r="L1857" i="2"/>
  <c r="L1729" i="2"/>
  <c r="L1651" i="2"/>
  <c r="L1594" i="2"/>
  <c r="L1557" i="2"/>
  <c r="L1266" i="2"/>
  <c r="L1205" i="2"/>
  <c r="L1204" i="2"/>
  <c r="L1115" i="2"/>
  <c r="L1069" i="2"/>
  <c r="L986" i="2"/>
  <c r="L868" i="2"/>
  <c r="L852" i="2"/>
  <c r="L838" i="2"/>
  <c r="L668" i="2"/>
  <c r="L592" i="2"/>
  <c r="L554" i="2"/>
  <c r="L369" i="2"/>
  <c r="L32" i="2"/>
  <c r="L1135" i="2"/>
  <c r="L1136" i="2"/>
  <c r="L905" i="2"/>
  <c r="L906" i="2"/>
  <c r="L884" i="2"/>
  <c r="L883" i="2"/>
  <c r="L708" i="2"/>
  <c r="L707" i="2"/>
  <c r="L635" i="2"/>
  <c r="L634" i="2"/>
  <c r="L225" i="2"/>
  <c r="L224" i="2"/>
  <c r="L1763" i="2"/>
  <c r="L1683" i="2"/>
  <c r="L1367" i="2"/>
  <c r="L1225" i="2"/>
  <c r="L1098" i="2"/>
  <c r="L1027" i="2"/>
  <c r="L523" i="2"/>
  <c r="L1792" i="2"/>
  <c r="L204" i="2"/>
  <c r="L1828" i="2"/>
  <c r="L1827" i="2"/>
  <c r="L1600" i="2"/>
  <c r="L1599" i="2"/>
  <c r="L1837" i="2"/>
  <c r="L1836" i="2"/>
  <c r="L802" i="2"/>
  <c r="L698" i="2"/>
  <c r="L697" i="2"/>
  <c r="L618" i="2"/>
  <c r="L617" i="2"/>
  <c r="L374" i="2"/>
  <c r="L375" i="2"/>
  <c r="L98" i="2"/>
  <c r="L99" i="2"/>
  <c r="L1751" i="2"/>
  <c r="L1750" i="2"/>
  <c r="L1721" i="2"/>
  <c r="L1720" i="2"/>
  <c r="L1534" i="2"/>
  <c r="L1525" i="2"/>
  <c r="L1526" i="2"/>
  <c r="L1175" i="2"/>
  <c r="L1176" i="2"/>
  <c r="L1012" i="2"/>
  <c r="L1013" i="2"/>
  <c r="L748" i="2"/>
  <c r="L606" i="2"/>
  <c r="L607" i="2"/>
  <c r="L177" i="2"/>
  <c r="L176" i="2"/>
  <c r="L16" i="2"/>
  <c r="L17" i="2"/>
  <c r="L1299" i="2"/>
  <c r="L1660" i="2"/>
  <c r="L1659" i="2"/>
  <c r="L996" i="2"/>
  <c r="L995" i="2"/>
  <c r="L435" i="2"/>
  <c r="L434" i="2"/>
  <c r="L158" i="2"/>
  <c r="L157" i="2"/>
  <c r="L75" i="2"/>
  <c r="L74" i="2"/>
  <c r="L54" i="2"/>
  <c r="L55" i="2"/>
  <c r="L1251" i="2"/>
  <c r="L1250" i="2"/>
  <c r="L1308" i="2"/>
  <c r="L1307" i="2"/>
  <c r="L1155" i="2"/>
  <c r="L955" i="2"/>
  <c r="L954" i="2"/>
  <c r="L387" i="2"/>
  <c r="L386" i="2"/>
  <c r="L1845" i="2"/>
  <c r="L651" i="2"/>
  <c r="L189" i="2"/>
  <c r="L190" i="2"/>
  <c r="L1864" i="2"/>
  <c r="L1863" i="2"/>
  <c r="L1184" i="2"/>
  <c r="L1185" i="2"/>
  <c r="L1075" i="2"/>
  <c r="L1076" i="2"/>
  <c r="L626" i="2"/>
  <c r="L625" i="2"/>
  <c r="L415" i="2"/>
  <c r="L416" i="2"/>
  <c r="L64" i="2"/>
  <c r="L65" i="2"/>
  <c r="L789" i="2"/>
  <c r="L788" i="2"/>
  <c r="L1669" i="2"/>
  <c r="L1670" i="2"/>
  <c r="L1165" i="2"/>
  <c r="L1166" i="2"/>
  <c r="L877" i="2"/>
  <c r="L876" i="2"/>
  <c r="L424" i="2"/>
  <c r="L425" i="2"/>
  <c r="L233" i="2"/>
  <c r="L232" i="2"/>
  <c r="L119" i="2"/>
  <c r="L120" i="2"/>
  <c r="L109" i="2"/>
  <c r="L108" i="2"/>
  <c r="L915" i="2"/>
  <c r="L916" i="2"/>
  <c r="L764" i="2"/>
  <c r="L763" i="2"/>
  <c r="L723" i="2"/>
  <c r="L722" i="2"/>
  <c r="L598" i="2"/>
  <c r="L599" i="2"/>
  <c r="L1517" i="2"/>
  <c r="L1516" i="2"/>
  <c r="L1213" i="2"/>
  <c r="L1214" i="2"/>
  <c r="L261" i="2"/>
  <c r="L260" i="2"/>
  <c r="L810" i="2"/>
  <c r="L809" i="2"/>
  <c r="L275" i="2"/>
  <c r="L276" i="2"/>
  <c r="L1770" i="2"/>
  <c r="L1277" i="2"/>
  <c r="L1276" i="2"/>
  <c r="L970" i="2"/>
  <c r="L972" i="2"/>
  <c r="L971" i="2"/>
  <c r="L966" i="2"/>
  <c r="L642" i="2"/>
  <c r="L643" i="2"/>
  <c r="L147" i="2"/>
  <c r="L148" i="2"/>
  <c r="L925" i="2"/>
  <c r="L926" i="2"/>
  <c r="L937" i="2"/>
  <c r="L938" i="2"/>
  <c r="L1713" i="2"/>
  <c r="L1712" i="2"/>
  <c r="L485" i="2"/>
  <c r="L486" i="2"/>
  <c r="L477" i="2"/>
  <c r="L478" i="2"/>
  <c r="L8" i="2"/>
  <c r="L1351" i="2"/>
  <c r="L1352" i="2"/>
  <c r="L1350" i="2"/>
  <c r="L294" i="2"/>
  <c r="L1704" i="2"/>
  <c r="L443" i="2"/>
  <c r="L1627" i="2"/>
  <c r="L1626" i="2"/>
  <c r="L1046" i="2"/>
  <c r="L892" i="2"/>
  <c r="L772" i="2"/>
  <c r="L677" i="2"/>
  <c r="L674" i="2"/>
  <c r="L673" i="2"/>
  <c r="L675" i="2"/>
  <c r="L676" i="2"/>
  <c r="L355" i="2"/>
  <c r="L345" i="2"/>
  <c r="L347" i="2"/>
  <c r="L348" i="2"/>
  <c r="L343" i="2"/>
  <c r="L346" i="2"/>
  <c r="L350" i="2"/>
  <c r="L341" i="2"/>
  <c r="L353" i="2"/>
  <c r="L342" i="2"/>
  <c r="L351" i="2"/>
  <c r="L349" i="2"/>
  <c r="L344" i="2"/>
  <c r="L352" i="2"/>
  <c r="L354" i="2"/>
  <c r="L241" i="2"/>
  <c r="L242" i="2"/>
  <c r="L1231" i="2"/>
  <c r="L405" i="2"/>
  <c r="L1812" i="2"/>
  <c r="L1693" i="2"/>
  <c r="L1084" i="2"/>
  <c r="L510" i="2"/>
  <c r="L499" i="2"/>
  <c r="L500" i="2"/>
  <c r="L212" i="2"/>
  <c r="L1564" i="2"/>
  <c r="L1561" i="2"/>
  <c r="L1563" i="2"/>
  <c r="L1464" i="2"/>
  <c r="L1491" i="2"/>
  <c r="L1466" i="2"/>
  <c r="L1471" i="2"/>
  <c r="L1492" i="2"/>
  <c r="L1467" i="2"/>
  <c r="L1473" i="2"/>
  <c r="L1469" i="2"/>
  <c r="L1472" i="2"/>
  <c r="L1465" i="2"/>
  <c r="L1468" i="2"/>
  <c r="L1470" i="2"/>
  <c r="L1445" i="2"/>
  <c r="L1446" i="2"/>
  <c r="L1422" i="2"/>
  <c r="L1411" i="2"/>
  <c r="L1425" i="2"/>
  <c r="L1423" i="2"/>
  <c r="L1418" i="2"/>
  <c r="L1415" i="2"/>
  <c r="L1417" i="2"/>
  <c r="L1408" i="2"/>
  <c r="L1436" i="2"/>
  <c r="L1412" i="2"/>
  <c r="L1420" i="2"/>
  <c r="L1421" i="2"/>
  <c r="L1410" i="2"/>
  <c r="L1416" i="2"/>
  <c r="L1426" i="2"/>
  <c r="L1409" i="2"/>
  <c r="L1419" i="2"/>
  <c r="L1424" i="2"/>
  <c r="L1413" i="2"/>
  <c r="L1429" i="2"/>
  <c r="L1414" i="2"/>
  <c r="L1428" i="2"/>
  <c r="L1427" i="2"/>
  <c r="L1376" i="2"/>
  <c r="L1741" i="2"/>
  <c r="L1035" i="2"/>
  <c r="L1285" i="2"/>
  <c r="L1287" i="2"/>
  <c r="L1286" i="2"/>
  <c r="L1540" i="2"/>
  <c r="L1732" i="2"/>
  <c r="L1241" i="2"/>
  <c r="L531" i="2"/>
  <c r="L530" i="2"/>
  <c r="L491" i="2"/>
  <c r="L1320" i="2"/>
  <c r="L1332" i="2"/>
  <c r="L1335" i="2"/>
  <c r="L1334" i="2"/>
  <c r="L1336" i="2"/>
  <c r="L1331" i="2"/>
  <c r="L1333" i="2"/>
  <c r="L563" i="2"/>
  <c r="L268" i="2"/>
  <c r="L570" i="2"/>
  <c r="L89" i="2"/>
  <c r="L88" i="2"/>
  <c r="L87" i="2"/>
  <c r="L86" i="2"/>
  <c r="L735" i="2"/>
  <c r="L736" i="2"/>
  <c r="L734" i="2"/>
  <c r="L733" i="2"/>
  <c r="L1879" i="2"/>
  <c r="L1881" i="2"/>
  <c r="L1884" i="2"/>
  <c r="L1880" i="2"/>
  <c r="L1877" i="2"/>
  <c r="L1882" i="2"/>
  <c r="L1883" i="2"/>
  <c r="L1878" i="2"/>
  <c r="L1855" i="2"/>
  <c r="L1854" i="2"/>
  <c r="L1853" i="2"/>
  <c r="L1856" i="2"/>
  <c r="L1851" i="2"/>
  <c r="L1805" i="2"/>
  <c r="L1803" i="2"/>
  <c r="L1806" i="2"/>
  <c r="L1801" i="2"/>
  <c r="L1802" i="2"/>
  <c r="L1804" i="2"/>
  <c r="L1783" i="2"/>
  <c r="L1781" i="2"/>
  <c r="L1785" i="2"/>
  <c r="L1779" i="2"/>
  <c r="L1776" i="2"/>
  <c r="L1778" i="2"/>
  <c r="L1777" i="2"/>
  <c r="L1784" i="2"/>
  <c r="L1782" i="2"/>
  <c r="L1780" i="2"/>
  <c r="L1728" i="2"/>
  <c r="L1727" i="2"/>
  <c r="L1726" i="2"/>
  <c r="L1644" i="2"/>
  <c r="L1646" i="2"/>
  <c r="L1643" i="2"/>
  <c r="L1648" i="2"/>
  <c r="L1649" i="2"/>
  <c r="L1645" i="2"/>
  <c r="L1641" i="2"/>
  <c r="L1650" i="2"/>
  <c r="L1647" i="2"/>
  <c r="L1642" i="2"/>
  <c r="L1592" i="2"/>
  <c r="L1591" i="2"/>
  <c r="L1589" i="2"/>
  <c r="L1593" i="2"/>
  <c r="L1587" i="2"/>
  <c r="L1586" i="2"/>
  <c r="L1588" i="2"/>
  <c r="L1590" i="2"/>
  <c r="L1554" i="2"/>
  <c r="L1556" i="2"/>
  <c r="L1553" i="2"/>
  <c r="L1555" i="2"/>
  <c r="L1262" i="2"/>
  <c r="L1263" i="2"/>
  <c r="L1265" i="2"/>
  <c r="L1261" i="2"/>
  <c r="L1264" i="2"/>
  <c r="L1199" i="2"/>
  <c r="L1197" i="2"/>
  <c r="L1201" i="2"/>
  <c r="L1203" i="2"/>
  <c r="L1193" i="2"/>
  <c r="L1200" i="2"/>
  <c r="L1195" i="2"/>
  <c r="L1198" i="2"/>
  <c r="L1202" i="2"/>
  <c r="L1192" i="2"/>
  <c r="L1196" i="2"/>
  <c r="L1108" i="2"/>
  <c r="L1113" i="2"/>
  <c r="L1109" i="2"/>
  <c r="L1110" i="2"/>
  <c r="L1114" i="2"/>
  <c r="L1106" i="2"/>
  <c r="L1112" i="2"/>
  <c r="L1111" i="2"/>
  <c r="L1061" i="2"/>
  <c r="L1063" i="2"/>
  <c r="L1060" i="2"/>
  <c r="L1067" i="2"/>
  <c r="L1062" i="2"/>
  <c r="L1058" i="2"/>
  <c r="L1068" i="2"/>
  <c r="L1064" i="2"/>
  <c r="L1065" i="2"/>
  <c r="L1059" i="2"/>
  <c r="L1066" i="2"/>
  <c r="L982" i="2"/>
  <c r="L984" i="2"/>
  <c r="L985" i="2"/>
  <c r="L981" i="2"/>
  <c r="L983" i="2"/>
  <c r="L864" i="2"/>
  <c r="L866" i="2"/>
  <c r="L867" i="2"/>
  <c r="L863" i="2"/>
  <c r="L865" i="2"/>
  <c r="L848" i="2"/>
  <c r="L851" i="2"/>
  <c r="L850" i="2"/>
  <c r="L847" i="2"/>
  <c r="L849" i="2"/>
  <c r="L834" i="2"/>
  <c r="L835" i="2"/>
  <c r="L837" i="2"/>
  <c r="L833" i="2"/>
  <c r="L836" i="2"/>
  <c r="L825" i="2"/>
  <c r="L823" i="2"/>
  <c r="L824" i="2"/>
  <c r="L819" i="2"/>
  <c r="L817" i="2"/>
  <c r="L818" i="2"/>
  <c r="L799" i="2"/>
  <c r="L800" i="2"/>
  <c r="L795" i="2"/>
  <c r="L797" i="2"/>
  <c r="L798" i="2"/>
  <c r="L796" i="2"/>
  <c r="L757" i="2"/>
  <c r="L758" i="2"/>
  <c r="L755" i="2"/>
  <c r="L753" i="2"/>
  <c r="L759" i="2"/>
  <c r="L756" i="2"/>
  <c r="L754" i="2"/>
  <c r="L718" i="2"/>
  <c r="L716" i="2"/>
  <c r="L713" i="2"/>
  <c r="L717" i="2"/>
  <c r="L715" i="2"/>
  <c r="L714" i="2"/>
  <c r="L663" i="2"/>
  <c r="L662" i="2"/>
  <c r="L666" i="2"/>
  <c r="L664" i="2"/>
  <c r="L665" i="2"/>
  <c r="L661" i="2"/>
  <c r="L659" i="2"/>
  <c r="L667" i="2"/>
  <c r="L660" i="2"/>
  <c r="L587" i="2"/>
  <c r="L586" i="2"/>
  <c r="L590" i="2"/>
  <c r="L591" i="2"/>
  <c r="L585" i="2"/>
  <c r="L589" i="2"/>
  <c r="L588" i="2"/>
  <c r="L579" i="2"/>
  <c r="L578" i="2"/>
  <c r="L580" i="2"/>
  <c r="L576" i="2"/>
  <c r="L577" i="2"/>
  <c r="L546" i="2"/>
  <c r="L550" i="2"/>
  <c r="L548" i="2"/>
  <c r="L547" i="2"/>
  <c r="L551" i="2"/>
  <c r="L545" i="2"/>
  <c r="L544" i="2"/>
  <c r="L553" i="2"/>
  <c r="L549" i="2"/>
  <c r="L552" i="2"/>
  <c r="L543" i="2"/>
  <c r="L395" i="2"/>
  <c r="L396" i="2"/>
  <c r="L364" i="2"/>
  <c r="L363" i="2"/>
  <c r="L368" i="2"/>
  <c r="L362" i="2"/>
  <c r="L365" i="2"/>
  <c r="L367" i="2"/>
  <c r="L366" i="2"/>
  <c r="L169" i="2"/>
  <c r="L170" i="2"/>
  <c r="L168" i="2"/>
  <c r="L167" i="2"/>
  <c r="L166" i="2"/>
  <c r="L165" i="2"/>
  <c r="L43" i="2"/>
  <c r="L45" i="2"/>
  <c r="L44" i="2"/>
  <c r="L46" i="2"/>
  <c r="L42" i="2"/>
  <c r="L28" i="2"/>
  <c r="L29" i="2"/>
  <c r="L31" i="2"/>
  <c r="L27" i="2"/>
  <c r="L30" i="2"/>
  <c r="L1129" i="2"/>
  <c r="L1127" i="2"/>
  <c r="L1126" i="2"/>
  <c r="L1130" i="2"/>
  <c r="L1133" i="2"/>
  <c r="L1131" i="2"/>
  <c r="L1128" i="2"/>
  <c r="L1134" i="2"/>
  <c r="L1132" i="2"/>
  <c r="L904" i="2"/>
  <c r="L882" i="2"/>
  <c r="L706" i="2"/>
  <c r="L633" i="2"/>
  <c r="L1797" i="2"/>
  <c r="L1762" i="2"/>
  <c r="L1761" i="2"/>
  <c r="L1681" i="2"/>
  <c r="L1680" i="2"/>
  <c r="L1682" i="2"/>
  <c r="L1679" i="2"/>
  <c r="L1618" i="2"/>
  <c r="L1617" i="2"/>
  <c r="L1616" i="2"/>
  <c r="L1365" i="2"/>
  <c r="L1364" i="2"/>
  <c r="L1366" i="2"/>
  <c r="L1363" i="2"/>
  <c r="L1223" i="2"/>
  <c r="L1222" i="2"/>
  <c r="L1224" i="2"/>
  <c r="L1221" i="2"/>
  <c r="L1145" i="2"/>
  <c r="L1097" i="2"/>
  <c r="L1096" i="2"/>
  <c r="L1095" i="2"/>
  <c r="L1025" i="2"/>
  <c r="L1024" i="2"/>
  <c r="L1026" i="2"/>
  <c r="L1023" i="2"/>
  <c r="L521" i="2"/>
  <c r="L522" i="2"/>
  <c r="L520" i="2"/>
  <c r="L1791" i="2"/>
  <c r="L202" i="2"/>
  <c r="L201" i="2"/>
  <c r="L203" i="2"/>
  <c r="L200" i="2"/>
  <c r="L1826" i="2"/>
  <c r="L1598" i="2"/>
  <c r="L1835" i="2"/>
  <c r="L696" i="2"/>
  <c r="L616" i="2"/>
  <c r="L373" i="2"/>
  <c r="L97" i="2"/>
  <c r="L1749" i="2"/>
  <c r="L1719" i="2"/>
  <c r="L1581" i="2"/>
  <c r="L1533" i="2"/>
  <c r="L1524" i="2"/>
  <c r="L1313" i="2"/>
  <c r="L1174" i="2"/>
  <c r="L1011" i="2"/>
  <c r="L1004" i="2"/>
  <c r="L747" i="2"/>
  <c r="L605" i="2"/>
  <c r="L175" i="2"/>
  <c r="L15" i="2"/>
  <c r="L1607" i="2"/>
  <c r="L1298" i="2"/>
  <c r="L1658" i="2"/>
  <c r="L1657" i="2"/>
  <c r="L994" i="2"/>
  <c r="L993" i="2"/>
  <c r="L433" i="2"/>
  <c r="L155" i="2"/>
  <c r="L156" i="2"/>
  <c r="L73" i="2"/>
  <c r="L72" i="2"/>
  <c r="L53" i="2"/>
  <c r="L52" i="2"/>
  <c r="L1249" i="2"/>
  <c r="L1306" i="2"/>
  <c r="L1154" i="2"/>
  <c r="L953" i="2"/>
  <c r="L385" i="2"/>
  <c r="L1844" i="2"/>
  <c r="L650" i="2"/>
  <c r="L188" i="2"/>
  <c r="L1862" i="2"/>
  <c r="L1183" i="2"/>
  <c r="L1074" i="2"/>
  <c r="L624" i="2"/>
  <c r="L414" i="2"/>
  <c r="L63" i="2"/>
  <c r="L787" i="2"/>
  <c r="L1668" i="2"/>
  <c r="L1164" i="2"/>
  <c r="L875" i="2"/>
  <c r="L423" i="2"/>
  <c r="L231" i="2"/>
  <c r="L118" i="2"/>
  <c r="L107" i="2"/>
  <c r="L106" i="2"/>
  <c r="L914" i="2"/>
  <c r="L762" i="2"/>
  <c r="L721" i="2"/>
  <c r="L597" i="2"/>
  <c r="L1515" i="2"/>
  <c r="L1212" i="2"/>
  <c r="L259" i="2"/>
  <c r="L808" i="2"/>
  <c r="L274" i="2"/>
  <c r="L1769" i="2"/>
  <c r="L1275" i="2"/>
  <c r="L969" i="2"/>
  <c r="L967" i="2"/>
  <c r="L968" i="2"/>
  <c r="L641" i="2"/>
  <c r="L146" i="2"/>
  <c r="L924" i="2"/>
  <c r="L946" i="2"/>
  <c r="L936" i="2"/>
  <c r="L1711" i="2"/>
  <c r="L484" i="2"/>
  <c r="L476" i="2"/>
  <c r="L475" i="2"/>
  <c r="L7" i="2"/>
  <c r="L1349" i="2"/>
  <c r="L1348" i="2"/>
  <c r="L292" i="2"/>
  <c r="L285" i="2"/>
  <c r="L135" i="2"/>
  <c r="L132" i="2"/>
  <c r="L138" i="2"/>
  <c r="L137" i="2"/>
  <c r="L136" i="2"/>
  <c r="L1703" i="2"/>
  <c r="L456" i="2"/>
  <c r="L463" i="2"/>
  <c r="L454" i="2"/>
  <c r="L453" i="2"/>
  <c r="L462" i="2"/>
  <c r="L445" i="2"/>
  <c r="L455" i="2"/>
  <c r="L466" i="2"/>
  <c r="L459" i="2"/>
  <c r="L452" i="2"/>
  <c r="L451" i="2"/>
  <c r="L450" i="2"/>
  <c r="L446" i="2"/>
  <c r="L447" i="2"/>
  <c r="L449" i="2"/>
  <c r="L464" i="2"/>
  <c r="L465" i="2"/>
  <c r="L458" i="2"/>
  <c r="L461" i="2"/>
  <c r="L448" i="2"/>
  <c r="L467" i="2"/>
  <c r="L457" i="2"/>
  <c r="L460" i="2"/>
  <c r="L468" i="2"/>
  <c r="L1630" i="2"/>
  <c r="L1632" i="2"/>
  <c r="L1631" i="2"/>
  <c r="L1634" i="2"/>
  <c r="L1633" i="2"/>
  <c r="L1050" i="2"/>
  <c r="L897" i="2"/>
  <c r="L896" i="2"/>
  <c r="L777" i="2"/>
  <c r="L779" i="2"/>
  <c r="L686" i="2"/>
  <c r="L687" i="2"/>
  <c r="L681" i="2"/>
  <c r="L682" i="2"/>
  <c r="L684" i="2"/>
  <c r="L685" i="2"/>
  <c r="L680" i="2"/>
  <c r="L683" i="2"/>
  <c r="L357" i="2"/>
  <c r="L356" i="2"/>
  <c r="L358" i="2"/>
  <c r="L359" i="2"/>
  <c r="L246" i="2"/>
  <c r="L1235" i="2"/>
  <c r="L408" i="2"/>
  <c r="L1816" i="2"/>
  <c r="L1817" i="2"/>
  <c r="L1696" i="2"/>
  <c r="L1087" i="2"/>
  <c r="L512" i="2"/>
  <c r="L511" i="2"/>
  <c r="L504" i="2"/>
  <c r="L215" i="2"/>
  <c r="L1566" i="2"/>
  <c r="L1571" i="2"/>
  <c r="L1569" i="2"/>
  <c r="L1567" i="2"/>
  <c r="L1568" i="2"/>
  <c r="L1570" i="2"/>
  <c r="L1565" i="2"/>
  <c r="L1572" i="2"/>
  <c r="L1490" i="2"/>
  <c r="L1450" i="2"/>
  <c r="L1451" i="2"/>
  <c r="L1437" i="2"/>
  <c r="L1379" i="2"/>
  <c r="L1869" i="2"/>
  <c r="L1870" i="2"/>
  <c r="L1743" i="2"/>
  <c r="L1744" i="2"/>
  <c r="L1038" i="2"/>
  <c r="L1296" i="2"/>
  <c r="L1290" i="2"/>
  <c r="L1289" i="2"/>
  <c r="L1291" i="2"/>
  <c r="L1544" i="2"/>
  <c r="L1543" i="2"/>
  <c r="L1735" i="2"/>
  <c r="L1244" i="2"/>
  <c r="L535" i="2"/>
  <c r="L536" i="2"/>
  <c r="L534" i="2"/>
  <c r="L537" i="2"/>
  <c r="L538" i="2"/>
  <c r="L493" i="2"/>
  <c r="L1323" i="2"/>
  <c r="L1340" i="2"/>
  <c r="L566" i="2"/>
  <c r="L271" i="2"/>
  <c r="L573" i="2"/>
  <c r="L1888" i="2"/>
  <c r="L1858" i="2"/>
  <c r="L1595" i="2"/>
  <c r="L1559" i="2"/>
  <c r="L1269" i="2"/>
  <c r="L1209" i="2"/>
  <c r="L1208" i="2"/>
  <c r="L1118" i="2"/>
  <c r="L1071" i="2"/>
  <c r="L989" i="2"/>
  <c r="L871" i="2"/>
  <c r="L856" i="2"/>
  <c r="L841" i="2"/>
  <c r="L826" i="2"/>
  <c r="L821" i="2"/>
  <c r="L670" i="2"/>
  <c r="L595" i="2"/>
  <c r="L581" i="2"/>
  <c r="L559" i="2"/>
  <c r="L399" i="2"/>
  <c r="L398" i="2"/>
  <c r="L370" i="2"/>
  <c r="L48" i="2"/>
  <c r="L36" i="2"/>
  <c r="L1139" i="2"/>
  <c r="L908" i="2"/>
  <c r="L886" i="2"/>
  <c r="L710" i="2"/>
  <c r="L637" i="2"/>
  <c r="L227" i="2"/>
  <c r="L1765" i="2"/>
  <c r="L1685" i="2"/>
  <c r="L1620" i="2"/>
  <c r="L1369" i="2"/>
  <c r="L1227" i="2"/>
  <c r="L1147" i="2"/>
  <c r="L1100" i="2"/>
  <c r="L1029" i="2"/>
  <c r="L525" i="2"/>
  <c r="L1794" i="2"/>
  <c r="L206" i="2"/>
  <c r="L1830" i="2"/>
  <c r="L1602" i="2"/>
  <c r="L1839" i="2"/>
  <c r="L804" i="2"/>
  <c r="L700" i="2"/>
  <c r="L620" i="2"/>
  <c r="L377" i="2"/>
  <c r="L101" i="2"/>
  <c r="L1753" i="2"/>
  <c r="L1723" i="2"/>
  <c r="L1583" i="2"/>
  <c r="L1528" i="2"/>
  <c r="L1314" i="2"/>
  <c r="L1178" i="2"/>
  <c r="L1015" i="2"/>
  <c r="L1006" i="2"/>
  <c r="L750" i="2"/>
  <c r="L609" i="2"/>
  <c r="L179" i="2"/>
  <c r="L19" i="2"/>
  <c r="L1609" i="2"/>
  <c r="L1301" i="2"/>
  <c r="L1662" i="2"/>
  <c r="L1663" i="2"/>
  <c r="L998" i="2"/>
  <c r="L999" i="2"/>
  <c r="L437" i="2"/>
  <c r="L438" i="2"/>
  <c r="L160" i="2"/>
  <c r="L161" i="2"/>
  <c r="L78" i="2"/>
  <c r="L77" i="2"/>
  <c r="L57" i="2"/>
  <c r="L58" i="2"/>
  <c r="L1253" i="2"/>
  <c r="L1310" i="2"/>
  <c r="L1157" i="2"/>
  <c r="L957" i="2"/>
  <c r="L389" i="2"/>
  <c r="L1847" i="2"/>
  <c r="L653" i="2"/>
  <c r="L192" i="2"/>
  <c r="L1866" i="2"/>
  <c r="L1187" i="2"/>
  <c r="L1078" i="2"/>
  <c r="L628" i="2"/>
  <c r="L418" i="2"/>
  <c r="L67" i="2"/>
  <c r="L791" i="2"/>
  <c r="L1672" i="2"/>
  <c r="L1168" i="2"/>
  <c r="L879" i="2"/>
  <c r="L427" i="2"/>
  <c r="L235" i="2"/>
  <c r="L122" i="2"/>
  <c r="L111" i="2"/>
  <c r="L112" i="2"/>
  <c r="L766" i="2"/>
  <c r="L725" i="2"/>
  <c r="L601" i="2"/>
  <c r="L1519" i="2"/>
  <c r="L1216" i="2"/>
  <c r="L263" i="2"/>
  <c r="L812" i="2"/>
  <c r="L278" i="2"/>
  <c r="L1772" i="2"/>
  <c r="L1279" i="2"/>
  <c r="L975" i="2"/>
  <c r="L977" i="2"/>
  <c r="L976" i="2"/>
  <c r="L645" i="2"/>
  <c r="L150" i="2"/>
  <c r="L928" i="2"/>
  <c r="L948" i="2"/>
  <c r="L940" i="2"/>
  <c r="L1715" i="2"/>
  <c r="L488" i="2"/>
  <c r="L480" i="2"/>
  <c r="L10" i="2"/>
  <c r="L1354" i="2"/>
  <c r="L1355" i="2"/>
  <c r="L321" i="2"/>
  <c r="L313" i="2"/>
  <c r="L305" i="2"/>
  <c r="L315" i="2"/>
  <c r="L316" i="2"/>
  <c r="L306" i="2"/>
  <c r="L310" i="2"/>
  <c r="L307" i="2"/>
  <c r="L320" i="2"/>
  <c r="L319" i="2"/>
  <c r="L309" i="2"/>
  <c r="L322" i="2"/>
  <c r="L133" i="2"/>
  <c r="L139" i="2"/>
  <c r="L140" i="2"/>
  <c r="N140" i="2"/>
  <c r="L1706" i="2"/>
  <c r="L1707" i="2"/>
  <c r="L470" i="2"/>
  <c r="L471" i="2"/>
  <c r="L469" i="2"/>
  <c r="L1635" i="2"/>
  <c r="L1053" i="2"/>
  <c r="L1051" i="2"/>
  <c r="L1052" i="2"/>
  <c r="L898" i="2"/>
  <c r="L899" i="2"/>
  <c r="L780" i="2"/>
  <c r="L781" i="2"/>
  <c r="L689" i="2"/>
  <c r="L690" i="2"/>
  <c r="L360" i="2"/>
  <c r="L248" i="2"/>
  <c r="L247" i="2"/>
  <c r="L1237" i="2"/>
  <c r="L1236" i="2"/>
  <c r="L409" i="2"/>
  <c r="L1818" i="2"/>
  <c r="L1820" i="2"/>
  <c r="L1819" i="2"/>
  <c r="L1697" i="2"/>
  <c r="L1089" i="2"/>
  <c r="L1088" i="2"/>
  <c r="L1090" i="2"/>
  <c r="L514" i="2"/>
  <c r="L513" i="2"/>
  <c r="L505" i="2"/>
  <c r="L506" i="2"/>
  <c r="L217" i="2"/>
  <c r="L216" i="2"/>
  <c r="L1576" i="2"/>
  <c r="L1575" i="2"/>
  <c r="L1577" i="2"/>
  <c r="L1573" i="2"/>
  <c r="L1574" i="2"/>
  <c r="L1496" i="2"/>
  <c r="L1495" i="2"/>
  <c r="L1494" i="2"/>
  <c r="L1493" i="2"/>
  <c r="L1452" i="2"/>
  <c r="L1453" i="2"/>
  <c r="L1455" i="2"/>
  <c r="L1454" i="2"/>
  <c r="L1438" i="2"/>
  <c r="L1381" i="2"/>
  <c r="L1380" i="2"/>
  <c r="L1871" i="2"/>
  <c r="L1745" i="2"/>
  <c r="L1746" i="2"/>
  <c r="L1040" i="2"/>
  <c r="L1039" i="2"/>
  <c r="L1041" i="2"/>
  <c r="L1294" i="2"/>
  <c r="L1292" i="2"/>
  <c r="L1293" i="2"/>
  <c r="L1545" i="2"/>
  <c r="L1736" i="2"/>
  <c r="L1245" i="2"/>
  <c r="L494" i="2"/>
  <c r="L495" i="2"/>
  <c r="L1324" i="2"/>
  <c r="L1341" i="2"/>
  <c r="L1343" i="2"/>
  <c r="L1342" i="2"/>
  <c r="L91" i="2"/>
  <c r="L93" i="2"/>
  <c r="L92" i="2"/>
  <c r="L738" i="2"/>
  <c r="L739" i="2"/>
  <c r="L1560" i="2"/>
  <c r="L1270" i="2"/>
  <c r="L990" i="2"/>
  <c r="L872" i="2"/>
  <c r="L857" i="2"/>
  <c r="L842" i="2"/>
  <c r="L827" i="2"/>
  <c r="L400" i="2"/>
  <c r="L401" i="2"/>
  <c r="L37" i="2"/>
  <c r="L38" i="2"/>
  <c r="L1140" i="2"/>
  <c r="L909" i="2"/>
  <c r="L910" i="2"/>
  <c r="L887" i="2"/>
  <c r="L711" i="2"/>
  <c r="L1798" i="2"/>
  <c r="L1799" i="2"/>
  <c r="L1686" i="2"/>
  <c r="L1687" i="2"/>
  <c r="L1621" i="2"/>
  <c r="L1622" i="2"/>
  <c r="L1370" i="2"/>
  <c r="L1228" i="2"/>
  <c r="L1148" i="2"/>
  <c r="L1149" i="2"/>
  <c r="L1101" i="2"/>
  <c r="L1030" i="2"/>
  <c r="L1031" i="2"/>
  <c r="L527" i="2"/>
  <c r="L526" i="2"/>
  <c r="L1795" i="2"/>
  <c r="L207" i="2"/>
  <c r="L1831" i="2"/>
  <c r="L1603" i="2"/>
  <c r="L1841" i="2"/>
  <c r="L1840" i="2"/>
  <c r="L701" i="2"/>
  <c r="L621" i="2"/>
  <c r="L378" i="2"/>
  <c r="L379" i="2"/>
  <c r="L102" i="2"/>
  <c r="L1754" i="2"/>
  <c r="L1755" i="2"/>
  <c r="L1724" i="2"/>
  <c r="L1584" i="2"/>
  <c r="L1535" i="2"/>
  <c r="L1315" i="2"/>
  <c r="L1179" i="2"/>
  <c r="L1017" i="2"/>
  <c r="L1016" i="2"/>
  <c r="L1007" i="2"/>
  <c r="L611" i="2"/>
  <c r="L610" i="2"/>
  <c r="L180" i="2"/>
  <c r="L181" i="2"/>
  <c r="L20" i="2"/>
  <c r="L1610" i="2"/>
  <c r="L1664" i="2"/>
  <c r="L1001" i="2"/>
  <c r="L1000" i="2"/>
  <c r="L439" i="2"/>
  <c r="L163" i="2"/>
  <c r="L162" i="2"/>
  <c r="L79" i="2"/>
  <c r="L59" i="2"/>
  <c r="L1254" i="2"/>
  <c r="L958" i="2"/>
  <c r="L390" i="2"/>
  <c r="L1848" i="2"/>
  <c r="L654" i="2"/>
  <c r="L194" i="2"/>
  <c r="L193" i="2"/>
  <c r="L1867" i="2"/>
  <c r="L1188" i="2"/>
  <c r="L1079" i="2"/>
  <c r="L629" i="2"/>
  <c r="L68" i="2"/>
  <c r="L793" i="2"/>
  <c r="L792" i="2"/>
  <c r="L1673" i="2"/>
  <c r="L1169" i="2"/>
  <c r="L880" i="2"/>
  <c r="L428" i="2"/>
  <c r="L236" i="2"/>
  <c r="L123" i="2"/>
  <c r="L113" i="2"/>
  <c r="L114" i="2"/>
  <c r="L918" i="2"/>
  <c r="L767" i="2"/>
  <c r="L726" i="2"/>
  <c r="L727" i="2"/>
  <c r="L1520" i="2"/>
  <c r="L264" i="2"/>
  <c r="L279" i="2"/>
  <c r="L1773" i="2"/>
  <c r="L1774" i="2"/>
  <c r="L1281" i="2"/>
  <c r="L1280" i="2"/>
  <c r="L646" i="2"/>
  <c r="L151" i="2"/>
  <c r="L152" i="2"/>
  <c r="L929" i="2"/>
  <c r="L930" i="2"/>
  <c r="L949" i="2"/>
  <c r="L942" i="2"/>
  <c r="L941" i="2"/>
  <c r="L11" i="2"/>
  <c r="L134" i="2"/>
  <c r="L142" i="2"/>
  <c r="L141" i="2"/>
  <c r="L1045" i="2"/>
  <c r="L891" i="2"/>
  <c r="L771" i="2"/>
  <c r="L240" i="2"/>
  <c r="L1230" i="2"/>
  <c r="L404" i="2"/>
  <c r="L1811" i="2"/>
  <c r="L1692" i="2"/>
  <c r="L1083" i="2"/>
  <c r="L498" i="2"/>
  <c r="L211" i="2"/>
  <c r="L1462" i="2"/>
  <c r="L1458" i="2"/>
  <c r="L1463" i="2"/>
  <c r="L1460" i="2"/>
  <c r="L1459" i="2"/>
  <c r="L1461" i="2"/>
  <c r="L1444" i="2"/>
  <c r="L1404" i="2"/>
  <c r="L1406" i="2"/>
  <c r="L1405" i="2"/>
  <c r="L1375" i="2"/>
  <c r="L1740" i="2"/>
  <c r="L1034" i="2"/>
  <c r="L1284" i="2"/>
  <c r="L1539" i="2"/>
  <c r="L1731" i="2"/>
  <c r="L490" i="2"/>
  <c r="L1319" i="2"/>
  <c r="L1330" i="2"/>
  <c r="L562" i="2"/>
  <c r="L569" i="2"/>
  <c r="L85" i="2"/>
  <c r="L732" i="2"/>
  <c r="L1552" i="2"/>
  <c r="L1260" i="2"/>
  <c r="L980" i="2"/>
  <c r="L862" i="2"/>
  <c r="L846" i="2"/>
  <c r="L832" i="2"/>
  <c r="L394" i="2"/>
  <c r="L26" i="2"/>
  <c r="L1125" i="2"/>
  <c r="L903" i="2"/>
  <c r="L705" i="2"/>
  <c r="L632" i="2"/>
  <c r="L223" i="2"/>
  <c r="L1760" i="2"/>
  <c r="L1678" i="2"/>
  <c r="L1615" i="2"/>
  <c r="L1362" i="2"/>
  <c r="L1220" i="2"/>
  <c r="L1144" i="2"/>
  <c r="L1094" i="2"/>
  <c r="L1022" i="2"/>
  <c r="L519" i="2"/>
  <c r="L1790" i="2"/>
  <c r="L199" i="2"/>
  <c r="L1825" i="2"/>
  <c r="L1597" i="2"/>
  <c r="L1834" i="2"/>
  <c r="L695" i="2"/>
  <c r="L615" i="2"/>
  <c r="L372" i="2"/>
  <c r="L96" i="2"/>
  <c r="L1748" i="2"/>
  <c r="L1718" i="2"/>
  <c r="L1532" i="2"/>
  <c r="L1523" i="2"/>
  <c r="L1173" i="2"/>
  <c r="L1010" i="2"/>
  <c r="L1003" i="2"/>
  <c r="L746" i="2"/>
  <c r="L604" i="2"/>
  <c r="L174" i="2"/>
  <c r="L14" i="2"/>
  <c r="L1606" i="2"/>
  <c r="L1656" i="2"/>
  <c r="L992" i="2"/>
  <c r="L432" i="2"/>
  <c r="L71" i="2"/>
  <c r="L51" i="2"/>
  <c r="L1248" i="2"/>
  <c r="L1305" i="2"/>
  <c r="L1153" i="2"/>
  <c r="L952" i="2"/>
  <c r="L384" i="2"/>
  <c r="L187" i="2"/>
  <c r="L1861" i="2"/>
  <c r="L1182" i="2"/>
  <c r="L1073" i="2"/>
  <c r="L623" i="2"/>
  <c r="L413" i="2"/>
  <c r="L62" i="2"/>
  <c r="L786" i="2"/>
  <c r="L1667" i="2"/>
  <c r="L1163" i="2"/>
  <c r="L874" i="2"/>
  <c r="L422" i="2"/>
  <c r="L230" i="2"/>
  <c r="L117" i="2"/>
  <c r="L105" i="2"/>
  <c r="L913" i="2"/>
  <c r="L720" i="2"/>
  <c r="L1514" i="2"/>
  <c r="L1211" i="2"/>
  <c r="L258" i="2"/>
  <c r="L807" i="2"/>
  <c r="L273" i="2"/>
  <c r="L1768" i="2"/>
  <c r="L1274" i="2"/>
  <c r="L963" i="2"/>
  <c r="L964" i="2"/>
  <c r="L965" i="2"/>
  <c r="L145" i="2"/>
  <c r="L923" i="2"/>
  <c r="L935" i="2"/>
  <c r="L1710" i="2"/>
  <c r="L483" i="2"/>
  <c r="L6" i="2"/>
  <c r="L1347" i="2"/>
  <c r="L283" i="2"/>
  <c r="L1702" i="2"/>
  <c r="L1044" i="2"/>
  <c r="L890" i="2"/>
  <c r="L770" i="2"/>
  <c r="L239" i="2"/>
  <c r="L403" i="2"/>
  <c r="L1810" i="2"/>
  <c r="L1691" i="2"/>
  <c r="L1082" i="2"/>
  <c r="L497" i="2"/>
  <c r="L210" i="2"/>
  <c r="L1443" i="2"/>
  <c r="L1403" i="2"/>
  <c r="L1374" i="2"/>
  <c r="L1739" i="2"/>
  <c r="L1033" i="2"/>
  <c r="L1538" i="2"/>
  <c r="L1318" i="2"/>
  <c r="L1328" i="2"/>
  <c r="L1329" i="2"/>
  <c r="L561" i="2"/>
  <c r="L267" i="2"/>
  <c r="L568" i="2"/>
  <c r="L83" i="2"/>
  <c r="L84" i="2"/>
  <c r="L730" i="2"/>
  <c r="L731" i="2"/>
  <c r="L1875" i="2"/>
  <c r="L1639" i="2"/>
  <c r="L1551" i="2"/>
  <c r="L1259" i="2"/>
  <c r="L1105" i="2"/>
  <c r="L861" i="2"/>
  <c r="L845" i="2"/>
  <c r="L831" i="2"/>
  <c r="L658" i="2"/>
  <c r="L583" i="2"/>
  <c r="L541" i="2"/>
  <c r="L25" i="2"/>
  <c r="L1124" i="2"/>
  <c r="L902" i="2"/>
  <c r="L881" i="2"/>
  <c r="L704" i="2"/>
  <c r="L631" i="2"/>
  <c r="L222" i="2"/>
  <c r="L1759" i="2"/>
  <c r="L1677" i="2"/>
  <c r="L1614" i="2"/>
  <c r="L1361" i="2"/>
  <c r="L1219" i="2"/>
  <c r="L1143" i="2"/>
  <c r="L1021" i="2"/>
  <c r="L518" i="2"/>
  <c r="L1789" i="2"/>
  <c r="L198" i="2"/>
  <c r="L1824" i="2"/>
  <c r="L1596" i="2"/>
  <c r="L1833" i="2"/>
  <c r="L694" i="2"/>
  <c r="L614" i="2"/>
  <c r="L371" i="2"/>
  <c r="L95" i="2"/>
  <c r="L1747" i="2"/>
  <c r="L1717" i="2"/>
  <c r="L1531" i="2"/>
  <c r="L1522" i="2"/>
  <c r="L1172" i="2"/>
  <c r="L1009" i="2"/>
  <c r="L745" i="2"/>
  <c r="L603" i="2"/>
  <c r="L173" i="2"/>
  <c r="L13" i="2"/>
  <c r="L991" i="2"/>
  <c r="L431" i="2"/>
  <c r="L154" i="2"/>
  <c r="L70" i="2"/>
  <c r="L50" i="2"/>
  <c r="L1247" i="2"/>
  <c r="L1304" i="2"/>
  <c r="L1152" i="2"/>
  <c r="L951" i="2"/>
  <c r="L383" i="2"/>
  <c r="L1843" i="2"/>
  <c r="L186" i="2"/>
  <c r="L1860" i="2"/>
  <c r="L1181" i="2"/>
  <c r="L1072" i="2"/>
  <c r="L412" i="2"/>
  <c r="L61" i="2"/>
  <c r="L785" i="2"/>
  <c r="L1666" i="2"/>
  <c r="L1162" i="2"/>
  <c r="L421" i="2"/>
  <c r="L229" i="2"/>
  <c r="L116" i="2"/>
  <c r="L104" i="2"/>
  <c r="L912" i="2"/>
  <c r="L719" i="2"/>
  <c r="L596" i="2"/>
  <c r="L1513" i="2"/>
  <c r="L1210" i="2"/>
  <c r="L257" i="2"/>
  <c r="L806" i="2"/>
  <c r="L272" i="2"/>
  <c r="L1273" i="2"/>
  <c r="L961" i="2"/>
  <c r="L962" i="2"/>
  <c r="L640" i="2"/>
  <c r="L144" i="2"/>
  <c r="L922" i="2"/>
  <c r="L945" i="2"/>
  <c r="L934" i="2"/>
  <c r="L1709" i="2"/>
  <c r="L482" i="2"/>
  <c r="L474" i="2"/>
  <c r="L5" i="2"/>
  <c r="L1346" i="2"/>
  <c r="L282" i="2"/>
  <c r="L1701" i="2"/>
  <c r="L1043" i="2"/>
  <c r="L889" i="2"/>
  <c r="L769" i="2"/>
  <c r="L238" i="2"/>
  <c r="L1229" i="2"/>
  <c r="L402" i="2"/>
  <c r="L1809" i="2"/>
  <c r="L1690" i="2"/>
  <c r="L1081" i="2"/>
  <c r="L496" i="2"/>
  <c r="L209" i="2"/>
  <c r="L1442" i="2"/>
  <c r="L1402" i="2"/>
  <c r="L1401" i="2"/>
  <c r="L1373" i="2"/>
  <c r="L1738" i="2"/>
  <c r="L1283" i="2"/>
  <c r="L1537" i="2"/>
  <c r="L1730" i="2"/>
  <c r="L1240" i="2"/>
  <c r="L1317" i="2"/>
  <c r="L1327" i="2"/>
  <c r="L1326" i="2"/>
  <c r="L560" i="2"/>
  <c r="L266" i="2"/>
  <c r="L567" i="2"/>
  <c r="L82" i="2"/>
  <c r="L729" i="2"/>
  <c r="L1874" i="2"/>
  <c r="L1873" i="2"/>
  <c r="L1850" i="2"/>
  <c r="L1638" i="2"/>
  <c r="L1585" i="2"/>
  <c r="L1550" i="2"/>
  <c r="L1258" i="2"/>
  <c r="L1191" i="2"/>
  <c r="L1104" i="2"/>
  <c r="L1056" i="2"/>
  <c r="L979" i="2"/>
  <c r="L860" i="2"/>
  <c r="L844" i="2"/>
  <c r="L830" i="2"/>
  <c r="L657" i="2"/>
  <c r="L582" i="2"/>
  <c r="L575" i="2"/>
  <c r="L540" i="2"/>
  <c r="L393" i="2"/>
  <c r="L361" i="2"/>
  <c r="L40" i="2"/>
  <c r="L24" i="2"/>
  <c r="L1122" i="2"/>
  <c r="L1123" i="2"/>
  <c r="L1758" i="2"/>
  <c r="L1676" i="2"/>
  <c r="L1613" i="2"/>
  <c r="L1360" i="2"/>
  <c r="L1218" i="2"/>
  <c r="L1142" i="2"/>
  <c r="L1093" i="2"/>
  <c r="L1020" i="2"/>
  <c r="L517" i="2"/>
  <c r="L197" i="2"/>
  <c r="L1345" i="2"/>
  <c r="L1700" i="2"/>
  <c r="L442" i="2"/>
  <c r="L1624" i="2"/>
  <c r="L237" i="2"/>
  <c r="L509" i="2"/>
  <c r="L1457" i="2"/>
  <c r="L1394" i="2"/>
  <c r="L1398" i="2"/>
  <c r="L1396" i="2"/>
  <c r="L1407" i="2"/>
  <c r="L1388" i="2"/>
  <c r="L1395" i="2"/>
  <c r="L1390" i="2"/>
  <c r="L1391" i="2"/>
  <c r="L1393" i="2"/>
  <c r="L1400" i="2"/>
  <c r="L1392" i="2"/>
  <c r="L1389" i="2"/>
  <c r="L1399" i="2"/>
  <c r="L1397" i="2"/>
  <c r="L1372" i="2"/>
  <c r="L529" i="2"/>
  <c r="L81" i="2"/>
  <c r="L1876" i="2"/>
  <c r="L1852" i="2"/>
  <c r="L1725" i="2"/>
  <c r="L1640" i="2"/>
  <c r="L1637" i="2"/>
  <c r="L1548" i="2"/>
  <c r="L1549" i="2"/>
  <c r="L1547" i="2"/>
  <c r="L1256" i="2"/>
  <c r="L1257" i="2"/>
  <c r="L1194" i="2"/>
  <c r="L1190" i="2"/>
  <c r="L1107" i="2"/>
  <c r="L1057" i="2"/>
  <c r="L1055" i="2"/>
  <c r="L978" i="2"/>
  <c r="L858" i="2"/>
  <c r="L859" i="2"/>
  <c r="L843" i="2"/>
  <c r="L828" i="2"/>
  <c r="L829" i="2"/>
  <c r="L822" i="2"/>
  <c r="L816" i="2"/>
  <c r="L815" i="2"/>
  <c r="L814" i="2"/>
  <c r="L752" i="2"/>
  <c r="L656" i="2"/>
  <c r="L584" i="2"/>
  <c r="L542" i="2"/>
  <c r="L392" i="2"/>
  <c r="L41" i="2"/>
  <c r="L39" i="2"/>
  <c r="L22" i="2"/>
  <c r="L23" i="2"/>
  <c r="L703" i="2"/>
  <c r="L221" i="2"/>
  <c r="L220" i="2"/>
  <c r="L1757" i="2"/>
  <c r="L1675" i="2"/>
  <c r="L1612" i="2"/>
  <c r="L1359" i="2"/>
  <c r="L1092" i="2"/>
  <c r="L1019" i="2"/>
  <c r="L1788" i="2"/>
  <c r="L196" i="2"/>
  <c r="L801" i="2"/>
  <c r="L613" i="2"/>
  <c r="L94" i="2"/>
  <c r="L1580" i="2"/>
  <c r="L1579" i="2"/>
  <c r="L1578" i="2"/>
  <c r="L1530" i="2"/>
  <c r="L1171" i="2"/>
  <c r="L744" i="2"/>
  <c r="L171" i="2"/>
  <c r="L172" i="2"/>
  <c r="L1605" i="2"/>
  <c r="L1654" i="2"/>
  <c r="L1655" i="2"/>
  <c r="L430" i="2"/>
  <c r="L49" i="2"/>
  <c r="L382" i="2"/>
  <c r="L381" i="2"/>
  <c r="L185" i="2"/>
  <c r="L184" i="2"/>
  <c r="L183" i="2"/>
  <c r="L1859" i="2"/>
  <c r="L784" i="2"/>
  <c r="L1160" i="2"/>
  <c r="L1161" i="2"/>
  <c r="L873" i="2"/>
  <c r="L420" i="2"/>
  <c r="L1512" i="2"/>
  <c r="L1511" i="2"/>
  <c r="L256" i="2"/>
  <c r="L1767" i="2"/>
  <c r="L1272" i="2"/>
  <c r="L1271" i="2"/>
  <c r="L960" i="2"/>
  <c r="L639" i="2"/>
  <c r="L143" i="2"/>
  <c r="L921" i="2"/>
  <c r="L920" i="2"/>
  <c r="L944" i="2"/>
  <c r="L933" i="2"/>
  <c r="L932" i="2"/>
  <c r="L473" i="2"/>
  <c r="L472" i="2"/>
  <c r="L4" i="2"/>
  <c r="L3" i="2"/>
  <c r="L126" i="2"/>
  <c r="L129" i="2"/>
  <c r="L128" i="2"/>
  <c r="L125" i="2"/>
  <c r="L127" i="2"/>
  <c r="L130" i="2"/>
  <c r="L131" i="2"/>
  <c r="O129" i="2" l="1"/>
  <c r="O944" i="2"/>
  <c r="O1767" i="2"/>
  <c r="O784" i="2"/>
  <c r="O430" i="2"/>
  <c r="O1530" i="2"/>
  <c r="O1788" i="2"/>
  <c r="O221" i="2"/>
  <c r="O584" i="2"/>
  <c r="O828" i="2"/>
  <c r="O1190" i="2"/>
  <c r="O1640" i="2"/>
  <c r="O1399" i="2"/>
  <c r="O1388" i="2"/>
  <c r="O1624" i="2"/>
  <c r="O1142" i="2"/>
  <c r="O24" i="2"/>
  <c r="O830" i="2"/>
  <c r="O1550" i="2"/>
  <c r="O567" i="2"/>
  <c r="O1537" i="2"/>
  <c r="O496" i="2"/>
  <c r="O889" i="2"/>
  <c r="O1709" i="2"/>
  <c r="O1273" i="2"/>
  <c r="O912" i="2"/>
  <c r="O61" i="2"/>
  <c r="O951" i="2"/>
  <c r="O991" i="2"/>
  <c r="O1531" i="2"/>
  <c r="O1596" i="2"/>
  <c r="O1361" i="2"/>
  <c r="O902" i="2"/>
  <c r="O861" i="2"/>
  <c r="O84" i="2"/>
  <c r="O1538" i="2"/>
  <c r="O1082" i="2"/>
  <c r="O1702" i="2"/>
  <c r="O145" i="2"/>
  <c r="O258" i="2"/>
  <c r="O422" i="2"/>
  <c r="O1073" i="2"/>
  <c r="O1248" i="2"/>
  <c r="O174" i="2"/>
  <c r="O1718" i="2"/>
  <c r="O1825" i="2"/>
  <c r="O1362" i="2"/>
  <c r="O1125" i="2"/>
  <c r="O1552" i="2"/>
  <c r="O1731" i="2"/>
  <c r="O1404" i="2"/>
  <c r="O211" i="2"/>
  <c r="O771" i="2"/>
  <c r="O942" i="2"/>
  <c r="O1281" i="2"/>
  <c r="O767" i="2"/>
  <c r="O1169" i="2"/>
  <c r="O1867" i="2"/>
  <c r="O59" i="2"/>
  <c r="O1610" i="2"/>
  <c r="O1017" i="2"/>
  <c r="O102" i="2"/>
  <c r="O1831" i="2"/>
  <c r="O1149" i="2"/>
  <c r="O1799" i="2"/>
  <c r="O37" i="2"/>
  <c r="O1270" i="2"/>
  <c r="O1343" i="2"/>
  <c r="O1293" i="2"/>
  <c r="O1871" i="2"/>
  <c r="O1493" i="2"/>
  <c r="O1576" i="2"/>
  <c r="O1088" i="2"/>
  <c r="O1237" i="2"/>
  <c r="O899" i="2"/>
  <c r="O470" i="2"/>
  <c r="O309" i="2"/>
  <c r="O305" i="2"/>
  <c r="O1715" i="2"/>
  <c r="O975" i="2"/>
  <c r="O601" i="2"/>
  <c r="O879" i="2"/>
  <c r="O1187" i="2"/>
  <c r="O1310" i="2"/>
  <c r="O438" i="2"/>
  <c r="O19" i="2"/>
  <c r="O1528" i="2"/>
  <c r="O804" i="2"/>
  <c r="O1100" i="2"/>
  <c r="O637" i="2"/>
  <c r="O398" i="2"/>
  <c r="O841" i="2"/>
  <c r="O1269" i="2"/>
  <c r="O1340" i="2"/>
  <c r="O1244" i="2"/>
  <c r="O1038" i="2"/>
  <c r="O1450" i="2"/>
  <c r="O1571" i="2"/>
  <c r="O1817" i="2"/>
  <c r="O357" i="2"/>
  <c r="O686" i="2"/>
  <c r="O1631" i="2"/>
  <c r="O461" i="2"/>
  <c r="O451" i="2"/>
  <c r="O454" i="2"/>
  <c r="O135" i="2"/>
  <c r="O484" i="2"/>
  <c r="O967" i="2"/>
  <c r="O1515" i="2"/>
  <c r="O231" i="2"/>
  <c r="O624" i="2"/>
  <c r="O953" i="2"/>
  <c r="O156" i="2"/>
  <c r="O1607" i="2"/>
  <c r="O1313" i="2"/>
  <c r="O616" i="2"/>
  <c r="O202" i="2"/>
  <c r="O1025" i="2"/>
  <c r="O1223" i="2"/>
  <c r="O1679" i="2"/>
  <c r="O706" i="2"/>
  <c r="O1130" i="2"/>
  <c r="O28" i="2"/>
  <c r="O167" i="2"/>
  <c r="O368" i="2"/>
  <c r="O553" i="2"/>
  <c r="O577" i="2"/>
  <c r="O591" i="2"/>
  <c r="O665" i="2"/>
  <c r="O713" i="2"/>
  <c r="O758" i="2"/>
  <c r="O818" i="2"/>
  <c r="O837" i="2"/>
  <c r="O865" i="2"/>
  <c r="O984" i="2"/>
  <c r="O1062" i="2"/>
  <c r="O1114" i="2"/>
  <c r="O1198" i="2"/>
  <c r="O1264" i="2"/>
  <c r="O1554" i="2"/>
  <c r="O1592" i="2"/>
  <c r="O1643" i="2"/>
  <c r="O1784" i="2"/>
  <c r="O1804" i="2"/>
  <c r="O1853" i="2"/>
  <c r="O1884" i="2"/>
  <c r="O87" i="2"/>
  <c r="O1336" i="2"/>
  <c r="O1241" i="2"/>
  <c r="O1376" i="2"/>
  <c r="O1409" i="2"/>
  <c r="O1408" i="2"/>
  <c r="O1446" i="2"/>
  <c r="O1467" i="2"/>
  <c r="O1564" i="2"/>
  <c r="O405" i="2"/>
  <c r="O351" i="2"/>
  <c r="O347" i="2"/>
  <c r="O772" i="2"/>
  <c r="O1350" i="2"/>
  <c r="O1712" i="2"/>
  <c r="O643" i="2"/>
  <c r="O1770" i="2"/>
  <c r="O1213" i="2"/>
  <c r="O764" i="2"/>
  <c r="O233" i="2"/>
  <c r="O1669" i="2"/>
  <c r="O626" i="2"/>
  <c r="O189" i="2"/>
  <c r="O1307" i="2"/>
  <c r="O157" i="2"/>
  <c r="O1299" i="2"/>
  <c r="O1013" i="2"/>
  <c r="O1721" i="2"/>
  <c r="O618" i="2"/>
  <c r="O1827" i="2"/>
  <c r="O1367" i="2"/>
  <c r="O708" i="2"/>
  <c r="O369" i="2"/>
  <c r="O1069" i="2"/>
  <c r="O1729" i="2"/>
  <c r="O1337" i="2"/>
  <c r="O1433" i="2"/>
  <c r="O214" i="2"/>
  <c r="O406" i="2"/>
  <c r="O893" i="2"/>
  <c r="O1793" i="2"/>
  <c r="O1684" i="2"/>
  <c r="O555" i="2"/>
  <c r="O840" i="2"/>
  <c r="O1207" i="2"/>
  <c r="O1807" i="2"/>
  <c r="O1243" i="2"/>
  <c r="O1478" i="2"/>
  <c r="O1484" i="2"/>
  <c r="O1353" i="2"/>
  <c r="O149" i="2"/>
  <c r="O1215" i="2"/>
  <c r="O234" i="2"/>
  <c r="O627" i="2"/>
  <c r="O956" i="2"/>
  <c r="O997" i="2"/>
  <c r="O1005" i="2"/>
  <c r="O376" i="2"/>
  <c r="O636" i="2"/>
  <c r="O855" i="2"/>
  <c r="O1378" i="2"/>
  <c r="O1449" i="2"/>
  <c r="O1356" i="2"/>
  <c r="O153" i="2"/>
  <c r="O602" i="2"/>
  <c r="O1674" i="2"/>
  <c r="O195" i="2"/>
  <c r="O60" i="2"/>
  <c r="O21" i="2"/>
  <c r="O1529" i="2"/>
  <c r="O1842" i="2"/>
  <c r="O712" i="2"/>
  <c r="O539" i="2"/>
  <c r="O1499" i="2"/>
  <c r="O1357" i="2"/>
  <c r="O208" i="2"/>
  <c r="O1689" i="2"/>
  <c r="O1384" i="2"/>
  <c r="O1507" i="2"/>
  <c r="O1508" i="2"/>
  <c r="O1822" i="2"/>
  <c r="O783" i="2"/>
  <c r="O326" i="2"/>
  <c r="O303" i="2"/>
  <c r="O336" i="2"/>
  <c r="O284" i="2"/>
  <c r="O327" i="2"/>
  <c r="O679" i="2"/>
  <c r="O126" i="2"/>
  <c r="O920" i="2"/>
  <c r="O256" i="2"/>
  <c r="O1859" i="2"/>
  <c r="O1655" i="2"/>
  <c r="O1578" i="2"/>
  <c r="O1019" i="2"/>
  <c r="O703" i="2"/>
  <c r="O656" i="2"/>
  <c r="O843" i="2"/>
  <c r="O1194" i="2"/>
  <c r="O1725" i="2"/>
  <c r="O1389" i="2"/>
  <c r="O1407" i="2"/>
  <c r="O442" i="2"/>
  <c r="O1218" i="2"/>
  <c r="O40" i="2"/>
  <c r="O844" i="2"/>
  <c r="O1585" i="2"/>
  <c r="O266" i="2"/>
  <c r="O1283" i="2"/>
  <c r="O1081" i="2"/>
  <c r="O1043" i="2"/>
  <c r="O934" i="2"/>
  <c r="O272" i="2"/>
  <c r="O104" i="2"/>
  <c r="O412" i="2"/>
  <c r="O1152" i="2"/>
  <c r="O13" i="2"/>
  <c r="O1717" i="2"/>
  <c r="O1824" i="2"/>
  <c r="O1614" i="2"/>
  <c r="O1124" i="2"/>
  <c r="O1105" i="2"/>
  <c r="O83" i="2"/>
  <c r="O1033" i="2"/>
  <c r="O1691" i="2"/>
  <c r="O283" i="2"/>
  <c r="O965" i="2"/>
  <c r="O1211" i="2"/>
  <c r="O874" i="2"/>
  <c r="O1182" i="2"/>
  <c r="O51" i="2"/>
  <c r="O604" i="2"/>
  <c r="O1748" i="2"/>
  <c r="O199" i="2"/>
  <c r="O1615" i="2"/>
  <c r="O26" i="2"/>
  <c r="O732" i="2"/>
  <c r="O1539" i="2"/>
  <c r="O1444" i="2"/>
  <c r="O498" i="2"/>
  <c r="O891" i="2"/>
  <c r="O949" i="2"/>
  <c r="O1774" i="2"/>
  <c r="O918" i="2"/>
  <c r="O1673" i="2"/>
  <c r="O193" i="2"/>
  <c r="O79" i="2"/>
  <c r="O20" i="2"/>
  <c r="O1179" i="2"/>
  <c r="O379" i="2"/>
  <c r="O207" i="2"/>
  <c r="O1148" i="2"/>
  <c r="O1798" i="2"/>
  <c r="O401" i="2"/>
  <c r="O1560" i="2"/>
  <c r="O1341" i="2"/>
  <c r="O1292" i="2"/>
  <c r="O1380" i="2"/>
  <c r="O1494" i="2"/>
  <c r="O216" i="2"/>
  <c r="O1089" i="2"/>
  <c r="O247" i="2"/>
  <c r="O898" i="2"/>
  <c r="O1707" i="2"/>
  <c r="O319" i="2"/>
  <c r="O313" i="2"/>
  <c r="O940" i="2"/>
  <c r="O1279" i="2"/>
  <c r="O725" i="2"/>
  <c r="O1168" i="2"/>
  <c r="O1866" i="2"/>
  <c r="O1253" i="2"/>
  <c r="O437" i="2"/>
  <c r="O179" i="2"/>
  <c r="O1583" i="2"/>
  <c r="O1839" i="2"/>
  <c r="O1147" i="2"/>
  <c r="O710" i="2"/>
  <c r="O399" i="2"/>
  <c r="O856" i="2"/>
  <c r="O1559" i="2"/>
  <c r="O1323" i="2"/>
  <c r="O1735" i="2"/>
  <c r="O1744" i="2"/>
  <c r="O1490" i="2"/>
  <c r="O1566" i="2"/>
  <c r="O1816" i="2"/>
  <c r="O683" i="2"/>
  <c r="O779" i="2"/>
  <c r="O1632" i="2"/>
  <c r="O458" i="2"/>
  <c r="O452" i="2"/>
  <c r="O463" i="2"/>
  <c r="O285" i="2"/>
  <c r="O1711" i="2"/>
  <c r="O969" i="2"/>
  <c r="O597" i="2"/>
  <c r="O423" i="2"/>
  <c r="O1074" i="2"/>
  <c r="O1154" i="2"/>
  <c r="O155" i="2"/>
  <c r="O15" i="2"/>
  <c r="O1524" i="2"/>
  <c r="O696" i="2"/>
  <c r="O1791" i="2"/>
  <c r="O1095" i="2"/>
  <c r="O1363" i="2"/>
  <c r="O1682" i="2"/>
  <c r="O882" i="2"/>
  <c r="O1126" i="2"/>
  <c r="O42" i="2"/>
  <c r="O168" i="2"/>
  <c r="O363" i="2"/>
  <c r="O544" i="2"/>
  <c r="O576" i="2"/>
  <c r="O590" i="2"/>
  <c r="O664" i="2"/>
  <c r="O716" i="2"/>
  <c r="O757" i="2"/>
  <c r="O817" i="2"/>
  <c r="O835" i="2"/>
  <c r="O863" i="2"/>
  <c r="O982" i="2"/>
  <c r="O1067" i="2"/>
  <c r="O1110" i="2"/>
  <c r="O1195" i="2"/>
  <c r="O1261" i="2"/>
  <c r="O1590" i="2"/>
  <c r="O1642" i="2"/>
  <c r="O1646" i="2"/>
  <c r="O1777" i="2"/>
  <c r="O1802" i="2"/>
  <c r="O1854" i="2"/>
  <c r="O1881" i="2"/>
  <c r="O88" i="2"/>
  <c r="O1334" i="2"/>
  <c r="O1732" i="2"/>
  <c r="O1427" i="2"/>
  <c r="O1426" i="2"/>
  <c r="O1417" i="2"/>
  <c r="O1445" i="2"/>
  <c r="O1492" i="2"/>
  <c r="O212" i="2"/>
  <c r="O1231" i="2"/>
  <c r="O342" i="2"/>
  <c r="O345" i="2"/>
  <c r="O892" i="2"/>
  <c r="O1352" i="2"/>
  <c r="O1713" i="2"/>
  <c r="O642" i="2"/>
  <c r="O276" i="2"/>
  <c r="O1516" i="2"/>
  <c r="O916" i="2"/>
  <c r="O425" i="2"/>
  <c r="O788" i="2"/>
  <c r="O1076" i="2"/>
  <c r="O651" i="2"/>
  <c r="O1308" i="2"/>
  <c r="O158" i="2"/>
  <c r="O17" i="2"/>
  <c r="O1012" i="2"/>
  <c r="O1750" i="2"/>
  <c r="O697" i="2"/>
  <c r="O1828" i="2"/>
  <c r="O1683" i="2"/>
  <c r="O883" i="2"/>
  <c r="O554" i="2"/>
  <c r="O1115" i="2"/>
  <c r="O1857" i="2"/>
  <c r="O1321" i="2"/>
  <c r="O1431" i="2"/>
  <c r="O213" i="2"/>
  <c r="O1232" i="2"/>
  <c r="O1048" i="2"/>
  <c r="O524" i="2"/>
  <c r="O1764" i="2"/>
  <c r="O558" i="2"/>
  <c r="O854" i="2"/>
  <c r="O1268" i="2"/>
  <c r="O1887" i="2"/>
  <c r="O1242" i="2"/>
  <c r="O1488" i="2"/>
  <c r="O1477" i="2"/>
  <c r="O9" i="2"/>
  <c r="O644" i="2"/>
  <c r="O1518" i="2"/>
  <c r="O426" i="2"/>
  <c r="O1077" i="2"/>
  <c r="O1156" i="2"/>
  <c r="O1661" i="2"/>
  <c r="O1014" i="2"/>
  <c r="O619" i="2"/>
  <c r="O709" i="2"/>
  <c r="O853" i="2"/>
  <c r="O1086" i="2"/>
  <c r="O503" i="2"/>
  <c r="O12" i="2"/>
  <c r="O1282" i="2"/>
  <c r="O728" i="2"/>
  <c r="O794" i="2"/>
  <c r="O655" i="2"/>
  <c r="O80" i="2"/>
  <c r="O182" i="2"/>
  <c r="O1536" i="2"/>
  <c r="O1604" i="2"/>
  <c r="O888" i="2"/>
  <c r="O1246" i="2"/>
  <c r="O1501" i="2"/>
  <c r="O649" i="2"/>
  <c r="O1796" i="2"/>
  <c r="O1766" i="2"/>
  <c r="O1383" i="2"/>
  <c r="O1509" i="2"/>
  <c r="O219" i="2"/>
  <c r="O411" i="2"/>
  <c r="O900" i="2"/>
  <c r="O324" i="2"/>
  <c r="O298" i="2"/>
  <c r="O328" i="2"/>
  <c r="O286" i="2"/>
  <c r="O287" i="2"/>
  <c r="O671" i="2"/>
  <c r="O3" i="2"/>
  <c r="O921" i="2"/>
  <c r="O1511" i="2"/>
  <c r="O183" i="2"/>
  <c r="O1654" i="2"/>
  <c r="O1579" i="2"/>
  <c r="O1092" i="2"/>
  <c r="O23" i="2"/>
  <c r="O752" i="2"/>
  <c r="O859" i="2"/>
  <c r="O1257" i="2"/>
  <c r="O1852" i="2"/>
  <c r="O1392" i="2"/>
  <c r="O1396" i="2"/>
  <c r="O1700" i="2"/>
  <c r="O1360" i="2"/>
  <c r="O361" i="2"/>
  <c r="O860" i="2"/>
  <c r="O1638" i="2"/>
  <c r="O560" i="2"/>
  <c r="O1738" i="2"/>
  <c r="O1690" i="2"/>
  <c r="O1701" i="2"/>
  <c r="O945" i="2"/>
  <c r="O806" i="2"/>
  <c r="O116" i="2"/>
  <c r="O1072" i="2"/>
  <c r="O1304" i="2"/>
  <c r="O173" i="2"/>
  <c r="O1747" i="2"/>
  <c r="O198" i="2"/>
  <c r="O1677" i="2"/>
  <c r="O25" i="2"/>
  <c r="O1259" i="2"/>
  <c r="O568" i="2"/>
  <c r="O1739" i="2"/>
  <c r="O1810" i="2"/>
  <c r="O1347" i="2"/>
  <c r="O964" i="2"/>
  <c r="O1514" i="2"/>
  <c r="O1163" i="2"/>
  <c r="O1861" i="2"/>
  <c r="O71" i="2"/>
  <c r="O746" i="2"/>
  <c r="O96" i="2"/>
  <c r="O1790" i="2"/>
  <c r="O1678" i="2"/>
  <c r="O394" i="2"/>
  <c r="O85" i="2"/>
  <c r="O1284" i="2"/>
  <c r="O1461" i="2"/>
  <c r="O1083" i="2"/>
  <c r="O1045" i="2"/>
  <c r="O930" i="2"/>
  <c r="O1773" i="2"/>
  <c r="O114" i="2"/>
  <c r="O792" i="2"/>
  <c r="O194" i="2"/>
  <c r="O162" i="2"/>
  <c r="O181" i="2"/>
  <c r="O1315" i="2"/>
  <c r="O378" i="2"/>
  <c r="O1795" i="2"/>
  <c r="O1228" i="2"/>
  <c r="O711" i="2"/>
  <c r="O400" i="2"/>
  <c r="O739" i="2"/>
  <c r="O1324" i="2"/>
  <c r="O1294" i="2"/>
  <c r="O1381" i="2"/>
  <c r="O1495" i="2"/>
  <c r="O217" i="2"/>
  <c r="O1697" i="2"/>
  <c r="O248" i="2"/>
  <c r="O1052" i="2"/>
  <c r="O1706" i="2"/>
  <c r="O320" i="2"/>
  <c r="O321" i="2"/>
  <c r="O948" i="2"/>
  <c r="O1772" i="2"/>
  <c r="O766" i="2"/>
  <c r="O1672" i="2"/>
  <c r="O192" i="2"/>
  <c r="O58" i="2"/>
  <c r="O999" i="2"/>
  <c r="O609" i="2"/>
  <c r="O1723" i="2"/>
  <c r="O1602" i="2"/>
  <c r="O1227" i="2"/>
  <c r="O886" i="2"/>
  <c r="O559" i="2"/>
  <c r="O871" i="2"/>
  <c r="O1595" i="2"/>
  <c r="O493" i="2"/>
  <c r="O1543" i="2"/>
  <c r="O1743" i="2"/>
  <c r="O1572" i="2"/>
  <c r="O215" i="2"/>
  <c r="O408" i="2"/>
  <c r="O680" i="2"/>
  <c r="O777" i="2"/>
  <c r="O1630" i="2"/>
  <c r="O465" i="2"/>
  <c r="O459" i="2"/>
  <c r="O456" i="2"/>
  <c r="O292" i="2"/>
  <c r="O936" i="2"/>
  <c r="O1275" i="2"/>
  <c r="O721" i="2"/>
  <c r="O875" i="2"/>
  <c r="O1183" i="2"/>
  <c r="O1306" i="2"/>
  <c r="O433" i="2"/>
  <c r="O175" i="2"/>
  <c r="O1533" i="2"/>
  <c r="O1835" i="2"/>
  <c r="O520" i="2"/>
  <c r="O1096" i="2"/>
  <c r="O1366" i="2"/>
  <c r="O1680" i="2"/>
  <c r="O904" i="2"/>
  <c r="O1127" i="2"/>
  <c r="O46" i="2"/>
  <c r="O170" i="2"/>
  <c r="O364" i="2"/>
  <c r="O545" i="2"/>
  <c r="O580" i="2"/>
  <c r="O586" i="2"/>
  <c r="O666" i="2"/>
  <c r="O718" i="2"/>
  <c r="O796" i="2"/>
  <c r="O819" i="2"/>
  <c r="O834" i="2"/>
  <c r="O867" i="2"/>
  <c r="O1066" i="2"/>
  <c r="O1060" i="2"/>
  <c r="O1109" i="2"/>
  <c r="O1200" i="2"/>
  <c r="O1265" i="2"/>
  <c r="O1588" i="2"/>
  <c r="O1647" i="2"/>
  <c r="O1644" i="2"/>
  <c r="O1778" i="2"/>
  <c r="O1801" i="2"/>
  <c r="O1855" i="2"/>
  <c r="O1879" i="2"/>
  <c r="O89" i="2"/>
  <c r="O1335" i="2"/>
  <c r="O1540" i="2"/>
  <c r="O1428" i="2"/>
  <c r="O1416" i="2"/>
  <c r="O1415" i="2"/>
  <c r="O1470" i="2"/>
  <c r="O1471" i="2"/>
  <c r="O500" i="2"/>
  <c r="O242" i="2"/>
  <c r="O353" i="2"/>
  <c r="O355" i="2"/>
  <c r="O1046" i="2"/>
  <c r="O1351" i="2"/>
  <c r="O938" i="2"/>
  <c r="O966" i="2"/>
  <c r="O275" i="2"/>
  <c r="O1517" i="2"/>
  <c r="O915" i="2"/>
  <c r="O424" i="2"/>
  <c r="O789" i="2"/>
  <c r="O1075" i="2"/>
  <c r="O1845" i="2"/>
  <c r="O1250" i="2"/>
  <c r="O434" i="2"/>
  <c r="O16" i="2"/>
  <c r="O1176" i="2"/>
  <c r="O1751" i="2"/>
  <c r="O698" i="2"/>
  <c r="O204" i="2"/>
  <c r="O1763" i="2"/>
  <c r="O884" i="2"/>
  <c r="O592" i="2"/>
  <c r="O1204" i="2"/>
  <c r="O1885" i="2"/>
  <c r="O1733" i="2"/>
  <c r="O1430" i="2"/>
  <c r="O502" i="2"/>
  <c r="O1233" i="2"/>
  <c r="O1047" i="2"/>
  <c r="O1028" i="2"/>
  <c r="O1138" i="2"/>
  <c r="O593" i="2"/>
  <c r="O869" i="2"/>
  <c r="O1558" i="2"/>
  <c r="O1886" i="2"/>
  <c r="O1734" i="2"/>
  <c r="O1485" i="2"/>
  <c r="O1480" i="2"/>
  <c r="O479" i="2"/>
  <c r="O973" i="2"/>
  <c r="O600" i="2"/>
  <c r="O878" i="2"/>
  <c r="O1186" i="2"/>
  <c r="O1309" i="2"/>
  <c r="O1300" i="2"/>
  <c r="O1177" i="2"/>
  <c r="O699" i="2"/>
  <c r="O885" i="2"/>
  <c r="O870" i="2"/>
  <c r="O1695" i="2"/>
  <c r="O1234" i="2"/>
  <c r="O481" i="2"/>
  <c r="O1775" i="2"/>
  <c r="O768" i="2"/>
  <c r="O69" i="2"/>
  <c r="O1849" i="2"/>
  <c r="O164" i="2"/>
  <c r="O612" i="2"/>
  <c r="O1756" i="2"/>
  <c r="O1832" i="2"/>
  <c r="O911" i="2"/>
  <c r="O1737" i="2"/>
  <c r="O1497" i="2"/>
  <c r="O647" i="2"/>
  <c r="O528" i="2"/>
  <c r="O1800" i="2"/>
  <c r="O1387" i="2"/>
  <c r="O1504" i="2"/>
  <c r="O508" i="2"/>
  <c r="O410" i="2"/>
  <c r="O901" i="2"/>
  <c r="O281" i="2"/>
  <c r="O300" i="2"/>
  <c r="O334" i="2"/>
  <c r="O288" i="2"/>
  <c r="O290" i="2"/>
  <c r="O692" i="2"/>
  <c r="O131" i="2"/>
  <c r="O4" i="2"/>
  <c r="O143" i="2"/>
  <c r="O1512" i="2"/>
  <c r="O184" i="2"/>
  <c r="O1605" i="2"/>
  <c r="O1580" i="2"/>
  <c r="O1359" i="2"/>
  <c r="O22" i="2"/>
  <c r="O814" i="2"/>
  <c r="O858" i="2"/>
  <c r="O1256" i="2"/>
  <c r="O1876" i="2"/>
  <c r="O1400" i="2"/>
  <c r="O1398" i="2"/>
  <c r="O1345" i="2"/>
  <c r="O1613" i="2"/>
  <c r="O393" i="2"/>
  <c r="O979" i="2"/>
  <c r="O1850" i="2"/>
  <c r="O1326" i="2"/>
  <c r="O1373" i="2"/>
  <c r="O1809" i="2"/>
  <c r="O282" i="2"/>
  <c r="O922" i="2"/>
  <c r="O257" i="2"/>
  <c r="O229" i="2"/>
  <c r="O1181" i="2"/>
  <c r="O1247" i="2"/>
  <c r="O603" i="2"/>
  <c r="O95" i="2"/>
  <c r="O1789" i="2"/>
  <c r="O1759" i="2"/>
  <c r="O541" i="2"/>
  <c r="O1551" i="2"/>
  <c r="O267" i="2"/>
  <c r="O1374" i="2"/>
  <c r="O403" i="2"/>
  <c r="O6" i="2"/>
  <c r="O963" i="2"/>
  <c r="O720" i="2"/>
  <c r="O1667" i="2"/>
  <c r="O187" i="2"/>
  <c r="O432" i="2"/>
  <c r="O1003" i="2"/>
  <c r="O372" i="2"/>
  <c r="O519" i="2"/>
  <c r="O1760" i="2"/>
  <c r="O832" i="2"/>
  <c r="O569" i="2"/>
  <c r="O1034" i="2"/>
  <c r="O1459" i="2"/>
  <c r="O1692" i="2"/>
  <c r="O141" i="2"/>
  <c r="O929" i="2"/>
  <c r="O279" i="2"/>
  <c r="O113" i="2"/>
  <c r="O793" i="2"/>
  <c r="O654" i="2"/>
  <c r="O163" i="2"/>
  <c r="O180" i="2"/>
  <c r="O1535" i="2"/>
  <c r="O621" i="2"/>
  <c r="O526" i="2"/>
  <c r="O1370" i="2"/>
  <c r="O887" i="2"/>
  <c r="O827" i="2"/>
  <c r="O738" i="2"/>
  <c r="O495" i="2"/>
  <c r="O1041" i="2"/>
  <c r="O1438" i="2"/>
  <c r="O1496" i="2"/>
  <c r="O506" i="2"/>
  <c r="O1819" i="2"/>
  <c r="O360" i="2"/>
  <c r="O1051" i="2"/>
  <c r="O307" i="2"/>
  <c r="O1355" i="2"/>
  <c r="O928" i="2"/>
  <c r="O278" i="2"/>
  <c r="O112" i="2"/>
  <c r="O791" i="2"/>
  <c r="O653" i="2"/>
  <c r="O57" i="2"/>
  <c r="O998" i="2"/>
  <c r="O750" i="2"/>
  <c r="O1753" i="2"/>
  <c r="O1830" i="2"/>
  <c r="O1369" i="2"/>
  <c r="O908" i="2"/>
  <c r="O581" i="2"/>
  <c r="O989" i="2"/>
  <c r="O1858" i="2"/>
  <c r="O538" i="2"/>
  <c r="O1544" i="2"/>
  <c r="O1870" i="2"/>
  <c r="O1565" i="2"/>
  <c r="O504" i="2"/>
  <c r="O1235" i="2"/>
  <c r="O685" i="2"/>
  <c r="O896" i="2"/>
  <c r="O468" i="2"/>
  <c r="O464" i="2"/>
  <c r="O466" i="2"/>
  <c r="O1703" i="2"/>
  <c r="O1348" i="2"/>
  <c r="O946" i="2"/>
  <c r="O1769" i="2"/>
  <c r="O762" i="2"/>
  <c r="O1164" i="2"/>
  <c r="O1862" i="2"/>
  <c r="O1249" i="2"/>
  <c r="O993" i="2"/>
  <c r="O605" i="2"/>
  <c r="O1581" i="2"/>
  <c r="O1598" i="2"/>
  <c r="O522" i="2"/>
  <c r="O1097" i="2"/>
  <c r="O1364" i="2"/>
  <c r="O1681" i="2"/>
  <c r="O1132" i="2"/>
  <c r="O1129" i="2"/>
  <c r="O44" i="2"/>
  <c r="O169" i="2"/>
  <c r="O396" i="2"/>
  <c r="O551" i="2"/>
  <c r="O578" i="2"/>
  <c r="O587" i="2"/>
  <c r="O662" i="2"/>
  <c r="O754" i="2"/>
  <c r="O798" i="2"/>
  <c r="O824" i="2"/>
  <c r="O849" i="2"/>
  <c r="O866" i="2"/>
  <c r="O1059" i="2"/>
  <c r="O1063" i="2"/>
  <c r="O1113" i="2"/>
  <c r="O1193" i="2"/>
  <c r="O1263" i="2"/>
  <c r="O1586" i="2"/>
  <c r="O1650" i="2"/>
  <c r="O1726" i="2"/>
  <c r="O1776" i="2"/>
  <c r="O1806" i="2"/>
  <c r="O1878" i="2"/>
  <c r="O733" i="2"/>
  <c r="O570" i="2"/>
  <c r="O1332" i="2"/>
  <c r="O1286" i="2"/>
  <c r="O1414" i="2"/>
  <c r="O1410" i="2"/>
  <c r="O1418" i="2"/>
  <c r="O1468" i="2"/>
  <c r="O1466" i="2"/>
  <c r="O499" i="2"/>
  <c r="O241" i="2"/>
  <c r="O341" i="2"/>
  <c r="O676" i="2"/>
  <c r="O1626" i="2"/>
  <c r="O8" i="2"/>
  <c r="O937" i="2"/>
  <c r="O971" i="2"/>
  <c r="O809" i="2"/>
  <c r="O599" i="2"/>
  <c r="O108" i="2"/>
  <c r="O876" i="2"/>
  <c r="O65" i="2"/>
  <c r="O1185" i="2"/>
  <c r="O386" i="2"/>
  <c r="O1251" i="2"/>
  <c r="O435" i="2"/>
  <c r="O176" i="2"/>
  <c r="O1175" i="2"/>
  <c r="O99" i="2"/>
  <c r="O802" i="2"/>
  <c r="O1792" i="2"/>
  <c r="O224" i="2"/>
  <c r="O906" i="2"/>
  <c r="O668" i="2"/>
  <c r="O1205" i="2"/>
  <c r="O737" i="2"/>
  <c r="O1541" i="2"/>
  <c r="O1432" i="2"/>
  <c r="O501" i="2"/>
  <c r="O244" i="2"/>
  <c r="O1628" i="2"/>
  <c r="O1099" i="2"/>
  <c r="O33" i="2"/>
  <c r="O594" i="2"/>
  <c r="O987" i="2"/>
  <c r="O1652" i="2"/>
  <c r="O1339" i="2"/>
  <c r="O1542" i="2"/>
  <c r="O1489" i="2"/>
  <c r="O1479" i="2"/>
  <c r="O487" i="2"/>
  <c r="O1278" i="2"/>
  <c r="O724" i="2"/>
  <c r="O1167" i="2"/>
  <c r="O1865" i="2"/>
  <c r="O1252" i="2"/>
  <c r="O1608" i="2"/>
  <c r="O1527" i="2"/>
  <c r="O803" i="2"/>
  <c r="O907" i="2"/>
  <c r="O988" i="2"/>
  <c r="O407" i="2"/>
  <c r="O895" i="2"/>
  <c r="O489" i="2"/>
  <c r="O280" i="2"/>
  <c r="O919" i="2"/>
  <c r="O419" i="2"/>
  <c r="O391" i="2"/>
  <c r="O440" i="2"/>
  <c r="O751" i="2"/>
  <c r="O103" i="2"/>
  <c r="O1102" i="2"/>
  <c r="O740" i="2"/>
  <c r="O1546" i="2"/>
  <c r="O218" i="2"/>
  <c r="O648" i="2"/>
  <c r="O1032" i="2"/>
  <c r="O742" i="2"/>
  <c r="O1386" i="2"/>
  <c r="O1502" i="2"/>
  <c r="O1091" i="2"/>
  <c r="O1239" i="2"/>
  <c r="O1054" i="2"/>
  <c r="O295" i="2"/>
  <c r="O338" i="2"/>
  <c r="O331" i="2"/>
  <c r="O289" i="2"/>
  <c r="O323" i="2"/>
  <c r="O691" i="2"/>
  <c r="O130" i="2"/>
  <c r="O472" i="2"/>
  <c r="O639" i="2"/>
  <c r="O420" i="2"/>
  <c r="O185" i="2"/>
  <c r="O172" i="2"/>
  <c r="O94" i="2"/>
  <c r="O1612" i="2"/>
  <c r="O39" i="2"/>
  <c r="O815" i="2"/>
  <c r="O978" i="2"/>
  <c r="O1547" i="2"/>
  <c r="O81" i="2"/>
  <c r="O1393" i="2"/>
  <c r="O1394" i="2"/>
  <c r="O197" i="2"/>
  <c r="O1676" i="2"/>
  <c r="O540" i="2"/>
  <c r="O1056" i="2"/>
  <c r="O1873" i="2"/>
  <c r="O1327" i="2"/>
  <c r="O1401" i="2"/>
  <c r="O402" i="2"/>
  <c r="O1346" i="2"/>
  <c r="O144" i="2"/>
  <c r="O1210" i="2"/>
  <c r="O421" i="2"/>
  <c r="O1860" i="2"/>
  <c r="O50" i="2"/>
  <c r="O745" i="2"/>
  <c r="O371" i="2"/>
  <c r="O518" i="2"/>
  <c r="O222" i="2"/>
  <c r="O583" i="2"/>
  <c r="O1639" i="2"/>
  <c r="O561" i="2"/>
  <c r="O1403" i="2"/>
  <c r="O239" i="2"/>
  <c r="O483" i="2"/>
  <c r="O1274" i="2"/>
  <c r="O913" i="2"/>
  <c r="O786" i="2"/>
  <c r="O384" i="2"/>
  <c r="O992" i="2"/>
  <c r="O1010" i="2"/>
  <c r="O615" i="2"/>
  <c r="O1022" i="2"/>
  <c r="O223" i="2"/>
  <c r="O846" i="2"/>
  <c r="O562" i="2"/>
  <c r="O1740" i="2"/>
  <c r="O1460" i="2"/>
  <c r="O1811" i="2"/>
  <c r="O142" i="2"/>
  <c r="O152" i="2"/>
  <c r="O264" i="2"/>
  <c r="O123" i="2"/>
  <c r="O68" i="2"/>
  <c r="O1848" i="2"/>
  <c r="O439" i="2"/>
  <c r="O610" i="2"/>
  <c r="O1584" i="2"/>
  <c r="O701" i="2"/>
  <c r="O527" i="2"/>
  <c r="O1622" i="2"/>
  <c r="O910" i="2"/>
  <c r="O842" i="2"/>
  <c r="O92" i="2"/>
  <c r="O494" i="2"/>
  <c r="O1039" i="2"/>
  <c r="O1454" i="2"/>
  <c r="O1574" i="2"/>
  <c r="O505" i="2"/>
  <c r="O1820" i="2"/>
  <c r="O690" i="2"/>
  <c r="O1053" i="2"/>
  <c r="O310" i="2"/>
  <c r="O1354" i="2"/>
  <c r="O150" i="2"/>
  <c r="O812" i="2"/>
  <c r="O111" i="2"/>
  <c r="O67" i="2"/>
  <c r="O1847" i="2"/>
  <c r="O77" i="2"/>
  <c r="O1663" i="2"/>
  <c r="O1006" i="2"/>
  <c r="O101" i="2"/>
  <c r="O206" i="2"/>
  <c r="O1620" i="2"/>
  <c r="O1139" i="2"/>
  <c r="O595" i="2"/>
  <c r="O1071" i="2"/>
  <c r="O1888" i="2"/>
  <c r="O537" i="2"/>
  <c r="O1291" i="2"/>
  <c r="O1869" i="2"/>
  <c r="O1570" i="2"/>
  <c r="O511" i="2"/>
  <c r="O246" i="2"/>
  <c r="O684" i="2"/>
  <c r="O897" i="2"/>
  <c r="O460" i="2"/>
  <c r="O449" i="2"/>
  <c r="O455" i="2"/>
  <c r="O136" i="2"/>
  <c r="O1349" i="2"/>
  <c r="O924" i="2"/>
  <c r="O274" i="2"/>
  <c r="O914" i="2"/>
  <c r="O1668" i="2"/>
  <c r="O188" i="2"/>
  <c r="O52" i="2"/>
  <c r="O994" i="2"/>
  <c r="O747" i="2"/>
  <c r="O1719" i="2"/>
  <c r="O1826" i="2"/>
  <c r="O521" i="2"/>
  <c r="O1145" i="2"/>
  <c r="O1365" i="2"/>
  <c r="O1761" i="2"/>
  <c r="O1134" i="2"/>
  <c r="O30" i="2"/>
  <c r="O45" i="2"/>
  <c r="O366" i="2"/>
  <c r="O395" i="2"/>
  <c r="O547" i="2"/>
  <c r="O579" i="2"/>
  <c r="O660" i="2"/>
  <c r="O663" i="2"/>
  <c r="O756" i="2"/>
  <c r="O797" i="2"/>
  <c r="O823" i="2"/>
  <c r="O847" i="2"/>
  <c r="O864" i="2"/>
  <c r="O1065" i="2"/>
  <c r="O1061" i="2"/>
  <c r="O1108" i="2"/>
  <c r="O1203" i="2"/>
  <c r="O1262" i="2"/>
  <c r="O1587" i="2"/>
  <c r="O1641" i="2"/>
  <c r="O1727" i="2"/>
  <c r="O1779" i="2"/>
  <c r="O1803" i="2"/>
  <c r="O1883" i="2"/>
  <c r="O734" i="2"/>
  <c r="O268" i="2"/>
  <c r="O1320" i="2"/>
  <c r="O1287" i="2"/>
  <c r="O1429" i="2"/>
  <c r="O1421" i="2"/>
  <c r="O1423" i="2"/>
  <c r="O1465" i="2"/>
  <c r="O1491" i="2"/>
  <c r="O510" i="2"/>
  <c r="O354" i="2"/>
  <c r="O350" i="2"/>
  <c r="O675" i="2"/>
  <c r="O1627" i="2"/>
  <c r="O478" i="2"/>
  <c r="O926" i="2"/>
  <c r="O972" i="2"/>
  <c r="O810" i="2"/>
  <c r="O598" i="2"/>
  <c r="O109" i="2"/>
  <c r="O877" i="2"/>
  <c r="O64" i="2"/>
  <c r="O1184" i="2"/>
  <c r="O387" i="2"/>
  <c r="O55" i="2"/>
  <c r="O995" i="2"/>
  <c r="O177" i="2"/>
  <c r="O1526" i="2"/>
  <c r="O98" i="2"/>
  <c r="O1836" i="2"/>
  <c r="O523" i="2"/>
  <c r="O225" i="2"/>
  <c r="O905" i="2"/>
  <c r="O838" i="2"/>
  <c r="O1266" i="2"/>
  <c r="O90" i="2"/>
  <c r="O1288" i="2"/>
  <c r="O1448" i="2"/>
  <c r="O1085" i="2"/>
  <c r="O243" i="2"/>
  <c r="O1625" i="2"/>
  <c r="O1146" i="2"/>
  <c r="O47" i="2"/>
  <c r="O669" i="2"/>
  <c r="O1070" i="2"/>
  <c r="O1653" i="2"/>
  <c r="O1338" i="2"/>
  <c r="O1295" i="2"/>
  <c r="O1487" i="2"/>
  <c r="O1486" i="2"/>
  <c r="O1714" i="2"/>
  <c r="O1771" i="2"/>
  <c r="O765" i="2"/>
  <c r="O1671" i="2"/>
  <c r="O191" i="2"/>
  <c r="O56" i="2"/>
  <c r="O18" i="2"/>
  <c r="O1582" i="2"/>
  <c r="O1838" i="2"/>
  <c r="O1137" i="2"/>
  <c r="O1267" i="2"/>
  <c r="O775" i="2"/>
  <c r="O1049" i="2"/>
  <c r="O1716" i="2"/>
  <c r="O813" i="2"/>
  <c r="O115" i="2"/>
  <c r="O630" i="2"/>
  <c r="O959" i="2"/>
  <c r="O1002" i="2"/>
  <c r="O1008" i="2"/>
  <c r="O380" i="2"/>
  <c r="O1150" i="2"/>
  <c r="O741" i="2"/>
  <c r="O1297" i="2"/>
  <c r="O507" i="2"/>
  <c r="O1159" i="2"/>
  <c r="O1103" i="2"/>
  <c r="O743" i="2"/>
  <c r="O1440" i="2"/>
  <c r="O1505" i="2"/>
  <c r="O1698" i="2"/>
  <c r="O1238" i="2"/>
  <c r="O312" i="2"/>
  <c r="O304" i="2"/>
  <c r="O301" i="2"/>
  <c r="O329" i="2"/>
  <c r="O333" i="2"/>
  <c r="O515" i="2"/>
  <c r="O127" i="2"/>
  <c r="O473" i="2"/>
  <c r="O960" i="2"/>
  <c r="O873" i="2"/>
  <c r="O381" i="2"/>
  <c r="O171" i="2"/>
  <c r="O613" i="2"/>
  <c r="O1675" i="2"/>
  <c r="O41" i="2"/>
  <c r="O816" i="2"/>
  <c r="O1055" i="2"/>
  <c r="O1549" i="2"/>
  <c r="O529" i="2"/>
  <c r="O1391" i="2"/>
  <c r="O1457" i="2"/>
  <c r="O517" i="2"/>
  <c r="O1758" i="2"/>
  <c r="O575" i="2"/>
  <c r="O1104" i="2"/>
  <c r="O1874" i="2"/>
  <c r="O1317" i="2"/>
  <c r="O1402" i="2"/>
  <c r="O1229" i="2"/>
  <c r="O5" i="2"/>
  <c r="O640" i="2"/>
  <c r="O1513" i="2"/>
  <c r="O1162" i="2"/>
  <c r="O186" i="2"/>
  <c r="O70" i="2"/>
  <c r="O1009" i="2"/>
  <c r="O614" i="2"/>
  <c r="O1021" i="2"/>
  <c r="O631" i="2"/>
  <c r="O658" i="2"/>
  <c r="O1875" i="2"/>
  <c r="O1329" i="2"/>
  <c r="O1443" i="2"/>
  <c r="O770" i="2"/>
  <c r="O1710" i="2"/>
  <c r="O1768" i="2"/>
  <c r="O105" i="2"/>
  <c r="O62" i="2"/>
  <c r="O952" i="2"/>
  <c r="O1656" i="2"/>
  <c r="O1173" i="2"/>
  <c r="O695" i="2"/>
  <c r="O1094" i="2"/>
  <c r="O632" i="2"/>
  <c r="O862" i="2"/>
  <c r="O1330" i="2"/>
  <c r="O1375" i="2"/>
  <c r="O1463" i="2"/>
  <c r="O404" i="2"/>
  <c r="O134" i="2"/>
  <c r="O151" i="2"/>
  <c r="O1520" i="2"/>
  <c r="O236" i="2"/>
  <c r="O629" i="2"/>
  <c r="O390" i="2"/>
  <c r="O1000" i="2"/>
  <c r="O611" i="2"/>
  <c r="O1724" i="2"/>
  <c r="O1840" i="2"/>
  <c r="O1031" i="2"/>
  <c r="O1621" i="2"/>
  <c r="O909" i="2"/>
  <c r="O857" i="2"/>
  <c r="O93" i="2"/>
  <c r="O1245" i="2"/>
  <c r="O1040" i="2"/>
  <c r="O1455" i="2"/>
  <c r="O1573" i="2"/>
  <c r="O513" i="2"/>
  <c r="O1818" i="2"/>
  <c r="O689" i="2"/>
  <c r="O1635" i="2"/>
  <c r="O139" i="2"/>
  <c r="O306" i="2"/>
  <c r="O10" i="2"/>
  <c r="O645" i="2"/>
  <c r="O263" i="2"/>
  <c r="O122" i="2"/>
  <c r="O418" i="2"/>
  <c r="O389" i="2"/>
  <c r="O78" i="2"/>
  <c r="O1662" i="2"/>
  <c r="O1015" i="2"/>
  <c r="O377" i="2"/>
  <c r="O1794" i="2"/>
  <c r="O1685" i="2"/>
  <c r="O36" i="2"/>
  <c r="O670" i="2"/>
  <c r="O1118" i="2"/>
  <c r="O573" i="2"/>
  <c r="O534" i="2"/>
  <c r="O1289" i="2"/>
  <c r="O1379" i="2"/>
  <c r="O1568" i="2"/>
  <c r="O512" i="2"/>
  <c r="O359" i="2"/>
  <c r="O682" i="2"/>
  <c r="O1050" i="2"/>
  <c r="O457" i="2"/>
  <c r="O447" i="2"/>
  <c r="O445" i="2"/>
  <c r="O137" i="2"/>
  <c r="O7" i="2"/>
  <c r="O146" i="2"/>
  <c r="O808" i="2"/>
  <c r="O106" i="2"/>
  <c r="O787" i="2"/>
  <c r="O650" i="2"/>
  <c r="O53" i="2"/>
  <c r="O1657" i="2"/>
  <c r="O1004" i="2"/>
  <c r="O1749" i="2"/>
  <c r="O200" i="2"/>
  <c r="O1023" i="2"/>
  <c r="O1221" i="2"/>
  <c r="O1616" i="2"/>
  <c r="O1762" i="2"/>
  <c r="O1128" i="2"/>
  <c r="O27" i="2"/>
  <c r="O43" i="2"/>
  <c r="O367" i="2"/>
  <c r="O543" i="2"/>
  <c r="O548" i="2"/>
  <c r="O588" i="2"/>
  <c r="O667" i="2"/>
  <c r="O714" i="2"/>
  <c r="O759" i="2"/>
  <c r="O795" i="2"/>
  <c r="O825" i="2"/>
  <c r="O850" i="2"/>
  <c r="O983" i="2"/>
  <c r="O1064" i="2"/>
  <c r="O1111" i="2"/>
  <c r="O1196" i="2"/>
  <c r="O1201" i="2"/>
  <c r="O1555" i="2"/>
  <c r="O1593" i="2"/>
  <c r="O1645" i="2"/>
  <c r="O1728" i="2"/>
  <c r="O1785" i="2"/>
  <c r="O1805" i="2"/>
  <c r="O1882" i="2"/>
  <c r="O736" i="2"/>
  <c r="O563" i="2"/>
  <c r="O491" i="2"/>
  <c r="O1285" i="2"/>
  <c r="O1413" i="2"/>
  <c r="O1420" i="2"/>
  <c r="O1425" i="2"/>
  <c r="O1472" i="2"/>
  <c r="O1464" i="2"/>
  <c r="O1084" i="2"/>
  <c r="O352" i="2"/>
  <c r="O346" i="2"/>
  <c r="O673" i="2"/>
  <c r="O443" i="2"/>
  <c r="O477" i="2"/>
  <c r="O925" i="2"/>
  <c r="O970" i="2"/>
  <c r="O260" i="2"/>
  <c r="O722" i="2"/>
  <c r="O120" i="2"/>
  <c r="O1166" i="2"/>
  <c r="O416" i="2"/>
  <c r="O1863" i="2"/>
  <c r="O954" i="2"/>
  <c r="O54" i="2"/>
  <c r="O996" i="2"/>
  <c r="O607" i="2"/>
  <c r="O1525" i="2"/>
  <c r="O375" i="2"/>
  <c r="O1837" i="2"/>
  <c r="O1027" i="2"/>
  <c r="O634" i="2"/>
  <c r="O1136" i="2"/>
  <c r="O852" i="2"/>
  <c r="O1557" i="2"/>
  <c r="O571" i="2"/>
  <c r="O1036" i="2"/>
  <c r="O1447" i="2"/>
  <c r="O1694" i="2"/>
  <c r="O774" i="2"/>
  <c r="O1705" i="2"/>
  <c r="O1226" i="2"/>
  <c r="O397" i="2"/>
  <c r="O760" i="2"/>
  <c r="O1116" i="2"/>
  <c r="O1787" i="2"/>
  <c r="O1322" i="2"/>
  <c r="O1037" i="2"/>
  <c r="O1481" i="2"/>
  <c r="O1815" i="2"/>
  <c r="O939" i="2"/>
  <c r="O277" i="2"/>
  <c r="O917" i="2"/>
  <c r="O790" i="2"/>
  <c r="O652" i="2"/>
  <c r="O76" i="2"/>
  <c r="O178" i="2"/>
  <c r="O1722" i="2"/>
  <c r="O1601" i="2"/>
  <c r="O34" i="2"/>
  <c r="O572" i="2"/>
  <c r="O444" i="2"/>
  <c r="O1629" i="2"/>
  <c r="O943" i="2"/>
  <c r="O265" i="2"/>
  <c r="O124" i="2"/>
  <c r="O1080" i="2"/>
  <c r="O1158" i="2"/>
  <c r="O1665" i="2"/>
  <c r="O1018" i="2"/>
  <c r="O622" i="2"/>
  <c r="O1688" i="2"/>
  <c r="O574" i="2"/>
  <c r="O1042" i="2"/>
  <c r="O1636" i="2"/>
  <c r="O1312" i="2"/>
  <c r="O1151" i="2"/>
  <c r="O1872" i="2"/>
  <c r="O1439" i="2"/>
  <c r="O1510" i="2"/>
  <c r="O1699" i="2"/>
  <c r="O249" i="2"/>
  <c r="O317" i="2"/>
  <c r="O314" i="2"/>
  <c r="O297" i="2"/>
  <c r="O330" i="2"/>
  <c r="O340" i="2"/>
  <c r="O688" i="2"/>
  <c r="O125" i="2"/>
  <c r="O932" i="2"/>
  <c r="O1271" i="2"/>
  <c r="O1161" i="2"/>
  <c r="O382" i="2"/>
  <c r="O744" i="2"/>
  <c r="O801" i="2"/>
  <c r="O1757" i="2"/>
  <c r="O392" i="2"/>
  <c r="O822" i="2"/>
  <c r="O1057" i="2"/>
  <c r="O1548" i="2"/>
  <c r="O1372" i="2"/>
  <c r="O1390" i="2"/>
  <c r="O509" i="2"/>
  <c r="O1020" i="2"/>
  <c r="O1123" i="2"/>
  <c r="O582" i="2"/>
  <c r="O1191" i="2"/>
  <c r="O729" i="2"/>
  <c r="O1240" i="2"/>
  <c r="O1442" i="2"/>
  <c r="O238" i="2"/>
  <c r="O474" i="2"/>
  <c r="O962" i="2"/>
  <c r="O596" i="2"/>
  <c r="O1666" i="2"/>
  <c r="O1843" i="2"/>
  <c r="O154" i="2"/>
  <c r="O1172" i="2"/>
  <c r="O694" i="2"/>
  <c r="O1143" i="2"/>
  <c r="O704" i="2"/>
  <c r="O831" i="2"/>
  <c r="O731" i="2"/>
  <c r="O1328" i="2"/>
  <c r="O210" i="2"/>
  <c r="O890" i="2"/>
  <c r="O935" i="2"/>
  <c r="O273" i="2"/>
  <c r="O117" i="2"/>
  <c r="O413" i="2"/>
  <c r="O1153" i="2"/>
  <c r="O1606" i="2"/>
  <c r="O1523" i="2"/>
  <c r="O1834" i="2"/>
  <c r="O1144" i="2"/>
  <c r="O705" i="2"/>
  <c r="O980" i="2"/>
  <c r="O1319" i="2"/>
  <c r="O1405" i="2"/>
  <c r="O1458" i="2"/>
  <c r="O1230" i="2"/>
  <c r="O11" i="2"/>
  <c r="O646" i="2"/>
  <c r="O727" i="2"/>
  <c r="O428" i="2"/>
  <c r="O1079" i="2"/>
  <c r="O958" i="2"/>
  <c r="O1001" i="2"/>
  <c r="O1007" i="2"/>
  <c r="O1755" i="2"/>
  <c r="O1841" i="2"/>
  <c r="O1030" i="2"/>
  <c r="O1687" i="2"/>
  <c r="O1140" i="2"/>
  <c r="O872" i="2"/>
  <c r="O91" i="2"/>
  <c r="O1736" i="2"/>
  <c r="O1746" i="2"/>
  <c r="O1453" i="2"/>
  <c r="O1577" i="2"/>
  <c r="O514" i="2"/>
  <c r="O409" i="2"/>
  <c r="O781" i="2"/>
  <c r="O469" i="2"/>
  <c r="O133" i="2"/>
  <c r="O316" i="2"/>
  <c r="O480" i="2"/>
  <c r="O976" i="2"/>
  <c r="O1216" i="2"/>
  <c r="O235" i="2"/>
  <c r="O628" i="2"/>
  <c r="O957" i="2"/>
  <c r="O161" i="2"/>
  <c r="O1301" i="2"/>
  <c r="O1178" i="2"/>
  <c r="O620" i="2"/>
  <c r="O525" i="2"/>
  <c r="O1765" i="2"/>
  <c r="O48" i="2"/>
  <c r="O821" i="2"/>
  <c r="O1208" i="2"/>
  <c r="O271" i="2"/>
  <c r="O536" i="2"/>
  <c r="O1290" i="2"/>
  <c r="O1437" i="2"/>
  <c r="O1567" i="2"/>
  <c r="O1087" i="2"/>
  <c r="O358" i="2"/>
  <c r="O681" i="2"/>
  <c r="O1633" i="2"/>
  <c r="O467" i="2"/>
  <c r="O446" i="2"/>
  <c r="O462" i="2"/>
  <c r="O138" i="2"/>
  <c r="O475" i="2"/>
  <c r="O641" i="2"/>
  <c r="O259" i="2"/>
  <c r="O107" i="2"/>
  <c r="O63" i="2"/>
  <c r="O1844" i="2"/>
  <c r="O72" i="2"/>
  <c r="O1658" i="2"/>
  <c r="O1011" i="2"/>
  <c r="O97" i="2"/>
  <c r="O203" i="2"/>
  <c r="O1026" i="2"/>
  <c r="O1224" i="2"/>
  <c r="O1617" i="2"/>
  <c r="O1797" i="2"/>
  <c r="O1131" i="2"/>
  <c r="O31" i="2"/>
  <c r="O165" i="2"/>
  <c r="O365" i="2"/>
  <c r="O552" i="2"/>
  <c r="O550" i="2"/>
  <c r="O589" i="2"/>
  <c r="O659" i="2"/>
  <c r="O715" i="2"/>
  <c r="O753" i="2"/>
  <c r="O800" i="2"/>
  <c r="O836" i="2"/>
  <c r="O851" i="2"/>
  <c r="O981" i="2"/>
  <c r="O1068" i="2"/>
  <c r="O1112" i="2"/>
  <c r="O1192" i="2"/>
  <c r="O1197" i="2"/>
  <c r="O1553" i="2"/>
  <c r="O1589" i="2"/>
  <c r="O1649" i="2"/>
  <c r="O1780" i="2"/>
  <c r="O1781" i="2"/>
  <c r="O1851" i="2"/>
  <c r="O1877" i="2"/>
  <c r="O735" i="2"/>
  <c r="O1333" i="2"/>
  <c r="O530" i="2"/>
  <c r="O1035" i="2"/>
  <c r="O1424" i="2"/>
  <c r="O1412" i="2"/>
  <c r="O1411" i="2"/>
  <c r="O1469" i="2"/>
  <c r="O1563" i="2"/>
  <c r="O1693" i="2"/>
  <c r="O344" i="2"/>
  <c r="O343" i="2"/>
  <c r="O674" i="2"/>
  <c r="O1704" i="2"/>
  <c r="O486" i="2"/>
  <c r="O148" i="2"/>
  <c r="O1276" i="2"/>
  <c r="O261" i="2"/>
  <c r="O723" i="2"/>
  <c r="O119" i="2"/>
  <c r="O1165" i="2"/>
  <c r="O415" i="2"/>
  <c r="O1864" i="2"/>
  <c r="O955" i="2"/>
  <c r="O74" i="2"/>
  <c r="O1659" i="2"/>
  <c r="O606" i="2"/>
  <c r="O1534" i="2"/>
  <c r="O374" i="2"/>
  <c r="O1599" i="2"/>
  <c r="O1098" i="2"/>
  <c r="O635" i="2"/>
  <c r="O1135" i="2"/>
  <c r="O868" i="2"/>
  <c r="O1594" i="2"/>
  <c r="O269" i="2"/>
  <c r="O1742" i="2"/>
  <c r="O1475" i="2"/>
  <c r="O1814" i="2"/>
  <c r="O773" i="2"/>
  <c r="O974" i="2"/>
  <c r="O1368" i="2"/>
  <c r="O556" i="2"/>
  <c r="O761" i="2"/>
  <c r="O1117" i="2"/>
  <c r="O1786" i="2"/>
  <c r="O492" i="2"/>
  <c r="O1435" i="2"/>
  <c r="O1476" i="2"/>
  <c r="O245" i="2"/>
  <c r="O947" i="2"/>
  <c r="O811" i="2"/>
  <c r="O110" i="2"/>
  <c r="O66" i="2"/>
  <c r="O1846" i="2"/>
  <c r="O159" i="2"/>
  <c r="O608" i="2"/>
  <c r="O1752" i="2"/>
  <c r="O1829" i="2"/>
  <c r="O35" i="2"/>
  <c r="O270" i="2"/>
  <c r="O532" i="2"/>
  <c r="O1708" i="2"/>
  <c r="O950" i="2"/>
  <c r="O1217" i="2"/>
  <c r="O429" i="2"/>
  <c r="O1189" i="2"/>
  <c r="O1311" i="2"/>
  <c r="O1302" i="2"/>
  <c r="O1180" i="2"/>
  <c r="O702" i="2"/>
  <c r="O228" i="2"/>
  <c r="O1344" i="2"/>
  <c r="O1500" i="2"/>
  <c r="O337" i="2"/>
  <c r="O441" i="2"/>
  <c r="O1371" i="2"/>
  <c r="O1382" i="2"/>
  <c r="O1441" i="2"/>
  <c r="O1506" i="2"/>
  <c r="O1823" i="2"/>
  <c r="O693" i="2"/>
  <c r="O318" i="2"/>
  <c r="O308" i="2"/>
  <c r="O299" i="2"/>
  <c r="O302" i="2"/>
  <c r="O293" i="2"/>
  <c r="O672" i="2"/>
  <c r="O128" i="2"/>
  <c r="O933" i="2"/>
  <c r="O1272" i="2"/>
  <c r="O1160" i="2"/>
  <c r="O49" i="2"/>
  <c r="O1171" i="2"/>
  <c r="O196" i="2"/>
  <c r="O220" i="2"/>
  <c r="O542" i="2"/>
  <c r="O829" i="2"/>
  <c r="O1107" i="2"/>
  <c r="O1637" i="2"/>
  <c r="O1397" i="2"/>
  <c r="O1395" i="2"/>
  <c r="O237" i="2"/>
  <c r="O1093" i="2"/>
  <c r="O1122" i="2"/>
  <c r="O657" i="2"/>
  <c r="O1258" i="2"/>
  <c r="O82" i="2"/>
  <c r="O1730" i="2"/>
  <c r="O209" i="2"/>
  <c r="O769" i="2"/>
  <c r="O482" i="2"/>
  <c r="O961" i="2"/>
  <c r="O719" i="2"/>
  <c r="O785" i="2"/>
  <c r="O383" i="2"/>
  <c r="O431" i="2"/>
  <c r="O1522" i="2"/>
  <c r="O1833" i="2"/>
  <c r="O1219" i="2"/>
  <c r="O881" i="2"/>
  <c r="O845" i="2"/>
  <c r="O730" i="2"/>
  <c r="O1318" i="2"/>
  <c r="O497" i="2"/>
  <c r="O1044" i="2"/>
  <c r="O923" i="2"/>
  <c r="O807" i="2"/>
  <c r="O230" i="2"/>
  <c r="O623" i="2"/>
  <c r="O1305" i="2"/>
  <c r="O14" i="2"/>
  <c r="O1532" i="2"/>
  <c r="O1597" i="2"/>
  <c r="O1220" i="2"/>
  <c r="O903" i="2"/>
  <c r="O1260" i="2"/>
  <c r="O490" i="2"/>
  <c r="O1406" i="2"/>
  <c r="O1462" i="2"/>
  <c r="O240" i="2"/>
  <c r="O941" i="2"/>
  <c r="O1280" i="2"/>
  <c r="O726" i="2"/>
  <c r="O880" i="2"/>
  <c r="O1188" i="2"/>
  <c r="O1254" i="2"/>
  <c r="O1664" i="2"/>
  <c r="O1016" i="2"/>
  <c r="O1754" i="2"/>
  <c r="O1603" i="2"/>
  <c r="O1101" i="2"/>
  <c r="O1686" i="2"/>
  <c r="O38" i="2"/>
  <c r="O990" i="2"/>
  <c r="O1342" i="2"/>
  <c r="O1545" i="2"/>
  <c r="O1745" i="2"/>
  <c r="O1452" i="2"/>
  <c r="O1575" i="2"/>
  <c r="O1090" i="2"/>
  <c r="O1236" i="2"/>
  <c r="O780" i="2"/>
  <c r="O471" i="2"/>
  <c r="O322" i="2"/>
  <c r="O315" i="2"/>
  <c r="O488" i="2"/>
  <c r="O977" i="2"/>
  <c r="O1519" i="2"/>
  <c r="O427" i="2"/>
  <c r="O1078" i="2"/>
  <c r="O1157" i="2"/>
  <c r="O160" i="2"/>
  <c r="O1609" i="2"/>
  <c r="O1314" i="2"/>
  <c r="O700" i="2"/>
  <c r="O1029" i="2"/>
  <c r="O227" i="2"/>
  <c r="O370" i="2"/>
  <c r="O826" i="2"/>
  <c r="O1209" i="2"/>
  <c r="O566" i="2"/>
  <c r="O535" i="2"/>
  <c r="O1296" i="2"/>
  <c r="O1451" i="2"/>
  <c r="O1569" i="2"/>
  <c r="O1696" i="2"/>
  <c r="O356" i="2"/>
  <c r="O687" i="2"/>
  <c r="O1634" i="2"/>
  <c r="O448" i="2"/>
  <c r="O450" i="2"/>
  <c r="O453" i="2"/>
  <c r="O132" i="2"/>
  <c r="O476" i="2"/>
  <c r="O968" i="2"/>
  <c r="O1212" i="2"/>
  <c r="O118" i="2"/>
  <c r="O414" i="2"/>
  <c r="O385" i="2"/>
  <c r="O73" i="2"/>
  <c r="O1298" i="2"/>
  <c r="O1174" i="2"/>
  <c r="O373" i="2"/>
  <c r="O201" i="2"/>
  <c r="O1024" i="2"/>
  <c r="O1222" i="2"/>
  <c r="O1618" i="2"/>
  <c r="O633" i="2"/>
  <c r="O1133" i="2"/>
  <c r="O29" i="2"/>
  <c r="O166" i="2"/>
  <c r="O362" i="2"/>
  <c r="O549" i="2"/>
  <c r="O546" i="2"/>
  <c r="O585" i="2"/>
  <c r="O661" i="2"/>
  <c r="O717" i="2"/>
  <c r="O755" i="2"/>
  <c r="O799" i="2"/>
  <c r="O833" i="2"/>
  <c r="O848" i="2"/>
  <c r="O985" i="2"/>
  <c r="O1058" i="2"/>
  <c r="O1106" i="2"/>
  <c r="O1202" i="2"/>
  <c r="O1199" i="2"/>
  <c r="O1556" i="2"/>
  <c r="O1591" i="2"/>
  <c r="O1648" i="2"/>
  <c r="O1782" i="2"/>
  <c r="O1783" i="2"/>
  <c r="O1856" i="2"/>
  <c r="O1880" i="2"/>
  <c r="O86" i="2"/>
  <c r="O1331" i="2"/>
  <c r="O531" i="2"/>
  <c r="O1741" i="2"/>
  <c r="O1419" i="2"/>
  <c r="O1436" i="2"/>
  <c r="O1422" i="2"/>
  <c r="O1473" i="2"/>
  <c r="O1561" i="2"/>
  <c r="O1812" i="2"/>
  <c r="O349" i="2"/>
  <c r="O348" i="2"/>
  <c r="O677" i="2"/>
  <c r="O294" i="2"/>
  <c r="O485" i="2"/>
  <c r="O147" i="2"/>
  <c r="O1277" i="2"/>
  <c r="O1214" i="2"/>
  <c r="O763" i="2"/>
  <c r="O232" i="2"/>
  <c r="O1670" i="2"/>
  <c r="O625" i="2"/>
  <c r="O190" i="2"/>
  <c r="O1155" i="2"/>
  <c r="O75" i="2"/>
  <c r="O1660" i="2"/>
  <c r="O748" i="2"/>
  <c r="O1720" i="2"/>
  <c r="O617" i="2"/>
  <c r="O1600" i="2"/>
  <c r="O1225" i="2"/>
  <c r="O707" i="2"/>
  <c r="O32" i="2"/>
  <c r="O986" i="2"/>
  <c r="O1651" i="2"/>
  <c r="O564" i="2"/>
  <c r="O1377" i="2"/>
  <c r="O1474" i="2"/>
  <c r="O1813" i="2"/>
  <c r="O894" i="2"/>
  <c r="O205" i="2"/>
  <c r="O1619" i="2"/>
  <c r="O557" i="2"/>
  <c r="O820" i="2"/>
  <c r="O1206" i="2"/>
  <c r="O1808" i="2"/>
  <c r="O533" i="2"/>
  <c r="O1483" i="2"/>
  <c r="O1482" i="2"/>
  <c r="O296" i="2"/>
  <c r="O927" i="2"/>
  <c r="O262" i="2"/>
  <c r="O121" i="2"/>
  <c r="O417" i="2"/>
  <c r="O388" i="2"/>
  <c r="O436" i="2"/>
  <c r="O749" i="2"/>
  <c r="O100" i="2"/>
  <c r="O226" i="2"/>
  <c r="O839" i="2"/>
  <c r="O565" i="2"/>
  <c r="O1434" i="2"/>
  <c r="O332" i="2"/>
  <c r="O931" i="2"/>
  <c r="O1521" i="2"/>
  <c r="O1170" i="2"/>
  <c r="O1868" i="2"/>
  <c r="O1255" i="2"/>
  <c r="O1611" i="2"/>
  <c r="O1316" i="2"/>
  <c r="O805" i="2"/>
  <c r="O638" i="2"/>
  <c r="O1325" i="2"/>
  <c r="O1498" i="2"/>
  <c r="O1358" i="2"/>
  <c r="O1303" i="2"/>
  <c r="O1623" i="2"/>
  <c r="O1385" i="2"/>
  <c r="O1456" i="2"/>
  <c r="O1503" i="2"/>
  <c r="O1821" i="2"/>
  <c r="O782" i="2"/>
  <c r="O325" i="2"/>
  <c r="O311" i="2"/>
  <c r="O335" i="2"/>
  <c r="O339" i="2"/>
  <c r="O291" i="2"/>
  <c r="O678" i="2"/>
  <c r="O140" i="2"/>
  <c r="M510" i="21"/>
  <c r="M577" i="21"/>
  <c r="M585" i="21"/>
  <c r="L93" i="21"/>
  <c r="M93" i="21"/>
  <c r="L328" i="21"/>
  <c r="M328" i="21"/>
  <c r="L327" i="21"/>
  <c r="M327" i="21"/>
  <c r="L548" i="21"/>
  <c r="M548" i="21"/>
  <c r="L487" i="21"/>
  <c r="M487" i="21"/>
  <c r="L333" i="21"/>
  <c r="M333" i="21"/>
  <c r="L469" i="21"/>
  <c r="M469" i="21"/>
  <c r="L331" i="21"/>
  <c r="M331" i="21"/>
  <c r="L481" i="21"/>
  <c r="M481" i="21"/>
  <c r="L510" i="21"/>
  <c r="L577" i="21"/>
  <c r="L585" i="21"/>
  <c r="N158" i="27"/>
  <c r="N852" i="27"/>
  <c r="N9" i="27"/>
  <c r="N16" i="24"/>
  <c r="N9" i="24"/>
  <c r="N3" i="27"/>
  <c r="N13" i="27"/>
  <c r="N15" i="27"/>
  <c r="N19" i="27"/>
  <c r="N21" i="27"/>
  <c r="N259" i="27"/>
  <c r="N267" i="27"/>
  <c r="N3" i="24"/>
  <c r="N144" i="27"/>
  <c r="N370" i="27"/>
  <c r="N379" i="27"/>
  <c r="N387" i="27"/>
  <c r="N404" i="27"/>
  <c r="N412" i="27"/>
  <c r="N348" i="27"/>
  <c r="N142" i="27"/>
  <c r="N354" i="27"/>
  <c r="N363" i="27"/>
  <c r="N546" i="27"/>
  <c r="N5" i="27"/>
  <c r="N352" i="27"/>
  <c r="N15" i="24"/>
  <c r="N19" i="24"/>
  <c r="N21" i="24"/>
  <c r="N23" i="24"/>
  <c r="N25" i="24"/>
  <c r="N27" i="24"/>
  <c r="N31" i="24"/>
  <c r="N7" i="27"/>
  <c r="N356" i="27"/>
  <c r="N365" i="27"/>
  <c r="N149" i="27"/>
  <c r="N157" i="27"/>
  <c r="N324" i="27"/>
  <c r="N345" i="27"/>
  <c r="N34" i="24"/>
  <c r="N42" i="24"/>
  <c r="N140" i="27"/>
  <c r="N38" i="27"/>
  <c r="N138" i="27"/>
  <c r="N334" i="27"/>
  <c r="N754" i="27"/>
  <c r="N16" i="27"/>
  <c r="N18" i="27"/>
  <c r="N136" i="27"/>
  <c r="N141" i="27"/>
  <c r="N625" i="27"/>
  <c r="N701" i="27"/>
  <c r="N32" i="27"/>
  <c r="N40" i="27"/>
  <c r="N134" i="27"/>
  <c r="N146" i="27"/>
  <c r="N137" i="27"/>
  <c r="N11" i="27"/>
  <c r="N23" i="27"/>
  <c r="N135" i="27"/>
  <c r="N260" i="27"/>
  <c r="N264" i="27"/>
  <c r="N355" i="27"/>
  <c r="N5" i="24"/>
  <c r="N28" i="24"/>
  <c r="N32" i="24"/>
  <c r="N40" i="24"/>
  <c r="N27" i="27"/>
  <c r="N29" i="27"/>
  <c r="N31" i="27"/>
  <c r="N36" i="27"/>
  <c r="N145" i="27"/>
  <c r="N29" i="24"/>
  <c r="N13" i="24"/>
  <c r="N133" i="27"/>
  <c r="N143" i="27"/>
  <c r="N163" i="27"/>
  <c r="N171" i="27"/>
  <c r="N180" i="27"/>
  <c r="N188" i="27"/>
  <c r="N197" i="27"/>
  <c r="N426" i="27"/>
  <c r="N435" i="27"/>
  <c r="N444" i="27"/>
  <c r="N452" i="27"/>
  <c r="N461" i="27"/>
  <c r="N469" i="27"/>
  <c r="N478" i="27"/>
  <c r="N487" i="27"/>
  <c r="N1158" i="24"/>
  <c r="N157" i="24"/>
  <c r="N159" i="24"/>
  <c r="N11" i="24"/>
  <c r="N24" i="24"/>
  <c r="N36" i="24"/>
  <c r="N349" i="24"/>
  <c r="N366" i="24"/>
  <c r="N618" i="24"/>
  <c r="N627" i="24"/>
  <c r="N708" i="24"/>
  <c r="N755" i="24"/>
  <c r="N763" i="24"/>
  <c r="N849" i="24"/>
  <c r="N1070" i="24"/>
  <c r="N1079" i="24"/>
  <c r="N17" i="24"/>
  <c r="N26" i="24"/>
  <c r="N39" i="24"/>
  <c r="N133" i="24"/>
  <c r="N141" i="24"/>
  <c r="N150" i="24"/>
  <c r="N338" i="24"/>
  <c r="N429" i="24"/>
  <c r="N437" i="24"/>
  <c r="N446" i="24"/>
  <c r="N454" i="24"/>
  <c r="N463" i="24"/>
  <c r="N472" i="24"/>
  <c r="N480" i="24"/>
  <c r="N489" i="24"/>
  <c r="N497" i="24"/>
  <c r="N506" i="24"/>
  <c r="N515" i="24"/>
  <c r="N523" i="24"/>
  <c r="N552" i="24"/>
  <c r="N561" i="24"/>
  <c r="N569" i="24"/>
  <c r="N1100" i="24"/>
  <c r="N355" i="24"/>
  <c r="N547" i="24"/>
  <c r="N590" i="24"/>
  <c r="N701" i="24"/>
  <c r="N847" i="24"/>
  <c r="N856" i="24"/>
  <c r="N1077" i="24"/>
  <c r="N1111" i="24"/>
  <c r="N14" i="24"/>
  <c r="N30" i="24"/>
  <c r="N37" i="24"/>
  <c r="N435" i="24"/>
  <c r="N452" i="24"/>
  <c r="N469" i="24"/>
  <c r="N487" i="24"/>
  <c r="N504" i="24"/>
  <c r="N521" i="24"/>
  <c r="N567" i="24"/>
  <c r="N970" i="24"/>
  <c r="N988" i="24"/>
  <c r="N1005" i="24"/>
  <c r="N1097" i="24"/>
  <c r="N1106" i="24"/>
  <c r="N10" i="24"/>
  <c r="N362" i="24"/>
  <c r="N545" i="24"/>
  <c r="N588" i="24"/>
  <c r="N614" i="24"/>
  <c r="N622" i="24"/>
  <c r="N631" i="24"/>
  <c r="N750" i="24"/>
  <c r="N759" i="24"/>
  <c r="N768" i="24"/>
  <c r="N18" i="24"/>
  <c r="N35" i="24"/>
  <c r="N137" i="24"/>
  <c r="N145" i="24"/>
  <c r="N154" i="24"/>
  <c r="N260" i="24"/>
  <c r="N319" i="24"/>
  <c r="N424" i="24"/>
  <c r="N433" i="24"/>
  <c r="N441" i="24"/>
  <c r="N450" i="24"/>
  <c r="N459" i="24"/>
  <c r="N467" i="24"/>
  <c r="N476" i="24"/>
  <c r="N485" i="24"/>
  <c r="N493" i="24"/>
  <c r="N502" i="24"/>
  <c r="N510" i="24"/>
  <c r="N519" i="24"/>
  <c r="N528" i="24"/>
  <c r="N557" i="24"/>
  <c r="N565" i="24"/>
  <c r="N574" i="24"/>
  <c r="N977" i="24"/>
  <c r="N994" i="24"/>
  <c r="N1011" i="24"/>
  <c r="N1104" i="24"/>
  <c r="N20" i="24"/>
  <c r="N38" i="24"/>
  <c r="N140" i="24"/>
  <c r="N351" i="24"/>
  <c r="N359" i="24"/>
  <c r="N543" i="24"/>
  <c r="N586" i="24"/>
  <c r="N611" i="24"/>
  <c r="N629" i="24"/>
  <c r="N757" i="24"/>
  <c r="N1073" i="24"/>
  <c r="N22" i="24"/>
  <c r="N33" i="24"/>
  <c r="N41" i="24"/>
  <c r="N152" i="24"/>
  <c r="N257" i="24"/>
  <c r="N265" i="24"/>
  <c r="N975" i="24"/>
  <c r="N992" i="24"/>
  <c r="N1009" i="24"/>
  <c r="N1136" i="24"/>
  <c r="N153" i="27"/>
  <c r="N164" i="27"/>
  <c r="N172" i="27"/>
  <c r="N181" i="27"/>
  <c r="N189" i="27"/>
  <c r="N198" i="27"/>
  <c r="N258" i="27"/>
  <c r="N265" i="27"/>
  <c r="N331" i="27"/>
  <c r="N339" i="27"/>
  <c r="N349" i="27"/>
  <c r="N358" i="27"/>
  <c r="N366" i="27"/>
  <c r="N371" i="27"/>
  <c r="N380" i="27"/>
  <c r="N388" i="27"/>
  <c r="N396" i="27"/>
  <c r="N405" i="27"/>
  <c r="N413" i="27"/>
  <c r="N419" i="27"/>
  <c r="N488" i="27"/>
  <c r="N496" i="27"/>
  <c r="N502" i="27"/>
  <c r="N516" i="27"/>
  <c r="N524" i="27"/>
  <c r="N538" i="27"/>
  <c r="N542" i="27"/>
  <c r="N547" i="27"/>
  <c r="N556" i="27"/>
  <c r="N564" i="27"/>
  <c r="N569" i="27"/>
  <c r="N587" i="27"/>
  <c r="N601" i="27"/>
  <c r="N623" i="27"/>
  <c r="N708" i="27"/>
  <c r="N167" i="27"/>
  <c r="N175" i="27"/>
  <c r="N184" i="27"/>
  <c r="N193" i="27"/>
  <c r="N201" i="27"/>
  <c r="N255" i="27"/>
  <c r="N262" i="27"/>
  <c r="N320" i="27"/>
  <c r="N336" i="27"/>
  <c r="N347" i="27"/>
  <c r="N364" i="27"/>
  <c r="N374" i="27"/>
  <c r="N383" i="27"/>
  <c r="N391" i="27"/>
  <c r="N399" i="27"/>
  <c r="N408" i="27"/>
  <c r="N417" i="27"/>
  <c r="N422" i="27"/>
  <c r="N431" i="27"/>
  <c r="N439" i="27"/>
  <c r="N448" i="27"/>
  <c r="N457" i="27"/>
  <c r="N465" i="27"/>
  <c r="N474" i="27"/>
  <c r="N482" i="27"/>
  <c r="N505" i="27"/>
  <c r="N514" i="27"/>
  <c r="N519" i="27"/>
  <c r="N573" i="27"/>
  <c r="N604" i="27"/>
  <c r="N613" i="27"/>
  <c r="N632" i="27"/>
  <c r="N861" i="27"/>
  <c r="N870" i="27"/>
  <c r="N878" i="27"/>
  <c r="N887" i="27"/>
  <c r="N895" i="27"/>
  <c r="N904" i="27"/>
  <c r="N913" i="27"/>
  <c r="N10" i="27"/>
  <c r="N162" i="27"/>
  <c r="N170" i="27"/>
  <c r="N179" i="27"/>
  <c r="N187" i="27"/>
  <c r="N196" i="27"/>
  <c r="N266" i="27"/>
  <c r="N328" i="27"/>
  <c r="N333" i="27"/>
  <c r="N340" i="27"/>
  <c r="N362" i="27"/>
  <c r="N369" i="27"/>
  <c r="N378" i="27"/>
  <c r="N386" i="27"/>
  <c r="N394" i="27"/>
  <c r="N403" i="27"/>
  <c r="N411" i="27"/>
  <c r="N486" i="27"/>
  <c r="N494" i="27"/>
  <c r="N500" i="27"/>
  <c r="N522" i="27"/>
  <c r="N531" i="27"/>
  <c r="N553" i="27"/>
  <c r="N562" i="27"/>
  <c r="N567" i="27"/>
  <c r="N585" i="27"/>
  <c r="N590" i="27"/>
  <c r="N599" i="27"/>
  <c r="N607" i="27"/>
  <c r="N616" i="27"/>
  <c r="N621" i="27"/>
  <c r="N627" i="27"/>
  <c r="N25" i="27"/>
  <c r="N24" i="27"/>
  <c r="N26" i="27"/>
  <c r="N34" i="27"/>
  <c r="N42" i="27"/>
  <c r="N139" i="27"/>
  <c r="N154" i="27"/>
  <c r="N165" i="27"/>
  <c r="N173" i="27"/>
  <c r="N182" i="27"/>
  <c r="N191" i="27"/>
  <c r="N199" i="27"/>
  <c r="N263" i="27"/>
  <c r="N344" i="27"/>
  <c r="N359" i="27"/>
  <c r="N372" i="27"/>
  <c r="N381" i="27"/>
  <c r="N389" i="27"/>
  <c r="N397" i="27"/>
  <c r="N406" i="27"/>
  <c r="N415" i="27"/>
  <c r="N420" i="27"/>
  <c r="N429" i="27"/>
  <c r="N437" i="27"/>
  <c r="N446" i="27"/>
  <c r="N454" i="27"/>
  <c r="N463" i="27"/>
  <c r="N472" i="27"/>
  <c r="N480" i="27"/>
  <c r="N489" i="27"/>
  <c r="N503" i="27"/>
  <c r="N511" i="27"/>
  <c r="N517" i="27"/>
  <c r="N539" i="27"/>
  <c r="N557" i="27"/>
  <c r="N571" i="27"/>
  <c r="N602" i="27"/>
  <c r="N630" i="27"/>
  <c r="N152" i="27"/>
  <c r="N159" i="27"/>
  <c r="N168" i="27"/>
  <c r="N177" i="27"/>
  <c r="N185" i="27"/>
  <c r="N194" i="27"/>
  <c r="N202" i="27"/>
  <c r="N256" i="27"/>
  <c r="N325" i="27"/>
  <c r="N337" i="27"/>
  <c r="N341" i="27"/>
  <c r="N350" i="27"/>
  <c r="N357" i="27"/>
  <c r="N367" i="27"/>
  <c r="N375" i="27"/>
  <c r="N384" i="27"/>
  <c r="N392" i="27"/>
  <c r="N401" i="27"/>
  <c r="N409" i="27"/>
  <c r="N492" i="27"/>
  <c r="N506" i="27"/>
  <c r="N520" i="27"/>
  <c r="N560" i="27"/>
  <c r="N574" i="27"/>
  <c r="N582" i="27"/>
  <c r="N605" i="27"/>
  <c r="N614" i="27"/>
  <c r="N619" i="27"/>
  <c r="N633" i="27"/>
  <c r="N638" i="27"/>
  <c r="N647" i="27"/>
  <c r="N656" i="27"/>
  <c r="N664" i="27"/>
  <c r="N673" i="27"/>
  <c r="N681" i="27"/>
  <c r="N509" i="27"/>
  <c r="N523" i="27"/>
  <c r="N532" i="27"/>
  <c r="N555" i="27"/>
  <c r="N577" i="27"/>
  <c r="N600" i="27"/>
  <c r="N617" i="27"/>
  <c r="N698" i="27"/>
  <c r="N150" i="27"/>
  <c r="N166" i="27"/>
  <c r="N174" i="27"/>
  <c r="N183" i="27"/>
  <c r="N192" i="27"/>
  <c r="N200" i="27"/>
  <c r="N257" i="27"/>
  <c r="N330" i="27"/>
  <c r="N338" i="27"/>
  <c r="N353" i="27"/>
  <c r="N373" i="27"/>
  <c r="N382" i="27"/>
  <c r="N390" i="27"/>
  <c r="N398" i="27"/>
  <c r="N407" i="27"/>
  <c r="N416" i="27"/>
  <c r="N490" i="27"/>
  <c r="N504" i="27"/>
  <c r="N527" i="27"/>
  <c r="N544" i="27"/>
  <c r="N558" i="27"/>
  <c r="N572" i="27"/>
  <c r="N603" i="27"/>
  <c r="N631" i="27"/>
  <c r="N636" i="27"/>
  <c r="N645" i="27"/>
  <c r="N717" i="27"/>
  <c r="N726" i="27"/>
  <c r="N148" i="27"/>
  <c r="N155" i="27"/>
  <c r="N169" i="27"/>
  <c r="N178" i="27"/>
  <c r="N186" i="27"/>
  <c r="N195" i="27"/>
  <c r="N203" i="27"/>
  <c r="N261" i="27"/>
  <c r="N319" i="27"/>
  <c r="N335" i="27"/>
  <c r="N342" i="27"/>
  <c r="N351" i="27"/>
  <c r="N361" i="27"/>
  <c r="N377" i="27"/>
  <c r="N385" i="27"/>
  <c r="N393" i="27"/>
  <c r="N402" i="27"/>
  <c r="N410" i="27"/>
  <c r="N424" i="27"/>
  <c r="N433" i="27"/>
  <c r="N441" i="27"/>
  <c r="N450" i="27"/>
  <c r="N459" i="27"/>
  <c r="N467" i="27"/>
  <c r="N476" i="27"/>
  <c r="N485" i="27"/>
  <c r="N499" i="27"/>
  <c r="N507" i="27"/>
  <c r="N521" i="27"/>
  <c r="N530" i="27"/>
  <c r="N552" i="27"/>
  <c r="N566" i="27"/>
  <c r="N575" i="27"/>
  <c r="N589" i="27"/>
  <c r="N597" i="27"/>
  <c r="N615" i="27"/>
  <c r="N712" i="27"/>
  <c r="N729" i="27"/>
  <c r="N737" i="27"/>
  <c r="N777" i="27"/>
  <c r="N786" i="27"/>
  <c r="N136" i="24"/>
  <c r="N144" i="24"/>
  <c r="N155" i="24"/>
  <c r="N263" i="24"/>
  <c r="N266" i="24"/>
  <c r="N333" i="24"/>
  <c r="N336" i="24"/>
  <c r="N352" i="24"/>
  <c r="N377" i="24"/>
  <c r="N384" i="24"/>
  <c r="N393" i="24"/>
  <c r="N401" i="24"/>
  <c r="N431" i="24"/>
  <c r="N438" i="24"/>
  <c r="N448" i="24"/>
  <c r="N455" i="24"/>
  <c r="N465" i="24"/>
  <c r="N473" i="24"/>
  <c r="N482" i="24"/>
  <c r="N490" i="24"/>
  <c r="N500" i="24"/>
  <c r="N507" i="24"/>
  <c r="N517" i="24"/>
  <c r="N524" i="24"/>
  <c r="N553" i="24"/>
  <c r="N563" i="24"/>
  <c r="N571" i="24"/>
  <c r="N583" i="24"/>
  <c r="N591" i="24"/>
  <c r="N604" i="24"/>
  <c r="N615" i="24"/>
  <c r="N624" i="24"/>
  <c r="N632" i="24"/>
  <c r="N698" i="24"/>
  <c r="N709" i="24"/>
  <c r="N725" i="24"/>
  <c r="N737" i="24"/>
  <c r="N753" i="24"/>
  <c r="N760" i="24"/>
  <c r="N770" i="24"/>
  <c r="N777" i="24"/>
  <c r="N797" i="24"/>
  <c r="N805" i="24"/>
  <c r="N814" i="24"/>
  <c r="N823" i="24"/>
  <c r="N831" i="24"/>
  <c r="N840" i="24"/>
  <c r="N845" i="24"/>
  <c r="N853" i="24"/>
  <c r="N860" i="24"/>
  <c r="N877" i="24"/>
  <c r="N894" i="24"/>
  <c r="N911" i="24"/>
  <c r="N929" i="24"/>
  <c r="N946" i="24"/>
  <c r="N965" i="24"/>
  <c r="N972" i="24"/>
  <c r="N980" i="24"/>
  <c r="N990" i="24"/>
  <c r="N997" i="24"/>
  <c r="N1007" i="24"/>
  <c r="N1014" i="24"/>
  <c r="N1022" i="24"/>
  <c r="N1034" i="24"/>
  <c r="N1052" i="24"/>
  <c r="N1075" i="24"/>
  <c r="N1086" i="24"/>
  <c r="N1102" i="24"/>
  <c r="N1118" i="24"/>
  <c r="N1137" i="24"/>
  <c r="N1147" i="24"/>
  <c r="N1167" i="24"/>
  <c r="N1176" i="24"/>
  <c r="N1185" i="24"/>
  <c r="N1193" i="24"/>
  <c r="N1202" i="24"/>
  <c r="N1210" i="24"/>
  <c r="N1219" i="24"/>
  <c r="N1228" i="24"/>
  <c r="N1236" i="24"/>
  <c r="N1245" i="24"/>
  <c r="N1254" i="24"/>
  <c r="N1271" i="24"/>
  <c r="N1279" i="24"/>
  <c r="N1506" i="24"/>
  <c r="N1514" i="24"/>
  <c r="N1523" i="24"/>
  <c r="N1604" i="24"/>
  <c r="N1612" i="24"/>
  <c r="N1621" i="24"/>
  <c r="N1629" i="24"/>
  <c r="N1637" i="24"/>
  <c r="N1645" i="24"/>
  <c r="N2256" i="24"/>
  <c r="N2264" i="24"/>
  <c r="N139" i="24"/>
  <c r="N148" i="24"/>
  <c r="N153" i="24"/>
  <c r="N344" i="24"/>
  <c r="N350" i="24"/>
  <c r="N367" i="24"/>
  <c r="N374" i="24"/>
  <c r="N382" i="24"/>
  <c r="N391" i="24"/>
  <c r="N398" i="24"/>
  <c r="N416" i="24"/>
  <c r="N436" i="24"/>
  <c r="N453" i="24"/>
  <c r="N471" i="24"/>
  <c r="N488" i="24"/>
  <c r="N505" i="24"/>
  <c r="N522" i="24"/>
  <c r="N532" i="24"/>
  <c r="N546" i="24"/>
  <c r="N568" i="24"/>
  <c r="N589" i="24"/>
  <c r="N602" i="24"/>
  <c r="N613" i="24"/>
  <c r="N630" i="24"/>
  <c r="N702" i="24"/>
  <c r="N717" i="24"/>
  <c r="N722" i="24"/>
  <c r="N730" i="24"/>
  <c r="N745" i="24"/>
  <c r="N758" i="24"/>
  <c r="N775" i="24"/>
  <c r="N800" i="24"/>
  <c r="N809" i="24"/>
  <c r="N817" i="24"/>
  <c r="N826" i="24"/>
  <c r="N834" i="24"/>
  <c r="N843" i="24"/>
  <c r="N851" i="24"/>
  <c r="N875" i="24"/>
  <c r="N892" i="24"/>
  <c r="N909" i="24"/>
  <c r="N926" i="24"/>
  <c r="N944" i="24"/>
  <c r="N978" i="24"/>
  <c r="N995" i="24"/>
  <c r="N1012" i="24"/>
  <c r="N1050" i="24"/>
  <c r="N1080" i="24"/>
  <c r="N1126" i="24"/>
  <c r="N1145" i="24"/>
  <c r="N1162" i="24"/>
  <c r="N1171" i="24"/>
  <c r="N1179" i="24"/>
  <c r="N1188" i="24"/>
  <c r="N1196" i="24"/>
  <c r="N1205" i="24"/>
  <c r="N1214" i="24"/>
  <c r="N1222" i="24"/>
  <c r="N1231" i="24"/>
  <c r="N1240" i="24"/>
  <c r="N1257" i="24"/>
  <c r="N1265" i="24"/>
  <c r="N1274" i="24"/>
  <c r="N1509" i="24"/>
  <c r="N1518" i="24"/>
  <c r="N1543" i="24"/>
  <c r="N1552" i="24"/>
  <c r="N1561" i="24"/>
  <c r="N2640" i="24"/>
  <c r="N2667" i="24"/>
  <c r="N2635" i="24"/>
  <c r="N2639" i="24"/>
  <c r="N134" i="24"/>
  <c r="N142" i="24"/>
  <c r="N163" i="24"/>
  <c r="N165" i="24"/>
  <c r="N167" i="24"/>
  <c r="N169" i="24"/>
  <c r="N171" i="24"/>
  <c r="N173" i="24"/>
  <c r="N175" i="24"/>
  <c r="N178" i="24"/>
  <c r="N180" i="24"/>
  <c r="N182" i="24"/>
  <c r="N184" i="24"/>
  <c r="N186" i="24"/>
  <c r="N188" i="24"/>
  <c r="N191" i="24"/>
  <c r="N193" i="24"/>
  <c r="N195" i="24"/>
  <c r="N197" i="24"/>
  <c r="N199" i="24"/>
  <c r="N201" i="24"/>
  <c r="N203" i="24"/>
  <c r="N264" i="24"/>
  <c r="N267" i="24"/>
  <c r="N325" i="24"/>
  <c r="N334" i="24"/>
  <c r="N348" i="24"/>
  <c r="N357" i="24"/>
  <c r="N365" i="24"/>
  <c r="N372" i="24"/>
  <c r="N380" i="24"/>
  <c r="N389" i="24"/>
  <c r="N396" i="24"/>
  <c r="N413" i="24"/>
  <c r="N426" i="24"/>
  <c r="N434" i="24"/>
  <c r="N444" i="24"/>
  <c r="N451" i="24"/>
  <c r="N461" i="24"/>
  <c r="N468" i="24"/>
  <c r="N478" i="24"/>
  <c r="N486" i="24"/>
  <c r="N495" i="24"/>
  <c r="N503" i="24"/>
  <c r="N513" i="24"/>
  <c r="N520" i="24"/>
  <c r="N530" i="24"/>
  <c r="N544" i="24"/>
  <c r="N559" i="24"/>
  <c r="N566" i="24"/>
  <c r="N576" i="24"/>
  <c r="N587" i="24"/>
  <c r="N600" i="24"/>
  <c r="N610" i="24"/>
  <c r="N620" i="24"/>
  <c r="N628" i="24"/>
  <c r="N715" i="24"/>
  <c r="N728" i="24"/>
  <c r="N743" i="24"/>
  <c r="N756" i="24"/>
  <c r="N765" i="24"/>
  <c r="N773" i="24"/>
  <c r="N786" i="24"/>
  <c r="N795" i="24"/>
  <c r="N803" i="24"/>
  <c r="N812" i="24"/>
  <c r="N820" i="24"/>
  <c r="N829" i="24"/>
  <c r="N838" i="24"/>
  <c r="N848" i="24"/>
  <c r="N873" i="24"/>
  <c r="N890" i="24"/>
  <c r="N907" i="24"/>
  <c r="N924" i="24"/>
  <c r="N941" i="24"/>
  <c r="N963" i="24"/>
  <c r="N968" i="24"/>
  <c r="N976" i="24"/>
  <c r="N985" i="24"/>
  <c r="N993" i="24"/>
  <c r="N1003" i="24"/>
  <c r="N1010" i="24"/>
  <c r="N1019" i="24"/>
  <c r="N1023" i="24"/>
  <c r="N1027" i="24"/>
  <c r="N1048" i="24"/>
  <c r="N1065" i="24"/>
  <c r="N1078" i="24"/>
  <c r="N1105" i="24"/>
  <c r="N1116" i="24"/>
  <c r="N1143" i="24"/>
  <c r="N1160" i="24"/>
  <c r="N1174" i="24"/>
  <c r="N1182" i="24"/>
  <c r="N1191" i="24"/>
  <c r="N1200" i="24"/>
  <c r="N1208" i="24"/>
  <c r="N1217" i="24"/>
  <c r="N1226" i="24"/>
  <c r="N1234" i="24"/>
  <c r="N1243" i="24"/>
  <c r="N1251" i="24"/>
  <c r="N1260" i="24"/>
  <c r="N1269" i="24"/>
  <c r="N1277" i="24"/>
  <c r="N1504" i="24"/>
  <c r="N1512" i="24"/>
  <c r="N1521" i="24"/>
  <c r="N1602" i="24"/>
  <c r="N1610" i="24"/>
  <c r="N1619" i="24"/>
  <c r="N1627" i="24"/>
  <c r="N1635" i="24"/>
  <c r="N1643" i="24"/>
  <c r="N2022" i="24"/>
  <c r="N2031" i="24"/>
  <c r="N2039" i="24"/>
  <c r="N2048" i="24"/>
  <c r="N2056" i="24"/>
  <c r="N2065" i="24"/>
  <c r="N2010" i="24"/>
  <c r="N2008" i="24"/>
  <c r="N2006" i="24"/>
  <c r="N2004" i="24"/>
  <c r="N2002" i="24"/>
  <c r="N2000" i="24"/>
  <c r="N1998" i="24"/>
  <c r="N1996" i="24"/>
  <c r="N1994" i="24"/>
  <c r="N2240" i="24"/>
  <c r="N2238" i="24"/>
  <c r="N2236" i="24"/>
  <c r="N2234" i="24"/>
  <c r="N2232" i="24"/>
  <c r="N2009" i="24"/>
  <c r="N2007" i="24"/>
  <c r="N2005" i="24"/>
  <c r="N2003" i="24"/>
  <c r="N2001" i="24"/>
  <c r="N1999" i="24"/>
  <c r="N1997" i="24"/>
  <c r="N1995" i="24"/>
  <c r="N1993" i="24"/>
  <c r="N2244" i="24"/>
  <c r="N2248" i="24"/>
  <c r="N2239" i="24"/>
  <c r="N2237" i="24"/>
  <c r="N2235" i="24"/>
  <c r="N2233" i="24"/>
  <c r="N1991" i="24"/>
  <c r="N1989" i="24"/>
  <c r="N1987" i="24"/>
  <c r="N1985" i="24"/>
  <c r="N1983" i="24"/>
  <c r="N1981" i="24"/>
  <c r="N1979" i="24"/>
  <c r="N1977" i="24"/>
  <c r="N1975" i="24"/>
  <c r="N1973" i="24"/>
  <c r="N1971" i="24"/>
  <c r="N1969" i="24"/>
  <c r="N1967" i="24"/>
  <c r="N1965" i="24"/>
  <c r="N1963" i="24"/>
  <c r="N1961" i="24"/>
  <c r="N1958" i="24"/>
  <c r="N1956" i="24"/>
  <c r="N1954" i="24"/>
  <c r="N1952" i="24"/>
  <c r="N1950" i="24"/>
  <c r="N1948" i="24"/>
  <c r="N1946" i="24"/>
  <c r="N1944" i="24"/>
  <c r="N1942" i="24"/>
  <c r="N1940" i="24"/>
  <c r="N1938" i="24"/>
  <c r="N1936" i="24"/>
  <c r="N1934" i="24"/>
  <c r="N1932" i="24"/>
  <c r="N1930" i="24"/>
  <c r="N1928" i="24"/>
  <c r="N1925" i="24"/>
  <c r="N1923" i="24"/>
  <c r="N1921" i="24"/>
  <c r="N1919" i="24"/>
  <c r="N1917" i="24"/>
  <c r="N1915" i="24"/>
  <c r="N1913" i="24"/>
  <c r="N1911" i="24"/>
  <c r="N1909" i="24"/>
  <c r="N1907" i="24"/>
  <c r="N1905" i="24"/>
  <c r="N1903" i="24"/>
  <c r="N1901" i="24"/>
  <c r="N1899" i="24"/>
  <c r="N1897" i="24"/>
  <c r="N1895" i="24"/>
  <c r="N1892" i="24"/>
  <c r="N1890" i="24"/>
  <c r="N1888" i="24"/>
  <c r="N1886" i="24"/>
  <c r="N1884" i="24"/>
  <c r="N1882" i="24"/>
  <c r="N1880" i="24"/>
  <c r="N1878" i="24"/>
  <c r="N1876" i="24"/>
  <c r="N1874" i="24"/>
  <c r="N1872" i="24"/>
  <c r="N1870" i="24"/>
  <c r="N1868" i="24"/>
  <c r="N1866" i="24"/>
  <c r="N1864" i="24"/>
  <c r="N1862" i="24"/>
  <c r="N1859" i="24"/>
  <c r="N1857" i="24"/>
  <c r="N1855" i="24"/>
  <c r="N1853" i="24"/>
  <c r="N1851" i="24"/>
  <c r="N1849" i="24"/>
  <c r="N1847" i="24"/>
  <c r="N1845" i="24"/>
  <c r="N1843" i="24"/>
  <c r="N1841" i="24"/>
  <c r="N1839" i="24"/>
  <c r="N1837" i="24"/>
  <c r="N1835" i="24"/>
  <c r="N1833" i="24"/>
  <c r="N1831" i="24"/>
  <c r="N1829" i="24"/>
  <c r="N1826" i="24"/>
  <c r="N1824" i="24"/>
  <c r="N1822" i="24"/>
  <c r="N1820" i="24"/>
  <c r="N1818" i="24"/>
  <c r="N1816" i="24"/>
  <c r="N1814" i="24"/>
  <c r="N1812" i="24"/>
  <c r="N1810" i="24"/>
  <c r="N1808" i="24"/>
  <c r="N1806" i="24"/>
  <c r="N1804" i="24"/>
  <c r="N1802" i="24"/>
  <c r="N1800" i="24"/>
  <c r="N1798" i="24"/>
  <c r="N1796" i="24"/>
  <c r="N1793" i="24"/>
  <c r="N1791" i="24"/>
  <c r="N1789" i="24"/>
  <c r="N1787" i="24"/>
  <c r="N1785" i="24"/>
  <c r="N1783" i="24"/>
  <c r="N1781" i="24"/>
  <c r="N1779" i="24"/>
  <c r="N1777" i="24"/>
  <c r="N1775" i="24"/>
  <c r="N1773" i="24"/>
  <c r="N1771" i="24"/>
  <c r="N1769" i="24"/>
  <c r="N1767" i="24"/>
  <c r="N1765" i="24"/>
  <c r="N1763" i="24"/>
  <c r="N1747" i="24"/>
  <c r="N1745" i="24"/>
  <c r="N1743" i="24"/>
  <c r="N1741" i="24"/>
  <c r="N1739" i="24"/>
  <c r="N1737" i="24"/>
  <c r="N1735" i="24"/>
  <c r="N1733" i="24"/>
  <c r="N1731" i="24"/>
  <c r="N1729" i="24"/>
  <c r="N1727" i="24"/>
  <c r="N1725" i="24"/>
  <c r="N1723" i="24"/>
  <c r="N1721" i="24"/>
  <c r="N1719" i="24"/>
  <c r="N1717" i="24"/>
  <c r="N1714" i="24"/>
  <c r="N1712" i="24"/>
  <c r="N1710" i="24"/>
  <c r="N1708" i="24"/>
  <c r="N1706" i="24"/>
  <c r="N1704" i="24"/>
  <c r="N1702" i="24"/>
  <c r="N1700" i="24"/>
  <c r="N1698" i="24"/>
  <c r="N1696" i="24"/>
  <c r="N1694" i="24"/>
  <c r="N1692" i="24"/>
  <c r="N1690" i="24"/>
  <c r="N1688" i="24"/>
  <c r="N1686" i="24"/>
  <c r="N1684" i="24"/>
  <c r="N1681" i="24"/>
  <c r="N2229" i="24"/>
  <c r="N2227" i="24"/>
  <c r="N2225" i="24"/>
  <c r="N2223" i="24"/>
  <c r="N2221" i="24"/>
  <c r="N2219" i="24"/>
  <c r="N2217" i="24"/>
  <c r="N2215" i="24"/>
  <c r="N2213" i="24"/>
  <c r="N2211" i="24"/>
  <c r="N2209" i="24"/>
  <c r="N2207" i="24"/>
  <c r="N2205" i="24"/>
  <c r="N2203" i="24"/>
  <c r="N2201" i="24"/>
  <c r="N2199" i="24"/>
  <c r="N2196" i="24"/>
  <c r="N2194" i="24"/>
  <c r="N2192" i="24"/>
  <c r="N2190" i="24"/>
  <c r="N2188" i="24"/>
  <c r="N2186" i="24"/>
  <c r="N2184" i="24"/>
  <c r="N2182" i="24"/>
  <c r="N2180" i="24"/>
  <c r="N2178" i="24"/>
  <c r="N2176" i="24"/>
  <c r="N2174" i="24"/>
  <c r="N2172" i="24"/>
  <c r="N2170" i="24"/>
  <c r="N2168" i="24"/>
  <c r="N2166" i="24"/>
  <c r="N2163" i="24"/>
  <c r="N2161" i="24"/>
  <c r="N2159" i="24"/>
  <c r="N2157" i="24"/>
  <c r="N2155" i="24"/>
  <c r="N2153" i="24"/>
  <c r="N2151" i="24"/>
  <c r="N2149" i="24"/>
  <c r="N2147" i="24"/>
  <c r="N2145" i="24"/>
  <c r="N2143" i="24"/>
  <c r="N2141" i="24"/>
  <c r="N2139" i="24"/>
  <c r="N2137" i="24"/>
  <c r="N2135" i="24"/>
  <c r="N2133" i="24"/>
  <c r="N2111" i="24"/>
  <c r="N2109" i="24"/>
  <c r="N2107" i="24"/>
  <c r="N2105" i="24"/>
  <c r="N2103" i="24"/>
  <c r="N2101" i="24"/>
  <c r="N2099" i="24"/>
  <c r="N2097" i="24"/>
  <c r="N2095" i="24"/>
  <c r="N2093" i="24"/>
  <c r="N2091" i="24"/>
  <c r="N2089" i="24"/>
  <c r="N2087" i="24"/>
  <c r="N2085" i="24"/>
  <c r="N2083" i="24"/>
  <c r="N2081" i="24"/>
  <c r="N1680" i="24"/>
  <c r="N1678" i="24"/>
  <c r="N1676" i="24"/>
  <c r="N1674" i="24"/>
  <c r="N1672" i="24"/>
  <c r="N1670" i="24"/>
  <c r="N1668" i="24"/>
  <c r="N1666" i="24"/>
  <c r="N1664" i="24"/>
  <c r="N1662" i="24"/>
  <c r="N1660" i="24"/>
  <c r="N1658" i="24"/>
  <c r="N1656" i="24"/>
  <c r="N1654" i="24"/>
  <c r="N1652" i="24"/>
  <c r="N1650" i="24"/>
  <c r="N1990" i="24"/>
  <c r="N1988" i="24"/>
  <c r="N1986" i="24"/>
  <c r="N1984" i="24"/>
  <c r="N1982" i="24"/>
  <c r="N1980" i="24"/>
  <c r="N1978" i="24"/>
  <c r="N1976" i="24"/>
  <c r="N1974" i="24"/>
  <c r="N1972" i="24"/>
  <c r="N1970" i="24"/>
  <c r="N1968" i="24"/>
  <c r="N1966" i="24"/>
  <c r="N1964" i="24"/>
  <c r="N1962" i="24"/>
  <c r="N1960" i="24"/>
  <c r="N1957" i="24"/>
  <c r="N1955" i="24"/>
  <c r="N1953" i="24"/>
  <c r="N1951" i="24"/>
  <c r="N1949" i="24"/>
  <c r="N1947" i="24"/>
  <c r="N1945" i="24"/>
  <c r="N1943" i="24"/>
  <c r="N1941" i="24"/>
  <c r="N1939" i="24"/>
  <c r="N1937" i="24"/>
  <c r="N1935" i="24"/>
  <c r="N1933" i="24"/>
  <c r="N1931" i="24"/>
  <c r="N1929" i="24"/>
  <c r="N1927" i="24"/>
  <c r="N1924" i="24"/>
  <c r="N1922" i="24"/>
  <c r="N1920" i="24"/>
  <c r="N1918" i="24"/>
  <c r="N1916" i="24"/>
  <c r="N1914" i="24"/>
  <c r="N1912" i="24"/>
  <c r="N1910" i="24"/>
  <c r="N1908" i="24"/>
  <c r="N1906" i="24"/>
  <c r="N1904" i="24"/>
  <c r="N1902" i="24"/>
  <c r="N1900" i="24"/>
  <c r="N1898" i="24"/>
  <c r="N1896" i="24"/>
  <c r="N1894" i="24"/>
  <c r="N1891" i="24"/>
  <c r="N1889" i="24"/>
  <c r="N1887" i="24"/>
  <c r="N1885" i="24"/>
  <c r="N1883" i="24"/>
  <c r="N1881" i="24"/>
  <c r="N1879" i="24"/>
  <c r="N1877" i="24"/>
  <c r="N1875" i="24"/>
  <c r="N1873" i="24"/>
  <c r="N1871" i="24"/>
  <c r="N1869" i="24"/>
  <c r="N1867" i="24"/>
  <c r="N1865" i="24"/>
  <c r="N1863" i="24"/>
  <c r="N1861" i="24"/>
  <c r="N1858" i="24"/>
  <c r="N1856" i="24"/>
  <c r="N1854" i="24"/>
  <c r="N1852" i="24"/>
  <c r="N1850" i="24"/>
  <c r="N1848" i="24"/>
  <c r="N1846" i="24"/>
  <c r="N1844" i="24"/>
  <c r="N1842" i="24"/>
  <c r="N1840" i="24"/>
  <c r="N1838" i="24"/>
  <c r="N1836" i="24"/>
  <c r="N1834" i="24"/>
  <c r="N1832" i="24"/>
  <c r="N1830" i="24"/>
  <c r="N1828" i="24"/>
  <c r="N1825" i="24"/>
  <c r="N1823" i="24"/>
  <c r="N1821" i="24"/>
  <c r="N1819" i="24"/>
  <c r="N1817" i="24"/>
  <c r="N1815" i="24"/>
  <c r="N1813" i="24"/>
  <c r="N1811" i="24"/>
  <c r="N1809" i="24"/>
  <c r="N1807" i="24"/>
  <c r="N1805" i="24"/>
  <c r="N1803" i="24"/>
  <c r="N1801" i="24"/>
  <c r="N1799" i="24"/>
  <c r="N1797" i="24"/>
  <c r="N1795" i="24"/>
  <c r="N1792" i="24"/>
  <c r="N1790" i="24"/>
  <c r="N1788" i="24"/>
  <c r="N1786" i="24"/>
  <c r="N1784" i="24"/>
  <c r="N1782" i="24"/>
  <c r="N1780" i="24"/>
  <c r="N1778" i="24"/>
  <c r="N1776" i="24"/>
  <c r="N1774" i="24"/>
  <c r="N1772" i="24"/>
  <c r="N1770" i="24"/>
  <c r="N1768" i="24"/>
  <c r="N1766" i="24"/>
  <c r="N1764" i="24"/>
  <c r="N1762" i="24"/>
  <c r="N1746" i="24"/>
  <c r="N1744" i="24"/>
  <c r="N1742" i="24"/>
  <c r="N1740" i="24"/>
  <c r="N1738" i="24"/>
  <c r="N1736" i="24"/>
  <c r="N1734" i="24"/>
  <c r="N1732" i="24"/>
  <c r="N1730" i="24"/>
  <c r="N1728" i="24"/>
  <c r="N1726" i="24"/>
  <c r="N1724" i="24"/>
  <c r="N1722" i="24"/>
  <c r="N1720" i="24"/>
  <c r="N1718" i="24"/>
  <c r="N1716" i="24"/>
  <c r="N1713" i="24"/>
  <c r="N1711" i="24"/>
  <c r="N1709" i="24"/>
  <c r="N1707" i="24"/>
  <c r="N1705" i="24"/>
  <c r="N1703" i="24"/>
  <c r="N1701" i="24"/>
  <c r="N1699" i="24"/>
  <c r="N1697" i="24"/>
  <c r="N1695" i="24"/>
  <c r="N1693" i="24"/>
  <c r="N1691" i="24"/>
  <c r="N1689" i="24"/>
  <c r="N1687" i="24"/>
  <c r="N1685" i="24"/>
  <c r="N1683" i="24"/>
  <c r="N1648" i="24"/>
  <c r="N1646" i="24"/>
  <c r="N1644" i="24"/>
  <c r="N1642" i="24"/>
  <c r="N1640" i="24"/>
  <c r="N1638" i="24"/>
  <c r="N1636" i="24"/>
  <c r="N1634" i="24"/>
  <c r="N1632" i="24"/>
  <c r="N1630" i="24"/>
  <c r="N1628" i="24"/>
  <c r="N1626" i="24"/>
  <c r="N1624" i="24"/>
  <c r="N1622" i="24"/>
  <c r="N1620" i="24"/>
  <c r="N1618" i="24"/>
  <c r="N2230" i="24"/>
  <c r="N2228" i="24"/>
  <c r="N2226" i="24"/>
  <c r="N2224" i="24"/>
  <c r="N2222" i="24"/>
  <c r="N2220" i="24"/>
  <c r="N2218" i="24"/>
  <c r="N2216" i="24"/>
  <c r="N2214" i="24"/>
  <c r="N2212" i="24"/>
  <c r="N2210" i="24"/>
  <c r="N2208" i="24"/>
  <c r="N2206" i="24"/>
  <c r="N2204" i="24"/>
  <c r="N2202" i="24"/>
  <c r="N2200" i="24"/>
  <c r="N2197" i="24"/>
  <c r="N2195" i="24"/>
  <c r="N2193" i="24"/>
  <c r="N2191" i="24"/>
  <c r="N2189" i="24"/>
  <c r="N2187" i="24"/>
  <c r="N2185" i="24"/>
  <c r="N2183" i="24"/>
  <c r="N2181" i="24"/>
  <c r="N2179" i="24"/>
  <c r="N2177" i="24"/>
  <c r="N2175" i="24"/>
  <c r="N2173" i="24"/>
  <c r="N2171" i="24"/>
  <c r="N2169" i="24"/>
  <c r="N2167" i="24"/>
  <c r="N2164" i="24"/>
  <c r="N2162" i="24"/>
  <c r="N2160" i="24"/>
  <c r="N2158" i="24"/>
  <c r="N2156" i="24"/>
  <c r="N2154" i="24"/>
  <c r="N2152" i="24"/>
  <c r="N2150" i="24"/>
  <c r="N2148" i="24"/>
  <c r="N2146" i="24"/>
  <c r="N2144" i="24"/>
  <c r="N2142" i="24"/>
  <c r="N2140" i="24"/>
  <c r="N2138" i="24"/>
  <c r="N2136" i="24"/>
  <c r="N2134" i="24"/>
  <c r="N2112" i="24"/>
  <c r="N2110" i="24"/>
  <c r="N2108" i="24"/>
  <c r="N2106" i="24"/>
  <c r="N2104" i="24"/>
  <c r="N2102" i="24"/>
  <c r="N2100" i="24"/>
  <c r="N2098" i="24"/>
  <c r="N2096" i="24"/>
  <c r="N2094" i="24"/>
  <c r="N2092" i="24"/>
  <c r="N2090" i="24"/>
  <c r="N2088" i="24"/>
  <c r="N2086" i="24"/>
  <c r="N2084" i="24"/>
  <c r="N2082" i="24"/>
  <c r="N1679" i="24"/>
  <c r="N1677" i="24"/>
  <c r="N1675" i="24"/>
  <c r="N1673" i="24"/>
  <c r="N1671" i="24"/>
  <c r="N1669" i="24"/>
  <c r="N1667" i="24"/>
  <c r="N1665" i="24"/>
  <c r="N1663" i="24"/>
  <c r="N1661" i="24"/>
  <c r="N1659" i="24"/>
  <c r="N1657" i="24"/>
  <c r="N1655" i="24"/>
  <c r="N1653" i="24"/>
  <c r="N1651" i="24"/>
  <c r="N158" i="24"/>
  <c r="N261" i="24"/>
  <c r="N341" i="24"/>
  <c r="N345" i="24"/>
  <c r="N363" i="24"/>
  <c r="N370" i="24"/>
  <c r="N378" i="24"/>
  <c r="N387" i="24"/>
  <c r="N394" i="24"/>
  <c r="N411" i="24"/>
  <c r="N432" i="24"/>
  <c r="N449" i="24"/>
  <c r="N466" i="24"/>
  <c r="N483" i="24"/>
  <c r="N501" i="24"/>
  <c r="N518" i="24"/>
  <c r="N542" i="24"/>
  <c r="N564" i="24"/>
  <c r="N585" i="24"/>
  <c r="N597" i="24"/>
  <c r="N605" i="24"/>
  <c r="N625" i="24"/>
  <c r="N635" i="24"/>
  <c r="N713" i="24"/>
  <c r="N726" i="24"/>
  <c r="N741" i="24"/>
  <c r="N754" i="24"/>
  <c r="N771" i="24"/>
  <c r="N781" i="24"/>
  <c r="N798" i="24"/>
  <c r="N806" i="24"/>
  <c r="N815" i="24"/>
  <c r="N824" i="24"/>
  <c r="N832" i="24"/>
  <c r="N841" i="24"/>
  <c r="N846" i="24"/>
  <c r="N871" i="24"/>
  <c r="N888" i="24"/>
  <c r="N905" i="24"/>
  <c r="N922" i="24"/>
  <c r="N939" i="24"/>
  <c r="N966" i="24"/>
  <c r="N974" i="24"/>
  <c r="N983" i="24"/>
  <c r="N991" i="24"/>
  <c r="N1000" i="24"/>
  <c r="N1008" i="24"/>
  <c r="N1016" i="24"/>
  <c r="N1032" i="24"/>
  <c r="N1046" i="24"/>
  <c r="N1063" i="24"/>
  <c r="N1076" i="24"/>
  <c r="N1103" i="24"/>
  <c r="N1140" i="24"/>
  <c r="N1168" i="24"/>
  <c r="N1177" i="24"/>
  <c r="N1186" i="24"/>
  <c r="N1194" i="24"/>
  <c r="N1203" i="24"/>
  <c r="N1212" i="24"/>
  <c r="N1220" i="24"/>
  <c r="N1229" i="24"/>
  <c r="N1237" i="24"/>
  <c r="N1246" i="24"/>
  <c r="N1255" i="24"/>
  <c r="N1272" i="24"/>
  <c r="N1280" i="24"/>
  <c r="N1507" i="24"/>
  <c r="N1515" i="24"/>
  <c r="N1550" i="24"/>
  <c r="N1559" i="24"/>
  <c r="N2242" i="24"/>
  <c r="N2604" i="24"/>
  <c r="N2741" i="24"/>
  <c r="N2627" i="24"/>
  <c r="N2616" i="24"/>
  <c r="N2606" i="24"/>
  <c r="N2594" i="24"/>
  <c r="N2585" i="24"/>
  <c r="N2577" i="24"/>
  <c r="N2565" i="24"/>
  <c r="N2549" i="24"/>
  <c r="N2603" i="24"/>
  <c r="N2599" i="24"/>
  <c r="N2591" i="24"/>
  <c r="N2582" i="24"/>
  <c r="N2574" i="24"/>
  <c r="N2562" i="24"/>
  <c r="N2558" i="24"/>
  <c r="N2546" i="24"/>
  <c r="N2740" i="24"/>
  <c r="N2623" i="24"/>
  <c r="N2620" i="24"/>
  <c r="N2611" i="24"/>
  <c r="N2602" i="24"/>
  <c r="N2598" i="24"/>
  <c r="N2589" i="24"/>
  <c r="N2581" i="24"/>
  <c r="N2573" i="24"/>
  <c r="N2557" i="24"/>
  <c r="N2554" i="24"/>
  <c r="N2545" i="24"/>
  <c r="N2742" i="24"/>
  <c r="N2628" i="24"/>
  <c r="N2607" i="24"/>
  <c r="N1133" i="24"/>
  <c r="N1083" i="24"/>
  <c r="N1031" i="24"/>
  <c r="N1021" i="24"/>
  <c r="N961" i="24"/>
  <c r="N958" i="24"/>
  <c r="N956" i="24"/>
  <c r="N954" i="24"/>
  <c r="N747" i="24"/>
  <c r="N694" i="24"/>
  <c r="N689" i="24"/>
  <c r="N687" i="24"/>
  <c r="N685" i="24"/>
  <c r="N683" i="24"/>
  <c r="N680" i="24"/>
  <c r="N675" i="24"/>
  <c r="N673" i="24"/>
  <c r="N671" i="24"/>
  <c r="N669" i="24"/>
  <c r="N666" i="24"/>
  <c r="N664" i="24"/>
  <c r="N662" i="24"/>
  <c r="N660" i="24"/>
  <c r="N658" i="24"/>
  <c r="N656" i="24"/>
  <c r="N653" i="24"/>
  <c r="N646" i="24"/>
  <c r="N644" i="24"/>
  <c r="N642" i="24"/>
  <c r="N639" i="24"/>
  <c r="N539" i="24"/>
  <c r="N417" i="24"/>
  <c r="N415" i="24"/>
  <c r="N412" i="24"/>
  <c r="N410" i="24"/>
  <c r="N408" i="24"/>
  <c r="N406" i="24"/>
  <c r="N404" i="24"/>
  <c r="N402" i="24"/>
  <c r="N399" i="24"/>
  <c r="N397" i="24"/>
  <c r="N340" i="24"/>
  <c r="N331" i="24"/>
  <c r="N328" i="24"/>
  <c r="N419" i="24"/>
  <c r="N337" i="24"/>
  <c r="N1536" i="24"/>
  <c r="N1534" i="24"/>
  <c r="N1532" i="24"/>
  <c r="N2548" i="24"/>
  <c r="N1163" i="24"/>
  <c r="N1161" i="24"/>
  <c r="N1159" i="24"/>
  <c r="N1157" i="24"/>
  <c r="N1154" i="24"/>
  <c r="N1152" i="24"/>
  <c r="N1150" i="24"/>
  <c r="N1148" i="24"/>
  <c r="N1146" i="24"/>
  <c r="N1144" i="24"/>
  <c r="N1142" i="24"/>
  <c r="N1122" i="24"/>
  <c r="N1064" i="24"/>
  <c r="N1062" i="24"/>
  <c r="N1060" i="24"/>
  <c r="N1058" i="24"/>
  <c r="N1055" i="24"/>
  <c r="N1053" i="24"/>
  <c r="N1051" i="24"/>
  <c r="N1049" i="24"/>
  <c r="N1047" i="24"/>
  <c r="N1045" i="24"/>
  <c r="N1030" i="24"/>
  <c r="N1020" i="24"/>
  <c r="N951" i="24"/>
  <c r="N949" i="24"/>
  <c r="N947" i="24"/>
  <c r="N945" i="24"/>
  <c r="N942" i="24"/>
  <c r="N940" i="24"/>
  <c r="N938" i="24"/>
  <c r="N936" i="24"/>
  <c r="N934" i="24"/>
  <c r="N932" i="24"/>
  <c r="N930" i="24"/>
  <c r="N928" i="24"/>
  <c r="N925" i="24"/>
  <c r="N923" i="24"/>
  <c r="N921" i="24"/>
  <c r="N919" i="24"/>
  <c r="N917" i="24"/>
  <c r="N915" i="24"/>
  <c r="N913" i="24"/>
  <c r="N910" i="24"/>
  <c r="N908" i="24"/>
  <c r="N906" i="24"/>
  <c r="N904" i="24"/>
  <c r="N902" i="24"/>
  <c r="N900" i="24"/>
  <c r="N898" i="24"/>
  <c r="N895" i="24"/>
  <c r="N893" i="24"/>
  <c r="N891" i="24"/>
  <c r="N889" i="24"/>
  <c r="N887" i="24"/>
  <c r="N885" i="24"/>
  <c r="N883" i="24"/>
  <c r="N881" i="24"/>
  <c r="N878" i="24"/>
  <c r="N876" i="24"/>
  <c r="N874" i="24"/>
  <c r="N872" i="24"/>
  <c r="N870" i="24"/>
  <c r="N868" i="24"/>
  <c r="N866" i="24"/>
  <c r="N863" i="24"/>
  <c r="N861" i="24"/>
  <c r="N859" i="24"/>
  <c r="N636" i="24"/>
  <c r="N1038" i="24"/>
  <c r="N1035" i="24"/>
  <c r="N1017" i="24"/>
  <c r="N960" i="24"/>
  <c r="N957" i="24"/>
  <c r="N955" i="24"/>
  <c r="N953" i="24"/>
  <c r="N699" i="24"/>
  <c r="N688" i="24"/>
  <c r="N686" i="24"/>
  <c r="N684" i="24"/>
  <c r="N681" i="24"/>
  <c r="N674" i="24"/>
  <c r="N672" i="24"/>
  <c r="N670" i="24"/>
  <c r="N667" i="24"/>
  <c r="N665" i="24"/>
  <c r="N663" i="24"/>
  <c r="N661" i="24"/>
  <c r="N659" i="24"/>
  <c r="N657" i="24"/>
  <c r="N655" i="24"/>
  <c r="N652" i="24"/>
  <c r="N647" i="24"/>
  <c r="N645" i="24"/>
  <c r="N643" i="24"/>
  <c r="N641" i="24"/>
  <c r="N638" i="24"/>
  <c r="N607" i="24"/>
  <c r="N538" i="24"/>
  <c r="N2614" i="24"/>
  <c r="N2593" i="24"/>
  <c r="N2626" i="24"/>
  <c r="N2605" i="24"/>
  <c r="N2584" i="24"/>
  <c r="N2564" i="24"/>
  <c r="N1566" i="24"/>
  <c r="N1564" i="24"/>
  <c r="N1562" i="24"/>
  <c r="N1560" i="24"/>
  <c r="N1557" i="24"/>
  <c r="N1555" i="24"/>
  <c r="N1553" i="24"/>
  <c r="N1551" i="24"/>
  <c r="N1549" i="24"/>
  <c r="N1547" i="24"/>
  <c r="N1545" i="24"/>
  <c r="N1542" i="24"/>
  <c r="N1537" i="24"/>
  <c r="N1535" i="24"/>
  <c r="N1533" i="24"/>
  <c r="N1531" i="24"/>
  <c r="N2576" i="24"/>
  <c r="N149" i="24"/>
  <c r="N255" i="24"/>
  <c r="N258" i="24"/>
  <c r="N330" i="24"/>
  <c r="N353" i="24"/>
  <c r="N361" i="24"/>
  <c r="N375" i="24"/>
  <c r="N385" i="24"/>
  <c r="N392" i="24"/>
  <c r="N409" i="24"/>
  <c r="N422" i="24"/>
  <c r="N430" i="24"/>
  <c r="N439" i="24"/>
  <c r="N447" i="24"/>
  <c r="N457" i="24"/>
  <c r="N464" i="24"/>
  <c r="N474" i="24"/>
  <c r="N481" i="24"/>
  <c r="N491" i="24"/>
  <c r="N499" i="24"/>
  <c r="N508" i="24"/>
  <c r="N516" i="24"/>
  <c r="N525" i="24"/>
  <c r="N555" i="24"/>
  <c r="N562" i="24"/>
  <c r="N572" i="24"/>
  <c r="N582" i="24"/>
  <c r="N603" i="24"/>
  <c r="N616" i="24"/>
  <c r="N623" i="24"/>
  <c r="N633" i="24"/>
  <c r="N700" i="24"/>
  <c r="N711" i="24"/>
  <c r="N723" i="24"/>
  <c r="N739" i="24"/>
  <c r="N751" i="24"/>
  <c r="N761" i="24"/>
  <c r="N778" i="24"/>
  <c r="N792" i="24"/>
  <c r="N801" i="24"/>
  <c r="N810" i="24"/>
  <c r="N818" i="24"/>
  <c r="N827" i="24"/>
  <c r="N835" i="24"/>
  <c r="N854" i="24"/>
  <c r="N869" i="24"/>
  <c r="N886" i="24"/>
  <c r="N903" i="24"/>
  <c r="N920" i="24"/>
  <c r="N937" i="24"/>
  <c r="N971" i="24"/>
  <c r="N981" i="24"/>
  <c r="N989" i="24"/>
  <c r="N998" i="24"/>
  <c r="N1006" i="24"/>
  <c r="N1036" i="24"/>
  <c r="N1044" i="24"/>
  <c r="N1061" i="24"/>
  <c r="N1074" i="24"/>
  <c r="N1101" i="24"/>
  <c r="N1119" i="24"/>
  <c r="N1128" i="24"/>
  <c r="N1138" i="24"/>
  <c r="N1156" i="24"/>
  <c r="N1172" i="24"/>
  <c r="N1180" i="24"/>
  <c r="N1189" i="24"/>
  <c r="N1198" i="24"/>
  <c r="N1206" i="24"/>
  <c r="N1215" i="24"/>
  <c r="N1223" i="24"/>
  <c r="N1232" i="24"/>
  <c r="N1241" i="24"/>
  <c r="N1258" i="24"/>
  <c r="N1266" i="24"/>
  <c r="N1275" i="24"/>
  <c r="N1510" i="24"/>
  <c r="N1519" i="24"/>
  <c r="N1570" i="24"/>
  <c r="N1600" i="24"/>
  <c r="N1608" i="24"/>
  <c r="N1617" i="24"/>
  <c r="N1625" i="24"/>
  <c r="N1633" i="24"/>
  <c r="N1641" i="24"/>
  <c r="N2029" i="24"/>
  <c r="N2046" i="24"/>
  <c r="N2062" i="24"/>
  <c r="N2260" i="24"/>
  <c r="N2268" i="24"/>
  <c r="N4" i="24"/>
  <c r="N6" i="24"/>
  <c r="N8" i="24"/>
  <c r="N135" i="24"/>
  <c r="N143" i="24"/>
  <c r="N335" i="24"/>
  <c r="N342" i="24"/>
  <c r="N358" i="24"/>
  <c r="N373" i="24"/>
  <c r="N383" i="24"/>
  <c r="N390" i="24"/>
  <c r="N407" i="24"/>
  <c r="N420" i="24"/>
  <c r="N427" i="24"/>
  <c r="N445" i="24"/>
  <c r="N462" i="24"/>
  <c r="N479" i="24"/>
  <c r="N496" i="24"/>
  <c r="N514" i="24"/>
  <c r="N531" i="24"/>
  <c r="N560" i="24"/>
  <c r="N577" i="24"/>
  <c r="N601" i="24"/>
  <c r="N621" i="24"/>
  <c r="N697" i="24"/>
  <c r="N716" i="24"/>
  <c r="N731" i="24"/>
  <c r="N736" i="24"/>
  <c r="N744" i="24"/>
  <c r="N767" i="24"/>
  <c r="N776" i="24"/>
  <c r="N787" i="24"/>
  <c r="N796" i="24"/>
  <c r="N804" i="24"/>
  <c r="N813" i="24"/>
  <c r="N821" i="24"/>
  <c r="N830" i="24"/>
  <c r="N839" i="24"/>
  <c r="N852" i="24"/>
  <c r="N867" i="24"/>
  <c r="N884" i="24"/>
  <c r="N901" i="24"/>
  <c r="N918" i="24"/>
  <c r="N935" i="24"/>
  <c r="N964" i="24"/>
  <c r="N969" i="24"/>
  <c r="N979" i="24"/>
  <c r="N986" i="24"/>
  <c r="N996" i="24"/>
  <c r="N1004" i="24"/>
  <c r="N1013" i="24"/>
  <c r="N1028" i="24"/>
  <c r="N1033" i="24"/>
  <c r="N1059" i="24"/>
  <c r="N1072" i="24"/>
  <c r="N1098" i="24"/>
  <c r="N1153" i="24"/>
  <c r="N1175" i="24"/>
  <c r="N1184" i="24"/>
  <c r="N1192" i="24"/>
  <c r="N1201" i="24"/>
  <c r="N1209" i="24"/>
  <c r="N1218" i="24"/>
  <c r="N1227" i="24"/>
  <c r="N1235" i="24"/>
  <c r="N1244" i="24"/>
  <c r="N1252" i="24"/>
  <c r="N1270" i="24"/>
  <c r="N1278" i="24"/>
  <c r="N1505" i="24"/>
  <c r="N1513" i="24"/>
  <c r="N1522" i="24"/>
  <c r="N1548" i="24"/>
  <c r="N1556" i="24"/>
  <c r="N1565" i="24"/>
  <c r="N3132" i="24"/>
  <c r="N3104" i="24"/>
  <c r="N3102" i="24"/>
  <c r="N3100" i="24"/>
  <c r="N3098" i="24"/>
  <c r="N3096" i="24"/>
  <c r="N3094" i="24"/>
  <c r="N3092" i="24"/>
  <c r="N3089" i="24"/>
  <c r="N3087" i="24"/>
  <c r="N3085" i="24"/>
  <c r="N3083" i="24"/>
  <c r="N3081" i="24"/>
  <c r="N3079" i="24"/>
  <c r="N3077" i="24"/>
  <c r="N3075" i="24"/>
  <c r="N3073" i="24"/>
  <c r="N3071" i="24"/>
  <c r="N3069" i="24"/>
  <c r="N3067" i="24"/>
  <c r="N3065" i="24"/>
  <c r="N3063" i="24"/>
  <c r="N3060" i="24"/>
  <c r="N3133" i="24"/>
  <c r="N3130" i="24"/>
  <c r="N3105" i="24"/>
  <c r="N3088" i="24"/>
  <c r="N3072" i="24"/>
  <c r="N3052" i="24"/>
  <c r="N3050" i="24"/>
  <c r="N3048" i="24"/>
  <c r="N3046" i="24"/>
  <c r="N3044" i="24"/>
  <c r="N3042" i="24"/>
  <c r="N3040" i="24"/>
  <c r="N3037" i="24"/>
  <c r="N3035" i="24"/>
  <c r="N3033" i="24"/>
  <c r="N3031" i="24"/>
  <c r="N3029" i="24"/>
  <c r="N3027" i="24"/>
  <c r="N3024" i="24"/>
  <c r="N3022" i="24"/>
  <c r="N3020" i="24"/>
  <c r="N3018" i="24"/>
  <c r="N3016" i="24"/>
  <c r="N3013" i="24"/>
  <c r="N3011" i="24"/>
  <c r="N3009" i="24"/>
  <c r="N3007" i="24"/>
  <c r="N3005" i="24"/>
  <c r="N3003" i="24"/>
  <c r="N3001" i="24"/>
  <c r="N2999" i="24"/>
  <c r="N2996" i="24"/>
  <c r="N2994" i="24"/>
  <c r="N2992" i="24"/>
  <c r="N2990" i="24"/>
  <c r="N2988" i="24"/>
  <c r="N2985" i="24"/>
  <c r="N2983" i="24"/>
  <c r="N2981" i="24"/>
  <c r="N2979" i="24"/>
  <c r="N2977" i="24"/>
  <c r="N2975" i="24"/>
  <c r="N2970" i="24"/>
  <c r="N2968" i="24"/>
  <c r="N2913" i="24"/>
  <c r="N2905" i="24"/>
  <c r="N2897" i="24"/>
  <c r="N2889" i="24"/>
  <c r="N2881" i="24"/>
  <c r="N2873" i="24"/>
  <c r="N2865" i="24"/>
  <c r="N2856" i="24"/>
  <c r="N2848" i="24"/>
  <c r="N2839" i="24"/>
  <c r="N2831" i="24"/>
  <c r="N2823" i="24"/>
  <c r="N2815" i="24"/>
  <c r="N2807" i="24"/>
  <c r="N2799" i="24"/>
  <c r="N2791" i="24"/>
  <c r="N2783" i="24"/>
  <c r="N2771" i="24"/>
  <c r="N2756" i="24"/>
  <c r="N2748" i="24"/>
  <c r="N2693" i="24"/>
  <c r="N1575" i="24"/>
  <c r="N3091" i="24"/>
  <c r="N3074" i="24"/>
  <c r="N3093" i="24"/>
  <c r="N3076" i="24"/>
  <c r="N2941" i="24"/>
  <c r="N2939" i="24"/>
  <c r="N2937" i="24"/>
  <c r="N2935" i="24"/>
  <c r="N2932" i="24"/>
  <c r="N2930" i="24"/>
  <c r="N2928" i="24"/>
  <c r="N2907" i="24"/>
  <c r="N2899" i="24"/>
  <c r="N2891" i="24"/>
  <c r="N2883" i="24"/>
  <c r="N2875" i="24"/>
  <c r="N2867" i="24"/>
  <c r="N2858" i="24"/>
  <c r="N2850" i="24"/>
  <c r="N2841" i="24"/>
  <c r="N2833" i="24"/>
  <c r="N2825" i="24"/>
  <c r="N2817" i="24"/>
  <c r="N2809" i="24"/>
  <c r="N2801" i="24"/>
  <c r="N2793" i="24"/>
  <c r="N2785" i="24"/>
  <c r="N2758" i="24"/>
  <c r="N2750" i="24"/>
  <c r="N2700" i="24"/>
  <c r="N2698" i="24"/>
  <c r="N2673" i="24"/>
  <c r="N2671" i="24"/>
  <c r="N2669" i="24"/>
  <c r="N3095" i="24"/>
  <c r="N3078" i="24"/>
  <c r="N3061" i="24"/>
  <c r="N2965" i="24"/>
  <c r="N2962" i="24"/>
  <c r="N2960" i="24"/>
  <c r="N2958" i="24"/>
  <c r="N2956" i="24"/>
  <c r="N2954" i="24"/>
  <c r="N2952" i="24"/>
  <c r="N2950" i="24"/>
  <c r="N2947" i="24"/>
  <c r="N2945" i="24"/>
  <c r="N2755" i="24"/>
  <c r="N2747" i="24"/>
  <c r="N2726" i="24"/>
  <c r="N2724" i="24"/>
  <c r="N2721" i="24"/>
  <c r="N2719" i="24"/>
  <c r="N2717" i="24"/>
  <c r="N2715" i="24"/>
  <c r="N2713" i="24"/>
  <c r="N2711" i="24"/>
  <c r="N2708" i="24"/>
  <c r="N2706" i="24"/>
  <c r="N2704" i="24"/>
  <c r="N2702" i="24"/>
  <c r="N2660" i="24"/>
  <c r="N2658" i="24"/>
  <c r="N2656" i="24"/>
  <c r="N2654" i="24"/>
  <c r="N2652" i="24"/>
  <c r="N2649" i="24"/>
  <c r="N2647" i="24"/>
  <c r="N2645" i="24"/>
  <c r="N2643" i="24"/>
  <c r="N3097" i="24"/>
  <c r="N3080" i="24"/>
  <c r="N3064" i="24"/>
  <c r="N2967" i="24"/>
  <c r="N3131" i="24"/>
  <c r="N3099" i="24"/>
  <c r="N3082" i="24"/>
  <c r="N3066" i="24"/>
  <c r="N2927" i="24"/>
  <c r="N2925" i="24"/>
  <c r="N2923" i="24"/>
  <c r="N2921" i="24"/>
  <c r="N2919" i="24"/>
  <c r="N2917" i="24"/>
  <c r="N2914" i="24"/>
  <c r="N2906" i="24"/>
  <c r="N2898" i="24"/>
  <c r="N2890" i="24"/>
  <c r="N2882" i="24"/>
  <c r="N2874" i="24"/>
  <c r="N2866" i="24"/>
  <c r="N2857" i="24"/>
  <c r="N2849" i="24"/>
  <c r="N2840" i="24"/>
  <c r="N2832" i="24"/>
  <c r="N2824" i="24"/>
  <c r="N2816" i="24"/>
  <c r="N2808" i="24"/>
  <c r="N2800" i="24"/>
  <c r="N2792" i="24"/>
  <c r="N2784" i="24"/>
  <c r="N2757" i="24"/>
  <c r="N2749" i="24"/>
  <c r="N3101" i="24"/>
  <c r="N3084" i="24"/>
  <c r="N3068" i="24"/>
  <c r="N2942" i="24"/>
  <c r="N2940" i="24"/>
  <c r="N2938" i="24"/>
  <c r="N2936" i="24"/>
  <c r="N2934" i="24"/>
  <c r="N2931" i="24"/>
  <c r="N2929" i="24"/>
  <c r="N2911" i="24"/>
  <c r="N2903" i="24"/>
  <c r="N2895" i="24"/>
  <c r="N2887" i="24"/>
  <c r="N2879" i="24"/>
  <c r="N2871" i="24"/>
  <c r="N2863" i="24"/>
  <c r="N2854" i="24"/>
  <c r="N2846" i="24"/>
  <c r="N2837" i="24"/>
  <c r="N2829" i="24"/>
  <c r="N2821" i="24"/>
  <c r="N2813" i="24"/>
  <c r="N2805" i="24"/>
  <c r="N2797" i="24"/>
  <c r="N2789" i="24"/>
  <c r="N2781" i="24"/>
  <c r="N2778" i="24"/>
  <c r="N2769" i="24"/>
  <c r="N2766" i="24"/>
  <c r="N2754" i="24"/>
  <c r="N2746" i="24"/>
  <c r="N2699" i="24"/>
  <c r="N2674" i="24"/>
  <c r="N2672" i="24"/>
  <c r="N2670" i="24"/>
  <c r="N3103" i="24"/>
  <c r="N3086" i="24"/>
  <c r="N3070" i="24"/>
  <c r="N2966" i="24"/>
  <c r="N2964" i="24"/>
  <c r="N2961" i="24"/>
  <c r="N2959" i="24"/>
  <c r="N2957" i="24"/>
  <c r="N2955" i="24"/>
  <c r="N2953" i="24"/>
  <c r="N2951" i="24"/>
  <c r="N2949" i="24"/>
  <c r="N2946" i="24"/>
  <c r="N2944" i="24"/>
  <c r="N2908" i="24"/>
  <c r="N2900" i="24"/>
  <c r="N2892" i="24"/>
  <c r="N2884" i="24"/>
  <c r="N2876" i="24"/>
  <c r="N2868" i="24"/>
  <c r="N2859" i="24"/>
  <c r="N2851" i="24"/>
  <c r="N2843" i="24"/>
  <c r="N2834" i="24"/>
  <c r="N2826" i="24"/>
  <c r="N2818" i="24"/>
  <c r="N2810" i="24"/>
  <c r="N2802" i="24"/>
  <c r="N2794" i="24"/>
  <c r="N2786" i="24"/>
  <c r="N2759" i="24"/>
  <c r="N2751" i="24"/>
  <c r="N2735" i="24"/>
  <c r="N2725" i="24"/>
  <c r="N2722" i="24"/>
  <c r="N2720" i="24"/>
  <c r="N2718" i="24"/>
  <c r="N2716" i="24"/>
  <c r="N2714" i="24"/>
  <c r="N2712" i="24"/>
  <c r="N2709" i="24"/>
  <c r="N2707" i="24"/>
  <c r="N2705" i="24"/>
  <c r="N2703" i="24"/>
  <c r="N2676" i="24"/>
  <c r="N2661" i="24"/>
  <c r="N2659" i="24"/>
  <c r="N2657" i="24"/>
  <c r="N2655" i="24"/>
  <c r="N2653" i="24"/>
  <c r="N2650" i="24"/>
  <c r="N2648" i="24"/>
  <c r="N2646" i="24"/>
  <c r="N2644" i="24"/>
  <c r="N1760" i="24"/>
  <c r="N1758" i="24"/>
  <c r="N1756" i="24"/>
  <c r="N1754" i="24"/>
  <c r="N1752" i="24"/>
  <c r="N1750" i="24"/>
  <c r="N2270" i="24"/>
  <c r="N2054" i="24"/>
  <c r="N2037" i="24"/>
  <c r="N2020" i="24"/>
  <c r="N1573" i="24"/>
  <c r="N2679" i="24"/>
  <c r="N2258" i="24"/>
  <c r="N2130" i="24"/>
  <c r="N2128" i="24"/>
  <c r="N2126" i="24"/>
  <c r="N2124" i="24"/>
  <c r="N2122" i="24"/>
  <c r="N2120" i="24"/>
  <c r="N2118" i="24"/>
  <c r="N2116" i="24"/>
  <c r="N2114" i="24"/>
  <c r="N2078" i="24"/>
  <c r="N2076" i="24"/>
  <c r="N2074" i="24"/>
  <c r="N2072" i="24"/>
  <c r="N2070" i="24"/>
  <c r="N2068" i="24"/>
  <c r="N2058" i="24"/>
  <c r="N2041" i="24"/>
  <c r="N2024" i="24"/>
  <c r="N2681" i="24"/>
  <c r="N2012" i="24"/>
  <c r="N1759" i="24"/>
  <c r="N1757" i="24"/>
  <c r="N1755" i="24"/>
  <c r="N1753" i="24"/>
  <c r="N1751" i="24"/>
  <c r="N1749" i="24"/>
  <c r="N2683" i="24"/>
  <c r="N2262" i="24"/>
  <c r="N1615" i="24"/>
  <c r="N1613" i="24"/>
  <c r="N1611" i="24"/>
  <c r="N1609" i="24"/>
  <c r="N1607" i="24"/>
  <c r="N1605" i="24"/>
  <c r="N1603" i="24"/>
  <c r="N1601" i="24"/>
  <c r="N1599" i="24"/>
  <c r="N1596" i="24"/>
  <c r="N2266" i="24"/>
  <c r="N2131" i="24"/>
  <c r="N2129" i="24"/>
  <c r="N2127" i="24"/>
  <c r="N2125" i="24"/>
  <c r="N2123" i="24"/>
  <c r="N2121" i="24"/>
  <c r="N2119" i="24"/>
  <c r="N2117" i="24"/>
  <c r="N2115" i="24"/>
  <c r="N2079" i="24"/>
  <c r="N2077" i="24"/>
  <c r="N2075" i="24"/>
  <c r="N2073" i="24"/>
  <c r="N2071" i="24"/>
  <c r="N2069" i="24"/>
  <c r="N2067" i="24"/>
  <c r="N2050" i="24"/>
  <c r="N2033" i="24"/>
  <c r="N2016" i="24"/>
  <c r="N1574" i="24"/>
  <c r="N138" i="24"/>
  <c r="N146" i="24"/>
  <c r="N162" i="24"/>
  <c r="N164" i="24"/>
  <c r="N166" i="24"/>
  <c r="N168" i="24"/>
  <c r="N170" i="24"/>
  <c r="N172" i="24"/>
  <c r="N174" i="24"/>
  <c r="N177" i="24"/>
  <c r="N179" i="24"/>
  <c r="N181" i="24"/>
  <c r="N183" i="24"/>
  <c r="N185" i="24"/>
  <c r="N187" i="24"/>
  <c r="N189" i="24"/>
  <c r="N192" i="24"/>
  <c r="N194" i="24"/>
  <c r="N196" i="24"/>
  <c r="N198" i="24"/>
  <c r="N200" i="24"/>
  <c r="N202" i="24"/>
  <c r="N256" i="24"/>
  <c r="N259" i="24"/>
  <c r="N262" i="24"/>
  <c r="N356" i="24"/>
  <c r="N371" i="24"/>
  <c r="N381" i="24"/>
  <c r="N388" i="24"/>
  <c r="N405" i="24"/>
  <c r="N425" i="24"/>
  <c r="N443" i="24"/>
  <c r="N460" i="24"/>
  <c r="N477" i="24"/>
  <c r="N494" i="24"/>
  <c r="N511" i="24"/>
  <c r="N558" i="24"/>
  <c r="N575" i="24"/>
  <c r="N599" i="24"/>
  <c r="N619" i="24"/>
  <c r="N714" i="24"/>
  <c r="N729" i="24"/>
  <c r="N742" i="24"/>
  <c r="N764" i="24"/>
  <c r="N774" i="24"/>
  <c r="N782" i="24"/>
  <c r="N799" i="24"/>
  <c r="N807" i="24"/>
  <c r="N816" i="24"/>
  <c r="N825" i="24"/>
  <c r="N833" i="24"/>
  <c r="N842" i="24"/>
  <c r="N857" i="24"/>
  <c r="N865" i="24"/>
  <c r="N882" i="24"/>
  <c r="N899" i="24"/>
  <c r="N916" i="24"/>
  <c r="N933" i="24"/>
  <c r="N950" i="24"/>
  <c r="N984" i="24"/>
  <c r="N1002" i="24"/>
  <c r="N1041" i="24"/>
  <c r="N1056" i="24"/>
  <c r="N1069" i="24"/>
  <c r="N1125" i="24"/>
  <c r="N1151" i="24"/>
  <c r="N1170" i="24"/>
  <c r="N1178" i="24"/>
  <c r="N1187" i="24"/>
  <c r="N1195" i="24"/>
  <c r="N1204" i="24"/>
  <c r="N1213" i="24"/>
  <c r="N1221" i="24"/>
  <c r="N1230" i="24"/>
  <c r="N1238" i="24"/>
  <c r="N1247" i="24"/>
  <c r="N1256" i="24"/>
  <c r="N1273" i="24"/>
  <c r="N1508" i="24"/>
  <c r="N1517" i="24"/>
  <c r="N1598" i="24"/>
  <c r="N1606" i="24"/>
  <c r="N1614" i="24"/>
  <c r="N1623" i="24"/>
  <c r="N1631" i="24"/>
  <c r="N1639" i="24"/>
  <c r="N1647" i="24"/>
  <c r="N2018" i="24"/>
  <c r="N2026" i="24"/>
  <c r="N2035" i="24"/>
  <c r="N2043" i="24"/>
  <c r="N2052" i="24"/>
  <c r="N2060" i="24"/>
  <c r="N320" i="24"/>
  <c r="N324" i="24"/>
  <c r="N339" i="24"/>
  <c r="N347" i="24"/>
  <c r="N354" i="24"/>
  <c r="N364" i="24"/>
  <c r="N369" i="24"/>
  <c r="N379" i="24"/>
  <c r="N386" i="24"/>
  <c r="N403" i="24"/>
  <c r="N423" i="24"/>
  <c r="N440" i="24"/>
  <c r="N458" i="24"/>
  <c r="N475" i="24"/>
  <c r="N492" i="24"/>
  <c r="N509" i="24"/>
  <c r="N527" i="24"/>
  <c r="N556" i="24"/>
  <c r="N573" i="24"/>
  <c r="N617" i="24"/>
  <c r="N712" i="24"/>
  <c r="N727" i="24"/>
  <c r="N740" i="24"/>
  <c r="N762" i="24"/>
  <c r="N772" i="24"/>
  <c r="N779" i="24"/>
  <c r="N785" i="24"/>
  <c r="N793" i="24"/>
  <c r="N802" i="24"/>
  <c r="N811" i="24"/>
  <c r="N819" i="24"/>
  <c r="N828" i="24"/>
  <c r="N837" i="24"/>
  <c r="N855" i="24"/>
  <c r="N862" i="24"/>
  <c r="N879" i="24"/>
  <c r="N897" i="24"/>
  <c r="N914" i="24"/>
  <c r="N931" i="24"/>
  <c r="N948" i="24"/>
  <c r="N982" i="24"/>
  <c r="N999" i="24"/>
  <c r="N1018" i="24"/>
  <c r="N1054" i="24"/>
  <c r="N1091" i="24"/>
  <c r="N1120" i="24"/>
  <c r="N1129" i="24"/>
  <c r="N1149" i="24"/>
  <c r="N1173" i="24"/>
  <c r="N1181" i="24"/>
  <c r="N1190" i="24"/>
  <c r="N1199" i="24"/>
  <c r="N1207" i="24"/>
  <c r="N1216" i="24"/>
  <c r="N1224" i="24"/>
  <c r="N1233" i="24"/>
  <c r="N1242" i="24"/>
  <c r="N1259" i="24"/>
  <c r="N1268" i="24"/>
  <c r="N1276" i="24"/>
  <c r="N1503" i="24"/>
  <c r="N1511" i="24"/>
  <c r="N1520" i="24"/>
  <c r="N1528" i="24"/>
  <c r="N1546" i="24"/>
  <c r="N1554" i="24"/>
  <c r="N1563" i="24"/>
  <c r="N1571" i="24"/>
  <c r="N2246" i="24"/>
  <c r="N1577" i="24"/>
  <c r="N1585" i="24"/>
  <c r="N1593" i="24"/>
  <c r="N2023" i="24"/>
  <c r="N2040" i="24"/>
  <c r="N2057" i="24"/>
  <c r="N2257" i="24"/>
  <c r="N2277" i="24"/>
  <c r="N2285" i="24"/>
  <c r="N2293" i="24"/>
  <c r="N2301" i="24"/>
  <c r="N2310" i="24"/>
  <c r="N2318" i="24"/>
  <c r="N2326" i="24"/>
  <c r="N2334" i="24"/>
  <c r="N2343" i="24"/>
  <c r="N2351" i="24"/>
  <c r="N2359" i="24"/>
  <c r="N2367" i="24"/>
  <c r="N2376" i="24"/>
  <c r="N2384" i="24"/>
  <c r="N2392" i="24"/>
  <c r="N2400" i="24"/>
  <c r="N2409" i="24"/>
  <c r="N2417" i="24"/>
  <c r="N2425" i="24"/>
  <c r="N2433" i="24"/>
  <c r="N2442" i="24"/>
  <c r="N2450" i="24"/>
  <c r="N2458" i="24"/>
  <c r="N2466" i="24"/>
  <c r="N2475" i="24"/>
  <c r="N2483" i="24"/>
  <c r="N2491" i="24"/>
  <c r="N2499" i="24"/>
  <c r="N2550" i="24"/>
  <c r="N2559" i="24"/>
  <c r="N2580" i="24"/>
  <c r="N2596" i="24"/>
  <c r="N2618" i="24"/>
  <c r="N2665" i="24"/>
  <c r="N2694" i="24"/>
  <c r="N2743" i="24"/>
  <c r="N2752" i="24"/>
  <c r="N2760" i="24"/>
  <c r="N2765" i="24"/>
  <c r="N2773" i="24"/>
  <c r="N2777" i="24"/>
  <c r="N1580" i="24"/>
  <c r="N1588" i="24"/>
  <c r="N2021" i="24"/>
  <c r="N2038" i="24"/>
  <c r="N2055" i="24"/>
  <c r="N2271" i="24"/>
  <c r="N2280" i="24"/>
  <c r="N2288" i="24"/>
  <c r="N2296" i="24"/>
  <c r="N2304" i="24"/>
  <c r="N2313" i="24"/>
  <c r="N2321" i="24"/>
  <c r="N2329" i="24"/>
  <c r="N2337" i="24"/>
  <c r="N2346" i="24"/>
  <c r="N2354" i="24"/>
  <c r="N2362" i="24"/>
  <c r="N2370" i="24"/>
  <c r="N2379" i="24"/>
  <c r="N2387" i="24"/>
  <c r="N2395" i="24"/>
  <c r="N2403" i="24"/>
  <c r="N2412" i="24"/>
  <c r="N2420" i="24"/>
  <c r="N2428" i="24"/>
  <c r="N2436" i="24"/>
  <c r="N2445" i="24"/>
  <c r="N2453" i="24"/>
  <c r="N2461" i="24"/>
  <c r="N2469" i="24"/>
  <c r="N2478" i="24"/>
  <c r="N2486" i="24"/>
  <c r="N2494" i="24"/>
  <c r="N2502" i="24"/>
  <c r="N2547" i="24"/>
  <c r="N2568" i="24"/>
  <c r="N2588" i="24"/>
  <c r="N2610" i="24"/>
  <c r="N2631" i="24"/>
  <c r="N2916" i="24"/>
  <c r="N2924" i="24"/>
  <c r="N2976" i="24"/>
  <c r="N2984" i="24"/>
  <c r="N2993" i="24"/>
  <c r="N3002" i="24"/>
  <c r="N3010" i="24"/>
  <c r="N3019" i="24"/>
  <c r="N3028" i="24"/>
  <c r="N3036" i="24"/>
  <c r="N3045" i="24"/>
  <c r="N3053" i="24"/>
  <c r="N1583" i="24"/>
  <c r="N1591" i="24"/>
  <c r="N2019" i="24"/>
  <c r="N2036" i="24"/>
  <c r="N2053" i="24"/>
  <c r="N2269" i="24"/>
  <c r="N2275" i="24"/>
  <c r="N2283" i="24"/>
  <c r="N2291" i="24"/>
  <c r="N2299" i="24"/>
  <c r="N2308" i="24"/>
  <c r="N2316" i="24"/>
  <c r="N2324" i="24"/>
  <c r="N2332" i="24"/>
  <c r="N2341" i="24"/>
  <c r="N2349" i="24"/>
  <c r="N2357" i="24"/>
  <c r="N2365" i="24"/>
  <c r="N2374" i="24"/>
  <c r="N2382" i="24"/>
  <c r="N2390" i="24"/>
  <c r="N2398" i="24"/>
  <c r="N2407" i="24"/>
  <c r="N2415" i="24"/>
  <c r="N2423" i="24"/>
  <c r="N2431" i="24"/>
  <c r="N2440" i="24"/>
  <c r="N2448" i="24"/>
  <c r="N2456" i="24"/>
  <c r="N2464" i="24"/>
  <c r="N2473" i="24"/>
  <c r="N2481" i="24"/>
  <c r="N2489" i="24"/>
  <c r="N2497" i="24"/>
  <c r="N2551" i="24"/>
  <c r="N2556" i="24"/>
  <c r="N2597" i="24"/>
  <c r="N2619" i="24"/>
  <c r="N2745" i="24"/>
  <c r="N2753" i="24"/>
  <c r="N2762" i="24"/>
  <c r="N2770" i="24"/>
  <c r="N2782" i="24"/>
  <c r="N2790" i="24"/>
  <c r="N2798" i="24"/>
  <c r="N2806" i="24"/>
  <c r="N2814" i="24"/>
  <c r="N2822" i="24"/>
  <c r="N2830" i="24"/>
  <c r="N2838" i="24"/>
  <c r="N2847" i="24"/>
  <c r="N2855" i="24"/>
  <c r="N2864" i="24"/>
  <c r="N2872" i="24"/>
  <c r="N2880" i="24"/>
  <c r="N2888" i="24"/>
  <c r="N2896" i="24"/>
  <c r="N2904" i="24"/>
  <c r="N2912" i="24"/>
  <c r="N1578" i="24"/>
  <c r="N1586" i="24"/>
  <c r="N1594" i="24"/>
  <c r="N2017" i="24"/>
  <c r="N2034" i="24"/>
  <c r="N2051" i="24"/>
  <c r="N2267" i="24"/>
  <c r="N2278" i="24"/>
  <c r="N2286" i="24"/>
  <c r="N2294" i="24"/>
  <c r="N2302" i="24"/>
  <c r="N2311" i="24"/>
  <c r="N2319" i="24"/>
  <c r="N2327" i="24"/>
  <c r="N2335" i="24"/>
  <c r="N2344" i="24"/>
  <c r="N2352" i="24"/>
  <c r="N2360" i="24"/>
  <c r="N2368" i="24"/>
  <c r="N2377" i="24"/>
  <c r="N2385" i="24"/>
  <c r="N2393" i="24"/>
  <c r="N2401" i="24"/>
  <c r="N2410" i="24"/>
  <c r="N2418" i="24"/>
  <c r="N2426" i="24"/>
  <c r="N2434" i="24"/>
  <c r="N2443" i="24"/>
  <c r="N2451" i="24"/>
  <c r="N2459" i="24"/>
  <c r="N2467" i="24"/>
  <c r="N2476" i="24"/>
  <c r="N2484" i="24"/>
  <c r="N2492" i="24"/>
  <c r="N2500" i="24"/>
  <c r="N2544" i="24"/>
  <c r="N2922" i="24"/>
  <c r="N2971" i="24"/>
  <c r="N2982" i="24"/>
  <c r="N2991" i="24"/>
  <c r="N3000" i="24"/>
  <c r="N3008" i="24"/>
  <c r="N3017" i="24"/>
  <c r="N3026" i="24"/>
  <c r="N3034" i="24"/>
  <c r="N3043" i="24"/>
  <c r="N3051" i="24"/>
  <c r="N1581" i="24"/>
  <c r="N1589" i="24"/>
  <c r="N2015" i="24"/>
  <c r="N2032" i="24"/>
  <c r="N2049" i="24"/>
  <c r="N2247" i="24"/>
  <c r="N2265" i="24"/>
  <c r="N2281" i="24"/>
  <c r="N2289" i="24"/>
  <c r="N2297" i="24"/>
  <c r="N2305" i="24"/>
  <c r="N2314" i="24"/>
  <c r="N2322" i="24"/>
  <c r="N2330" i="24"/>
  <c r="N2338" i="24"/>
  <c r="N2347" i="24"/>
  <c r="N2355" i="24"/>
  <c r="N2363" i="24"/>
  <c r="N2371" i="24"/>
  <c r="N2380" i="24"/>
  <c r="N2388" i="24"/>
  <c r="N2396" i="24"/>
  <c r="N2404" i="24"/>
  <c r="N2413" i="24"/>
  <c r="N2421" i="24"/>
  <c r="N2429" i="24"/>
  <c r="N2437" i="24"/>
  <c r="N2446" i="24"/>
  <c r="N2454" i="24"/>
  <c r="N2462" i="24"/>
  <c r="N2470" i="24"/>
  <c r="N2479" i="24"/>
  <c r="N2487" i="24"/>
  <c r="N2495" i="24"/>
  <c r="N2503" i="24"/>
  <c r="N2553" i="24"/>
  <c r="N2578" i="24"/>
  <c r="N2624" i="24"/>
  <c r="N2737" i="24"/>
  <c r="N2787" i="24"/>
  <c r="N2795" i="24"/>
  <c r="N2803" i="24"/>
  <c r="N2811" i="24"/>
  <c r="N2819" i="24"/>
  <c r="N2827" i="24"/>
  <c r="N2835" i="24"/>
  <c r="N2844" i="24"/>
  <c r="N2852" i="24"/>
  <c r="N2861" i="24"/>
  <c r="N2869" i="24"/>
  <c r="N2877" i="24"/>
  <c r="N2885" i="24"/>
  <c r="N2893" i="24"/>
  <c r="N2901" i="24"/>
  <c r="N2909" i="24"/>
  <c r="N1576" i="24"/>
  <c r="N1584" i="24"/>
  <c r="N1592" i="24"/>
  <c r="N2030" i="24"/>
  <c r="N2047" i="24"/>
  <c r="N2064" i="24"/>
  <c r="N2245" i="24"/>
  <c r="N2263" i="24"/>
  <c r="N2276" i="24"/>
  <c r="N2284" i="24"/>
  <c r="N2292" i="24"/>
  <c r="N2300" i="24"/>
  <c r="N2309" i="24"/>
  <c r="N2317" i="24"/>
  <c r="N2325" i="24"/>
  <c r="N2333" i="24"/>
  <c r="N2342" i="24"/>
  <c r="N2350" i="24"/>
  <c r="N2358" i="24"/>
  <c r="N2366" i="24"/>
  <c r="N2375" i="24"/>
  <c r="N2383" i="24"/>
  <c r="N2391" i="24"/>
  <c r="N2399" i="24"/>
  <c r="N2408" i="24"/>
  <c r="N2416" i="24"/>
  <c r="N2424" i="24"/>
  <c r="N2432" i="24"/>
  <c r="N2441" i="24"/>
  <c r="N2449" i="24"/>
  <c r="N2457" i="24"/>
  <c r="N2465" i="24"/>
  <c r="N2474" i="24"/>
  <c r="N2482" i="24"/>
  <c r="N2490" i="24"/>
  <c r="N2498" i="24"/>
  <c r="N2566" i="24"/>
  <c r="N2571" i="24"/>
  <c r="N2575" i="24"/>
  <c r="N2586" i="24"/>
  <c r="N2612" i="24"/>
  <c r="N2633" i="24"/>
  <c r="N2685" i="24"/>
  <c r="N2920" i="24"/>
  <c r="N2969" i="24"/>
  <c r="N2980" i="24"/>
  <c r="N2989" i="24"/>
  <c r="N2998" i="24"/>
  <c r="N3006" i="24"/>
  <c r="N3015" i="24"/>
  <c r="N3023" i="24"/>
  <c r="N3032" i="24"/>
  <c r="N3041" i="24"/>
  <c r="N3049" i="24"/>
  <c r="N1579" i="24"/>
  <c r="N1587" i="24"/>
  <c r="N1595" i="24"/>
  <c r="N2027" i="24"/>
  <c r="N2044" i="24"/>
  <c r="N2061" i="24"/>
  <c r="N2243" i="24"/>
  <c r="N2261" i="24"/>
  <c r="N2279" i="24"/>
  <c r="N2287" i="24"/>
  <c r="N2295" i="24"/>
  <c r="N2303" i="24"/>
  <c r="N2312" i="24"/>
  <c r="N2320" i="24"/>
  <c r="N2328" i="24"/>
  <c r="N2336" i="24"/>
  <c r="N2345" i="24"/>
  <c r="N2353" i="24"/>
  <c r="N2361" i="24"/>
  <c r="N2369" i="24"/>
  <c r="N2378" i="24"/>
  <c r="N2386" i="24"/>
  <c r="N2394" i="24"/>
  <c r="N2402" i="24"/>
  <c r="N2411" i="24"/>
  <c r="N2419" i="24"/>
  <c r="N2427" i="24"/>
  <c r="N2435" i="24"/>
  <c r="N2444" i="24"/>
  <c r="N2452" i="24"/>
  <c r="N2460" i="24"/>
  <c r="N2468" i="24"/>
  <c r="N2477" i="24"/>
  <c r="N2485" i="24"/>
  <c r="N2493" i="24"/>
  <c r="N2501" i="24"/>
  <c r="N2563" i="24"/>
  <c r="N2579" i="24"/>
  <c r="N2583" i="24"/>
  <c r="N2595" i="24"/>
  <c r="N2617" i="24"/>
  <c r="N2621" i="24"/>
  <c r="N2625" i="24"/>
  <c r="N2641" i="24"/>
  <c r="N2663" i="24"/>
  <c r="N2682" i="24"/>
  <c r="N2764" i="24"/>
  <c r="N2768" i="24"/>
  <c r="N2776" i="24"/>
  <c r="N2780" i="24"/>
  <c r="N2788" i="24"/>
  <c r="N2796" i="24"/>
  <c r="N2804" i="24"/>
  <c r="N2812" i="24"/>
  <c r="N2820" i="24"/>
  <c r="N2828" i="24"/>
  <c r="N2836" i="24"/>
  <c r="N2845" i="24"/>
  <c r="N2853" i="24"/>
  <c r="N2862" i="24"/>
  <c r="N2870" i="24"/>
  <c r="N2878" i="24"/>
  <c r="N2886" i="24"/>
  <c r="N2894" i="24"/>
  <c r="N2902" i="24"/>
  <c r="N2910" i="24"/>
  <c r="N1539" i="24"/>
  <c r="N1582" i="24"/>
  <c r="N1590" i="24"/>
  <c r="N2025" i="24"/>
  <c r="N2042" i="24"/>
  <c r="N2059" i="24"/>
  <c r="N2241" i="24"/>
  <c r="N2259" i="24"/>
  <c r="N2282" i="24"/>
  <c r="N2290" i="24"/>
  <c r="N2298" i="24"/>
  <c r="N2306" i="24"/>
  <c r="N2315" i="24"/>
  <c r="N2323" i="24"/>
  <c r="N2331" i="24"/>
  <c r="N2339" i="24"/>
  <c r="N2348" i="24"/>
  <c r="N2356" i="24"/>
  <c r="N2364" i="24"/>
  <c r="N2372" i="24"/>
  <c r="N2381" i="24"/>
  <c r="N2389" i="24"/>
  <c r="N2397" i="24"/>
  <c r="N2405" i="24"/>
  <c r="N2414" i="24"/>
  <c r="N2422" i="24"/>
  <c r="N2430" i="24"/>
  <c r="N2438" i="24"/>
  <c r="N2447" i="24"/>
  <c r="N2455" i="24"/>
  <c r="N2463" i="24"/>
  <c r="N2471" i="24"/>
  <c r="N2480" i="24"/>
  <c r="N2488" i="24"/>
  <c r="N2496" i="24"/>
  <c r="N2504" i="24"/>
  <c r="N2567" i="24"/>
  <c r="N2572" i="24"/>
  <c r="N2587" i="24"/>
  <c r="N2592" i="24"/>
  <c r="N2609" i="24"/>
  <c r="N2613" i="24"/>
  <c r="N2630" i="24"/>
  <c r="N2638" i="24"/>
  <c r="N2680" i="24"/>
  <c r="N2918" i="24"/>
  <c r="N2926" i="24"/>
  <c r="N2978" i="24"/>
  <c r="N2987" i="24"/>
  <c r="N2995" i="24"/>
  <c r="N3004" i="24"/>
  <c r="N3012" i="24"/>
  <c r="N3021" i="24"/>
  <c r="N3030" i="24"/>
  <c r="N3039" i="24"/>
  <c r="N3047" i="24"/>
  <c r="N3108" i="24"/>
  <c r="N3117" i="24"/>
  <c r="N3125" i="24"/>
  <c r="N3140" i="24"/>
  <c r="N3148" i="24"/>
  <c r="N3157" i="24"/>
  <c r="N3166" i="24"/>
  <c r="N3174" i="24"/>
  <c r="N3183" i="24"/>
  <c r="N3191" i="24"/>
  <c r="N3199" i="24"/>
  <c r="N3207" i="24"/>
  <c r="N3111" i="24"/>
  <c r="N3120" i="24"/>
  <c r="N3128" i="24"/>
  <c r="N3135" i="24"/>
  <c r="N3143" i="24"/>
  <c r="N3152" i="24"/>
  <c r="N3160" i="24"/>
  <c r="N3169" i="24"/>
  <c r="N3178" i="24"/>
  <c r="N3186" i="24"/>
  <c r="N3194" i="24"/>
  <c r="N3202" i="24"/>
  <c r="N3114" i="24"/>
  <c r="N3123" i="24"/>
  <c r="N3138" i="24"/>
  <c r="N3146" i="24"/>
  <c r="N3155" i="24"/>
  <c r="N3164" i="24"/>
  <c r="N3172" i="24"/>
  <c r="N3181" i="24"/>
  <c r="N3189" i="24"/>
  <c r="N3197" i="24"/>
  <c r="N3205" i="24"/>
  <c r="N3109" i="24"/>
  <c r="N3118" i="24"/>
  <c r="N3126" i="24"/>
  <c r="N3141" i="24"/>
  <c r="N3149" i="24"/>
  <c r="N3158" i="24"/>
  <c r="N3167" i="24"/>
  <c r="N3175" i="24"/>
  <c r="N3184" i="24"/>
  <c r="N3192" i="24"/>
  <c r="N3200" i="24"/>
  <c r="N3208" i="24"/>
  <c r="N3112" i="24"/>
  <c r="N3121" i="24"/>
  <c r="N3129" i="24"/>
  <c r="N3136" i="24"/>
  <c r="N3144" i="24"/>
  <c r="N3153" i="24"/>
  <c r="N3161" i="24"/>
  <c r="N3170" i="24"/>
  <c r="N3179" i="24"/>
  <c r="N3187" i="24"/>
  <c r="N3195" i="24"/>
  <c r="N3203" i="24"/>
  <c r="N3107" i="24"/>
  <c r="N3116" i="24"/>
  <c r="N3124" i="24"/>
  <c r="N3139" i="24"/>
  <c r="N3147" i="24"/>
  <c r="N3156" i="24"/>
  <c r="N3165" i="24"/>
  <c r="N3173" i="24"/>
  <c r="N3182" i="24"/>
  <c r="N3190" i="24"/>
  <c r="N3198" i="24"/>
  <c r="N3206" i="24"/>
  <c r="N3110" i="24"/>
  <c r="N3119" i="24"/>
  <c r="N3127" i="24"/>
  <c r="N3142" i="24"/>
  <c r="N3151" i="24"/>
  <c r="N3159" i="24"/>
  <c r="N3168" i="24"/>
  <c r="N3176" i="24"/>
  <c r="N3185" i="24"/>
  <c r="N3193" i="24"/>
  <c r="N3201" i="24"/>
  <c r="N3113" i="24"/>
  <c r="N3122" i="24"/>
  <c r="N3137" i="24"/>
  <c r="N3145" i="24"/>
  <c r="N3154" i="24"/>
  <c r="N3162" i="24"/>
  <c r="N3171" i="24"/>
  <c r="N3180" i="24"/>
  <c r="N3188" i="24"/>
  <c r="N3196" i="24"/>
  <c r="N3204" i="24"/>
  <c r="N2640" i="27"/>
  <c r="N2667" i="27"/>
  <c r="N2665" i="27"/>
  <c r="N2631" i="27"/>
  <c r="N653" i="27"/>
  <c r="N662" i="27"/>
  <c r="N671" i="27"/>
  <c r="N688" i="27"/>
  <c r="N702" i="27"/>
  <c r="N709" i="27"/>
  <c r="N727" i="27"/>
  <c r="N744" i="27"/>
  <c r="N767" i="27"/>
  <c r="N854" i="27"/>
  <c r="N1059" i="27"/>
  <c r="N1503" i="27"/>
  <c r="N1511" i="27"/>
  <c r="N1520" i="27"/>
  <c r="N1528" i="27"/>
  <c r="N1537" i="27"/>
  <c r="N1546" i="27"/>
  <c r="N1554" i="27"/>
  <c r="N1563" i="27"/>
  <c r="N1571" i="27"/>
  <c r="N1601" i="27"/>
  <c r="N1609" i="27"/>
  <c r="N1750" i="27"/>
  <c r="N1758" i="27"/>
  <c r="N1998" i="27"/>
  <c r="N2006" i="27"/>
  <c r="N2649" i="27"/>
  <c r="N2658" i="27"/>
  <c r="N2679" i="27"/>
  <c r="N2709" i="27"/>
  <c r="N2718" i="27"/>
  <c r="N2735" i="27"/>
  <c r="N2745" i="27"/>
  <c r="N2753" i="27"/>
  <c r="N2762" i="27"/>
  <c r="N2770" i="27"/>
  <c r="N2782" i="27"/>
  <c r="N2790" i="27"/>
  <c r="N2798" i="27"/>
  <c r="N2806" i="27"/>
  <c r="N2814" i="27"/>
  <c r="N2822" i="27"/>
  <c r="N2830" i="27"/>
  <c r="N2838" i="27"/>
  <c r="N2847" i="27"/>
  <c r="N2855" i="27"/>
  <c r="N2864" i="27"/>
  <c r="N2872" i="27"/>
  <c r="N2880" i="27"/>
  <c r="N2888" i="27"/>
  <c r="N2896" i="27"/>
  <c r="N2904" i="27"/>
  <c r="N2912" i="27"/>
  <c r="N2947" i="27"/>
  <c r="N2956" i="27"/>
  <c r="N2965" i="27"/>
  <c r="N2968" i="27"/>
  <c r="N2979" i="27"/>
  <c r="N2988" i="27"/>
  <c r="N2996" i="27"/>
  <c r="N3005" i="27"/>
  <c r="N3013" i="27"/>
  <c r="N3022" i="27"/>
  <c r="N3031" i="27"/>
  <c r="N3040" i="27"/>
  <c r="N3048" i="27"/>
  <c r="N3136" i="27"/>
  <c r="N3144" i="27"/>
  <c r="N3153" i="27"/>
  <c r="N3161" i="27"/>
  <c r="N3170" i="27"/>
  <c r="N2248" i="27"/>
  <c r="N2246" i="27"/>
  <c r="N2244" i="27"/>
  <c r="N2242" i="27"/>
  <c r="N2240" i="27"/>
  <c r="N2238" i="27"/>
  <c r="N2236" i="27"/>
  <c r="N2234" i="27"/>
  <c r="N2232" i="27"/>
  <c r="N3196" i="27"/>
  <c r="N3180" i="27"/>
  <c r="N3198" i="27"/>
  <c r="N3182" i="27"/>
  <c r="N2247" i="27"/>
  <c r="N2245" i="27"/>
  <c r="N2243" i="27"/>
  <c r="N2241" i="27"/>
  <c r="N2239" i="27"/>
  <c r="N2237" i="27"/>
  <c r="N2235" i="27"/>
  <c r="N2233" i="27"/>
  <c r="N3204" i="27"/>
  <c r="N3188" i="27"/>
  <c r="N497" i="27"/>
  <c r="N515" i="27"/>
  <c r="N545" i="27"/>
  <c r="N565" i="27"/>
  <c r="N588" i="27"/>
  <c r="N624" i="27"/>
  <c r="N639" i="27"/>
  <c r="N657" i="27"/>
  <c r="N665" i="27"/>
  <c r="N674" i="27"/>
  <c r="N683" i="27"/>
  <c r="N764" i="27"/>
  <c r="N770" i="27"/>
  <c r="N778" i="27"/>
  <c r="N796" i="27"/>
  <c r="N804" i="27"/>
  <c r="N813" i="27"/>
  <c r="N821" i="27"/>
  <c r="N830" i="27"/>
  <c r="N839" i="27"/>
  <c r="N862" i="27"/>
  <c r="N871" i="27"/>
  <c r="N879" i="27"/>
  <c r="N888" i="27"/>
  <c r="N897" i="27"/>
  <c r="N905" i="27"/>
  <c r="N914" i="27"/>
  <c r="N922" i="27"/>
  <c r="N931" i="27"/>
  <c r="N965" i="27"/>
  <c r="N1048" i="27"/>
  <c r="N1056" i="27"/>
  <c r="N1147" i="27"/>
  <c r="N1156" i="27"/>
  <c r="N2627" i="27"/>
  <c r="N2616" i="27"/>
  <c r="N2606" i="27"/>
  <c r="N2594" i="27"/>
  <c r="N2585" i="27"/>
  <c r="N2577" i="27"/>
  <c r="N2565" i="27"/>
  <c r="N2549" i="27"/>
  <c r="N1280" i="27"/>
  <c r="N1278" i="27"/>
  <c r="N1276" i="27"/>
  <c r="N1274" i="27"/>
  <c r="N1272" i="27"/>
  <c r="N1270" i="27"/>
  <c r="N1268" i="27"/>
  <c r="N1265" i="27"/>
  <c r="N1260" i="27"/>
  <c r="N1258" i="27"/>
  <c r="N1256" i="27"/>
  <c r="N1254" i="27"/>
  <c r="N1251" i="27"/>
  <c r="N2603" i="27"/>
  <c r="N2605" i="27"/>
  <c r="N2741" i="27"/>
  <c r="N2623" i="27"/>
  <c r="N2620" i="27"/>
  <c r="N2611" i="27"/>
  <c r="N2602" i="27"/>
  <c r="N2598" i="27"/>
  <c r="N2589" i="27"/>
  <c r="N2581" i="27"/>
  <c r="N2573" i="27"/>
  <c r="N2557" i="27"/>
  <c r="N2554" i="27"/>
  <c r="N2545" i="27"/>
  <c r="N1539" i="27"/>
  <c r="N2607" i="27"/>
  <c r="N2743" i="27"/>
  <c r="N2737" i="27"/>
  <c r="N2604" i="27"/>
  <c r="N2740" i="27"/>
  <c r="N2619" i="27"/>
  <c r="N2610" i="27"/>
  <c r="N2597" i="27"/>
  <c r="N2588" i="27"/>
  <c r="N2580" i="27"/>
  <c r="N2572" i="27"/>
  <c r="N2568" i="27"/>
  <c r="N2556" i="27"/>
  <c r="N2553" i="27"/>
  <c r="N2544" i="27"/>
  <c r="N1536" i="27"/>
  <c r="N1534" i="27"/>
  <c r="N1532" i="27"/>
  <c r="N1266" i="27"/>
  <c r="N1162" i="27"/>
  <c r="N1145" i="27"/>
  <c r="N1061" i="27"/>
  <c r="N1036" i="27"/>
  <c r="N1020" i="27"/>
  <c r="N1016" i="27"/>
  <c r="N961" i="27"/>
  <c r="N958" i="27"/>
  <c r="N956" i="27"/>
  <c r="N954" i="27"/>
  <c r="N1269" i="27"/>
  <c r="N1129" i="27"/>
  <c r="N1126" i="27"/>
  <c r="N1116" i="27"/>
  <c r="N1271" i="27"/>
  <c r="N1149" i="27"/>
  <c r="N1065" i="27"/>
  <c r="N1055" i="27"/>
  <c r="N1053" i="27"/>
  <c r="N1051" i="27"/>
  <c r="N1049" i="27"/>
  <c r="N1047" i="27"/>
  <c r="N1045" i="27"/>
  <c r="N1023" i="27"/>
  <c r="N1019" i="27"/>
  <c r="N1014" i="27"/>
  <c r="N1012" i="27"/>
  <c r="N1010" i="27"/>
  <c r="N1008" i="27"/>
  <c r="N1006" i="27"/>
  <c r="N1004" i="27"/>
  <c r="N1002" i="27"/>
  <c r="N999" i="27"/>
  <c r="N997" i="27"/>
  <c r="N995" i="27"/>
  <c r="N993" i="27"/>
  <c r="N991" i="27"/>
  <c r="N989" i="27"/>
  <c r="N986" i="27"/>
  <c r="N984" i="27"/>
  <c r="N982" i="27"/>
  <c r="N980" i="27"/>
  <c r="N978" i="27"/>
  <c r="N976" i="27"/>
  <c r="N974" i="27"/>
  <c r="N971" i="27"/>
  <c r="N969" i="27"/>
  <c r="N842" i="27"/>
  <c r="N840" i="27"/>
  <c r="N838" i="27"/>
  <c r="N835" i="27"/>
  <c r="N833" i="27"/>
  <c r="N831" i="27"/>
  <c r="N829" i="27"/>
  <c r="N827" i="27"/>
  <c r="N825" i="27"/>
  <c r="N823" i="27"/>
  <c r="N820" i="27"/>
  <c r="N818" i="27"/>
  <c r="N816" i="27"/>
  <c r="N814" i="27"/>
  <c r="N812" i="27"/>
  <c r="N810" i="27"/>
  <c r="N807" i="27"/>
  <c r="N805" i="27"/>
  <c r="N803" i="27"/>
  <c r="N801" i="27"/>
  <c r="N799" i="27"/>
  <c r="N797" i="27"/>
  <c r="N795" i="27"/>
  <c r="N792" i="27"/>
  <c r="N787" i="27"/>
  <c r="N785" i="27"/>
  <c r="N1273" i="27"/>
  <c r="N1252" i="27"/>
  <c r="N1032" i="27"/>
  <c r="N857" i="27"/>
  <c r="N855" i="27"/>
  <c r="N853" i="27"/>
  <c r="N851" i="27"/>
  <c r="N848" i="27"/>
  <c r="N846" i="27"/>
  <c r="N768" i="27"/>
  <c r="N765" i="27"/>
  <c r="N763" i="27"/>
  <c r="N761" i="27"/>
  <c r="N759" i="27"/>
  <c r="N757" i="27"/>
  <c r="N755" i="27"/>
  <c r="N753" i="27"/>
  <c r="N750" i="27"/>
  <c r="N1275" i="27"/>
  <c r="N1255" i="27"/>
  <c r="N1153" i="27"/>
  <c r="N1133" i="27"/>
  <c r="N1041" i="27"/>
  <c r="N1022" i="27"/>
  <c r="N1018" i="27"/>
  <c r="N960" i="27"/>
  <c r="N957" i="27"/>
  <c r="N955" i="27"/>
  <c r="N953" i="27"/>
  <c r="N1277" i="27"/>
  <c r="N1257" i="27"/>
  <c r="N1128" i="27"/>
  <c r="N1125" i="27"/>
  <c r="N966" i="27"/>
  <c r="N964" i="27"/>
  <c r="N1279" i="27"/>
  <c r="N1259" i="27"/>
  <c r="N1021" i="27"/>
  <c r="N1017" i="27"/>
  <c r="N1013" i="27"/>
  <c r="N1011" i="27"/>
  <c r="N1009" i="27"/>
  <c r="N1007" i="27"/>
  <c r="N1005" i="27"/>
  <c r="N1003" i="27"/>
  <c r="N1000" i="27"/>
  <c r="N998" i="27"/>
  <c r="N996" i="27"/>
  <c r="N994" i="27"/>
  <c r="N992" i="27"/>
  <c r="N990" i="27"/>
  <c r="N988" i="27"/>
  <c r="N985" i="27"/>
  <c r="N983" i="27"/>
  <c r="N981" i="27"/>
  <c r="N979" i="27"/>
  <c r="N977" i="27"/>
  <c r="N975" i="27"/>
  <c r="N972" i="27"/>
  <c r="N970" i="27"/>
  <c r="N968" i="27"/>
  <c r="N20" i="27"/>
  <c r="N28" i="27"/>
  <c r="N33" i="27"/>
  <c r="N35" i="27"/>
  <c r="N37" i="27"/>
  <c r="N39" i="27"/>
  <c r="N41" i="27"/>
  <c r="N495" i="27"/>
  <c r="N513" i="27"/>
  <c r="N543" i="27"/>
  <c r="N563" i="27"/>
  <c r="N586" i="27"/>
  <c r="N622" i="27"/>
  <c r="N643" i="27"/>
  <c r="N660" i="27"/>
  <c r="N669" i="27"/>
  <c r="N686" i="27"/>
  <c r="N716" i="27"/>
  <c r="N725" i="27"/>
  <c r="N742" i="27"/>
  <c r="N747" i="27"/>
  <c r="N762" i="27"/>
  <c r="N773" i="27"/>
  <c r="N782" i="27"/>
  <c r="N849" i="27"/>
  <c r="N1030" i="27"/>
  <c r="N1034" i="27"/>
  <c r="N1038" i="27"/>
  <c r="N1150" i="27"/>
  <c r="N4" i="27"/>
  <c r="N6" i="27"/>
  <c r="N8" i="27"/>
  <c r="N17" i="27"/>
  <c r="N493" i="27"/>
  <c r="N510" i="27"/>
  <c r="N528" i="27"/>
  <c r="N561" i="27"/>
  <c r="N583" i="27"/>
  <c r="N620" i="27"/>
  <c r="N646" i="27"/>
  <c r="N655" i="27"/>
  <c r="N663" i="27"/>
  <c r="N672" i="27"/>
  <c r="N680" i="27"/>
  <c r="N689" i="27"/>
  <c r="N699" i="27"/>
  <c r="N711" i="27"/>
  <c r="N728" i="27"/>
  <c r="N736" i="27"/>
  <c r="N745" i="27"/>
  <c r="N760" i="27"/>
  <c r="N793" i="27"/>
  <c r="N802" i="27"/>
  <c r="N811" i="27"/>
  <c r="N819" i="27"/>
  <c r="N828" i="27"/>
  <c r="N837" i="27"/>
  <c r="N847" i="27"/>
  <c r="N963" i="27"/>
  <c r="N1046" i="27"/>
  <c r="N1054" i="27"/>
  <c r="N1122" i="27"/>
  <c r="N3132" i="27"/>
  <c r="N3104" i="27"/>
  <c r="N3102" i="27"/>
  <c r="N3100" i="27"/>
  <c r="N3098" i="27"/>
  <c r="N3096" i="27"/>
  <c r="N3094" i="27"/>
  <c r="N3092" i="27"/>
  <c r="N3089" i="27"/>
  <c r="N3087" i="27"/>
  <c r="N3085" i="27"/>
  <c r="N3083" i="27"/>
  <c r="N3081" i="27"/>
  <c r="N3079" i="27"/>
  <c r="N3077" i="27"/>
  <c r="N3075" i="27"/>
  <c r="N3073" i="27"/>
  <c r="N3071" i="27"/>
  <c r="N3069" i="27"/>
  <c r="N3067" i="27"/>
  <c r="N3065" i="27"/>
  <c r="N3063" i="27"/>
  <c r="N3060" i="27"/>
  <c r="N2942" i="27"/>
  <c r="N2940" i="27"/>
  <c r="N2938" i="27"/>
  <c r="N2936" i="27"/>
  <c r="N2934" i="27"/>
  <c r="N2931" i="27"/>
  <c r="N2929" i="27"/>
  <c r="N2911" i="27"/>
  <c r="N2903" i="27"/>
  <c r="N2895" i="27"/>
  <c r="N2887" i="27"/>
  <c r="N2879" i="27"/>
  <c r="N2871" i="27"/>
  <c r="N2863" i="27"/>
  <c r="N2854" i="27"/>
  <c r="N2846" i="27"/>
  <c r="N2837" i="27"/>
  <c r="N2829" i="27"/>
  <c r="N2821" i="27"/>
  <c r="N2813" i="27"/>
  <c r="N2805" i="27"/>
  <c r="N2797" i="27"/>
  <c r="N2789" i="27"/>
  <c r="N2781" i="27"/>
  <c r="N2778" i="27"/>
  <c r="N2769" i="27"/>
  <c r="N2766" i="27"/>
  <c r="N2754" i="27"/>
  <c r="N2746" i="27"/>
  <c r="N2699" i="27"/>
  <c r="N2685" i="27"/>
  <c r="N2673" i="27"/>
  <c r="N2671" i="27"/>
  <c r="N2669" i="27"/>
  <c r="N2270" i="27"/>
  <c r="N2268" i="27"/>
  <c r="N2266" i="27"/>
  <c r="N2264" i="27"/>
  <c r="N2262" i="27"/>
  <c r="N2260" i="27"/>
  <c r="N2258" i="27"/>
  <c r="N2256" i="27"/>
  <c r="N2130" i="27"/>
  <c r="N2128" i="27"/>
  <c r="N2126" i="27"/>
  <c r="N2124" i="27"/>
  <c r="N2122" i="27"/>
  <c r="N2120" i="27"/>
  <c r="N2118" i="27"/>
  <c r="N2116" i="27"/>
  <c r="N2114" i="27"/>
  <c r="N2078" i="27"/>
  <c r="N2076" i="27"/>
  <c r="N2074" i="27"/>
  <c r="N2072" i="27"/>
  <c r="N2070" i="27"/>
  <c r="N2068" i="27"/>
  <c r="N1595" i="27"/>
  <c r="N1593" i="27"/>
  <c r="N1591" i="27"/>
  <c r="N1589" i="27"/>
  <c r="N1587" i="27"/>
  <c r="N1585" i="27"/>
  <c r="N1583" i="27"/>
  <c r="N1581" i="27"/>
  <c r="N1579" i="27"/>
  <c r="N1577" i="27"/>
  <c r="N1575" i="27"/>
  <c r="N3129" i="27"/>
  <c r="N3127" i="27"/>
  <c r="N3125" i="27"/>
  <c r="N3123" i="27"/>
  <c r="N3121" i="27"/>
  <c r="N3119" i="27"/>
  <c r="N3117" i="27"/>
  <c r="N3114" i="27"/>
  <c r="N3112" i="27"/>
  <c r="N3110" i="27"/>
  <c r="N3108" i="27"/>
  <c r="N2966" i="27"/>
  <c r="N2964" i="27"/>
  <c r="N2961" i="27"/>
  <c r="N2959" i="27"/>
  <c r="N2957" i="27"/>
  <c r="N2955" i="27"/>
  <c r="N2953" i="27"/>
  <c r="N2951" i="27"/>
  <c r="N2949" i="27"/>
  <c r="N2946" i="27"/>
  <c r="N2944" i="27"/>
  <c r="N2908" i="27"/>
  <c r="N2900" i="27"/>
  <c r="N2892" i="27"/>
  <c r="N2884" i="27"/>
  <c r="N2876" i="27"/>
  <c r="N2868" i="27"/>
  <c r="N2859" i="27"/>
  <c r="N2851" i="27"/>
  <c r="N2843" i="27"/>
  <c r="N2834" i="27"/>
  <c r="N2826" i="27"/>
  <c r="N2818" i="27"/>
  <c r="N2810" i="27"/>
  <c r="N2802" i="27"/>
  <c r="N2794" i="27"/>
  <c r="N2786" i="27"/>
  <c r="N3131" i="27"/>
  <c r="N1574" i="27"/>
  <c r="N3105" i="27"/>
  <c r="N3103" i="27"/>
  <c r="N3101" i="27"/>
  <c r="N3099" i="27"/>
  <c r="N3097" i="27"/>
  <c r="N3095" i="27"/>
  <c r="N3093" i="27"/>
  <c r="N3091" i="27"/>
  <c r="N3088" i="27"/>
  <c r="N3086" i="27"/>
  <c r="N3084" i="27"/>
  <c r="N3082" i="27"/>
  <c r="N3080" i="27"/>
  <c r="N3078" i="27"/>
  <c r="N3076" i="27"/>
  <c r="N3074" i="27"/>
  <c r="N3072" i="27"/>
  <c r="N3070" i="27"/>
  <c r="N3068" i="27"/>
  <c r="N3066" i="27"/>
  <c r="N3064" i="27"/>
  <c r="N3061" i="27"/>
  <c r="N2941" i="27"/>
  <c r="N2939" i="27"/>
  <c r="N2937" i="27"/>
  <c r="N2935" i="27"/>
  <c r="N2932" i="27"/>
  <c r="N2930" i="27"/>
  <c r="N2928" i="27"/>
  <c r="N2907" i="27"/>
  <c r="N2899" i="27"/>
  <c r="N2891" i="27"/>
  <c r="N2883" i="27"/>
  <c r="N2875" i="27"/>
  <c r="N2867" i="27"/>
  <c r="N2858" i="27"/>
  <c r="N2850" i="27"/>
  <c r="N2841" i="27"/>
  <c r="N2833" i="27"/>
  <c r="N2825" i="27"/>
  <c r="N2817" i="27"/>
  <c r="N2809" i="27"/>
  <c r="N2801" i="27"/>
  <c r="N2793" i="27"/>
  <c r="N2785" i="27"/>
  <c r="N2758" i="27"/>
  <c r="N2750" i="27"/>
  <c r="N2700" i="27"/>
  <c r="N2698" i="27"/>
  <c r="N2694" i="27"/>
  <c r="N2674" i="27"/>
  <c r="N2672" i="27"/>
  <c r="N2670" i="27"/>
  <c r="N2271" i="27"/>
  <c r="N2269" i="27"/>
  <c r="N2267" i="27"/>
  <c r="N2265" i="27"/>
  <c r="N2263" i="27"/>
  <c r="N2261" i="27"/>
  <c r="N2259" i="27"/>
  <c r="N2257" i="27"/>
  <c r="N2131" i="27"/>
  <c r="N2129" i="27"/>
  <c r="N2127" i="27"/>
  <c r="N2125" i="27"/>
  <c r="N2123" i="27"/>
  <c r="N2121" i="27"/>
  <c r="N2119" i="27"/>
  <c r="N2117" i="27"/>
  <c r="N2115" i="27"/>
  <c r="N2079" i="27"/>
  <c r="N2077" i="27"/>
  <c r="N2075" i="27"/>
  <c r="N2073" i="27"/>
  <c r="N2071" i="27"/>
  <c r="N2069" i="27"/>
  <c r="N2067" i="27"/>
  <c r="N1594" i="27"/>
  <c r="N1592" i="27"/>
  <c r="N1590" i="27"/>
  <c r="N1588" i="27"/>
  <c r="N1586" i="27"/>
  <c r="N1584" i="27"/>
  <c r="N1582" i="27"/>
  <c r="N1580" i="27"/>
  <c r="N1578" i="27"/>
  <c r="N1576" i="27"/>
  <c r="N3133" i="27"/>
  <c r="N1596" i="27"/>
  <c r="N3130" i="27"/>
  <c r="N2967" i="27"/>
  <c r="N2901" i="27"/>
  <c r="N2893" i="27"/>
  <c r="N2885" i="27"/>
  <c r="N2877" i="27"/>
  <c r="N2869" i="27"/>
  <c r="N2861" i="27"/>
  <c r="N2852" i="27"/>
  <c r="N2844" i="27"/>
  <c r="N2835" i="27"/>
  <c r="N2827" i="27"/>
  <c r="N2819" i="27"/>
  <c r="N2811" i="27"/>
  <c r="N2803" i="27"/>
  <c r="N2795" i="27"/>
  <c r="N2787" i="27"/>
  <c r="N2776" i="27"/>
  <c r="N2764" i="27"/>
  <c r="N2760" i="27"/>
  <c r="N2752" i="27"/>
  <c r="N1573" i="27"/>
  <c r="N2927" i="27"/>
  <c r="N2925" i="27"/>
  <c r="N2923" i="27"/>
  <c r="N2921" i="27"/>
  <c r="N2919" i="27"/>
  <c r="N2917" i="27"/>
  <c r="N2914" i="27"/>
  <c r="N2906" i="27"/>
  <c r="N2898" i="27"/>
  <c r="N2890" i="27"/>
  <c r="N2882" i="27"/>
  <c r="N2874" i="27"/>
  <c r="N2866" i="27"/>
  <c r="N2857" i="27"/>
  <c r="N2849" i="27"/>
  <c r="N2840" i="27"/>
  <c r="N2832" i="27"/>
  <c r="N2824" i="27"/>
  <c r="N2816" i="27"/>
  <c r="N2808" i="27"/>
  <c r="N2800" i="27"/>
  <c r="N2792" i="27"/>
  <c r="N2784" i="27"/>
  <c r="N2757" i="27"/>
  <c r="N2749" i="27"/>
  <c r="N2693" i="27"/>
  <c r="N2682" i="27"/>
  <c r="N2680" i="27"/>
  <c r="N2064" i="27"/>
  <c r="N2061" i="27"/>
  <c r="N2059" i="27"/>
  <c r="N2057" i="27"/>
  <c r="N2055" i="27"/>
  <c r="N2053" i="27"/>
  <c r="N2051" i="27"/>
  <c r="N2049" i="27"/>
  <c r="N2047" i="27"/>
  <c r="N2044" i="27"/>
  <c r="N2042" i="27"/>
  <c r="N2040" i="27"/>
  <c r="N2038" i="27"/>
  <c r="N2036" i="27"/>
  <c r="N2034" i="27"/>
  <c r="N2032" i="27"/>
  <c r="N2030" i="27"/>
  <c r="N2027" i="27"/>
  <c r="N2025" i="27"/>
  <c r="N2023" i="27"/>
  <c r="N2021" i="27"/>
  <c r="N2019" i="27"/>
  <c r="N2017" i="27"/>
  <c r="N2015" i="27"/>
  <c r="N14" i="27"/>
  <c r="N22" i="27"/>
  <c r="N30" i="27"/>
  <c r="N423" i="27"/>
  <c r="N425" i="27"/>
  <c r="N427" i="27"/>
  <c r="N430" i="27"/>
  <c r="N432" i="27"/>
  <c r="N434" i="27"/>
  <c r="N436" i="27"/>
  <c r="N438" i="27"/>
  <c r="N440" i="27"/>
  <c r="N443" i="27"/>
  <c r="N445" i="27"/>
  <c r="N447" i="27"/>
  <c r="N449" i="27"/>
  <c r="N451" i="27"/>
  <c r="N453" i="27"/>
  <c r="N455" i="27"/>
  <c r="N458" i="27"/>
  <c r="N460" i="27"/>
  <c r="N462" i="27"/>
  <c r="N464" i="27"/>
  <c r="N466" i="27"/>
  <c r="N468" i="27"/>
  <c r="N471" i="27"/>
  <c r="N473" i="27"/>
  <c r="N475" i="27"/>
  <c r="N477" i="27"/>
  <c r="N479" i="27"/>
  <c r="N481" i="27"/>
  <c r="N483" i="27"/>
  <c r="N491" i="27"/>
  <c r="N501" i="27"/>
  <c r="N508" i="27"/>
  <c r="N518" i="27"/>
  <c r="N525" i="27"/>
  <c r="N559" i="27"/>
  <c r="N568" i="27"/>
  <c r="N576" i="27"/>
  <c r="N591" i="27"/>
  <c r="N610" i="27"/>
  <c r="N618" i="27"/>
  <c r="N628" i="27"/>
  <c r="N635" i="27"/>
  <c r="N641" i="27"/>
  <c r="N658" i="27"/>
  <c r="N666" i="27"/>
  <c r="N675" i="27"/>
  <c r="N684" i="27"/>
  <c r="N700" i="27"/>
  <c r="N758" i="27"/>
  <c r="N771" i="27"/>
  <c r="N845" i="27"/>
  <c r="N1031" i="27"/>
  <c r="N1035" i="27"/>
  <c r="N1063" i="27"/>
  <c r="N1086" i="27"/>
  <c r="N1091" i="27"/>
  <c r="N1100" i="27"/>
  <c r="N743" i="27"/>
  <c r="N756" i="27"/>
  <c r="N774" i="27"/>
  <c r="N800" i="27"/>
  <c r="N809" i="27"/>
  <c r="N817" i="27"/>
  <c r="N826" i="27"/>
  <c r="N834" i="27"/>
  <c r="N843" i="27"/>
  <c r="N867" i="27"/>
  <c r="N875" i="27"/>
  <c r="N884" i="27"/>
  <c r="N892" i="27"/>
  <c r="N901" i="27"/>
  <c r="N909" i="27"/>
  <c r="N1044" i="27"/>
  <c r="N1052" i="27"/>
  <c r="N1075" i="27"/>
  <c r="N1083" i="27"/>
  <c r="N1143" i="27"/>
  <c r="N1151" i="27"/>
  <c r="N1174" i="27"/>
  <c r="N1182" i="27"/>
  <c r="N1191" i="27"/>
  <c r="N1200" i="27"/>
  <c r="N1208" i="27"/>
  <c r="N1217" i="27"/>
  <c r="N1226" i="27"/>
  <c r="N1234" i="27"/>
  <c r="N1243" i="27"/>
  <c r="N921" i="27"/>
  <c r="N930" i="27"/>
  <c r="N938" i="27"/>
  <c r="N947" i="27"/>
  <c r="N1140" i="27"/>
  <c r="N1160" i="27"/>
  <c r="N611" i="27"/>
  <c r="N629" i="27"/>
  <c r="N642" i="27"/>
  <c r="N659" i="27"/>
  <c r="N667" i="27"/>
  <c r="N685" i="27"/>
  <c r="N697" i="27"/>
  <c r="N715" i="27"/>
  <c r="N723" i="27"/>
  <c r="N741" i="27"/>
  <c r="N751" i="27"/>
  <c r="N772" i="27"/>
  <c r="N781" i="27"/>
  <c r="N798" i="27"/>
  <c r="N806" i="27"/>
  <c r="N815" i="27"/>
  <c r="N824" i="27"/>
  <c r="N832" i="27"/>
  <c r="N841" i="27"/>
  <c r="N856" i="27"/>
  <c r="N1027" i="27"/>
  <c r="N1050" i="27"/>
  <c r="N1158" i="27"/>
  <c r="N694" i="27"/>
  <c r="N713" i="27"/>
  <c r="N730" i="27"/>
  <c r="N739" i="27"/>
  <c r="N775" i="27"/>
  <c r="N865" i="27"/>
  <c r="N873" i="27"/>
  <c r="N882" i="27"/>
  <c r="N890" i="27"/>
  <c r="N899" i="27"/>
  <c r="N907" i="27"/>
  <c r="N916" i="27"/>
  <c r="N924" i="27"/>
  <c r="N933" i="27"/>
  <c r="N941" i="27"/>
  <c r="N950" i="27"/>
  <c r="N1064" i="27"/>
  <c r="N1069" i="27"/>
  <c r="N1078" i="27"/>
  <c r="N1103" i="27"/>
  <c r="N1111" i="27"/>
  <c r="N1148" i="27"/>
  <c r="N1168" i="27"/>
  <c r="N1177" i="27"/>
  <c r="N1186" i="27"/>
  <c r="N1194" i="27"/>
  <c r="N1203" i="27"/>
  <c r="N1212" i="27"/>
  <c r="N1220" i="27"/>
  <c r="N1229" i="27"/>
  <c r="N1237" i="27"/>
  <c r="N1246" i="27"/>
  <c r="N1506" i="27"/>
  <c r="N1514" i="27"/>
  <c r="N1523" i="27"/>
  <c r="N1549" i="27"/>
  <c r="N1557" i="27"/>
  <c r="N1566" i="27"/>
  <c r="N1604" i="27"/>
  <c r="N1612" i="27"/>
  <c r="N1753" i="27"/>
  <c r="N1993" i="27"/>
  <c r="N2001" i="27"/>
  <c r="N2009" i="27"/>
  <c r="N2018" i="27"/>
  <c r="N2026" i="27"/>
  <c r="N2035" i="27"/>
  <c r="N2043" i="27"/>
  <c r="N2052" i="27"/>
  <c r="N2060" i="27"/>
  <c r="N2548" i="27"/>
  <c r="N2562" i="27"/>
  <c r="N2566" i="27"/>
  <c r="N2571" i="27"/>
  <c r="N2575" i="27"/>
  <c r="N2579" i="27"/>
  <c r="N2583" i="27"/>
  <c r="N2587" i="27"/>
  <c r="N2592" i="27"/>
  <c r="N2596" i="27"/>
  <c r="N2614" i="27"/>
  <c r="N2644" i="27"/>
  <c r="N2653" i="27"/>
  <c r="N2661" i="27"/>
  <c r="N2704" i="27"/>
  <c r="N2713" i="27"/>
  <c r="N2721" i="27"/>
  <c r="N2922" i="27"/>
  <c r="N2971" i="27"/>
  <c r="N2982" i="27"/>
  <c r="N2991" i="27"/>
  <c r="N3000" i="27"/>
  <c r="N3008" i="27"/>
  <c r="N3017" i="27"/>
  <c r="N3026" i="27"/>
  <c r="N3034" i="27"/>
  <c r="N3043" i="27"/>
  <c r="N3051" i="27"/>
  <c r="N3109" i="27"/>
  <c r="N3118" i="27"/>
  <c r="N3126" i="27"/>
  <c r="N3139" i="27"/>
  <c r="N3147" i="27"/>
  <c r="N3156" i="27"/>
  <c r="N3165" i="27"/>
  <c r="N3173" i="27"/>
  <c r="N3190" i="27"/>
  <c r="N3206" i="27"/>
  <c r="N859" i="27"/>
  <c r="N868" i="27"/>
  <c r="N876" i="27"/>
  <c r="N885" i="27"/>
  <c r="N893" i="27"/>
  <c r="N902" i="27"/>
  <c r="N910" i="27"/>
  <c r="N919" i="27"/>
  <c r="N928" i="27"/>
  <c r="N936" i="27"/>
  <c r="N945" i="27"/>
  <c r="N1062" i="27"/>
  <c r="N1073" i="27"/>
  <c r="N1097" i="27"/>
  <c r="N1106" i="27"/>
  <c r="N1120" i="27"/>
  <c r="N1138" i="27"/>
  <c r="N1146" i="27"/>
  <c r="N1163" i="27"/>
  <c r="N1172" i="27"/>
  <c r="N1180" i="27"/>
  <c r="N1189" i="27"/>
  <c r="N1198" i="27"/>
  <c r="N1206" i="27"/>
  <c r="N1215" i="27"/>
  <c r="N1223" i="27"/>
  <c r="N1232" i="27"/>
  <c r="N1241" i="27"/>
  <c r="N1509" i="27"/>
  <c r="N1518" i="27"/>
  <c r="N1535" i="27"/>
  <c r="N1543" i="27"/>
  <c r="N1552" i="27"/>
  <c r="N1561" i="27"/>
  <c r="N1599" i="27"/>
  <c r="N1607" i="27"/>
  <c r="N1615" i="27"/>
  <c r="N1756" i="27"/>
  <c r="N1996" i="27"/>
  <c r="N2004" i="27"/>
  <c r="N2647" i="27"/>
  <c r="N2656" i="27"/>
  <c r="N2707" i="27"/>
  <c r="N2716" i="27"/>
  <c r="N2725" i="27"/>
  <c r="N2771" i="27"/>
  <c r="N2783" i="27"/>
  <c r="N2791" i="27"/>
  <c r="N2799" i="27"/>
  <c r="N2807" i="27"/>
  <c r="N2815" i="27"/>
  <c r="N2823" i="27"/>
  <c r="N2831" i="27"/>
  <c r="N2839" i="27"/>
  <c r="N2848" i="27"/>
  <c r="N2856" i="27"/>
  <c r="N2865" i="27"/>
  <c r="N2873" i="27"/>
  <c r="N2881" i="27"/>
  <c r="N2889" i="27"/>
  <c r="N2897" i="27"/>
  <c r="N2905" i="27"/>
  <c r="N2909" i="27"/>
  <c r="N2913" i="27"/>
  <c r="N2945" i="27"/>
  <c r="N2954" i="27"/>
  <c r="N2962" i="27"/>
  <c r="N2977" i="27"/>
  <c r="N2985" i="27"/>
  <c r="N2994" i="27"/>
  <c r="N3003" i="27"/>
  <c r="N3011" i="27"/>
  <c r="N3020" i="27"/>
  <c r="N3029" i="27"/>
  <c r="N3037" i="27"/>
  <c r="N3046" i="27"/>
  <c r="N3142" i="27"/>
  <c r="N3151" i="27"/>
  <c r="N3159" i="27"/>
  <c r="N3168" i="27"/>
  <c r="N939" i="27"/>
  <c r="N948" i="27"/>
  <c r="N1028" i="27"/>
  <c r="N1060" i="27"/>
  <c r="N1076" i="27"/>
  <c r="N1101" i="27"/>
  <c r="N1144" i="27"/>
  <c r="N1161" i="27"/>
  <c r="N1175" i="27"/>
  <c r="N1184" i="27"/>
  <c r="N1192" i="27"/>
  <c r="N1201" i="27"/>
  <c r="N1209" i="27"/>
  <c r="N1218" i="27"/>
  <c r="N1227" i="27"/>
  <c r="N1235" i="27"/>
  <c r="N1244" i="27"/>
  <c r="N1504" i="27"/>
  <c r="N1512" i="27"/>
  <c r="N1521" i="27"/>
  <c r="N1547" i="27"/>
  <c r="N1555" i="27"/>
  <c r="N1564" i="27"/>
  <c r="N1602" i="27"/>
  <c r="N1610" i="27"/>
  <c r="N1751" i="27"/>
  <c r="N1759" i="27"/>
  <c r="N1999" i="27"/>
  <c r="N2007" i="27"/>
  <c r="N2016" i="27"/>
  <c r="N2024" i="27"/>
  <c r="N2033" i="27"/>
  <c r="N2041" i="27"/>
  <c r="N2050" i="27"/>
  <c r="N2058" i="27"/>
  <c r="N2558" i="27"/>
  <c r="N2563" i="27"/>
  <c r="N2567" i="27"/>
  <c r="N2576" i="27"/>
  <c r="N2584" i="27"/>
  <c r="N2593" i="27"/>
  <c r="N2624" i="27"/>
  <c r="N2628" i="27"/>
  <c r="N2633" i="27"/>
  <c r="N2641" i="27"/>
  <c r="N2650" i="27"/>
  <c r="N2659" i="27"/>
  <c r="N2663" i="27"/>
  <c r="N2702" i="27"/>
  <c r="N2711" i="27"/>
  <c r="N2719" i="27"/>
  <c r="N2920" i="27"/>
  <c r="N2969" i="27"/>
  <c r="N2980" i="27"/>
  <c r="N2989" i="27"/>
  <c r="N2998" i="27"/>
  <c r="N3006" i="27"/>
  <c r="N3015" i="27"/>
  <c r="N3023" i="27"/>
  <c r="N3032" i="27"/>
  <c r="N3041" i="27"/>
  <c r="N3049" i="27"/>
  <c r="N3107" i="27"/>
  <c r="N3116" i="27"/>
  <c r="N3124" i="27"/>
  <c r="N3137" i="27"/>
  <c r="N3145" i="27"/>
  <c r="N3154" i="27"/>
  <c r="N3162" i="27"/>
  <c r="N3171" i="27"/>
  <c r="N644" i="27"/>
  <c r="N652" i="27"/>
  <c r="N661" i="27"/>
  <c r="N670" i="27"/>
  <c r="N687" i="27"/>
  <c r="N714" i="27"/>
  <c r="N722" i="27"/>
  <c r="N731" i="27"/>
  <c r="N740" i="27"/>
  <c r="N776" i="27"/>
  <c r="N866" i="27"/>
  <c r="N874" i="27"/>
  <c r="N883" i="27"/>
  <c r="N891" i="27"/>
  <c r="N900" i="27"/>
  <c r="N908" i="27"/>
  <c r="N917" i="27"/>
  <c r="N925" i="27"/>
  <c r="N934" i="27"/>
  <c r="N942" i="27"/>
  <c r="N951" i="27"/>
  <c r="N1058" i="27"/>
  <c r="N1070" i="27"/>
  <c r="N1079" i="27"/>
  <c r="N1104" i="27"/>
  <c r="N1118" i="27"/>
  <c r="N1136" i="27"/>
  <c r="N1142" i="27"/>
  <c r="N1159" i="27"/>
  <c r="N1170" i="27"/>
  <c r="N1178" i="27"/>
  <c r="N1187" i="27"/>
  <c r="N1195" i="27"/>
  <c r="N1204" i="27"/>
  <c r="N1213" i="27"/>
  <c r="N1221" i="27"/>
  <c r="N1230" i="27"/>
  <c r="N1238" i="27"/>
  <c r="N1247" i="27"/>
  <c r="N1507" i="27"/>
  <c r="N1515" i="27"/>
  <c r="N1533" i="27"/>
  <c r="N1550" i="27"/>
  <c r="N1559" i="27"/>
  <c r="N1605" i="27"/>
  <c r="N1613" i="27"/>
  <c r="N1754" i="27"/>
  <c r="N1994" i="27"/>
  <c r="N2002" i="27"/>
  <c r="N2010" i="27"/>
  <c r="N2645" i="27"/>
  <c r="N2654" i="27"/>
  <c r="N2683" i="27"/>
  <c r="N2705" i="27"/>
  <c r="N2714" i="27"/>
  <c r="N2722" i="27"/>
  <c r="N2742" i="27"/>
  <c r="N2747" i="27"/>
  <c r="N2751" i="27"/>
  <c r="N2755" i="27"/>
  <c r="N2759" i="27"/>
  <c r="N2768" i="27"/>
  <c r="N2780" i="27"/>
  <c r="N2788" i="27"/>
  <c r="N2796" i="27"/>
  <c r="N2804" i="27"/>
  <c r="N2812" i="27"/>
  <c r="N2820" i="27"/>
  <c r="N2828" i="27"/>
  <c r="N2836" i="27"/>
  <c r="N2845" i="27"/>
  <c r="N2853" i="27"/>
  <c r="N2862" i="27"/>
  <c r="N2870" i="27"/>
  <c r="N2878" i="27"/>
  <c r="N2886" i="27"/>
  <c r="N2894" i="27"/>
  <c r="N2902" i="27"/>
  <c r="N2910" i="27"/>
  <c r="N2952" i="27"/>
  <c r="N2960" i="27"/>
  <c r="N2975" i="27"/>
  <c r="N2983" i="27"/>
  <c r="N2992" i="27"/>
  <c r="N3001" i="27"/>
  <c r="N3009" i="27"/>
  <c r="N3018" i="27"/>
  <c r="N3027" i="27"/>
  <c r="N3035" i="27"/>
  <c r="N3044" i="27"/>
  <c r="N3052" i="27"/>
  <c r="N3140" i="27"/>
  <c r="N3148" i="27"/>
  <c r="N3157" i="27"/>
  <c r="N3166" i="27"/>
  <c r="N3174" i="27"/>
  <c r="N779" i="27"/>
  <c r="N860" i="27"/>
  <c r="N869" i="27"/>
  <c r="N877" i="27"/>
  <c r="N886" i="27"/>
  <c r="N894" i="27"/>
  <c r="N903" i="27"/>
  <c r="N911" i="27"/>
  <c r="N920" i="27"/>
  <c r="N929" i="27"/>
  <c r="N937" i="27"/>
  <c r="N946" i="27"/>
  <c r="N1074" i="27"/>
  <c r="N1098" i="27"/>
  <c r="N1157" i="27"/>
  <c r="N1173" i="27"/>
  <c r="N1181" i="27"/>
  <c r="N1190" i="27"/>
  <c r="N1199" i="27"/>
  <c r="N1207" i="27"/>
  <c r="N1216" i="27"/>
  <c r="N1224" i="27"/>
  <c r="N1233" i="27"/>
  <c r="N1242" i="27"/>
  <c r="N1510" i="27"/>
  <c r="N1519" i="27"/>
  <c r="N1545" i="27"/>
  <c r="N1553" i="27"/>
  <c r="N1562" i="27"/>
  <c r="N1570" i="27"/>
  <c r="N1600" i="27"/>
  <c r="N1608" i="27"/>
  <c r="N1749" i="27"/>
  <c r="N1757" i="27"/>
  <c r="N1997" i="27"/>
  <c r="N2005" i="27"/>
  <c r="N2022" i="27"/>
  <c r="N2031" i="27"/>
  <c r="N2039" i="27"/>
  <c r="N2048" i="27"/>
  <c r="N2056" i="27"/>
  <c r="N2065" i="27"/>
  <c r="N2546" i="27"/>
  <c r="N2550" i="27"/>
  <c r="N2559" i="27"/>
  <c r="N2564" i="27"/>
  <c r="N2612" i="27"/>
  <c r="N2617" i="27"/>
  <c r="N2621" i="27"/>
  <c r="N2625" i="27"/>
  <c r="N2630" i="27"/>
  <c r="N2638" i="27"/>
  <c r="N2648" i="27"/>
  <c r="N2657" i="27"/>
  <c r="N2708" i="27"/>
  <c r="N2717" i="27"/>
  <c r="N2726" i="27"/>
  <c r="N2918" i="27"/>
  <c r="N2926" i="27"/>
  <c r="N2978" i="27"/>
  <c r="N2987" i="27"/>
  <c r="N2995" i="27"/>
  <c r="N3004" i="27"/>
  <c r="N3012" i="27"/>
  <c r="N3021" i="27"/>
  <c r="N3030" i="27"/>
  <c r="N3039" i="27"/>
  <c r="N3047" i="27"/>
  <c r="N3113" i="27"/>
  <c r="N3122" i="27"/>
  <c r="N3135" i="27"/>
  <c r="N3143" i="27"/>
  <c r="N3152" i="27"/>
  <c r="N3160" i="27"/>
  <c r="N3169" i="27"/>
  <c r="N3178" i="27"/>
  <c r="N3186" i="27"/>
  <c r="N3194" i="27"/>
  <c r="N3202" i="27"/>
  <c r="N863" i="27"/>
  <c r="N872" i="27"/>
  <c r="N881" i="27"/>
  <c r="N889" i="27"/>
  <c r="N898" i="27"/>
  <c r="N906" i="27"/>
  <c r="N915" i="27"/>
  <c r="N923" i="27"/>
  <c r="N932" i="27"/>
  <c r="N940" i="27"/>
  <c r="N949" i="27"/>
  <c r="N1033" i="27"/>
  <c r="N1077" i="27"/>
  <c r="N1102" i="27"/>
  <c r="N1154" i="27"/>
  <c r="N1167" i="27"/>
  <c r="N1176" i="27"/>
  <c r="N1185" i="27"/>
  <c r="N1193" i="27"/>
  <c r="N1202" i="27"/>
  <c r="N1210" i="27"/>
  <c r="N1219" i="27"/>
  <c r="N1228" i="27"/>
  <c r="N1236" i="27"/>
  <c r="N1245" i="27"/>
  <c r="N1505" i="27"/>
  <c r="N1513" i="27"/>
  <c r="N1522" i="27"/>
  <c r="N1531" i="27"/>
  <c r="N1548" i="27"/>
  <c r="N1556" i="27"/>
  <c r="N1565" i="27"/>
  <c r="N1603" i="27"/>
  <c r="N1611" i="27"/>
  <c r="N1752" i="27"/>
  <c r="N1760" i="27"/>
  <c r="N2000" i="27"/>
  <c r="N2008" i="27"/>
  <c r="N2643" i="27"/>
  <c r="N2652" i="27"/>
  <c r="N2660" i="27"/>
  <c r="N2681" i="27"/>
  <c r="N2703" i="27"/>
  <c r="N2712" i="27"/>
  <c r="N2720" i="27"/>
  <c r="N2748" i="27"/>
  <c r="N2756" i="27"/>
  <c r="N2765" i="27"/>
  <c r="N2773" i="27"/>
  <c r="N2777" i="27"/>
  <c r="N2950" i="27"/>
  <c r="N2958" i="27"/>
  <c r="N2970" i="27"/>
  <c r="N2981" i="27"/>
  <c r="N2990" i="27"/>
  <c r="N2999" i="27"/>
  <c r="N3007" i="27"/>
  <c r="N3016" i="27"/>
  <c r="N3024" i="27"/>
  <c r="N3033" i="27"/>
  <c r="N3042" i="27"/>
  <c r="N3050" i="27"/>
  <c r="N3138" i="27"/>
  <c r="N3146" i="27"/>
  <c r="N3155" i="27"/>
  <c r="N3164" i="27"/>
  <c r="N3172" i="27"/>
  <c r="N918" i="27"/>
  <c r="N926" i="27"/>
  <c r="N935" i="27"/>
  <c r="N944" i="27"/>
  <c r="N1072" i="27"/>
  <c r="N1080" i="27"/>
  <c r="N1105" i="27"/>
  <c r="N1119" i="27"/>
  <c r="N1137" i="27"/>
  <c r="N1152" i="27"/>
  <c r="N1171" i="27"/>
  <c r="N1179" i="27"/>
  <c r="N1188" i="27"/>
  <c r="N1196" i="27"/>
  <c r="N1205" i="27"/>
  <c r="N1214" i="27"/>
  <c r="N1222" i="27"/>
  <c r="N1231" i="27"/>
  <c r="N1240" i="27"/>
  <c r="N1508" i="27"/>
  <c r="N1517" i="27"/>
  <c r="N1542" i="27"/>
  <c r="N1551" i="27"/>
  <c r="N1560" i="27"/>
  <c r="N1598" i="27"/>
  <c r="N1606" i="27"/>
  <c r="N1614" i="27"/>
  <c r="N1755" i="27"/>
  <c r="N1995" i="27"/>
  <c r="N2003" i="27"/>
  <c r="N2012" i="27"/>
  <c r="N2020" i="27"/>
  <c r="N2029" i="27"/>
  <c r="N2037" i="27"/>
  <c r="N2046" i="27"/>
  <c r="N2054" i="27"/>
  <c r="N2062" i="27"/>
  <c r="N2547" i="27"/>
  <c r="N2551" i="27"/>
  <c r="N2574" i="27"/>
  <c r="N2578" i="27"/>
  <c r="N2582" i="27"/>
  <c r="N2586" i="27"/>
  <c r="N2591" i="27"/>
  <c r="N2595" i="27"/>
  <c r="N2599" i="27"/>
  <c r="N2609" i="27"/>
  <c r="N2613" i="27"/>
  <c r="N2618" i="27"/>
  <c r="N2626" i="27"/>
  <c r="N2635" i="27"/>
  <c r="N2639" i="27"/>
  <c r="N2646" i="27"/>
  <c r="N2655" i="27"/>
  <c r="N2676" i="27"/>
  <c r="N2706" i="27"/>
  <c r="N2715" i="27"/>
  <c r="N2724" i="27"/>
  <c r="N2916" i="27"/>
  <c r="N2924" i="27"/>
  <c r="N2976" i="27"/>
  <c r="N2984" i="27"/>
  <c r="N2993" i="27"/>
  <c r="N3002" i="27"/>
  <c r="N3010" i="27"/>
  <c r="N3019" i="27"/>
  <c r="N3028" i="27"/>
  <c r="N3036" i="27"/>
  <c r="N3045" i="27"/>
  <c r="N3053" i="27"/>
  <c r="N3111" i="27"/>
  <c r="N3120" i="27"/>
  <c r="N3128" i="27"/>
  <c r="N3141" i="27"/>
  <c r="N3149" i="27"/>
  <c r="N3158" i="27"/>
  <c r="N3167" i="27"/>
  <c r="N3175" i="27"/>
  <c r="N3184" i="27"/>
  <c r="N3192" i="27"/>
  <c r="N3200" i="27"/>
  <c r="N3208" i="27"/>
  <c r="N3179" i="27"/>
  <c r="N3195" i="27"/>
  <c r="N3176" i="27"/>
  <c r="N3193" i="27"/>
  <c r="N3191" i="27"/>
  <c r="N3207" i="27"/>
  <c r="N3189" i="27"/>
  <c r="N3205" i="27"/>
  <c r="N3187" i="27"/>
  <c r="N3203" i="27"/>
  <c r="N3185" i="27"/>
  <c r="N3201" i="27"/>
  <c r="N3183" i="27"/>
  <c r="N3199" i="27"/>
  <c r="N3181" i="27"/>
  <c r="N3197" i="27"/>
  <c r="L492" i="21" l="1"/>
  <c r="M492" i="21"/>
  <c r="M319" i="21"/>
  <c r="L319" i="21"/>
  <c r="L350" i="21"/>
  <c r="M350" i="21"/>
  <c r="L563" i="21"/>
  <c r="M563" i="21"/>
  <c r="L523" i="21"/>
  <c r="M523" i="21"/>
  <c r="L534" i="21"/>
  <c r="M534" i="21"/>
  <c r="L552" i="21"/>
  <c r="M552" i="21"/>
  <c r="L95" i="21"/>
  <c r="M95" i="21"/>
  <c r="L336" i="21"/>
  <c r="M336" i="21"/>
  <c r="L297" i="21"/>
  <c r="M297" i="21"/>
  <c r="L405" i="21"/>
  <c r="M405" i="21"/>
  <c r="L141" i="21"/>
  <c r="M141" i="21"/>
  <c r="L365" i="21"/>
  <c r="M365" i="21"/>
  <c r="L448" i="21"/>
  <c r="M448" i="21"/>
  <c r="L89" i="21"/>
  <c r="M89" i="21"/>
  <c r="L79" i="21"/>
  <c r="M79" i="21"/>
  <c r="L414" i="21"/>
  <c r="M414" i="21"/>
  <c r="L438" i="21"/>
  <c r="M438" i="21"/>
  <c r="L78" i="21"/>
  <c r="M78" i="21"/>
  <c r="L344" i="21"/>
  <c r="M344" i="21"/>
  <c r="L407" i="21"/>
  <c r="M407" i="21"/>
  <c r="L305" i="21"/>
  <c r="M305" i="21"/>
  <c r="L290" i="21"/>
  <c r="M290" i="21"/>
  <c r="L338" i="21"/>
  <c r="M338" i="21"/>
  <c r="L416" i="21"/>
  <c r="M416" i="21"/>
  <c r="L339" i="21"/>
  <c r="M339" i="21"/>
  <c r="L144" i="21"/>
  <c r="M144" i="21"/>
  <c r="L332" i="21"/>
  <c r="M332" i="21"/>
  <c r="L419" i="21"/>
  <c r="M419" i="21"/>
  <c r="L181" i="21"/>
  <c r="M181" i="21"/>
  <c r="L90" i="21"/>
  <c r="M90" i="21"/>
  <c r="L85" i="21"/>
  <c r="M85" i="21"/>
  <c r="L424" i="21"/>
  <c r="M424" i="21"/>
  <c r="L65" i="21"/>
  <c r="M65" i="21"/>
  <c r="L68" i="21"/>
  <c r="M68" i="21"/>
  <c r="L292" i="21"/>
  <c r="M292" i="21"/>
  <c r="L376" i="21"/>
  <c r="M376" i="21"/>
  <c r="L165" i="21"/>
  <c r="M165" i="21"/>
  <c r="L256" i="21"/>
  <c r="M256" i="21"/>
  <c r="L145" i="21"/>
  <c r="M145" i="21"/>
  <c r="L187" i="21"/>
  <c r="M187" i="21"/>
  <c r="L261" i="21"/>
  <c r="M261" i="21"/>
  <c r="L390" i="21"/>
  <c r="M390" i="21"/>
  <c r="L109" i="21"/>
  <c r="M109" i="21"/>
  <c r="L224" i="21"/>
  <c r="M224" i="21"/>
  <c r="L158" i="21"/>
  <c r="M158" i="21"/>
  <c r="L152" i="21"/>
  <c r="M152" i="21"/>
  <c r="L302" i="21"/>
  <c r="M302" i="21"/>
  <c r="L116" i="21"/>
  <c r="M116" i="21"/>
  <c r="L262" i="21"/>
  <c r="M262" i="21"/>
  <c r="L179" i="21"/>
  <c r="M179" i="21"/>
  <c r="L218" i="21"/>
  <c r="M218" i="21"/>
  <c r="L194" i="21"/>
  <c r="M194" i="21"/>
  <c r="L396" i="21"/>
  <c r="M396" i="21"/>
  <c r="L586" i="21"/>
  <c r="M586" i="21"/>
  <c r="L597" i="21"/>
  <c r="M597" i="21"/>
  <c r="L545" i="21"/>
  <c r="M545" i="21"/>
  <c r="L564" i="21"/>
  <c r="M564" i="21"/>
  <c r="L544" i="21"/>
  <c r="M544" i="21"/>
  <c r="L465" i="21"/>
  <c r="M465" i="21"/>
  <c r="L589" i="21"/>
  <c r="M589" i="21"/>
  <c r="L472" i="21"/>
  <c r="M472" i="21"/>
  <c r="L569" i="21"/>
  <c r="M569" i="21"/>
  <c r="L579" i="21"/>
  <c r="M579" i="21"/>
  <c r="L581" i="21"/>
  <c r="M581" i="21"/>
  <c r="L593" i="21"/>
  <c r="M593" i="21"/>
  <c r="L587" i="21"/>
  <c r="M587" i="21"/>
  <c r="L583" i="21"/>
  <c r="M583" i="21"/>
  <c r="L508" i="21"/>
  <c r="M508" i="21"/>
  <c r="L479" i="21"/>
  <c r="M479" i="21"/>
  <c r="L512" i="21"/>
  <c r="M512" i="21"/>
  <c r="L204" i="21"/>
  <c r="M204" i="21"/>
  <c r="L111" i="21"/>
  <c r="M111" i="21"/>
  <c r="L429" i="21"/>
  <c r="M429" i="21"/>
  <c r="L192" i="21"/>
  <c r="M192" i="21"/>
  <c r="L276" i="21"/>
  <c r="M276" i="21"/>
  <c r="L180" i="21"/>
  <c r="M180" i="21"/>
  <c r="L117" i="21"/>
  <c r="M117" i="21"/>
  <c r="L391" i="21"/>
  <c r="M391" i="21"/>
  <c r="L343" i="21"/>
  <c r="M343" i="21"/>
  <c r="L80" i="21"/>
  <c r="M80" i="21"/>
  <c r="L432" i="21"/>
  <c r="M432" i="21"/>
  <c r="L337" i="21"/>
  <c r="M337" i="21"/>
  <c r="L379" i="21"/>
  <c r="M379" i="21"/>
  <c r="L143" i="21"/>
  <c r="M143" i="21"/>
  <c r="L433" i="21"/>
  <c r="M433" i="21"/>
  <c r="L373" i="21"/>
  <c r="M373" i="21"/>
  <c r="L322" i="21"/>
  <c r="M322" i="21"/>
  <c r="L233" i="21"/>
  <c r="M233" i="21"/>
  <c r="L267" i="21"/>
  <c r="M267" i="21"/>
  <c r="L271" i="21"/>
  <c r="M271" i="21"/>
  <c r="L369" i="21"/>
  <c r="M369" i="21"/>
  <c r="L242" i="21"/>
  <c r="M242" i="21"/>
  <c r="L252" i="21"/>
  <c r="M252" i="21"/>
  <c r="L402" i="21"/>
  <c r="M402" i="21"/>
  <c r="L353" i="21"/>
  <c r="M353" i="21"/>
  <c r="L361" i="21"/>
  <c r="M361" i="21"/>
  <c r="L211" i="21"/>
  <c r="M211" i="21"/>
  <c r="L263" i="21"/>
  <c r="M263" i="21"/>
  <c r="L174" i="21"/>
  <c r="M174" i="21"/>
  <c r="L418" i="21"/>
  <c r="M418" i="21"/>
  <c r="L228" i="21"/>
  <c r="M228" i="21"/>
  <c r="L240" i="21"/>
  <c r="M240" i="21"/>
  <c r="L120" i="21"/>
  <c r="M120" i="21"/>
  <c r="L206" i="21"/>
  <c r="M206" i="21"/>
  <c r="L155" i="21"/>
  <c r="M155" i="21"/>
  <c r="L212" i="21"/>
  <c r="M212" i="21"/>
  <c r="L403" i="21"/>
  <c r="M403" i="21"/>
  <c r="L103" i="21"/>
  <c r="M103" i="21"/>
  <c r="L101" i="21"/>
  <c r="M101" i="21"/>
  <c r="L363" i="21"/>
  <c r="M363" i="21"/>
  <c r="L346" i="21"/>
  <c r="M346" i="21"/>
  <c r="L335" i="21"/>
  <c r="M335" i="21"/>
  <c r="L203" i="21"/>
  <c r="M203" i="21"/>
  <c r="L359" i="21"/>
  <c r="M359" i="21"/>
  <c r="L110" i="21"/>
  <c r="M110" i="21"/>
  <c r="L171" i="21"/>
  <c r="M171" i="21"/>
  <c r="L371" i="21"/>
  <c r="M371" i="21"/>
  <c r="L515" i="21"/>
  <c r="M515" i="21"/>
  <c r="L601" i="21"/>
  <c r="M601" i="21"/>
  <c r="L524" i="21"/>
  <c r="M524" i="21"/>
  <c r="L546" i="21"/>
  <c r="M546" i="21"/>
  <c r="L547" i="21"/>
  <c r="M547" i="21"/>
  <c r="L549" i="21"/>
  <c r="M549" i="21"/>
  <c r="L499" i="21"/>
  <c r="M499" i="21"/>
  <c r="L494" i="21"/>
  <c r="M494" i="21"/>
  <c r="L588" i="21"/>
  <c r="M588" i="21"/>
  <c r="L505" i="21"/>
  <c r="M505" i="21"/>
  <c r="L490" i="21"/>
  <c r="M490" i="21"/>
  <c r="L572" i="21"/>
  <c r="M572" i="21"/>
  <c r="L537" i="21"/>
  <c r="M537" i="21"/>
  <c r="L317" i="21"/>
  <c r="M317" i="21"/>
  <c r="L176" i="21"/>
  <c r="M176" i="21"/>
  <c r="L138" i="21"/>
  <c r="M138" i="21"/>
  <c r="L387" i="21"/>
  <c r="M387" i="21"/>
  <c r="L360" i="21"/>
  <c r="M360" i="21"/>
  <c r="L286" i="21"/>
  <c r="M286" i="21"/>
  <c r="L182" i="21"/>
  <c r="M182" i="21"/>
  <c r="L253" i="21"/>
  <c r="M253" i="21"/>
  <c r="L312" i="21"/>
  <c r="M312" i="21"/>
  <c r="L142" i="21"/>
  <c r="M142" i="21"/>
  <c r="L166" i="21"/>
  <c r="M166" i="21"/>
  <c r="L449" i="21"/>
  <c r="M449" i="21"/>
  <c r="L134" i="21"/>
  <c r="M134" i="21"/>
  <c r="L130" i="21"/>
  <c r="M130" i="21"/>
  <c r="L74" i="21"/>
  <c r="M74" i="21"/>
  <c r="L270" i="21"/>
  <c r="M270" i="21"/>
  <c r="L408" i="21"/>
  <c r="M408" i="21"/>
  <c r="L227" i="21"/>
  <c r="M227" i="21"/>
  <c r="L401" i="21"/>
  <c r="M401" i="21"/>
  <c r="L323" i="21"/>
  <c r="M323" i="21"/>
  <c r="L135" i="21"/>
  <c r="M135" i="21"/>
  <c r="L173" i="21"/>
  <c r="M173" i="21"/>
  <c r="L76" i="21"/>
  <c r="M76" i="21"/>
  <c r="L189" i="21"/>
  <c r="M189" i="21"/>
  <c r="L119" i="21"/>
  <c r="M119" i="21"/>
  <c r="L92" i="21"/>
  <c r="M92" i="21"/>
  <c r="L274" i="21"/>
  <c r="M274" i="21"/>
  <c r="L395" i="21"/>
  <c r="M395" i="21"/>
  <c r="L441" i="21"/>
  <c r="M441" i="21"/>
  <c r="L118" i="21"/>
  <c r="M118" i="21"/>
  <c r="L125" i="21"/>
  <c r="M125" i="21"/>
  <c r="L209" i="21"/>
  <c r="M209" i="21"/>
  <c r="L112" i="21"/>
  <c r="M112" i="21"/>
  <c r="L243" i="21"/>
  <c r="M243" i="21"/>
  <c r="L341" i="21"/>
  <c r="M341" i="21"/>
  <c r="L121" i="21"/>
  <c r="M121" i="21"/>
  <c r="L214" i="21"/>
  <c r="M214" i="21"/>
  <c r="L244" i="21"/>
  <c r="M244" i="21"/>
  <c r="L280" i="21"/>
  <c r="M280" i="21"/>
  <c r="L136" i="21"/>
  <c r="M136" i="21"/>
  <c r="L303" i="21"/>
  <c r="M303" i="21"/>
  <c r="L422" i="21"/>
  <c r="M422" i="21"/>
  <c r="L293" i="21"/>
  <c r="M293" i="21"/>
  <c r="L410" i="21"/>
  <c r="M410" i="21"/>
  <c r="L382" i="21"/>
  <c r="M382" i="21"/>
  <c r="L355" i="21"/>
  <c r="M355" i="21"/>
  <c r="L592" i="21"/>
  <c r="M592" i="21"/>
  <c r="L556" i="21"/>
  <c r="M556" i="21"/>
  <c r="L459" i="21"/>
  <c r="M459" i="21"/>
  <c r="L536" i="21"/>
  <c r="M536" i="21"/>
  <c r="L482" i="21"/>
  <c r="M482" i="21"/>
  <c r="L503" i="21"/>
  <c r="M503" i="21"/>
  <c r="L475" i="21"/>
  <c r="M475" i="21"/>
  <c r="L504" i="21"/>
  <c r="M504" i="21"/>
  <c r="L573" i="21"/>
  <c r="M573" i="21"/>
  <c r="L528" i="21"/>
  <c r="M528" i="21"/>
  <c r="L463" i="21"/>
  <c r="M463" i="21"/>
  <c r="L596" i="21"/>
  <c r="M596" i="21"/>
  <c r="L464" i="21"/>
  <c r="M464" i="21"/>
  <c r="L509" i="21"/>
  <c r="M509" i="21"/>
  <c r="L511" i="21"/>
  <c r="M511" i="21"/>
  <c r="L477" i="21"/>
  <c r="M477" i="21"/>
  <c r="L540" i="21"/>
  <c r="M540" i="21"/>
  <c r="L538" i="21"/>
  <c r="M538" i="21"/>
  <c r="L486" i="21"/>
  <c r="M486" i="21"/>
  <c r="L542" i="21"/>
  <c r="M542" i="21"/>
  <c r="L560" i="21"/>
  <c r="M560" i="21"/>
  <c r="L501" i="21"/>
  <c r="M501" i="21"/>
  <c r="L535" i="21"/>
  <c r="M535" i="21"/>
  <c r="L575" i="21"/>
  <c r="M575" i="21"/>
  <c r="L519" i="21"/>
  <c r="M519" i="21"/>
  <c r="L568" i="21"/>
  <c r="M568" i="21"/>
  <c r="L532" i="21"/>
  <c r="M532" i="21"/>
  <c r="L146" i="21"/>
  <c r="M146" i="21"/>
  <c r="L356" i="21"/>
  <c r="M356" i="21"/>
  <c r="L348" i="21"/>
  <c r="M348" i="21"/>
  <c r="L372" i="21"/>
  <c r="M372" i="21"/>
  <c r="L160" i="21"/>
  <c r="M160" i="21"/>
  <c r="L208" i="21"/>
  <c r="M208" i="21"/>
  <c r="L310" i="21"/>
  <c r="M310" i="21"/>
  <c r="L304" i="21"/>
  <c r="M304" i="21"/>
  <c r="L299" i="21"/>
  <c r="M299" i="21"/>
  <c r="L269" i="21"/>
  <c r="M269" i="21"/>
  <c r="L254" i="21"/>
  <c r="M254" i="21"/>
  <c r="L129" i="21"/>
  <c r="M129" i="21"/>
  <c r="L368" i="21"/>
  <c r="M368" i="21"/>
  <c r="L349" i="21"/>
  <c r="M349" i="21"/>
  <c r="L167" i="21"/>
  <c r="M167" i="21"/>
  <c r="L455" i="21"/>
  <c r="M455" i="21"/>
  <c r="L168" i="21"/>
  <c r="M168" i="21"/>
  <c r="L291" i="21"/>
  <c r="M291" i="21"/>
  <c r="L375" i="21"/>
  <c r="M375" i="21"/>
  <c r="L245" i="21"/>
  <c r="M245" i="21"/>
  <c r="L314" i="21"/>
  <c r="M314" i="21"/>
  <c r="L295" i="21"/>
  <c r="M295" i="21"/>
  <c r="L409" i="21"/>
  <c r="M409" i="21"/>
  <c r="L260" i="21"/>
  <c r="M260" i="21"/>
  <c r="L162" i="21"/>
  <c r="M162" i="21"/>
  <c r="L246" i="21"/>
  <c r="M246" i="21"/>
  <c r="L357" i="21"/>
  <c r="M357" i="21"/>
  <c r="L178" i="21"/>
  <c r="M178" i="21"/>
  <c r="L340" i="21"/>
  <c r="M340" i="21"/>
  <c r="L298" i="21"/>
  <c r="M298" i="21"/>
  <c r="L457" i="21"/>
  <c r="M457" i="21"/>
  <c r="L201" i="21"/>
  <c r="M201" i="21"/>
  <c r="L104" i="21"/>
  <c r="M104" i="21"/>
  <c r="L151" i="21"/>
  <c r="M151" i="21"/>
  <c r="L237" i="21"/>
  <c r="M237" i="21"/>
  <c r="L283" i="21"/>
  <c r="M283" i="21"/>
  <c r="L123" i="21"/>
  <c r="M123" i="21"/>
  <c r="L326" i="21"/>
  <c r="M326" i="21"/>
  <c r="L198" i="21"/>
  <c r="M198" i="21"/>
  <c r="L232" i="21"/>
  <c r="M232" i="21"/>
  <c r="L273" i="21"/>
  <c r="M273" i="21"/>
  <c r="L88" i="21"/>
  <c r="M88" i="21"/>
  <c r="L351" i="21"/>
  <c r="M351" i="21"/>
  <c r="L175" i="21"/>
  <c r="M175" i="21"/>
  <c r="L257" i="21"/>
  <c r="M257" i="21"/>
  <c r="L66" i="21"/>
  <c r="M66" i="21"/>
  <c r="L296" i="21"/>
  <c r="M296" i="21"/>
  <c r="L567" i="21"/>
  <c r="M567" i="21"/>
  <c r="L558" i="21"/>
  <c r="M558" i="21"/>
  <c r="L598" i="21"/>
  <c r="M598" i="21"/>
  <c r="L500" i="21"/>
  <c r="M500" i="21"/>
  <c r="L594" i="21"/>
  <c r="M594" i="21"/>
  <c r="L554" i="21"/>
  <c r="M554" i="21"/>
  <c r="L480" i="21"/>
  <c r="M480" i="21"/>
  <c r="L476" i="21"/>
  <c r="M476" i="21"/>
  <c r="L522" i="21"/>
  <c r="M522" i="21"/>
  <c r="L516" i="21"/>
  <c r="M516" i="21"/>
  <c r="L513" i="21"/>
  <c r="M513" i="21"/>
  <c r="L571" i="21"/>
  <c r="M571" i="21"/>
  <c r="L413" i="21"/>
  <c r="M413" i="21"/>
  <c r="L195" i="21"/>
  <c r="M195" i="21"/>
  <c r="L164" i="21"/>
  <c r="M164" i="21"/>
  <c r="L437" i="21"/>
  <c r="M437" i="21"/>
  <c r="L98" i="21"/>
  <c r="M98" i="21"/>
  <c r="L453" i="21"/>
  <c r="M453" i="21"/>
  <c r="L426" i="21"/>
  <c r="M426" i="21"/>
  <c r="L288" i="21"/>
  <c r="M288" i="21"/>
  <c r="L378" i="21"/>
  <c r="M378" i="21"/>
  <c r="L289" i="21"/>
  <c r="M289" i="21"/>
  <c r="L392" i="21"/>
  <c r="M392" i="21"/>
  <c r="L265" i="21"/>
  <c r="M265" i="21"/>
  <c r="L300" i="21"/>
  <c r="M300" i="21"/>
  <c r="L415" i="21"/>
  <c r="M415" i="21"/>
  <c r="L445" i="21"/>
  <c r="M445" i="21"/>
  <c r="L384" i="21"/>
  <c r="M384" i="21"/>
  <c r="L210" i="21"/>
  <c r="M210" i="21"/>
  <c r="L434" i="21"/>
  <c r="M434" i="21"/>
  <c r="L75" i="21"/>
  <c r="M75" i="21"/>
  <c r="L131" i="21"/>
  <c r="M131" i="21"/>
  <c r="L301" i="21"/>
  <c r="M301" i="21"/>
  <c r="L427" i="21"/>
  <c r="M427" i="21"/>
  <c r="L435" i="21"/>
  <c r="M435" i="21"/>
  <c r="L84" i="21"/>
  <c r="M84" i="21"/>
  <c r="L99" i="21"/>
  <c r="M99" i="21"/>
  <c r="L223" i="21"/>
  <c r="M223" i="21"/>
  <c r="L366" i="21"/>
  <c r="M366" i="21"/>
  <c r="L249" i="21"/>
  <c r="M249" i="21"/>
  <c r="L186" i="21"/>
  <c r="M186" i="21"/>
  <c r="L234" i="21"/>
  <c r="M234" i="21"/>
  <c r="L311" i="21"/>
  <c r="M311" i="21"/>
  <c r="L193" i="21"/>
  <c r="M193" i="21"/>
  <c r="L96" i="21"/>
  <c r="M96" i="21"/>
  <c r="L197" i="21"/>
  <c r="M197" i="21"/>
  <c r="L157" i="21"/>
  <c r="M157" i="21"/>
  <c r="L105" i="21"/>
  <c r="M105" i="21"/>
  <c r="L377" i="21"/>
  <c r="M377" i="21"/>
  <c r="L400" i="21"/>
  <c r="M400" i="21"/>
  <c r="L207" i="21"/>
  <c r="M207" i="21"/>
  <c r="L370" i="21"/>
  <c r="M370" i="21"/>
  <c r="L347" i="21"/>
  <c r="M347" i="21"/>
  <c r="L124" i="21"/>
  <c r="M124" i="21"/>
  <c r="L285" i="21"/>
  <c r="M285" i="21"/>
  <c r="L386" i="21"/>
  <c r="M386" i="21"/>
  <c r="L163" i="21"/>
  <c r="M163" i="21"/>
  <c r="L309" i="21"/>
  <c r="M309" i="21"/>
  <c r="L264" i="21"/>
  <c r="M264" i="21"/>
  <c r="L507" i="21"/>
  <c r="M507" i="21"/>
  <c r="L599" i="21"/>
  <c r="M599" i="21"/>
  <c r="L584" i="21"/>
  <c r="M584" i="21"/>
  <c r="L467" i="21"/>
  <c r="M467" i="21"/>
  <c r="L530" i="21"/>
  <c r="M530" i="21"/>
  <c r="L461" i="21"/>
  <c r="M461" i="21"/>
  <c r="L557" i="21"/>
  <c r="M557" i="21"/>
  <c r="L489" i="21"/>
  <c r="M489" i="21"/>
  <c r="L576" i="21"/>
  <c r="M576" i="21"/>
  <c r="L496" i="21"/>
  <c r="M496" i="21"/>
  <c r="L478" i="21"/>
  <c r="M478" i="21"/>
  <c r="L551" i="21"/>
  <c r="M551" i="21"/>
  <c r="L485" i="21"/>
  <c r="M485" i="21"/>
  <c r="L520" i="21"/>
  <c r="M520" i="21"/>
  <c r="L518" i="21"/>
  <c r="M518" i="21"/>
  <c r="L468" i="21"/>
  <c r="M468" i="21"/>
  <c r="L590" i="21"/>
  <c r="M590" i="21"/>
  <c r="L493" i="21"/>
  <c r="M493" i="21"/>
  <c r="L574" i="21"/>
  <c r="M574" i="21"/>
  <c r="L474" i="21"/>
  <c r="M474" i="21"/>
  <c r="L591" i="21"/>
  <c r="M591" i="21"/>
  <c r="L565" i="21"/>
  <c r="M565" i="21"/>
  <c r="L484" i="21"/>
  <c r="M484" i="21"/>
  <c r="L114" i="21"/>
  <c r="M114" i="21"/>
  <c r="L258" i="21"/>
  <c r="M258" i="21"/>
  <c r="L423" i="21"/>
  <c r="M423" i="21"/>
  <c r="L172" i="21"/>
  <c r="M172" i="21"/>
  <c r="L70" i="21"/>
  <c r="M70" i="21"/>
  <c r="L251" i="21"/>
  <c r="M251" i="21"/>
  <c r="L86" i="21"/>
  <c r="M86" i="21"/>
  <c r="L248" i="21"/>
  <c r="M248" i="21"/>
  <c r="L133" i="21"/>
  <c r="M133" i="21"/>
  <c r="L406" i="21"/>
  <c r="M406" i="21"/>
  <c r="L73" i="21"/>
  <c r="M73" i="21"/>
  <c r="L444" i="21"/>
  <c r="M444" i="21"/>
  <c r="L330" i="21"/>
  <c r="M330" i="21"/>
  <c r="L184" i="21"/>
  <c r="M184" i="21"/>
  <c r="L439" i="21"/>
  <c r="M439" i="21"/>
  <c r="L318" i="21"/>
  <c r="M318" i="21"/>
  <c r="L281" i="21"/>
  <c r="M281" i="21"/>
  <c r="L255" i="21"/>
  <c r="M255" i="21"/>
  <c r="L149" i="21"/>
  <c r="M149" i="21"/>
  <c r="L456" i="21"/>
  <c r="M456" i="21"/>
  <c r="L345" i="21"/>
  <c r="M345" i="21"/>
  <c r="L430" i="21"/>
  <c r="M430" i="21"/>
  <c r="L154" i="21"/>
  <c r="M154" i="21"/>
  <c r="L150" i="21"/>
  <c r="M150" i="21"/>
  <c r="L358" i="21"/>
  <c r="M358" i="21"/>
  <c r="L202" i="21"/>
  <c r="M202" i="21"/>
  <c r="L205" i="21"/>
  <c r="M205" i="21"/>
  <c r="L282" i="21"/>
  <c r="M282" i="21"/>
  <c r="L278" i="21"/>
  <c r="M278" i="21"/>
  <c r="L307" i="21"/>
  <c r="M307" i="21"/>
  <c r="L452" i="21"/>
  <c r="M452" i="21"/>
  <c r="L169" i="21"/>
  <c r="M169" i="21"/>
  <c r="L71" i="21"/>
  <c r="M71" i="21"/>
  <c r="L221" i="21"/>
  <c r="M221" i="21"/>
  <c r="L279" i="21"/>
  <c r="M279" i="21"/>
  <c r="L241" i="21"/>
  <c r="M241" i="21"/>
  <c r="L442" i="21"/>
  <c r="M442" i="21"/>
  <c r="L222" i="21"/>
  <c r="M222" i="21"/>
  <c r="L308" i="21"/>
  <c r="M308" i="21"/>
  <c r="L334" i="21"/>
  <c r="M334" i="21"/>
  <c r="L250" i="21"/>
  <c r="M250" i="21"/>
  <c r="L247" i="21"/>
  <c r="M247" i="21"/>
  <c r="L425" i="21"/>
  <c r="M425" i="21"/>
  <c r="L137" i="21"/>
  <c r="M137" i="21"/>
  <c r="L316" i="21"/>
  <c r="M316" i="21"/>
  <c r="L126" i="21"/>
  <c r="M126" i="21"/>
  <c r="L541" i="21"/>
  <c r="M541" i="21"/>
  <c r="L550" i="21"/>
  <c r="M550" i="21"/>
  <c r="L602" i="21"/>
  <c r="M602" i="21"/>
  <c r="L514" i="21"/>
  <c r="M514" i="21"/>
  <c r="L562" i="21"/>
  <c r="M562" i="21"/>
  <c r="L460" i="21"/>
  <c r="M460" i="21"/>
  <c r="L498" i="21"/>
  <c r="M498" i="21"/>
  <c r="L582" i="21"/>
  <c r="M582" i="21"/>
  <c r="L471" i="21"/>
  <c r="M471" i="21"/>
  <c r="L561" i="21"/>
  <c r="M561" i="21"/>
  <c r="L488" i="21"/>
  <c r="M488" i="21"/>
  <c r="L553" i="21"/>
  <c r="M553" i="21"/>
  <c r="L603" i="21"/>
  <c r="M603" i="21"/>
  <c r="L506" i="21"/>
  <c r="M506" i="21"/>
  <c r="L320" i="21"/>
  <c r="M320" i="21"/>
  <c r="L219" i="21"/>
  <c r="M219" i="21"/>
  <c r="L352" i="21"/>
  <c r="M352" i="21"/>
  <c r="L431" i="21"/>
  <c r="M431" i="21"/>
  <c r="L200" i="21"/>
  <c r="M200" i="21"/>
  <c r="L383" i="21"/>
  <c r="M383" i="21"/>
  <c r="L411" i="21"/>
  <c r="M411" i="21"/>
  <c r="L216" i="21"/>
  <c r="M216" i="21"/>
  <c r="L329" i="21"/>
  <c r="M329" i="21"/>
  <c r="L321" i="21"/>
  <c r="M321" i="21"/>
  <c r="L454" i="21"/>
  <c r="M454" i="21"/>
  <c r="L388" i="21"/>
  <c r="M388" i="21"/>
  <c r="L313" i="21"/>
  <c r="M313" i="21"/>
  <c r="L266" i="21"/>
  <c r="M266" i="21"/>
  <c r="L389" i="21"/>
  <c r="M389" i="21"/>
  <c r="L393" i="21"/>
  <c r="M393" i="21"/>
  <c r="L239" i="21"/>
  <c r="M239" i="21"/>
  <c r="L451" i="21"/>
  <c r="M451" i="21"/>
  <c r="L440" i="21"/>
  <c r="M440" i="21"/>
  <c r="L185" i="21"/>
  <c r="M185" i="21"/>
  <c r="L380" i="21"/>
  <c r="M380" i="21"/>
  <c r="L324" i="21"/>
  <c r="M324" i="21"/>
  <c r="L217" i="21"/>
  <c r="M217" i="21"/>
  <c r="L277" i="21"/>
  <c r="M277" i="21"/>
  <c r="L132" i="21"/>
  <c r="M132" i="21"/>
  <c r="L127" i="21"/>
  <c r="M127" i="21"/>
  <c r="L354" i="21"/>
  <c r="M354" i="21"/>
  <c r="L115" i="21"/>
  <c r="M115" i="21"/>
  <c r="L447" i="21"/>
  <c r="M447" i="21"/>
  <c r="L196" i="21"/>
  <c r="M196" i="21"/>
  <c r="L412" i="21"/>
  <c r="M412" i="21"/>
  <c r="L161" i="21"/>
  <c r="M161" i="21"/>
  <c r="L231" i="21"/>
  <c r="M231" i="21"/>
  <c r="L102" i="21"/>
  <c r="M102" i="21"/>
  <c r="L325" i="21"/>
  <c r="M325" i="21"/>
  <c r="L235" i="21"/>
  <c r="M235" i="21"/>
  <c r="L190" i="21"/>
  <c r="M190" i="21"/>
  <c r="L156" i="21"/>
  <c r="M156" i="21"/>
  <c r="L226" i="21"/>
  <c r="M226" i="21"/>
  <c r="L315" i="21"/>
  <c r="M315" i="21"/>
  <c r="L82" i="21"/>
  <c r="M82" i="21"/>
  <c r="L97" i="21"/>
  <c r="M97" i="21"/>
  <c r="L94" i="21"/>
  <c r="M94" i="21"/>
  <c r="L69" i="21"/>
  <c r="M69" i="21"/>
  <c r="L191" i="21"/>
  <c r="M191" i="21"/>
  <c r="L199" i="21"/>
  <c r="M199" i="21"/>
  <c r="L517" i="21"/>
  <c r="M517" i="21"/>
  <c r="L473" i="21"/>
  <c r="M473" i="21"/>
  <c r="L600" i="21"/>
  <c r="M600" i="21"/>
  <c r="L483" i="21"/>
  <c r="M483" i="21"/>
  <c r="L497" i="21"/>
  <c r="M497" i="21"/>
  <c r="L491" i="21"/>
  <c r="M491" i="21"/>
  <c r="L604" i="21"/>
  <c r="M604" i="21"/>
  <c r="L570" i="21"/>
  <c r="M570" i="21"/>
  <c r="L555" i="21"/>
  <c r="M555" i="21"/>
  <c r="L529" i="21"/>
  <c r="M529" i="21"/>
  <c r="L595" i="21"/>
  <c r="M595" i="21"/>
  <c r="L531" i="21"/>
  <c r="M531" i="21"/>
  <c r="L495" i="21"/>
  <c r="M495" i="21"/>
  <c r="L527" i="21"/>
  <c r="M527" i="21"/>
  <c r="L580" i="21"/>
  <c r="M580" i="21"/>
  <c r="L578" i="21"/>
  <c r="M578" i="21"/>
  <c r="L521" i="21"/>
  <c r="M521" i="21"/>
  <c r="L462" i="21"/>
  <c r="M462" i="21"/>
  <c r="L543" i="21"/>
  <c r="M543" i="21"/>
  <c r="L526" i="21"/>
  <c r="M526" i="21"/>
  <c r="L502" i="21"/>
  <c r="M502" i="21"/>
  <c r="L566" i="21"/>
  <c r="M566" i="21"/>
  <c r="L539" i="21"/>
  <c r="M539" i="21"/>
  <c r="L466" i="21"/>
  <c r="M466" i="21"/>
  <c r="L533" i="21"/>
  <c r="M533" i="21"/>
  <c r="L77" i="21"/>
  <c r="M77" i="21"/>
  <c r="L443" i="21"/>
  <c r="M443" i="21"/>
  <c r="L72" i="21"/>
  <c r="M72" i="21"/>
  <c r="L67" i="21"/>
  <c r="M67" i="21"/>
  <c r="L294" i="21"/>
  <c r="M294" i="21"/>
  <c r="L83" i="21"/>
  <c r="M83" i="21"/>
  <c r="L397" i="21"/>
  <c r="M397" i="21"/>
  <c r="L128" i="21"/>
  <c r="M128" i="21"/>
  <c r="L367" i="21"/>
  <c r="M367" i="21"/>
  <c r="L147" i="21"/>
  <c r="M147" i="21"/>
  <c r="L183" i="21"/>
  <c r="M183" i="21"/>
  <c r="L87" i="21"/>
  <c r="M87" i="21"/>
  <c r="L148" i="21"/>
  <c r="M148" i="21"/>
  <c r="L139" i="21"/>
  <c r="M139" i="21"/>
  <c r="L81" i="21"/>
  <c r="M81" i="21"/>
  <c r="L450" i="21"/>
  <c r="M450" i="21"/>
  <c r="L446" i="21"/>
  <c r="M446" i="21"/>
  <c r="L107" i="21"/>
  <c r="M107" i="21"/>
  <c r="L394" i="21"/>
  <c r="M394" i="21"/>
  <c r="L177" i="21"/>
  <c r="M177" i="21"/>
  <c r="L287" i="21"/>
  <c r="M287" i="21"/>
  <c r="L398" i="21"/>
  <c r="M398" i="21"/>
  <c r="L421" i="21"/>
  <c r="M421" i="21"/>
  <c r="L417" i="21"/>
  <c r="M417" i="21"/>
  <c r="L268" i="21"/>
  <c r="M268" i="21"/>
  <c r="L170" i="21"/>
  <c r="M170" i="21"/>
  <c r="L108" i="21"/>
  <c r="M108" i="21"/>
  <c r="L213" i="21"/>
  <c r="M213" i="21"/>
  <c r="L220" i="21"/>
  <c r="M220" i="21"/>
  <c r="L259" i="21"/>
  <c r="M259" i="21"/>
  <c r="L272" i="21"/>
  <c r="M272" i="21"/>
  <c r="L153" i="21"/>
  <c r="M153" i="21"/>
  <c r="L362" i="21"/>
  <c r="M362" i="21"/>
  <c r="L399" i="21"/>
  <c r="M399" i="21"/>
  <c r="L100" i="21"/>
  <c r="M100" i="21"/>
  <c r="L229" i="21"/>
  <c r="M229" i="21"/>
  <c r="L436" i="21"/>
  <c r="M436" i="21"/>
  <c r="L238" i="21"/>
  <c r="M238" i="21"/>
  <c r="L188" i="21"/>
  <c r="M188" i="21"/>
  <c r="L381" i="21"/>
  <c r="M381" i="21"/>
  <c r="L275" i="21"/>
  <c r="M275" i="21"/>
  <c r="L364" i="21"/>
  <c r="M364" i="21"/>
  <c r="L159" i="21"/>
  <c r="M159" i="21"/>
  <c r="L113" i="21"/>
  <c r="M113" i="21"/>
  <c r="L215" i="21"/>
  <c r="M215" i="21"/>
  <c r="L428" i="21"/>
  <c r="M428" i="21"/>
  <c r="L17" i="21"/>
  <c r="M17" i="21"/>
  <c r="L57" i="21"/>
  <c r="M57" i="21"/>
  <c r="L60" i="21"/>
  <c r="M60" i="21"/>
  <c r="L43" i="21"/>
  <c r="M43" i="21"/>
  <c r="L29" i="21"/>
  <c r="M29" i="21"/>
  <c r="L54" i="21"/>
  <c r="M54" i="21"/>
  <c r="L44" i="21"/>
  <c r="M44" i="21"/>
  <c r="L7" i="21"/>
  <c r="M7" i="21"/>
  <c r="L46" i="21"/>
  <c r="M46" i="21"/>
  <c r="L42" i="21"/>
  <c r="M42" i="21"/>
  <c r="L45" i="21"/>
  <c r="M45" i="21"/>
  <c r="L56" i="21"/>
  <c r="M56" i="21"/>
  <c r="L20" i="21"/>
  <c r="M20" i="21"/>
  <c r="L15" i="21"/>
  <c r="M15" i="21"/>
  <c r="L38" i="21"/>
  <c r="M38" i="21"/>
  <c r="L5" i="21"/>
  <c r="M5" i="21"/>
  <c r="L19" i="21"/>
  <c r="M19" i="21"/>
  <c r="L8" i="21"/>
  <c r="M8" i="21"/>
  <c r="L40" i="21"/>
  <c r="M40" i="21"/>
  <c r="L47" i="21"/>
  <c r="M47" i="21"/>
  <c r="L63" i="21"/>
  <c r="M63" i="21"/>
  <c r="L23" i="21"/>
  <c r="M23" i="21"/>
  <c r="L14" i="21"/>
  <c r="M14" i="21"/>
  <c r="L59" i="21"/>
  <c r="M59" i="21"/>
  <c r="L10" i="21"/>
  <c r="M10" i="21"/>
  <c r="L61" i="21"/>
  <c r="M61" i="21"/>
  <c r="L18" i="21"/>
  <c r="M18" i="21"/>
  <c r="L36" i="21"/>
  <c r="M36" i="21"/>
  <c r="L22" i="21"/>
  <c r="M22" i="21"/>
  <c r="L37" i="21"/>
  <c r="M37" i="21"/>
  <c r="L30" i="21"/>
  <c r="M30" i="21"/>
  <c r="L13" i="21"/>
  <c r="M13" i="21"/>
  <c r="L25" i="21"/>
  <c r="M25" i="21"/>
  <c r="L16" i="21"/>
  <c r="M16" i="21"/>
  <c r="L12" i="21"/>
  <c r="M12" i="21"/>
  <c r="L48" i="21"/>
  <c r="M48" i="21"/>
  <c r="L9" i="21"/>
  <c r="M9" i="21"/>
  <c r="L21" i="21"/>
  <c r="M21" i="21"/>
  <c r="L41" i="21"/>
  <c r="M41" i="21"/>
  <c r="L49" i="21"/>
  <c r="M49" i="21"/>
  <c r="L52" i="21"/>
  <c r="M52" i="21"/>
  <c r="L27" i="21"/>
  <c r="M27" i="21"/>
  <c r="L24" i="21"/>
  <c r="M24" i="21"/>
  <c r="L50" i="21"/>
  <c r="M50" i="21"/>
  <c r="L35" i="21"/>
  <c r="M35" i="21"/>
  <c r="L26" i="21"/>
  <c r="M26" i="21"/>
  <c r="L55" i="21"/>
  <c r="M55" i="21"/>
  <c r="L3" i="21"/>
  <c r="M3" i="21"/>
  <c r="L53" i="21"/>
  <c r="M53" i="21"/>
  <c r="L58" i="21"/>
  <c r="M58" i="21"/>
  <c r="L11" i="21"/>
  <c r="M11" i="21"/>
  <c r="L6" i="21"/>
  <c r="M6" i="21"/>
  <c r="L4" i="21"/>
  <c r="M4" i="21"/>
  <c r="L28" i="21"/>
  <c r="M28" i="21"/>
  <c r="L51" i="21"/>
  <c r="M51" i="21"/>
  <c r="L62" i="21"/>
  <c r="M62" i="21"/>
  <c r="L39" i="21"/>
  <c r="M39" i="21"/>
  <c r="O1889" i="2"/>
  <c r="N3211" i="24"/>
  <c r="N3211"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Office of Water Programs, owp-sp25</author>
    <author>David Babchanik</author>
  </authors>
  <commentList>
    <comment ref="K2" authorId="0" shapeId="0" xr:uid="{6FEB4D8C-5CCE-4A34-BDF2-5D81BF2E9B74}">
      <text>
        <r>
          <rPr>
            <b/>
            <sz val="9"/>
            <color indexed="81"/>
            <rFont val="Tahoma"/>
            <family val="2"/>
          </rPr>
          <t>Office of Water Programs, owp-sp25:</t>
        </r>
        <r>
          <rPr>
            <sz val="9"/>
            <color indexed="81"/>
            <rFont val="Tahoma"/>
            <family val="2"/>
          </rPr>
          <t xml:space="preserve">
Unsure about adding value because they need to be standardized </t>
        </r>
      </text>
    </comment>
    <comment ref="G9" authorId="0" shapeId="0" xr:uid="{20811E54-87EC-46EF-B2F2-00E8357A4C9B}">
      <text>
        <r>
          <rPr>
            <b/>
            <sz val="9"/>
            <color indexed="81"/>
            <rFont val="Tahoma"/>
            <family val="2"/>
          </rPr>
          <t>David Babchanik:</t>
        </r>
        <r>
          <rPr>
            <sz val="9"/>
            <color indexed="81"/>
            <rFont val="Tahoma"/>
            <family val="2"/>
          </rPr>
          <t xml:space="preserve">
Standard Urban Storm Water Mitigation Plan</t>
        </r>
      </text>
    </comment>
    <comment ref="G13" authorId="1" shapeId="0" xr:uid="{5A30BEC6-9A72-42E2-8298-4D3C19F46E43}">
      <text>
        <r>
          <rPr>
            <b/>
            <sz val="9"/>
            <color indexed="81"/>
            <rFont val="Tahoma"/>
            <family val="2"/>
          </rPr>
          <t>David Babchanik:</t>
        </r>
        <r>
          <rPr>
            <sz val="9"/>
            <color indexed="81"/>
            <rFont val="Tahoma"/>
            <family val="2"/>
          </rPr>
          <t xml:space="preserve">
Includes administration across multiple program components per tables 3, 4, and 5 in the annual report</t>
        </r>
      </text>
    </comment>
    <comment ref="G149" authorId="1" shapeId="0" xr:uid="{027B3D8D-4AD0-4C34-AA2E-8085E1A84F77}">
      <text>
        <r>
          <rPr>
            <b/>
            <sz val="9"/>
            <color indexed="81"/>
            <rFont val="Tahoma"/>
            <family val="2"/>
          </rPr>
          <t>David Babchanik:</t>
        </r>
        <r>
          <rPr>
            <sz val="9"/>
            <color indexed="81"/>
            <rFont val="Tahoma"/>
            <family val="2"/>
          </rPr>
          <t xml:space="preserve">
Permit definition of PIPP blends both categories</t>
        </r>
      </text>
    </comment>
    <comment ref="G167" authorId="1" shapeId="0" xr:uid="{4E4276AE-8F65-4ABC-980A-D99B4DD6FCA5}">
      <text>
        <r>
          <rPr>
            <b/>
            <sz val="9"/>
            <color indexed="81"/>
            <rFont val="Tahoma"/>
            <family val="2"/>
          </rPr>
          <t>David Babchanik:</t>
        </r>
        <r>
          <rPr>
            <sz val="9"/>
            <color indexed="81"/>
            <rFont val="Tahoma"/>
            <family val="2"/>
          </rPr>
          <t xml:space="preserve">
Management, maintenance, inventory, training, procedures</t>
        </r>
      </text>
    </comment>
    <comment ref="G381" authorId="1" shapeId="0" xr:uid="{9F9A1572-10C5-48E8-8227-5AE4FB6E6352}">
      <text>
        <r>
          <rPr>
            <b/>
            <sz val="9"/>
            <color indexed="81"/>
            <rFont val="Tahoma"/>
            <family val="2"/>
          </rPr>
          <t>David Babchanik:</t>
        </r>
        <r>
          <rPr>
            <sz val="9"/>
            <color indexed="81"/>
            <rFont val="Tahoma"/>
            <family val="2"/>
          </rPr>
          <t xml:space="preserve">
Blends both public categories</t>
        </r>
      </text>
    </comment>
    <comment ref="K806" authorId="1" shapeId="0" xr:uid="{49654F20-625D-4630-AEBC-41913DA1310F}">
      <text>
        <r>
          <rPr>
            <b/>
            <sz val="9"/>
            <color indexed="81"/>
            <rFont val="Tahoma"/>
            <family val="2"/>
          </rPr>
          <t>David Babchanik:</t>
        </r>
        <r>
          <rPr>
            <sz val="9"/>
            <color indexed="81"/>
            <rFont val="Tahoma"/>
            <family val="2"/>
          </rPr>
          <t xml:space="preserve">
Original table has two values in the Monitoring row</t>
        </r>
      </text>
    </comment>
    <comment ref="K807" authorId="1" shapeId="0" xr:uid="{68CFC1F2-0554-42C4-8BEB-FC3218B137C7}">
      <text>
        <r>
          <rPr>
            <b/>
            <sz val="9"/>
            <color indexed="81"/>
            <rFont val="Tahoma"/>
            <family val="2"/>
          </rPr>
          <t>David Babchanik:</t>
        </r>
        <r>
          <rPr>
            <sz val="9"/>
            <color indexed="81"/>
            <rFont val="Tahoma"/>
            <family val="2"/>
          </rPr>
          <t xml:space="preserve">
Other has two values in the Other row</t>
        </r>
      </text>
    </comment>
    <comment ref="K902" authorId="1" shapeId="0" xr:uid="{600D1460-0535-43C2-B872-6919C53E2880}">
      <text>
        <r>
          <rPr>
            <b/>
            <sz val="9"/>
            <color indexed="81"/>
            <rFont val="Tahoma"/>
            <family val="2"/>
          </rPr>
          <t>David Babchanik:</t>
        </r>
        <r>
          <rPr>
            <sz val="9"/>
            <color indexed="81"/>
            <rFont val="Tahoma"/>
            <family val="2"/>
          </rPr>
          <t xml:space="preserve">
Typo from original table, says 45,00, might have meant 45,000?</t>
        </r>
      </text>
    </comment>
    <comment ref="B1469" authorId="1" shapeId="0" xr:uid="{DD21B5EB-F02E-4966-A29B-67D0E1AFEF77}">
      <text>
        <r>
          <rPr>
            <b/>
            <sz val="9"/>
            <color indexed="81"/>
            <rFont val="Tahoma"/>
            <family val="2"/>
          </rPr>
          <t>David Babchanik:</t>
        </r>
        <r>
          <rPr>
            <sz val="9"/>
            <color indexed="81"/>
            <rFont val="Tahoma"/>
            <family val="2"/>
          </rPr>
          <t xml:space="preserve">
Principal Permittee</t>
        </r>
      </text>
    </comment>
    <comment ref="G1564" authorId="1" shapeId="0" xr:uid="{E37A0A66-0A16-406D-9EBD-27A58555030C}">
      <text>
        <r>
          <rPr>
            <b/>
            <sz val="9"/>
            <color indexed="81"/>
            <rFont val="Tahoma"/>
            <family val="2"/>
          </rPr>
          <t>David Babchanik:</t>
        </r>
        <r>
          <rPr>
            <sz val="9"/>
            <color indexed="81"/>
            <rFont val="Tahoma"/>
            <family val="2"/>
          </rPr>
          <t xml:space="preserve">
Public Agency expenditures for the FY15-16 reporting year are broken down as follows:
$88,00 street sweeping
$2,000 catch basin cleaning
$2,000 consultant work
Other for the FY15-16 reporting year is work provided by City's stormwater consultant for watershed activities.</t>
        </r>
      </text>
    </comment>
    <comment ref="G1582" authorId="1" shapeId="0" xr:uid="{71D5EA80-6CAC-459A-A896-EB791F5F5834}">
      <text>
        <r>
          <rPr>
            <b/>
            <sz val="9"/>
            <color indexed="81"/>
            <rFont val="Tahoma"/>
            <family val="2"/>
          </rPr>
          <t>David Babchanik:</t>
        </r>
        <r>
          <rPr>
            <sz val="9"/>
            <color indexed="81"/>
            <rFont val="Tahoma"/>
            <family val="2"/>
          </rPr>
          <t xml:space="preserve">
Cells highlighted orange are included in the Environmental Performance Reporting Program</t>
        </r>
      </text>
    </comment>
    <comment ref="G1666" authorId="1" shapeId="0" xr:uid="{1E50E50C-E361-4DE0-977C-7A204FCCACA2}">
      <text>
        <r>
          <rPr>
            <b/>
            <sz val="9"/>
            <color indexed="81"/>
            <rFont val="Tahoma"/>
            <family val="2"/>
          </rPr>
          <t>David Babchanik:</t>
        </r>
        <r>
          <rPr>
            <sz val="9"/>
            <color indexed="81"/>
            <rFont val="Tahoma"/>
            <family val="2"/>
          </rPr>
          <t xml:space="preserve">
O&amp;M Costs</t>
        </r>
      </text>
    </comment>
    <comment ref="G1699" authorId="1" shapeId="0" xr:uid="{E96BEC09-F157-4D7A-A01C-28B24A7AEF37}">
      <text>
        <r>
          <rPr>
            <b/>
            <sz val="9"/>
            <color indexed="81"/>
            <rFont val="Tahoma"/>
            <family val="2"/>
          </rPr>
          <t>David Babchanik:</t>
        </r>
        <r>
          <rPr>
            <sz val="9"/>
            <color indexed="81"/>
            <rFont val="Tahoma"/>
            <family val="2"/>
          </rPr>
          <t xml:space="preserve">
O&amp;M Costs</t>
        </r>
      </text>
    </comment>
    <comment ref="G1732" authorId="1" shapeId="0" xr:uid="{4A6FE679-F09F-4341-ABBD-C19EE3B87E92}">
      <text>
        <r>
          <rPr>
            <b/>
            <sz val="9"/>
            <color indexed="81"/>
            <rFont val="Tahoma"/>
            <family val="2"/>
          </rPr>
          <t>David Babchanik:</t>
        </r>
        <r>
          <rPr>
            <sz val="9"/>
            <color indexed="81"/>
            <rFont val="Tahoma"/>
            <family val="2"/>
          </rPr>
          <t xml:space="preserve">
O&amp;M Costs</t>
        </r>
      </text>
    </comment>
    <comment ref="G1778" authorId="1" shapeId="0" xr:uid="{D5AC78EE-B4DF-4694-AD02-74C6D5439429}">
      <text>
        <r>
          <rPr>
            <b/>
            <sz val="9"/>
            <color indexed="81"/>
            <rFont val="Tahoma"/>
            <family val="2"/>
          </rPr>
          <t>David Babchanik:</t>
        </r>
        <r>
          <rPr>
            <sz val="9"/>
            <color indexed="81"/>
            <rFont val="Tahoma"/>
            <family val="2"/>
          </rPr>
          <t xml:space="preserve">
O&amp;M Costs</t>
        </r>
      </text>
    </comment>
    <comment ref="G1993" authorId="1" shapeId="0" xr:uid="{B2DCCB5A-3BEA-43E0-B5FB-FBBDEE68A728}">
      <text>
        <r>
          <rPr>
            <b/>
            <sz val="9"/>
            <color indexed="81"/>
            <rFont val="Tahoma"/>
            <family val="2"/>
          </rPr>
          <t>David Babchanik:</t>
        </r>
        <r>
          <rPr>
            <sz val="9"/>
            <color indexed="81"/>
            <rFont val="Tahoma"/>
            <family val="2"/>
          </rPr>
          <t xml:space="preserve">
Capital Costs</t>
        </r>
      </text>
    </comment>
    <comment ref="G1996" authorId="1" shapeId="0" xr:uid="{C5DFFF2C-BF86-47D9-8EB8-DE4EFAADB0D3}">
      <text>
        <r>
          <rPr>
            <b/>
            <sz val="9"/>
            <color indexed="81"/>
            <rFont val="Tahoma"/>
            <family val="2"/>
          </rPr>
          <t>David Babchanik:</t>
        </r>
        <r>
          <rPr>
            <sz val="9"/>
            <color indexed="81"/>
            <rFont val="Tahoma"/>
            <family val="2"/>
          </rPr>
          <t xml:space="preserve">
O&amp;M Costs</t>
        </r>
      </text>
    </comment>
    <comment ref="G2009" authorId="1" shapeId="0" xr:uid="{458D5634-34BD-4E78-8485-9B88F1E99646}">
      <text>
        <r>
          <rPr>
            <b/>
            <sz val="9"/>
            <color indexed="81"/>
            <rFont val="Tahoma"/>
            <family val="2"/>
          </rPr>
          <t>David Babchanik:</t>
        </r>
        <r>
          <rPr>
            <sz val="9"/>
            <color indexed="81"/>
            <rFont val="Tahoma"/>
            <family val="2"/>
          </rPr>
          <t xml:space="preserve">
LIP categorizes as Public Information</t>
        </r>
      </text>
    </comment>
    <comment ref="G2046" authorId="1" shapeId="0" xr:uid="{A073D6C5-3A45-43E8-B81D-46038EE4AA15}">
      <text>
        <r>
          <rPr>
            <b/>
            <sz val="9"/>
            <color indexed="81"/>
            <rFont val="Tahoma"/>
            <family val="2"/>
          </rPr>
          <t>David Babchanik:</t>
        </r>
        <r>
          <rPr>
            <sz val="9"/>
            <color indexed="81"/>
            <rFont val="Tahoma"/>
            <family val="2"/>
          </rPr>
          <t xml:space="preserve">
Assuming these are capital costs</t>
        </r>
      </text>
    </comment>
    <comment ref="G2049" authorId="1" shapeId="0" xr:uid="{F7651233-8238-4B66-BF20-4663432D2CB1}">
      <text>
        <r>
          <rPr>
            <b/>
            <sz val="9"/>
            <color indexed="81"/>
            <rFont val="Tahoma"/>
            <family val="2"/>
          </rPr>
          <t>David Babchanik:</t>
        </r>
        <r>
          <rPr>
            <sz val="9"/>
            <color indexed="81"/>
            <rFont val="Tahoma"/>
            <family val="2"/>
          </rPr>
          <t xml:space="preserve">
O&amp;M Costs</t>
        </r>
      </text>
    </comment>
    <comment ref="G2062" authorId="1" shapeId="0" xr:uid="{2C4BC62F-7F60-494D-AC8D-629D2F059148}">
      <text>
        <r>
          <rPr>
            <b/>
            <sz val="9"/>
            <color indexed="81"/>
            <rFont val="Tahoma"/>
            <family val="2"/>
          </rPr>
          <t>David Babchanik:</t>
        </r>
        <r>
          <rPr>
            <sz val="9"/>
            <color indexed="81"/>
            <rFont val="Tahoma"/>
            <family val="2"/>
          </rPr>
          <t xml:space="preserve">
LIP categorizes as Public Information</t>
        </r>
      </text>
    </comment>
    <comment ref="G2064" authorId="1" shapeId="0" xr:uid="{7D7E0A88-5C86-4F7C-8273-503A398AA53E}">
      <text>
        <r>
          <rPr>
            <b/>
            <sz val="9"/>
            <color indexed="81"/>
            <rFont val="Tahoma"/>
            <family val="2"/>
          </rPr>
          <t>David Babchanik:</t>
        </r>
        <r>
          <rPr>
            <sz val="9"/>
            <color indexed="81"/>
            <rFont val="Tahoma"/>
            <family val="2"/>
          </rPr>
          <t xml:space="preserve">
Assuming these are capital costs</t>
        </r>
      </text>
    </comment>
    <comment ref="G2067" authorId="1" shapeId="0" xr:uid="{8350BE6F-FBD5-4354-873E-95B63E1315FF}">
      <text>
        <r>
          <rPr>
            <b/>
            <sz val="9"/>
            <color indexed="81"/>
            <rFont val="Tahoma"/>
            <family val="2"/>
          </rPr>
          <t>David Babchanik:</t>
        </r>
        <r>
          <rPr>
            <sz val="9"/>
            <color indexed="81"/>
            <rFont val="Tahoma"/>
            <family val="2"/>
          </rPr>
          <t xml:space="preserve">
Assuming these are O&amp;M Costs</t>
        </r>
      </text>
    </comment>
    <comment ref="K2081" authorId="1" shapeId="0" xr:uid="{6E6E6E34-DE74-458E-8E32-97A01AA5C295}">
      <text>
        <r>
          <rPr>
            <b/>
            <sz val="9"/>
            <color indexed="81"/>
            <rFont val="Tahoma"/>
            <family val="2"/>
          </rPr>
          <t>David Babchanik:</t>
        </r>
        <r>
          <rPr>
            <sz val="9"/>
            <color indexed="81"/>
            <rFont val="Tahoma"/>
            <family val="2"/>
          </rPr>
          <t xml:space="preserve">
No spending whatsoever for FY 01-02</t>
        </r>
      </text>
    </comment>
    <comment ref="G2272" authorId="1" shapeId="0" xr:uid="{55D98EE9-4ABF-4640-A30A-F7680B9D506A}">
      <text>
        <r>
          <rPr>
            <b/>
            <sz val="9"/>
            <color indexed="81"/>
            <rFont val="Tahoma"/>
            <family val="2"/>
          </rPr>
          <t>David Babchanik:</t>
        </r>
        <r>
          <rPr>
            <sz val="9"/>
            <color indexed="81"/>
            <rFont val="Tahoma"/>
            <family val="2"/>
          </rPr>
          <t xml:space="preserve">
LIP categorizes as Public Information</t>
        </r>
      </text>
    </comment>
    <comment ref="G2545" authorId="1" shapeId="0" xr:uid="{9C7394E1-CA06-466C-B8A1-DC0CBC33B2F7}">
      <text>
        <r>
          <rPr>
            <b/>
            <sz val="9"/>
            <color indexed="81"/>
            <rFont val="Tahoma"/>
            <family val="2"/>
          </rPr>
          <t>David Babchanik:</t>
        </r>
        <r>
          <rPr>
            <sz val="9"/>
            <color indexed="81"/>
            <rFont val="Tahoma"/>
            <family val="2"/>
          </rPr>
          <t xml:space="preserve">
The construction program covers all construction categories</t>
        </r>
      </text>
    </comment>
    <comment ref="G2549" authorId="1" shapeId="0" xr:uid="{C6D5D5BD-111E-48ED-89A3-3D43FF6DB178}">
      <text>
        <r>
          <rPr>
            <b/>
            <sz val="9"/>
            <color indexed="81"/>
            <rFont val="Tahoma"/>
            <family val="2"/>
          </rPr>
          <t>David Babchanik:</t>
        </r>
        <r>
          <rPr>
            <sz val="9"/>
            <color indexed="81"/>
            <rFont val="Tahoma"/>
            <family val="2"/>
          </rPr>
          <t xml:space="preserve">
Combines both public categories</t>
        </r>
      </text>
    </comment>
    <comment ref="G2576" authorId="1" shapeId="0" xr:uid="{17D228C0-188A-4304-B6F1-78BCF0288547}">
      <text>
        <r>
          <rPr>
            <b/>
            <sz val="9"/>
            <color indexed="81"/>
            <rFont val="Tahoma"/>
            <family val="2"/>
          </rPr>
          <t>David Babchanik:</t>
        </r>
        <r>
          <rPr>
            <sz val="9"/>
            <color indexed="81"/>
            <rFont val="Tahoma"/>
            <family val="2"/>
          </rPr>
          <t xml:space="preserve">
Mixes education and participation categories</t>
        </r>
      </text>
    </comment>
    <comment ref="G2578" authorId="1" shapeId="0" xr:uid="{520B8EF8-99AB-4790-B174-FDE0981EF4E5}">
      <text>
        <r>
          <rPr>
            <b/>
            <sz val="9"/>
            <color indexed="81"/>
            <rFont val="Tahoma"/>
            <family val="2"/>
          </rPr>
          <t>David Babchanik:</t>
        </r>
        <r>
          <rPr>
            <sz val="9"/>
            <color indexed="81"/>
            <rFont val="Tahoma"/>
            <family val="2"/>
          </rPr>
          <t xml:space="preserve">
Individual Activities</t>
        </r>
      </text>
    </comment>
    <comment ref="B2602" authorId="1" shapeId="0" xr:uid="{5C006E63-B16F-4704-9B0B-17100A31B42A}">
      <text>
        <r>
          <rPr>
            <b/>
            <sz val="9"/>
            <color indexed="81"/>
            <rFont val="Tahoma"/>
            <family val="2"/>
          </rPr>
          <t>David Babchanik:</t>
        </r>
        <r>
          <rPr>
            <sz val="9"/>
            <color indexed="81"/>
            <rFont val="Tahoma"/>
            <family val="2"/>
          </rPr>
          <t xml:space="preserve">
Citrus Heights provides budget only, not expenses</t>
        </r>
      </text>
    </comment>
    <comment ref="G2610" authorId="1" shapeId="0" xr:uid="{B70FB825-BA2E-4CF7-8C84-EE0CBE705853}">
      <text>
        <r>
          <rPr>
            <b/>
            <sz val="9"/>
            <color indexed="81"/>
            <rFont val="Tahoma"/>
            <family val="2"/>
          </rPr>
          <t>David Babchanik:</t>
        </r>
        <r>
          <rPr>
            <sz val="9"/>
            <color indexed="81"/>
            <rFont val="Tahoma"/>
            <family val="2"/>
          </rPr>
          <t xml:space="preserve">
Activities defined separately in annual report, but combined in cost reporting</t>
        </r>
      </text>
    </comment>
    <comment ref="G2614" authorId="1" shapeId="0" xr:uid="{0EFF5726-D041-42F2-8886-236800800969}">
      <text>
        <r>
          <rPr>
            <b/>
            <sz val="9"/>
            <color indexed="81"/>
            <rFont val="Tahoma"/>
            <family val="2"/>
          </rPr>
          <t>David Babchanik:</t>
        </r>
        <r>
          <rPr>
            <sz val="9"/>
            <color indexed="81"/>
            <rFont val="Tahoma"/>
            <family val="2"/>
          </rPr>
          <t xml:space="preserve">
Undefined</t>
        </r>
      </text>
    </comment>
    <comment ref="G2619" authorId="1" shapeId="0" xr:uid="{CC72D32E-B346-495B-B57D-2B2F611F4621}">
      <text>
        <r>
          <rPr>
            <b/>
            <sz val="9"/>
            <color indexed="81"/>
            <rFont val="Tahoma"/>
            <family val="2"/>
          </rPr>
          <t>David Babchanik:</t>
        </r>
        <r>
          <rPr>
            <sz val="9"/>
            <color indexed="81"/>
            <rFont val="Tahoma"/>
            <family val="2"/>
          </rPr>
          <t xml:space="preserve">
Operation and maintenance costs for the entire storm drainage system</t>
        </r>
      </text>
    </comment>
    <comment ref="G2643" authorId="1" shapeId="0" xr:uid="{971DF256-48AB-4EF1-9246-D1A2FFB10FE9}">
      <text>
        <r>
          <rPr>
            <b/>
            <sz val="9"/>
            <color indexed="81"/>
            <rFont val="Tahoma"/>
            <family val="2"/>
          </rPr>
          <t>David Babchanik:</t>
        </r>
        <r>
          <rPr>
            <sz val="9"/>
            <color indexed="81"/>
            <rFont val="Tahoma"/>
            <family val="2"/>
          </rPr>
          <t xml:space="preserve">
Staff salaries, utility billing, phone charges, computer software/rentals, memberships, permit fees, indirect cost allocations, training, consultant contracts</t>
        </r>
      </text>
    </comment>
    <comment ref="G2644" authorId="1" shapeId="0" xr:uid="{33ED4B9D-2E6D-4E8C-BE91-D53255E3E81A}">
      <text>
        <r>
          <rPr>
            <b/>
            <sz val="9"/>
            <color indexed="81"/>
            <rFont val="Tahoma"/>
            <family val="2"/>
          </rPr>
          <t>David Babchanik:</t>
        </r>
        <r>
          <rPr>
            <sz val="9"/>
            <color indexed="81"/>
            <rFont val="Tahoma"/>
            <family val="2"/>
          </rPr>
          <t xml:space="preserve">
Staff salaries, industrial, commercial, and residential programs, including media and community events</t>
        </r>
      </text>
    </comment>
    <comment ref="G2645" authorId="1" shapeId="0" xr:uid="{0DA5DD19-3F2F-4F66-8395-3768378E6CF6}">
      <text>
        <r>
          <rPr>
            <b/>
            <sz val="9"/>
            <color indexed="81"/>
            <rFont val="Tahoma"/>
            <family val="2"/>
          </rPr>
          <t>David Babchanik:</t>
        </r>
        <r>
          <rPr>
            <sz val="9"/>
            <color indexed="81"/>
            <rFont val="Tahoma"/>
            <family val="2"/>
          </rPr>
          <t xml:space="preserve">
Staff salaries, CIPs, and Storm Drain System Cleaning and Maintenance (includes Illicit Discharges, illegal connections mitigation, and
clean-up)[b]</t>
        </r>
      </text>
    </comment>
    <comment ref="G2646" authorId="1" shapeId="0" xr:uid="{7A0E676D-4730-4B1A-94CE-92B2C3C1AC3C}">
      <text>
        <r>
          <rPr>
            <b/>
            <sz val="9"/>
            <color indexed="81"/>
            <rFont val="Tahoma"/>
            <family val="2"/>
          </rPr>
          <t>David Babchanik:</t>
        </r>
        <r>
          <rPr>
            <sz val="9"/>
            <color indexed="81"/>
            <rFont val="Tahoma"/>
            <family val="2"/>
          </rPr>
          <t xml:space="preserve">
Staff salaries, inspections, and follow-up inspections[c]</t>
        </r>
      </text>
    </comment>
    <comment ref="G2647" authorId="1" shapeId="0" xr:uid="{FF156A97-E5EA-4D97-8E80-C9B09F7A379E}">
      <text>
        <r>
          <rPr>
            <b/>
            <sz val="9"/>
            <color indexed="81"/>
            <rFont val="Tahoma"/>
            <family val="2"/>
          </rPr>
          <t>David Babchanik:</t>
        </r>
        <r>
          <rPr>
            <sz val="9"/>
            <color indexed="81"/>
            <rFont val="Tahoma"/>
            <family val="2"/>
          </rPr>
          <t xml:space="preserve">
Staff salaries, outreach[d]</t>
        </r>
      </text>
    </comment>
    <comment ref="G2648" authorId="1" shapeId="0" xr:uid="{8EA1E6F4-00D7-429B-8C72-B3A534C0072C}">
      <text>
        <r>
          <rPr>
            <b/>
            <sz val="9"/>
            <color indexed="81"/>
            <rFont val="Tahoma"/>
            <family val="2"/>
          </rPr>
          <t>David Babchanik:</t>
        </r>
        <r>
          <rPr>
            <sz val="9"/>
            <color indexed="81"/>
            <rFont val="Tahoma"/>
            <family val="2"/>
          </rPr>
          <t xml:space="preserve">
Staff salaries</t>
        </r>
      </text>
    </comment>
    <comment ref="G2649" authorId="1" shapeId="0" xr:uid="{C1AE3B20-9E42-4653-80F4-ACBD7054787C}">
      <text>
        <r>
          <rPr>
            <b/>
            <sz val="9"/>
            <color indexed="81"/>
            <rFont val="Tahoma"/>
            <family val="2"/>
          </rPr>
          <t>David Babchanik:</t>
        </r>
        <r>
          <rPr>
            <sz val="9"/>
            <color indexed="81"/>
            <rFont val="Tahoma"/>
            <family val="2"/>
          </rPr>
          <t xml:space="preserve">
Includes Baseline Monitoring Program, Bioassessment Analysis, Dry Weather Field Screening, Smith Canal Bathymetry Study, Detention Basin Monitoring, BMP Effectiveness Study, Sediment Toxicity, Smith Canal/Mosher Slough Low DO13267 Letter Monitoring</t>
        </r>
      </text>
    </comment>
    <comment ref="G2650" authorId="1" shapeId="0" xr:uid="{09F0D3E1-8AED-4EDE-9996-AC26754301D3}">
      <text>
        <r>
          <rPr>
            <b/>
            <sz val="9"/>
            <color indexed="81"/>
            <rFont val="Tahoma"/>
            <family val="2"/>
          </rPr>
          <t>David Babchanik:</t>
        </r>
        <r>
          <rPr>
            <sz val="9"/>
            <color indexed="81"/>
            <rFont val="Tahoma"/>
            <family val="2"/>
          </rPr>
          <t xml:space="preserve">
Includes Pesticide, Pathogen, Mercury, and DO Work Plans and Implementation</t>
        </r>
      </text>
    </comment>
    <comment ref="A2663" authorId="0" shapeId="0" xr:uid="{9BCB2F83-859E-41A9-8A81-21FE71435060}">
      <text>
        <r>
          <rPr>
            <b/>
            <sz val="9"/>
            <color indexed="81"/>
            <rFont val="Tahoma"/>
            <family val="2"/>
          </rPr>
          <t>Office of Water Programs, owp-sp25:</t>
        </r>
        <r>
          <rPr>
            <sz val="9"/>
            <color indexed="81"/>
            <rFont val="Tahoma"/>
            <family val="2"/>
          </rPr>
          <t xml:space="preserve">
Single line item labeled Storm Water</t>
        </r>
      </text>
    </comment>
    <comment ref="G2669" authorId="1" shapeId="0" xr:uid="{0C3D5681-601D-4CF4-9D0A-7C8F0C75F47F}">
      <text>
        <r>
          <rPr>
            <b/>
            <sz val="9"/>
            <color indexed="81"/>
            <rFont val="Tahoma"/>
            <family val="2"/>
          </rPr>
          <t>David Babchanik:</t>
        </r>
        <r>
          <rPr>
            <sz val="9"/>
            <color indexed="81"/>
            <rFont val="Tahoma"/>
            <family val="2"/>
          </rPr>
          <t xml:space="preserve">
County-wide costs</t>
        </r>
      </text>
    </comment>
    <comment ref="G2670" authorId="1" shapeId="0" xr:uid="{19DF96F2-52D6-45DC-8A51-CE4F97BB42F0}">
      <text>
        <r>
          <rPr>
            <b/>
            <sz val="9"/>
            <color indexed="81"/>
            <rFont val="Tahoma"/>
            <family val="2"/>
          </rPr>
          <t>David Babchanik:</t>
        </r>
        <r>
          <rPr>
            <sz val="9"/>
            <color indexed="81"/>
            <rFont val="Tahoma"/>
            <family val="2"/>
          </rPr>
          <t xml:space="preserve">
County-wide costs</t>
        </r>
      </text>
    </comment>
    <comment ref="G2672" authorId="1" shapeId="0" xr:uid="{A1784682-E2B2-43B0-8BB8-DA278A8B3A43}">
      <text>
        <r>
          <rPr>
            <b/>
            <sz val="9"/>
            <color indexed="81"/>
            <rFont val="Tahoma"/>
            <family val="2"/>
          </rPr>
          <t>David Babchanik:</t>
        </r>
        <r>
          <rPr>
            <sz val="9"/>
            <color indexed="81"/>
            <rFont val="Tahoma"/>
            <family val="2"/>
          </rPr>
          <t xml:space="preserve">
County-wide costs</t>
        </r>
      </text>
    </comment>
    <comment ref="G2673" authorId="1" shapeId="0" xr:uid="{23D629F4-309D-4136-9D4E-042DC074A8CC}">
      <text>
        <r>
          <rPr>
            <b/>
            <sz val="9"/>
            <color indexed="81"/>
            <rFont val="Tahoma"/>
            <family val="2"/>
          </rPr>
          <t>David Babchanik:</t>
        </r>
        <r>
          <rPr>
            <sz val="9"/>
            <color indexed="81"/>
            <rFont val="Tahoma"/>
            <family val="2"/>
          </rPr>
          <t xml:space="preserve">
County-wide costs</t>
        </r>
      </text>
    </comment>
    <comment ref="G2674" authorId="1" shapeId="0" xr:uid="{20AEBCE5-9A85-485D-A74A-9D67EA53DD6E}">
      <text>
        <r>
          <rPr>
            <b/>
            <sz val="9"/>
            <color indexed="81"/>
            <rFont val="Tahoma"/>
            <family val="2"/>
          </rPr>
          <t>David Babchanik:</t>
        </r>
        <r>
          <rPr>
            <sz val="9"/>
            <color indexed="81"/>
            <rFont val="Tahoma"/>
            <family val="2"/>
          </rPr>
          <t xml:space="preserve">
County-wide costs</t>
        </r>
      </text>
    </comment>
    <comment ref="G2676" authorId="1" shapeId="0" xr:uid="{46F18805-9E08-4F39-9DDA-88F071158298}">
      <text>
        <r>
          <rPr>
            <b/>
            <sz val="9"/>
            <color indexed="81"/>
            <rFont val="Tahoma"/>
            <family val="2"/>
          </rPr>
          <t>David Babchanik:</t>
        </r>
        <r>
          <rPr>
            <sz val="9"/>
            <color indexed="81"/>
            <rFont val="Tahoma"/>
            <family val="2"/>
          </rPr>
          <t xml:space="preserve">
County-wide costs</t>
        </r>
      </text>
    </comment>
    <comment ref="G2680" authorId="1" shapeId="0" xr:uid="{3A04D31F-3961-4BFC-AD06-3DBCCA22CAD1}">
      <text>
        <r>
          <rPr>
            <b/>
            <sz val="9"/>
            <color indexed="81"/>
            <rFont val="Tahoma"/>
            <family val="2"/>
          </rPr>
          <t>David Babchanik:</t>
        </r>
        <r>
          <rPr>
            <sz val="9"/>
            <color indexed="81"/>
            <rFont val="Tahoma"/>
            <family val="2"/>
          </rPr>
          <t xml:space="preserve">
County-wide costs</t>
        </r>
      </text>
    </comment>
    <comment ref="G2681" authorId="1" shapeId="0" xr:uid="{1E2E010A-FD8F-4050-8A25-3C32B00BB26D}">
      <text>
        <r>
          <rPr>
            <b/>
            <sz val="9"/>
            <color indexed="81"/>
            <rFont val="Tahoma"/>
            <family val="2"/>
          </rPr>
          <t>David Babchanik:</t>
        </r>
        <r>
          <rPr>
            <sz val="9"/>
            <color indexed="81"/>
            <rFont val="Tahoma"/>
            <family val="2"/>
          </rPr>
          <t xml:space="preserve">
County-wide costs</t>
        </r>
      </text>
    </comment>
    <comment ref="G2682" authorId="1" shapeId="0" xr:uid="{5568C4DB-58F5-44C9-B23D-BF24EBD7822D}">
      <text>
        <r>
          <rPr>
            <b/>
            <sz val="9"/>
            <color indexed="81"/>
            <rFont val="Tahoma"/>
            <family val="2"/>
          </rPr>
          <t>David Babchanik:</t>
        </r>
        <r>
          <rPr>
            <sz val="9"/>
            <color indexed="81"/>
            <rFont val="Tahoma"/>
            <family val="2"/>
          </rPr>
          <t xml:space="preserve">
County-wide costs</t>
        </r>
      </text>
    </comment>
    <comment ref="G2683" authorId="1" shapeId="0" xr:uid="{A600AF52-153F-43A1-AC65-F43FD83C0B68}">
      <text>
        <r>
          <rPr>
            <b/>
            <sz val="9"/>
            <color indexed="81"/>
            <rFont val="Tahoma"/>
            <family val="2"/>
          </rPr>
          <t>David Babchanik:</t>
        </r>
        <r>
          <rPr>
            <sz val="9"/>
            <color indexed="81"/>
            <rFont val="Tahoma"/>
            <family val="2"/>
          </rPr>
          <t xml:space="preserve">
Not part of the overall NPDES Program; however, considered a significant County-wide NPDES-related activity</t>
        </r>
      </text>
    </comment>
    <comment ref="B2685" authorId="1" shapeId="0" xr:uid="{F1DC263C-BAE3-4935-B497-A24563BE6BBD}">
      <text>
        <r>
          <rPr>
            <b/>
            <sz val="9"/>
            <color indexed="81"/>
            <rFont val="Tahoma"/>
            <family val="2"/>
          </rPr>
          <t>David Babchanik:</t>
        </r>
        <r>
          <rPr>
            <sz val="9"/>
            <color indexed="81"/>
            <rFont val="Tahoma"/>
            <family val="2"/>
          </rPr>
          <t xml:space="preserve">
Reported up to 2018-2019 FY, but I am assuming that costs for 18-19 are estimated/projected, not actual</t>
        </r>
      </text>
    </comment>
    <comment ref="K2916" authorId="1" shapeId="0" xr:uid="{73D09796-347C-46EB-AF93-0B0930184162}">
      <text>
        <r>
          <rPr>
            <b/>
            <sz val="9"/>
            <color indexed="81"/>
            <rFont val="Tahoma"/>
            <family val="2"/>
          </rPr>
          <t>David Babchanik:</t>
        </r>
        <r>
          <rPr>
            <sz val="9"/>
            <color indexed="81"/>
            <rFont val="Tahoma"/>
            <family val="2"/>
          </rPr>
          <t xml:space="preserve">
City council approved values</t>
        </r>
      </text>
    </comment>
    <comment ref="G2987" authorId="1" shapeId="0" xr:uid="{BF73B55F-DD5D-4FDB-8701-D1B6E0CDF563}">
      <text>
        <r>
          <rPr>
            <b/>
            <sz val="9"/>
            <color indexed="81"/>
            <rFont val="Tahoma"/>
            <family val="2"/>
          </rPr>
          <t>David Babchanik:</t>
        </r>
        <r>
          <rPr>
            <sz val="9"/>
            <color indexed="81"/>
            <rFont val="Tahoma"/>
            <family val="2"/>
          </rPr>
          <t xml:space="preserve">
Jurisdictional Components</t>
        </r>
      </text>
    </comment>
    <comment ref="G2994" authorId="1" shapeId="0" xr:uid="{D30E2F0F-C553-43DF-A3DD-11EF5DA20E0E}">
      <text>
        <r>
          <rPr>
            <b/>
            <sz val="9"/>
            <color indexed="81"/>
            <rFont val="Tahoma"/>
            <family val="2"/>
          </rPr>
          <t>David Babchanik:</t>
        </r>
        <r>
          <rPr>
            <sz val="9"/>
            <color indexed="81"/>
            <rFont val="Tahoma"/>
            <family val="2"/>
          </rPr>
          <t xml:space="preserve">
Watershed Component</t>
        </r>
      </text>
    </comment>
    <comment ref="G2995" authorId="1" shapeId="0" xr:uid="{3109CC69-69CE-46DA-A261-4DA06772C2EA}">
      <text>
        <r>
          <rPr>
            <b/>
            <sz val="9"/>
            <color indexed="81"/>
            <rFont val="Tahoma"/>
            <family val="2"/>
          </rPr>
          <t>David Babchanik:</t>
        </r>
        <r>
          <rPr>
            <sz val="9"/>
            <color indexed="81"/>
            <rFont val="Tahoma"/>
            <family val="2"/>
          </rPr>
          <t xml:space="preserve">
Watershed Component</t>
        </r>
      </text>
    </comment>
    <comment ref="G2996" authorId="1" shapeId="0" xr:uid="{11713F5A-D8D7-470C-8B08-5A8567F6B163}">
      <text>
        <r>
          <rPr>
            <b/>
            <sz val="9"/>
            <color indexed="81"/>
            <rFont val="Tahoma"/>
            <family val="2"/>
          </rPr>
          <t>David Babchanik:</t>
        </r>
        <r>
          <rPr>
            <sz val="9"/>
            <color indexed="81"/>
            <rFont val="Tahoma"/>
            <family val="2"/>
          </rPr>
          <t xml:space="preserve">
Regional Component</t>
        </r>
      </text>
    </comment>
    <comment ref="G3054" authorId="1" shapeId="0" xr:uid="{83413388-C3BF-415F-B535-EB80810C0BE9}">
      <text>
        <r>
          <rPr>
            <b/>
            <sz val="9"/>
            <color indexed="81"/>
            <rFont val="Tahoma"/>
            <family val="2"/>
          </rPr>
          <t>David Babchanik:</t>
        </r>
        <r>
          <rPr>
            <sz val="9"/>
            <color indexed="81"/>
            <rFont val="Tahoma"/>
            <family val="2"/>
          </rPr>
          <t xml:space="preserve">
Jurisdictional Component Shared Programs for which costs can not be readily calculated (applies for highlighted cells directly underneath)</t>
        </r>
      </text>
    </comment>
    <comment ref="G3147" authorId="1" shapeId="0" xr:uid="{EDDC9B56-AFC1-4C8B-AE4D-82211A769F4A}">
      <text>
        <r>
          <rPr>
            <b/>
            <sz val="9"/>
            <color indexed="81"/>
            <rFont val="Tahoma"/>
            <family val="2"/>
          </rPr>
          <t>David Babchanik:</t>
        </r>
        <r>
          <rPr>
            <sz val="9"/>
            <color indexed="81"/>
            <rFont val="Tahoma"/>
            <family val="2"/>
          </rPr>
          <t xml:space="preserve">
Activities Implemented through Cost Share Agreements with Other Agencies</t>
        </r>
      </text>
    </comment>
    <comment ref="B3178" authorId="1" shapeId="0" xr:uid="{D6A58739-953D-4041-B967-91359677F290}">
      <text>
        <r>
          <rPr>
            <b/>
            <sz val="9"/>
            <color indexed="81"/>
            <rFont val="Tahoma"/>
            <family val="2"/>
          </rPr>
          <t>David Babchanik:</t>
        </r>
        <r>
          <rPr>
            <sz val="9"/>
            <color indexed="81"/>
            <rFont val="Tahoma"/>
            <family val="2"/>
          </rPr>
          <t xml:space="preserve">
Unsure about table, "water water enterprise fund", also some line items are cut off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Office of Water Programs, owp-sp25</author>
    <author>David Babchanik</author>
  </authors>
  <commentList>
    <comment ref="K2" authorId="0" shapeId="0" xr:uid="{DF8D604F-34C0-4215-AE63-ABD4AB9ADB0E}">
      <text>
        <r>
          <rPr>
            <b/>
            <sz val="9"/>
            <color indexed="81"/>
            <rFont val="Tahoma"/>
            <family val="2"/>
          </rPr>
          <t>Office of Water Programs, owp-sp25:</t>
        </r>
        <r>
          <rPr>
            <sz val="9"/>
            <color indexed="81"/>
            <rFont val="Tahoma"/>
            <family val="2"/>
          </rPr>
          <t xml:space="preserve">
Unsure about adding value because they need to be standardized </t>
        </r>
      </text>
    </comment>
    <comment ref="G9" authorId="0" shapeId="0" xr:uid="{0B8CF8D5-662A-4DE1-B615-B22D35F77A1C}">
      <text>
        <r>
          <rPr>
            <b/>
            <sz val="9"/>
            <color indexed="81"/>
            <rFont val="Tahoma"/>
            <family val="2"/>
          </rPr>
          <t>David Babchanik:</t>
        </r>
        <r>
          <rPr>
            <sz val="9"/>
            <color indexed="81"/>
            <rFont val="Tahoma"/>
            <family val="2"/>
          </rPr>
          <t xml:space="preserve">
Standard Urban Storm Water Mitigation Plan</t>
        </r>
      </text>
    </comment>
    <comment ref="G13" authorId="1" shapeId="0" xr:uid="{D4775DA2-2903-4234-B9D9-ACBE5D7E0C14}">
      <text>
        <r>
          <rPr>
            <b/>
            <sz val="9"/>
            <color indexed="81"/>
            <rFont val="Tahoma"/>
            <family val="2"/>
          </rPr>
          <t>David Babchanik:</t>
        </r>
        <r>
          <rPr>
            <sz val="9"/>
            <color indexed="81"/>
            <rFont val="Tahoma"/>
            <family val="2"/>
          </rPr>
          <t xml:space="preserve">
Includes administration across multiple program components per tables 3, 4, and 5 in the annual report</t>
        </r>
      </text>
    </comment>
    <comment ref="G149" authorId="1" shapeId="0" xr:uid="{71BA88AB-AC47-495D-ADD7-08FE6A3BCA9A}">
      <text>
        <r>
          <rPr>
            <b/>
            <sz val="9"/>
            <color indexed="81"/>
            <rFont val="Tahoma"/>
            <family val="2"/>
          </rPr>
          <t>David Babchanik:</t>
        </r>
        <r>
          <rPr>
            <sz val="9"/>
            <color indexed="81"/>
            <rFont val="Tahoma"/>
            <family val="2"/>
          </rPr>
          <t xml:space="preserve">
Permit definition of PIPP blends both categories</t>
        </r>
      </text>
    </comment>
    <comment ref="G167" authorId="1" shapeId="0" xr:uid="{E1B3ED59-1CD4-4632-93AE-4753380FC5A4}">
      <text>
        <r>
          <rPr>
            <b/>
            <sz val="9"/>
            <color indexed="81"/>
            <rFont val="Tahoma"/>
            <family val="2"/>
          </rPr>
          <t>David Babchanik:</t>
        </r>
        <r>
          <rPr>
            <sz val="9"/>
            <color indexed="81"/>
            <rFont val="Tahoma"/>
            <family val="2"/>
          </rPr>
          <t xml:space="preserve">
Management, maintenance, inventory, training, procedures</t>
        </r>
      </text>
    </comment>
    <comment ref="G381" authorId="1" shapeId="0" xr:uid="{EDB58E8B-A693-4707-8240-08814858CB99}">
      <text>
        <r>
          <rPr>
            <b/>
            <sz val="9"/>
            <color indexed="81"/>
            <rFont val="Tahoma"/>
            <family val="2"/>
          </rPr>
          <t>David Babchanik:</t>
        </r>
        <r>
          <rPr>
            <sz val="9"/>
            <color indexed="81"/>
            <rFont val="Tahoma"/>
            <family val="2"/>
          </rPr>
          <t xml:space="preserve">
Blends both public categories</t>
        </r>
      </text>
    </comment>
    <comment ref="K806" authorId="1" shapeId="0" xr:uid="{BEF86258-B348-4E56-A55E-C9A4E5E2E0FA}">
      <text>
        <r>
          <rPr>
            <b/>
            <sz val="9"/>
            <color indexed="81"/>
            <rFont val="Tahoma"/>
            <family val="2"/>
          </rPr>
          <t>David Babchanik:</t>
        </r>
        <r>
          <rPr>
            <sz val="9"/>
            <color indexed="81"/>
            <rFont val="Tahoma"/>
            <family val="2"/>
          </rPr>
          <t xml:space="preserve">
Original table has two values in the Monitoring row</t>
        </r>
      </text>
    </comment>
    <comment ref="K807" authorId="1" shapeId="0" xr:uid="{C0B359F8-F661-431F-83D9-19273A0F232B}">
      <text>
        <r>
          <rPr>
            <b/>
            <sz val="9"/>
            <color indexed="81"/>
            <rFont val="Tahoma"/>
            <family val="2"/>
          </rPr>
          <t>David Babchanik:</t>
        </r>
        <r>
          <rPr>
            <sz val="9"/>
            <color indexed="81"/>
            <rFont val="Tahoma"/>
            <family val="2"/>
          </rPr>
          <t xml:space="preserve">
Other has two values in the Other row</t>
        </r>
      </text>
    </comment>
    <comment ref="K902" authorId="1" shapeId="0" xr:uid="{5D3B9ED7-577F-4459-ADFB-354ECBE394D8}">
      <text>
        <r>
          <rPr>
            <b/>
            <sz val="9"/>
            <color indexed="81"/>
            <rFont val="Tahoma"/>
            <family val="2"/>
          </rPr>
          <t>David Babchanik:</t>
        </r>
        <r>
          <rPr>
            <sz val="9"/>
            <color indexed="81"/>
            <rFont val="Tahoma"/>
            <family val="2"/>
          </rPr>
          <t xml:space="preserve">
Typo from original table, says 45,00, might have meant 45,000?</t>
        </r>
      </text>
    </comment>
    <comment ref="B1469" authorId="1" shapeId="0" xr:uid="{DD24F306-25C3-490B-8E46-F9794846A3DC}">
      <text>
        <r>
          <rPr>
            <b/>
            <sz val="9"/>
            <color indexed="81"/>
            <rFont val="Tahoma"/>
            <family val="2"/>
          </rPr>
          <t>David Babchanik:</t>
        </r>
        <r>
          <rPr>
            <sz val="9"/>
            <color indexed="81"/>
            <rFont val="Tahoma"/>
            <family val="2"/>
          </rPr>
          <t xml:space="preserve">
Principal Permittee</t>
        </r>
      </text>
    </comment>
    <comment ref="G1564" authorId="1" shapeId="0" xr:uid="{67527FA5-E9ED-4B3E-9544-CFA5D11D3860}">
      <text>
        <r>
          <rPr>
            <b/>
            <sz val="9"/>
            <color indexed="81"/>
            <rFont val="Tahoma"/>
            <family val="2"/>
          </rPr>
          <t>David Babchanik:</t>
        </r>
        <r>
          <rPr>
            <sz val="9"/>
            <color indexed="81"/>
            <rFont val="Tahoma"/>
            <family val="2"/>
          </rPr>
          <t xml:space="preserve">
Public Agency expenditures for the FY15-16 reporting year are broken down as follows:
$88,00 street sweeping
$2,000 catch basin cleaning
$2,000 consultant work
Other for the FY15-16 reporting year is work provided by City's stormwater consultant for watershed activities.</t>
        </r>
      </text>
    </comment>
    <comment ref="G1582" authorId="1" shapeId="0" xr:uid="{6D784DCD-7A9E-46C7-A7DC-010D7352F565}">
      <text>
        <r>
          <rPr>
            <b/>
            <sz val="9"/>
            <color indexed="81"/>
            <rFont val="Tahoma"/>
            <family val="2"/>
          </rPr>
          <t>David Babchanik:</t>
        </r>
        <r>
          <rPr>
            <sz val="9"/>
            <color indexed="81"/>
            <rFont val="Tahoma"/>
            <family val="2"/>
          </rPr>
          <t xml:space="preserve">
Cells highlighted orange are included in the Environmental Performance Reporting Program</t>
        </r>
      </text>
    </comment>
    <comment ref="G1666" authorId="1" shapeId="0" xr:uid="{B8657E26-71B3-427D-8F9F-DDB69DEE8D38}">
      <text>
        <r>
          <rPr>
            <b/>
            <sz val="9"/>
            <color indexed="81"/>
            <rFont val="Tahoma"/>
            <family val="2"/>
          </rPr>
          <t>David Babchanik:</t>
        </r>
        <r>
          <rPr>
            <sz val="9"/>
            <color indexed="81"/>
            <rFont val="Tahoma"/>
            <family val="2"/>
          </rPr>
          <t xml:space="preserve">
O&amp;M Costs</t>
        </r>
      </text>
    </comment>
    <comment ref="G1699" authorId="1" shapeId="0" xr:uid="{719A484E-3536-47AD-BCE7-33FA0A7C02B2}">
      <text>
        <r>
          <rPr>
            <b/>
            <sz val="9"/>
            <color indexed="81"/>
            <rFont val="Tahoma"/>
            <family val="2"/>
          </rPr>
          <t>David Babchanik:</t>
        </r>
        <r>
          <rPr>
            <sz val="9"/>
            <color indexed="81"/>
            <rFont val="Tahoma"/>
            <family val="2"/>
          </rPr>
          <t xml:space="preserve">
O&amp;M Costs</t>
        </r>
      </text>
    </comment>
    <comment ref="G1732" authorId="1" shapeId="0" xr:uid="{58AC45FC-F4EC-4193-89BA-4B07685D8C64}">
      <text>
        <r>
          <rPr>
            <b/>
            <sz val="9"/>
            <color indexed="81"/>
            <rFont val="Tahoma"/>
            <family val="2"/>
          </rPr>
          <t>David Babchanik:</t>
        </r>
        <r>
          <rPr>
            <sz val="9"/>
            <color indexed="81"/>
            <rFont val="Tahoma"/>
            <family val="2"/>
          </rPr>
          <t xml:space="preserve">
O&amp;M Costs</t>
        </r>
      </text>
    </comment>
    <comment ref="G1778" authorId="1" shapeId="0" xr:uid="{F66BA753-2048-4CE8-9FEA-EEC3DDB439F0}">
      <text>
        <r>
          <rPr>
            <b/>
            <sz val="9"/>
            <color indexed="81"/>
            <rFont val="Tahoma"/>
            <family val="2"/>
          </rPr>
          <t>David Babchanik:</t>
        </r>
        <r>
          <rPr>
            <sz val="9"/>
            <color indexed="81"/>
            <rFont val="Tahoma"/>
            <family val="2"/>
          </rPr>
          <t xml:space="preserve">
O&amp;M Costs</t>
        </r>
      </text>
    </comment>
    <comment ref="G1993" authorId="1" shapeId="0" xr:uid="{72427E00-8E01-410A-A76E-56AAF07001FE}">
      <text>
        <r>
          <rPr>
            <b/>
            <sz val="9"/>
            <color indexed="81"/>
            <rFont val="Tahoma"/>
            <family val="2"/>
          </rPr>
          <t>David Babchanik:</t>
        </r>
        <r>
          <rPr>
            <sz val="9"/>
            <color indexed="81"/>
            <rFont val="Tahoma"/>
            <family val="2"/>
          </rPr>
          <t xml:space="preserve">
Capital Costs</t>
        </r>
      </text>
    </comment>
    <comment ref="G1996" authorId="1" shapeId="0" xr:uid="{518ACFE7-5D8A-459B-AFDE-56D5F7468251}">
      <text>
        <r>
          <rPr>
            <b/>
            <sz val="9"/>
            <color indexed="81"/>
            <rFont val="Tahoma"/>
            <family val="2"/>
          </rPr>
          <t>David Babchanik:</t>
        </r>
        <r>
          <rPr>
            <sz val="9"/>
            <color indexed="81"/>
            <rFont val="Tahoma"/>
            <family val="2"/>
          </rPr>
          <t xml:space="preserve">
O&amp;M Costs</t>
        </r>
      </text>
    </comment>
    <comment ref="G2009" authorId="1" shapeId="0" xr:uid="{E90B12E9-988E-4C79-8B44-B6760749E29C}">
      <text>
        <r>
          <rPr>
            <b/>
            <sz val="9"/>
            <color indexed="81"/>
            <rFont val="Tahoma"/>
            <family val="2"/>
          </rPr>
          <t>David Babchanik:</t>
        </r>
        <r>
          <rPr>
            <sz val="9"/>
            <color indexed="81"/>
            <rFont val="Tahoma"/>
            <family val="2"/>
          </rPr>
          <t xml:space="preserve">
LIP categorizes as Public Information</t>
        </r>
      </text>
    </comment>
    <comment ref="G2046" authorId="1" shapeId="0" xr:uid="{87E2A661-DF8D-4387-A200-7A42C823B3DE}">
      <text>
        <r>
          <rPr>
            <b/>
            <sz val="9"/>
            <color indexed="81"/>
            <rFont val="Tahoma"/>
            <family val="2"/>
          </rPr>
          <t>David Babchanik:</t>
        </r>
        <r>
          <rPr>
            <sz val="9"/>
            <color indexed="81"/>
            <rFont val="Tahoma"/>
            <family val="2"/>
          </rPr>
          <t xml:space="preserve">
Assuming these are capital costs</t>
        </r>
      </text>
    </comment>
    <comment ref="G2049" authorId="1" shapeId="0" xr:uid="{FBC8D03E-AFB8-4DAA-BDEE-9884E14FAB01}">
      <text>
        <r>
          <rPr>
            <b/>
            <sz val="9"/>
            <color indexed="81"/>
            <rFont val="Tahoma"/>
            <family val="2"/>
          </rPr>
          <t>David Babchanik:</t>
        </r>
        <r>
          <rPr>
            <sz val="9"/>
            <color indexed="81"/>
            <rFont val="Tahoma"/>
            <family val="2"/>
          </rPr>
          <t xml:space="preserve">
O&amp;M Costs</t>
        </r>
      </text>
    </comment>
    <comment ref="G2062" authorId="1" shapeId="0" xr:uid="{7AD21BE3-9BC5-45F1-A79B-46B72DBEC832}">
      <text>
        <r>
          <rPr>
            <b/>
            <sz val="9"/>
            <color indexed="81"/>
            <rFont val="Tahoma"/>
            <family val="2"/>
          </rPr>
          <t>David Babchanik:</t>
        </r>
        <r>
          <rPr>
            <sz val="9"/>
            <color indexed="81"/>
            <rFont val="Tahoma"/>
            <family val="2"/>
          </rPr>
          <t xml:space="preserve">
LIP categorizes as Public Information</t>
        </r>
      </text>
    </comment>
    <comment ref="G2064" authorId="1" shapeId="0" xr:uid="{1F3804AC-85A4-433B-8580-BC299F81113D}">
      <text>
        <r>
          <rPr>
            <b/>
            <sz val="9"/>
            <color indexed="81"/>
            <rFont val="Tahoma"/>
            <family val="2"/>
          </rPr>
          <t>David Babchanik:</t>
        </r>
        <r>
          <rPr>
            <sz val="9"/>
            <color indexed="81"/>
            <rFont val="Tahoma"/>
            <family val="2"/>
          </rPr>
          <t xml:space="preserve">
Assuming these are capital costs</t>
        </r>
      </text>
    </comment>
    <comment ref="G2067" authorId="1" shapeId="0" xr:uid="{B2AFDF84-2095-44C6-BBC5-595D9C9E9511}">
      <text>
        <r>
          <rPr>
            <b/>
            <sz val="9"/>
            <color indexed="81"/>
            <rFont val="Tahoma"/>
            <family val="2"/>
          </rPr>
          <t>David Babchanik:</t>
        </r>
        <r>
          <rPr>
            <sz val="9"/>
            <color indexed="81"/>
            <rFont val="Tahoma"/>
            <family val="2"/>
          </rPr>
          <t xml:space="preserve">
Assuming these are O&amp;M Costs</t>
        </r>
      </text>
    </comment>
    <comment ref="K2081" authorId="1" shapeId="0" xr:uid="{F25F31FA-CB54-4EB4-BFC1-AA484A0FF0E9}">
      <text>
        <r>
          <rPr>
            <b/>
            <sz val="9"/>
            <color indexed="81"/>
            <rFont val="Tahoma"/>
            <family val="2"/>
          </rPr>
          <t>David Babchanik:</t>
        </r>
        <r>
          <rPr>
            <sz val="9"/>
            <color indexed="81"/>
            <rFont val="Tahoma"/>
            <family val="2"/>
          </rPr>
          <t xml:space="preserve">
No spending whatsoever for FY 01-02</t>
        </r>
      </text>
    </comment>
    <comment ref="G2272" authorId="1" shapeId="0" xr:uid="{03BA8CE5-69F4-4EFC-B9FA-8B09ECDCB998}">
      <text>
        <r>
          <rPr>
            <b/>
            <sz val="9"/>
            <color indexed="81"/>
            <rFont val="Tahoma"/>
            <family val="2"/>
          </rPr>
          <t>David Babchanik:</t>
        </r>
        <r>
          <rPr>
            <sz val="9"/>
            <color indexed="81"/>
            <rFont val="Tahoma"/>
            <family val="2"/>
          </rPr>
          <t xml:space="preserve">
LIP categorizes as Public Information</t>
        </r>
      </text>
    </comment>
    <comment ref="G2545" authorId="1" shapeId="0" xr:uid="{277AB1E6-8796-44D8-8705-0AFB3A9FDD0F}">
      <text>
        <r>
          <rPr>
            <b/>
            <sz val="9"/>
            <color indexed="81"/>
            <rFont val="Tahoma"/>
            <family val="2"/>
          </rPr>
          <t>David Babchanik:</t>
        </r>
        <r>
          <rPr>
            <sz val="9"/>
            <color indexed="81"/>
            <rFont val="Tahoma"/>
            <family val="2"/>
          </rPr>
          <t xml:space="preserve">
The construction program covers all construction categories</t>
        </r>
      </text>
    </comment>
    <comment ref="G2549" authorId="1" shapeId="0" xr:uid="{2D8A5E8B-6AA5-4035-8851-9815612CC56A}">
      <text>
        <r>
          <rPr>
            <b/>
            <sz val="9"/>
            <color indexed="81"/>
            <rFont val="Tahoma"/>
            <family val="2"/>
          </rPr>
          <t>David Babchanik:</t>
        </r>
        <r>
          <rPr>
            <sz val="9"/>
            <color indexed="81"/>
            <rFont val="Tahoma"/>
            <family val="2"/>
          </rPr>
          <t xml:space="preserve">
Combines both public categories</t>
        </r>
      </text>
    </comment>
    <comment ref="G2576" authorId="1" shapeId="0" xr:uid="{7CCCEF33-C50E-4421-BD1F-0F7ADF5252FB}">
      <text>
        <r>
          <rPr>
            <b/>
            <sz val="9"/>
            <color indexed="81"/>
            <rFont val="Tahoma"/>
            <family val="2"/>
          </rPr>
          <t>David Babchanik:</t>
        </r>
        <r>
          <rPr>
            <sz val="9"/>
            <color indexed="81"/>
            <rFont val="Tahoma"/>
            <family val="2"/>
          </rPr>
          <t xml:space="preserve">
Mixes education and participation categories</t>
        </r>
      </text>
    </comment>
    <comment ref="G2578" authorId="1" shapeId="0" xr:uid="{FAB803CC-8AFE-4178-8EFD-6E200739421C}">
      <text>
        <r>
          <rPr>
            <b/>
            <sz val="9"/>
            <color indexed="81"/>
            <rFont val="Tahoma"/>
            <family val="2"/>
          </rPr>
          <t>David Babchanik:</t>
        </r>
        <r>
          <rPr>
            <sz val="9"/>
            <color indexed="81"/>
            <rFont val="Tahoma"/>
            <family val="2"/>
          </rPr>
          <t xml:space="preserve">
Individual Activities</t>
        </r>
      </text>
    </comment>
    <comment ref="B2602" authorId="1" shapeId="0" xr:uid="{ACE62DD2-980E-45D2-81C0-B0DBF68ED087}">
      <text>
        <r>
          <rPr>
            <b/>
            <sz val="9"/>
            <color indexed="81"/>
            <rFont val="Tahoma"/>
            <family val="2"/>
          </rPr>
          <t>David Babchanik:</t>
        </r>
        <r>
          <rPr>
            <sz val="9"/>
            <color indexed="81"/>
            <rFont val="Tahoma"/>
            <family val="2"/>
          </rPr>
          <t xml:space="preserve">
Citrus Heights provides budget only, not expenses</t>
        </r>
      </text>
    </comment>
    <comment ref="G2610" authorId="1" shapeId="0" xr:uid="{AE540A3A-BDD8-43B9-8FA6-DE042AE7B56C}">
      <text>
        <r>
          <rPr>
            <b/>
            <sz val="9"/>
            <color indexed="81"/>
            <rFont val="Tahoma"/>
            <family val="2"/>
          </rPr>
          <t>David Babchanik:</t>
        </r>
        <r>
          <rPr>
            <sz val="9"/>
            <color indexed="81"/>
            <rFont val="Tahoma"/>
            <family val="2"/>
          </rPr>
          <t xml:space="preserve">
Activities defined separately in annual report, but combined in cost reporting</t>
        </r>
      </text>
    </comment>
    <comment ref="G2614" authorId="1" shapeId="0" xr:uid="{FCD51C90-EE38-43FB-9ACA-41BA42691788}">
      <text>
        <r>
          <rPr>
            <b/>
            <sz val="9"/>
            <color indexed="81"/>
            <rFont val="Tahoma"/>
            <family val="2"/>
          </rPr>
          <t>David Babchanik:</t>
        </r>
        <r>
          <rPr>
            <sz val="9"/>
            <color indexed="81"/>
            <rFont val="Tahoma"/>
            <family val="2"/>
          </rPr>
          <t xml:space="preserve">
Undefined</t>
        </r>
      </text>
    </comment>
    <comment ref="G2619" authorId="1" shapeId="0" xr:uid="{93DEF70F-36E6-4A5C-9CAD-48CA9FEE640A}">
      <text>
        <r>
          <rPr>
            <b/>
            <sz val="9"/>
            <color indexed="81"/>
            <rFont val="Tahoma"/>
            <family val="2"/>
          </rPr>
          <t>David Babchanik:</t>
        </r>
        <r>
          <rPr>
            <sz val="9"/>
            <color indexed="81"/>
            <rFont val="Tahoma"/>
            <family val="2"/>
          </rPr>
          <t xml:space="preserve">
Operation and maintenance costs for the entire storm drainage system</t>
        </r>
      </text>
    </comment>
    <comment ref="G2643" authorId="1" shapeId="0" xr:uid="{3367F483-03D9-484D-BD7E-FB7CBB4E20A6}">
      <text>
        <r>
          <rPr>
            <b/>
            <sz val="9"/>
            <color indexed="81"/>
            <rFont val="Tahoma"/>
            <family val="2"/>
          </rPr>
          <t>David Babchanik:</t>
        </r>
        <r>
          <rPr>
            <sz val="9"/>
            <color indexed="81"/>
            <rFont val="Tahoma"/>
            <family val="2"/>
          </rPr>
          <t xml:space="preserve">
Staff salaries, utility billing, phone charges, computer software/rentals, memberships, permit fees, indirect cost allocations, training, consultant contracts</t>
        </r>
      </text>
    </comment>
    <comment ref="G2644" authorId="1" shapeId="0" xr:uid="{DFBE1BA0-034A-4A78-B444-C968B118BB44}">
      <text>
        <r>
          <rPr>
            <b/>
            <sz val="9"/>
            <color indexed="81"/>
            <rFont val="Tahoma"/>
            <family val="2"/>
          </rPr>
          <t>David Babchanik:</t>
        </r>
        <r>
          <rPr>
            <sz val="9"/>
            <color indexed="81"/>
            <rFont val="Tahoma"/>
            <family val="2"/>
          </rPr>
          <t xml:space="preserve">
Staff salaries, industrial, commercial, and residential programs, including media and community events</t>
        </r>
      </text>
    </comment>
    <comment ref="G2645" authorId="1" shapeId="0" xr:uid="{BEED7337-9104-4132-A60D-4A7127C1382D}">
      <text>
        <r>
          <rPr>
            <b/>
            <sz val="9"/>
            <color indexed="81"/>
            <rFont val="Tahoma"/>
            <family val="2"/>
          </rPr>
          <t>David Babchanik:</t>
        </r>
        <r>
          <rPr>
            <sz val="9"/>
            <color indexed="81"/>
            <rFont val="Tahoma"/>
            <family val="2"/>
          </rPr>
          <t xml:space="preserve">
Staff salaries, CIPs, and Storm Drain System Cleaning and Maintenance (includes Illicit Discharges, illegal connections mitigation, and
clean-up)[b]</t>
        </r>
      </text>
    </comment>
    <comment ref="G2646" authorId="1" shapeId="0" xr:uid="{F25901AA-5865-4A69-98FA-1326A38967B2}">
      <text>
        <r>
          <rPr>
            <b/>
            <sz val="9"/>
            <color indexed="81"/>
            <rFont val="Tahoma"/>
            <family val="2"/>
          </rPr>
          <t>David Babchanik:</t>
        </r>
        <r>
          <rPr>
            <sz val="9"/>
            <color indexed="81"/>
            <rFont val="Tahoma"/>
            <family val="2"/>
          </rPr>
          <t xml:space="preserve">
Staff salaries, inspections, and follow-up inspections[c]</t>
        </r>
      </text>
    </comment>
    <comment ref="G2647" authorId="1" shapeId="0" xr:uid="{63AD488C-D947-40C5-913D-A1E7DDBB38E1}">
      <text>
        <r>
          <rPr>
            <b/>
            <sz val="9"/>
            <color indexed="81"/>
            <rFont val="Tahoma"/>
            <family val="2"/>
          </rPr>
          <t>David Babchanik:</t>
        </r>
        <r>
          <rPr>
            <sz val="9"/>
            <color indexed="81"/>
            <rFont val="Tahoma"/>
            <family val="2"/>
          </rPr>
          <t xml:space="preserve">
Staff salaries, outreach[d]</t>
        </r>
      </text>
    </comment>
    <comment ref="G2648" authorId="1" shapeId="0" xr:uid="{D76FCD47-0CED-4AFD-A62B-FE12305D6CDC}">
      <text>
        <r>
          <rPr>
            <b/>
            <sz val="9"/>
            <color indexed="81"/>
            <rFont val="Tahoma"/>
            <family val="2"/>
          </rPr>
          <t>David Babchanik:</t>
        </r>
        <r>
          <rPr>
            <sz val="9"/>
            <color indexed="81"/>
            <rFont val="Tahoma"/>
            <family val="2"/>
          </rPr>
          <t xml:space="preserve">
Staff salaries</t>
        </r>
      </text>
    </comment>
    <comment ref="G2649" authorId="1" shapeId="0" xr:uid="{41B964D6-788F-47EF-B147-FCA2AB217824}">
      <text>
        <r>
          <rPr>
            <b/>
            <sz val="9"/>
            <color indexed="81"/>
            <rFont val="Tahoma"/>
            <family val="2"/>
          </rPr>
          <t>David Babchanik:</t>
        </r>
        <r>
          <rPr>
            <sz val="9"/>
            <color indexed="81"/>
            <rFont val="Tahoma"/>
            <family val="2"/>
          </rPr>
          <t xml:space="preserve">
Includes Baseline Monitoring Program, Bioassessment Analysis, Dry Weather Field Screening, Smith Canal Bathymetry Study, Detention Basin Monitoring, BMP Effectiveness Study, Sediment Toxicity, Smith Canal/Mosher Slough Low DO13267 Letter Monitoring</t>
        </r>
      </text>
    </comment>
    <comment ref="G2650" authorId="1" shapeId="0" xr:uid="{817C613F-EED5-4CA4-A819-A22DA189759E}">
      <text>
        <r>
          <rPr>
            <b/>
            <sz val="9"/>
            <color indexed="81"/>
            <rFont val="Tahoma"/>
            <family val="2"/>
          </rPr>
          <t>David Babchanik:</t>
        </r>
        <r>
          <rPr>
            <sz val="9"/>
            <color indexed="81"/>
            <rFont val="Tahoma"/>
            <family val="2"/>
          </rPr>
          <t xml:space="preserve">
Includes Pesticide, Pathogen, Mercury, and DO Work Plans and Implementation</t>
        </r>
      </text>
    </comment>
    <comment ref="A2663" authorId="0" shapeId="0" xr:uid="{4CF51C3B-A77D-4A15-825C-E5BE3D9352E8}">
      <text>
        <r>
          <rPr>
            <b/>
            <sz val="9"/>
            <color indexed="81"/>
            <rFont val="Tahoma"/>
            <family val="2"/>
          </rPr>
          <t>Office of Water Programs, owp-sp25:</t>
        </r>
        <r>
          <rPr>
            <sz val="9"/>
            <color indexed="81"/>
            <rFont val="Tahoma"/>
            <family val="2"/>
          </rPr>
          <t xml:space="preserve">
Single line item labeled Storm Water</t>
        </r>
      </text>
    </comment>
    <comment ref="G2669" authorId="1" shapeId="0" xr:uid="{53E39A06-EC51-4E7E-B9E4-BCCED8A49E99}">
      <text>
        <r>
          <rPr>
            <b/>
            <sz val="9"/>
            <color indexed="81"/>
            <rFont val="Tahoma"/>
            <family val="2"/>
          </rPr>
          <t>David Babchanik:</t>
        </r>
        <r>
          <rPr>
            <sz val="9"/>
            <color indexed="81"/>
            <rFont val="Tahoma"/>
            <family val="2"/>
          </rPr>
          <t xml:space="preserve">
County-wide costs</t>
        </r>
      </text>
    </comment>
    <comment ref="G2670" authorId="1" shapeId="0" xr:uid="{2FD1B56B-3D19-4467-BD3B-D5DF8E00349D}">
      <text>
        <r>
          <rPr>
            <b/>
            <sz val="9"/>
            <color indexed="81"/>
            <rFont val="Tahoma"/>
            <family val="2"/>
          </rPr>
          <t>David Babchanik:</t>
        </r>
        <r>
          <rPr>
            <sz val="9"/>
            <color indexed="81"/>
            <rFont val="Tahoma"/>
            <family val="2"/>
          </rPr>
          <t xml:space="preserve">
County-wide costs</t>
        </r>
      </text>
    </comment>
    <comment ref="G2672" authorId="1" shapeId="0" xr:uid="{BD9A0DBB-5BE4-4D5B-B4E8-13CF8CF7AD18}">
      <text>
        <r>
          <rPr>
            <b/>
            <sz val="9"/>
            <color indexed="81"/>
            <rFont val="Tahoma"/>
            <family val="2"/>
          </rPr>
          <t>David Babchanik:</t>
        </r>
        <r>
          <rPr>
            <sz val="9"/>
            <color indexed="81"/>
            <rFont val="Tahoma"/>
            <family val="2"/>
          </rPr>
          <t xml:space="preserve">
County-wide costs</t>
        </r>
      </text>
    </comment>
    <comment ref="G2673" authorId="1" shapeId="0" xr:uid="{9D75C3BE-0998-4B81-B6B2-E209795B0392}">
      <text>
        <r>
          <rPr>
            <b/>
            <sz val="9"/>
            <color indexed="81"/>
            <rFont val="Tahoma"/>
            <family val="2"/>
          </rPr>
          <t>David Babchanik:</t>
        </r>
        <r>
          <rPr>
            <sz val="9"/>
            <color indexed="81"/>
            <rFont val="Tahoma"/>
            <family val="2"/>
          </rPr>
          <t xml:space="preserve">
County-wide costs</t>
        </r>
      </text>
    </comment>
    <comment ref="G2674" authorId="1" shapeId="0" xr:uid="{92E4D91A-028E-47F9-ABDD-D9E56E314F20}">
      <text>
        <r>
          <rPr>
            <b/>
            <sz val="9"/>
            <color indexed="81"/>
            <rFont val="Tahoma"/>
            <family val="2"/>
          </rPr>
          <t>David Babchanik:</t>
        </r>
        <r>
          <rPr>
            <sz val="9"/>
            <color indexed="81"/>
            <rFont val="Tahoma"/>
            <family val="2"/>
          </rPr>
          <t xml:space="preserve">
County-wide costs</t>
        </r>
      </text>
    </comment>
    <comment ref="G2676" authorId="1" shapeId="0" xr:uid="{C87F35B3-0D45-45EC-A04E-3CE04C318C04}">
      <text>
        <r>
          <rPr>
            <b/>
            <sz val="9"/>
            <color indexed="81"/>
            <rFont val="Tahoma"/>
            <family val="2"/>
          </rPr>
          <t>David Babchanik:</t>
        </r>
        <r>
          <rPr>
            <sz val="9"/>
            <color indexed="81"/>
            <rFont val="Tahoma"/>
            <family val="2"/>
          </rPr>
          <t xml:space="preserve">
County-wide costs</t>
        </r>
      </text>
    </comment>
    <comment ref="G2680" authorId="1" shapeId="0" xr:uid="{6981BB9F-45A7-44F5-AEF7-F75B575A9F79}">
      <text>
        <r>
          <rPr>
            <b/>
            <sz val="9"/>
            <color indexed="81"/>
            <rFont val="Tahoma"/>
            <family val="2"/>
          </rPr>
          <t>David Babchanik:</t>
        </r>
        <r>
          <rPr>
            <sz val="9"/>
            <color indexed="81"/>
            <rFont val="Tahoma"/>
            <family val="2"/>
          </rPr>
          <t xml:space="preserve">
County-wide costs</t>
        </r>
      </text>
    </comment>
    <comment ref="G2681" authorId="1" shapeId="0" xr:uid="{DF3BFA84-8FDC-4B71-8BFE-C64013171F0C}">
      <text>
        <r>
          <rPr>
            <b/>
            <sz val="9"/>
            <color indexed="81"/>
            <rFont val="Tahoma"/>
            <family val="2"/>
          </rPr>
          <t>David Babchanik:</t>
        </r>
        <r>
          <rPr>
            <sz val="9"/>
            <color indexed="81"/>
            <rFont val="Tahoma"/>
            <family val="2"/>
          </rPr>
          <t xml:space="preserve">
County-wide costs</t>
        </r>
      </text>
    </comment>
    <comment ref="G2682" authorId="1" shapeId="0" xr:uid="{F9E89F23-AD91-4971-9EDB-1393F6D386D2}">
      <text>
        <r>
          <rPr>
            <b/>
            <sz val="9"/>
            <color indexed="81"/>
            <rFont val="Tahoma"/>
            <family val="2"/>
          </rPr>
          <t>David Babchanik:</t>
        </r>
        <r>
          <rPr>
            <sz val="9"/>
            <color indexed="81"/>
            <rFont val="Tahoma"/>
            <family val="2"/>
          </rPr>
          <t xml:space="preserve">
County-wide costs</t>
        </r>
      </text>
    </comment>
    <comment ref="G2683" authorId="1" shapeId="0" xr:uid="{F857AA4A-CD73-49D4-8BA4-618D1F302E7C}">
      <text>
        <r>
          <rPr>
            <b/>
            <sz val="9"/>
            <color indexed="81"/>
            <rFont val="Tahoma"/>
            <family val="2"/>
          </rPr>
          <t>David Babchanik:</t>
        </r>
        <r>
          <rPr>
            <sz val="9"/>
            <color indexed="81"/>
            <rFont val="Tahoma"/>
            <family val="2"/>
          </rPr>
          <t xml:space="preserve">
Not part of the overall NPDES Program; however, considered a significant County-wide NPDES-related activity</t>
        </r>
      </text>
    </comment>
    <comment ref="B2685" authorId="1" shapeId="0" xr:uid="{88DD9A8A-52A4-43FB-AB6B-D5E66512737E}">
      <text>
        <r>
          <rPr>
            <b/>
            <sz val="9"/>
            <color indexed="81"/>
            <rFont val="Tahoma"/>
            <family val="2"/>
          </rPr>
          <t>David Babchanik:</t>
        </r>
        <r>
          <rPr>
            <sz val="9"/>
            <color indexed="81"/>
            <rFont val="Tahoma"/>
            <family val="2"/>
          </rPr>
          <t xml:space="preserve">
Reported up to 2018-2019 FY, but I am assuming that costs for 18-19 are estimated/projected, not actual</t>
        </r>
      </text>
    </comment>
    <comment ref="K2916" authorId="1" shapeId="0" xr:uid="{92215F2B-2B97-41C4-83B1-9F41B43917C2}">
      <text>
        <r>
          <rPr>
            <b/>
            <sz val="9"/>
            <color indexed="81"/>
            <rFont val="Tahoma"/>
            <family val="2"/>
          </rPr>
          <t>David Babchanik:</t>
        </r>
        <r>
          <rPr>
            <sz val="9"/>
            <color indexed="81"/>
            <rFont val="Tahoma"/>
            <family val="2"/>
          </rPr>
          <t xml:space="preserve">
City council approved values</t>
        </r>
      </text>
    </comment>
    <comment ref="G2987" authorId="1" shapeId="0" xr:uid="{B3E4F6D2-96F3-4DC9-82FB-CFE6C3E29BE3}">
      <text>
        <r>
          <rPr>
            <b/>
            <sz val="9"/>
            <color indexed="81"/>
            <rFont val="Tahoma"/>
            <family val="2"/>
          </rPr>
          <t>David Babchanik:</t>
        </r>
        <r>
          <rPr>
            <sz val="9"/>
            <color indexed="81"/>
            <rFont val="Tahoma"/>
            <family val="2"/>
          </rPr>
          <t xml:space="preserve">
Jurisdictional Components</t>
        </r>
      </text>
    </comment>
    <comment ref="G2994" authorId="1" shapeId="0" xr:uid="{B191594A-692C-41CC-91B8-42B9BA43EE6E}">
      <text>
        <r>
          <rPr>
            <b/>
            <sz val="9"/>
            <color indexed="81"/>
            <rFont val="Tahoma"/>
            <family val="2"/>
          </rPr>
          <t>David Babchanik:</t>
        </r>
        <r>
          <rPr>
            <sz val="9"/>
            <color indexed="81"/>
            <rFont val="Tahoma"/>
            <family val="2"/>
          </rPr>
          <t xml:space="preserve">
Watershed Component</t>
        </r>
      </text>
    </comment>
    <comment ref="G2995" authorId="1" shapeId="0" xr:uid="{0B54CF80-7269-4215-8EA1-928DDD1FA86D}">
      <text>
        <r>
          <rPr>
            <b/>
            <sz val="9"/>
            <color indexed="81"/>
            <rFont val="Tahoma"/>
            <family val="2"/>
          </rPr>
          <t>David Babchanik:</t>
        </r>
        <r>
          <rPr>
            <sz val="9"/>
            <color indexed="81"/>
            <rFont val="Tahoma"/>
            <family val="2"/>
          </rPr>
          <t xml:space="preserve">
Watershed Component</t>
        </r>
      </text>
    </comment>
    <comment ref="G2996" authorId="1" shapeId="0" xr:uid="{C386F51F-F7FE-454E-9663-D00F42102FAD}">
      <text>
        <r>
          <rPr>
            <b/>
            <sz val="9"/>
            <color indexed="81"/>
            <rFont val="Tahoma"/>
            <family val="2"/>
          </rPr>
          <t>David Babchanik:</t>
        </r>
        <r>
          <rPr>
            <sz val="9"/>
            <color indexed="81"/>
            <rFont val="Tahoma"/>
            <family val="2"/>
          </rPr>
          <t xml:space="preserve">
Regional Component</t>
        </r>
      </text>
    </comment>
    <comment ref="G3054" authorId="1" shapeId="0" xr:uid="{316BF321-4973-4EB2-9CC9-688A6FF9EE3E}">
      <text>
        <r>
          <rPr>
            <b/>
            <sz val="9"/>
            <color indexed="81"/>
            <rFont val="Tahoma"/>
            <family val="2"/>
          </rPr>
          <t>David Babchanik:</t>
        </r>
        <r>
          <rPr>
            <sz val="9"/>
            <color indexed="81"/>
            <rFont val="Tahoma"/>
            <family val="2"/>
          </rPr>
          <t xml:space="preserve">
Jurisdictional Component Shared Programs for which costs can not be readily calculated (applies for highlighted cells directly underneath)</t>
        </r>
      </text>
    </comment>
    <comment ref="G3147" authorId="1" shapeId="0" xr:uid="{467FF9C6-7E90-40BF-8191-2F95C5CF3325}">
      <text>
        <r>
          <rPr>
            <b/>
            <sz val="9"/>
            <color indexed="81"/>
            <rFont val="Tahoma"/>
            <family val="2"/>
          </rPr>
          <t>David Babchanik:</t>
        </r>
        <r>
          <rPr>
            <sz val="9"/>
            <color indexed="81"/>
            <rFont val="Tahoma"/>
            <family val="2"/>
          </rPr>
          <t xml:space="preserve">
Activities Implemented through Cost Share Agreements with Other Agencies</t>
        </r>
      </text>
    </comment>
    <comment ref="B3178" authorId="1" shapeId="0" xr:uid="{EFB87A8F-9BBB-4BE6-97D8-028739A6AFDF}">
      <text>
        <r>
          <rPr>
            <b/>
            <sz val="9"/>
            <color indexed="81"/>
            <rFont val="Tahoma"/>
            <family val="2"/>
          </rPr>
          <t>David Babchanik:</t>
        </r>
        <r>
          <rPr>
            <sz val="9"/>
            <color indexed="81"/>
            <rFont val="Tahoma"/>
            <family val="2"/>
          </rPr>
          <t xml:space="preserve">
Unsure about table, "water water enterprise fund", also some line items are cut off</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9B6666B-BD0F-4E1C-9095-72D3DFDF4670}" name="Activities[#Data]" type="102" refreshedVersion="6" minRefreshableVersion="5" saveData="1">
    <extLst>
      <ext xmlns:x15="http://schemas.microsoft.com/office/spreadsheetml/2010/11/main" uri="{DE250136-89BD-433C-8126-D09CA5730AF9}">
        <x15:connection id="Activities-ab924fe9-3f8f-4c37-8fb0-d6e2102ca63d" autoDelete="1">
          <x15:rangePr sourceName="_xlcn.ActivitiesData"/>
        </x15:connection>
      </ext>
    </extLst>
  </connection>
  <connection id="2" xr16:uid="{2CFC9B49-3FC7-4E2B-B5A8-F2B1C5003CD3}" name="Budgets[#All]" type="102" refreshedVersion="6" minRefreshableVersion="5" saveData="1">
    <extLst>
      <ext xmlns:x15="http://schemas.microsoft.com/office/spreadsheetml/2010/11/main" uri="{DE250136-89BD-433C-8126-D09CA5730AF9}">
        <x15:connection id="Budgets-54eae935-2f99-43a6-a0cb-28f2cff771d0" autoDelete="1">
          <x15:rangePr sourceName="_xlcn.BudgetsAll"/>
        </x15:connection>
      </ext>
    </extLst>
  </connection>
  <connection id="3" xr16:uid="{2CFC9B49-3FC7-4E2B-B5A8-F2B1C5003CD3}" name="Budgets[#All]_2" type="102" refreshedVersion="6" minRefreshableVersion="5" saveData="1">
    <extLst>
      <ext xmlns:x15="http://schemas.microsoft.com/office/spreadsheetml/2010/11/main" uri="{DE250136-89BD-433C-8126-D09CA5730AF9}">
        <x15:connection id="Budgets-a674e75a-e805-4191-85ab-5c341a8e4adf" autoDelete="1">
          <x15:rangePr sourceName="_xlcn.BudgetsAll_2"/>
        </x15:connection>
      </ext>
    </extLst>
  </connection>
  <connection id="4" xr16:uid="{AEEC9477-B7A9-41E2-83E5-813B78FBCA2A}" name="Expenditures[#All]" type="102" refreshedVersion="6" minRefreshableVersion="5" saveData="1">
    <extLst>
      <ext xmlns:x15="http://schemas.microsoft.com/office/spreadsheetml/2010/11/main" uri="{DE250136-89BD-433C-8126-D09CA5730AF9}">
        <x15:connection id="Expenditures-1a10c507-7ae8-4477-a3a8-afe2d04ae91e" autoDelete="1">
          <x15:rangePr sourceName="_xlcn.ExpendituresAll"/>
        </x15:connection>
      </ext>
    </extLst>
  </connection>
  <connection id="5" xr16:uid="{AEEC9477-B7A9-41E2-83E5-813B78FBCA2A}" name="Expenditures[#All]_2" type="102" refreshedVersion="6" minRefreshableVersion="5" saveData="1">
    <extLst>
      <ext xmlns:x15="http://schemas.microsoft.com/office/spreadsheetml/2010/11/main" uri="{DE250136-89BD-433C-8126-D09CA5730AF9}">
        <x15:connection id="Expenditures-576d6ec1-8d42-41de-acab-2e10d218b4a7" autoDelete="1">
          <x15:rangePr sourceName="_xlcn.ExpendituresAll_2"/>
        </x15:connection>
      </ext>
    </extLst>
  </connection>
  <connection id="6" xr16:uid="{AEEC9477-B7A9-41E2-83E5-813B78FBCA2A}" name="Expenditures[#All]_3" type="102" refreshedVersion="6" minRefreshableVersion="5" saveData="1">
    <extLst>
      <ext xmlns:x15="http://schemas.microsoft.com/office/spreadsheetml/2010/11/main" uri="{DE250136-89BD-433C-8126-D09CA5730AF9}">
        <x15:connection id="Expenditures-7f24d2b9-f6d9-435a-8c14-5a12e7e89e9c" autoDelete="1">
          <x15:rangePr sourceName="_xlcn.ExpendituresAll_3"/>
        </x15:connection>
      </ext>
    </extLst>
  </connection>
  <connection id="7" xr16:uid="{D549A4E2-73C0-4B91-ADBC-1AA89AAB8F27}"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ThisWorkbookDataModel"/>
    <s v="{[Budgets].[Representative Year].&amp;[YES]}"/>
    <s v="{[Expenditures].[Representative Year].&amp;[YES]}"/>
    <s v="{[Budgets].[Fiscal Year].&amp;[2012–2013],[Budgets].[Fiscal Year].&amp;[2013–2014],[Budgets].[Fiscal Year].&amp;[2014–2015],[Budgets].[Fiscal Year].&amp;[2015–2016],[Budgets].[Fiscal Year].&amp;[2016–2017],[Budgets].[Fiscal Year].&amp;[2017–2018],[Budgets].[Fiscal Year].&amp;[2018–2019],[Budgets].[Fiscal Year].&amp;[2019–2020],[Budgets].[Fiscal Year].&amp;[2020–2021],[Budgets].[Fiscal Year].&amp;[2021–2022]}"/>
    <s v="{[Expenditures].[Fiscal Year].&amp;[2012–2013],[Expenditures].[Fiscal Year].&amp;[2013–2014],[Expenditures].[Fiscal Year].&amp;[2014–2015],[Expenditures].[Fiscal Year].&amp;[2015–2016],[Expenditures].[Fiscal Year].&amp;[2016–2017],[Expenditures].[Fiscal Year].&amp;[2017–2018],[Expenditures].[Fiscal Year].&amp;[2018–2019]}"/>
    <s v="{[Expenditures 2].[Representative Year].&amp;[YES]}"/>
  </metadataStrings>
  <mdxMetadata count="5">
    <mdx n="0" f="s">
      <ms ns="1" c="0"/>
    </mdx>
    <mdx n="0" f="s">
      <ms ns="2" c="0"/>
    </mdx>
    <mdx n="0" f="s">
      <ms ns="3" c="0"/>
    </mdx>
    <mdx n="0" f="s">
      <ms ns="4" c="0"/>
    </mdx>
    <mdx n="0" f="s">
      <ms ns="5" c="0"/>
    </mdx>
  </mdxMetadata>
  <valueMetadata count="5">
    <bk>
      <rc t="1" v="0"/>
    </bk>
    <bk>
      <rc t="1" v="1"/>
    </bk>
    <bk>
      <rc t="1" v="2"/>
    </bk>
    <bk>
      <rc t="1" v="3"/>
    </bk>
    <bk>
      <rc t="1" v="4"/>
    </bk>
  </valueMetadata>
</metadata>
</file>

<file path=xl/sharedStrings.xml><?xml version="1.0" encoding="utf-8"?>
<sst xmlns="http://schemas.openxmlformats.org/spreadsheetml/2006/main" count="62573" uniqueCount="2129">
  <si>
    <t>Name</t>
  </si>
  <si>
    <t>Type</t>
  </si>
  <si>
    <t>Value</t>
  </si>
  <si>
    <t>Year</t>
  </si>
  <si>
    <t>Sonoma</t>
  </si>
  <si>
    <t>County</t>
  </si>
  <si>
    <t>Contra Costa</t>
  </si>
  <si>
    <t>Salinas</t>
  </si>
  <si>
    <t>City</t>
  </si>
  <si>
    <t>El Monte</t>
  </si>
  <si>
    <t>El Segundo</t>
  </si>
  <si>
    <t>South El Monte</t>
  </si>
  <si>
    <t>Los Angeles</t>
  </si>
  <si>
    <t>Ventura</t>
  </si>
  <si>
    <t>Kern</t>
  </si>
  <si>
    <t>Bakersfield</t>
  </si>
  <si>
    <t>El Centro</t>
  </si>
  <si>
    <t>Grand Terrace</t>
  </si>
  <si>
    <t>Ontario</t>
  </si>
  <si>
    <t>Riverside</t>
  </si>
  <si>
    <t>San Bernardino</t>
  </si>
  <si>
    <t>San Diego</t>
  </si>
  <si>
    <t>San Marcos</t>
  </si>
  <si>
    <t>2013-2014</t>
  </si>
  <si>
    <t>2016-2017</t>
  </si>
  <si>
    <t>2017-2018</t>
  </si>
  <si>
    <t>2018-2019</t>
  </si>
  <si>
    <t>Line Item</t>
  </si>
  <si>
    <t>N/A</t>
  </si>
  <si>
    <t>2015-2016</t>
  </si>
  <si>
    <t>2014-2015</t>
  </si>
  <si>
    <t>Region</t>
  </si>
  <si>
    <t>Program Management</t>
  </si>
  <si>
    <t>Monitoring</t>
  </si>
  <si>
    <t>List Item</t>
  </si>
  <si>
    <t>List of Activities</t>
  </si>
  <si>
    <t>Jurisdiction</t>
  </si>
  <si>
    <t>Activity</t>
  </si>
  <si>
    <t>Program Management Effectiveness Evaluation</t>
  </si>
  <si>
    <t>Private Construction</t>
  </si>
  <si>
    <t>Industrial Commercial Sources</t>
  </si>
  <si>
    <t>Illicit Discharge Detection and Elimination</t>
  </si>
  <si>
    <t>Public Education and Outreach</t>
  </si>
  <si>
    <t>S.U.S.M.P.</t>
  </si>
  <si>
    <t>Permit Fee</t>
  </si>
  <si>
    <t>Legal Services</t>
  </si>
  <si>
    <t>New Development/Redevelopment</t>
  </si>
  <si>
    <t>Water Quality Monitoring</t>
  </si>
  <si>
    <t>Commercial and Industrial</t>
  </si>
  <si>
    <t>Residential</t>
  </si>
  <si>
    <t>Parcel Scale Development</t>
  </si>
  <si>
    <t>Construction Site Management</t>
  </si>
  <si>
    <t>Development Planning and Stormwater Retrofits</t>
  </si>
  <si>
    <t>Public Education and Public Involvement</t>
  </si>
  <si>
    <t>Trash Load Reduction</t>
  </si>
  <si>
    <t>Total Maximum Daily Load</t>
  </si>
  <si>
    <t>Watershed Characterization</t>
  </si>
  <si>
    <t>Miscellaneous Expenditures (Permit Fees)</t>
  </si>
  <si>
    <t>Public Information and Participation Program</t>
  </si>
  <si>
    <t>Planning and Land Development Program</t>
  </si>
  <si>
    <t>Development Construction Program</t>
  </si>
  <si>
    <t>Public Agency Activities Program</t>
  </si>
  <si>
    <t>Illicit Connections and Illicit Discharges Program</t>
  </si>
  <si>
    <t>Additional Institutional BMPs/"Enhanced" MCMs</t>
  </si>
  <si>
    <t>Distributed Projects and Green Streets</t>
  </si>
  <si>
    <t>Regional Projects</t>
  </si>
  <si>
    <t>Restoration Projects</t>
  </si>
  <si>
    <t>Other</t>
  </si>
  <si>
    <t>Public Outreach</t>
  </si>
  <si>
    <t>Industrial/Commercial</t>
  </si>
  <si>
    <t>Construction</t>
  </si>
  <si>
    <t>Operations and Maintenance</t>
  </si>
  <si>
    <t>Public Agency Activities</t>
  </si>
  <si>
    <t>Municipal Street Sweeping</t>
  </si>
  <si>
    <t>Fleet and Public Agency Facilities (Corporate Yards)</t>
  </si>
  <si>
    <t>Landscape and Recreational Facilities</t>
  </si>
  <si>
    <t>Capital Costs</t>
  </si>
  <si>
    <t>Illicit Discharges/Connections</t>
  </si>
  <si>
    <t>Monitoring Program</t>
  </si>
  <si>
    <t>Principal Permittee Program</t>
  </si>
  <si>
    <t>TMDLs</t>
  </si>
  <si>
    <t>Maintenance of Structural Controls</t>
  </si>
  <si>
    <t>Road Operation &amp; Maintenance</t>
  </si>
  <si>
    <t>Flood Management Projects</t>
  </si>
  <si>
    <t>Controls for Landfills</t>
  </si>
  <si>
    <t>Controls for Pesticides</t>
  </si>
  <si>
    <t>Illicit Discharge Controls</t>
  </si>
  <si>
    <t>Spill Prevention</t>
  </si>
  <si>
    <t>Illegal Dumping Controls</t>
  </si>
  <si>
    <t>Site Planning Procedures</t>
  </si>
  <si>
    <t>Structural &amp; Non-Structural BMP's</t>
  </si>
  <si>
    <t>Site Inspections &amp; Control Measures</t>
  </si>
  <si>
    <t>Education/Training for Constr. Site Operators</t>
  </si>
  <si>
    <t>Estimate of Loads &amp; EMC's</t>
  </si>
  <si>
    <t>Wet-weather Monitoring and Administration of the NPDES Program</t>
  </si>
  <si>
    <t>Industrial Monitoring</t>
  </si>
  <si>
    <t>Storm Water</t>
  </si>
  <si>
    <t>Public Education</t>
  </si>
  <si>
    <t>ID/IC</t>
  </si>
  <si>
    <t>Inspections</t>
  </si>
  <si>
    <t>WQMP</t>
  </si>
  <si>
    <t>Municipal Maintenance</t>
  </si>
  <si>
    <t>Training</t>
  </si>
  <si>
    <t>Category</t>
  </si>
  <si>
    <t>Categories:</t>
  </si>
  <si>
    <t>Public Involvement and Participation</t>
  </si>
  <si>
    <t>Illicit Discharge Detection and Elimination (Illicit Connection and Illicit Discharge)</t>
  </si>
  <si>
    <t>Construction Site Stormwater Runoff Control</t>
  </si>
  <si>
    <t>Pollution Prevention and Good Housekeeping for Municipal Operations</t>
  </si>
  <si>
    <t>Industrial and Commercial Management Programs</t>
  </si>
  <si>
    <t>Overall Stormwater Program Management</t>
  </si>
  <si>
    <t>Post-Construction Stormwater Management in New Development and Redevelopment</t>
  </si>
  <si>
    <t>Leaking Sanitary Controls</t>
  </si>
  <si>
    <t>Inspection &amp; Control Measures</t>
  </si>
  <si>
    <t>Fiscal Year</t>
  </si>
  <si>
    <t>Reference Year</t>
  </si>
  <si>
    <t>2018 Annual CPI = 251.631 from this source - https://cpiinflationcalculator.com/2018-cpi-and-inflation-rate-for-the-united-states/</t>
  </si>
  <si>
    <t>CPI Inflation Table</t>
  </si>
  <si>
    <t>Annual Average CPI</t>
  </si>
  <si>
    <t>% Change</t>
  </si>
  <si>
    <t>% Change = 2018 CPI / Reference Year CPI</t>
  </si>
  <si>
    <t>Fresno</t>
  </si>
  <si>
    <t>FCD</t>
  </si>
  <si>
    <t>Clovis</t>
  </si>
  <si>
    <t>Sacramento</t>
  </si>
  <si>
    <t>Elk Grove</t>
  </si>
  <si>
    <t>Folsom</t>
  </si>
  <si>
    <t>Municipal Operations</t>
  </si>
  <si>
    <t>Illicit Connections and Discharges</t>
  </si>
  <si>
    <t>Public Involvement and Education</t>
  </si>
  <si>
    <t>Commercial/Industrial</t>
  </si>
  <si>
    <t>Illicit Discharge</t>
  </si>
  <si>
    <t>New Development</t>
  </si>
  <si>
    <t>Public Outreach Program</t>
  </si>
  <si>
    <t>Target Pollutant Program</t>
  </si>
  <si>
    <t>Other Individual Activities</t>
  </si>
  <si>
    <t>Construction/New Development/Illicit Discharge</t>
  </si>
  <si>
    <t>Street Sweeping</t>
  </si>
  <si>
    <t>Citrus Heights</t>
  </si>
  <si>
    <t>Galt</t>
  </si>
  <si>
    <t>Rancho Cordova</t>
  </si>
  <si>
    <t>% Change calculation from here - http://qrc.depaul.edu/StudyGuide2009/Notes/CPI/cpihandout.htm</t>
  </si>
  <si>
    <t>Phase I/II</t>
  </si>
  <si>
    <t>Phase II MS4</t>
  </si>
  <si>
    <t>Phase I MS4</t>
  </si>
  <si>
    <t>Agoura Hills</t>
  </si>
  <si>
    <t>Hermosa Beach</t>
  </si>
  <si>
    <t>Manhattan Beach</t>
  </si>
  <si>
    <t>Redondo Beach</t>
  </si>
  <si>
    <t>Torrance</t>
  </si>
  <si>
    <t>Compton</t>
  </si>
  <si>
    <t>La Verne</t>
  </si>
  <si>
    <t>Claremont</t>
  </si>
  <si>
    <t>Pomona</t>
  </si>
  <si>
    <t>San Dimas</t>
  </si>
  <si>
    <t>Gardena</t>
  </si>
  <si>
    <t>Irwindale</t>
  </si>
  <si>
    <t>La Habra Heights</t>
  </si>
  <si>
    <t>Long Beach</t>
  </si>
  <si>
    <t>Bell</t>
  </si>
  <si>
    <t>Bellflower</t>
  </si>
  <si>
    <t>Cerritos</t>
  </si>
  <si>
    <t>Downey</t>
  </si>
  <si>
    <t>Lakewood</t>
  </si>
  <si>
    <t>Signal Hill</t>
  </si>
  <si>
    <t>La Mirada</t>
  </si>
  <si>
    <t>Artesia</t>
  </si>
  <si>
    <t>Diamond Bar</t>
  </si>
  <si>
    <t>Hawaiian Gardens</t>
  </si>
  <si>
    <t>Norwalk</t>
  </si>
  <si>
    <t>Pico Rivera</t>
  </si>
  <si>
    <t>Whittier</t>
  </si>
  <si>
    <t>Calabasas</t>
  </si>
  <si>
    <t>Hidden Hills</t>
  </si>
  <si>
    <t>Westlake Village</t>
  </si>
  <si>
    <t>Malibu</t>
  </si>
  <si>
    <t>Palos Verdes Estates</t>
  </si>
  <si>
    <t>Rolling Hills Estates</t>
  </si>
  <si>
    <t>Rancho Palos Verdes</t>
  </si>
  <si>
    <t>Arcadia</t>
  </si>
  <si>
    <t>Azusa</t>
  </si>
  <si>
    <t>Bradbury</t>
  </si>
  <si>
    <t>Duarte</t>
  </si>
  <si>
    <t>Monrovia</t>
  </si>
  <si>
    <t>Sierra Madre</t>
  </si>
  <si>
    <t>Rolling Hills</t>
  </si>
  <si>
    <t>Santa Monica</t>
  </si>
  <si>
    <t>Alhambra</t>
  </si>
  <si>
    <t>Burbank</t>
  </si>
  <si>
    <t>Glendale</t>
  </si>
  <si>
    <t>La Canada Flintridge</t>
  </si>
  <si>
    <t>Montebello</t>
  </si>
  <si>
    <t>Monterey Park</t>
  </si>
  <si>
    <t>Pasadena</t>
  </si>
  <si>
    <t>Rosemead</t>
  </si>
  <si>
    <t>San Fernando</t>
  </si>
  <si>
    <t>San Gabriel</t>
  </si>
  <si>
    <t>San Marino</t>
  </si>
  <si>
    <t>South Pasadena</t>
  </si>
  <si>
    <t>Temple City</t>
  </si>
  <si>
    <t>Baldwin Park</t>
  </si>
  <si>
    <t>Covina</t>
  </si>
  <si>
    <t>Glendora</t>
  </si>
  <si>
    <t>Industry</t>
  </si>
  <si>
    <t>La Puente</t>
  </si>
  <si>
    <t>West Covina</t>
  </si>
  <si>
    <t>Santa Clarita</t>
  </si>
  <si>
    <t>Walnut</t>
  </si>
  <si>
    <t>Industrial &amp; Commercial Facilities Program</t>
  </si>
  <si>
    <t>Development Planning</t>
  </si>
  <si>
    <t>Construction Inspections</t>
  </si>
  <si>
    <t>Additional Institutional BMPs &amp; Enhanced MCMs</t>
  </si>
  <si>
    <t>Paramount</t>
  </si>
  <si>
    <t>Incl. w/ Industrial &amp; Commercial Facilities Program</t>
  </si>
  <si>
    <t>Included in Program Management</t>
  </si>
  <si>
    <t>Not tracked separately</t>
  </si>
  <si>
    <t>Included in Public Agency Activities</t>
  </si>
  <si>
    <t>0 (included with General Management)</t>
  </si>
  <si>
    <t>Beverly Hills</t>
  </si>
  <si>
    <t xml:space="preserve">Hawaiian Gardens </t>
  </si>
  <si>
    <t xml:space="preserve">Glendale </t>
  </si>
  <si>
    <t>Carson</t>
  </si>
  <si>
    <t>Hawthorne</t>
  </si>
  <si>
    <t>Inglewood</t>
  </si>
  <si>
    <t>Lawndale</t>
  </si>
  <si>
    <t>Lomita</t>
  </si>
  <si>
    <t>Not reported</t>
  </si>
  <si>
    <t>Beaumont</t>
  </si>
  <si>
    <t>Calimesa</t>
  </si>
  <si>
    <t>Canyon Lake</t>
  </si>
  <si>
    <t>Corona</t>
  </si>
  <si>
    <t>Eastvale</t>
  </si>
  <si>
    <t>Hemet</t>
  </si>
  <si>
    <t>Jurupa Valley</t>
  </si>
  <si>
    <t>Lake Elsinore</t>
  </si>
  <si>
    <t>Menifee</t>
  </si>
  <si>
    <t>Moreno Valley</t>
  </si>
  <si>
    <t>Norco</t>
  </si>
  <si>
    <t>Perris</t>
  </si>
  <si>
    <t>San Jacinto</t>
  </si>
  <si>
    <t>Big Bear Lake</t>
  </si>
  <si>
    <t>Chino</t>
  </si>
  <si>
    <t>Chino Hills</t>
  </si>
  <si>
    <t>Colton</t>
  </si>
  <si>
    <t>Fontana</t>
  </si>
  <si>
    <t>Highland</t>
  </si>
  <si>
    <t>Loma Linda</t>
  </si>
  <si>
    <t>Montclair</t>
  </si>
  <si>
    <t>Rancho Cucamonga</t>
  </si>
  <si>
    <t>Redlands</t>
  </si>
  <si>
    <t>Rialto</t>
  </si>
  <si>
    <t>Yucaipa</t>
  </si>
  <si>
    <t>Upland</t>
  </si>
  <si>
    <t>Camarillo</t>
  </si>
  <si>
    <t>Fillmore</t>
  </si>
  <si>
    <t>Moorpark</t>
  </si>
  <si>
    <t>Ojai</t>
  </si>
  <si>
    <t>Oxnard</t>
  </si>
  <si>
    <t>Port Hueneme</t>
  </si>
  <si>
    <t>Santa Paula</t>
  </si>
  <si>
    <t>Simi Valley</t>
  </si>
  <si>
    <t>Thousand Oaks</t>
  </si>
  <si>
    <t>Orange</t>
  </si>
  <si>
    <t>Aliso Viejo</t>
  </si>
  <si>
    <t>2001-2002</t>
  </si>
  <si>
    <t>Anaheim</t>
  </si>
  <si>
    <t>Brea</t>
  </si>
  <si>
    <t>Buena Park</t>
  </si>
  <si>
    <t>Costa Mesa</t>
  </si>
  <si>
    <t>Cypress</t>
  </si>
  <si>
    <t>Dana Point</t>
  </si>
  <si>
    <t>Fountain Valley</t>
  </si>
  <si>
    <t>Fullerton</t>
  </si>
  <si>
    <t>Garden Grove</t>
  </si>
  <si>
    <t>Huntington Beach</t>
  </si>
  <si>
    <t>Irvine</t>
  </si>
  <si>
    <t>La Habra</t>
  </si>
  <si>
    <t>La Palma</t>
  </si>
  <si>
    <t>Laguna Beach</t>
  </si>
  <si>
    <t>Laguna Hills</t>
  </si>
  <si>
    <t>Laguna Niguel</t>
  </si>
  <si>
    <t>Laguna Woods</t>
  </si>
  <si>
    <t>Lake Forest</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</si>
  <si>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</si>
  <si>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</si>
  <si>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</si>
  <si>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</si>
  <si>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</si>
  <si>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</si>
  <si>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</si>
  <si>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</si>
  <si>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</si>
  <si>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</si>
  <si>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</si>
  <si>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</si>
  <si>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</si>
  <si>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</si>
  <si>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Murrieta</t>
  </si>
  <si>
    <t>Temecula</t>
  </si>
  <si>
    <t>Wildomar</t>
  </si>
  <si>
    <t>San Diego Unified Port District</t>
  </si>
  <si>
    <t>San Diego County Regional Airport Authority</t>
  </si>
  <si>
    <t>Carlsbad</t>
  </si>
  <si>
    <t>Encinitas</t>
  </si>
  <si>
    <t>Escondido</t>
  </si>
  <si>
    <t>Oceanside</t>
  </si>
  <si>
    <t>Solana Beach</t>
  </si>
  <si>
    <t>Vista</t>
  </si>
  <si>
    <t>Del Mar</t>
  </si>
  <si>
    <t>Poway</t>
  </si>
  <si>
    <t>Chula Vista</t>
  </si>
  <si>
    <t>Coronado</t>
  </si>
  <si>
    <t>Imperial Beach</t>
  </si>
  <si>
    <t>La Mesa</t>
  </si>
  <si>
    <t>Lemon Grove</t>
  </si>
  <si>
    <t>National City</t>
  </si>
  <si>
    <t>Santee</t>
  </si>
  <si>
    <t>El Cajon</t>
  </si>
  <si>
    <t>Other Capital Projects/Major Equipment Purchases</t>
  </si>
  <si>
    <t>Construction BMPs for Public Construction Projects</t>
  </si>
  <si>
    <t>Annual Fee for MS4 NPDES Permit</t>
  </si>
  <si>
    <t>Implementation Agreement Shared Cost</t>
  </si>
  <si>
    <t>MS4 Mapping</t>
  </si>
  <si>
    <t>Program Management/Admin</t>
  </si>
  <si>
    <t>Implementation Agreement (IA) Shared Cost</t>
  </si>
  <si>
    <t>Industrial and Commercial Inspections</t>
  </si>
  <si>
    <t>Illicit Connections &amp; Illegal Discharges Program</t>
  </si>
  <si>
    <t>Municipal Facilities and Activities</t>
  </si>
  <si>
    <t>Public Education &amp; Outreach</t>
  </si>
  <si>
    <t>Retrofit Program</t>
  </si>
  <si>
    <t>Street Sweeping (CSA152)</t>
  </si>
  <si>
    <t>Roadside Litter Removal</t>
  </si>
  <si>
    <t>Asphalt Overlay/Sealing</t>
  </si>
  <si>
    <t>Administration</t>
  </si>
  <si>
    <t>Industrial and Commercial</t>
  </si>
  <si>
    <t>Residential, Education, and Public Participation</t>
  </si>
  <si>
    <t>Management of Pesticides, Herbicides, &amp; Fertilizers</t>
  </si>
  <si>
    <t>Municipal</t>
  </si>
  <si>
    <t>IDDE</t>
  </si>
  <si>
    <t>Education</t>
  </si>
  <si>
    <t>Public Participation</t>
  </si>
  <si>
    <t>Special Investigations</t>
  </si>
  <si>
    <t>Non-emergency Firefighting</t>
  </si>
  <si>
    <t>Salary &amp; Wages (Full-Time)</t>
  </si>
  <si>
    <t>Overtime</t>
  </si>
  <si>
    <t>Stipends</t>
  </si>
  <si>
    <t>Salary &amp; Wages (Part-Time)</t>
  </si>
  <si>
    <t>Social Security</t>
  </si>
  <si>
    <t>Medicare</t>
  </si>
  <si>
    <t>Health Insurance</t>
  </si>
  <si>
    <t>PERS</t>
  </si>
  <si>
    <t>PARS</t>
  </si>
  <si>
    <t>Consulting Services</t>
  </si>
  <si>
    <t>Uniform Expense</t>
  </si>
  <si>
    <t>Travel &amp; Training</t>
  </si>
  <si>
    <t>Recycling Expenditures</t>
  </si>
  <si>
    <t>NPDES Programs</t>
  </si>
  <si>
    <t>Watershed</t>
  </si>
  <si>
    <t>Regional</t>
  </si>
  <si>
    <t>State Clean Beaches Grant: Loma Alta MST Study</t>
  </si>
  <si>
    <t>Regional  Programs</t>
  </si>
  <si>
    <t>Land Use Planning</t>
  </si>
  <si>
    <t>Environmental Review</t>
  </si>
  <si>
    <t>Development Project Approval and Verification</t>
  </si>
  <si>
    <t>Roads, Streets, Highways, and Parking Facilities</t>
  </si>
  <si>
    <t>Parks and Recreational Facilities</t>
  </si>
  <si>
    <t>Regional Component Shared Programs</t>
  </si>
  <si>
    <t>Watershed Component Shared Programs</t>
  </si>
  <si>
    <t>Salaries</t>
  </si>
  <si>
    <t>Communications</t>
  </si>
  <si>
    <t>Public Works Administration</t>
  </si>
  <si>
    <t>Streets</t>
  </si>
  <si>
    <t>Tidelands</t>
  </si>
  <si>
    <t>Parks</t>
  </si>
  <si>
    <t>Facilities</t>
  </si>
  <si>
    <t>Solid Waste</t>
  </si>
  <si>
    <t>Waste Water</t>
  </si>
  <si>
    <t>Council/Mayor</t>
  </si>
  <si>
    <t>City Manager</t>
  </si>
  <si>
    <t>City Clerk</t>
  </si>
  <si>
    <t>Human Resources</t>
  </si>
  <si>
    <t>City Attorney</t>
  </si>
  <si>
    <t>Code Enforcement</t>
  </si>
  <si>
    <t>City Engineering</t>
  </si>
  <si>
    <t>Finance</t>
  </si>
  <si>
    <t>Annual Municipal Permit Fee to RWQCB</t>
  </si>
  <si>
    <t>Chollas Creek TMDL &amp; IO Cost Share &amp; Admin</t>
  </si>
  <si>
    <t>Regional Stormwater Program Cost Share &amp; Admin</t>
  </si>
  <si>
    <t>Watershed Programs</t>
  </si>
  <si>
    <t>Regional Programs</t>
  </si>
  <si>
    <t>Regional Programs Total (Santee Share)</t>
  </si>
  <si>
    <t>Vacation/Sick Conversion</t>
  </si>
  <si>
    <t>Stipend</t>
  </si>
  <si>
    <t>PERS (Employer)</t>
  </si>
  <si>
    <t>Other Retirement Benefit</t>
  </si>
  <si>
    <t>Post Retirement Benefits</t>
  </si>
  <si>
    <t>Medicare Tax</t>
  </si>
  <si>
    <t>Cafeteria</t>
  </si>
  <si>
    <t>Compensated Absences</t>
  </si>
  <si>
    <t>Workers Compensation</t>
  </si>
  <si>
    <t>Life Insurance</t>
  </si>
  <si>
    <t>LTD Insurance</t>
  </si>
  <si>
    <t>STD Insurance</t>
  </si>
  <si>
    <t>Office Supplies</t>
  </si>
  <si>
    <t>System/Computer Analysis?</t>
  </si>
  <si>
    <t>Other Prof/Tech Services</t>
  </si>
  <si>
    <t>Overhead Reimbursement</t>
  </si>
  <si>
    <t>Advertising</t>
  </si>
  <si>
    <t>Contributions</t>
  </si>
  <si>
    <t>Copier Rent/Maintenance</t>
  </si>
  <si>
    <t>Permits and Fees</t>
  </si>
  <si>
    <t>Printing and Binding</t>
  </si>
  <si>
    <t>Promotions</t>
  </si>
  <si>
    <t>Repairs and Maintenance</t>
  </si>
  <si>
    <t>Software Agreement/IT License</t>
  </si>
  <si>
    <t>Training/Meetings/School?</t>
  </si>
  <si>
    <t>Stockton</t>
  </si>
  <si>
    <t>San Joaquin</t>
  </si>
  <si>
    <t>Planning and Land Development</t>
  </si>
  <si>
    <t>Water Quality Monitoring Program</t>
  </si>
  <si>
    <t>Water Quality Based Programs</t>
  </si>
  <si>
    <t>Illicit Discharges</t>
  </si>
  <si>
    <t>Program Implementation, Assessment, and Reporting</t>
  </si>
  <si>
    <t>Program Management/Administrative</t>
  </si>
  <si>
    <t>Ventura County Watershed Protection District</t>
  </si>
  <si>
    <t>Principal Permittee? (VCWPD)</t>
  </si>
  <si>
    <t>Operating Supplies</t>
  </si>
  <si>
    <t>Fleet/Equip Reimbursement</t>
  </si>
  <si>
    <t>Berkeley</t>
  </si>
  <si>
    <t>Annual Report</t>
  </si>
  <si>
    <t>Culver City</t>
  </si>
  <si>
    <t>Included in County Agencies O&amp;M Budget</t>
  </si>
  <si>
    <t>Allocated in County's O&amp;M Budget and others</t>
  </si>
  <si>
    <t>Uncalculated</t>
  </si>
  <si>
    <t>Other (Lake Elsinore and Canyon Lake TMDL Task Force Costs)</t>
  </si>
  <si>
    <t xml:space="preserve">San Bernardino only provided collective permittee </t>
  </si>
  <si>
    <t>costs for the entire county, including cities</t>
  </si>
  <si>
    <t>Safety Equipment Repair</t>
  </si>
  <si>
    <t>Small Tools</t>
  </si>
  <si>
    <t>Included</t>
  </si>
  <si>
    <t>2018 $ Value</t>
  </si>
  <si>
    <t>Geo-Region</t>
  </si>
  <si>
    <t>North Coast</t>
  </si>
  <si>
    <t>Central Coast</t>
  </si>
  <si>
    <t>South Coast</t>
  </si>
  <si>
    <t>Central Valley</t>
  </si>
  <si>
    <t>Inland Empire</t>
  </si>
  <si>
    <t>planning only</t>
  </si>
  <si>
    <t>For TMDL compliance, multiple benefits, or New/Re-Development Post Construction</t>
  </si>
  <si>
    <t>Planning/admin for non-muni owned projects</t>
  </si>
  <si>
    <t>includes permit fees</t>
  </si>
  <si>
    <t>Storm drain or BMP maintenance/inspections for muni-owned properties not covered under PP/GH for Muni Ops</t>
  </si>
  <si>
    <t>EBAP (Employee Benefit Allocation Program)</t>
  </si>
  <si>
    <t>Public Education, Outreach, Involvement, and Participation, combined</t>
  </si>
  <si>
    <t>Planning &amp; Building</t>
  </si>
  <si>
    <t>Multiple Categories or Unable to Decipher</t>
  </si>
  <si>
    <t>Notes</t>
  </si>
  <si>
    <t>Note Source</t>
  </si>
  <si>
    <t>MS4 Permit</t>
  </si>
  <si>
    <t>Develop combined City/County SUSMP site design guidelines or requirements for developers (source controls).
Develop guidance on long term funding, inspection and reporting procedures for BMP maintenance.
Provide training to staff.
Provide workshop to the development community on planning procedures, policies, design guidelines and BMPs for stormwater pollution prevention.
Implement SUSMP measures on applicable projects within Urban Growth Boundary within Permit boundary.</t>
  </si>
  <si>
    <t>O&amp;M Costs</t>
  </si>
  <si>
    <t>July 2014 Board Meeting Agenda (link in Notes doc file)</t>
  </si>
  <si>
    <t>contract with Larry Walker Associates for the period of July 1, 2014 to June 30, 2015 in an amount not to exceed $140,000 for general technical support services necessary to comply with federal and state stormwater rules contained in National Pollutant Discharge Elimination System Permits</t>
  </si>
  <si>
    <t>control and reduce non-stormwater and polluted stormwater discharges to storm drains and watercourses during operation, inspection, and routine repair and maintenance activities of municipal facilities and infrastructure.</t>
  </si>
  <si>
    <t>conduct inspections, effective followup, and enforcement to abate potential and actual non-stormwater discharges</t>
  </si>
  <si>
    <t>prevent construction site discharges of pollutants into the storm drains</t>
  </si>
  <si>
    <t>addresses, within their jurisdictions, their own and others’ use of pesticides that pose a threat to water quality and that have the potential to enter the municipal conveyance system</t>
  </si>
  <si>
    <t>timely implementation of control measures and other actions to reduce trash loads from municipal separate storm sewer systems</t>
  </si>
  <si>
    <t>Permittees shall perform the control measures (source control, treatment control, and pollution prevention strategies) and report on those control measures according to the provisions below (TMDLs)</t>
  </si>
  <si>
    <t>Permittees shall implement PCBs control measures (source control, treatment control, and pollution prevention strategies) in areas where benefits are most likely to accrue (focused implementation) and report on those control measures (TMDLs)</t>
  </si>
  <si>
    <t>implement the control measures identified in the Basin Plan amendment necessary to support the copper site-specific objectives in San Francisco Bay</t>
  </si>
  <si>
    <t>Permittees must identify appropriate BMPs, monitor the non-stormwater discharges where necessary, and ensure implementation of effective control measures – as listed below – to eliminate adverse impacts to waters of the State</t>
  </si>
  <si>
    <t>Permittee shall develop a comprehensive municipal inventory per the requirements of this Section</t>
  </si>
  <si>
    <t>The Permittee shall inspect facilities and operations in the Commercial and Industrial Inventory for compliance with this Order,
The Permittee shall obtain, track, and analyze parameter results reported by industrial facilities</t>
  </si>
  <si>
    <t>Minimum BMPs, Training, Enforcement, Private Development</t>
  </si>
  <si>
    <t>Permittee shall develop and implement effective development plan review and permitting procedures to impose conditions of approval or other enforceable mechanisms to implement the requirements of this Section</t>
  </si>
  <si>
    <t>all activities defined in MS4 permit</t>
  </si>
  <si>
    <t>.-measurably increase the knowledge of the target audiences about the MS4, the adverse impacts of storm water pollution on receiving waters and potential solutions to mitigate the impacts
-measurably change the waste disposal and storm water pollution generation behavior of target audiences by developing and encouraging the implementation of appropriate alternatives
- involve and engage a diversity of socio-economic groups and ethnic communities in Los Angeles County to participate in mitigating the impacts of storm water pollution.</t>
  </si>
  <si>
    <t>Requirements for Public Agency Facilities and Activities consist of the following components:
i. Public Construction Activities Management
ii. Public Facility Inventory
iii. Inventory of Existing Development for Retrofitting Opportunities
iv. Public Facility and Activity Management
v. Vehicle and Equipment Wash Areas
vi. Landscape, Park, and Recreational Facilities Management
vii. Storm Drain Operation and Maintenance
viii. Streets, Roads, and Parking Facilities Maintenance
ix. Emergency Procedures
x. Municipal Employee and Contractor Training</t>
  </si>
  <si>
    <t>Erosion controls, sediment controls, non-stormwater management, waste management, additional controls
Table 13/14/15/16 in MS4 permit</t>
  </si>
  <si>
    <t>Street and road construction of 10,000 square feet or more of impervious surface area shall follow USEPA guidance regarding Managing Wet Weather with Green Infrastructure: Green Streets (December 2008 EPA-833-F-08-009</t>
  </si>
  <si>
    <t>under Watershed Control Measures, page 62 in permit</t>
  </si>
  <si>
    <t>watershed control measures may include: (2) Retrofitting areas of existing development</t>
  </si>
  <si>
    <t>“coordinate and facilitate activities to comply with the Permit, service as a liason between Copermittees and the RWQCB on permitting issues, provide technical and administrative support for committees, implement the Countywide Monitoring Program, evaluate, assess, and synthesize the results of the monitoring program and BMP implementation, and provide personnel and fiscal resources for the collection, processing, and submittal of monitoring and annual reports.”
“Additional responsibilities of the Principal Permitee are outlined in the stormwater management program elements included in Part 4, Special Provisions, of the permit”</t>
  </si>
  <si>
    <t>operation/maintenance of Permittee-owned treatment control BMPs where applicable</t>
  </si>
  <si>
    <t>listed under public agency activities, attachment B, Annual Reporting Requirements (https://www.waterboards.ca.gov/losangeles/water_issues/programs/stormwater/municipal/ventura_ms4/07_0108/permit%20-%20attachment%20b%20(07-27-05).pdf)</t>
  </si>
  <si>
    <t>Public Project BMPs</t>
  </si>
  <si>
    <t>Capital costs include any capital expenditure for each of the LIP elements such as the purchase of any land, large equipment or structures; installation of public project BMPs; and construction BMPs for public projects</t>
  </si>
  <si>
    <t>Program Administration (LIP Section A-2.0)</t>
  </si>
  <si>
    <t>Plan Development (LIP Section A-3.0)</t>
  </si>
  <si>
    <t>Municipal Activities (LIP Section A- 5.0)</t>
  </si>
  <si>
    <t>Public Information (LIP Section A-6.0)</t>
  </si>
  <si>
    <t>New Development/Significant Redevelopment (LIP Section A-7.0)</t>
  </si>
  <si>
    <t>Construction (LIP Section A-8.0)</t>
  </si>
  <si>
    <t>Existing Development (LIP Section A-9.0)</t>
  </si>
  <si>
    <t>Illegal Discharge/Illicit Connection (LIP Section A-10.0)</t>
  </si>
  <si>
    <t>(LIP Section 2.0)</t>
  </si>
  <si>
    <t>(LIP Section 7.0)</t>
  </si>
  <si>
    <t>(LIP Section 5.0)</t>
  </si>
  <si>
    <t>(LIP Section 6.0)</t>
  </si>
  <si>
    <t>(LIP Section 8.0)</t>
  </si>
  <si>
    <t>(LIP Section 9.0)</t>
  </si>
  <si>
    <t>Annual report</t>
  </si>
  <si>
    <t>DAMP Section 2.0</t>
  </si>
  <si>
    <t>DAMP Section 5.0</t>
  </si>
  <si>
    <t>DAMP Section 6.0</t>
  </si>
  <si>
    <t>DAMP Section 10.0</t>
  </si>
  <si>
    <t>LIP Section 5.0</t>
  </si>
  <si>
    <t>LIP Section 6.0</t>
  </si>
  <si>
    <t>LIP Section 9.0</t>
  </si>
  <si>
    <t>LIP Section 10.0</t>
  </si>
  <si>
    <t>LIP Section 2.0</t>
  </si>
  <si>
    <t>LIP Section 7.0</t>
  </si>
  <si>
    <t>LIP Section 8.0</t>
  </si>
  <si>
    <t>under SWMP Development in MS4 permit</t>
  </si>
  <si>
    <t>The County maintains records of leaking sanitary sewers or failing septic systems with a potential to seep into the storm drain system; and documents the results of any leaking sanitary sewer or failing septic system elimination activities.</t>
  </si>
  <si>
    <t>Multiple categories, check MS4 permit for more info</t>
  </si>
  <si>
    <t>https://www.waterboards.ca.gov/centralvalley/board_decisions/adopted_orders/kern/r5-2013-0153-01.pdf</t>
  </si>
  <si>
    <t>Same as kern county, view MS4 permit above</t>
  </si>
  <si>
    <t>BMP Requirements for All Construction Sites
· Construction Site Inventory
· Construction Plan Review and Approval Procedures
· Construction Site Inspection and Enforcement
· Construction Outreach, Education, and Training
Construction does not include emergency construction activities required to immediately protect public health and safety or routine maintenance activities required to maintain the integrity of structures by performing minor repair and restoration work, maintain the original line and grade, hydraulic capacity, or original purposes of the facility. See “Routine Maintenance” definition for further explanation</t>
  </si>
  <si>
    <t>· Inventory Industrial/Commercial Sources
· Inspect Industrial/Commercial Sources
· Source Control BMPs for Industrial/Commercial Facilities
· Industrial/Commercial Facility Enforcement
· Industrial/Commercial Facilities Education and Training</t>
  </si>
  <si>
    <t>· Inventory of Permittee-Owned and Operated Facilities
· Facility Assessment
· Storm Water Pollution Prevention Plans
· Inspections, Visual Monitoring and Remedial Action
· MS4 conveyance system Assessment and Prioritization
· Maintenance of MS4 conveyance system
· Permittee Operations and Maintenance Activities
Municipal Operations/Pollution Prevention and Good Housekeeping Education and
Training</t>
  </si>
  <si>
    <t>This program element includes outreach to involve, engage and educate the public.</t>
  </si>
  <si>
    <t>https://www.waterboards.ca.gov/centralvalley/board_decisions/adopted_orders/general_orders/r5-2016-0040_ms4.pdf</t>
  </si>
  <si>
    <t>Fresno MS4 permit --&gt;</t>
  </si>
  <si>
    <t>https://www.waterboards.ca.gov/centralvalley/board_decisions/adopted_orders/sacramento/r5-2010-0017_2009sqip.pdf</t>
  </si>
  <si>
    <t>Sacramento county region MS4 permit --&gt;</t>
  </si>
  <si>
    <t>The primary mission of the Construction Element is to prevent sediment and other construction-related pollutants from entering the storm drain system and local creeks and rivers.</t>
  </si>
  <si>
    <t xml:space="preserve">• Seek and participate in partnerships to conduct studies and implement target pollutant reduction programs.
• Seek new, effective target pollutant control measures and strategies. 
• Continue to implement target pollutant control measures and strategies. 
• Participate in regional, state, and national efforts to reduce target pollutants.  </t>
  </si>
  <si>
    <t>Regional Program Activities</t>
  </si>
  <si>
    <t>Construction Element Activities</t>
  </si>
  <si>
    <t>Municipal Operations Element Activities</t>
  </si>
  <si>
    <t>Sacramento City SQIP --&gt;</t>
  </si>
  <si>
    <t>https://www.beriverfriendly.net/docs/files/File/2009_SQIP/SQIP_Apx4_SacCity.pdf</t>
  </si>
  <si>
    <t>Sacramento County SQIP --&gt;</t>
  </si>
  <si>
    <t>https://www.beriverfriendly.net/docs/files/File/2009_SQIP/SQIP_Apx3_SacCo.pdf</t>
  </si>
  <si>
    <t>Annual Report 2016-2017</t>
  </si>
  <si>
    <t>Investigate business-related complaints, enforcement, and distribute educational materials</t>
  </si>
  <si>
    <t>...prevent sediment and other construction-related pollutants from entering the storm drain system and local creeks and rivers. The County requires that private and public construction projects (including County owned projects) in the unincorporated county be managed to reduce the potential for erosion and discharge of sediments and other pollutants to the County's storm drain system, creeks and/or rivers.
...Conduct inspection, enforcement, education and training for the construction community</t>
  </si>
  <si>
    <t>Maintain database for tracking of facilities/activities/evaluations etc.</t>
  </si>
  <si>
    <t>Maintain database for tracking of facilities/activities/evaluations etc.
control storm water pollution potentially resulting from operation and maintenance of County-owned facilities and infrastructure and to set an example of model pollution prevention for the public.</t>
  </si>
  <si>
    <t>Conduct field screening, investigations, respond and clean up illicit discharges/connections, enforcement, outreach/training</t>
  </si>
  <si>
    <t xml:space="preserve">Coordinate with Regional San on distributing program materialas, identify new potential sites that can benefit from awareness signage, promote educational programs, rain garden rebate program, </t>
  </si>
  <si>
    <t>Annual Report 2016-2017 (in Municipalities folder, Sacramento Stormwater Quality Partnership\Annual NPDES Reports (2016-2017))</t>
  </si>
  <si>
    <t>Inspection private construction projects, utilize enforcement, maintain inspection data</t>
  </si>
  <si>
    <t>Investigate business-related complaints, and conduct nforcement</t>
  </si>
  <si>
    <t>Maintain stormwater web page to educate and inform the general public,sponsor and staff stormwater booth at community events, installing pet waste stations along creeks and channels</t>
  </si>
  <si>
    <t>Stormwater Program Manager oversees performance of the activities and preparation of compliance deliverables described in the SQIP</t>
  </si>
  <si>
    <t>remove debris accumulation and prevent flooding, maintain performance of drain system</t>
  </si>
  <si>
    <t>Other Costs</t>
  </si>
  <si>
    <t>Conduct inspections, enforcement, and training for the construction community</t>
  </si>
  <si>
    <t>Investigate business-related complaints, conduct enforcement, distribute industry specific educational materials</t>
  </si>
  <si>
    <t>Coordinate with SRCSD on distributing program materials, identify new potential sites that can benefit from awareness signage, financially support community outreach events</t>
  </si>
  <si>
    <t>Inspections, follow-up with sites that are inspected and have maintenance problems, conduct outreach</t>
  </si>
  <si>
    <t>Educational materials distributed, media campaigns, community-wide events, events held for school-age children
MS4 permit names Public Involvement and Participation Program</t>
  </si>
  <si>
    <t>MS4 permit also calls it Pollution Prevention/Good Housekeeping</t>
  </si>
  <si>
    <t>http://www.stocktongov.com/files/SW-2016NPDES-R5-2016-0040.pdf</t>
  </si>
  <si>
    <t>MS4 Permit (link above)</t>
  </si>
  <si>
    <t>This program element may include the following: project approval process, site inventory and tracking, inspection/outreach, enforcement of local codes and ordinances, and training.</t>
  </si>
  <si>
    <t xml:space="preserve">This program element may include the following: high priority facility inventory and tracking, inspection/outreach, enforcement of local codes and ordinances and training. </t>
  </si>
  <si>
    <t>24 hour hotline number for reporting of illicit discharges and illegal connections, household hazardous waste collections for promotion of proper disposal for wastes, avoids illicit discharges</t>
  </si>
  <si>
    <t>https://www.waterboards.ca.gov/centralvalley/water_issues/storm_water/municipal_permits/2009_1008_sjco_swmp.pdf</t>
  </si>
  <si>
    <t>Municipal Maintenance Facilities(maintenance yards, fueling locations, washing stations)
– Evaluated to prevent illicit discharges
o Field Crews – “Eyes” and “Ears” in the field, report suspected illicit discharges and
illegal connections
o Storm Drain Marking/Stenciling – Educates the public and encourages them not to
discharge pollutants to the storm drain
o Training – Field crews are trained to understand the ID/IC program and what to look for</t>
  </si>
  <si>
    <t xml:space="preserve">Facilities in Database – Reports of illicit discharges or illegal connections from facilities in the industrial and commercial program database are recorded so the facility history is documented </t>
  </si>
  <si>
    <t>Facilities in Database – Reports of illicit discharges or illegal connections from facilities in the construction program database are recorded so the facility history is documented This is especially important during periods of dry weather when sites may experience an increase in the washing off of construction-related materials such as concrete, paints, or plaster.
o Inspections – Facilities are inspected to identify illegal connections</t>
  </si>
  <si>
    <t xml:space="preserve">o Plan Review – Plans are reviewed to identify potential illegal connections </t>
  </si>
  <si>
    <t>Section 9 of SWMP - Pesticide plan, pathogen plan, mercury plan, low dissolved oxygen plan</t>
  </si>
  <si>
    <t>http://www.stocktongov.com/files/sw_npdes_rowd.pdf</t>
  </si>
  <si>
    <t>establishes the responsibilities of each permittee and a procedure for funding the shared costs</t>
  </si>
  <si>
    <t>https://www.waterboards.ca.gov/santaana/board_decisions/adopted_orders/orders/2010/10_033_RC_MS4_Permit_01_29_10.pdf</t>
  </si>
  <si>
    <t>http://rcflood.org/downloads/NPDES/Documents/SA_SM_DAMP/SAR_DAMP.pdf</t>
  </si>
  <si>
    <t>includes education regarding IC/ID, 24 hour hotline to report illegal discharges, maintenance of website, distribute pamphlets, brochures, radio, social media, advertisements, surveys, etc (check Table 10-2 in the pdf on rcflood.org</t>
  </si>
  <si>
    <t>same MS4 permit as county</t>
  </si>
  <si>
    <t>http://rcflood.org/downloads/NPDES/Documents/SM_Indiv_SWMP/Murrieta%20SWMP%20Final.pdf</t>
  </si>
  <si>
    <t>https://temeculaca.gov/DocumentCenter/View/903/City-of-Temecula-Jurisdictional-Runoff-Management-Plan-2018JRMPPDF?bidId=</t>
  </si>
  <si>
    <t>JRMP</t>
  </si>
  <si>
    <t>Existing Development Retrofitting Program</t>
  </si>
  <si>
    <t>http://rcflood.org/downloads/NPDES/Documents/SA_Other/SantaAna_MS4Permit_R8-2010-0033.pdf</t>
  </si>
  <si>
    <t>https://www.waterboards.ca.gov/santaana/board_decisions/adopted_orders/orders/2010/10_036_SBC_MS4_Permit_01_29_10.pdf</t>
  </si>
  <si>
    <t>The combination of site design/LID BMPs (where feasible), source control, and/or treatment control BMPs, including regional treatment systems, in project-specific WQMPS shall address all identified pollutants and hydrologic conditions of concern from new development and/or significant re-development projects for the categories of projects (priority projects) listed below:...</t>
  </si>
  <si>
    <t>https://www.waterboards.ca.gov/sandiego/water_issues/programs/stormwater/docs/2018_ROWD.pdf</t>
  </si>
  <si>
    <t>also under San Diego's MS4 permit</t>
  </si>
  <si>
    <t>San Diego MS4 permit</t>
  </si>
  <si>
    <t>Jurisdictional Components</t>
  </si>
  <si>
    <t>Watershed Components</t>
  </si>
  <si>
    <t>Regional Components</t>
  </si>
  <si>
    <t>Municipal Components</t>
  </si>
  <si>
    <t>Industrial/Commercial Components</t>
  </si>
  <si>
    <t>Cost report</t>
  </si>
  <si>
    <t>Assumed 10% of City Planning &amp; Building Services are for Stormwater</t>
  </si>
  <si>
    <t>Cost Report</t>
  </si>
  <si>
    <t>Assumed 5% of City's Finance Program goes to Stormwater</t>
  </si>
  <si>
    <t>Advertising of Pollution Prevention Events</t>
  </si>
  <si>
    <t>DAMP Section 5.0; municipal pollution prevention</t>
  </si>
  <si>
    <t>Cost Report &amp; Drainage Area Management Plan (DAMP)</t>
  </si>
  <si>
    <t>Jurisdictional Component Shared Programs For Which Costs Can Not Be</t>
  </si>
  <si>
    <t>Readily Calculated</t>
  </si>
  <si>
    <t>DAMP Section 10.0 (Detect and eliminate illegal discharges/illicit connections to the municipal storm drain system)</t>
  </si>
  <si>
    <t>Municipal Operations Element</t>
  </si>
  <si>
    <t>DAMP Section 6.0 (Educate the public about the issue of urban stormwater and non-stormwater pollution and obtain their support in implementing pollution prevention BMPs (DAMP Section 6.0); )</t>
  </si>
  <si>
    <t>Jurisdictional Component Shared Programs</t>
  </si>
  <si>
    <t>Municipal Activities (LIP Section A- 5.0) (Municipal Activities)</t>
  </si>
  <si>
    <t xml:space="preserve">DAMP Section 5.0 - mprove existing municipal pollution prevention and removal best management practices (BMPs) to further reduce the amount of pollutants entering the storm drain system (DAMP Section 5.0); </t>
  </si>
  <si>
    <t>Training for Stormwater Personnel; Training for GIS personnel</t>
  </si>
  <si>
    <t>Includes Pesticide, Pathogen, Mercury, and DO Work Plans and Implementation</t>
  </si>
  <si>
    <t>Watershed/TMDL Collaboration</t>
  </si>
  <si>
    <t>measurably increase the knowledge of target audiences
measurable change the waste disposal and storm water pollution generation behavior
involve and engage a diversity of socio-economic groups and ethnic communities</t>
  </si>
  <si>
    <t>https://www.waterboards.ca.gov/losangeles/water_issues/programs/stormwater/municipal/los_angeles_ms4/2016/6948_R4-2012-0175_WDR_PKG_amd2.pdf</t>
  </si>
  <si>
    <t>ventura county ms4 permit</t>
  </si>
  <si>
    <t>https://www.waterboards.ca.gov/losangeles/water_issues/programs/stormwater/municipal/ventura_ms4/AdoptedVenturaCountyms4/Order.pdf</t>
  </si>
  <si>
    <t xml:space="preserve">Public Agency requirements consist of:
i. Public Construction Activities Management.
ii. Vehicle Maintenance/ Material Storage Facilities/ Corporation Yards Management/ Municipal Operations.
iii. Vehicle and Equipment Wash Areas
iv. Landscape and Recreational Facilities Management
v. Storm Drain Operation and Management
vi. Streets and Roads Maintenance
vn. Public Industrial Activities Management
vm. Emergency Procedures
ix. Employee Training
x. Infrastructure Maintenance </t>
  </si>
  <si>
    <t>conducts industrial activity, operates or stores equipment or materials
performs fleet vehicle service/maintenance, including repair, washing, fueling
maintenance of machinery/equipment
stores chemicals, raw materials or waste materials</t>
  </si>
  <si>
    <t>http://prg.ocpublicworks.com/DocmgmtInternet/Download.aspx?id=1496</t>
  </si>
  <si>
    <t>https://www.waterboards.ca.gov/centralvalley/water_issues/storm_water/municipal_permits/2015_bkrsfld_swmp.pdf</t>
  </si>
  <si>
    <t>falls under municipal operations section (Chapter 5) in SWMP</t>
  </si>
  <si>
    <t>in SWMP, is categorized as "SWMP Development"</t>
  </si>
  <si>
    <r>
      <t>Environmental project and proposa</t>
    </r>
    <r>
      <rPr>
        <sz val="11"/>
        <color indexed="8"/>
        <rFont val="Arial"/>
        <family val="1"/>
        <charset val="204"/>
      </rPr>
      <t xml:space="preserve">l </t>
    </r>
    <r>
      <rPr>
        <sz val="11"/>
        <color indexed="63"/>
        <rFont val="Arial"/>
        <family val="1"/>
        <charset val="204"/>
      </rPr>
      <t>review</t>
    </r>
    <r>
      <rPr>
        <sz val="11"/>
        <color indexed="23"/>
        <rFont val="Arial"/>
        <family val="1"/>
        <charset val="204"/>
      </rPr>
      <t xml:space="preserve">, </t>
    </r>
    <r>
      <rPr>
        <sz val="11"/>
        <color indexed="63"/>
        <rFont val="Arial"/>
        <family val="1"/>
        <charset val="204"/>
      </rPr>
      <t>SUSMP
app</t>
    </r>
    <r>
      <rPr>
        <sz val="11"/>
        <color indexed="8"/>
        <rFont val="Arial"/>
        <family val="1"/>
        <charset val="204"/>
      </rPr>
      <t>l</t>
    </r>
    <r>
      <rPr>
        <sz val="11"/>
        <color indexed="63"/>
        <rFont val="Arial"/>
        <family val="1"/>
        <charset val="204"/>
      </rPr>
      <t>icability and the review of SWPPP and SUSMP documents</t>
    </r>
    <r>
      <rPr>
        <sz val="11"/>
        <color indexed="23"/>
        <rFont val="Arial"/>
        <family val="1"/>
        <charset val="204"/>
      </rPr>
      <t>.</t>
    </r>
  </si>
  <si>
    <r>
      <t>Construction activit</t>
    </r>
    <r>
      <rPr>
        <sz val="11"/>
        <color indexed="8"/>
        <rFont val="Arial"/>
        <family val="2"/>
      </rPr>
      <t>i</t>
    </r>
    <r>
      <rPr>
        <sz val="11"/>
        <color indexed="63"/>
        <rFont val="Arial"/>
        <family val="2"/>
      </rPr>
      <t>es inc</t>
    </r>
    <r>
      <rPr>
        <sz val="11"/>
        <color indexed="8"/>
        <rFont val="Arial"/>
        <family val="2"/>
      </rPr>
      <t>l</t>
    </r>
    <r>
      <rPr>
        <sz val="11"/>
        <color indexed="63"/>
        <rFont val="Arial"/>
        <family val="2"/>
      </rPr>
      <t>ude meetings with contractors,  Port engineers and construction staff, site inspections, follow</t>
    </r>
    <r>
      <rPr>
        <sz val="11"/>
        <color indexed="8"/>
        <rFont val="Arial"/>
        <family val="2"/>
      </rPr>
      <t xml:space="preserve">- </t>
    </r>
    <r>
      <rPr>
        <sz val="11"/>
        <color indexed="63"/>
        <rFont val="Arial"/>
        <family val="2"/>
      </rPr>
      <t>ups, and written correspondence</t>
    </r>
    <r>
      <rPr>
        <sz val="11"/>
        <color indexed="23"/>
        <rFont val="Arial"/>
        <family val="2"/>
      </rPr>
      <t>.</t>
    </r>
  </si>
  <si>
    <t>Structural BMP projects</t>
  </si>
  <si>
    <t>In response to the NPDES permit requirements, the City implemented a Clean Storm Water Fee in 1991 for all residences and businesses in the City</t>
  </si>
  <si>
    <t>working with agencies to comply with the Federal Clean Water Act
countywide collaboration/participation</t>
  </si>
  <si>
    <t>for example, the Enhanced Watershed Management Program for Dominguez Channel states:
Some of the WMG agencies are implementing additional institutional BMPs to achieve additional pollutant
load reduction. The following is a list of additional institutional BMPs considered by the DC WMG with a
brief description:
** Full Capture Devices in High-Trash Capture Areas – Installing a device that traps all particles
retained by a 5 mm mesh screen and may include BMPs such as catch basin opening covers or
inserts, or hydrodynamic separators.
** Catch Basin Cleanouts of those Full-Capture Devices – Conducting additional cleaning out of the
catch basins.
** Enhanced Street Sweeping with Vacuum Sweepers – Switching from mechanical sweepers to
vacuum trucks and increasing frequency of cleaning if needed.</t>
  </si>
  <si>
    <t>https://www.waterboards.ca.gov/losangeles/water_issues/programs/stormwater/municipal/watershed_management/dominguez_channel/DCWMG_EWMP_2-25-15.pdf</t>
  </si>
  <si>
    <t>https://www.danapoint.org/Home/ShowDocument/23955</t>
  </si>
  <si>
    <t>Falconer services were provided
Deter seagulls, improve water quality</t>
  </si>
  <si>
    <t>supposedly is described in Kern County's SWMP, but can't find the SWMP</t>
  </si>
  <si>
    <t>https://www.waterboards.ca.gov/water_issues/programs/stormwater/docs/bakersfield_permit_5_01_130.pdf</t>
  </si>
  <si>
    <t>target pollutant reduction strategies have been developed for diazinon, chlorpyrifos, coliforms/pathogens, copper, and lead.
To determine which pollutants to address, the Program has developed a step-by-step
target pollutant prioritization procedure</t>
  </si>
  <si>
    <t>https://waterresources.saccounty.net/Documents/June2007-SQIP-DRAFT.pdf</t>
  </si>
  <si>
    <t>other departments that conduct work related to stormwater permit compliance (check 2015-2016 annual report for more detail)
costs are not currently charged to/tracked by a separate stormwater quality project number</t>
  </si>
  <si>
    <t>Annual Report 2015-2016</t>
  </si>
  <si>
    <t>assuming it's the same as Sac County since it is a regional program
target pollutant reduction strategies have been developed for diazinon, chlorpyrifos, coliforms/pathogens, copper, and lead.
To determine which pollutants to address, the Program has developed a step-by-step
target pollutant prioritization procedure</t>
  </si>
  <si>
    <t>(1) Identifying watershed issues; (2) Performing source assessments; (3) Evaluating effectiveness of
current JRMP program implementation; (4) Assessing Non-Structural BMPs when effective
implementation of JRMP program will not resolve the identified issue; and (5) Assessing structural
BMPs where the identified issue is contributing to a receiving water impairment or where there is an
adopted Total Maximum Daily Load (TMDL) and the non-structural BMPs are insufficient to address the
problem</t>
  </si>
  <si>
    <t>http://rcflood.org/downloads/NPDES/Documents/SM_JRMP/RetrofitStudyProgram.pdf</t>
  </si>
  <si>
    <t>An asphalt overlay is applied to existing high volume traffic streets when the asphalt pavement surface deteriorates to the point of needing repair</t>
  </si>
  <si>
    <t>http://murrietaca.gov/Archive/ViewFile/Item/74</t>
  </si>
  <si>
    <t>https://www.waterboards.ca.gov/sandiego/water_issues/programs/stormwater/docs/wqip/2013-0001/D_Adoption_R9-2013-0001/D077.pdf</t>
  </si>
  <si>
    <t>https://www.waterboards.ca.gov/sandiego//board_info/agendas/2006/dec/item10/suppdoc2.pdf</t>
  </si>
  <si>
    <t>Requires Copermittees to educate their own departments and personnel
" " " all project applicants, developers, contractors, property owners, community planning groups, and other
" " " collaboratively develop and implement a plan to educate residential, general public, and school children through the use of mass media, mailers, door hangers, booths at public events, classroom education, field trips, hands-on experiences, etc</t>
  </si>
  <si>
    <t>Capital Cost</t>
  </si>
  <si>
    <t>View link in row 1506 (Orange County) for link to LIP for activity definitions</t>
  </si>
  <si>
    <t>View link above for link to LIP for activity definitions</t>
  </si>
  <si>
    <t>MS4 Permit (located in permits folder)</t>
  </si>
  <si>
    <t>https://www.waterboards.ca.gov/losangeles/water_issues/programs/stormwater/municipal/los_angeles_ms4/2016/OrderR4-2012-0175_corrected_120216.pdf</t>
  </si>
  <si>
    <t>MS4 Permit (above)</t>
  </si>
  <si>
    <t>Overall, the stormwater program is spending similar percentages on each cost category annually, with the exception of FY 2017-2018 and FY 2018-2019, due to one-time funding for Green Infrastructure projects (see “Capital Costs,” Table 2).</t>
  </si>
  <si>
    <t>develop and maintain a construction site inventory to track all construction sites the Permittee has jurisdictional authority over construction BMPs</t>
  </si>
  <si>
    <t>https://www.waterboards.ca.gov/losangeles/water_issues/programs/stormwater/municipal/watershed_management/beach_cities/BMPImplementationPlancompressed2.pdf</t>
  </si>
  <si>
    <t>http://www.lastormwater.org/wp-content/files_mf/bcewmpworkplan2014.pdf</t>
  </si>
  <si>
    <t>compliance with CEQA</t>
  </si>
  <si>
    <t>https://www.portofsandiego.org/development-services-department</t>
  </si>
  <si>
    <t>https://www.portofsandiego.org/stormwater-management</t>
  </si>
  <si>
    <t>public agency retirement services</t>
  </si>
  <si>
    <t>hydromodification management plan/monitoring site selection</t>
  </si>
  <si>
    <t>SWRCD annual discharge fee, Regional MOU cost share, education programs, Carlsbad Watershed Management Area cost share/MOU, Bardley Park SWRCP annual discharge fee and Bardley Park SWRCP general industrial permit fee</t>
  </si>
  <si>
    <t>Annual Report (page 189/2742)</t>
  </si>
  <si>
    <t>Certified Erosion &amp; Sediment Storm Water Inspector (CESSWI)
Certified Professional Erosion &amp; Sediment Control (CPESC)
Qualified SWPPP Developer (QSD)
Qualified SWPPP Practitioner (QSP)
Continuing education requirements for certifications
Municipal Separate Storm Sewer System Specialist (CMS4S)
Certified Professional in Storm Water Quality (CPSWQ)
Police Officer Standardized Training 832
New permit/regulatory requirement training
CASQA Conference</t>
  </si>
  <si>
    <t>Annual Report (page 188/2742)</t>
  </si>
  <si>
    <t>Used Oil Payment Program. Filter retrofit program:
Since that period through FY17, approximately 53 inlet filters have been retrofitted with Bio Clean Round Curb Inlet Media Filters. This proprietary product was chosen due to its performance related to the removal of dissolved phosphorus, fecal coliform, oil &amp; grease, total suspended sediment, and other pollutants related to metals.</t>
  </si>
  <si>
    <t>Annual Report (page 314/2742)</t>
  </si>
  <si>
    <t>Cost accounted for in Watershed and Education components</t>
  </si>
  <si>
    <t>Carlsbad Watershed expenses reported here are total expenses for the City of Carlsb</t>
  </si>
  <si>
    <t>Cost accounted for in IDDE and education</t>
  </si>
  <si>
    <t>Annual Report (page 146/2742)</t>
  </si>
  <si>
    <t>https://www.waterboards.ca.gov/sandiego/water_issues/programs/stormwater/docs/2015-1118_AmendedOrder_R9-2013-0001_COMPLETE.pdf</t>
  </si>
  <si>
    <t>Maintenance discharges, controlled practice/blazes, firefighting training, maintenance activities, etc</t>
  </si>
  <si>
    <t>Project approval process, construction inventory and tracking, downstream surface water quality, constr. Site bmp implementation, constr. Site inspections</t>
  </si>
  <si>
    <t>provides an enhanced education program through a dedicated staff member who does outreach on storm water and water conservation issues at schools. Also provides field trips, presentations, etc
provide education at community events, neighborhood group meetings
education provided as needed in response to ovservations during residential management area insepctions
education provided via city webpage and Facebook</t>
  </si>
  <si>
    <t>Annual Report (page 414/1319)</t>
  </si>
  <si>
    <t>construction enforcement, illicit discharge enforcement? Page 240 annual report construction, and page 250 annual report lists the enforcement plan for illicit discharge</t>
  </si>
  <si>
    <t>pg 250 annual report</t>
  </si>
  <si>
    <t>page 261 annual report</t>
  </si>
  <si>
    <t>State grant fund for a microbial source identification study in Loma Alta Creek watershed</t>
  </si>
  <si>
    <t>https://www.ci.oceanside.ca.us/civicax/filebank/blobdload.aspx?blobid=40196</t>
  </si>
  <si>
    <t>IC/ID investigations, page 54</t>
  </si>
  <si>
    <t>page 259 annual report</t>
  </si>
  <si>
    <t>compliance inspections, BMP implementation, monitoring and reporting, inspect municipal facilities that have the potential to contribute pollutants to the ms4 to ensure compliance</t>
  </si>
  <si>
    <t>dry weather monitoring, special investigations, field or sampling equipment, materials and supplies, enforcing City storm water ordinance</t>
  </si>
  <si>
    <t>annual report page 271</t>
  </si>
  <si>
    <t>https://www.waterboards.ca.gov/sandiego/water_issues/programs/stormwater/docs/updates101912/2012-1012_Tentative_Order_Clean.pdf</t>
  </si>
  <si>
    <t>assuming the same as Special Studies in MS4? page 52</t>
  </si>
  <si>
    <t>pollution prevention, bmp implementation/O&amp;M etc</t>
  </si>
  <si>
    <t>public education and participation</t>
  </si>
  <si>
    <t>annual report page 139</t>
  </si>
  <si>
    <t>public education and outreach, provisions II.E.2/II.E.7?</t>
  </si>
  <si>
    <t>identification of sources of pollutants in urban runoff (such as municipal areas and activities, industrial/commercial sites/sources, construction sites, and residential areas)</t>
  </si>
  <si>
    <t>https://www.escondido.org/Data/Sites/1/media/pdfs/Utilities/StormWaterPermit.pdf</t>
  </si>
  <si>
    <t>Watershed Copermittees shall implement a watershed-specific public participation mechanism within each watershed. The mechanism shall encourage participation from other organizations within the watershed (such as the Department of Defense, Caltrans, lagoon foundations, etc.)</t>
  </si>
  <si>
    <t xml:space="preserve">Watershed and Regional Ubran Runoff Management, page 9/119, page 48/119 </t>
  </si>
  <si>
    <t>subcategories</t>
  </si>
  <si>
    <t>The city implements enforcement responses to compel with statutes, ordinances, permits, contracts, orders, and other requirements for IDDE, development planning, construction management, and existing development in accordance with the City's Enforcement Response Plan</t>
  </si>
  <si>
    <t>Annual Report pg 273/450</t>
  </si>
  <si>
    <t xml:space="preserve">investigations for Existing Development, hotline call investigations, </t>
  </si>
  <si>
    <t>storm drain cleaning/sweeping, etc</t>
  </si>
  <si>
    <t>Implement a public education and participation program to promote and encourage development of programs, management practices, and behaviors that reduce the discharge of pollutants in storm water prioritized by high-risk behaviors, pollutants of concern, and target audiences.</t>
  </si>
  <si>
    <t>Annual report, 328/474</t>
  </si>
  <si>
    <t>Implement a public education and participation program to promote and encourage development of programs, management practices, and behaviors that reduce the discharge of pollutants in storm water prioritized by high-risk behaviors, pollutants of concern, and target audiences.
More info in annual report, page 328</t>
  </si>
  <si>
    <t>Regional program costs include the SWRCB annual permit fee, and are also intended to include Copermittee shared costs for monitoring, education, and other regional expenses.</t>
  </si>
  <si>
    <t>annual report page 345</t>
  </si>
  <si>
    <t>Annual Report page 357</t>
  </si>
  <si>
    <t>hotline call response investigations</t>
  </si>
  <si>
    <t>annual report page 357</t>
  </si>
  <si>
    <t>San Diego River Watershed Management and development of WQIP, 
services to comply with the total maximum daily loads for bacteria, 
aerial imaging, 
san diego regional co-permittee memorandum of understanding cost, dry weather testing and extended dry weather testing, 
as needed on-call engineering services for plan check for SUSMP, erosion control plans and drainage studies
update of jurisdictional urban runoff management program (recurs every 5 years)</t>
  </si>
  <si>
    <t>Annual Report page 143/396</t>
  </si>
  <si>
    <t>contributions to the San Diego River Coalition
contribution to I Love A Clean San Diego</t>
  </si>
  <si>
    <r>
      <rPr>
        <b/>
        <sz val="11"/>
        <color theme="1"/>
        <rFont val="Calibri"/>
        <family val="2"/>
        <scheme val="minor"/>
      </rPr>
      <t>Water Quality (NPDES): Funded Expenses:</t>
    </r>
    <r>
      <rPr>
        <sz val="11"/>
        <color theme="1"/>
        <rFont val="Calibri"/>
        <family val="2"/>
        <scheme val="minor"/>
      </rPr>
      <t xml:space="preserve"> Administration &amp; Engineering</t>
    </r>
  </si>
  <si>
    <r>
      <rPr>
        <b/>
        <sz val="11"/>
        <color theme="1"/>
        <rFont val="Calibri"/>
        <family val="2"/>
        <scheme val="minor"/>
      </rPr>
      <t xml:space="preserve">Water Quality (NPDES): Funded Expenses: </t>
    </r>
    <r>
      <rPr>
        <sz val="11"/>
        <color theme="1"/>
        <rFont val="Calibri"/>
        <family val="2"/>
        <scheme val="minor"/>
      </rPr>
      <t>NPDES Permit and Alameda County Clean Water Program</t>
    </r>
  </si>
  <si>
    <r>
      <rPr>
        <b/>
        <sz val="11"/>
        <color theme="1"/>
        <rFont val="Calibri"/>
        <family val="2"/>
        <scheme val="minor"/>
      </rPr>
      <t xml:space="preserve">Water Quality (NPDES): Funded Expenses: </t>
    </r>
    <r>
      <rPr>
        <sz val="11"/>
        <color theme="1"/>
        <rFont val="Calibri"/>
        <family val="2"/>
        <scheme val="minor"/>
      </rPr>
      <t>Clean Storm Water</t>
    </r>
  </si>
  <si>
    <r>
      <rPr>
        <b/>
        <sz val="11"/>
        <color theme="1"/>
        <rFont val="Calibri"/>
        <family val="2"/>
        <scheme val="minor"/>
      </rPr>
      <t>Water Quality (NPDES): Funded Expenses:</t>
    </r>
    <r>
      <rPr>
        <sz val="11"/>
        <color theme="1"/>
        <rFont val="Calibri"/>
        <family val="2"/>
        <scheme val="minor"/>
      </rPr>
      <t xml:space="preserve"> Toxics Management</t>
    </r>
  </si>
  <si>
    <r>
      <rPr>
        <b/>
        <sz val="11"/>
        <color theme="1"/>
        <rFont val="Calibri"/>
        <family val="2"/>
        <scheme val="minor"/>
      </rPr>
      <t>Water Quality (NPDES): Funded Expenses:</t>
    </r>
    <r>
      <rPr>
        <sz val="11"/>
        <color theme="1"/>
        <rFont val="Calibri"/>
        <family val="2"/>
        <scheme val="minor"/>
      </rPr>
      <t xml:space="preserve"> Annual Report</t>
    </r>
  </si>
  <si>
    <r>
      <rPr>
        <b/>
        <sz val="11"/>
        <color theme="1"/>
        <rFont val="Calibri"/>
        <family val="2"/>
        <scheme val="minor"/>
      </rPr>
      <t xml:space="preserve">Water Quality (NPDES): Funded Expenses: </t>
    </r>
    <r>
      <rPr>
        <sz val="11"/>
        <color theme="1"/>
        <rFont val="Calibri"/>
        <family val="2"/>
        <scheme val="minor"/>
      </rPr>
      <t>Capital Costs</t>
    </r>
  </si>
  <si>
    <r>
      <rPr>
        <b/>
        <sz val="11"/>
        <color theme="1"/>
        <rFont val="Calibri"/>
        <family val="2"/>
        <scheme val="minor"/>
      </rPr>
      <t>Water Quality (NPDES): Proposed Expenses:</t>
    </r>
    <r>
      <rPr>
        <sz val="11"/>
        <color theme="1"/>
        <rFont val="Calibri"/>
        <family val="2"/>
        <scheme val="minor"/>
      </rPr>
      <t xml:space="preserve"> NPDES Environmental Compliance</t>
    </r>
  </si>
  <si>
    <r>
      <rPr>
        <b/>
        <sz val="11"/>
        <color theme="1"/>
        <rFont val="Calibri"/>
        <family val="2"/>
        <scheme val="minor"/>
      </rPr>
      <t xml:space="preserve">Water Quality (NPDES): Proposed Expenses: </t>
    </r>
    <r>
      <rPr>
        <sz val="11"/>
        <color theme="1"/>
        <rFont val="Calibri"/>
        <family val="2"/>
        <scheme val="minor"/>
      </rPr>
      <t>Stormwater Design requirements</t>
    </r>
  </si>
  <si>
    <r>
      <rPr>
        <b/>
        <sz val="11"/>
        <color theme="1"/>
        <rFont val="Calibri"/>
        <family val="2"/>
        <scheme val="minor"/>
      </rPr>
      <t>Water Quality (NPDES): Proposed Expenses:</t>
    </r>
    <r>
      <rPr>
        <sz val="11"/>
        <color theme="1"/>
        <rFont val="Calibri"/>
        <family val="2"/>
        <scheme val="minor"/>
      </rPr>
      <t xml:space="preserve"> Staff Training</t>
    </r>
  </si>
  <si>
    <r>
      <t xml:space="preserve">Capital Costs: Funded Projects: One-Time Funding: </t>
    </r>
    <r>
      <rPr>
        <sz val="11"/>
        <color theme="1"/>
        <rFont val="Calibri"/>
        <family val="2"/>
        <scheme val="minor"/>
      </rPr>
      <t>2017 GI Project: Rose &amp; Hopkings, University &amp; Shattuck, Woolsey</t>
    </r>
  </si>
  <si>
    <r>
      <t xml:space="preserve">Capital Costs: Funded Projects: One-Time Funding: </t>
    </r>
    <r>
      <rPr>
        <sz val="11"/>
        <color theme="1"/>
        <rFont val="Calibri"/>
        <family val="2"/>
        <scheme val="minor"/>
      </rPr>
      <t>2018 GI Project: Parker St. Cistern &amp; Drainage Improvements</t>
    </r>
  </si>
  <si>
    <r>
      <t xml:space="preserve">Capital Costs: Funded Projects: One-Time Funding: </t>
    </r>
    <r>
      <rPr>
        <sz val="11"/>
        <color theme="1"/>
        <rFont val="Calibri"/>
        <family val="2"/>
        <scheme val="minor"/>
      </rPr>
      <t>2019 GI Project: King School Park, N. Branch Library, Civic Center Park, Dwight/Sacto Bus Stop, Willard Park, San Pablo Park</t>
    </r>
  </si>
  <si>
    <r>
      <t xml:space="preserve">Capital Costs: Funded Projects: Recurring Funding: </t>
    </r>
    <r>
      <rPr>
        <sz val="11"/>
        <color theme="1"/>
        <rFont val="Calibri"/>
        <family val="2"/>
        <scheme val="minor"/>
      </rPr>
      <t>Kains Trash Rack</t>
    </r>
  </si>
  <si>
    <r>
      <t xml:space="preserve">Capital Costs: Funded Projects: Recurring Funding: </t>
    </r>
    <r>
      <rPr>
        <sz val="11"/>
        <color theme="1"/>
        <rFont val="Calibri"/>
        <family val="2"/>
        <scheme val="minor"/>
      </rPr>
      <t>Storm Drain Rehab</t>
    </r>
  </si>
  <si>
    <r>
      <t xml:space="preserve">Capital Costs: Funded Projects: Recurring Funding: </t>
    </r>
    <r>
      <rPr>
        <sz val="11"/>
        <color theme="1"/>
        <rFont val="Calibri"/>
        <family val="2"/>
        <scheme val="minor"/>
      </rPr>
      <t>Wildcat Canyon Rd Drainage Improvements</t>
    </r>
  </si>
  <si>
    <r>
      <t xml:space="preserve">Capital Costs: Funded Projects: Recurring Funding: </t>
    </r>
    <r>
      <rPr>
        <sz val="11"/>
        <color theme="1"/>
        <rFont val="Calibri"/>
        <family val="2"/>
        <scheme val="minor"/>
      </rPr>
      <t>Storm Planning: Stormwater Master Plan</t>
    </r>
  </si>
  <si>
    <r>
      <t xml:space="preserve">Capital Costs: Funded Projects: Recurring Funding: </t>
    </r>
    <r>
      <rPr>
        <sz val="11"/>
        <color theme="1"/>
        <rFont val="Calibri"/>
        <family val="2"/>
        <scheme val="minor"/>
      </rPr>
      <t>Clean Storm Planning</t>
    </r>
  </si>
  <si>
    <r>
      <t xml:space="preserve">Capital Costs: Proposed Projects: </t>
    </r>
    <r>
      <rPr>
        <sz val="11"/>
        <color theme="1"/>
        <rFont val="Calibri"/>
        <family val="2"/>
        <scheme val="minor"/>
      </rPr>
      <t>Complete Watershed Management Plan</t>
    </r>
  </si>
  <si>
    <r>
      <t xml:space="preserve">Capital Costs: Proposed Projects: </t>
    </r>
    <r>
      <rPr>
        <sz val="11"/>
        <color theme="1"/>
        <rFont val="Calibri"/>
        <family val="2"/>
        <scheme val="minor"/>
      </rPr>
      <t>Watershed/Drainage and Green Infrastructure Project TBD</t>
    </r>
  </si>
  <si>
    <r>
      <rPr>
        <b/>
        <sz val="11"/>
        <color theme="1"/>
        <rFont val="Calibri"/>
        <family val="2"/>
        <scheme val="minor"/>
      </rPr>
      <t>Operation &amp; Maintenance: Funded Expenses:</t>
    </r>
    <r>
      <rPr>
        <sz val="11"/>
        <color theme="1"/>
        <rFont val="Calibri"/>
        <family val="2"/>
        <scheme val="minor"/>
      </rPr>
      <t xml:space="preserve"> Corp Yard Administration</t>
    </r>
  </si>
  <si>
    <r>
      <rPr>
        <b/>
        <sz val="11"/>
        <color theme="1"/>
        <rFont val="Calibri"/>
        <family val="2"/>
        <scheme val="minor"/>
      </rPr>
      <t>Operation &amp; Maintenance: Funded Expenses:</t>
    </r>
    <r>
      <rPr>
        <sz val="11"/>
        <color theme="1"/>
        <rFont val="Calibri"/>
        <family val="2"/>
        <scheme val="minor"/>
      </rPr>
      <t xml:space="preserve"> Customer Service</t>
    </r>
  </si>
  <si>
    <r>
      <rPr>
        <b/>
        <sz val="11"/>
        <color theme="1"/>
        <rFont val="Calibri"/>
        <family val="2"/>
        <scheme val="minor"/>
      </rPr>
      <t>Operation &amp; Maintenance: Funded Expenses:</t>
    </r>
    <r>
      <rPr>
        <sz val="11"/>
        <color theme="1"/>
        <rFont val="Calibri"/>
        <family val="2"/>
        <scheme val="minor"/>
      </rPr>
      <t xml:space="preserve"> Facilities Management Corp Yard Shared Costs</t>
    </r>
  </si>
  <si>
    <r>
      <rPr>
        <b/>
        <sz val="11"/>
        <color theme="1"/>
        <rFont val="Calibri"/>
        <family val="2"/>
        <scheme val="minor"/>
      </rPr>
      <t>Operation &amp; Maintenance: Funded Expenses:</t>
    </r>
    <r>
      <rPr>
        <sz val="11"/>
        <color theme="1"/>
        <rFont val="Calibri"/>
        <family val="2"/>
        <scheme val="minor"/>
      </rPr>
      <t xml:space="preserve"> BMP Inspections</t>
    </r>
  </si>
  <si>
    <r>
      <rPr>
        <b/>
        <sz val="11"/>
        <color theme="1"/>
        <rFont val="Calibri"/>
        <family val="2"/>
        <scheme val="minor"/>
      </rPr>
      <t>Operation &amp; Maintenance: Funded Expenses:</t>
    </r>
    <r>
      <rPr>
        <sz val="11"/>
        <color theme="1"/>
        <rFont val="Calibri"/>
        <family val="2"/>
        <scheme val="minor"/>
      </rPr>
      <t xml:space="preserve"> Facilities Management Streets and Sanitation</t>
    </r>
  </si>
  <si>
    <r>
      <rPr>
        <b/>
        <sz val="11"/>
        <color theme="1"/>
        <rFont val="Calibri"/>
        <family val="2"/>
        <scheme val="minor"/>
      </rPr>
      <t>Operation &amp; Maintenance: Funded Expenses:</t>
    </r>
    <r>
      <rPr>
        <sz val="11"/>
        <color theme="1"/>
        <rFont val="Calibri"/>
        <family val="2"/>
        <scheme val="minor"/>
      </rPr>
      <t xml:space="preserve"> Storm Drain and Trash Capture Maintenance</t>
    </r>
  </si>
  <si>
    <r>
      <rPr>
        <b/>
        <sz val="11"/>
        <color theme="1"/>
        <rFont val="Calibri"/>
        <family val="2"/>
        <scheme val="minor"/>
      </rPr>
      <t>Operation &amp; Maintenance: Proposed Expenses:</t>
    </r>
    <r>
      <rPr>
        <sz val="11"/>
        <color theme="1"/>
        <rFont val="Calibri"/>
        <family val="2"/>
        <scheme val="minor"/>
      </rPr>
      <t xml:space="preserve"> CCTV Scope</t>
    </r>
  </si>
  <si>
    <r>
      <rPr>
        <b/>
        <sz val="11"/>
        <color theme="1"/>
        <rFont val="Calibri"/>
        <family val="2"/>
        <scheme val="minor"/>
      </rPr>
      <t>Operation &amp; Maintenance: Proposed Expenses:</t>
    </r>
    <r>
      <rPr>
        <sz val="11"/>
        <color theme="1"/>
        <rFont val="Calibri"/>
        <family val="2"/>
        <scheme val="minor"/>
      </rPr>
      <t xml:space="preserve"> Cleaning 450 Trash Capture Devices</t>
    </r>
  </si>
  <si>
    <r>
      <rPr>
        <b/>
        <sz val="11"/>
        <color theme="1"/>
        <rFont val="Calibri"/>
        <family val="2"/>
        <scheme val="minor"/>
      </rPr>
      <t>Operation &amp; Maintenance: Proposed Expenses:</t>
    </r>
    <r>
      <rPr>
        <sz val="11"/>
        <color theme="1"/>
        <rFont val="Calibri"/>
        <family val="2"/>
        <scheme val="minor"/>
      </rPr>
      <t xml:space="preserve"> Infrastructure Inventory</t>
    </r>
  </si>
  <si>
    <r>
      <rPr>
        <b/>
        <sz val="11"/>
        <color theme="1"/>
        <rFont val="Calibri"/>
        <family val="2"/>
        <scheme val="minor"/>
      </rPr>
      <t>Operation &amp; Maintenance: Proposed Expenses:</t>
    </r>
    <r>
      <rPr>
        <sz val="11"/>
        <color theme="1"/>
        <rFont val="Calibri"/>
        <family val="2"/>
        <scheme val="minor"/>
      </rPr>
      <t xml:space="preserve"> Sink Hole</t>
    </r>
  </si>
  <si>
    <r>
      <rPr>
        <b/>
        <sz val="11"/>
        <color theme="1"/>
        <rFont val="Calibri"/>
        <family val="2"/>
        <scheme val="minor"/>
      </rPr>
      <t>Operation &amp; Maintenance: Proposed Expenses:</t>
    </r>
    <r>
      <rPr>
        <sz val="11"/>
        <color theme="1"/>
        <rFont val="Calibri"/>
        <family val="2"/>
        <scheme val="minor"/>
      </rPr>
      <t xml:space="preserve"> Green Infrastructure O&amp;M</t>
    </r>
  </si>
  <si>
    <t>see annual report for more detail on Berkeley</t>
  </si>
  <si>
    <r>
      <rPr>
        <b/>
        <sz val="11"/>
        <color theme="1"/>
        <rFont val="Calibri"/>
        <family val="2"/>
        <scheme val="minor"/>
      </rPr>
      <t>1. Program Administration: A.1:</t>
    </r>
    <r>
      <rPr>
        <sz val="11"/>
        <color theme="1"/>
        <rFont val="Calibri"/>
        <family val="2"/>
        <scheme val="minor"/>
      </rPr>
      <t xml:space="preserve"> CCCWP Staff</t>
    </r>
  </si>
  <si>
    <r>
      <rPr>
        <b/>
        <sz val="11"/>
        <color theme="1"/>
        <rFont val="Calibri"/>
        <family val="2"/>
        <scheme val="minor"/>
      </rPr>
      <t>1. Program Administration: A.2:</t>
    </r>
    <r>
      <rPr>
        <sz val="11"/>
        <color theme="1"/>
        <rFont val="Calibri"/>
        <family val="2"/>
        <scheme val="minor"/>
      </rPr>
      <t xml:space="preserve"> Staff Training and Conferences</t>
    </r>
  </si>
  <si>
    <r>
      <rPr>
        <b/>
        <sz val="11"/>
        <color theme="1"/>
        <rFont val="Calibri"/>
        <family val="2"/>
        <scheme val="minor"/>
      </rPr>
      <t>1. Program Administration: B:</t>
    </r>
    <r>
      <rPr>
        <sz val="11"/>
        <color theme="1"/>
        <rFont val="Calibri"/>
        <family val="2"/>
        <scheme val="minor"/>
      </rPr>
      <t xml:space="preserve"> Consultant Staff Supplementation</t>
    </r>
  </si>
  <si>
    <r>
      <rPr>
        <b/>
        <sz val="11"/>
        <color theme="1"/>
        <rFont val="Calibri"/>
        <family val="2"/>
        <scheme val="minor"/>
      </rPr>
      <t>1. Program Administration: D:</t>
    </r>
    <r>
      <rPr>
        <sz val="11"/>
        <color theme="1"/>
        <rFont val="Calibri"/>
        <family val="2"/>
        <scheme val="minor"/>
      </rPr>
      <t xml:space="preserve"> Placeholder for Program Operational Support</t>
    </r>
  </si>
  <si>
    <r>
      <rPr>
        <b/>
        <sz val="11"/>
        <color theme="1"/>
        <rFont val="Calibri"/>
        <family val="2"/>
        <scheme val="minor"/>
      </rPr>
      <t>2. General Services/Supplies: A:</t>
    </r>
    <r>
      <rPr>
        <sz val="11"/>
        <color theme="1"/>
        <rFont val="Calibri"/>
        <family val="2"/>
        <scheme val="minor"/>
      </rPr>
      <t xml:space="preserve"> Office Equipment</t>
    </r>
  </si>
  <si>
    <r>
      <rPr>
        <b/>
        <sz val="11"/>
        <color theme="1"/>
        <rFont val="Calibri"/>
        <family val="2"/>
        <scheme val="minor"/>
      </rPr>
      <t>2. General Services/Supplies: B:</t>
    </r>
    <r>
      <rPr>
        <sz val="11"/>
        <color theme="1"/>
        <rFont val="Calibri"/>
        <family val="2"/>
        <scheme val="minor"/>
      </rPr>
      <t xml:space="preserve"> Office Operations (Phone conferencing, voice mail boxes, groupsite, subscriptions, etc.)</t>
    </r>
  </si>
  <si>
    <r>
      <rPr>
        <b/>
        <sz val="11"/>
        <color theme="1"/>
        <rFont val="Calibri"/>
        <family val="2"/>
        <scheme val="minor"/>
      </rPr>
      <t>2. General Services/Supplies: C:</t>
    </r>
    <r>
      <rPr>
        <sz val="11"/>
        <color theme="1"/>
        <rFont val="Calibri"/>
        <family val="2"/>
        <scheme val="minor"/>
      </rPr>
      <t xml:space="preserve"> Postage</t>
    </r>
  </si>
  <si>
    <r>
      <t xml:space="preserve">3. Association/Membership Fees: A: </t>
    </r>
    <r>
      <rPr>
        <sz val="11"/>
        <color theme="1"/>
        <rFont val="Calibri"/>
        <family val="2"/>
        <scheme val="minor"/>
      </rPr>
      <t>Bay Area Stormwater Management Agencies Association (BASMAA)</t>
    </r>
  </si>
  <si>
    <r>
      <t xml:space="preserve">3. Association/Membership Fees: B: </t>
    </r>
    <r>
      <rPr>
        <sz val="11"/>
        <color theme="1"/>
        <rFont val="Calibri"/>
        <family val="2"/>
        <scheme val="minor"/>
      </rPr>
      <t>California Stormwater Quality Association (CASQA)</t>
    </r>
  </si>
  <si>
    <r>
      <t>3. Association/Membership Fees: C:</t>
    </r>
    <r>
      <rPr>
        <sz val="11"/>
        <color theme="1"/>
        <rFont val="Calibri"/>
        <family val="2"/>
        <scheme val="minor"/>
      </rPr>
      <t xml:space="preserve"> Bay Friendly Landscaping (BFL) Coalition</t>
    </r>
  </si>
  <si>
    <r>
      <t xml:space="preserve">4. Legal Services: A: </t>
    </r>
    <r>
      <rPr>
        <sz val="11"/>
        <color theme="1"/>
        <rFont val="Calibri"/>
        <family val="2"/>
        <scheme val="minor"/>
      </rPr>
      <t>General Support (County Consel)</t>
    </r>
  </si>
  <si>
    <r>
      <t xml:space="preserve">4. Legal Services: B: </t>
    </r>
    <r>
      <rPr>
        <sz val="11"/>
        <color theme="1"/>
        <rFont val="Calibri"/>
        <family val="2"/>
        <scheme val="minor"/>
      </rPr>
      <t>On-Call Legal Support Services</t>
    </r>
  </si>
  <si>
    <r>
      <t xml:space="preserve">5. General Technical Support: A.1: </t>
    </r>
    <r>
      <rPr>
        <sz val="11"/>
        <color theme="1"/>
        <rFont val="Calibri"/>
        <family val="2"/>
        <scheme val="minor"/>
      </rPr>
      <t>Project Management, Technical Review, Regulatory Compliance, etc… (LWA)</t>
    </r>
  </si>
  <si>
    <r>
      <t xml:space="preserve">5. General Technical Support: A.2: </t>
    </r>
    <r>
      <rPr>
        <sz val="11"/>
        <color theme="1"/>
        <rFont val="Calibri"/>
        <family val="2"/>
        <scheme val="minor"/>
      </rPr>
      <t>Program Management, Technical Review, Regulatory Compliance, etc… (AMEC)</t>
    </r>
  </si>
  <si>
    <r>
      <t xml:space="preserve">5. General Technical Support: B.2: </t>
    </r>
    <r>
      <rPr>
        <sz val="11"/>
        <color theme="1"/>
        <rFont val="Calibri"/>
        <family val="2"/>
        <scheme val="minor"/>
      </rPr>
      <t>Stormwater GIS Development &amp; Hosting (Trash, and GI and TMDL Mapping Tracking and Accounting) (PSOMAS &amp; ESRI licensing)</t>
    </r>
  </si>
  <si>
    <r>
      <rPr>
        <b/>
        <sz val="11"/>
        <color theme="1"/>
        <rFont val="Calibri"/>
        <family val="2"/>
        <scheme val="minor"/>
      </rPr>
      <t>6. Municipal Operations (C.2): A:</t>
    </r>
    <r>
      <rPr>
        <sz val="11"/>
        <color theme="1"/>
        <rFont val="Calibri"/>
        <family val="2"/>
        <scheme val="minor"/>
      </rPr>
      <t xml:space="preserve"> Training Workshop</t>
    </r>
  </si>
  <si>
    <r>
      <rPr>
        <b/>
        <sz val="11"/>
        <color theme="1"/>
        <rFont val="Calibri"/>
        <family val="2"/>
        <scheme val="minor"/>
      </rPr>
      <t xml:space="preserve">7. New Development/Redevelopment (C.3): A: </t>
    </r>
    <r>
      <rPr>
        <sz val="11"/>
        <color theme="1"/>
        <rFont val="Calibri"/>
        <family val="2"/>
        <scheme val="minor"/>
      </rPr>
      <t>C.3 - Technical Support (DAN CLOAK)</t>
    </r>
  </si>
  <si>
    <r>
      <rPr>
        <b/>
        <sz val="11"/>
        <color theme="1"/>
        <rFont val="Calibri"/>
        <family val="2"/>
        <scheme val="minor"/>
      </rPr>
      <t xml:space="preserve">7. New Development/Redevelopment (C.3): B.1, B.2: </t>
    </r>
    <r>
      <rPr>
        <sz val="11"/>
        <color theme="1"/>
        <rFont val="Calibri"/>
        <family val="2"/>
        <scheme val="minor"/>
      </rPr>
      <t>C.3.g - Hydromodification Management - Erosion Potential Modeling, Facility Sizing and Technical Report (DUBIN)</t>
    </r>
  </si>
  <si>
    <r>
      <rPr>
        <b/>
        <sz val="11"/>
        <color theme="1"/>
        <rFont val="Calibri"/>
        <family val="2"/>
        <scheme val="minor"/>
      </rPr>
      <t>7. New Development/Redevelopment (C.3): B.3:</t>
    </r>
    <r>
      <rPr>
        <sz val="11"/>
        <color theme="1"/>
        <rFont val="Calibri"/>
        <family val="2"/>
        <scheme val="minor"/>
      </rPr>
      <t xml:space="preserve"> HMP / IMP Calculator Update</t>
    </r>
  </si>
  <si>
    <r>
      <rPr>
        <b/>
        <sz val="11"/>
        <color theme="1"/>
        <rFont val="Calibri"/>
        <family val="2"/>
        <scheme val="minor"/>
      </rPr>
      <t xml:space="preserve">7. New Development/Redevelopment (C.3): C: </t>
    </r>
    <r>
      <rPr>
        <sz val="11"/>
        <color theme="1"/>
        <rFont val="Calibri"/>
        <family val="2"/>
        <scheme val="minor"/>
      </rPr>
      <t>C.3.g - Hydromodification Management - Applicability Map(s) (Using GIS &amp; Psomas)</t>
    </r>
  </si>
  <si>
    <r>
      <rPr>
        <b/>
        <sz val="11"/>
        <color theme="1"/>
        <rFont val="Calibri"/>
        <family val="2"/>
        <scheme val="minor"/>
      </rPr>
      <t xml:space="preserve">7. New Development/Redevelopment (C.3): E.1, E.2: </t>
    </r>
    <r>
      <rPr>
        <sz val="11"/>
        <color theme="1"/>
        <rFont val="Calibri"/>
        <family val="2"/>
        <scheme val="minor"/>
      </rPr>
      <t>C.3.j - Prop 1 SWRP Grant Funding Match (LWA)</t>
    </r>
  </si>
  <si>
    <r>
      <rPr>
        <b/>
        <sz val="11"/>
        <color theme="1"/>
        <rFont val="Calibri"/>
        <family val="2"/>
        <scheme val="minor"/>
      </rPr>
      <t xml:space="preserve">7. New Development/Redevelopment (C.3): E.3: </t>
    </r>
    <r>
      <rPr>
        <sz val="11"/>
        <color theme="1"/>
        <rFont val="Calibri"/>
        <family val="2"/>
        <scheme val="minor"/>
      </rPr>
      <t>Prop 1 Contingency Budget for Community Engagement</t>
    </r>
  </si>
  <si>
    <r>
      <rPr>
        <b/>
        <sz val="11"/>
        <color theme="1"/>
        <rFont val="Calibri"/>
        <family val="2"/>
        <scheme val="minor"/>
      </rPr>
      <t xml:space="preserve">7. New Development/Redevelopment (C.3): G: </t>
    </r>
    <r>
      <rPr>
        <sz val="11"/>
        <color theme="1"/>
        <rFont val="Calibri"/>
        <family val="2"/>
        <scheme val="minor"/>
      </rPr>
      <t>Model GI Street Design Guidelines</t>
    </r>
  </si>
  <si>
    <r>
      <rPr>
        <b/>
        <sz val="11"/>
        <color theme="1"/>
        <rFont val="Calibri"/>
        <family val="2"/>
        <scheme val="minor"/>
      </rPr>
      <t xml:space="preserve">7. New Development/Redevelopment (C.3): H: </t>
    </r>
    <r>
      <rPr>
        <sz val="11"/>
        <color theme="1"/>
        <rFont val="Calibri"/>
        <family val="2"/>
        <scheme val="minor"/>
      </rPr>
      <t>Evaluation of GI Funding Options</t>
    </r>
  </si>
  <si>
    <r>
      <rPr>
        <b/>
        <sz val="11"/>
        <color theme="1"/>
        <rFont val="Calibri"/>
        <family val="2"/>
        <scheme val="minor"/>
      </rPr>
      <t xml:space="preserve">7. New Development/Redevelopment (C.3): I: </t>
    </r>
    <r>
      <rPr>
        <sz val="11"/>
        <color theme="1"/>
        <rFont val="Calibri"/>
        <family val="2"/>
        <scheme val="minor"/>
      </rPr>
      <t>Model GI Design Details and Specifications</t>
    </r>
  </si>
  <si>
    <r>
      <rPr>
        <b/>
        <sz val="11"/>
        <color theme="1"/>
        <rFont val="Calibri"/>
        <family val="2"/>
        <scheme val="minor"/>
      </rPr>
      <t xml:space="preserve">7. New Development/Redevelopment (C.3): J: </t>
    </r>
    <r>
      <rPr>
        <sz val="11"/>
        <color theme="1"/>
        <rFont val="Calibri"/>
        <family val="2"/>
        <scheme val="minor"/>
      </rPr>
      <t>C.3.a.(5) - Training/Workshop</t>
    </r>
  </si>
  <si>
    <r>
      <rPr>
        <b/>
        <sz val="11"/>
        <color theme="1"/>
        <rFont val="Calibri"/>
        <family val="2"/>
        <scheme val="minor"/>
      </rPr>
      <t xml:space="preserve">7. New Development/Redevelopment (C.3): </t>
    </r>
    <r>
      <rPr>
        <sz val="11"/>
        <color theme="1"/>
        <rFont val="Calibri"/>
        <family val="2"/>
        <scheme val="minor"/>
      </rPr>
      <t>BASMAA Regional Project - GI Conference/Workshop</t>
    </r>
  </si>
  <si>
    <r>
      <rPr>
        <b/>
        <sz val="11"/>
        <color theme="1"/>
        <rFont val="Calibri"/>
        <family val="2"/>
        <scheme val="minor"/>
      </rPr>
      <t>8. Industrial/Commercial Controls (C.4): A:</t>
    </r>
    <r>
      <rPr>
        <sz val="11"/>
        <color theme="1"/>
        <rFont val="Calibri"/>
        <family val="2"/>
        <scheme val="minor"/>
      </rPr>
      <t xml:space="preserve"> C.4.e - Annual Stormwater Inspector Training (includes C.5, and C.13.c)</t>
    </r>
  </si>
  <si>
    <r>
      <rPr>
        <b/>
        <sz val="11"/>
        <color theme="1"/>
        <rFont val="Calibri"/>
        <family val="2"/>
        <scheme val="minor"/>
      </rPr>
      <t xml:space="preserve">9. Illicit Discharge/Detection/Elimination (C.5): A: </t>
    </r>
    <r>
      <rPr>
        <sz val="11"/>
        <color theme="1"/>
        <rFont val="Calibri"/>
        <family val="2"/>
        <scheme val="minor"/>
      </rPr>
      <t>C.5.e - Control of Mobile Sources</t>
    </r>
  </si>
  <si>
    <r>
      <t xml:space="preserve">10. Construction Controls (C.6) A: </t>
    </r>
    <r>
      <rPr>
        <sz val="11"/>
        <color theme="1"/>
        <rFont val="Calibri"/>
        <family val="2"/>
        <scheme val="minor"/>
      </rPr>
      <t>C.6 Techincal Support (DAN CLOAK, included in 7.1 above)</t>
    </r>
  </si>
  <si>
    <r>
      <t xml:space="preserve">10. Construction Controls (C.6) A: </t>
    </r>
    <r>
      <rPr>
        <sz val="11"/>
        <color theme="1"/>
        <rFont val="Calibri"/>
        <family val="2"/>
        <scheme val="minor"/>
      </rPr>
      <t>C.6.f - Biennial Staff Training (LWA, included in 5.1 above)</t>
    </r>
  </si>
  <si>
    <r>
      <t xml:space="preserve">11.  Public Information/Participation (PIP) (C.7) ($140k FY17/18 from PIP reserve)  A: </t>
    </r>
    <r>
      <rPr>
        <sz val="11"/>
        <color theme="1"/>
        <rFont val="Calibri"/>
        <family val="2"/>
        <scheme val="minor"/>
      </rPr>
      <t>C.7.b - Outreach Campaign (SAGENT)</t>
    </r>
  </si>
  <si>
    <r>
      <t xml:space="preserve">11.  Public Information/Participation (PIP) (C.7) ($140k FY17/18 from PIP reserve)  B.1: </t>
    </r>
    <r>
      <rPr>
        <sz val="11"/>
        <color theme="1"/>
        <rFont val="Calibri"/>
        <family val="2"/>
        <scheme val="minor"/>
      </rPr>
      <t>C.7.c - Stormwater Pollution Prevention Education (WEBSIGHT DESIGN)</t>
    </r>
  </si>
  <si>
    <r>
      <t xml:space="preserve">11.  Public Information/Participation (PIP) (C.7) ($140k FY17/18 from PIP reserve)  B.2: </t>
    </r>
    <r>
      <rPr>
        <sz val="11"/>
        <color theme="1"/>
        <rFont val="Calibri"/>
        <family val="2"/>
        <scheme val="minor"/>
      </rPr>
      <t>Website Hosting</t>
    </r>
  </si>
  <si>
    <r>
      <t xml:space="preserve">11.  Public Information/Participation (PIP) (C.7) ($140k FY17/18 from PIP reserve)  C: </t>
    </r>
    <r>
      <rPr>
        <sz val="11"/>
        <color theme="1"/>
        <rFont val="Calibri"/>
        <family val="2"/>
        <scheme val="minor"/>
      </rPr>
      <t>C.7.d - Public Outreach Events (KATHY KRAMER)</t>
    </r>
  </si>
  <si>
    <r>
      <t xml:space="preserve">11.  Public Information/Participation (PIP) (C.7) ($140k FY17/18 from PIP reserve)  D: </t>
    </r>
    <r>
      <rPr>
        <sz val="11"/>
        <color theme="1"/>
        <rFont val="Calibri"/>
        <family val="2"/>
        <scheme val="minor"/>
      </rPr>
      <t>C.7.e - Watershed Stewardship Collaborative Efforts (Green Business Program)</t>
    </r>
  </si>
  <si>
    <r>
      <t xml:space="preserve">11.  Public Information/Participation (PIP) (C.7) ($140k FY17/18 from PIP reserve)  E.1: </t>
    </r>
    <r>
      <rPr>
        <sz val="11"/>
        <color theme="1"/>
        <rFont val="Calibri"/>
        <family val="2"/>
        <scheme val="minor"/>
      </rPr>
      <t>C.7.f - Youth Outreach K-12 (SAGENT)</t>
    </r>
  </si>
  <si>
    <r>
      <t xml:space="preserve">11.  Public Information/Participation (PIP) (C.7) ($140k FY17/18 from PIP reserve)  E.2: </t>
    </r>
    <r>
      <rPr>
        <sz val="11"/>
        <color theme="1"/>
        <rFont val="Calibri"/>
        <family val="2"/>
        <scheme val="minor"/>
      </rPr>
      <t>Youth Program Awards MATT BOLANDER</t>
    </r>
  </si>
  <si>
    <r>
      <t xml:space="preserve">11.  Public Information/Participation (PIP) (C.7) ($140k FY17/18 from PIP reserve)  F: </t>
    </r>
    <r>
      <rPr>
        <sz val="11"/>
        <color theme="1"/>
        <rFont val="Calibri"/>
        <family val="2"/>
        <scheme val="minor"/>
      </rPr>
      <t>Other Outreach Activities (Updating Outreach Materials for Other Provisions, general materials)</t>
    </r>
  </si>
  <si>
    <r>
      <t xml:space="preserve">12. Water Quality Monitoring (C.8) A: </t>
    </r>
    <r>
      <rPr>
        <sz val="11"/>
        <rFont val="Calibri"/>
        <family val="2"/>
        <scheme val="minor"/>
      </rPr>
      <t xml:space="preserve">C.8.c </t>
    </r>
    <r>
      <rPr>
        <b/>
        <sz val="11"/>
        <rFont val="Calibri"/>
        <family val="2"/>
        <scheme val="minor"/>
      </rPr>
      <t xml:space="preserve">- </t>
    </r>
    <r>
      <rPr>
        <sz val="11"/>
        <rFont val="Calibri"/>
        <family val="2"/>
        <scheme val="minor"/>
      </rPr>
      <t>San Francisco Estuary Regional Monitoring Program (RMP)</t>
    </r>
  </si>
  <si>
    <r>
      <t xml:space="preserve">12. Water Quality Monitoring (C.8) B: </t>
    </r>
    <r>
      <rPr>
        <sz val="11"/>
        <rFont val="Calibri"/>
        <family val="2"/>
        <scheme val="minor"/>
      </rPr>
      <t>C.8.d</t>
    </r>
    <r>
      <rPr>
        <b/>
        <sz val="11"/>
        <rFont val="Calibri"/>
        <family val="2"/>
        <scheme val="minor"/>
      </rPr>
      <t xml:space="preserve"> - </t>
    </r>
    <r>
      <rPr>
        <sz val="11"/>
        <rFont val="Calibri"/>
        <family val="2"/>
        <scheme val="minor"/>
      </rPr>
      <t>Creek Status Monitoring &amp; C.8.g - Pesticides and Toxicity Monitoring (ADH)</t>
    </r>
  </si>
  <si>
    <r>
      <t xml:space="preserve">12. Water Quality Monitoring (C.8) C.1: </t>
    </r>
    <r>
      <rPr>
        <sz val="11"/>
        <rFont val="Calibri"/>
        <family val="2"/>
        <scheme val="minor"/>
      </rPr>
      <t>C.8.e</t>
    </r>
    <r>
      <rPr>
        <b/>
        <sz val="11"/>
        <rFont val="Calibri"/>
        <family val="2"/>
        <scheme val="minor"/>
      </rPr>
      <t xml:space="preserve"> - </t>
    </r>
    <r>
      <rPr>
        <sz val="11"/>
        <rFont val="Calibri"/>
        <family val="2"/>
        <scheme val="minor"/>
      </rPr>
      <t>Stressor/Source Identification (SSID) Projects - Step 1 SSID Project Plan</t>
    </r>
  </si>
  <si>
    <r>
      <t>12. Water Quality Monitoring (C.8) C.2:</t>
    </r>
    <r>
      <rPr>
        <sz val="11"/>
        <rFont val="Calibri"/>
        <family val="2"/>
        <scheme val="minor"/>
      </rPr>
      <t xml:space="preserve"> C.8.e</t>
    </r>
    <r>
      <rPr>
        <b/>
        <sz val="11"/>
        <rFont val="Calibri"/>
        <family val="2"/>
        <scheme val="minor"/>
      </rPr>
      <t xml:space="preserve"> - </t>
    </r>
    <r>
      <rPr>
        <sz val="11"/>
        <rFont val="Calibri"/>
        <family val="2"/>
        <scheme val="minor"/>
      </rPr>
      <t>SSID Projects - Step 2 SSID Investigation (Marsh Creek Fish Kill)</t>
    </r>
  </si>
  <si>
    <r>
      <t>12. Water Quality Monitoring (C.8) C.3:</t>
    </r>
    <r>
      <rPr>
        <sz val="11"/>
        <rFont val="Calibri"/>
        <family val="2"/>
        <scheme val="minor"/>
      </rPr>
      <t xml:space="preserve"> C.8.e</t>
    </r>
    <r>
      <rPr>
        <b/>
        <sz val="11"/>
        <rFont val="Calibri"/>
        <family val="2"/>
        <scheme val="minor"/>
      </rPr>
      <t xml:space="preserve"> - </t>
    </r>
    <r>
      <rPr>
        <sz val="11"/>
        <rFont val="Calibri"/>
        <family val="2"/>
        <scheme val="minor"/>
      </rPr>
      <t>SSID Projects - Step 3 SSID Follow-Up Actions</t>
    </r>
  </si>
  <si>
    <r>
      <t>12. Water Quality Monitoring (C.8) C.4:</t>
    </r>
    <r>
      <rPr>
        <sz val="11"/>
        <rFont val="Calibri"/>
        <family val="2"/>
        <scheme val="minor"/>
      </rPr>
      <t xml:space="preserve"> BASMAA Regional SSID Project Work Plan (C.8.e/), $20,000</t>
    </r>
  </si>
  <si>
    <r>
      <t>12. Water Quality Monitoring (C.8) D:</t>
    </r>
    <r>
      <rPr>
        <sz val="11"/>
        <rFont val="Calibri"/>
        <family val="2"/>
        <scheme val="minor"/>
      </rPr>
      <t xml:space="preserve"> C.8.f - Pollutants of Concern (POC) Monitoring</t>
    </r>
  </si>
  <si>
    <r>
      <t>12. Water Quality Monitoring (C.8) E:</t>
    </r>
    <r>
      <rPr>
        <sz val="11"/>
        <rFont val="Calibri"/>
        <family val="2"/>
        <scheme val="minor"/>
      </rPr>
      <t xml:space="preserve"> C.8.h - Water Quality Monitoring / Projects Reporting</t>
    </r>
  </si>
  <si>
    <r>
      <t>12. Water Quality Monitoring (C.8) F:</t>
    </r>
    <r>
      <rPr>
        <sz val="11"/>
        <rFont val="Calibri"/>
        <family val="2"/>
        <scheme val="minor"/>
      </rPr>
      <t xml:space="preserve"> Regional Monitoring Coalition (RMC) 5-Year Report</t>
    </r>
  </si>
  <si>
    <r>
      <t>12. Water Quality Monitoring (C.8) F.1:</t>
    </r>
    <r>
      <rPr>
        <sz val="11"/>
        <rFont val="Calibri"/>
        <family val="2"/>
        <scheme val="minor"/>
      </rPr>
      <t xml:space="preserve"> BASMAA Regional Monitoring Coalition (RMC) Regional Collaboration &amp; Administration</t>
    </r>
  </si>
  <si>
    <r>
      <t>12. Water Quality Monitoring (C.8) F.2:</t>
    </r>
    <r>
      <rPr>
        <sz val="11"/>
        <rFont val="Calibri"/>
        <family val="2"/>
        <scheme val="minor"/>
      </rPr>
      <t xml:space="preserve"> BASMAA Regional Project: Redesign of Bioassessment Monitoring Program (C.8.h), $50,000</t>
    </r>
  </si>
  <si>
    <r>
      <rPr>
        <b/>
        <sz val="11"/>
        <color theme="1"/>
        <rFont val="Calibri"/>
        <family val="2"/>
        <scheme val="minor"/>
      </rPr>
      <t xml:space="preserve">13. Pesticide Toxicity Control (C.9): A: </t>
    </r>
    <r>
      <rPr>
        <sz val="11"/>
        <color theme="1"/>
        <rFont val="Calibri"/>
        <family val="2"/>
        <scheme val="minor"/>
      </rPr>
      <t>C.9.b - Train Municipal Employees that Apply/Use Pesticides (Landscape and/or Structural)</t>
    </r>
  </si>
  <si>
    <r>
      <rPr>
        <b/>
        <sz val="11"/>
        <color theme="1"/>
        <rFont val="Calibri"/>
        <family val="2"/>
        <scheme val="minor"/>
      </rPr>
      <t xml:space="preserve">13. Pesticide Toxicity Control (C.9): B: </t>
    </r>
    <r>
      <rPr>
        <sz val="11"/>
        <color theme="1"/>
        <rFont val="Calibri"/>
        <family val="2"/>
        <scheme val="minor"/>
      </rPr>
      <t>C.9.d - Interface with County Agricultural Commissioner (See Line 1)</t>
    </r>
  </si>
  <si>
    <r>
      <rPr>
        <b/>
        <sz val="11"/>
        <color theme="1"/>
        <rFont val="Calibri"/>
        <family val="2"/>
        <scheme val="minor"/>
      </rPr>
      <t xml:space="preserve">13. Pesticide Toxicity Control (C.9): C.1: </t>
    </r>
    <r>
      <rPr>
        <sz val="11"/>
        <color theme="1"/>
        <rFont val="Calibri"/>
        <family val="2"/>
        <scheme val="minor"/>
      </rPr>
      <t>C.9.e.ii(1) - Point of Purchase Outreach - Our Water Our World (OWOW) (DEBI TIDD)</t>
    </r>
  </si>
  <si>
    <r>
      <rPr>
        <b/>
        <sz val="11"/>
        <color theme="1"/>
        <rFont val="Calibri"/>
        <family val="2"/>
        <scheme val="minor"/>
      </rPr>
      <t xml:space="preserve">13. Pesticide Toxicity Control (C.9): C.3: </t>
    </r>
    <r>
      <rPr>
        <sz val="11"/>
        <color theme="1"/>
        <rFont val="Calibri"/>
        <family val="2"/>
        <scheme val="minor"/>
      </rPr>
      <t>C.9.e.ii(1) - Point of Purchase Outreach - Regional Contribution to OWOW (BASMAA REGIONAL PROJECT)</t>
    </r>
  </si>
  <si>
    <r>
      <rPr>
        <b/>
        <sz val="11"/>
        <color theme="1"/>
        <rFont val="Calibri"/>
        <family val="2"/>
        <scheme val="minor"/>
      </rPr>
      <t xml:space="preserve">13. Pesticide Toxicity Control (C.9): D: </t>
    </r>
    <r>
      <rPr>
        <sz val="11"/>
        <color theme="1"/>
        <rFont val="Calibri"/>
        <family val="2"/>
        <scheme val="minor"/>
      </rPr>
      <t>C.9.e.ii(2) - Pest Control Contracting Outreach to Residents (see PIP Detail, line 8)</t>
    </r>
  </si>
  <si>
    <r>
      <rPr>
        <b/>
        <sz val="11"/>
        <color theme="1"/>
        <rFont val="Calibri"/>
        <family val="2"/>
        <scheme val="minor"/>
      </rPr>
      <t xml:space="preserve">13. Pesticide Toxicity Control (C.9): E: </t>
    </r>
    <r>
      <rPr>
        <sz val="11"/>
        <color theme="1"/>
        <rFont val="Calibri"/>
        <family val="2"/>
        <scheme val="minor"/>
      </rPr>
      <t>C.9.e.ii(3) - Outreach to Pest Control Professionals (See Line 1, and 2.c)</t>
    </r>
  </si>
  <si>
    <r>
      <rPr>
        <b/>
        <sz val="11"/>
        <color theme="1"/>
        <rFont val="Calibri"/>
        <family val="2"/>
        <scheme val="minor"/>
      </rPr>
      <t xml:space="preserve">13. Pesticide Toxicity Control (C.9): F: </t>
    </r>
    <r>
      <rPr>
        <sz val="11"/>
        <color theme="1"/>
        <rFont val="Calibri"/>
        <family val="2"/>
        <scheme val="minor"/>
      </rPr>
      <t>C.9.f.i &amp; ii  - Track and Participate in Relevant Regulatory Processess - CCCWP to CASQA through BASMAA</t>
    </r>
  </si>
  <si>
    <r>
      <rPr>
        <b/>
        <sz val="11"/>
        <color theme="1"/>
        <rFont val="Calibri"/>
        <family val="2"/>
        <scheme val="minor"/>
      </rPr>
      <t xml:space="preserve">13. Pesticide Toxicity Control (C.9): G: </t>
    </r>
    <r>
      <rPr>
        <sz val="11"/>
        <color theme="1"/>
        <rFont val="Calibri"/>
        <family val="2"/>
        <scheme val="minor"/>
      </rPr>
      <t>C.9.g  - Evaluate Implementation of Pesticide Source Control Actions</t>
    </r>
  </si>
  <si>
    <r>
      <rPr>
        <b/>
        <sz val="11"/>
        <color theme="1"/>
        <rFont val="Calibri"/>
        <family val="2"/>
        <scheme val="minor"/>
      </rPr>
      <t xml:space="preserve">14. Trash Reduction (C.10) A: </t>
    </r>
    <r>
      <rPr>
        <sz val="11"/>
        <color theme="1"/>
        <rFont val="Calibri"/>
        <family val="2"/>
        <scheme val="minor"/>
      </rPr>
      <t>C.10.a.ii.b - Guidance and Support in Identifying, Mapping and Assessing Private Lands Greater than 10,000 Sq.Ft Draining Directly into MS4 PSOMAS</t>
    </r>
  </si>
  <si>
    <r>
      <rPr>
        <b/>
        <sz val="11"/>
        <color theme="1"/>
        <rFont val="Calibri"/>
        <family val="2"/>
        <scheme val="minor"/>
      </rPr>
      <t xml:space="preserve">14. Trash Reduction (C.10) B: </t>
    </r>
    <r>
      <rPr>
        <sz val="11"/>
        <color theme="1"/>
        <rFont val="Calibri"/>
        <family val="2"/>
        <scheme val="minor"/>
      </rPr>
      <t>C.10.b.c - Receiving Water Monitoring &amp; Reporting (ADH)</t>
    </r>
  </si>
  <si>
    <r>
      <rPr>
        <b/>
        <sz val="11"/>
        <color theme="1"/>
        <rFont val="Calibri"/>
        <family val="2"/>
        <scheme val="minor"/>
      </rPr>
      <t xml:space="preserve">14. Trash Reduction (C.10) NEW: </t>
    </r>
    <r>
      <rPr>
        <sz val="11"/>
        <color theme="1"/>
        <rFont val="Calibri"/>
        <family val="2"/>
        <scheme val="minor"/>
      </rPr>
      <t>BASMAA REGIONAL PROJECT - RECEIVING WATER TRASH MONITORING PROGRAM PLAN</t>
    </r>
  </si>
  <si>
    <r>
      <rPr>
        <b/>
        <sz val="11"/>
        <color theme="1"/>
        <rFont val="Calibri"/>
        <family val="2"/>
        <scheme val="minor"/>
      </rPr>
      <t xml:space="preserve">16. PCB Controls (C.12) A: </t>
    </r>
    <r>
      <rPr>
        <sz val="11"/>
        <color theme="1"/>
        <rFont val="Calibri"/>
        <family val="2"/>
        <scheme val="minor"/>
      </rPr>
      <t>C.12.a - Implement PCB Source and Treatment Control Measures and Pollution Prevention Strategies to Reduce Loads Through the Region (Support to Permittees provided in 1, 5.A, 7.A)</t>
    </r>
  </si>
  <si>
    <r>
      <t xml:space="preserve">16. PCB Controls (C.12) B: </t>
    </r>
    <r>
      <rPr>
        <sz val="11"/>
        <color theme="1"/>
        <rFont val="Calibri"/>
        <family val="2"/>
        <scheme val="minor"/>
      </rPr>
      <t>C.12.b - Assess PCBs Load Reduction from Stormwater (See 5.A and 15.D) LWA/GEOSYNTEC w/ RAA</t>
    </r>
  </si>
  <si>
    <r>
      <t>16. PCB Controls (C.12) C:</t>
    </r>
    <r>
      <rPr>
        <sz val="11"/>
        <color theme="1"/>
        <rFont val="Calibri"/>
        <family val="2"/>
        <scheme val="minor"/>
      </rPr>
      <t xml:space="preserve"> C.12.c.ii.(2) - Plan and Implement Green Infrastructure to Reduce PCBs Loads - Prepare Reasonable Assurance Analysis (See 15.D)  GEOSYNTEC</t>
    </r>
  </si>
  <si>
    <r>
      <t xml:space="preserve">16. PCB Controls (C.12) D: </t>
    </r>
    <r>
      <rPr>
        <sz val="11"/>
        <color theme="1"/>
        <rFont val="Calibri"/>
        <family val="2"/>
        <scheme val="minor"/>
      </rPr>
      <t>C.12.d - Prepare Implementation Plan and Schedule to Achieve PCBs TMDL Allocations (See 15.D)  GEOSYNTEC</t>
    </r>
  </si>
  <si>
    <r>
      <t xml:space="preserve">16. PCB Controls (C.12) F: </t>
    </r>
    <r>
      <rPr>
        <sz val="11"/>
        <color theme="1"/>
        <rFont val="Calibri"/>
        <family val="2"/>
        <scheme val="minor"/>
      </rPr>
      <t>C.8.f. / C.12.e. - BASMAA Regional Project - POC Monitoring Priority Type 3 (Management Action Effectiveness &amp; Evaluating PCBs in Caulks/Sealants Used in Storm Drain or Roadway Infrastructure</t>
    </r>
  </si>
  <si>
    <r>
      <t xml:space="preserve">16. PCB Controls (C.12) G.1: </t>
    </r>
    <r>
      <rPr>
        <sz val="11"/>
        <color theme="1"/>
        <rFont val="Calibri"/>
        <family val="2"/>
        <scheme val="minor"/>
      </rPr>
      <t>C.12.f. - BASMAA Regional Project - PCBs in Building Materials Control Program Development</t>
    </r>
  </si>
  <si>
    <r>
      <t xml:space="preserve">16. PCB Controls (C.12) G.2: </t>
    </r>
    <r>
      <rPr>
        <sz val="11"/>
        <color theme="1"/>
        <rFont val="Calibri"/>
        <family val="2"/>
        <scheme val="minor"/>
      </rPr>
      <t>C.12.f. - BASMAA Regional Project - PCBs in Building Materials Control Program Workshop for Contra Costa Permittees</t>
    </r>
  </si>
  <si>
    <r>
      <t xml:space="preserve">16. PCB Controls (C.12) H: </t>
    </r>
    <r>
      <rPr>
        <sz val="11"/>
        <color theme="1"/>
        <rFont val="Calibri"/>
        <family val="2"/>
        <scheme val="minor"/>
      </rPr>
      <t>C.12.g - Fate and Transport Study of PCBs:  Urban Runoff Impact on San Francisco Bay Margins  RMP Project paid under Line 12A</t>
    </r>
  </si>
  <si>
    <r>
      <t xml:space="preserve">16. PCB Controls (C.12) I: </t>
    </r>
    <r>
      <rPr>
        <sz val="11"/>
        <color theme="1"/>
        <rFont val="Calibri"/>
        <family val="2"/>
        <scheme val="minor"/>
      </rPr>
      <t>C.12.h. - Implement Risk Reduction Program (Budget included in line 15.F above)</t>
    </r>
  </si>
  <si>
    <r>
      <t xml:space="preserve">17. Copper Controls (C.13) A: </t>
    </r>
    <r>
      <rPr>
        <sz val="11"/>
        <color theme="1"/>
        <rFont val="Calibri"/>
        <family val="2"/>
        <scheme val="minor"/>
      </rPr>
      <t>C.13.c - Control of Industrial Sources (funding for training and assistance included in budget lines 1 and 8.A above.)</t>
    </r>
  </si>
  <si>
    <t>18.  Exempted and Conditionally Exempted Discharges (C.15)</t>
  </si>
  <si>
    <r>
      <rPr>
        <b/>
        <sz val="11"/>
        <color theme="1"/>
        <rFont val="Calibri"/>
        <family val="2"/>
        <scheme val="minor"/>
      </rPr>
      <t xml:space="preserve">15. Mercury Controls (C.11) A: </t>
    </r>
    <r>
      <rPr>
        <sz val="11"/>
        <color theme="1"/>
        <rFont val="Calibri"/>
        <family val="2"/>
        <scheme val="minor"/>
      </rPr>
      <t>C.11.a.i. -iii - Implement Mercury Source and Treatment Control Measures and Pollution Prevention Strategies to Reduce Mercury Loads Throughout the Region (Support to Permittees in 1, 5.1 and 7.1) LWA/GEOSYNTEC</t>
    </r>
  </si>
  <si>
    <r>
      <rPr>
        <b/>
        <sz val="11"/>
        <color theme="1"/>
        <rFont val="Calibri"/>
        <family val="2"/>
        <scheme val="minor"/>
      </rPr>
      <t xml:space="preserve">15. Mercury Controls (C.11): </t>
    </r>
    <r>
      <rPr>
        <sz val="11"/>
        <color theme="1"/>
        <rFont val="Calibri"/>
        <family val="2"/>
        <scheme val="minor"/>
      </rPr>
      <t>C.11.b - Assess Mercury (and PCBs) Load Reductions from Stormwater (See 12.D.) LWA/GEOSYNTEC</t>
    </r>
  </si>
  <si>
    <r>
      <rPr>
        <b/>
        <sz val="11"/>
        <color theme="1"/>
        <rFont val="Calibri"/>
        <family val="2"/>
        <scheme val="minor"/>
      </rPr>
      <t xml:space="preserve">15. Mercury Controls (C.11): C: </t>
    </r>
    <r>
      <rPr>
        <sz val="11"/>
        <color theme="1"/>
        <rFont val="Calibri"/>
        <family val="2"/>
        <scheme val="minor"/>
      </rPr>
      <t>C.11.b - Monitor Methylmercury (Region 5 TMDL) ADH</t>
    </r>
  </si>
  <si>
    <r>
      <rPr>
        <b/>
        <sz val="11"/>
        <color theme="1"/>
        <rFont val="Calibri"/>
        <family val="2"/>
        <scheme val="minor"/>
      </rPr>
      <t xml:space="preserve">15. Mercury Controls (C.11): D: </t>
    </r>
    <r>
      <rPr>
        <sz val="11"/>
        <color theme="1"/>
        <rFont val="Calibri"/>
        <family val="2"/>
        <scheme val="minor"/>
      </rPr>
      <t>C.11.c.ii.2 - Plan and Implement Green Infrastructure to Reduce Mercyry Loads - Prepare Reasonable Assurance Analysis (Budget also addresses 15.E, 16.B, 16.C, and 16.D) LWA/GEOSYNTEC</t>
    </r>
  </si>
  <si>
    <r>
      <rPr>
        <b/>
        <sz val="11"/>
        <color theme="1"/>
        <rFont val="Calibri"/>
        <family val="2"/>
        <scheme val="minor"/>
      </rPr>
      <t xml:space="preserve">15. Mercury Controls (C.11) :E.1, E.2: </t>
    </r>
    <r>
      <rPr>
        <sz val="11"/>
        <color theme="1"/>
        <rFont val="Calibri"/>
        <family val="2"/>
        <scheme val="minor"/>
      </rPr>
      <t>C.11.d - Prepare Implementation Plan and Schedule to Achieve Mercury TMDL Allocations, including RAA (See 15.D) LWA/GEOSYNTEC w/ RAA</t>
    </r>
  </si>
  <si>
    <r>
      <rPr>
        <b/>
        <sz val="11"/>
        <color theme="1"/>
        <rFont val="Calibri"/>
        <family val="2"/>
        <scheme val="minor"/>
      </rPr>
      <t xml:space="preserve">15. Mercury Controls (C.11): E.2 - </t>
    </r>
    <r>
      <rPr>
        <sz val="11"/>
        <color theme="1"/>
        <rFont val="Calibri"/>
        <family val="2"/>
        <scheme val="minor"/>
      </rPr>
      <t>BASMAA Regional Project: Revised Source Control Load Reduction Accounting for RAA (C.11.d, C.12.d, $100,00</t>
    </r>
  </si>
  <si>
    <r>
      <rPr>
        <b/>
        <sz val="11"/>
        <color theme="1"/>
        <rFont val="Calibri"/>
        <family val="2"/>
        <scheme val="minor"/>
      </rPr>
      <t xml:space="preserve">15. Mercury Controls (C.11): F: </t>
    </r>
    <r>
      <rPr>
        <sz val="11"/>
        <color theme="1"/>
        <rFont val="Calibri"/>
        <family val="2"/>
        <scheme val="minor"/>
      </rPr>
      <t>C.11.e - Implement a Risk Reduction Program</t>
    </r>
  </si>
  <si>
    <t>19. GROUP PROGRAM BUDGET SUBTOTAL</t>
  </si>
  <si>
    <t>20. CONTINGENCY (2% of original budget amount)</t>
  </si>
  <si>
    <t>TOTAL GROUP PROGRAM BUDGET</t>
  </si>
  <si>
    <t>Carryover money</t>
  </si>
  <si>
    <t>MRP RESERVE</t>
  </si>
  <si>
    <t>LEGAL RESERVE</t>
  </si>
  <si>
    <t>HMP RESERVE</t>
  </si>
  <si>
    <t>PIP RESERVE</t>
  </si>
  <si>
    <t>NET TOTAL GROUP PROGRAM BUDGET</t>
  </si>
  <si>
    <t>Highlight Codes:</t>
  </si>
  <si>
    <t xml:space="preserve">Yellow </t>
  </si>
  <si>
    <t>Uncertainty about item belonging</t>
  </si>
  <si>
    <t>BLANK</t>
  </si>
  <si>
    <t>Monitoring, Effectiveness Assessment, and Program Improvement</t>
  </si>
  <si>
    <t>1. Program Management</t>
  </si>
  <si>
    <r>
      <rPr>
        <b/>
        <sz val="11"/>
        <color theme="1"/>
        <rFont val="Calibri"/>
        <family val="2"/>
        <scheme val="minor"/>
      </rPr>
      <t xml:space="preserve">2. Minimum Control Measures (MCMs) </t>
    </r>
    <r>
      <rPr>
        <sz val="11"/>
        <color theme="1"/>
        <rFont val="Calibri"/>
        <family val="2"/>
        <scheme val="minor"/>
      </rPr>
      <t>Public Information and Participation Program</t>
    </r>
  </si>
  <si>
    <r>
      <rPr>
        <b/>
        <sz val="11"/>
        <color theme="1"/>
        <rFont val="Calibri"/>
        <family val="2"/>
        <scheme val="minor"/>
      </rPr>
      <t>2. Minimum Control Measures (MCMs)</t>
    </r>
    <r>
      <rPr>
        <sz val="11"/>
        <color theme="1"/>
        <rFont val="Calibri"/>
        <family val="2"/>
        <scheme val="minor"/>
      </rPr>
      <t xml:space="preserve"> Industrial/Commercial Facilities Program</t>
    </r>
  </si>
  <si>
    <r>
      <rPr>
        <b/>
        <sz val="11"/>
        <color theme="1"/>
        <rFont val="Calibri"/>
        <family val="2"/>
        <scheme val="minor"/>
      </rPr>
      <t>2. Minimum Control Measures (MCMs)</t>
    </r>
    <r>
      <rPr>
        <sz val="11"/>
        <color theme="1"/>
        <rFont val="Calibri"/>
        <family val="2"/>
        <scheme val="minor"/>
      </rPr>
      <t xml:space="preserve"> Planning and Land Development Program</t>
    </r>
  </si>
  <si>
    <r>
      <rPr>
        <b/>
        <sz val="11"/>
        <color theme="1"/>
        <rFont val="Calibri"/>
        <family val="2"/>
        <scheme val="minor"/>
      </rPr>
      <t>2. Minimum Control Measures (MCMs)</t>
    </r>
    <r>
      <rPr>
        <sz val="11"/>
        <color theme="1"/>
        <rFont val="Calibri"/>
        <family val="2"/>
        <scheme val="minor"/>
      </rPr>
      <t xml:space="preserve"> Development Construction Program</t>
    </r>
  </si>
  <si>
    <r>
      <rPr>
        <b/>
        <sz val="11"/>
        <color theme="1"/>
        <rFont val="Calibri"/>
        <family val="2"/>
        <scheme val="minor"/>
      </rPr>
      <t xml:space="preserve">2. Minimum Control Measures (MCMs) </t>
    </r>
    <r>
      <rPr>
        <sz val="11"/>
        <color theme="1"/>
        <rFont val="Calibri"/>
        <family val="2"/>
        <scheme val="minor"/>
      </rPr>
      <t>Public Agency Activities Program</t>
    </r>
  </si>
  <si>
    <r>
      <rPr>
        <b/>
        <sz val="11"/>
        <color theme="1"/>
        <rFont val="Calibri"/>
        <family val="2"/>
        <scheme val="minor"/>
      </rPr>
      <t>2. Minimum Control Measures (MCMs)</t>
    </r>
    <r>
      <rPr>
        <sz val="11"/>
        <color theme="1"/>
        <rFont val="Calibri"/>
        <family val="2"/>
        <scheme val="minor"/>
      </rPr>
      <t xml:space="preserve"> Illicit Connections and Illicit Discharges Program</t>
    </r>
  </si>
  <si>
    <r>
      <rPr>
        <b/>
        <sz val="11"/>
        <color theme="1"/>
        <rFont val="Calibri"/>
        <family val="2"/>
        <scheme val="minor"/>
      </rPr>
      <t>2. Minimum Control Measures (MCMs)</t>
    </r>
    <r>
      <rPr>
        <sz val="11"/>
        <color theme="1"/>
        <rFont val="Calibri"/>
        <family val="2"/>
        <scheme val="minor"/>
      </rPr>
      <t xml:space="preserve"> Additional Institutional BMPs/"Enhanced" MCMs</t>
    </r>
  </si>
  <si>
    <r>
      <rPr>
        <b/>
        <sz val="11"/>
        <color theme="1"/>
        <rFont val="Calibri"/>
        <family val="2"/>
        <scheme val="minor"/>
      </rPr>
      <t xml:space="preserve">2. Minimum Control Measures (MCMs) </t>
    </r>
    <r>
      <rPr>
        <sz val="11"/>
        <color theme="1"/>
        <rFont val="Calibri"/>
        <family val="2"/>
        <scheme val="minor"/>
      </rPr>
      <t>Distributed Projects and Green Streets</t>
    </r>
  </si>
  <si>
    <r>
      <rPr>
        <b/>
        <sz val="11"/>
        <color theme="1"/>
        <rFont val="Calibri"/>
        <family val="2"/>
        <scheme val="minor"/>
      </rPr>
      <t>2. Minimum Control Measures (MCMs)</t>
    </r>
    <r>
      <rPr>
        <sz val="11"/>
        <color theme="1"/>
        <rFont val="Calibri"/>
        <family val="2"/>
        <scheme val="minor"/>
      </rPr>
      <t xml:space="preserve"> Regional Projects</t>
    </r>
  </si>
  <si>
    <r>
      <rPr>
        <b/>
        <sz val="11"/>
        <color theme="1"/>
        <rFont val="Calibri"/>
        <family val="2"/>
        <scheme val="minor"/>
      </rPr>
      <t>2. Minimum Control Measures (MCMs)</t>
    </r>
    <r>
      <rPr>
        <sz val="11"/>
        <color theme="1"/>
        <rFont val="Calibri"/>
        <family val="2"/>
        <scheme val="minor"/>
      </rPr>
      <t xml:space="preserve"> Restoration Projects</t>
    </r>
  </si>
  <si>
    <r>
      <rPr>
        <b/>
        <sz val="11"/>
        <color theme="1"/>
        <rFont val="Calibri"/>
        <family val="2"/>
        <scheme val="minor"/>
      </rPr>
      <t xml:space="preserve">2. Minimum Control Measures (MCMs) </t>
    </r>
    <r>
      <rPr>
        <sz val="11"/>
        <color theme="1"/>
        <rFont val="Calibri"/>
        <family val="2"/>
        <scheme val="minor"/>
      </rPr>
      <t>Monitoring</t>
    </r>
  </si>
  <si>
    <r>
      <rPr>
        <b/>
        <sz val="11"/>
        <color theme="1"/>
        <rFont val="Calibri"/>
        <family val="2"/>
        <scheme val="minor"/>
      </rPr>
      <t>2. Minimum Control Measures (MCMs)</t>
    </r>
    <r>
      <rPr>
        <sz val="11"/>
        <color theme="1"/>
        <rFont val="Calibri"/>
        <family val="2"/>
        <scheme val="minor"/>
      </rPr>
      <t xml:space="preserve"> Other: Catch Basin Retrofits</t>
    </r>
  </si>
  <si>
    <r>
      <rPr>
        <b/>
        <sz val="11"/>
        <color theme="1"/>
        <rFont val="Calibri"/>
        <family val="2"/>
        <scheme val="minor"/>
      </rPr>
      <t>2. Minimum Control Measures (MCMs)</t>
    </r>
    <r>
      <rPr>
        <sz val="11"/>
        <color theme="1"/>
        <rFont val="Calibri"/>
        <family val="2"/>
        <scheme val="minor"/>
      </rPr>
      <t xml:space="preserve"> Other: Street Sweeping</t>
    </r>
  </si>
  <si>
    <t>The total expenditures reported for FY 15-16 for the Public Agency Activities Program has decreased from prior year expenditures due to a recent reevaluation of financial information related to sewer maintenance activities. The County’s Sewer Maintenance Districts are currently regulated under the Statewide General WDR for Sanitary Sewer Systems (Order No. 2006-0003-DWQ). Expenditures related to the WDR are reported in the Sewer System Management Plan Audits completed every two years as required by the WDR. Sewer maintenance activities required by the MS4 Permit overlap with those required under the WDR. To eliminate double reporting of the same expenditures, only those activities that most closely align with the MS4 Permit requirements are now reflected in the expenditures included in the table above.
Monitoring includes costs associated with ASBS, CIMP, TMDL, and Special Studies.
Other includes costs associated with WMP and EWMP planning, and TMDL planning and implementation.</t>
  </si>
  <si>
    <r>
      <rPr>
        <b/>
        <sz val="11"/>
        <color theme="1"/>
        <rFont val="Calibri"/>
        <family val="2"/>
        <scheme val="minor"/>
      </rPr>
      <t xml:space="preserve">2. Minimum Control Measures (MCMs): </t>
    </r>
    <r>
      <rPr>
        <sz val="11"/>
        <color theme="1"/>
        <rFont val="Calibri"/>
        <family val="2"/>
        <scheme val="minor"/>
      </rPr>
      <t>Public Information and Participation Program</t>
    </r>
  </si>
  <si>
    <r>
      <rPr>
        <b/>
        <sz val="11"/>
        <color theme="1"/>
        <rFont val="Calibri"/>
        <family val="2"/>
        <scheme val="minor"/>
      </rPr>
      <t xml:space="preserve">2. Minimum Control Measures (MCMs): </t>
    </r>
    <r>
      <rPr>
        <sz val="11"/>
        <color theme="1"/>
        <rFont val="Calibri"/>
        <family val="2"/>
        <scheme val="minor"/>
      </rPr>
      <t>Industrial / Commercial Facilities Program</t>
    </r>
  </si>
  <si>
    <r>
      <rPr>
        <b/>
        <sz val="11"/>
        <color theme="1"/>
        <rFont val="Calibri"/>
        <family val="2"/>
        <scheme val="minor"/>
      </rPr>
      <t xml:space="preserve">2. Minimum Control Measures (MCMs): </t>
    </r>
    <r>
      <rPr>
        <sz val="11"/>
        <color theme="1"/>
        <rFont val="Calibri"/>
        <family val="2"/>
        <scheme val="minor"/>
      </rPr>
      <t>Planning and Land Development Program</t>
    </r>
  </si>
  <si>
    <r>
      <rPr>
        <b/>
        <sz val="11"/>
        <color theme="1"/>
        <rFont val="Calibri"/>
        <family val="2"/>
        <scheme val="minor"/>
      </rPr>
      <t xml:space="preserve">2. Minimum Control Measures (MCMs): </t>
    </r>
    <r>
      <rPr>
        <sz val="11"/>
        <color theme="1"/>
        <rFont val="Calibri"/>
        <family val="2"/>
        <scheme val="minor"/>
      </rPr>
      <t>Development Construction Program</t>
    </r>
  </si>
  <si>
    <r>
      <rPr>
        <b/>
        <sz val="11"/>
        <color theme="1"/>
        <rFont val="Calibri"/>
        <family val="2"/>
        <scheme val="minor"/>
      </rPr>
      <t xml:space="preserve">2. Minimum Control Measures (MCMs): </t>
    </r>
    <r>
      <rPr>
        <sz val="11"/>
        <color theme="1"/>
        <rFont val="Calibri"/>
        <family val="2"/>
        <scheme val="minor"/>
      </rPr>
      <t>Public Agency Activities</t>
    </r>
  </si>
  <si>
    <r>
      <rPr>
        <b/>
        <sz val="11"/>
        <color theme="1"/>
        <rFont val="Calibri"/>
        <family val="2"/>
        <scheme val="minor"/>
      </rPr>
      <t xml:space="preserve">2. Minimum Control Measures (MCMs): </t>
    </r>
    <r>
      <rPr>
        <sz val="11"/>
        <color theme="1"/>
        <rFont val="Calibri"/>
        <family val="2"/>
        <scheme val="minor"/>
      </rPr>
      <t>Illicit Connections and Illicit Discharges Program</t>
    </r>
  </si>
  <si>
    <r>
      <rPr>
        <b/>
        <sz val="11"/>
        <color theme="1"/>
        <rFont val="Calibri"/>
        <family val="2"/>
        <scheme val="minor"/>
      </rPr>
      <t xml:space="preserve">2. Minimum Control Measures (MCMs): </t>
    </r>
    <r>
      <rPr>
        <sz val="11"/>
        <color theme="1"/>
        <rFont val="Calibri"/>
        <family val="2"/>
        <scheme val="minor"/>
      </rPr>
      <t>Additional Institutional BMPs/"Enhanced" MCMs</t>
    </r>
  </si>
  <si>
    <r>
      <rPr>
        <b/>
        <sz val="11"/>
        <color theme="1"/>
        <rFont val="Calibri"/>
        <family val="2"/>
        <scheme val="minor"/>
      </rPr>
      <t xml:space="preserve">3. Projects: </t>
    </r>
    <r>
      <rPr>
        <sz val="11"/>
        <color theme="1"/>
        <rFont val="Calibri"/>
        <family val="2"/>
        <scheme val="minor"/>
      </rPr>
      <t>Distributed Projects and Green Streets</t>
    </r>
  </si>
  <si>
    <r>
      <rPr>
        <b/>
        <sz val="11"/>
        <color theme="1"/>
        <rFont val="Calibri"/>
        <family val="2"/>
        <scheme val="minor"/>
      </rPr>
      <t xml:space="preserve">3. Projects: </t>
    </r>
    <r>
      <rPr>
        <sz val="11"/>
        <color theme="1"/>
        <rFont val="Calibri"/>
        <family val="2"/>
        <scheme val="minor"/>
      </rPr>
      <t>Regional Projects</t>
    </r>
  </si>
  <si>
    <r>
      <rPr>
        <b/>
        <sz val="11"/>
        <color theme="1"/>
        <rFont val="Calibri"/>
        <family val="2"/>
        <scheme val="minor"/>
      </rPr>
      <t xml:space="preserve">3. Projects: </t>
    </r>
    <r>
      <rPr>
        <sz val="11"/>
        <color theme="1"/>
        <rFont val="Calibri"/>
        <family val="2"/>
        <scheme val="minor"/>
      </rPr>
      <t>Restoration Projects</t>
    </r>
  </si>
  <si>
    <t>4. Monitoring</t>
  </si>
  <si>
    <t>5. Other</t>
  </si>
  <si>
    <t>Operation and Maintenance</t>
  </si>
  <si>
    <r>
      <rPr>
        <b/>
        <sz val="11"/>
        <color theme="1"/>
        <rFont val="Calibri"/>
        <family val="2"/>
        <scheme val="minor"/>
      </rPr>
      <t xml:space="preserve">2. Minimum Control Measures (MCMs): </t>
    </r>
    <r>
      <rPr>
        <sz val="11"/>
        <color theme="1"/>
        <rFont val="Calibri"/>
        <family val="2"/>
        <scheme val="minor"/>
      </rPr>
      <t>Public Agency Activities Program</t>
    </r>
  </si>
  <si>
    <r>
      <rPr>
        <b/>
        <sz val="11"/>
        <color theme="1"/>
        <rFont val="Calibri"/>
        <family val="2"/>
        <scheme val="minor"/>
      </rPr>
      <t xml:space="preserve">3. Projects: </t>
    </r>
    <r>
      <rPr>
        <sz val="11"/>
        <color theme="1"/>
        <rFont val="Calibri"/>
        <family val="2"/>
        <scheme val="minor"/>
      </rPr>
      <t>Trash Exclusion Devices</t>
    </r>
  </si>
  <si>
    <r>
      <rPr>
        <b/>
        <sz val="11"/>
        <color theme="1"/>
        <rFont val="Calibri"/>
        <family val="2"/>
        <scheme val="minor"/>
      </rPr>
      <t xml:space="preserve">3. Projects: </t>
    </r>
    <r>
      <rPr>
        <sz val="11"/>
        <color theme="1"/>
        <rFont val="Calibri"/>
        <family val="2"/>
        <scheme val="minor"/>
      </rPr>
      <t>Consultant Assistance with Grant Applications</t>
    </r>
  </si>
  <si>
    <r>
      <rPr>
        <b/>
        <sz val="11"/>
        <color theme="1"/>
        <rFont val="Calibri"/>
        <family val="2"/>
        <scheme val="minor"/>
      </rPr>
      <t>4. Monitoring:</t>
    </r>
    <r>
      <rPr>
        <sz val="11"/>
        <color theme="1"/>
        <rFont val="Calibri"/>
        <family val="2"/>
        <scheme val="minor"/>
      </rPr>
      <t xml:space="preserve"> CIMP Implementation and Watershed Coordination</t>
    </r>
  </si>
  <si>
    <r>
      <rPr>
        <b/>
        <sz val="11"/>
        <color theme="1"/>
        <rFont val="Calibri"/>
        <family val="2"/>
        <scheme val="minor"/>
      </rPr>
      <t xml:space="preserve">4. Monitoring: </t>
    </r>
    <r>
      <rPr>
        <sz val="11"/>
        <color theme="1"/>
        <rFont val="Calibri"/>
        <family val="2"/>
        <scheme val="minor"/>
      </rPr>
      <t>SMBBB TMDL Reporting</t>
    </r>
  </si>
  <si>
    <r>
      <rPr>
        <b/>
        <sz val="11"/>
        <color theme="1"/>
        <rFont val="Calibri"/>
        <family val="2"/>
        <scheme val="minor"/>
      </rPr>
      <t xml:space="preserve">4. Monitoring: </t>
    </r>
    <r>
      <rPr>
        <sz val="11"/>
        <color theme="1"/>
        <rFont val="Calibri"/>
        <family val="2"/>
        <scheme val="minor"/>
      </rPr>
      <t>SMBBB TMDL CSMP Monitoring</t>
    </r>
  </si>
  <si>
    <r>
      <rPr>
        <b/>
        <sz val="11"/>
        <color theme="1"/>
        <rFont val="Calibri"/>
        <family val="2"/>
        <scheme val="minor"/>
      </rPr>
      <t xml:space="preserve">1. Program Management: </t>
    </r>
    <r>
      <rPr>
        <sz val="11"/>
        <color theme="1"/>
        <rFont val="Calibri"/>
        <family val="2"/>
        <scheme val="minor"/>
      </rPr>
      <t>a. Administrative Time</t>
    </r>
  </si>
  <si>
    <r>
      <rPr>
        <b/>
        <sz val="11"/>
        <color theme="1"/>
        <rFont val="Calibri"/>
        <family val="2"/>
        <scheme val="minor"/>
      </rPr>
      <t xml:space="preserve">1. Program Management: </t>
    </r>
    <r>
      <rPr>
        <sz val="11"/>
        <color theme="1"/>
        <rFont val="Calibri"/>
        <family val="2"/>
        <scheme val="minor"/>
      </rPr>
      <t>b: City Staff Time</t>
    </r>
  </si>
  <si>
    <r>
      <rPr>
        <b/>
        <sz val="11"/>
        <color theme="1"/>
        <rFont val="Calibri"/>
        <family val="2"/>
        <scheme val="minor"/>
      </rPr>
      <t xml:space="preserve">1. Program Management: </t>
    </r>
    <r>
      <rPr>
        <sz val="11"/>
        <color theme="1"/>
        <rFont val="Calibri"/>
        <family val="2"/>
        <scheme val="minor"/>
      </rPr>
      <t>c: NPDES Permit Fee</t>
    </r>
  </si>
  <si>
    <r>
      <t xml:space="preserve">2. Minimum Control Measures (MCMs): Public Information and Participation Program: </t>
    </r>
    <r>
      <rPr>
        <sz val="11"/>
        <color theme="1"/>
        <rFont val="Calibri"/>
        <family val="2"/>
        <scheme val="minor"/>
      </rPr>
      <t>a. Public Outreach/Education</t>
    </r>
  </si>
  <si>
    <r>
      <rPr>
        <b/>
        <sz val="11"/>
        <color theme="1"/>
        <rFont val="Calibri"/>
        <family val="2"/>
        <scheme val="minor"/>
      </rPr>
      <t xml:space="preserve">2. Minimum Control Measures (MCMs): Public Information and Participation Program: Public Outreach/Education: </t>
    </r>
    <r>
      <rPr>
        <sz val="11"/>
        <color theme="1"/>
        <rFont val="Calibri"/>
        <family val="2"/>
        <scheme val="minor"/>
      </rPr>
      <t>b. Business Assistance</t>
    </r>
  </si>
  <si>
    <r>
      <t xml:space="preserve">2. Minimum Control Measures (MCMs): Industrial / Commercial Facilities Program: </t>
    </r>
    <r>
      <rPr>
        <sz val="11"/>
        <color theme="1"/>
        <rFont val="Calibri"/>
        <family val="2"/>
        <scheme val="minor"/>
      </rPr>
      <t>a. Consultant</t>
    </r>
  </si>
  <si>
    <r>
      <t xml:space="preserve">2. Minimum Control Measures (MCMs): Industrial / Commercial Facilities Program: </t>
    </r>
    <r>
      <rPr>
        <sz val="11"/>
        <color theme="1"/>
        <rFont val="Calibri"/>
        <family val="2"/>
        <scheme val="minor"/>
      </rPr>
      <t>b. Restaurant and FOG Inspections, Commercial Facility Inspections</t>
    </r>
  </si>
  <si>
    <r>
      <t xml:space="preserve">2. Minimum Control Measures (MCMs): Planning and Land Development Program: </t>
    </r>
    <r>
      <rPr>
        <sz val="11"/>
        <color theme="1"/>
        <rFont val="Calibri"/>
        <family val="2"/>
        <scheme val="minor"/>
      </rPr>
      <t>a. Consultant</t>
    </r>
  </si>
  <si>
    <r>
      <t xml:space="preserve">2. Minimum Control Measures (MCMs): Development Construction Program: </t>
    </r>
    <r>
      <rPr>
        <sz val="11"/>
        <color theme="1"/>
        <rFont val="Calibri"/>
        <family val="2"/>
        <scheme val="minor"/>
      </rPr>
      <t>a. Consultant</t>
    </r>
  </si>
  <si>
    <r>
      <t xml:space="preserve">2. Minimum Control Measures (MCMs): Public Agency Activities Program: </t>
    </r>
    <r>
      <rPr>
        <sz val="11"/>
        <color theme="1"/>
        <rFont val="Calibri"/>
        <family val="2"/>
        <scheme val="minor"/>
      </rPr>
      <t>a. Catch Basin Cleaning/BMP Maintenance</t>
    </r>
  </si>
  <si>
    <r>
      <rPr>
        <b/>
        <sz val="11"/>
        <color theme="1"/>
        <rFont val="Calibri"/>
        <family val="2"/>
        <scheme val="minor"/>
      </rPr>
      <t xml:space="preserve">2. Minimum Control Measures (MCMs): Public Agency Activities Program: </t>
    </r>
    <r>
      <rPr>
        <sz val="11"/>
        <color theme="1"/>
        <rFont val="Calibri"/>
        <family val="2"/>
        <scheme val="minor"/>
      </rPr>
      <t>b. Municipal Street Sweeping</t>
    </r>
  </si>
  <si>
    <r>
      <t xml:space="preserve">2. Minimum Control Measures (MCMs): Public Agency Activities Program: </t>
    </r>
    <r>
      <rPr>
        <sz val="11"/>
        <color theme="1"/>
        <rFont val="Calibri"/>
        <family val="2"/>
        <scheme val="minor"/>
      </rPr>
      <t>c. Trash Collection/Recycling</t>
    </r>
  </si>
  <si>
    <r>
      <rPr>
        <b/>
        <sz val="11"/>
        <color theme="1"/>
        <rFont val="Calibri"/>
        <family val="2"/>
        <scheme val="minor"/>
      </rPr>
      <t>2. Minimum Control Measures (MCMs): Public Agency Activities Program:</t>
    </r>
    <r>
      <rPr>
        <sz val="11"/>
        <color theme="1"/>
        <rFont val="Calibri"/>
        <family val="2"/>
        <scheme val="minor"/>
      </rPr>
      <t xml:space="preserve"> d. Capital Costs</t>
    </r>
  </si>
  <si>
    <r>
      <t xml:space="preserve">2. Minimum Control Measures (MCMs): Public Agency Activities Program: </t>
    </r>
    <r>
      <rPr>
        <sz val="11"/>
        <color theme="1"/>
        <rFont val="Calibri"/>
        <family val="2"/>
        <scheme val="minor"/>
      </rPr>
      <t>e. Consultant Assistance</t>
    </r>
  </si>
  <si>
    <r>
      <rPr>
        <b/>
        <sz val="11"/>
        <color theme="1"/>
        <rFont val="Calibri"/>
        <family val="2"/>
        <scheme val="minor"/>
      </rPr>
      <t>2. Minimum Control Measures (MCMs): Public Agency Activities Program:</t>
    </r>
    <r>
      <rPr>
        <sz val="11"/>
        <color theme="1"/>
        <rFont val="Calibri"/>
        <family val="2"/>
        <scheme val="minor"/>
      </rPr>
      <t xml:space="preserve"> f. Employee Training</t>
    </r>
  </si>
  <si>
    <r>
      <rPr>
        <b/>
        <sz val="11"/>
        <color theme="1"/>
        <rFont val="Calibri"/>
        <family val="2"/>
        <scheme val="minor"/>
      </rPr>
      <t xml:space="preserve">2. Minimum Control Measures (MCMs): Illicit Connections and Illicit Discharges Program: </t>
    </r>
    <r>
      <rPr>
        <sz val="11"/>
        <color theme="1"/>
        <rFont val="Calibri"/>
        <family val="2"/>
        <scheme val="minor"/>
      </rPr>
      <t>a. Consultant Assistance</t>
    </r>
  </si>
  <si>
    <r>
      <t xml:space="preserve">3. Projects: Structural BMP Projects: </t>
    </r>
    <r>
      <rPr>
        <sz val="11"/>
        <color theme="1"/>
        <rFont val="Calibri"/>
        <family val="2"/>
        <scheme val="minor"/>
      </rPr>
      <t>a. Regional or Distributed BMP Projects</t>
    </r>
  </si>
  <si>
    <r>
      <t xml:space="preserve">3. Projects: Structural BMP Projects: </t>
    </r>
    <r>
      <rPr>
        <sz val="11"/>
        <color theme="1"/>
        <rFont val="Calibri"/>
        <family val="2"/>
        <scheme val="minor"/>
      </rPr>
      <t>b. Trash Exclusion Devices</t>
    </r>
  </si>
  <si>
    <r>
      <t xml:space="preserve">3. Projects: Structural BMP Projects: </t>
    </r>
    <r>
      <rPr>
        <sz val="11"/>
        <color theme="1"/>
        <rFont val="Calibri"/>
        <family val="2"/>
        <scheme val="minor"/>
      </rPr>
      <t>c. LFD Costs</t>
    </r>
  </si>
  <si>
    <r>
      <rPr>
        <b/>
        <sz val="11"/>
        <color theme="1"/>
        <rFont val="Calibri"/>
        <family val="2"/>
        <scheme val="minor"/>
      </rPr>
      <t>3. Projects: Structural BMP Projects</t>
    </r>
    <r>
      <rPr>
        <sz val="11"/>
        <color theme="1"/>
        <rFont val="Calibri"/>
        <family val="2"/>
        <scheme val="minor"/>
      </rPr>
      <t>: d. Consultant Assistance with Grant Applications</t>
    </r>
  </si>
  <si>
    <r>
      <rPr>
        <b/>
        <sz val="11"/>
        <color theme="1"/>
        <rFont val="Calibri"/>
        <family val="2"/>
        <scheme val="minor"/>
      </rPr>
      <t>4. Monitoring</t>
    </r>
    <r>
      <rPr>
        <sz val="11"/>
        <color theme="1"/>
        <rFont val="Calibri"/>
        <family val="2"/>
        <scheme val="minor"/>
      </rPr>
      <t>: b. SMBBB TMDL CSMP Monitoring</t>
    </r>
  </si>
  <si>
    <r>
      <t>4. Monitoring:</t>
    </r>
    <r>
      <rPr>
        <sz val="11"/>
        <color theme="1"/>
        <rFont val="Calibri"/>
        <family val="2"/>
        <scheme val="minor"/>
      </rPr>
      <t>a. CIMP Implementation and Watershed Coordination</t>
    </r>
  </si>
  <si>
    <r>
      <t xml:space="preserve">5. Other: </t>
    </r>
    <r>
      <rPr>
        <sz val="11"/>
        <color theme="1"/>
        <rFont val="Calibri"/>
        <family val="2"/>
        <scheme val="minor"/>
      </rPr>
      <t>a. EWMP Development</t>
    </r>
  </si>
  <si>
    <r>
      <rPr>
        <b/>
        <sz val="11"/>
        <color theme="1"/>
        <rFont val="Calibri"/>
        <family val="2"/>
        <scheme val="minor"/>
      </rPr>
      <t>2. Minimum Control Measures (MCMs):</t>
    </r>
    <r>
      <rPr>
        <sz val="11"/>
        <color theme="1"/>
        <rFont val="Calibri"/>
        <family val="2"/>
        <scheme val="minor"/>
      </rPr>
      <t xml:space="preserve"> Public Information and Participation Program</t>
    </r>
  </si>
  <si>
    <r>
      <rPr>
        <b/>
        <sz val="11"/>
        <color theme="1"/>
        <rFont val="Calibri"/>
        <family val="2"/>
        <scheme val="minor"/>
      </rPr>
      <t>2. Minimum Control Measures (MCMs):</t>
    </r>
    <r>
      <rPr>
        <sz val="11"/>
        <color theme="1"/>
        <rFont val="Calibri"/>
        <family val="2"/>
        <scheme val="minor"/>
      </rPr>
      <t>Additional Institutional BMPs/"Enhanced" MCMs</t>
    </r>
  </si>
  <si>
    <r>
      <rPr>
        <b/>
        <sz val="11"/>
        <color theme="1"/>
        <rFont val="Calibri"/>
        <family val="2"/>
        <scheme val="minor"/>
      </rPr>
      <t xml:space="preserve">2. Minimum Control Measures (MCMs): </t>
    </r>
    <r>
      <rPr>
        <sz val="11"/>
        <color theme="1"/>
        <rFont val="Calibri"/>
        <family val="2"/>
        <scheme val="minor"/>
      </rPr>
      <t>Industrial/Commercial Facilities Program</t>
    </r>
  </si>
  <si>
    <r>
      <rPr>
        <b/>
        <sz val="11"/>
        <color theme="1"/>
        <rFont val="Calibri"/>
        <family val="2"/>
        <scheme val="minor"/>
      </rPr>
      <t>2. Minimum Control Measures (MCMs):</t>
    </r>
    <r>
      <rPr>
        <sz val="11"/>
        <color theme="1"/>
        <rFont val="Calibri"/>
        <family val="2"/>
        <scheme val="minor"/>
      </rPr>
      <t>Development Construction Program</t>
    </r>
  </si>
  <si>
    <r>
      <rPr>
        <b/>
        <sz val="11"/>
        <color theme="1"/>
        <rFont val="Calibri"/>
        <family val="2"/>
        <scheme val="minor"/>
      </rPr>
      <t>2. Minimum Control Measures (MCMs):</t>
    </r>
    <r>
      <rPr>
        <sz val="11"/>
        <color theme="1"/>
        <rFont val="Calibri"/>
        <family val="2"/>
        <scheme val="minor"/>
      </rPr>
      <t>Public Agency Activities Program</t>
    </r>
  </si>
  <si>
    <r>
      <rPr>
        <b/>
        <sz val="11"/>
        <color theme="1"/>
        <rFont val="Calibri"/>
        <family val="2"/>
        <scheme val="minor"/>
      </rPr>
      <t>2. Minimum Control Measures (MCMs):</t>
    </r>
    <r>
      <rPr>
        <sz val="11"/>
        <color theme="1"/>
        <rFont val="Calibri"/>
        <family val="2"/>
        <scheme val="minor"/>
      </rPr>
      <t>Illicit Connections and Illicit Discharges Program</t>
    </r>
  </si>
  <si>
    <t>5. Other - Industrial/Commercial Inspections</t>
  </si>
  <si>
    <r>
      <rPr>
        <b/>
        <sz val="11"/>
        <color theme="1"/>
        <rFont val="Calibri"/>
        <family val="2"/>
        <scheme val="minor"/>
      </rPr>
      <t xml:space="preserve">2. Minimum Controls Measures: </t>
    </r>
    <r>
      <rPr>
        <sz val="11"/>
        <color theme="1"/>
        <rFont val="Calibri"/>
        <family val="2"/>
        <scheme val="minor"/>
      </rPr>
      <t>Public Information and Participation Program</t>
    </r>
  </si>
  <si>
    <r>
      <rPr>
        <b/>
        <sz val="11"/>
        <color theme="1"/>
        <rFont val="Calibri"/>
        <family val="2"/>
        <scheme val="minor"/>
      </rPr>
      <t xml:space="preserve">2. Minimum Controls Measures: </t>
    </r>
    <r>
      <rPr>
        <sz val="11"/>
        <color theme="1"/>
        <rFont val="Calibri"/>
        <family val="2"/>
        <scheme val="minor"/>
      </rPr>
      <t>Industrial / Commercial Facilities Program</t>
    </r>
  </si>
  <si>
    <r>
      <rPr>
        <b/>
        <sz val="11"/>
        <color theme="1"/>
        <rFont val="Calibri"/>
        <family val="2"/>
        <scheme val="minor"/>
      </rPr>
      <t xml:space="preserve">2. Minimum Controls Measures: </t>
    </r>
    <r>
      <rPr>
        <sz val="11"/>
        <color theme="1"/>
        <rFont val="Calibri"/>
        <family val="2"/>
        <scheme val="minor"/>
      </rPr>
      <t>Planning and Land Development Program</t>
    </r>
  </si>
  <si>
    <r>
      <rPr>
        <b/>
        <sz val="11"/>
        <color theme="1"/>
        <rFont val="Calibri"/>
        <family val="2"/>
        <scheme val="minor"/>
      </rPr>
      <t xml:space="preserve">2. Minimum Controls Measures: </t>
    </r>
    <r>
      <rPr>
        <sz val="11"/>
        <color theme="1"/>
        <rFont val="Calibri"/>
        <family val="2"/>
        <scheme val="minor"/>
      </rPr>
      <t>Development Construction Program</t>
    </r>
  </si>
  <si>
    <r>
      <rPr>
        <b/>
        <sz val="11"/>
        <color theme="1"/>
        <rFont val="Calibri"/>
        <family val="2"/>
        <scheme val="minor"/>
      </rPr>
      <t xml:space="preserve">2. Minimum Controls Measures: </t>
    </r>
    <r>
      <rPr>
        <sz val="11"/>
        <color theme="1"/>
        <rFont val="Calibri"/>
        <family val="2"/>
        <scheme val="minor"/>
      </rPr>
      <t>Public Agency Activities Program</t>
    </r>
  </si>
  <si>
    <r>
      <rPr>
        <b/>
        <sz val="11"/>
        <color theme="1"/>
        <rFont val="Calibri"/>
        <family val="2"/>
        <scheme val="minor"/>
      </rPr>
      <t xml:space="preserve">2. Minimum Controls Measures: </t>
    </r>
    <r>
      <rPr>
        <sz val="11"/>
        <color theme="1"/>
        <rFont val="Calibri"/>
        <family val="2"/>
        <scheme val="minor"/>
      </rPr>
      <t>Illicit Connections and Illicit Discharges Program</t>
    </r>
  </si>
  <si>
    <r>
      <rPr>
        <b/>
        <sz val="11"/>
        <color theme="1"/>
        <rFont val="Calibri"/>
        <family val="2"/>
        <scheme val="minor"/>
      </rPr>
      <t xml:space="preserve">2. Minimum Controls Measures: </t>
    </r>
    <r>
      <rPr>
        <sz val="11"/>
        <color theme="1"/>
        <rFont val="Calibri"/>
        <family val="2"/>
        <scheme val="minor"/>
      </rPr>
      <t>Additional Institutional BMPs/"Enhanced" MCMs</t>
    </r>
  </si>
  <si>
    <r>
      <rPr>
        <b/>
        <sz val="11"/>
        <color theme="1"/>
        <rFont val="Calibri"/>
        <family val="2"/>
        <scheme val="minor"/>
      </rPr>
      <t xml:space="preserve">5. Other </t>
    </r>
    <r>
      <rPr>
        <sz val="11"/>
        <color theme="1"/>
        <rFont val="Calibri"/>
        <family val="2"/>
        <scheme val="minor"/>
      </rPr>
      <t>(grant opportunities)</t>
    </r>
  </si>
  <si>
    <r>
      <t xml:space="preserve">5. Other </t>
    </r>
    <r>
      <rPr>
        <sz val="11"/>
        <color theme="1"/>
        <rFont val="Calibri"/>
        <family val="2"/>
        <scheme val="minor"/>
      </rPr>
      <t>(grant opportunities)</t>
    </r>
  </si>
  <si>
    <r>
      <t xml:space="preserve">5. Other </t>
    </r>
    <r>
      <rPr>
        <sz val="11"/>
        <color theme="1"/>
        <rFont val="Calibri"/>
        <family val="2"/>
        <scheme val="minor"/>
      </rPr>
      <t>(application preparation - Grant)</t>
    </r>
  </si>
  <si>
    <r>
      <t xml:space="preserve">5. Other </t>
    </r>
    <r>
      <rPr>
        <sz val="11"/>
        <color theme="1"/>
        <rFont val="Calibri"/>
        <family val="2"/>
        <scheme val="minor"/>
      </rPr>
      <t>(Industrial/Commercial)</t>
    </r>
  </si>
  <si>
    <t>Storm Drain Catchment Area Maps, Catch Basin Inventory, and any other maps/inventory required.</t>
  </si>
  <si>
    <t xml:space="preserve">5. Other </t>
  </si>
  <si>
    <t>Program Management, Planning and Land Development Program, and Development Construction Program are partially done through contract sources.  City Staff support the efforts of the contract staff..</t>
  </si>
  <si>
    <r>
      <t xml:space="preserve">5. Other </t>
    </r>
    <r>
      <rPr>
        <sz val="11"/>
        <color theme="1"/>
        <rFont val="Calibri"/>
        <family val="2"/>
        <scheme val="minor"/>
      </rPr>
      <t>(Permits, BMPs)</t>
    </r>
  </si>
  <si>
    <r>
      <rPr>
        <b/>
        <sz val="11"/>
        <color theme="1"/>
        <rFont val="Calibri"/>
        <family val="2"/>
        <scheme val="minor"/>
      </rPr>
      <t xml:space="preserve">1. Program Management: </t>
    </r>
    <r>
      <rPr>
        <sz val="11"/>
        <color theme="1"/>
        <rFont val="Calibri"/>
        <family val="2"/>
        <scheme val="minor"/>
      </rPr>
      <t>General Program Management</t>
    </r>
  </si>
  <si>
    <r>
      <rPr>
        <b/>
        <sz val="11"/>
        <color theme="1"/>
        <rFont val="Calibri"/>
        <family val="2"/>
        <scheme val="minor"/>
      </rPr>
      <t xml:space="preserve">1. Program Management: </t>
    </r>
    <r>
      <rPr>
        <sz val="11"/>
        <color theme="1"/>
        <rFont val="Calibri"/>
        <family val="2"/>
        <scheme val="minor"/>
      </rPr>
      <t>SWRCB NPDES Permit Fees</t>
    </r>
  </si>
  <si>
    <r>
      <rPr>
        <b/>
        <sz val="11"/>
        <color theme="1"/>
        <rFont val="Calibri"/>
        <family val="2"/>
        <scheme val="minor"/>
      </rPr>
      <t xml:space="preserve">2. Minimum Control Measures (MCMs): </t>
    </r>
    <r>
      <rPr>
        <sz val="11"/>
        <color theme="1"/>
        <rFont val="Calibri"/>
        <family val="2"/>
        <scheme val="minor"/>
      </rPr>
      <t>Street Sweeping/Vacuuming</t>
    </r>
  </si>
  <si>
    <r>
      <rPr>
        <b/>
        <sz val="11"/>
        <color theme="1"/>
        <rFont val="Calibri"/>
        <family val="2"/>
        <scheme val="minor"/>
      </rPr>
      <t xml:space="preserve">3. Projects: </t>
    </r>
    <r>
      <rPr>
        <sz val="11"/>
        <color theme="1"/>
        <rFont val="Calibri"/>
        <family val="2"/>
        <scheme val="minor"/>
      </rPr>
      <t>Regional Projects (feasibility study)</t>
    </r>
  </si>
  <si>
    <t>Categories may be added to the table as necessary</t>
  </si>
  <si>
    <t>Distributed Projects and Green Streets (see Section 6.7 for more information): The City was awarded a portion of a $1,037,000 grant from the Proposition 84 Multi-Agency/Multi-Watershed Project to incorporate Low Impact Development (LID) Best Management Practices (BMPs) into Major Transportation Corridors. The City was awarded $307,348 from the Prop 84 grant, of which the City will provide $76,837 in matching funds.
Regional Projects (see Section 6.7 for more information): The City was awarded $200,000 from the State of California Department of Parks &amp; Recreation, Habitat Conservation Grant, which the City will contribute a 50% match (i.e. an additional $200,000) for the restoration project at Wildnerness Park.
Other: Watershed Management [or TMDL or Jurisdictional Stormwater Quality Management Program (SQMP) costs], Permitting, Consulting, Software Costs. Additionally, the City contributed funds through the Lower Los Angeles River (LLAR) and Lower San Gabriel River (LSGR) cost-share arrangement for feasibility studies of Regional and Green Streets Projects. Those funds are incorporated into the "Other" category as well.</t>
  </si>
  <si>
    <t>The City of La Mirada contracts with Los Angeles County to provide the following services: Plan check, construction inspections, building permitting, industrial site inspections, sewer maintenance, catch basin clean outs and stenciling, restaurant inspections, and public outreach. The City also contracts with private companies to provide street sweeping, trash collection and water services. The City pays development fees as part of the Lower San Gabriel River Watershed Committee and the Gateway Authority.</t>
  </si>
  <si>
    <t>*From Section 2.2: The City contributed funds through the LSGR cost-share arrangement for feasibility studies of Regional and Green Streets Projects. Those funds are incorporated into the Monitoring category.</t>
  </si>
  <si>
    <t>Read Other note</t>
  </si>
  <si>
    <t>*From Section 2.2: The City contributed funds through the LSGR cost-share arrangement for feasibility studies of Regional and Green Streets Projects. Those funds are incorporated into the Monitoring category. Other - NPDES Reporting.</t>
  </si>
  <si>
    <t>Distributed Projects and Green Streets (see Section 6.7 for more information): The City was awarded a portion of a $1,037,000 grant from the Proposition 84 Multi-Agency/Multi-Watershed Project to incorporate Low Impact Development (LID) Best Management Practices (BMPs) into Major Transportation Corridors. The City was awarded $73,620 from the Prop 84 grant, of which the City will provide $18,565 in matching funds. Other: Watershed Management [or TMDL or Jurisdictional Stormwater Quality Management Plan (SQMP)]. Additionally, the City contributed funds through the Lower San Gabriel River (LSGR) cost-share arrangement for feasibility studies of Regional and Green Streets projects. Those funds are incorporated into the "Other" category as well.</t>
  </si>
  <si>
    <t>Distributed Projects and Green Streets (see Section 6.7 for more information): The City was awarded a portion of a
$1,037,000 grant from the Proposition 84 Multi-Agency/Multi-Watershed Project to incorporate Low Impact Development (LID) Best Management Practices (BMPs) into Major Transportation Corridors. The City was awarded $73,620 from the Prop 84 grant, of which the City will provide $18,565 in matching funds. Other: Watershed Management [or TMDL or Jurisdictional Stormwater Quality Management Plan (SQMP)], and Pump Station Cleaning. Additionally, the City contributed funds through the Lower Los Angeles River (LLAR) and Lower San Gabriel River (LSGR) cost-share arrangement for feasibility studies of Regional and Green Streets Projects. Those funds are incorporated into the "Other" category. Note, the City has projected $200,000 will be allocated toward the full capture devices required in priority catch basins in the LSGR portion of the City as well.</t>
  </si>
  <si>
    <t>Distributed Projects and Green Streets (see Section 6.7 for more information): The City was awarded a portion of a $1,037,000 grant from the Proposition 84 Multi-Agency/Multi-Watershed Project to incorporate Low Impact Development (LID) Best Management Practices (BMPs) into Major Transportation Corridors. The City was awarded $75,185 from the Prop 84 grant, of which the City provided $15,165 in matching funds. Other: Watershed Management [or TMDL or Jurisdictional Stormwater Quality Management Plan (SQMP)]. Additionally, the City contributed funds through the Lower San Gabriel River (LSGR) cost-share arrangement for feasibility studies of Regional and Green Streets projects. Those funds are incorporated into the "Other" category as well.</t>
  </si>
  <si>
    <r>
      <rPr>
        <b/>
        <sz val="11"/>
        <color theme="1"/>
        <rFont val="Calibri"/>
        <family val="2"/>
        <scheme val="minor"/>
      </rPr>
      <t xml:space="preserve">2. Minimum Control Measures (MCMs): </t>
    </r>
    <r>
      <rPr>
        <sz val="11"/>
        <color theme="1"/>
        <rFont val="Calibri"/>
        <family val="2"/>
        <scheme val="minor"/>
      </rPr>
      <t>Industrial &amp; Commercial Facilities Program</t>
    </r>
  </si>
  <si>
    <r>
      <rPr>
        <b/>
        <sz val="11"/>
        <color theme="1"/>
        <rFont val="Calibri"/>
        <family val="2"/>
        <scheme val="minor"/>
      </rPr>
      <t xml:space="preserve">2. Minimum Control Measures (MCMs): </t>
    </r>
    <r>
      <rPr>
        <sz val="11"/>
        <color theme="1"/>
        <rFont val="Calibri"/>
        <family val="2"/>
        <scheme val="minor"/>
      </rPr>
      <t>Additional Institutional BMPs / "Enhanced" MCMs</t>
    </r>
  </si>
  <si>
    <t>Cell contains comment</t>
  </si>
  <si>
    <t>5. Watershed Planning &amp; Joint EWMP</t>
  </si>
  <si>
    <r>
      <rPr>
        <b/>
        <sz val="11"/>
        <color theme="1"/>
        <rFont val="Calibri"/>
        <family val="2"/>
        <scheme val="minor"/>
      </rPr>
      <t xml:space="preserve">2. Minimum Control Measures (MCMs)": </t>
    </r>
    <r>
      <rPr>
        <sz val="11"/>
        <color theme="1"/>
        <rFont val="Calibri"/>
        <family val="2"/>
        <scheme val="minor"/>
      </rPr>
      <t>Public Information and Participation Program</t>
    </r>
  </si>
  <si>
    <r>
      <rPr>
        <b/>
        <sz val="11"/>
        <color theme="1"/>
        <rFont val="Calibri"/>
        <family val="2"/>
        <scheme val="minor"/>
      </rPr>
      <t xml:space="preserve">2. Minimum Control Measures (MCMs)": </t>
    </r>
    <r>
      <rPr>
        <sz val="11"/>
        <color theme="1"/>
        <rFont val="Calibri"/>
        <family val="2"/>
        <scheme val="minor"/>
      </rPr>
      <t>Industrial / Commercial Facilities Program</t>
    </r>
  </si>
  <si>
    <r>
      <rPr>
        <b/>
        <sz val="11"/>
        <color theme="1"/>
        <rFont val="Calibri"/>
        <family val="2"/>
        <scheme val="minor"/>
      </rPr>
      <t xml:space="preserve">2. Minimum Control Measures (MCMs)": </t>
    </r>
    <r>
      <rPr>
        <sz val="11"/>
        <color theme="1"/>
        <rFont val="Calibri"/>
        <family val="2"/>
        <scheme val="minor"/>
      </rPr>
      <t>Planning and Land Development Program</t>
    </r>
  </si>
  <si>
    <r>
      <rPr>
        <b/>
        <sz val="11"/>
        <color theme="1"/>
        <rFont val="Calibri"/>
        <family val="2"/>
        <scheme val="minor"/>
      </rPr>
      <t xml:space="preserve">2. Minimum Control Measures (MCMs)": </t>
    </r>
    <r>
      <rPr>
        <sz val="11"/>
        <color theme="1"/>
        <rFont val="Calibri"/>
        <family val="2"/>
        <scheme val="minor"/>
      </rPr>
      <t>Development Construction Program</t>
    </r>
  </si>
  <si>
    <r>
      <rPr>
        <b/>
        <sz val="11"/>
        <color theme="1"/>
        <rFont val="Calibri"/>
        <family val="2"/>
        <scheme val="minor"/>
      </rPr>
      <t xml:space="preserve">2. Minimum Control Measures (MCMs)": </t>
    </r>
    <r>
      <rPr>
        <sz val="11"/>
        <color theme="1"/>
        <rFont val="Calibri"/>
        <family val="2"/>
        <scheme val="minor"/>
      </rPr>
      <t>Public Agency Activities Program</t>
    </r>
  </si>
  <si>
    <r>
      <rPr>
        <b/>
        <sz val="11"/>
        <color theme="1"/>
        <rFont val="Calibri"/>
        <family val="2"/>
        <scheme val="minor"/>
      </rPr>
      <t xml:space="preserve">2. Minimum Control Measures (MCMs)": </t>
    </r>
    <r>
      <rPr>
        <sz val="11"/>
        <color theme="1"/>
        <rFont val="Calibri"/>
        <family val="2"/>
        <scheme val="minor"/>
      </rPr>
      <t>Illicit Connections and Illicit Discharges Program</t>
    </r>
  </si>
  <si>
    <r>
      <rPr>
        <b/>
        <sz val="11"/>
        <color theme="1"/>
        <rFont val="Calibri"/>
        <family val="2"/>
        <scheme val="minor"/>
      </rPr>
      <t xml:space="preserve">2. Minimum Control Measures (MCMs)": </t>
    </r>
    <r>
      <rPr>
        <sz val="11"/>
        <color theme="1"/>
        <rFont val="Calibri"/>
        <family val="2"/>
        <scheme val="minor"/>
      </rPr>
      <t>Additional Institutional BMPs/"Enhanced" MCMs</t>
    </r>
  </si>
  <si>
    <t>5. Other Revised EWMP Project Analysis</t>
  </si>
  <si>
    <r>
      <rPr>
        <b/>
        <sz val="11"/>
        <color theme="1"/>
        <rFont val="Calibri"/>
        <family val="2"/>
        <scheme val="minor"/>
      </rPr>
      <t xml:space="preserve">2. Minimum Control Measures (MCMs): </t>
    </r>
    <r>
      <rPr>
        <sz val="11"/>
        <color theme="1"/>
        <rFont val="Calibri"/>
        <family val="2"/>
        <scheme val="minor"/>
      </rPr>
      <t>Street Cleaning</t>
    </r>
  </si>
  <si>
    <r>
      <t xml:space="preserve">2. Minimum Control Measures (MCMs): </t>
    </r>
    <r>
      <rPr>
        <sz val="11"/>
        <color theme="1"/>
        <rFont val="Calibri"/>
        <family val="2"/>
        <scheme val="minor"/>
      </rPr>
      <t>Street Sweeping/Vacuuming</t>
    </r>
  </si>
  <si>
    <r>
      <t xml:space="preserve">5. Other </t>
    </r>
    <r>
      <rPr>
        <sz val="11"/>
        <color theme="1"/>
        <rFont val="Calibri"/>
        <family val="2"/>
        <scheme val="minor"/>
      </rPr>
      <t>- Revised EWMP Project Analysis</t>
    </r>
  </si>
  <si>
    <t>4.Monitoring</t>
  </si>
  <si>
    <t>5. TMDL/Watershed Group Programs</t>
  </si>
  <si>
    <t>The City employs a very small staff. The staff is comprised of two professional staff, the City Manager
and the Planning Director, and two administrative staff, the City Clerk and Administrative Assistant.
The Planning Director is responsible for the implementation of the stormwater program. The Planning
Director, with the assistance of the City’s stormwater consultant, represents the City at the Peninsula
Watershed Management Group (WMG) and as necessary in committee meetings of the Greater LA
Harbor Coordinated Compliance Monitoring Plan for the Los Angeles Harbor Toxics TMDL.</t>
  </si>
  <si>
    <t>"Other": Load Reduction Strategy for Rio Hondo and Annual Report</t>
  </si>
  <si>
    <t xml:space="preserve">Other: Catch Basin Upgrade (15/16); 125,000 Catch Basin Upgrade, 120,000 compliance/monitoring </t>
  </si>
  <si>
    <t>Regional Projects include the LA Harbor Toxics Study and the Rio Hondo and Tributaries Load Reduction Strategy study.</t>
  </si>
  <si>
    <t>Other: Trash TMDL DGR, Trash TMDL report, MS4 annual report</t>
  </si>
  <si>
    <t>Other: NPDES permit fee</t>
  </si>
  <si>
    <t>Efforts here shown overlap into other programs that are mutually beneficial to our stormwater program</t>
  </si>
  <si>
    <t>Funding Sources
100 General Fund and Stormwater mitigation Fee (developer)
510 Engineerng
520 Capital Improvements
540 Waste Management and Environmental Services
552 Street Sweeping
560 Landscape</t>
  </si>
  <si>
    <t>Since there are 4 new categories included in the expenditure table, which includes Additional Institutional BMPs &amp; Enhanced MCM's, street sweeping was moved to this category (formerly provided in Public Agency Activities Program). In addition Catch Basin Trash Screen installation was also included, as it is also included as anEnhancement in the EWMP.</t>
  </si>
  <si>
    <t>Public Agency Activities Program includes cost of permit fees paid to the Regional and State Water Quality Board</t>
  </si>
  <si>
    <t>Other includes cost of EWMP/CIMP development and implementation.</t>
  </si>
  <si>
    <t>The City does not pay for street sweeping. The trash hauler sweeps as part of the franchise agreement to pick up residential trash. This is rolled into the rate structure.</t>
  </si>
  <si>
    <t>Other: Development of EWMP</t>
  </si>
  <si>
    <t>* "Other" includes Street Sweeping at $713,499 and State Fees at $45,767</t>
  </si>
  <si>
    <t>"Additional NPDES related services"</t>
  </si>
  <si>
    <t>annual report</t>
  </si>
  <si>
    <t>Public Agency expenditures for the FY15-16 reporting year are broken down as follows:
$88,00 street sweeping
$2,000 catch basin cleaning
$2,000 consultant work
Other for the FY15-16 reporting year is work provided by City's stormwater consultant for watershed activities.</t>
  </si>
  <si>
    <r>
      <rPr>
        <b/>
        <sz val="11"/>
        <color theme="1"/>
        <rFont val="Calibri"/>
        <family val="2"/>
        <scheme val="minor"/>
      </rPr>
      <t xml:space="preserve">Program Administration (LIP Section A-2.0): </t>
    </r>
    <r>
      <rPr>
        <sz val="11"/>
        <color theme="1"/>
        <rFont val="Calibri"/>
        <family val="2"/>
        <scheme val="minor"/>
      </rPr>
      <t>Meetings/Committees/Training/Reporting</t>
    </r>
  </si>
  <si>
    <r>
      <rPr>
        <b/>
        <sz val="11"/>
        <color theme="1"/>
        <rFont val="Calibri"/>
        <family val="2"/>
        <scheme val="minor"/>
      </rPr>
      <t xml:space="preserve">Plan Development (LIP Section A-3.0): </t>
    </r>
    <r>
      <rPr>
        <sz val="11"/>
        <color theme="1"/>
        <rFont val="Calibri"/>
        <family val="2"/>
        <scheme val="minor"/>
      </rPr>
      <t>New Program Development/BMP Effectiveness Studies</t>
    </r>
  </si>
  <si>
    <r>
      <rPr>
        <b/>
        <sz val="11"/>
        <color theme="1"/>
        <rFont val="Calibri"/>
        <family val="2"/>
        <scheme val="minor"/>
      </rPr>
      <t xml:space="preserve">Municipal Activities (LIP Section A-5.0): </t>
    </r>
    <r>
      <rPr>
        <sz val="11"/>
        <color theme="1"/>
        <rFont val="Calibri"/>
        <family val="2"/>
        <scheme val="minor"/>
      </rPr>
      <t>Trash &amp; Debris Control (OC Public Works O&amp;M) Litter Ordinance, Clean-up Programs, Specialty/Bulky Pickups, Public Trash Receptacles</t>
    </r>
  </si>
  <si>
    <r>
      <rPr>
        <b/>
        <sz val="11"/>
        <color theme="1"/>
        <rFont val="Calibri"/>
        <family val="2"/>
        <scheme val="minor"/>
      </rPr>
      <t xml:space="preserve">Municipal Activities (LIP Section A-5.0): </t>
    </r>
    <r>
      <rPr>
        <sz val="11"/>
        <color theme="1"/>
        <rFont val="Calibri"/>
        <family val="2"/>
        <scheme val="minor"/>
      </rPr>
      <t>Household Hazardous Waste Collection</t>
    </r>
  </si>
  <si>
    <r>
      <rPr>
        <b/>
        <sz val="11"/>
        <color theme="1"/>
        <rFont val="Calibri"/>
        <family val="2"/>
        <scheme val="minor"/>
      </rPr>
      <t xml:space="preserve">Municipal Activities (LIP Section A-5.0): </t>
    </r>
    <r>
      <rPr>
        <sz val="11"/>
        <color theme="1"/>
        <rFont val="Calibri"/>
        <family val="2"/>
        <scheme val="minor"/>
      </rPr>
      <t>Drainage Facility Maintenance (OC Public Works O&amp;M)</t>
    </r>
  </si>
  <si>
    <r>
      <rPr>
        <b/>
        <sz val="11"/>
        <color theme="1"/>
        <rFont val="Calibri"/>
        <family val="2"/>
        <scheme val="minor"/>
      </rPr>
      <t xml:space="preserve">Municipal Activities (LIP Section A-5.0): </t>
    </r>
    <r>
      <rPr>
        <sz val="11"/>
        <color theme="1"/>
        <rFont val="Calibri"/>
        <family val="2"/>
        <scheme val="minor"/>
      </rPr>
      <t>Street Sweeping (OC Public Works O&amp;M)</t>
    </r>
  </si>
  <si>
    <r>
      <rPr>
        <b/>
        <sz val="11"/>
        <color theme="1"/>
        <rFont val="Calibri"/>
        <family val="2"/>
        <scheme val="minor"/>
      </rPr>
      <t xml:space="preserve">Municipal Activities (LIP Section A-5.0): </t>
    </r>
    <r>
      <rPr>
        <sz val="11"/>
        <color theme="1"/>
        <rFont val="Calibri"/>
        <family val="2"/>
        <scheme val="minor"/>
      </rPr>
      <t>Litter/Trash Control</t>
    </r>
  </si>
  <si>
    <r>
      <rPr>
        <b/>
        <sz val="11"/>
        <color theme="1"/>
        <rFont val="Calibri"/>
        <family val="2"/>
        <scheme val="minor"/>
      </rPr>
      <t xml:space="preserve">Municipal Activities (LIP Section A-5.0): </t>
    </r>
    <r>
      <rPr>
        <sz val="11"/>
        <color theme="1"/>
        <rFont val="Calibri"/>
        <family val="2"/>
        <scheme val="minor"/>
      </rPr>
      <t>Parking Lot Sweeping</t>
    </r>
  </si>
  <si>
    <r>
      <rPr>
        <b/>
        <sz val="11"/>
        <color theme="1"/>
        <rFont val="Calibri"/>
        <family val="2"/>
        <scheme val="minor"/>
      </rPr>
      <t xml:space="preserve">Municipal Activities (LIP Section A-5.0): </t>
    </r>
    <r>
      <rPr>
        <sz val="11"/>
        <color theme="1"/>
        <rFont val="Calibri"/>
        <family val="2"/>
        <scheme val="minor"/>
      </rPr>
      <t>Facility Drain Maintenance</t>
    </r>
  </si>
  <si>
    <r>
      <rPr>
        <b/>
        <sz val="11"/>
        <color theme="1"/>
        <rFont val="Calibri"/>
        <family val="2"/>
        <scheme val="minor"/>
      </rPr>
      <t xml:space="preserve">Municipal Activities (LIP Section A-5.0): </t>
    </r>
    <r>
      <rPr>
        <sz val="11"/>
        <color theme="1"/>
        <rFont val="Calibri"/>
        <family val="2"/>
        <scheme val="minor"/>
      </rPr>
      <t>Inspections</t>
    </r>
  </si>
  <si>
    <r>
      <rPr>
        <b/>
        <sz val="11"/>
        <color theme="1"/>
        <rFont val="Calibri"/>
        <family val="2"/>
        <scheme val="minor"/>
      </rPr>
      <t xml:space="preserve">Municipal Activities (LIP Section A-5.0): </t>
    </r>
    <r>
      <rPr>
        <sz val="11"/>
        <color theme="1"/>
        <rFont val="Calibri"/>
        <family val="2"/>
        <scheme val="minor"/>
      </rPr>
      <t>BMP Maintenance</t>
    </r>
  </si>
  <si>
    <r>
      <rPr>
        <b/>
        <sz val="11"/>
        <color theme="1"/>
        <rFont val="Calibri"/>
        <family val="2"/>
        <scheme val="minor"/>
      </rPr>
      <t xml:space="preserve">Municipal Activities (LIP Section A-5.0): </t>
    </r>
    <r>
      <rPr>
        <sz val="11"/>
        <color theme="1"/>
        <rFont val="Calibri"/>
        <family val="2"/>
        <scheme val="minor"/>
      </rPr>
      <t>Pesticide &amp; Fertilizer Management</t>
    </r>
  </si>
  <si>
    <r>
      <rPr>
        <b/>
        <sz val="11"/>
        <color theme="1"/>
        <rFont val="Calibri"/>
        <family val="2"/>
        <scheme val="minor"/>
      </rPr>
      <t xml:space="preserve">Public Information (LIP Section A-6.0): </t>
    </r>
    <r>
      <rPr>
        <sz val="11"/>
        <color theme="1"/>
        <rFont val="Calibri"/>
        <family val="2"/>
        <scheme val="minor"/>
      </rPr>
      <t>Nonpoint Source Pollution Awareness</t>
    </r>
  </si>
  <si>
    <r>
      <rPr>
        <b/>
        <sz val="11"/>
        <color theme="1"/>
        <rFont val="Calibri"/>
        <family val="2"/>
        <scheme val="minor"/>
      </rPr>
      <t xml:space="preserve">Public Information (LIP Section A-6.0): </t>
    </r>
    <r>
      <rPr>
        <sz val="11"/>
        <color theme="1"/>
        <rFont val="Calibri"/>
        <family val="2"/>
        <scheme val="minor"/>
      </rPr>
      <t>Hazardous Waste Collection</t>
    </r>
  </si>
  <si>
    <r>
      <rPr>
        <b/>
        <sz val="11"/>
        <color theme="1"/>
        <rFont val="Calibri"/>
        <family val="2"/>
        <scheme val="minor"/>
      </rPr>
      <t xml:space="preserve">New Development/Significant Redevelopment (LIP Section A-7.0): </t>
    </r>
    <r>
      <rPr>
        <sz val="11"/>
        <color theme="1"/>
        <rFont val="Calibri"/>
        <family val="2"/>
        <scheme val="minor"/>
      </rPr>
      <t>Requiring New Development BMPs (WQMP review and inspections)</t>
    </r>
  </si>
  <si>
    <r>
      <rPr>
        <b/>
        <sz val="11"/>
        <color theme="1"/>
        <rFont val="Calibri"/>
        <family val="2"/>
        <scheme val="minor"/>
      </rPr>
      <t xml:space="preserve">Construction (LIP Section A-8.0): </t>
    </r>
    <r>
      <rPr>
        <sz val="11"/>
        <color theme="1"/>
        <rFont val="Calibri"/>
        <family val="2"/>
        <scheme val="minor"/>
      </rPr>
      <t>Requiring Construction BMPs (Plan Check &amp; Inspection) - Private Projects</t>
    </r>
  </si>
  <si>
    <r>
      <rPr>
        <b/>
        <sz val="11"/>
        <color theme="1"/>
        <rFont val="Calibri"/>
        <family val="2"/>
        <scheme val="minor"/>
      </rPr>
      <t xml:space="preserve">Construction (LIP Section A-8.0): </t>
    </r>
    <r>
      <rPr>
        <sz val="11"/>
        <color theme="1"/>
        <rFont val="Calibri"/>
        <family val="2"/>
        <scheme val="minor"/>
      </rPr>
      <t>Requiring Construction BMPs (Plan Check &amp; Inspection) - Public Projects</t>
    </r>
  </si>
  <si>
    <r>
      <rPr>
        <b/>
        <sz val="11"/>
        <color theme="1"/>
        <rFont val="Calibri"/>
        <family val="2"/>
        <scheme val="minor"/>
      </rPr>
      <t xml:space="preserve">Existing Development (LIP Section A-9.0): </t>
    </r>
    <r>
      <rPr>
        <sz val="11"/>
        <color theme="1"/>
        <rFont val="Calibri"/>
        <family val="2"/>
        <scheme val="minor"/>
      </rPr>
      <t>Industrial/Commercial/HOA Facility Inspections</t>
    </r>
  </si>
  <si>
    <r>
      <rPr>
        <b/>
        <sz val="11"/>
        <color theme="1"/>
        <rFont val="Calibri"/>
        <family val="2"/>
        <scheme val="minor"/>
      </rPr>
      <t xml:space="preserve">Illegal Discharge/Illicit Connection (LIP Section A-10.0): </t>
    </r>
    <r>
      <rPr>
        <sz val="11"/>
        <color theme="1"/>
        <rFont val="Calibri"/>
        <family val="2"/>
        <scheme val="minor"/>
      </rPr>
      <t>Illicit Connection Inspections</t>
    </r>
  </si>
  <si>
    <r>
      <rPr>
        <b/>
        <sz val="11"/>
        <color theme="1"/>
        <rFont val="Calibri"/>
        <family val="2"/>
        <scheme val="minor"/>
      </rPr>
      <t xml:space="preserve">Illegal Discharge/Illicit Connection (LIP Section A-10.0): </t>
    </r>
    <r>
      <rPr>
        <sz val="11"/>
        <color theme="1"/>
        <rFont val="Calibri"/>
        <family val="2"/>
        <scheme val="minor"/>
      </rPr>
      <t>Illegal Discharge Investigations, Spill Response</t>
    </r>
  </si>
  <si>
    <t>County Contribution to Countywide NPDES Program</t>
  </si>
  <si>
    <r>
      <rPr>
        <b/>
        <sz val="11"/>
        <color theme="1"/>
        <rFont val="Calibri"/>
        <family val="2"/>
        <scheme val="minor"/>
      </rPr>
      <t xml:space="preserve">Capital Costs: </t>
    </r>
    <r>
      <rPr>
        <sz val="11"/>
        <color theme="1"/>
        <rFont val="Calibri"/>
        <family val="2"/>
        <scheme val="minor"/>
      </rPr>
      <t>Supportive of Program Administration (DAMP Section 2.0)</t>
    </r>
  </si>
  <si>
    <r>
      <rPr>
        <b/>
        <sz val="11"/>
        <color theme="1"/>
        <rFont val="Calibri"/>
        <family val="2"/>
        <scheme val="minor"/>
      </rPr>
      <t xml:space="preserve">Capital Costs: Municipal Activities (DAMP Section 5.0): </t>
    </r>
    <r>
      <rPr>
        <sz val="11"/>
        <color theme="1"/>
        <rFont val="Calibri"/>
        <family val="2"/>
        <scheme val="minor"/>
      </rPr>
      <t>Litter Control</t>
    </r>
  </si>
  <si>
    <r>
      <rPr>
        <b/>
        <sz val="11"/>
        <color theme="1"/>
        <rFont val="Calibri"/>
        <family val="2"/>
        <scheme val="minor"/>
      </rPr>
      <t xml:space="preserve">Capital Costs: Municipal Activities (DAMP Section 5.0): </t>
    </r>
    <r>
      <rPr>
        <sz val="11"/>
        <color theme="1"/>
        <rFont val="Calibri"/>
        <family val="2"/>
        <scheme val="minor"/>
      </rPr>
      <t>Recycling</t>
    </r>
  </si>
  <si>
    <r>
      <rPr>
        <b/>
        <sz val="11"/>
        <color theme="1"/>
        <rFont val="Calibri"/>
        <family val="2"/>
        <scheme val="minor"/>
      </rPr>
      <t xml:space="preserve">Capital Costs: Municipal Activities (DAMP Section 5.0): </t>
    </r>
    <r>
      <rPr>
        <sz val="11"/>
        <color theme="1"/>
        <rFont val="Calibri"/>
        <family val="2"/>
        <scheme val="minor"/>
      </rPr>
      <t>Drainage Facility Maintenance</t>
    </r>
  </si>
  <si>
    <r>
      <rPr>
        <b/>
        <sz val="11"/>
        <color theme="1"/>
        <rFont val="Calibri"/>
        <family val="2"/>
        <scheme val="minor"/>
      </rPr>
      <t xml:space="preserve">Capital Costs: Municipal Activities (DAMP Section 5.0): </t>
    </r>
    <r>
      <rPr>
        <sz val="11"/>
        <color theme="1"/>
        <rFont val="Calibri"/>
        <family val="2"/>
        <scheme val="minor"/>
      </rPr>
      <t>Catch Basin Stenciling</t>
    </r>
  </si>
  <si>
    <r>
      <rPr>
        <b/>
        <sz val="11"/>
        <color theme="1"/>
        <rFont val="Calibri"/>
        <family val="2"/>
        <scheme val="minor"/>
      </rPr>
      <t xml:space="preserve">Capital Costs: Municipal Activities (DAMP Section 5.0): </t>
    </r>
    <r>
      <rPr>
        <sz val="11"/>
        <color theme="1"/>
        <rFont val="Calibri"/>
        <family val="2"/>
        <scheme val="minor"/>
      </rPr>
      <t>Street Sweeping</t>
    </r>
  </si>
  <si>
    <r>
      <rPr>
        <b/>
        <sz val="11"/>
        <color theme="1"/>
        <rFont val="Calibri"/>
        <family val="2"/>
        <scheme val="minor"/>
      </rPr>
      <t xml:space="preserve">Capital Costs: Municipal Activities (DAMP Section 5.0): </t>
    </r>
    <r>
      <rPr>
        <sz val="11"/>
        <color theme="1"/>
        <rFont val="Calibri"/>
        <family val="2"/>
        <scheme val="minor"/>
      </rPr>
      <t>Environmental Performance</t>
    </r>
  </si>
  <si>
    <r>
      <rPr>
        <b/>
        <sz val="11"/>
        <color theme="1"/>
        <rFont val="Calibri"/>
        <family val="2"/>
        <scheme val="minor"/>
      </rPr>
      <t xml:space="preserve">Capital Costs: Municipal Activities (DAMP Section 5.0): </t>
    </r>
    <r>
      <rPr>
        <sz val="11"/>
        <color theme="1"/>
        <rFont val="Calibri"/>
        <family val="2"/>
        <scheme val="minor"/>
      </rPr>
      <t>Public Property &amp; Street Chemical Spill Response</t>
    </r>
  </si>
  <si>
    <r>
      <rPr>
        <b/>
        <sz val="11"/>
        <color theme="1"/>
        <rFont val="Calibri"/>
        <family val="2"/>
        <scheme val="minor"/>
      </rPr>
      <t xml:space="preserve">Capital Costs: Municipal Activities (DAMP Section 5.0): </t>
    </r>
    <r>
      <rPr>
        <sz val="11"/>
        <color theme="1"/>
        <rFont val="Calibri"/>
        <family val="2"/>
        <scheme val="minor"/>
      </rPr>
      <t>Pesticide &amp; Fertilizer Management</t>
    </r>
  </si>
  <si>
    <r>
      <rPr>
        <b/>
        <sz val="11"/>
        <color theme="1"/>
        <rFont val="Calibri"/>
        <family val="2"/>
        <scheme val="minor"/>
      </rPr>
      <t xml:space="preserve">Capital Costs: Public Information (DAMP Section 6.0): </t>
    </r>
    <r>
      <rPr>
        <sz val="11"/>
        <color theme="1"/>
        <rFont val="Calibri"/>
        <family val="2"/>
        <scheme val="minor"/>
      </rPr>
      <t>Nonpoint Source Pollution Awareness</t>
    </r>
  </si>
  <si>
    <r>
      <rPr>
        <b/>
        <sz val="11"/>
        <color theme="1"/>
        <rFont val="Calibri"/>
        <family val="2"/>
        <scheme val="minor"/>
      </rPr>
      <t xml:space="preserve">Capital Costs: Public Information (DAMP Section 6.0): </t>
    </r>
    <r>
      <rPr>
        <sz val="11"/>
        <color theme="1"/>
        <rFont val="Calibri"/>
        <family val="2"/>
        <scheme val="minor"/>
      </rPr>
      <t>Household Hazardous Waste Collection</t>
    </r>
  </si>
  <si>
    <r>
      <rPr>
        <b/>
        <sz val="11"/>
        <color theme="1"/>
        <rFont val="Calibri"/>
        <family val="2"/>
        <scheme val="minor"/>
      </rPr>
      <t xml:space="preserve">Capital Costs: </t>
    </r>
    <r>
      <rPr>
        <sz val="11"/>
        <color theme="1"/>
        <rFont val="Calibri"/>
        <family val="2"/>
        <scheme val="minor"/>
      </rPr>
      <t>Requiring New Development BMPs (Supportive of Planning, etc.)</t>
    </r>
  </si>
  <si>
    <r>
      <rPr>
        <b/>
        <sz val="11"/>
        <color theme="1"/>
        <rFont val="Calibri"/>
        <family val="2"/>
        <scheme val="minor"/>
      </rPr>
      <t xml:space="preserve">Capital Costs: </t>
    </r>
    <r>
      <rPr>
        <sz val="11"/>
        <color theme="1"/>
        <rFont val="Calibri"/>
        <family val="2"/>
        <scheme val="minor"/>
      </rPr>
      <t>Requiring Construction BMPs (Supportive of Plan Check &amp; Inspection)</t>
    </r>
  </si>
  <si>
    <r>
      <rPr>
        <b/>
        <sz val="11"/>
        <color theme="1"/>
        <rFont val="Calibri"/>
        <family val="2"/>
        <scheme val="minor"/>
      </rPr>
      <t xml:space="preserve">Capital Costs: Illicit Conn./Discharge ID &amp; Elimination (DAMP Sec. 10.0): </t>
    </r>
    <r>
      <rPr>
        <sz val="11"/>
        <color theme="1"/>
        <rFont val="Calibri"/>
        <family val="2"/>
        <scheme val="minor"/>
      </rPr>
      <t>Facility Inspection</t>
    </r>
  </si>
  <si>
    <r>
      <rPr>
        <b/>
        <sz val="11"/>
        <color theme="1"/>
        <rFont val="Calibri"/>
        <family val="2"/>
        <scheme val="minor"/>
      </rPr>
      <t xml:space="preserve">Capital Costs: Illicit Conn./Discharge ID &amp; Elimination (DAMP Sec. 10.0): </t>
    </r>
    <r>
      <rPr>
        <sz val="11"/>
        <color theme="1"/>
        <rFont val="Calibri"/>
        <family val="2"/>
        <scheme val="minor"/>
      </rPr>
      <t>Other Efforts to Identify &amp; Eliminate Illicit Connections</t>
    </r>
  </si>
  <si>
    <r>
      <rPr>
        <b/>
        <sz val="11"/>
        <color theme="1"/>
        <rFont val="Calibri"/>
        <family val="2"/>
        <scheme val="minor"/>
      </rPr>
      <t xml:space="preserve">O&amp;M Costs: </t>
    </r>
    <r>
      <rPr>
        <sz val="11"/>
        <color theme="1"/>
        <rFont val="Calibri"/>
        <family val="2"/>
        <scheme val="minor"/>
      </rPr>
      <t>Supportive of Program Administration (DAMP Section 2.0)</t>
    </r>
  </si>
  <si>
    <r>
      <rPr>
        <b/>
        <sz val="11"/>
        <color theme="1"/>
        <rFont val="Calibri"/>
        <family val="2"/>
        <scheme val="minor"/>
      </rPr>
      <t xml:space="preserve">O&amp;M Costs: Municipal Activities (DAMP Section 5.0): </t>
    </r>
    <r>
      <rPr>
        <sz val="11"/>
        <color theme="1"/>
        <rFont val="Calibri"/>
        <family val="2"/>
        <scheme val="minor"/>
      </rPr>
      <t>Litter Control</t>
    </r>
  </si>
  <si>
    <r>
      <rPr>
        <b/>
        <sz val="11"/>
        <color theme="1"/>
        <rFont val="Calibri"/>
        <family val="2"/>
        <scheme val="minor"/>
      </rPr>
      <t xml:space="preserve">O&amp;M Costs: Municipal Activities (DAMP Section 5.0): </t>
    </r>
    <r>
      <rPr>
        <sz val="11"/>
        <color theme="1"/>
        <rFont val="Calibri"/>
        <family val="2"/>
        <scheme val="minor"/>
      </rPr>
      <t>Recycling</t>
    </r>
  </si>
  <si>
    <r>
      <rPr>
        <b/>
        <sz val="11"/>
        <color theme="1"/>
        <rFont val="Calibri"/>
        <family val="2"/>
        <scheme val="minor"/>
      </rPr>
      <t xml:space="preserve">O&amp;M Costs: Municipal Activities (DAMP Section 5.0): </t>
    </r>
    <r>
      <rPr>
        <sz val="11"/>
        <color theme="1"/>
        <rFont val="Calibri"/>
        <family val="2"/>
        <scheme val="minor"/>
      </rPr>
      <t>Drainage Facility Maintenance</t>
    </r>
  </si>
  <si>
    <r>
      <rPr>
        <b/>
        <sz val="11"/>
        <color theme="1"/>
        <rFont val="Calibri"/>
        <family val="2"/>
        <scheme val="minor"/>
      </rPr>
      <t xml:space="preserve">O&amp;M Costs: Municipal Activities (DAMP Section 5.0): </t>
    </r>
    <r>
      <rPr>
        <sz val="11"/>
        <color theme="1"/>
        <rFont val="Calibri"/>
        <family val="2"/>
        <scheme val="minor"/>
      </rPr>
      <t>Catch Basin Stenciling</t>
    </r>
  </si>
  <si>
    <r>
      <rPr>
        <b/>
        <sz val="11"/>
        <color theme="1"/>
        <rFont val="Calibri"/>
        <family val="2"/>
        <scheme val="minor"/>
      </rPr>
      <t xml:space="preserve">O&amp;M Costs: Municipal Activities (DAMP Section 5.0): </t>
    </r>
    <r>
      <rPr>
        <sz val="11"/>
        <color theme="1"/>
        <rFont val="Calibri"/>
        <family val="2"/>
        <scheme val="minor"/>
      </rPr>
      <t>Street Sweeping</t>
    </r>
  </si>
  <si>
    <r>
      <rPr>
        <b/>
        <sz val="11"/>
        <color theme="1"/>
        <rFont val="Calibri"/>
        <family val="2"/>
        <scheme val="minor"/>
      </rPr>
      <t xml:space="preserve">O&amp;M Costs: Municipal Activities (DAMP Section 5.0): </t>
    </r>
    <r>
      <rPr>
        <sz val="11"/>
        <color theme="1"/>
        <rFont val="Calibri"/>
        <family val="2"/>
        <scheme val="minor"/>
      </rPr>
      <t>Environmental Performance</t>
    </r>
  </si>
  <si>
    <r>
      <rPr>
        <b/>
        <sz val="11"/>
        <color theme="1"/>
        <rFont val="Calibri"/>
        <family val="2"/>
        <scheme val="minor"/>
      </rPr>
      <t xml:space="preserve">O&amp;M Costs: Municipal Activities (DAMP Section 5.0): </t>
    </r>
    <r>
      <rPr>
        <sz val="11"/>
        <color theme="1"/>
        <rFont val="Calibri"/>
        <family val="2"/>
        <scheme val="minor"/>
      </rPr>
      <t>Public Property &amp; Street Chemical Spill Response</t>
    </r>
  </si>
  <si>
    <r>
      <rPr>
        <b/>
        <sz val="11"/>
        <color theme="1"/>
        <rFont val="Calibri"/>
        <family val="2"/>
        <scheme val="minor"/>
      </rPr>
      <t xml:space="preserve">O&amp;M Costs: Municipal Activities (DAMP Section 5.0): </t>
    </r>
    <r>
      <rPr>
        <sz val="11"/>
        <color theme="1"/>
        <rFont val="Calibri"/>
        <family val="2"/>
        <scheme val="minor"/>
      </rPr>
      <t>Pesticide &amp; Fertilizer Management</t>
    </r>
  </si>
  <si>
    <r>
      <rPr>
        <b/>
        <sz val="11"/>
        <color theme="1"/>
        <rFont val="Calibri"/>
        <family val="2"/>
        <scheme val="minor"/>
      </rPr>
      <t xml:space="preserve">O&amp;M Costs: Public Information (DAMP Section 6.0): </t>
    </r>
    <r>
      <rPr>
        <sz val="11"/>
        <color theme="1"/>
        <rFont val="Calibri"/>
        <family val="2"/>
        <scheme val="minor"/>
      </rPr>
      <t>Nonpoint Source Pollution Awareness</t>
    </r>
  </si>
  <si>
    <r>
      <rPr>
        <b/>
        <sz val="11"/>
        <color theme="1"/>
        <rFont val="Calibri"/>
        <family val="2"/>
        <scheme val="minor"/>
      </rPr>
      <t xml:space="preserve">O&amp;M Costs: Public Information (DAMP Section 6.0): </t>
    </r>
    <r>
      <rPr>
        <sz val="11"/>
        <color theme="1"/>
        <rFont val="Calibri"/>
        <family val="2"/>
        <scheme val="minor"/>
      </rPr>
      <t>Household Hazardous Waste Collection</t>
    </r>
  </si>
  <si>
    <r>
      <rPr>
        <b/>
        <sz val="11"/>
        <color theme="1"/>
        <rFont val="Calibri"/>
        <family val="2"/>
        <scheme val="minor"/>
      </rPr>
      <t xml:space="preserve">O&amp;M Costs: Illicit Conn./Discharge ID &amp; Elimination (DAMP Sec. 10.0): </t>
    </r>
    <r>
      <rPr>
        <sz val="11"/>
        <color theme="1"/>
        <rFont val="Calibri"/>
        <family val="2"/>
        <scheme val="minor"/>
      </rPr>
      <t>Facility Inspection</t>
    </r>
  </si>
  <si>
    <r>
      <rPr>
        <b/>
        <sz val="11"/>
        <color theme="1"/>
        <rFont val="Calibri"/>
        <family val="2"/>
        <scheme val="minor"/>
      </rPr>
      <t xml:space="preserve">O&amp;M Costs: Illicit Conn./Discharge ID &amp; Elimination (DAMP Sec. 10.0): </t>
    </r>
    <r>
      <rPr>
        <sz val="11"/>
        <color theme="1"/>
        <rFont val="Calibri"/>
        <family val="2"/>
        <scheme val="minor"/>
      </rPr>
      <t>Other Efforts to Identify &amp; Eliminate Illicit Connections</t>
    </r>
  </si>
  <si>
    <r>
      <rPr>
        <b/>
        <sz val="11"/>
        <color theme="1"/>
        <rFont val="Calibri"/>
        <family val="2"/>
        <scheme val="minor"/>
      </rPr>
      <t xml:space="preserve">Capital Costs: </t>
    </r>
    <r>
      <rPr>
        <sz val="11"/>
        <color theme="1"/>
        <rFont val="Calibri"/>
        <family val="2"/>
        <scheme val="minor"/>
      </rPr>
      <t>BMPs Incorporated Into Public Works Capital Projects</t>
    </r>
  </si>
  <si>
    <r>
      <rPr>
        <b/>
        <sz val="11"/>
        <color theme="1"/>
        <rFont val="Calibri"/>
        <family val="2"/>
        <scheme val="minor"/>
      </rPr>
      <t xml:space="preserve">O&amp;M Costs: </t>
    </r>
    <r>
      <rPr>
        <sz val="11"/>
        <color theme="1"/>
        <rFont val="Calibri"/>
        <family val="2"/>
        <scheme val="minor"/>
      </rPr>
      <t>Requiring New Development BMPs (Supportive of Planning, etc.)</t>
    </r>
  </si>
  <si>
    <r>
      <rPr>
        <b/>
        <sz val="11"/>
        <color theme="1"/>
        <rFont val="Calibri"/>
        <family val="2"/>
        <scheme val="minor"/>
      </rPr>
      <t xml:space="preserve">O&amp;M Costs: </t>
    </r>
    <r>
      <rPr>
        <sz val="11"/>
        <color theme="1"/>
        <rFont val="Calibri"/>
        <family val="2"/>
        <scheme val="minor"/>
      </rPr>
      <t>Requiring Construction BMPs (Supportive of Plan Check &amp; Inspection)</t>
    </r>
  </si>
  <si>
    <r>
      <rPr>
        <b/>
        <sz val="11"/>
        <color theme="1"/>
        <rFont val="Calibri"/>
        <family val="2"/>
        <scheme val="minor"/>
      </rPr>
      <t xml:space="preserve">O&amp;M Costs: </t>
    </r>
    <r>
      <rPr>
        <sz val="11"/>
        <color theme="1"/>
        <rFont val="Calibri"/>
        <family val="2"/>
        <scheme val="minor"/>
      </rPr>
      <t>BMPs Incorporated Into Public Works Capital Projects</t>
    </r>
  </si>
  <si>
    <r>
      <rPr>
        <b/>
        <sz val="11"/>
        <color theme="1"/>
        <rFont val="Calibri"/>
        <family val="2"/>
        <scheme val="minor"/>
      </rPr>
      <t xml:space="preserve">Capital Costs: </t>
    </r>
    <r>
      <rPr>
        <sz val="11"/>
        <color theme="1"/>
        <rFont val="Calibri"/>
        <family val="2"/>
        <scheme val="minor"/>
      </rPr>
      <t>Public Project BMPs relating to water quality</t>
    </r>
  </si>
  <si>
    <r>
      <rPr>
        <b/>
        <sz val="11"/>
        <color theme="1"/>
        <rFont val="Calibri"/>
        <family val="2"/>
        <scheme val="minor"/>
      </rPr>
      <t xml:space="preserve">Capital Costs: </t>
    </r>
    <r>
      <rPr>
        <sz val="11"/>
        <color theme="1"/>
        <rFont val="Calibri"/>
        <family val="2"/>
        <scheme val="minor"/>
      </rPr>
      <t>Construction BMPs for Other Public Construction Projects</t>
    </r>
  </si>
  <si>
    <r>
      <rPr>
        <b/>
        <sz val="11"/>
        <color theme="1"/>
        <rFont val="Calibri"/>
        <family val="2"/>
        <scheme val="minor"/>
      </rPr>
      <t xml:space="preserve">Capital Costs: </t>
    </r>
    <r>
      <rPr>
        <sz val="11"/>
        <color theme="1"/>
        <rFont val="Calibri"/>
        <family val="2"/>
        <scheme val="minor"/>
      </rPr>
      <t>Other Capital Projects/Major Equipment Purchases</t>
    </r>
  </si>
  <si>
    <r>
      <rPr>
        <b/>
        <sz val="11"/>
        <color theme="1"/>
        <rFont val="Calibri"/>
        <family val="2"/>
        <scheme val="minor"/>
      </rPr>
      <t xml:space="preserve">O&amp;M Costs: </t>
    </r>
    <r>
      <rPr>
        <sz val="11"/>
        <color theme="1"/>
        <rFont val="Calibri"/>
        <family val="2"/>
        <scheme val="minor"/>
      </rPr>
      <t>Supportive of Program Administration (LIP Section 2.0)</t>
    </r>
  </si>
  <si>
    <r>
      <rPr>
        <b/>
        <sz val="11"/>
        <color theme="1"/>
        <rFont val="Calibri"/>
        <family val="2"/>
        <scheme val="minor"/>
      </rPr>
      <t xml:space="preserve">O&amp;M Costs: </t>
    </r>
    <r>
      <rPr>
        <sz val="11"/>
        <color theme="1"/>
        <rFont val="Calibri"/>
        <family val="2"/>
        <scheme val="minor"/>
      </rPr>
      <t>Trash &amp; Debris Control</t>
    </r>
  </si>
  <si>
    <r>
      <rPr>
        <b/>
        <sz val="11"/>
        <color theme="1"/>
        <rFont val="Calibri"/>
        <family val="2"/>
        <scheme val="minor"/>
      </rPr>
      <t xml:space="preserve">O&amp;M Costs: </t>
    </r>
    <r>
      <rPr>
        <sz val="11"/>
        <color theme="1"/>
        <rFont val="Calibri"/>
        <family val="2"/>
        <scheme val="minor"/>
      </rPr>
      <t>Drainage Facility Maintenance (includes Catch Basin Stenciling)</t>
    </r>
  </si>
  <si>
    <r>
      <rPr>
        <b/>
        <sz val="11"/>
        <color theme="1"/>
        <rFont val="Calibri"/>
        <family val="2"/>
        <scheme val="minor"/>
      </rPr>
      <t xml:space="preserve">O&amp;M Costs: </t>
    </r>
    <r>
      <rPr>
        <sz val="11"/>
        <color theme="1"/>
        <rFont val="Calibri"/>
        <family val="2"/>
        <scheme val="minor"/>
      </rPr>
      <t>Street Sweeping</t>
    </r>
  </si>
  <si>
    <r>
      <rPr>
        <b/>
        <sz val="11"/>
        <color theme="1"/>
        <rFont val="Calibri"/>
        <family val="2"/>
        <scheme val="minor"/>
      </rPr>
      <t xml:space="preserve">O&amp;M Costs: </t>
    </r>
    <r>
      <rPr>
        <sz val="11"/>
        <color theme="1"/>
        <rFont val="Calibri"/>
        <family val="2"/>
        <scheme val="minor"/>
      </rPr>
      <t>Environmental Performance (BMP Implementation)</t>
    </r>
  </si>
  <si>
    <r>
      <rPr>
        <b/>
        <sz val="11"/>
        <color theme="1"/>
        <rFont val="Calibri"/>
        <family val="2"/>
        <scheme val="minor"/>
      </rPr>
      <t xml:space="preserve">O&amp;M Costs: </t>
    </r>
    <r>
      <rPr>
        <sz val="11"/>
        <color theme="1"/>
        <rFont val="Calibri"/>
        <family val="2"/>
        <scheme val="minor"/>
      </rPr>
      <t>Pesticide &amp; Fertilizer Management</t>
    </r>
  </si>
  <si>
    <r>
      <rPr>
        <b/>
        <sz val="11"/>
        <color theme="1"/>
        <rFont val="Calibri"/>
        <family val="2"/>
        <scheme val="minor"/>
      </rPr>
      <t xml:space="preserve">O&amp;M Costs: </t>
    </r>
    <r>
      <rPr>
        <sz val="11"/>
        <color theme="1"/>
        <rFont val="Calibri"/>
        <family val="2"/>
        <scheme val="minor"/>
      </rPr>
      <t>Nonpoint Source Pollution Awareness</t>
    </r>
  </si>
  <si>
    <r>
      <rPr>
        <b/>
        <sz val="11"/>
        <color theme="1"/>
        <rFont val="Calibri"/>
        <family val="2"/>
        <scheme val="minor"/>
      </rPr>
      <t xml:space="preserve">O&amp;M Costs: </t>
    </r>
    <r>
      <rPr>
        <sz val="11"/>
        <color theme="1"/>
        <rFont val="Calibri"/>
        <family val="2"/>
        <scheme val="minor"/>
      </rPr>
      <t>Household Hazardous Waste Collection</t>
    </r>
  </si>
  <si>
    <r>
      <rPr>
        <b/>
        <sz val="11"/>
        <color theme="1"/>
        <rFont val="Calibri"/>
        <family val="2"/>
        <scheme val="minor"/>
      </rPr>
      <t xml:space="preserve">O&amp;M Costs: </t>
    </r>
    <r>
      <rPr>
        <sz val="11"/>
        <color theme="1"/>
        <rFont val="Calibri"/>
        <family val="2"/>
        <scheme val="minor"/>
      </rPr>
      <t>Requiring New Development BMPs (Supportive of Planning, etc.) (LIP Section 7.0)</t>
    </r>
  </si>
  <si>
    <r>
      <rPr>
        <b/>
        <sz val="11"/>
        <color theme="1"/>
        <rFont val="Calibri"/>
        <family val="2"/>
        <scheme val="minor"/>
      </rPr>
      <t xml:space="preserve">O&amp;M Costs: </t>
    </r>
    <r>
      <rPr>
        <sz val="11"/>
        <color theme="1"/>
        <rFont val="Calibri"/>
        <family val="2"/>
        <scheme val="minor"/>
      </rPr>
      <t>Existing Development (LIP Section 9.0) Industrial/Comm./HOA Inspections</t>
    </r>
  </si>
  <si>
    <r>
      <rPr>
        <b/>
        <sz val="11"/>
        <color theme="1"/>
        <rFont val="Calibri"/>
        <family val="2"/>
        <scheme val="minor"/>
      </rPr>
      <t xml:space="preserve">O&amp;M Costs: </t>
    </r>
    <r>
      <rPr>
        <sz val="11"/>
        <color theme="1"/>
        <rFont val="Calibri"/>
        <family val="2"/>
        <scheme val="minor"/>
      </rPr>
      <t>Illicit Connections/Discharge Ident. &amp; Elimination, Facility Inspection</t>
    </r>
  </si>
  <si>
    <r>
      <rPr>
        <b/>
        <sz val="11"/>
        <color theme="1"/>
        <rFont val="Calibri"/>
        <family val="2"/>
        <scheme val="minor"/>
      </rPr>
      <t xml:space="preserve">O&amp;M Costs: </t>
    </r>
    <r>
      <rPr>
        <sz val="11"/>
        <color theme="1"/>
        <rFont val="Calibri"/>
        <family val="2"/>
        <scheme val="minor"/>
      </rPr>
      <t>Agency Contributions to Regional Programs</t>
    </r>
  </si>
  <si>
    <r>
      <rPr>
        <b/>
        <sz val="11"/>
        <color theme="1"/>
        <rFont val="Calibri"/>
        <family val="2"/>
        <scheme val="minor"/>
      </rPr>
      <t xml:space="preserve">O&amp;M Costs: </t>
    </r>
    <r>
      <rPr>
        <sz val="11"/>
        <color theme="1"/>
        <rFont val="Calibri"/>
        <family val="2"/>
        <scheme val="minor"/>
      </rPr>
      <t>Other - Household Hazardous Waste Collection</t>
    </r>
  </si>
  <si>
    <r>
      <rPr>
        <b/>
        <sz val="11"/>
        <color theme="1"/>
        <rFont val="Calibri"/>
        <family val="2"/>
        <scheme val="minor"/>
      </rPr>
      <t xml:space="preserve">O&amp;M Costs: </t>
    </r>
    <r>
      <rPr>
        <sz val="11"/>
        <color theme="1"/>
        <rFont val="Calibri"/>
        <family val="2"/>
        <scheme val="minor"/>
      </rPr>
      <t>Others</t>
    </r>
  </si>
  <si>
    <r>
      <rPr>
        <b/>
        <sz val="11"/>
        <color theme="1"/>
        <rFont val="Calibri"/>
        <family val="2"/>
        <scheme val="minor"/>
      </rPr>
      <t xml:space="preserve">O&amp;M Costs: </t>
    </r>
    <r>
      <rPr>
        <sz val="11"/>
        <color theme="1"/>
        <rFont val="Calibri"/>
        <family val="2"/>
        <scheme val="minor"/>
      </rPr>
      <t>Requiring Construction BMPs (Supportive of Plan Check &amp; Inspection) (LIP Section 8.0)</t>
    </r>
  </si>
  <si>
    <r>
      <rPr>
        <b/>
        <sz val="11"/>
        <color theme="1"/>
        <rFont val="Calibri"/>
        <family val="2"/>
        <scheme val="minor"/>
      </rPr>
      <t xml:space="preserve">Capital Costs: </t>
    </r>
    <r>
      <rPr>
        <sz val="11"/>
        <color theme="1"/>
        <rFont val="Calibri"/>
        <family val="2"/>
        <scheme val="minor"/>
      </rPr>
      <t>Public Projects - BMPs</t>
    </r>
  </si>
  <si>
    <r>
      <rPr>
        <b/>
        <sz val="11"/>
        <color theme="1"/>
        <rFont val="Calibri"/>
        <family val="2"/>
        <scheme val="minor"/>
      </rPr>
      <t xml:space="preserve">O&amp;M Costs: </t>
    </r>
    <r>
      <rPr>
        <sz val="11"/>
        <color theme="1"/>
        <rFont val="Calibri"/>
        <family val="2"/>
        <scheme val="minor"/>
      </rPr>
      <t>Supportive of Program Administration (Communications (57-2010),
Office Supplies (57-2070), Memberships (57-2090), Training (57-
2150), SOCWMA Cost Share in 57-2510, 57-2130, mileage (57-
2290), 57-2270, SWRCB Permit Fee (57-2510), Legal Fees (admin.))</t>
    </r>
  </si>
  <si>
    <r>
      <rPr>
        <b/>
        <sz val="11"/>
        <color theme="1"/>
        <rFont val="Calibri"/>
        <family val="2"/>
        <scheme val="minor"/>
      </rPr>
      <t xml:space="preserve">O&amp;M Costs: </t>
    </r>
    <r>
      <rPr>
        <sz val="11"/>
        <color theme="1"/>
        <rFont val="Calibri"/>
        <family val="2"/>
        <scheme val="minor"/>
      </rPr>
      <t>Staff Resources</t>
    </r>
  </si>
  <si>
    <r>
      <rPr>
        <b/>
        <sz val="11"/>
        <color theme="1"/>
        <rFont val="Calibri"/>
        <family val="2"/>
        <scheme val="minor"/>
      </rPr>
      <t xml:space="preserve">O&amp;M Costs: </t>
    </r>
    <r>
      <rPr>
        <sz val="11"/>
        <color theme="1"/>
        <rFont val="Calibri"/>
        <family val="2"/>
        <scheme val="minor"/>
      </rPr>
      <t>Municipal Activities (LIP Section 5.0) Storm Drains &amp; Trash &amp; Debris
Control (52-2510 &amp; 57-2510 plus specific County tasks from
spreadsheet)</t>
    </r>
  </si>
  <si>
    <r>
      <rPr>
        <b/>
        <sz val="11"/>
        <color theme="1"/>
        <rFont val="Calibri"/>
        <family val="2"/>
        <scheme val="minor"/>
      </rPr>
      <t xml:space="preserve">O&amp;M Costs: </t>
    </r>
    <r>
      <rPr>
        <sz val="11"/>
        <color theme="1"/>
        <rFont val="Calibri"/>
        <family val="2"/>
        <scheme val="minor"/>
      </rPr>
      <t>Municipal Activities (LIP Section 5.0) Street Sweeping (52-2490)</t>
    </r>
  </si>
  <si>
    <r>
      <rPr>
        <b/>
        <sz val="11"/>
        <color theme="1"/>
        <rFont val="Calibri"/>
        <family val="2"/>
        <scheme val="minor"/>
      </rPr>
      <t xml:space="preserve">O&amp;M Costs: </t>
    </r>
    <r>
      <rPr>
        <sz val="11"/>
        <color theme="1"/>
        <rFont val="Calibri"/>
        <family val="2"/>
        <scheme val="minor"/>
      </rPr>
      <t>Public Information (LIP Section 6.0) Nonpoint Source Pollution
Awareness (57-2110)</t>
    </r>
  </si>
  <si>
    <r>
      <rPr>
        <b/>
        <sz val="11"/>
        <color theme="1"/>
        <rFont val="Calibri"/>
        <family val="2"/>
        <scheme val="minor"/>
      </rPr>
      <t xml:space="preserve">O&amp;M Costs: </t>
    </r>
    <r>
      <rPr>
        <sz val="11"/>
        <color theme="1"/>
        <rFont val="Calibri"/>
        <family val="2"/>
        <scheme val="minor"/>
      </rPr>
      <t>Existing Development (LIP Section 9.0) Industrial/Comm./HOA
Inspections, 57-2230</t>
    </r>
  </si>
  <si>
    <r>
      <rPr>
        <b/>
        <sz val="11"/>
        <color theme="1"/>
        <rFont val="Calibri"/>
        <family val="2"/>
        <scheme val="minor"/>
      </rPr>
      <t xml:space="preserve">O&amp;M Costs: </t>
    </r>
    <r>
      <rPr>
        <sz val="11"/>
        <color theme="1"/>
        <rFont val="Calibri"/>
        <family val="2"/>
        <scheme val="minor"/>
      </rPr>
      <t>Illicit Connections/Discharge Ident. &amp; Elimination (LIP Section10.0)
Investigations,. See above in Municipal Activities: 57-2230, 57-2510</t>
    </r>
  </si>
  <si>
    <r>
      <rPr>
        <b/>
        <sz val="11"/>
        <color theme="1"/>
        <rFont val="Calibri"/>
        <family val="2"/>
        <scheme val="minor"/>
      </rPr>
      <t xml:space="preserve">O&amp;M Costs: </t>
    </r>
    <r>
      <rPr>
        <sz val="11"/>
        <color theme="1"/>
        <rFont val="Calibri"/>
        <family val="2"/>
        <scheme val="minor"/>
      </rPr>
      <t>Agency Contribution to Regional Program, 57-2510</t>
    </r>
  </si>
  <si>
    <r>
      <rPr>
        <b/>
        <sz val="11"/>
        <color theme="1"/>
        <rFont val="Calibri"/>
        <family val="2"/>
        <scheme val="minor"/>
      </rPr>
      <t xml:space="preserve">O&amp;M Costs: </t>
    </r>
    <r>
      <rPr>
        <sz val="11"/>
        <color theme="1"/>
        <rFont val="Calibri"/>
        <family val="2"/>
        <scheme val="minor"/>
      </rPr>
      <t>WQ Technical Support (57-2230)</t>
    </r>
  </si>
  <si>
    <r>
      <rPr>
        <b/>
        <sz val="11"/>
        <color theme="1"/>
        <rFont val="Calibri"/>
        <family val="2"/>
        <scheme val="minor"/>
      </rPr>
      <t xml:space="preserve">O&amp;M Costs: </t>
    </r>
    <r>
      <rPr>
        <sz val="11"/>
        <color theme="1"/>
        <rFont val="Calibri"/>
        <family val="2"/>
        <scheme val="minor"/>
      </rPr>
      <t>Other - Construction BMP Inspections (reimbursed by fees, 57-2240)</t>
    </r>
  </si>
  <si>
    <r>
      <rPr>
        <b/>
        <sz val="11"/>
        <color theme="1"/>
        <rFont val="Calibri"/>
        <family val="2"/>
        <scheme val="minor"/>
      </rPr>
      <t xml:space="preserve">Capital Costs: </t>
    </r>
    <r>
      <rPr>
        <sz val="11"/>
        <color theme="1"/>
        <rFont val="Calibri"/>
        <family val="2"/>
        <scheme val="minor"/>
      </rPr>
      <t>Construction BMPs for Public Construction Projects</t>
    </r>
  </si>
  <si>
    <r>
      <rPr>
        <b/>
        <sz val="11"/>
        <color theme="1"/>
        <rFont val="Calibri"/>
        <family val="2"/>
        <scheme val="minor"/>
      </rPr>
      <t xml:space="preserve">O&amp;M Costs: </t>
    </r>
    <r>
      <rPr>
        <sz val="11"/>
        <color theme="1"/>
        <rFont val="Calibri"/>
        <family val="2"/>
        <scheme val="minor"/>
      </rPr>
      <t>Municipal Activities (LIP Section 5.0) Trash &amp; Debris Control (formerly "Litter Control")</t>
    </r>
  </si>
  <si>
    <r>
      <rPr>
        <b/>
        <sz val="11"/>
        <color theme="1"/>
        <rFont val="Calibri"/>
        <family val="2"/>
        <scheme val="minor"/>
      </rPr>
      <t xml:space="preserve">O&amp;M Costs: </t>
    </r>
    <r>
      <rPr>
        <sz val="11"/>
        <color theme="1"/>
        <rFont val="Calibri"/>
        <family val="2"/>
        <scheme val="minor"/>
      </rPr>
      <t>Municipal Activities (LIP Section 5.0) Drainage Facility Maintenance</t>
    </r>
  </si>
  <si>
    <r>
      <rPr>
        <b/>
        <sz val="11"/>
        <color theme="1"/>
        <rFont val="Calibri"/>
        <family val="2"/>
        <scheme val="minor"/>
      </rPr>
      <t xml:space="preserve">O&amp;M Costs: </t>
    </r>
    <r>
      <rPr>
        <sz val="11"/>
        <color theme="1"/>
        <rFont val="Calibri"/>
        <family val="2"/>
        <scheme val="minor"/>
      </rPr>
      <t>Municipal Activities (LIP Section 5.0) Street Sweeping</t>
    </r>
  </si>
  <si>
    <r>
      <rPr>
        <b/>
        <sz val="11"/>
        <color theme="1"/>
        <rFont val="Calibri"/>
        <family val="2"/>
        <scheme val="minor"/>
      </rPr>
      <t xml:space="preserve">O&amp;M Costs: </t>
    </r>
    <r>
      <rPr>
        <sz val="11"/>
        <color theme="1"/>
        <rFont val="Calibri"/>
        <family val="2"/>
        <scheme val="minor"/>
      </rPr>
      <t>Municipal Activities (LIP Section 5.0) Environmental Performance (BMP Implementation)</t>
    </r>
  </si>
  <si>
    <r>
      <rPr>
        <b/>
        <sz val="11"/>
        <color theme="1"/>
        <rFont val="Calibri"/>
        <family val="2"/>
        <scheme val="minor"/>
      </rPr>
      <t xml:space="preserve">O&amp;M Costs: </t>
    </r>
    <r>
      <rPr>
        <sz val="11"/>
        <color theme="1"/>
        <rFont val="Calibri"/>
        <family val="2"/>
        <scheme val="minor"/>
      </rPr>
      <t>Municipal Activities (LIP Section 5.0) Pesticide &amp; Fertilizer Management</t>
    </r>
  </si>
  <si>
    <r>
      <rPr>
        <b/>
        <sz val="11"/>
        <color theme="1"/>
        <rFont val="Calibri"/>
        <family val="2"/>
        <scheme val="minor"/>
      </rPr>
      <t xml:space="preserve">O&amp;M Costs: </t>
    </r>
    <r>
      <rPr>
        <sz val="11"/>
        <color theme="1"/>
        <rFont val="Calibri"/>
        <family val="2"/>
        <scheme val="minor"/>
      </rPr>
      <t>Public Information (LIP Section 6.0) Nonpoint Source Pollution Awareness</t>
    </r>
  </si>
  <si>
    <r>
      <rPr>
        <b/>
        <sz val="11"/>
        <color theme="1"/>
        <rFont val="Calibri"/>
        <family val="2"/>
        <scheme val="minor"/>
      </rPr>
      <t xml:space="preserve">O&amp;M Costs: </t>
    </r>
    <r>
      <rPr>
        <sz val="11"/>
        <color theme="1"/>
        <rFont val="Calibri"/>
        <family val="2"/>
        <scheme val="minor"/>
      </rPr>
      <t>Public Information (LIP Section 6.0) Household Hazardous Waste Collection</t>
    </r>
  </si>
  <si>
    <r>
      <rPr>
        <b/>
        <sz val="11"/>
        <color theme="1"/>
        <rFont val="Calibri"/>
        <family val="2"/>
        <scheme val="minor"/>
      </rPr>
      <t xml:space="preserve">O&amp;M Costs: </t>
    </r>
    <r>
      <rPr>
        <sz val="11"/>
        <color theme="1"/>
        <rFont val="Calibri"/>
        <family val="2"/>
        <scheme val="minor"/>
      </rPr>
      <t>Requiring New Development BMPs (Supportive of Planning, etc) (LIP Section 7.0)</t>
    </r>
  </si>
  <si>
    <r>
      <rPr>
        <b/>
        <sz val="11"/>
        <color theme="1"/>
        <rFont val="Calibri"/>
        <family val="2"/>
        <scheme val="minor"/>
      </rPr>
      <t xml:space="preserve">O&amp;M Costs: </t>
    </r>
    <r>
      <rPr>
        <sz val="11"/>
        <color theme="1"/>
        <rFont val="Calibri"/>
        <family val="2"/>
        <scheme val="minor"/>
      </rPr>
      <t>Illicit Connections/Discharge Ident. &amp; Elimination (LIP Section10.0) Investigations</t>
    </r>
  </si>
  <si>
    <r>
      <rPr>
        <b/>
        <sz val="11"/>
        <color theme="1"/>
        <rFont val="Calibri"/>
        <family val="2"/>
        <scheme val="minor"/>
      </rPr>
      <t xml:space="preserve">O&amp;M Costs: </t>
    </r>
    <r>
      <rPr>
        <sz val="11"/>
        <color theme="1"/>
        <rFont val="Calibri"/>
        <family val="2"/>
        <scheme val="minor"/>
      </rPr>
      <t>Agency Contribution to Regional Program</t>
    </r>
  </si>
  <si>
    <r>
      <rPr>
        <b/>
        <sz val="11"/>
        <color theme="1"/>
        <rFont val="Calibri"/>
        <family val="2"/>
        <scheme val="minor"/>
      </rPr>
      <t xml:space="preserve">O&amp;M Costs: </t>
    </r>
    <r>
      <rPr>
        <sz val="11"/>
        <color theme="1"/>
        <rFont val="Calibri"/>
        <family val="2"/>
        <scheme val="minor"/>
      </rPr>
      <t>Other</t>
    </r>
  </si>
  <si>
    <t xml:space="preserve">*Program Administration Costs include Program Admin Costs plus County pollution response costs. Cost decrease since FY15-16 due to City building inspector retirement; staff position is now performed by a contract employee.
**All costs related to:
Public Information, Requiring New Development BMPs, Requiring Construction BMPs, Existing Development, and ID/IC Investigations, have been added into Program Administration Costs. See table on page C-2-6.
***Trash and Debris Control (Litter Control) Costs include County Costs + doggie walk bags cost.
****Environmental Performance Costs include pollution response costs.
*****Agency Contribution to Regional Program includes total NPDES Shared Costs Budget, Aliso Creek Directive, Newport Bay (NSMP), and SWRCB annual fee.
******Consultant inspection costs.
</t>
  </si>
  <si>
    <t>* Dairy Fork, Cabot Road Bio Swale, Debris Gates</t>
  </si>
  <si>
    <r>
      <rPr>
        <b/>
        <sz val="11"/>
        <color theme="1"/>
        <rFont val="Calibri"/>
        <family val="2"/>
        <scheme val="minor"/>
      </rPr>
      <t xml:space="preserve">Capital Costs: </t>
    </r>
    <r>
      <rPr>
        <sz val="11"/>
        <color theme="1"/>
        <rFont val="Calibri"/>
        <family val="2"/>
        <scheme val="minor"/>
      </rPr>
      <t>Constructions BMPs for Other Public Construction Projects</t>
    </r>
  </si>
  <si>
    <r>
      <rPr>
        <b/>
        <sz val="11"/>
        <color theme="1"/>
        <rFont val="Calibri"/>
        <family val="2"/>
        <scheme val="minor"/>
      </rPr>
      <t xml:space="preserve">O&amp;M Costs: </t>
    </r>
    <r>
      <rPr>
        <sz val="11"/>
        <color theme="1"/>
        <rFont val="Calibri"/>
        <family val="2"/>
        <scheme val="minor"/>
      </rPr>
      <t>Municipal Activities (LIP Section 5.0) Trash &amp; Debris Control</t>
    </r>
  </si>
  <si>
    <r>
      <rPr>
        <b/>
        <sz val="11"/>
        <color theme="1"/>
        <rFont val="Calibri"/>
        <family val="2"/>
        <scheme val="minor"/>
      </rPr>
      <t xml:space="preserve">O&amp;M Costs: </t>
    </r>
    <r>
      <rPr>
        <sz val="11"/>
        <color theme="1"/>
        <rFont val="Calibri"/>
        <family val="2"/>
        <scheme val="minor"/>
      </rPr>
      <t>Municipal Activities (LIP Section 5.0) Drainage Facility Maintenance (includes Catch Basin Stenciling)</t>
    </r>
  </si>
  <si>
    <r>
      <rPr>
        <b/>
        <sz val="11"/>
        <color theme="1"/>
        <rFont val="Calibri"/>
        <family val="2"/>
        <scheme val="minor"/>
      </rPr>
      <t xml:space="preserve">O&amp;M Costs: </t>
    </r>
    <r>
      <rPr>
        <sz val="11"/>
        <color theme="1"/>
        <rFont val="Calibri"/>
        <family val="2"/>
        <scheme val="minor"/>
      </rPr>
      <t>Illicit Connections/Discharge Indent. &amp; Elimination Facility Inspection</t>
    </r>
  </si>
  <si>
    <r>
      <rPr>
        <b/>
        <sz val="11"/>
        <color theme="1"/>
        <rFont val="Calibri"/>
        <family val="2"/>
        <scheme val="minor"/>
      </rPr>
      <t xml:space="preserve">O&amp;M Costs: </t>
    </r>
    <r>
      <rPr>
        <sz val="11"/>
        <color theme="1"/>
        <rFont val="Calibri"/>
        <family val="2"/>
        <scheme val="minor"/>
      </rPr>
      <t>Municipal Activities (LIP Section 5.0) Environmental Performance/BMP Implementation</t>
    </r>
  </si>
  <si>
    <r>
      <rPr>
        <b/>
        <sz val="11"/>
        <color theme="1"/>
        <rFont val="Calibri"/>
        <family val="2"/>
        <scheme val="minor"/>
      </rPr>
      <t xml:space="preserve">O&amp;M Costs: </t>
    </r>
    <r>
      <rPr>
        <sz val="11"/>
        <color theme="1"/>
        <rFont val="Calibri"/>
        <family val="2"/>
        <scheme val="minor"/>
      </rPr>
      <t>Existing Development (LIP Section 9.0) Industrial/Commercial Inspections</t>
    </r>
  </si>
  <si>
    <r>
      <rPr>
        <b/>
        <sz val="11"/>
        <color theme="1"/>
        <rFont val="Calibri"/>
        <family val="2"/>
        <scheme val="minor"/>
      </rPr>
      <t xml:space="preserve">O&amp;M Costs: </t>
    </r>
    <r>
      <rPr>
        <sz val="11"/>
        <color theme="1"/>
        <rFont val="Calibri"/>
        <family val="2"/>
        <scheme val="minor"/>
      </rPr>
      <t>Illicit Connections/Illegal Discharge (LIP Section 10.0) Investigations</t>
    </r>
  </si>
  <si>
    <r>
      <rPr>
        <b/>
        <sz val="11"/>
        <color theme="1"/>
        <rFont val="Calibri"/>
        <family val="2"/>
        <scheme val="minor"/>
      </rPr>
      <t xml:space="preserve">O&amp;M Costs: </t>
    </r>
    <r>
      <rPr>
        <sz val="11"/>
        <color theme="1"/>
        <rFont val="Calibri"/>
        <family val="2"/>
        <scheme val="minor"/>
      </rPr>
      <t>Staff Resources Supportive of Program Administration (LIP Section 2.0)</t>
    </r>
  </si>
  <si>
    <r>
      <t xml:space="preserve">O&amp;M Costs: </t>
    </r>
    <r>
      <rPr>
        <sz val="11"/>
        <color theme="1"/>
        <rFont val="Calibri"/>
        <family val="2"/>
        <scheme val="minor"/>
      </rPr>
      <t>Other</t>
    </r>
  </si>
  <si>
    <r>
      <rPr>
        <b/>
        <sz val="11"/>
        <color theme="1"/>
        <rFont val="Calibri"/>
        <family val="2"/>
        <scheme val="minor"/>
      </rPr>
      <t xml:space="preserve">O&amp;M Costs: </t>
    </r>
    <r>
      <rPr>
        <sz val="11"/>
        <color theme="1"/>
        <rFont val="Calibri"/>
        <family val="2"/>
        <scheme val="minor"/>
      </rPr>
      <t>Supportive of Program Administration (JRMP Section 2.0)</t>
    </r>
  </si>
  <si>
    <r>
      <rPr>
        <b/>
        <sz val="11"/>
        <color theme="1"/>
        <rFont val="Calibri"/>
        <family val="2"/>
        <scheme val="minor"/>
      </rPr>
      <t xml:space="preserve">O&amp;M Costs: </t>
    </r>
    <r>
      <rPr>
        <sz val="11"/>
        <color theme="1"/>
        <rFont val="Calibri"/>
        <family val="2"/>
        <scheme val="minor"/>
      </rPr>
      <t>Municipal Activities (JRMP Section 5.0) Trash &amp; Debris Control (formerly "Litter Control")</t>
    </r>
  </si>
  <si>
    <r>
      <rPr>
        <b/>
        <sz val="11"/>
        <color theme="1"/>
        <rFont val="Calibri"/>
        <family val="2"/>
        <scheme val="minor"/>
      </rPr>
      <t xml:space="preserve">O&amp;M Costs: </t>
    </r>
    <r>
      <rPr>
        <sz val="11"/>
        <color theme="1"/>
        <rFont val="Calibri"/>
        <family val="2"/>
        <scheme val="minor"/>
      </rPr>
      <t>Municipal Activities (JRMP Section 5.0) Drainage Facility Maintenance</t>
    </r>
  </si>
  <si>
    <r>
      <rPr>
        <b/>
        <sz val="11"/>
        <color theme="1"/>
        <rFont val="Calibri"/>
        <family val="2"/>
        <scheme val="minor"/>
      </rPr>
      <t xml:space="preserve">O&amp;M Costs: </t>
    </r>
    <r>
      <rPr>
        <sz val="11"/>
        <color theme="1"/>
        <rFont val="Calibri"/>
        <family val="2"/>
        <scheme val="minor"/>
      </rPr>
      <t>Municipal Activities (JRMP Section 5.0) Street Sweeping</t>
    </r>
  </si>
  <si>
    <r>
      <rPr>
        <b/>
        <sz val="11"/>
        <color theme="1"/>
        <rFont val="Calibri"/>
        <family val="2"/>
        <scheme val="minor"/>
      </rPr>
      <t xml:space="preserve">O&amp;M Costs: </t>
    </r>
    <r>
      <rPr>
        <sz val="11"/>
        <color theme="1"/>
        <rFont val="Calibri"/>
        <family val="2"/>
        <scheme val="minor"/>
      </rPr>
      <t>Municipal Activities (JRMP Section 5.0) Environmental Performance (BMP Implementation)</t>
    </r>
  </si>
  <si>
    <r>
      <rPr>
        <b/>
        <sz val="11"/>
        <color theme="1"/>
        <rFont val="Calibri"/>
        <family val="2"/>
        <scheme val="minor"/>
      </rPr>
      <t xml:space="preserve">O&amp;M Costs: </t>
    </r>
    <r>
      <rPr>
        <sz val="11"/>
        <color theme="1"/>
        <rFont val="Calibri"/>
        <family val="2"/>
        <scheme val="minor"/>
      </rPr>
      <t>Municipal Activities (JRMP Section 5.0) Pesticide &amp; Fertilizer Management</t>
    </r>
  </si>
  <si>
    <r>
      <rPr>
        <b/>
        <sz val="11"/>
        <color theme="1"/>
        <rFont val="Calibri"/>
        <family val="2"/>
        <scheme val="minor"/>
      </rPr>
      <t xml:space="preserve">O&amp;M Costs: </t>
    </r>
    <r>
      <rPr>
        <sz val="11"/>
        <color theme="1"/>
        <rFont val="Calibri"/>
        <family val="2"/>
        <scheme val="minor"/>
      </rPr>
      <t>Public Information (JRMP Section 6.0) Nonpoint Source Pollution Awareness</t>
    </r>
  </si>
  <si>
    <r>
      <rPr>
        <b/>
        <sz val="11"/>
        <color theme="1"/>
        <rFont val="Calibri"/>
        <family val="2"/>
        <scheme val="minor"/>
      </rPr>
      <t xml:space="preserve">O&amp;M Costs: </t>
    </r>
    <r>
      <rPr>
        <sz val="11"/>
        <color theme="1"/>
        <rFont val="Calibri"/>
        <family val="2"/>
        <scheme val="minor"/>
      </rPr>
      <t>Public Information (JRMP Section 6.0) Household Hazardous Waste Collection</t>
    </r>
  </si>
  <si>
    <r>
      <rPr>
        <b/>
        <sz val="11"/>
        <color theme="1"/>
        <rFont val="Calibri"/>
        <family val="2"/>
        <scheme val="minor"/>
      </rPr>
      <t xml:space="preserve">O&amp;M Costs: </t>
    </r>
    <r>
      <rPr>
        <sz val="11"/>
        <color theme="1"/>
        <rFont val="Calibri"/>
        <family val="2"/>
        <scheme val="minor"/>
      </rPr>
      <t>Requiring New Development BMPs (Supportive of Planning, etc) (JRMP Section 7.0)</t>
    </r>
  </si>
  <si>
    <r>
      <rPr>
        <b/>
        <sz val="11"/>
        <color theme="1"/>
        <rFont val="Calibri"/>
        <family val="2"/>
        <scheme val="minor"/>
      </rPr>
      <t xml:space="preserve">O&amp;M Costs: </t>
    </r>
    <r>
      <rPr>
        <sz val="11"/>
        <color theme="1"/>
        <rFont val="Calibri"/>
        <family val="2"/>
        <scheme val="minor"/>
      </rPr>
      <t>Requiring Construction BMPs (Supportive of Plan Check &amp; Inspection) (JRMP Section 8.0)</t>
    </r>
  </si>
  <si>
    <r>
      <rPr>
        <b/>
        <sz val="11"/>
        <color theme="1"/>
        <rFont val="Calibri"/>
        <family val="2"/>
        <scheme val="minor"/>
      </rPr>
      <t xml:space="preserve">O&amp;M Costs: </t>
    </r>
    <r>
      <rPr>
        <sz val="11"/>
        <color theme="1"/>
        <rFont val="Calibri"/>
        <family val="2"/>
        <scheme val="minor"/>
      </rPr>
      <t>Existing Development (JRMP Section 9.0) Industrial/Comm./HOA Inspections</t>
    </r>
  </si>
  <si>
    <r>
      <rPr>
        <b/>
        <sz val="11"/>
        <color theme="1"/>
        <rFont val="Calibri"/>
        <family val="2"/>
        <scheme val="minor"/>
      </rPr>
      <t xml:space="preserve">O&amp;M Costs: </t>
    </r>
    <r>
      <rPr>
        <sz val="11"/>
        <color theme="1"/>
        <rFont val="Calibri"/>
        <family val="2"/>
        <scheme val="minor"/>
      </rPr>
      <t>Illicit Connections/Discharge Ident. &amp; Elimination (JRMP Section10.0) Investigations</t>
    </r>
  </si>
  <si>
    <r>
      <rPr>
        <b/>
        <sz val="11"/>
        <color theme="1"/>
        <rFont val="Calibri"/>
        <family val="2"/>
        <scheme val="minor"/>
      </rPr>
      <t xml:space="preserve">Individual Activities: </t>
    </r>
    <r>
      <rPr>
        <sz val="11"/>
        <color theme="1"/>
        <rFont val="Calibri"/>
        <family val="2"/>
        <scheme val="minor"/>
      </rPr>
      <t>Program Management</t>
    </r>
  </si>
  <si>
    <r>
      <rPr>
        <b/>
        <sz val="11"/>
        <color theme="1"/>
        <rFont val="Calibri"/>
        <family val="2"/>
        <scheme val="minor"/>
      </rPr>
      <t xml:space="preserve">Individual Activities: </t>
    </r>
    <r>
      <rPr>
        <sz val="11"/>
        <color theme="1"/>
        <rFont val="Calibri"/>
        <family val="2"/>
        <scheme val="minor"/>
      </rPr>
      <t>Construction</t>
    </r>
  </si>
  <si>
    <r>
      <rPr>
        <b/>
        <sz val="11"/>
        <color theme="1"/>
        <rFont val="Calibri"/>
        <family val="2"/>
        <scheme val="minor"/>
      </rPr>
      <t xml:space="preserve">Individual Activities: </t>
    </r>
    <r>
      <rPr>
        <sz val="11"/>
        <color theme="1"/>
        <rFont val="Calibri"/>
        <family val="2"/>
        <scheme val="minor"/>
      </rPr>
      <t>Commercial/Industrial</t>
    </r>
  </si>
  <si>
    <r>
      <rPr>
        <b/>
        <sz val="11"/>
        <color theme="1"/>
        <rFont val="Calibri"/>
        <family val="2"/>
        <scheme val="minor"/>
      </rPr>
      <t xml:space="preserve">Individual Activities: </t>
    </r>
    <r>
      <rPr>
        <sz val="11"/>
        <color theme="1"/>
        <rFont val="Calibri"/>
        <family val="2"/>
        <scheme val="minor"/>
      </rPr>
      <t>Municipal Operations</t>
    </r>
  </si>
  <si>
    <r>
      <rPr>
        <b/>
        <sz val="11"/>
        <color theme="1"/>
        <rFont val="Calibri"/>
        <family val="2"/>
        <scheme val="minor"/>
      </rPr>
      <t xml:space="preserve">Individual Activities: </t>
    </r>
    <r>
      <rPr>
        <sz val="11"/>
        <color theme="1"/>
        <rFont val="Calibri"/>
        <family val="2"/>
        <scheme val="minor"/>
      </rPr>
      <t>Illicit Discharge</t>
    </r>
  </si>
  <si>
    <r>
      <rPr>
        <b/>
        <sz val="11"/>
        <color theme="1"/>
        <rFont val="Calibri"/>
        <family val="2"/>
        <scheme val="minor"/>
      </rPr>
      <t xml:space="preserve">Individual Activities: </t>
    </r>
    <r>
      <rPr>
        <sz val="11"/>
        <color theme="1"/>
        <rFont val="Calibri"/>
        <family val="2"/>
        <scheme val="minor"/>
      </rPr>
      <t>Public Outreach (non-Regional)</t>
    </r>
  </si>
  <si>
    <r>
      <rPr>
        <b/>
        <sz val="11"/>
        <color theme="1"/>
        <rFont val="Calibri"/>
        <family val="2"/>
        <scheme val="minor"/>
      </rPr>
      <t xml:space="preserve">Individual Activities: </t>
    </r>
    <r>
      <rPr>
        <sz val="11"/>
        <color theme="1"/>
        <rFont val="Calibri"/>
        <family val="2"/>
        <scheme val="minor"/>
      </rPr>
      <t>New Development</t>
    </r>
  </si>
  <si>
    <r>
      <rPr>
        <b/>
        <sz val="11"/>
        <color theme="1"/>
        <rFont val="Calibri"/>
        <family val="2"/>
        <scheme val="minor"/>
      </rPr>
      <t xml:space="preserve">Individual Activities: </t>
    </r>
    <r>
      <rPr>
        <sz val="11"/>
        <color theme="1"/>
        <rFont val="Calibri"/>
        <family val="2"/>
        <scheme val="minor"/>
      </rPr>
      <t>Target Pollutant Reduction (non-Regional)</t>
    </r>
  </si>
  <si>
    <r>
      <rPr>
        <b/>
        <sz val="11"/>
        <color theme="1"/>
        <rFont val="Calibri"/>
        <family val="2"/>
        <scheme val="minor"/>
      </rPr>
      <t xml:space="preserve">Municipal Operations Element Activities: </t>
    </r>
    <r>
      <rPr>
        <sz val="11"/>
        <color theme="1"/>
        <rFont val="Calibri"/>
        <family val="2"/>
        <scheme val="minor"/>
      </rPr>
      <t>Storm Drain System Maintenance (DWR)</t>
    </r>
  </si>
  <si>
    <r>
      <rPr>
        <b/>
        <sz val="11"/>
        <color theme="1"/>
        <rFont val="Calibri"/>
        <family val="2"/>
        <scheme val="minor"/>
      </rPr>
      <t xml:space="preserve">Municipal Operations Element Activities: </t>
    </r>
    <r>
      <rPr>
        <sz val="11"/>
        <color theme="1"/>
        <rFont val="Calibri"/>
        <family val="2"/>
        <scheme val="minor"/>
      </rPr>
      <t>Street Sweeping (DWMR &amp; DOT)</t>
    </r>
  </si>
  <si>
    <r>
      <rPr>
        <b/>
        <sz val="11"/>
        <color theme="1"/>
        <rFont val="Calibri"/>
        <family val="2"/>
        <scheme val="minor"/>
      </rPr>
      <t xml:space="preserve">Municipal Operations Element Activities: </t>
    </r>
    <r>
      <rPr>
        <sz val="11"/>
        <color theme="1"/>
        <rFont val="Calibri"/>
        <family val="2"/>
        <scheme val="minor"/>
      </rPr>
      <t>Roadside Trash Removal (DOT)</t>
    </r>
  </si>
  <si>
    <r>
      <rPr>
        <b/>
        <sz val="11"/>
        <color theme="1"/>
        <rFont val="Calibri"/>
        <family val="2"/>
        <scheme val="minor"/>
      </rPr>
      <t xml:space="preserve">Municipal Operations Element Activities: </t>
    </r>
    <r>
      <rPr>
        <sz val="11"/>
        <color theme="1"/>
        <rFont val="Calibri"/>
        <family val="2"/>
        <scheme val="minor"/>
      </rPr>
      <t>Roadside Ditch Cleaning (DOT)</t>
    </r>
  </si>
  <si>
    <r>
      <rPr>
        <b/>
        <sz val="11"/>
        <color theme="1"/>
        <rFont val="Calibri"/>
        <family val="2"/>
        <scheme val="minor"/>
      </rPr>
      <t xml:space="preserve">Municipal Operations Element Activities: </t>
    </r>
    <r>
      <rPr>
        <sz val="11"/>
        <color theme="1"/>
        <rFont val="Calibri"/>
        <family val="2"/>
        <scheme val="minor"/>
      </rPr>
      <t>Illegally Dumping (in DOT ROW) Response and Cleanup</t>
    </r>
  </si>
  <si>
    <r>
      <rPr>
        <b/>
        <sz val="11"/>
        <color theme="1"/>
        <rFont val="Calibri"/>
        <family val="2"/>
        <scheme val="minor"/>
      </rPr>
      <t xml:space="preserve">Municipal Operations Element Activities: </t>
    </r>
    <r>
      <rPr>
        <sz val="11"/>
        <color theme="1"/>
        <rFont val="Calibri"/>
        <family val="2"/>
        <scheme val="minor"/>
      </rPr>
      <t>Hazardous Materials Response and Cleanup (DOT/DWR)</t>
    </r>
  </si>
  <si>
    <r>
      <rPr>
        <b/>
        <sz val="11"/>
        <color theme="1"/>
        <rFont val="Calibri"/>
        <family val="2"/>
        <scheme val="minor"/>
      </rPr>
      <t xml:space="preserve">Construction Element Activities: </t>
    </r>
    <r>
      <rPr>
        <sz val="11"/>
        <color theme="1"/>
        <rFont val="Calibri"/>
        <family val="2"/>
        <scheme val="minor"/>
      </rPr>
      <t>Construction Management and Inspection Division (CMID)</t>
    </r>
  </si>
  <si>
    <r>
      <rPr>
        <b/>
        <sz val="11"/>
        <color theme="1"/>
        <rFont val="Calibri"/>
        <family val="2"/>
        <scheme val="minor"/>
      </rPr>
      <t xml:space="preserve">Construction Element Activities: </t>
    </r>
    <r>
      <rPr>
        <sz val="11"/>
        <color theme="1"/>
        <rFont val="Calibri"/>
        <family val="2"/>
        <scheme val="minor"/>
      </rPr>
      <t>Drainage Plan Review (DWR)</t>
    </r>
  </si>
  <si>
    <r>
      <rPr>
        <b/>
        <sz val="11"/>
        <color theme="1"/>
        <rFont val="Calibri"/>
        <family val="2"/>
        <scheme val="minor"/>
      </rPr>
      <t xml:space="preserve">Regional Activities: </t>
    </r>
    <r>
      <rPr>
        <sz val="11"/>
        <color theme="1"/>
        <rFont val="Calibri"/>
        <family val="2"/>
        <scheme val="minor"/>
      </rPr>
      <t>Target Pollutant Reduction (Regional)</t>
    </r>
  </si>
  <si>
    <r>
      <rPr>
        <b/>
        <sz val="11"/>
        <color theme="1"/>
        <rFont val="Calibri"/>
        <family val="2"/>
        <scheme val="minor"/>
      </rPr>
      <t xml:space="preserve">Regional Activities: </t>
    </r>
    <r>
      <rPr>
        <sz val="11"/>
        <color theme="1"/>
        <rFont val="Calibri"/>
        <family val="2"/>
        <scheme val="minor"/>
      </rPr>
      <t>Public Outreach (Regional)</t>
    </r>
  </si>
  <si>
    <r>
      <rPr>
        <b/>
        <sz val="11"/>
        <color theme="1"/>
        <rFont val="Calibri"/>
        <family val="2"/>
        <scheme val="minor"/>
      </rPr>
      <t xml:space="preserve">Regional Activities: </t>
    </r>
    <r>
      <rPr>
        <sz val="11"/>
        <color theme="1"/>
        <rFont val="Calibri"/>
        <family val="2"/>
        <scheme val="minor"/>
      </rPr>
      <t>Monitoring (Regional)</t>
    </r>
  </si>
  <si>
    <t>1 Expenditures include labor, benefits, overhead and direct costs.
2 (Public Outreach, New Development) Includes City-specific and Regional activity costs.
3 (Monitoring Program)Includes Special Studies
4 (Other Individual Activities) Staff throughout the City implement the SQIP. Costs for these activities (e.g., conveyance and sump maintenance, street sweeping, first response staff, etc.) are not included in amounts listed</t>
  </si>
  <si>
    <t>Operations &amp; Maintenance</t>
  </si>
  <si>
    <t>Permits</t>
  </si>
  <si>
    <t>Professional Services</t>
  </si>
  <si>
    <t>Co-permittee Activities</t>
  </si>
  <si>
    <t>Collection (CUBS)</t>
  </si>
  <si>
    <r>
      <rPr>
        <b/>
        <sz val="11"/>
        <color theme="1"/>
        <rFont val="Calibri"/>
        <family val="2"/>
        <scheme val="minor"/>
      </rPr>
      <t xml:space="preserve">City of Folsom Activities: </t>
    </r>
    <r>
      <rPr>
        <sz val="11"/>
        <color theme="1"/>
        <rFont val="Calibri"/>
        <family val="2"/>
        <scheme val="minor"/>
      </rPr>
      <t>Stormwater Program Manager</t>
    </r>
  </si>
  <si>
    <r>
      <rPr>
        <b/>
        <sz val="11"/>
        <color theme="1"/>
        <rFont val="Calibri"/>
        <family val="2"/>
        <scheme val="minor"/>
      </rPr>
      <t xml:space="preserve">City of Folsom Activities: </t>
    </r>
    <r>
      <rPr>
        <sz val="11"/>
        <color theme="1"/>
        <rFont val="Calibri"/>
        <family val="2"/>
        <scheme val="minor"/>
      </rPr>
      <t>Stormwater Inspector/Environmental Specialist</t>
    </r>
  </si>
  <si>
    <r>
      <rPr>
        <b/>
        <sz val="11"/>
        <color theme="1"/>
        <rFont val="Calibri"/>
        <family val="2"/>
        <scheme val="minor"/>
      </rPr>
      <t xml:space="preserve">City of Folsom Activities: </t>
    </r>
    <r>
      <rPr>
        <sz val="11"/>
        <color theme="1"/>
        <rFont val="Calibri"/>
        <family val="2"/>
        <scheme val="minor"/>
      </rPr>
      <t>Contract SWPPP Inspector</t>
    </r>
  </si>
  <si>
    <r>
      <rPr>
        <b/>
        <sz val="11"/>
        <color theme="1"/>
        <rFont val="Calibri"/>
        <family val="2"/>
        <scheme val="minor"/>
      </rPr>
      <t xml:space="preserve">City of Folsom Activities: </t>
    </r>
    <r>
      <rPr>
        <sz val="11"/>
        <color theme="1"/>
        <rFont val="Calibri"/>
        <family val="2"/>
        <scheme val="minor"/>
      </rPr>
      <t>Storm Drainage System Maintenance</t>
    </r>
  </si>
  <si>
    <r>
      <rPr>
        <b/>
        <sz val="11"/>
        <color theme="1"/>
        <rFont val="Calibri"/>
        <family val="2"/>
        <scheme val="minor"/>
      </rPr>
      <t xml:space="preserve">City of Folsom Activities: </t>
    </r>
    <r>
      <rPr>
        <sz val="11"/>
        <color theme="1"/>
        <rFont val="Calibri"/>
        <family val="2"/>
        <scheme val="minor"/>
      </rPr>
      <t>Street Cleaning</t>
    </r>
  </si>
  <si>
    <r>
      <rPr>
        <b/>
        <sz val="11"/>
        <color theme="1"/>
        <rFont val="Calibri"/>
        <family val="2"/>
        <scheme val="minor"/>
      </rPr>
      <t xml:space="preserve">City of Folsom Activities: </t>
    </r>
    <r>
      <rPr>
        <sz val="11"/>
        <color theme="1"/>
        <rFont val="Calibri"/>
        <family val="2"/>
        <scheme val="minor"/>
      </rPr>
      <t>Other: training, database, equip/supplies, etc.</t>
    </r>
  </si>
  <si>
    <r>
      <rPr>
        <b/>
        <sz val="11"/>
        <color theme="1"/>
        <rFont val="Calibri"/>
        <family val="2"/>
        <scheme val="minor"/>
      </rPr>
      <t xml:space="preserve">City of Folsom Activities: </t>
    </r>
    <r>
      <rPr>
        <sz val="11"/>
        <color theme="1"/>
        <rFont val="Calibri"/>
        <family val="2"/>
        <scheme val="minor"/>
      </rPr>
      <t>Other Depts/Services</t>
    </r>
  </si>
  <si>
    <r>
      <rPr>
        <b/>
        <sz val="11"/>
        <color theme="1"/>
        <rFont val="Calibri"/>
        <family val="2"/>
        <scheme val="minor"/>
      </rPr>
      <t xml:space="preserve">Regional Program Activities: </t>
    </r>
    <r>
      <rPr>
        <sz val="11"/>
        <color theme="1"/>
        <rFont val="Calibri"/>
        <family val="2"/>
        <scheme val="minor"/>
      </rPr>
      <t>Monitoring/Target Pollutant Reduction</t>
    </r>
  </si>
  <si>
    <r>
      <rPr>
        <b/>
        <sz val="11"/>
        <color theme="1"/>
        <rFont val="Calibri"/>
        <family val="2"/>
        <scheme val="minor"/>
      </rPr>
      <t xml:space="preserve">Regional Program Activities: </t>
    </r>
    <r>
      <rPr>
        <sz val="11"/>
        <color theme="1"/>
        <rFont val="Calibri"/>
        <family val="2"/>
        <scheme val="minor"/>
      </rPr>
      <t>Public Outreach</t>
    </r>
  </si>
  <si>
    <r>
      <rPr>
        <b/>
        <sz val="11"/>
        <color theme="1"/>
        <rFont val="Calibri"/>
        <family val="2"/>
        <scheme val="minor"/>
      </rPr>
      <t xml:space="preserve">Regional Program Activities: </t>
    </r>
    <r>
      <rPr>
        <sz val="11"/>
        <color theme="1"/>
        <rFont val="Calibri"/>
        <family val="2"/>
        <scheme val="minor"/>
      </rPr>
      <t>New Development</t>
    </r>
  </si>
  <si>
    <r>
      <rPr>
        <b/>
        <sz val="11"/>
        <color theme="1"/>
        <rFont val="Calibri"/>
        <family val="2"/>
        <scheme val="minor"/>
      </rPr>
      <t xml:space="preserve">Other Costs: </t>
    </r>
    <r>
      <rPr>
        <sz val="11"/>
        <color theme="1"/>
        <rFont val="Calibri"/>
        <family val="2"/>
        <scheme val="minor"/>
      </rPr>
      <t>SRWCB Annual Permit Fee</t>
    </r>
  </si>
  <si>
    <r>
      <rPr>
        <b/>
        <sz val="11"/>
        <color theme="1"/>
        <rFont val="Calibri"/>
        <family val="2"/>
        <scheme val="minor"/>
      </rPr>
      <t xml:space="preserve">Other Costs: </t>
    </r>
    <r>
      <rPr>
        <sz val="11"/>
        <color theme="1"/>
        <rFont val="Calibri"/>
        <family val="2"/>
        <scheme val="minor"/>
      </rPr>
      <t>Creek Week Sponsor (PW &amp; Parks)</t>
    </r>
  </si>
  <si>
    <r>
      <rPr>
        <b/>
        <sz val="11"/>
        <color theme="1"/>
        <rFont val="Calibri"/>
        <family val="2"/>
        <scheme val="minor"/>
      </rPr>
      <t xml:space="preserve">Other Costs: </t>
    </r>
    <r>
      <rPr>
        <sz val="11"/>
        <color theme="1"/>
        <rFont val="Calibri"/>
        <family val="2"/>
        <scheme val="minor"/>
      </rPr>
      <t>CASQA Membership</t>
    </r>
  </si>
  <si>
    <t>1The figures shown under Column 2 “FY 14/15 Expenditures” are expenditures made by the City of Rancho Cordova. Prior to 14/15, the County of Sacramento used to make expenditures and perform services on the City’s behalf. The City tracked staff time spent on its new Storm Water Quality Program, which is represented by the amounts reported in the first row “Program Management.”
2Expenditures during FY 14/15 on commercial/industrial inspections and enforcement were not separately tracked; these costs are included in the total expenditures for Program Management in 14/15.
3This amount includes maintenance services performed by the City: Storm Drainage System Maintenance (e.g., maintenance of piped and open channel storm drainage system, maintenance and operation of pump  stations, and upgrades to the City’s existing drainage infrastructure). The County used to provide these services to the City.
4Expenditures during FY 14/15 on illicit discharge inspections and enforcement were not separately tracked; these costs are included in the total expenditures for Program Management in 14/15.
5Expenditures during FY 14/15 on new development activities were not tracked separately; these costs are\ included in the total expenditures for Program Management in 14/15.
6Illicit discharge inspection and enforcement and new development activities are not separately budgeted. Staff time for these activities is accounted for in the total budgeted for Program Management.
7Starting in 07/08, the County began reimbursing the City $300K annually to cover drainage and stormwater quality-related work conducted by City staff in Public Works.</t>
  </si>
  <si>
    <r>
      <rPr>
        <b/>
        <sz val="11"/>
        <color theme="1"/>
        <rFont val="Calibri"/>
        <family val="2"/>
        <scheme val="minor"/>
      </rPr>
      <t xml:space="preserve">Individual Activities: </t>
    </r>
    <r>
      <rPr>
        <sz val="11"/>
        <color theme="1"/>
        <rFont val="Calibri"/>
        <family val="2"/>
        <scheme val="minor"/>
      </rPr>
      <t>Public Outreach</t>
    </r>
  </si>
  <si>
    <r>
      <rPr>
        <b/>
        <sz val="11"/>
        <color theme="1"/>
        <rFont val="Calibri"/>
        <family val="2"/>
        <scheme val="minor"/>
      </rPr>
      <t xml:space="preserve">Individual Activities: </t>
    </r>
    <r>
      <rPr>
        <sz val="11"/>
        <color theme="1"/>
        <rFont val="Calibri"/>
        <family val="2"/>
        <scheme val="minor"/>
      </rPr>
      <t>Other Individual Activates - by County</t>
    </r>
  </si>
  <si>
    <r>
      <rPr>
        <b/>
        <sz val="11"/>
        <color theme="1"/>
        <rFont val="Calibri"/>
        <family val="2"/>
        <scheme val="minor"/>
      </rPr>
      <t xml:space="preserve">Individual Activities: </t>
    </r>
    <r>
      <rPr>
        <sz val="11"/>
        <color theme="1"/>
        <rFont val="Calibri"/>
        <family val="2"/>
        <scheme val="minor"/>
      </rPr>
      <t>Other Individual Activates - by City</t>
    </r>
  </si>
  <si>
    <r>
      <rPr>
        <b/>
        <sz val="11"/>
        <color theme="1"/>
        <rFont val="Calibri"/>
        <family val="2"/>
        <scheme val="minor"/>
      </rPr>
      <t xml:space="preserve">Joint Program Activities: </t>
    </r>
    <r>
      <rPr>
        <sz val="11"/>
        <color theme="1"/>
        <rFont val="Calibri"/>
        <family val="2"/>
        <scheme val="minor"/>
      </rPr>
      <t>Target Pollutant Reduction</t>
    </r>
  </si>
  <si>
    <r>
      <rPr>
        <b/>
        <sz val="11"/>
        <color theme="1"/>
        <rFont val="Calibri"/>
        <family val="2"/>
        <scheme val="minor"/>
      </rPr>
      <t xml:space="preserve">Joint Program Activities: </t>
    </r>
    <r>
      <rPr>
        <sz val="11"/>
        <color theme="1"/>
        <rFont val="Calibri"/>
        <family val="2"/>
        <scheme val="minor"/>
      </rPr>
      <t>Monitoring</t>
    </r>
  </si>
  <si>
    <r>
      <rPr>
        <b/>
        <sz val="11"/>
        <color theme="1"/>
        <rFont val="Calibri"/>
        <family val="2"/>
        <scheme val="minor"/>
      </rPr>
      <t xml:space="preserve">Joint Program Activities: </t>
    </r>
    <r>
      <rPr>
        <sz val="11"/>
        <color theme="1"/>
        <rFont val="Calibri"/>
        <family val="2"/>
        <scheme val="minor"/>
      </rPr>
      <t>Public Outreach</t>
    </r>
  </si>
  <si>
    <r>
      <rPr>
        <b/>
        <sz val="11"/>
        <color theme="1"/>
        <rFont val="Calibri"/>
        <family val="2"/>
        <scheme val="minor"/>
      </rPr>
      <t>2</t>
    </r>
    <r>
      <rPr>
        <sz val="11"/>
        <color theme="1"/>
        <rFont val="Calibri"/>
        <family val="2"/>
        <scheme val="minor"/>
      </rPr>
      <t xml:space="preserve"> Included in Program Management</t>
    </r>
  </si>
  <si>
    <r>
      <rPr>
        <b/>
        <sz val="11"/>
        <color theme="1"/>
        <rFont val="Calibri"/>
        <family val="2"/>
        <scheme val="minor"/>
      </rPr>
      <t xml:space="preserve">4 </t>
    </r>
    <r>
      <rPr>
        <sz val="11"/>
        <color theme="1"/>
        <rFont val="Calibri"/>
        <family val="2"/>
        <scheme val="minor"/>
      </rPr>
      <t>Included in Program Management</t>
    </r>
  </si>
  <si>
    <r>
      <rPr>
        <b/>
        <sz val="11"/>
        <color theme="1"/>
        <rFont val="Calibri"/>
        <family val="2"/>
        <scheme val="minor"/>
      </rPr>
      <t xml:space="preserve">5 </t>
    </r>
    <r>
      <rPr>
        <sz val="11"/>
        <color theme="1"/>
        <rFont val="Calibri"/>
        <family val="2"/>
        <scheme val="minor"/>
      </rPr>
      <t>Included in Program Management</t>
    </r>
  </si>
  <si>
    <t>[a]    Annually, the City breaks the overall budget down into individual Program Element expenditures. The City has developed and is implementing a consistent methodology for tracking stormwater program expenditures.
[b]    Facility Pollution Prevention Plans (FPPPs) are paid for out of Public Works budget and are not a Stormwater Expense.
[c]    The Industrial and Commercial Inspection Program is conducted in-house by Stormwater and Environmental Control Staff. During the 2017-2018 reporting year, the City reorganized staffing positions to better align with permit objectives. During this process, the staff positions for inspector and project manager were vacant; therefore, there was no salary expenditure.
[d]    During the 2017-2018 reporting year, the City reorganized staffing positions to better align with permit objectives. During this process, the staff position for construction site inspector was vacant; therefore, there was no salary expenditure.</t>
  </si>
  <si>
    <t>[a]    Actual expenditures for fiscal year 2017-2018 do not reflect the County’s shared costs of co-permitee expenditures with the City of Stockton, therefore County expenditures in several program elements are understated.
[b]    Estimated budget for fiscal year 2018-2019 includes assumption of the payment of co-permittee costs to the City for current and past years.
[c]    Expenditures for use of a second, new VacCon Truck for storm drain cleaning, a Stormwater expense, have been included in 2017-2018 reporting and are paid from the Road Maintenance budget.
[d]   Responsibility for reviewing and implementing Storm Water Pollution Prevention Plan (SWPPP) Inspections for the San Joaquin County Road Projects were transferred to the Field Engineering division, which is responsible for construction activities for the department. Expenditures for reviewing and implementing SWPPPs were absorbed in the Field Engineering
Division budget and were not available to report along with Stormwater expenses.</t>
  </si>
  <si>
    <t>Program Management1</t>
  </si>
  <si>
    <t>Municipal Facilities and Activities2</t>
  </si>
  <si>
    <t>Public Education &amp; Outreach3</t>
  </si>
  <si>
    <t>Monitoring Program3</t>
  </si>
  <si>
    <t>Illicit Connections &amp; Illegal Discharges Program2</t>
  </si>
  <si>
    <t>(2)  These items are included in the cost billed to the project developer and are not tracked separately.</t>
  </si>
  <si>
    <t>(3)  The City collects fees from business registration applicants for businesses that require commercial/industrial inspections. During the reporting period, Industrial and Commercial Inspections were set-up to be billed to each business owner. These costs are now separately tracked and will be separately tracked in the next reporting period. The City does expend funds to review and determine which businesses require inspections at the time of business registration submittal.</t>
  </si>
  <si>
    <t>(4)  IC/ID program activities are not tracked separately.</t>
  </si>
  <si>
    <t>(5)  While the City does have expenditures related to Municipal Facility maintenance, the City does not have a separate line item for the maintenance costs specifically related to stormwater pollution prevention. The City has three parks, a cemetery and Fire Station 61. Depending on the nature of the work being performed, these costs may be tracked to various different fund accounts (park maintenance, stormwater management, etc...).</t>
  </si>
  <si>
    <t>(1)  These items are included in the "Implementation Agreement Shared Cost" between the City and the other Co-Permittees.</t>
  </si>
  <si>
    <t>(1)  These items are included in the "Implementation Agreement Shared Cost" between the City and the other Co-Permittees.
(a)  Public Education Note: City staff provide CASQA BMP Sheets, NPDES Brochures, City's minimum BMPs, or copies of the City's stormwater ordinance as applicable to certain business registration applicants.</t>
  </si>
  <si>
    <t>(6)  The City incurs code enforcement costs and legal fees for some stormwater compliance violations. Costs for code enforcement were incurred during the previous reporting periods, in varying amounts. The specific costs are not separately tracked.</t>
  </si>
  <si>
    <t>[2]</t>
  </si>
  <si>
    <t>[3]</t>
  </si>
  <si>
    <t>[4]</t>
  </si>
  <si>
    <t>[5]</t>
  </si>
  <si>
    <t>[1] and [1a]</t>
  </si>
  <si>
    <t>[1]</t>
  </si>
  <si>
    <r>
      <rPr>
        <b/>
        <sz val="11"/>
        <color theme="1"/>
        <rFont val="Calibri"/>
        <family val="2"/>
        <scheme val="minor"/>
      </rPr>
      <t xml:space="preserve">Jurisdictional Component: </t>
    </r>
    <r>
      <rPr>
        <sz val="11"/>
        <color theme="1"/>
        <rFont val="Calibri"/>
        <family val="2"/>
        <scheme val="minor"/>
      </rPr>
      <t>Administration</t>
    </r>
  </si>
  <si>
    <r>
      <rPr>
        <b/>
        <sz val="11"/>
        <color theme="1"/>
        <rFont val="Calibri"/>
        <family val="2"/>
        <scheme val="minor"/>
      </rPr>
      <t xml:space="preserve">Jurisdictional Component: </t>
    </r>
    <r>
      <rPr>
        <sz val="11"/>
        <color theme="1"/>
        <rFont val="Calibri"/>
        <family val="2"/>
        <scheme val="minor"/>
      </rPr>
      <t>Development Planning (including public and private projects)</t>
    </r>
  </si>
  <si>
    <r>
      <rPr>
        <b/>
        <sz val="11"/>
        <color theme="1"/>
        <rFont val="Calibri"/>
        <family val="2"/>
        <scheme val="minor"/>
      </rPr>
      <t xml:space="preserve">Jurisdictional Component: </t>
    </r>
    <r>
      <rPr>
        <sz val="11"/>
        <color theme="1"/>
        <rFont val="Calibri"/>
        <family val="2"/>
        <scheme val="minor"/>
      </rPr>
      <t>Construction (including public and private projects)</t>
    </r>
  </si>
  <si>
    <r>
      <rPr>
        <b/>
        <sz val="11"/>
        <color theme="1"/>
        <rFont val="Calibri"/>
        <family val="2"/>
        <scheme val="minor"/>
      </rPr>
      <t xml:space="preserve">Jurisdictional Component: </t>
    </r>
    <r>
      <rPr>
        <sz val="11"/>
        <color theme="1"/>
        <rFont val="Calibri"/>
        <family val="2"/>
        <scheme val="minor"/>
      </rPr>
      <t>Municipal (including Non-Emergency Fire Fighting expenditures)</t>
    </r>
  </si>
  <si>
    <r>
      <rPr>
        <b/>
        <sz val="11"/>
        <color theme="1"/>
        <rFont val="Calibri"/>
        <family val="2"/>
        <scheme val="minor"/>
      </rPr>
      <t xml:space="preserve">Jurisdictional Component: </t>
    </r>
    <r>
      <rPr>
        <sz val="11"/>
        <color theme="1"/>
        <rFont val="Calibri"/>
        <family val="2"/>
        <scheme val="minor"/>
      </rPr>
      <t>Storm Water Division Capital Improvements Program (CIP)</t>
    </r>
  </si>
  <si>
    <r>
      <rPr>
        <b/>
        <sz val="11"/>
        <color theme="1"/>
        <rFont val="Calibri"/>
        <family val="2"/>
        <scheme val="minor"/>
      </rPr>
      <t xml:space="preserve">Jurisdictional Component: </t>
    </r>
    <r>
      <rPr>
        <sz val="11"/>
        <color theme="1"/>
        <rFont val="Calibri"/>
        <family val="2"/>
        <scheme val="minor"/>
      </rPr>
      <t>Industrial and Commercial</t>
    </r>
  </si>
  <si>
    <r>
      <rPr>
        <b/>
        <sz val="11"/>
        <color theme="1"/>
        <rFont val="Calibri"/>
        <family val="2"/>
        <scheme val="minor"/>
      </rPr>
      <t xml:space="preserve">Jurisdictional Component: </t>
    </r>
    <r>
      <rPr>
        <sz val="11"/>
        <color theme="1"/>
        <rFont val="Calibri"/>
        <family val="2"/>
        <scheme val="minor"/>
      </rPr>
      <t>Residential, Education, and Public Participation</t>
    </r>
  </si>
  <si>
    <r>
      <rPr>
        <b/>
        <sz val="11"/>
        <color theme="1"/>
        <rFont val="Calibri"/>
        <family val="2"/>
        <scheme val="minor"/>
      </rPr>
      <t xml:space="preserve">Jurisdictional Component: </t>
    </r>
    <r>
      <rPr>
        <sz val="11"/>
        <color theme="1"/>
        <rFont val="Calibri"/>
        <family val="2"/>
        <scheme val="minor"/>
      </rPr>
      <t>Illicit Discharge Detection and Elimination (IDDE)</t>
    </r>
  </si>
  <si>
    <r>
      <rPr>
        <b/>
        <sz val="11"/>
        <color theme="1"/>
        <rFont val="Calibri"/>
        <family val="2"/>
        <scheme val="minor"/>
      </rPr>
      <t xml:space="preserve">Watershed Components: </t>
    </r>
    <r>
      <rPr>
        <sz val="11"/>
        <color theme="1"/>
        <rFont val="Calibri"/>
        <family val="2"/>
        <scheme val="minor"/>
      </rPr>
      <t>San Dieguito Watershed</t>
    </r>
  </si>
  <si>
    <r>
      <rPr>
        <b/>
        <sz val="11"/>
        <color theme="1"/>
        <rFont val="Calibri"/>
        <family val="2"/>
        <scheme val="minor"/>
      </rPr>
      <t xml:space="preserve">Watershed Components: </t>
    </r>
    <r>
      <rPr>
        <sz val="11"/>
        <color theme="1"/>
        <rFont val="Calibri"/>
        <family val="2"/>
        <scheme val="minor"/>
      </rPr>
      <t>Los Peñasquitos Watershed</t>
    </r>
  </si>
  <si>
    <r>
      <rPr>
        <b/>
        <sz val="11"/>
        <color theme="1"/>
        <rFont val="Calibri"/>
        <family val="2"/>
        <scheme val="minor"/>
      </rPr>
      <t xml:space="preserve">Watershed Components: </t>
    </r>
    <r>
      <rPr>
        <sz val="11"/>
        <color theme="1"/>
        <rFont val="Calibri"/>
        <family val="2"/>
        <scheme val="minor"/>
      </rPr>
      <t>Mission Bay Watershed</t>
    </r>
  </si>
  <si>
    <r>
      <rPr>
        <b/>
        <sz val="11"/>
        <color theme="1"/>
        <rFont val="Calibri"/>
        <family val="2"/>
        <scheme val="minor"/>
      </rPr>
      <t xml:space="preserve">Watershed Components: </t>
    </r>
    <r>
      <rPr>
        <sz val="11"/>
        <color theme="1"/>
        <rFont val="Calibri"/>
        <family val="2"/>
        <scheme val="minor"/>
      </rPr>
      <t>San Diego River Watershed</t>
    </r>
  </si>
  <si>
    <r>
      <rPr>
        <b/>
        <sz val="11"/>
        <color theme="1"/>
        <rFont val="Calibri"/>
        <family val="2"/>
        <scheme val="minor"/>
      </rPr>
      <t xml:space="preserve">Watershed Components: </t>
    </r>
    <r>
      <rPr>
        <sz val="11"/>
        <color theme="1"/>
        <rFont val="Calibri"/>
        <family val="2"/>
        <scheme val="minor"/>
      </rPr>
      <t>San Diego Bay Watershed</t>
    </r>
  </si>
  <si>
    <r>
      <rPr>
        <b/>
        <sz val="11"/>
        <color theme="1"/>
        <rFont val="Calibri"/>
        <family val="2"/>
        <scheme val="minor"/>
      </rPr>
      <t xml:space="preserve">Watershed Components: </t>
    </r>
    <r>
      <rPr>
        <sz val="11"/>
        <color theme="1"/>
        <rFont val="Calibri"/>
        <family val="2"/>
        <scheme val="minor"/>
      </rPr>
      <t>Tijuana River Watershed</t>
    </r>
  </si>
  <si>
    <r>
      <rPr>
        <b/>
        <sz val="11"/>
        <color theme="1"/>
        <rFont val="Calibri"/>
        <family val="2"/>
        <scheme val="minor"/>
      </rPr>
      <t xml:space="preserve">Regional Component: </t>
    </r>
    <r>
      <rPr>
        <sz val="11"/>
        <color theme="1"/>
        <rFont val="Calibri"/>
        <family val="2"/>
        <scheme val="minor"/>
      </rPr>
      <t>Total Copermittee Cost Share for the City of San Diego</t>
    </r>
  </si>
  <si>
    <r>
      <rPr>
        <b/>
        <sz val="11"/>
        <color theme="1"/>
        <rFont val="Calibri"/>
        <family val="2"/>
        <scheme val="minor"/>
      </rPr>
      <t xml:space="preserve">Regional Component: </t>
    </r>
    <r>
      <rPr>
        <sz val="11"/>
        <color theme="1"/>
        <rFont val="Calibri"/>
        <family val="2"/>
        <scheme val="minor"/>
      </rPr>
      <t>Additional Regional Costs for education efforts, monitoring, document reviews, regional meeting attendance, and special projects</t>
    </r>
  </si>
  <si>
    <t>Jurisdictional Expenditures: 1. Administration</t>
  </si>
  <si>
    <t>Jurisdictional Expenditures: 2. Development Planning</t>
  </si>
  <si>
    <t>Jurisdictional Expenditures: 3. Construction</t>
  </si>
  <si>
    <t>Jurisdictional Expenditures: 4. Municipal</t>
  </si>
  <si>
    <t>Jurisdictional Expenditures: 7. IDDE</t>
  </si>
  <si>
    <t>Jurisdictional Expenditures: 8. Education</t>
  </si>
  <si>
    <t>Jurisdictional Expenditures: 9. Public Participation</t>
  </si>
  <si>
    <t>Jurisdictional Expenditures: 10. Special Investigations</t>
  </si>
  <si>
    <t>Jurisdictional Expenditures: 11. Non-emergency Firefighting</t>
  </si>
  <si>
    <r>
      <t xml:space="preserve">Watershed Expenditures: </t>
    </r>
    <r>
      <rPr>
        <sz val="11"/>
        <color theme="1"/>
        <rFont val="Calibri"/>
        <family val="2"/>
        <scheme val="minor"/>
      </rPr>
      <t>Administration</t>
    </r>
  </si>
  <si>
    <r>
      <t xml:space="preserve">Watershed Expenditures: </t>
    </r>
    <r>
      <rPr>
        <sz val="11"/>
        <color theme="1"/>
        <rFont val="Calibri"/>
        <family val="2"/>
        <scheme val="minor"/>
      </rPr>
      <t>Cost Share Contribution</t>
    </r>
  </si>
  <si>
    <r>
      <t xml:space="preserve">Watershed Expenditures: </t>
    </r>
    <r>
      <rPr>
        <sz val="11"/>
        <color theme="1"/>
        <rFont val="Calibri"/>
        <family val="2"/>
        <scheme val="minor"/>
      </rPr>
      <t>Watershed Activities</t>
    </r>
  </si>
  <si>
    <r>
      <rPr>
        <b/>
        <sz val="11"/>
        <color theme="1"/>
        <rFont val="Calibri"/>
        <family val="2"/>
        <scheme val="minor"/>
      </rPr>
      <t>Watershed Expenditures:</t>
    </r>
    <r>
      <rPr>
        <sz val="11"/>
        <color theme="1"/>
        <rFont val="Calibri"/>
        <family val="2"/>
        <scheme val="minor"/>
      </rPr>
      <t xml:space="preserve"> Other</t>
    </r>
  </si>
  <si>
    <r>
      <rPr>
        <b/>
        <sz val="11"/>
        <color theme="1"/>
        <rFont val="Calibri"/>
        <family val="2"/>
        <scheme val="minor"/>
      </rPr>
      <t xml:space="preserve">Regional Expenditures: </t>
    </r>
    <r>
      <rPr>
        <sz val="11"/>
        <color theme="1"/>
        <rFont val="Calibri"/>
        <family val="2"/>
        <scheme val="minor"/>
      </rPr>
      <t>Administration</t>
    </r>
  </si>
  <si>
    <r>
      <t xml:space="preserve">Regional Expenditures: </t>
    </r>
    <r>
      <rPr>
        <sz val="11"/>
        <color theme="1"/>
        <rFont val="Calibri"/>
        <family val="2"/>
        <scheme val="minor"/>
      </rPr>
      <t>Cost Share Contribution</t>
    </r>
  </si>
  <si>
    <r>
      <t xml:space="preserve">Regional Expenditures: </t>
    </r>
    <r>
      <rPr>
        <sz val="11"/>
        <color theme="1"/>
        <rFont val="Calibri"/>
        <family val="2"/>
        <scheme val="minor"/>
      </rPr>
      <t>Regional Activities</t>
    </r>
  </si>
  <si>
    <r>
      <t xml:space="preserve">Regional Expenditures: </t>
    </r>
    <r>
      <rPr>
        <sz val="11"/>
        <color theme="1"/>
        <rFont val="Calibri"/>
        <family val="2"/>
        <scheme val="minor"/>
      </rPr>
      <t>Other</t>
    </r>
  </si>
  <si>
    <t>Sum of 22/2B/2C (not including 2c1/c2)</t>
  </si>
  <si>
    <t>Sum of 3A/3B</t>
  </si>
  <si>
    <t>Sum of all 4's</t>
  </si>
  <si>
    <t>Jurisdictional Expenditures: 2C1. Public Projects (CIP)</t>
  </si>
  <si>
    <t>Sum of C1</t>
  </si>
  <si>
    <t>Jurisdictional Expenditures: 3A. Public Projects (CIP)</t>
  </si>
  <si>
    <t>Jurisdictional Expenditures: 2C2. Private Projects</t>
  </si>
  <si>
    <r>
      <t xml:space="preserve">Jurisdictional Expenditures: 2C1. Public Projects (CIP): </t>
    </r>
    <r>
      <rPr>
        <sz val="11"/>
        <color theme="1"/>
        <rFont val="Calibri"/>
        <family val="2"/>
        <scheme val="minor"/>
      </rPr>
      <t>Administration</t>
    </r>
  </si>
  <si>
    <r>
      <t xml:space="preserve">Jurisdictional Expenditures: 2C1. Public Projects (CIP): </t>
    </r>
    <r>
      <rPr>
        <sz val="11"/>
        <color theme="1"/>
        <rFont val="Calibri"/>
        <family val="2"/>
        <scheme val="minor"/>
      </rPr>
      <t>Project Planning and Engineering</t>
    </r>
  </si>
  <si>
    <r>
      <rPr>
        <b/>
        <sz val="11"/>
        <color theme="1"/>
        <rFont val="Calibri"/>
        <family val="2"/>
        <scheme val="minor"/>
      </rPr>
      <t xml:space="preserve">Jurisdictional Expenditures: 2C1. Public Projects (CIP): </t>
    </r>
    <r>
      <rPr>
        <sz val="11"/>
        <color theme="1"/>
        <rFont val="Calibri"/>
        <family val="2"/>
        <scheme val="minor"/>
      </rPr>
      <t>Compliance Inspection and Enforcement</t>
    </r>
  </si>
  <si>
    <r>
      <t xml:space="preserve">Jurisdictional Expenditures: 2C1. Public Projects (CIP): </t>
    </r>
    <r>
      <rPr>
        <sz val="11"/>
        <color theme="1"/>
        <rFont val="Calibri"/>
        <family val="2"/>
        <scheme val="minor"/>
      </rPr>
      <t>BMP Implementation</t>
    </r>
  </si>
  <si>
    <r>
      <t xml:space="preserve">Jurisdictional Expenditures: 2C2. Private Projects: </t>
    </r>
    <r>
      <rPr>
        <sz val="11"/>
        <color theme="1"/>
        <rFont val="Calibri"/>
        <family val="2"/>
        <scheme val="minor"/>
      </rPr>
      <t>Permitting and Licensing</t>
    </r>
  </si>
  <si>
    <r>
      <t xml:space="preserve">Jurisdictional Expenditures: 2A. Development Planning: </t>
    </r>
    <r>
      <rPr>
        <sz val="11"/>
        <color theme="1"/>
        <rFont val="Calibri"/>
        <family val="2"/>
        <scheme val="minor"/>
      </rPr>
      <t>Land Use Planning</t>
    </r>
  </si>
  <si>
    <r>
      <t xml:space="preserve">Jurisdictional Expenditures: 2B. Development Planning: </t>
    </r>
    <r>
      <rPr>
        <sz val="11"/>
        <color theme="1"/>
        <rFont val="Calibri"/>
        <family val="2"/>
        <scheme val="minor"/>
      </rPr>
      <t>Environmental Review</t>
    </r>
  </si>
  <si>
    <r>
      <t xml:space="preserve">Jurisdictional Expenditures: 2C. Development Planning: </t>
    </r>
    <r>
      <rPr>
        <sz val="11"/>
        <color theme="1"/>
        <rFont val="Calibri"/>
        <family val="2"/>
        <scheme val="minor"/>
      </rPr>
      <t>Development Project Approval and Verification</t>
    </r>
  </si>
  <si>
    <r>
      <t xml:space="preserve">Jurisdictional Expenditures: 3A. Public Projects (CIP): </t>
    </r>
    <r>
      <rPr>
        <sz val="11"/>
        <color theme="1"/>
        <rFont val="Calibri"/>
        <family val="2"/>
        <scheme val="minor"/>
      </rPr>
      <t>Compliance Inspection and Enforcement</t>
    </r>
  </si>
  <si>
    <r>
      <t xml:space="preserve">Jurisdictional Expenditures: 3A. Public Projects (CIP): </t>
    </r>
    <r>
      <rPr>
        <sz val="11"/>
        <color theme="1"/>
        <rFont val="Calibri"/>
        <family val="2"/>
        <scheme val="minor"/>
      </rPr>
      <t>BMP Implementation</t>
    </r>
  </si>
  <si>
    <r>
      <t xml:space="preserve">Jurisdictional Expenditures: 3B. Private Projects: </t>
    </r>
    <r>
      <rPr>
        <sz val="11"/>
        <color theme="1"/>
        <rFont val="Calibri"/>
        <family val="2"/>
        <scheme val="minor"/>
      </rPr>
      <t>Compliance Inspection and Enforcement</t>
    </r>
  </si>
  <si>
    <t>Jurisdictional Expenditures: 4A. Municipal: Administration</t>
  </si>
  <si>
    <r>
      <t xml:space="preserve">Jurisdictional Expenditures: 4B. Municipal: Streets, Roads, and Highways Element: </t>
    </r>
    <r>
      <rPr>
        <sz val="11"/>
        <color theme="1"/>
        <rFont val="Calibri"/>
        <family val="2"/>
        <scheme val="minor"/>
      </rPr>
      <t>Administration</t>
    </r>
  </si>
  <si>
    <r>
      <t xml:space="preserve">Jurisdictional Expenditures: 4B. Municipal: Streets, Roads, and Highways Element: </t>
    </r>
    <r>
      <rPr>
        <sz val="11"/>
        <color theme="1"/>
        <rFont val="Calibri"/>
        <family val="2"/>
        <scheme val="minor"/>
      </rPr>
      <t>Maintenance Inspections</t>
    </r>
  </si>
  <si>
    <r>
      <t xml:space="preserve">Jurisdictional Expenditures: 4B. Municipal: Streets, Roads, and Highways Element: </t>
    </r>
    <r>
      <rPr>
        <sz val="11"/>
        <color theme="1"/>
        <rFont val="Calibri"/>
        <family val="2"/>
        <scheme val="minor"/>
      </rPr>
      <t>BMP Implementation</t>
    </r>
  </si>
  <si>
    <r>
      <t xml:space="preserve">Jurisdictional Expenditures: 4B. Municipal: Streets, Roads, and Highways Element: </t>
    </r>
    <r>
      <rPr>
        <sz val="11"/>
        <color theme="1"/>
        <rFont val="Calibri"/>
        <family val="2"/>
        <scheme val="minor"/>
      </rPr>
      <t>Other</t>
    </r>
  </si>
  <si>
    <r>
      <t>Jurisdictional Expenditures: 4C. Municipal: MS4 Element:</t>
    </r>
    <r>
      <rPr>
        <sz val="11"/>
        <color theme="1"/>
        <rFont val="Calibri"/>
        <family val="2"/>
        <scheme val="minor"/>
      </rPr>
      <t xml:space="preserve"> Administration</t>
    </r>
  </si>
  <si>
    <r>
      <t xml:space="preserve">Jurisdictional Expenditures: 4C. Municipal: MS4 Element: </t>
    </r>
    <r>
      <rPr>
        <sz val="11"/>
        <color theme="1"/>
        <rFont val="Calibri"/>
        <family val="2"/>
        <scheme val="minor"/>
      </rPr>
      <t>Maintenance Inspections</t>
    </r>
  </si>
  <si>
    <r>
      <t xml:space="preserve">Jurisdictional Expenditures: 4C. Municipal: MS4 Element: </t>
    </r>
    <r>
      <rPr>
        <sz val="11"/>
        <color theme="1"/>
        <rFont val="Calibri"/>
        <family val="2"/>
        <scheme val="minor"/>
      </rPr>
      <t>BMP Implementation</t>
    </r>
  </si>
  <si>
    <r>
      <t xml:space="preserve">Jurisdictional Expenditures: 4C. Municipal: MS4 Element: </t>
    </r>
    <r>
      <rPr>
        <sz val="11"/>
        <color theme="1"/>
        <rFont val="Calibri"/>
        <family val="2"/>
        <scheme val="minor"/>
      </rPr>
      <t>Other</t>
    </r>
  </si>
  <si>
    <r>
      <t xml:space="preserve">Jurisdictional Expenditures: 4D. Municipal: Solid Waste Facilities Element: </t>
    </r>
    <r>
      <rPr>
        <sz val="11"/>
        <color theme="1"/>
        <rFont val="Calibri"/>
        <family val="2"/>
        <scheme val="minor"/>
      </rPr>
      <t>Administration</t>
    </r>
  </si>
  <si>
    <r>
      <t xml:space="preserve">Jurisdictional Expenditures: 4D. Municipal: Solid Waste Facilities Element: </t>
    </r>
    <r>
      <rPr>
        <sz val="11"/>
        <color theme="1"/>
        <rFont val="Calibri"/>
        <family val="2"/>
        <scheme val="minor"/>
      </rPr>
      <t>Maintenance Inspections</t>
    </r>
  </si>
  <si>
    <r>
      <t xml:space="preserve">Jurisdictional Expenditures: 4D. Municipal: Solid Waste Facilities Element: </t>
    </r>
    <r>
      <rPr>
        <sz val="11"/>
        <color theme="1"/>
        <rFont val="Calibri"/>
        <family val="2"/>
        <scheme val="minor"/>
      </rPr>
      <t>BMP Implementation</t>
    </r>
  </si>
  <si>
    <r>
      <t xml:space="preserve">Jurisdictional Expenditures: 4D. Municipal: Solid Waste Facilities Element: </t>
    </r>
    <r>
      <rPr>
        <sz val="11"/>
        <color theme="1"/>
        <rFont val="Calibri"/>
        <family val="2"/>
        <scheme val="minor"/>
      </rPr>
      <t>Other (construction)</t>
    </r>
  </si>
  <si>
    <r>
      <t xml:space="preserve">Jurisdictional Expenditures: 4E. Municipal: Wastewater Facilities Element: </t>
    </r>
    <r>
      <rPr>
        <sz val="11"/>
        <color theme="1"/>
        <rFont val="Calibri"/>
        <family val="2"/>
        <scheme val="minor"/>
      </rPr>
      <t>Administration</t>
    </r>
  </si>
  <si>
    <r>
      <t xml:space="preserve">Jurisdictional Expenditures: 4E. Municipal: Wastewater Facilities Element: </t>
    </r>
    <r>
      <rPr>
        <sz val="11"/>
        <color theme="1"/>
        <rFont val="Calibri"/>
        <family val="2"/>
        <scheme val="minor"/>
      </rPr>
      <t>Maintenance Inspections</t>
    </r>
  </si>
  <si>
    <r>
      <t xml:space="preserve">Jurisdictional Expenditures: 4E. Municipal: Wastewater Facilities Element: </t>
    </r>
    <r>
      <rPr>
        <sz val="11"/>
        <color theme="1"/>
        <rFont val="Calibri"/>
        <family val="2"/>
        <scheme val="minor"/>
      </rPr>
      <t>BMP Implementation</t>
    </r>
  </si>
  <si>
    <r>
      <t xml:space="preserve">Jurisdictional Expenditures: 4E. Municipal: Wastewater Facilities Element: </t>
    </r>
    <r>
      <rPr>
        <sz val="11"/>
        <color theme="1"/>
        <rFont val="Calibri"/>
        <family val="2"/>
        <scheme val="minor"/>
      </rPr>
      <t>Other</t>
    </r>
  </si>
  <si>
    <r>
      <t xml:space="preserve">Jurisdictional Expenditures: 4F. Municipal: Road Stations Element: </t>
    </r>
    <r>
      <rPr>
        <sz val="11"/>
        <color theme="1"/>
        <rFont val="Calibri"/>
        <family val="2"/>
        <scheme val="minor"/>
      </rPr>
      <t>Administration</t>
    </r>
  </si>
  <si>
    <r>
      <t xml:space="preserve">Jurisdictional Expenditures: 4F. Municipal: Road Stations Element: </t>
    </r>
    <r>
      <rPr>
        <sz val="11"/>
        <color theme="1"/>
        <rFont val="Calibri"/>
        <family val="2"/>
        <scheme val="minor"/>
      </rPr>
      <t>Maintenance Inspections</t>
    </r>
  </si>
  <si>
    <r>
      <t xml:space="preserve">Jurisdictional Expenditures: 4F. Municipal: Road Stations Element: </t>
    </r>
    <r>
      <rPr>
        <sz val="11"/>
        <color theme="1"/>
        <rFont val="Calibri"/>
        <family val="2"/>
        <scheme val="minor"/>
      </rPr>
      <t>BMP Implementation</t>
    </r>
  </si>
  <si>
    <r>
      <t xml:space="preserve">Jurisdictional Expenditures: 4F. Municipal: Road Stations Element: </t>
    </r>
    <r>
      <rPr>
        <sz val="11"/>
        <color theme="1"/>
        <rFont val="Calibri"/>
        <family val="2"/>
        <scheme val="minor"/>
      </rPr>
      <t>Other</t>
    </r>
  </si>
  <si>
    <r>
      <t xml:space="preserve">Jurisdictional Expenditures: 4G. Municipal: Fleet Maintenance: </t>
    </r>
    <r>
      <rPr>
        <sz val="11"/>
        <color theme="1"/>
        <rFont val="Calibri"/>
        <family val="2"/>
        <scheme val="minor"/>
      </rPr>
      <t>Administration</t>
    </r>
  </si>
  <si>
    <r>
      <t xml:space="preserve">Jurisdictional Expenditures: 4G. Municipal: Fleet Maintenance: </t>
    </r>
    <r>
      <rPr>
        <sz val="11"/>
        <color theme="1"/>
        <rFont val="Calibri"/>
        <family val="2"/>
        <scheme val="minor"/>
      </rPr>
      <t>Maintenance Inspections</t>
    </r>
  </si>
  <si>
    <r>
      <t xml:space="preserve">Jurisdictional Expenditures: 4G. Municipal: Fleet Maintenance: </t>
    </r>
    <r>
      <rPr>
        <sz val="11"/>
        <color theme="1"/>
        <rFont val="Calibri"/>
        <family val="2"/>
        <scheme val="minor"/>
      </rPr>
      <t>BMP Implementation</t>
    </r>
  </si>
  <si>
    <r>
      <t xml:space="preserve">Jurisdictional Expenditures: 4G. Municipal: Fleet Maintenance: </t>
    </r>
    <r>
      <rPr>
        <sz val="11"/>
        <color theme="1"/>
        <rFont val="Calibri"/>
        <family val="2"/>
        <scheme val="minor"/>
      </rPr>
      <t>Other</t>
    </r>
  </si>
  <si>
    <r>
      <t xml:space="preserve">Jurisdictional Expenditures: 4H. Municipal: Municipal Airfields Element: </t>
    </r>
    <r>
      <rPr>
        <sz val="11"/>
        <color theme="1"/>
        <rFont val="Calibri"/>
        <family val="2"/>
        <scheme val="minor"/>
      </rPr>
      <t>Administration</t>
    </r>
  </si>
  <si>
    <r>
      <t xml:space="preserve">Jurisdictional Expenditures: 4H. Municipal: Municipal Airfields Element: </t>
    </r>
    <r>
      <rPr>
        <sz val="11"/>
        <color theme="1"/>
        <rFont val="Calibri"/>
        <family val="2"/>
        <scheme val="minor"/>
      </rPr>
      <t>Maintenance Inspections</t>
    </r>
  </si>
  <si>
    <r>
      <t xml:space="preserve">Jurisdictional Expenditures: 4H. Municipal: Municipal Airfields Element: </t>
    </r>
    <r>
      <rPr>
        <sz val="11"/>
        <color theme="1"/>
        <rFont val="Calibri"/>
        <family val="2"/>
        <scheme val="minor"/>
      </rPr>
      <t>Compliance Inspection and Enforcement</t>
    </r>
  </si>
  <si>
    <r>
      <t xml:space="preserve">Jurisdictional Expenditures: 4H. Municipal: Municipal Airfields Element: </t>
    </r>
    <r>
      <rPr>
        <sz val="11"/>
        <color theme="1"/>
        <rFont val="Calibri"/>
        <family val="2"/>
        <scheme val="minor"/>
      </rPr>
      <t>BMP Implementation</t>
    </r>
  </si>
  <si>
    <r>
      <t xml:space="preserve">Jurisdictional Expenditures: 4H. Municipal: Municipal Airfields Element: </t>
    </r>
    <r>
      <rPr>
        <sz val="11"/>
        <color theme="1"/>
        <rFont val="Calibri"/>
        <family val="2"/>
        <scheme val="minor"/>
      </rPr>
      <t>Other (sampling and analysis)</t>
    </r>
  </si>
  <si>
    <r>
      <t xml:space="preserve">Jurisdictional Expenditures: 4I. Municipal: Parks &amp; Recreational Facilities Element: </t>
    </r>
    <r>
      <rPr>
        <sz val="11"/>
        <color theme="1"/>
        <rFont val="Calibri"/>
        <family val="2"/>
        <scheme val="minor"/>
      </rPr>
      <t>Administration</t>
    </r>
  </si>
  <si>
    <r>
      <t xml:space="preserve">Jurisdictional Expenditures: 4I. Municipal: Parks &amp; Recreational Facilities Element: </t>
    </r>
    <r>
      <rPr>
        <sz val="11"/>
        <color theme="1"/>
        <rFont val="Calibri"/>
        <family val="2"/>
        <scheme val="minor"/>
      </rPr>
      <t>BMP Implementation</t>
    </r>
  </si>
  <si>
    <r>
      <t xml:space="preserve">Jurisdictional Expenditures: 4I. Municipal: Parks &amp; Recreational Facilities Element: </t>
    </r>
    <r>
      <rPr>
        <sz val="11"/>
        <color theme="1"/>
        <rFont val="Calibri"/>
        <family val="2"/>
        <scheme val="minor"/>
      </rPr>
      <t>Compliance Inspection and Enforcement</t>
    </r>
  </si>
  <si>
    <r>
      <t xml:space="preserve">Jurisdictional Expenditures: 4I. Municipal: Parks &amp; Recreational Facilities Element: </t>
    </r>
    <r>
      <rPr>
        <sz val="11"/>
        <color theme="1"/>
        <rFont val="Calibri"/>
        <family val="2"/>
        <scheme val="minor"/>
      </rPr>
      <t>Other</t>
    </r>
  </si>
  <si>
    <r>
      <t xml:space="preserve">Jurisdictional Expenditures: 4J. Municipal: Office Buildings &amp; Other Municipal Facilities Element: </t>
    </r>
    <r>
      <rPr>
        <sz val="11"/>
        <color theme="1"/>
        <rFont val="Calibri"/>
        <family val="2"/>
        <scheme val="minor"/>
      </rPr>
      <t>Administration</t>
    </r>
  </si>
  <si>
    <r>
      <t xml:space="preserve">Jurisdictional Expenditures: 4J. Municipal: Office Buildings &amp; Other Municipal Facilities Element: </t>
    </r>
    <r>
      <rPr>
        <sz val="11"/>
        <color theme="1"/>
        <rFont val="Calibri"/>
        <family val="2"/>
        <scheme val="minor"/>
      </rPr>
      <t>Maintenance Inspections</t>
    </r>
  </si>
  <si>
    <r>
      <t xml:space="preserve">Jurisdictional Expenditures: 4J. Municipal: Office Buildings &amp; Other Municipal Facilities Element: </t>
    </r>
    <r>
      <rPr>
        <sz val="11"/>
        <color theme="1"/>
        <rFont val="Calibri"/>
        <family val="2"/>
        <scheme val="minor"/>
      </rPr>
      <t>BMP Implementation</t>
    </r>
  </si>
  <si>
    <r>
      <t xml:space="preserve">Jurisdictional Expenditures: 4J. Municipal: Office Buildings &amp; Other Municipal Facilities Element: </t>
    </r>
    <r>
      <rPr>
        <sz val="11"/>
        <color theme="1"/>
        <rFont val="Calibri"/>
        <family val="2"/>
        <scheme val="minor"/>
      </rPr>
      <t>Other</t>
    </r>
  </si>
  <si>
    <r>
      <t xml:space="preserve">Jurisdictional Expenditures: 4. Municipal: Management of Pesticides, Herbicides, &amp; Fertilizers: </t>
    </r>
    <r>
      <rPr>
        <sz val="11"/>
        <color theme="1"/>
        <rFont val="Calibri"/>
        <family val="2"/>
        <scheme val="minor"/>
      </rPr>
      <t>Administration</t>
    </r>
  </si>
  <si>
    <r>
      <t xml:space="preserve">Jurisdictional Expenditures: 4. Municipal: Management of Pesticides, Herbicides, &amp; Fertilizers: </t>
    </r>
    <r>
      <rPr>
        <sz val="11"/>
        <color theme="1"/>
        <rFont val="Calibri"/>
        <family val="2"/>
        <scheme val="minor"/>
      </rPr>
      <t>Maintenance Inspections</t>
    </r>
  </si>
  <si>
    <r>
      <t xml:space="preserve">Jurisdictional Expenditures: 4. Municipal: Management of Pesticides, Herbicides, &amp; Fertilizers: </t>
    </r>
    <r>
      <rPr>
        <sz val="11"/>
        <color theme="1"/>
        <rFont val="Calibri"/>
        <family val="2"/>
        <scheme val="minor"/>
      </rPr>
      <t>BMP Implementation</t>
    </r>
  </si>
  <si>
    <r>
      <t xml:space="preserve">Jurisdictional Expenditures: 4. Municipal: Management of Pesticides, Herbicides, &amp; Fertilizers: </t>
    </r>
    <r>
      <rPr>
        <sz val="11"/>
        <color theme="1"/>
        <rFont val="Calibri"/>
        <family val="2"/>
        <scheme val="minor"/>
      </rPr>
      <t>Other</t>
    </r>
  </si>
  <si>
    <r>
      <t xml:space="preserve">Jurisdictional Expenditures: 5. Industrial and Commercial: </t>
    </r>
    <r>
      <rPr>
        <sz val="11"/>
        <color theme="1"/>
        <rFont val="Calibri"/>
        <family val="2"/>
        <scheme val="minor"/>
      </rPr>
      <t>Administration</t>
    </r>
  </si>
  <si>
    <r>
      <t xml:space="preserve">Jurisdictional Expenditures: 5. Industrial and Commercial: </t>
    </r>
    <r>
      <rPr>
        <sz val="11"/>
        <color theme="1"/>
        <rFont val="Calibri"/>
        <family val="2"/>
        <scheme val="minor"/>
      </rPr>
      <t>Compliance Inspection and Enforcement</t>
    </r>
  </si>
  <si>
    <r>
      <t xml:space="preserve">Jurisdictional Expenditures: 5. Industrial and Commercial: </t>
    </r>
    <r>
      <rPr>
        <sz val="11"/>
        <color theme="1"/>
        <rFont val="Calibri"/>
        <family val="2"/>
        <scheme val="minor"/>
      </rPr>
      <t>Educational Outreach</t>
    </r>
  </si>
  <si>
    <r>
      <t xml:space="preserve">Jurisdictional Expenditures: 5. Industrial and Commercial: </t>
    </r>
    <r>
      <rPr>
        <sz val="11"/>
        <color theme="1"/>
        <rFont val="Calibri"/>
        <family val="2"/>
        <scheme val="minor"/>
      </rPr>
      <t>Other Expenditures</t>
    </r>
  </si>
  <si>
    <r>
      <t xml:space="preserve">Jurisdictional Expenditures: 6.Residential: </t>
    </r>
    <r>
      <rPr>
        <sz val="11"/>
        <color theme="1"/>
        <rFont val="Calibri"/>
        <family val="2"/>
        <scheme val="minor"/>
      </rPr>
      <t>Administration</t>
    </r>
  </si>
  <si>
    <r>
      <t xml:space="preserve">Jurisdictional Expenditures: 6.Residential: </t>
    </r>
    <r>
      <rPr>
        <sz val="11"/>
        <color theme="1"/>
        <rFont val="Calibri"/>
        <family val="2"/>
        <scheme val="minor"/>
      </rPr>
      <t>Compliance Inspection and Enforcement</t>
    </r>
  </si>
  <si>
    <r>
      <t xml:space="preserve">Jurisdictional Expenditures: 6.Residential: </t>
    </r>
    <r>
      <rPr>
        <sz val="11"/>
        <color theme="1"/>
        <rFont val="Calibri"/>
        <family val="2"/>
        <scheme val="minor"/>
      </rPr>
      <t>Educational Outreach</t>
    </r>
  </si>
  <si>
    <r>
      <rPr>
        <b/>
        <sz val="11"/>
        <color theme="1"/>
        <rFont val="Calibri"/>
        <family val="2"/>
        <scheme val="minor"/>
      </rPr>
      <t xml:space="preserve">Jurisdictional Components: </t>
    </r>
    <r>
      <rPr>
        <sz val="11"/>
        <color theme="1"/>
        <rFont val="Calibri"/>
        <family val="2"/>
        <scheme val="minor"/>
      </rPr>
      <t>Administration</t>
    </r>
  </si>
  <si>
    <r>
      <rPr>
        <b/>
        <sz val="11"/>
        <color theme="1"/>
        <rFont val="Calibri"/>
        <family val="2"/>
        <scheme val="minor"/>
      </rPr>
      <t xml:space="preserve">Jurisdictional Components: </t>
    </r>
    <r>
      <rPr>
        <sz val="11"/>
        <color theme="1"/>
        <rFont val="Calibri"/>
        <family val="2"/>
        <scheme val="minor"/>
      </rPr>
      <t>Development Planning</t>
    </r>
  </si>
  <si>
    <r>
      <rPr>
        <b/>
        <sz val="11"/>
        <color theme="1"/>
        <rFont val="Calibri"/>
        <family val="2"/>
        <scheme val="minor"/>
      </rPr>
      <t xml:space="preserve">Jurisdictional Components: </t>
    </r>
    <r>
      <rPr>
        <sz val="11"/>
        <color theme="1"/>
        <rFont val="Calibri"/>
        <family val="2"/>
        <scheme val="minor"/>
      </rPr>
      <t>Construction</t>
    </r>
  </si>
  <si>
    <r>
      <rPr>
        <b/>
        <sz val="11"/>
        <color theme="1"/>
        <rFont val="Calibri"/>
        <family val="2"/>
        <scheme val="minor"/>
      </rPr>
      <t xml:space="preserve">Jurisdictional Components: </t>
    </r>
    <r>
      <rPr>
        <sz val="11"/>
        <color theme="1"/>
        <rFont val="Calibri"/>
        <family val="2"/>
        <scheme val="minor"/>
      </rPr>
      <t>Municipal</t>
    </r>
  </si>
  <si>
    <r>
      <rPr>
        <b/>
        <sz val="11"/>
        <color theme="1"/>
        <rFont val="Calibri"/>
        <family val="2"/>
        <scheme val="minor"/>
      </rPr>
      <t xml:space="preserve">Jurisdictional Components: </t>
    </r>
    <r>
      <rPr>
        <sz val="11"/>
        <color theme="1"/>
        <rFont val="Calibri"/>
        <family val="2"/>
        <scheme val="minor"/>
      </rPr>
      <t>Industrial</t>
    </r>
  </si>
  <si>
    <r>
      <rPr>
        <b/>
        <sz val="11"/>
        <color theme="1"/>
        <rFont val="Calibri"/>
        <family val="2"/>
        <scheme val="minor"/>
      </rPr>
      <t xml:space="preserve">Jurisdictional Components: </t>
    </r>
    <r>
      <rPr>
        <sz val="11"/>
        <color theme="1"/>
        <rFont val="Calibri"/>
        <family val="2"/>
        <scheme val="minor"/>
      </rPr>
      <t>Residential</t>
    </r>
  </si>
  <si>
    <r>
      <rPr>
        <b/>
        <sz val="11"/>
        <color theme="1"/>
        <rFont val="Calibri"/>
        <family val="2"/>
        <scheme val="minor"/>
      </rPr>
      <t xml:space="preserve">Jurisdictional Components: </t>
    </r>
    <r>
      <rPr>
        <sz val="11"/>
        <color theme="1"/>
        <rFont val="Calibri"/>
        <family val="2"/>
        <scheme val="minor"/>
      </rPr>
      <t>IDDE</t>
    </r>
  </si>
  <si>
    <r>
      <rPr>
        <b/>
        <sz val="11"/>
        <color theme="1"/>
        <rFont val="Calibri"/>
        <family val="2"/>
        <scheme val="minor"/>
      </rPr>
      <t xml:space="preserve">Jurisdictional Components: </t>
    </r>
    <r>
      <rPr>
        <sz val="11"/>
        <color theme="1"/>
        <rFont val="Calibri"/>
        <family val="2"/>
        <scheme val="minor"/>
      </rPr>
      <t>Education</t>
    </r>
  </si>
  <si>
    <r>
      <rPr>
        <b/>
        <sz val="11"/>
        <color theme="1"/>
        <rFont val="Calibri"/>
        <family val="2"/>
        <scheme val="minor"/>
      </rPr>
      <t xml:space="preserve">Jurisdictional Components: </t>
    </r>
    <r>
      <rPr>
        <sz val="11"/>
        <color theme="1"/>
        <rFont val="Calibri"/>
        <family val="2"/>
        <scheme val="minor"/>
      </rPr>
      <t>Public Participation</t>
    </r>
  </si>
  <si>
    <r>
      <rPr>
        <b/>
        <sz val="11"/>
        <color theme="1"/>
        <rFont val="Calibri"/>
        <family val="2"/>
        <scheme val="minor"/>
      </rPr>
      <t xml:space="preserve">Jurisdictional Components: </t>
    </r>
    <r>
      <rPr>
        <sz val="11"/>
        <color theme="1"/>
        <rFont val="Calibri"/>
        <family val="2"/>
        <scheme val="minor"/>
      </rPr>
      <t>Special Investigations</t>
    </r>
  </si>
  <si>
    <r>
      <rPr>
        <b/>
        <sz val="11"/>
        <color theme="1"/>
        <rFont val="Calibri"/>
        <family val="2"/>
        <scheme val="minor"/>
      </rPr>
      <t xml:space="preserve">Jurisdictional Components: </t>
    </r>
    <r>
      <rPr>
        <sz val="11"/>
        <color theme="1"/>
        <rFont val="Calibri"/>
        <family val="2"/>
        <scheme val="minor"/>
      </rPr>
      <t>Non-emergency Firefighting</t>
    </r>
  </si>
  <si>
    <r>
      <rPr>
        <b/>
        <sz val="11"/>
        <color theme="1"/>
        <rFont val="Calibri"/>
        <family val="2"/>
        <scheme val="minor"/>
      </rPr>
      <t xml:space="preserve">Watershed - San Diego Bay Watershed: </t>
    </r>
    <r>
      <rPr>
        <sz val="11"/>
        <color theme="1"/>
        <rFont val="Calibri"/>
        <family val="2"/>
        <scheme val="minor"/>
      </rPr>
      <t>Administration</t>
    </r>
  </si>
  <si>
    <r>
      <rPr>
        <b/>
        <sz val="11"/>
        <color theme="1"/>
        <rFont val="Calibri"/>
        <family val="2"/>
        <scheme val="minor"/>
      </rPr>
      <t xml:space="preserve">Watershed - San Diego Bay Watershed: </t>
    </r>
    <r>
      <rPr>
        <sz val="11"/>
        <color theme="1"/>
        <rFont val="Calibri"/>
        <family val="2"/>
        <scheme val="minor"/>
      </rPr>
      <t>Planning and Land Development Program</t>
    </r>
  </si>
  <si>
    <r>
      <rPr>
        <b/>
        <sz val="11"/>
        <color theme="1"/>
        <rFont val="Calibri"/>
        <family val="2"/>
        <scheme val="minor"/>
      </rPr>
      <t xml:space="preserve">Watershed - San Diego Bay Watershed: </t>
    </r>
    <r>
      <rPr>
        <sz val="11"/>
        <color theme="1"/>
        <rFont val="Calibri"/>
        <family val="2"/>
        <scheme val="minor"/>
      </rPr>
      <t>Copermittee Cost Share</t>
    </r>
  </si>
  <si>
    <r>
      <rPr>
        <b/>
        <sz val="11"/>
        <color theme="1"/>
        <rFont val="Calibri"/>
        <family val="2"/>
        <scheme val="minor"/>
      </rPr>
      <t xml:space="preserve">Watershed - San Diego Bay Watershed: </t>
    </r>
    <r>
      <rPr>
        <sz val="11"/>
        <color theme="1"/>
        <rFont val="Calibri"/>
        <family val="2"/>
        <scheme val="minor"/>
      </rPr>
      <t>Watershed Activities</t>
    </r>
  </si>
  <si>
    <r>
      <rPr>
        <b/>
        <sz val="11"/>
        <color theme="1"/>
        <rFont val="Calibri"/>
        <family val="2"/>
        <scheme val="minor"/>
      </rPr>
      <t xml:space="preserve">Regional: </t>
    </r>
    <r>
      <rPr>
        <sz val="11"/>
        <color theme="1"/>
        <rFont val="Calibri"/>
        <family val="2"/>
        <scheme val="minor"/>
      </rPr>
      <t>Administration</t>
    </r>
  </si>
  <si>
    <r>
      <rPr>
        <b/>
        <sz val="11"/>
        <color theme="1"/>
        <rFont val="Calibri"/>
        <family val="2"/>
        <scheme val="minor"/>
      </rPr>
      <t xml:space="preserve">Regional: </t>
    </r>
    <r>
      <rPr>
        <sz val="11"/>
        <color theme="1"/>
        <rFont val="Calibri"/>
        <family val="2"/>
        <scheme val="minor"/>
      </rPr>
      <t>Copermittee Cost Share</t>
    </r>
  </si>
  <si>
    <r>
      <rPr>
        <b/>
        <sz val="11"/>
        <color theme="1"/>
        <rFont val="Calibri"/>
        <family val="2"/>
        <scheme val="minor"/>
      </rPr>
      <t xml:space="preserve">Jurisdictional Components: </t>
    </r>
    <r>
      <rPr>
        <sz val="11"/>
        <color theme="1"/>
        <rFont val="Calibri"/>
        <family val="2"/>
        <scheme val="minor"/>
      </rPr>
      <t>Industrial and Commercial</t>
    </r>
  </si>
  <si>
    <r>
      <rPr>
        <b/>
        <sz val="11"/>
        <color theme="1"/>
        <rFont val="Calibri"/>
        <family val="2"/>
        <scheme val="minor"/>
      </rPr>
      <t xml:space="preserve">Jurisdictional Components: </t>
    </r>
    <r>
      <rPr>
        <sz val="11"/>
        <color theme="1"/>
        <rFont val="Calibri"/>
        <family val="2"/>
        <scheme val="minor"/>
      </rPr>
      <t>Monitoring</t>
    </r>
  </si>
  <si>
    <r>
      <rPr>
        <b/>
        <sz val="11"/>
        <color theme="1"/>
        <rFont val="Calibri"/>
        <family val="2"/>
        <scheme val="minor"/>
      </rPr>
      <t xml:space="preserve">Watershed: </t>
    </r>
    <r>
      <rPr>
        <sz val="11"/>
        <color theme="1"/>
        <rFont val="Calibri"/>
        <family val="2"/>
        <scheme val="minor"/>
      </rPr>
      <t>Watershed 1-Carlsbad</t>
    </r>
  </si>
  <si>
    <r>
      <rPr>
        <b/>
        <sz val="11"/>
        <color theme="1"/>
        <rFont val="Calibri"/>
        <family val="2"/>
        <scheme val="minor"/>
      </rPr>
      <t xml:space="preserve">Regional: </t>
    </r>
    <r>
      <rPr>
        <sz val="11"/>
        <color theme="1"/>
        <rFont val="Calibri"/>
        <family val="2"/>
        <scheme val="minor"/>
      </rPr>
      <t>Total Copermittee Cost Share</t>
    </r>
  </si>
  <si>
    <r>
      <rPr>
        <b/>
        <sz val="11"/>
        <color theme="1"/>
        <rFont val="Calibri"/>
        <family val="2"/>
        <scheme val="minor"/>
      </rPr>
      <t xml:space="preserve">Jurisdictional Components: </t>
    </r>
    <r>
      <rPr>
        <sz val="11"/>
        <color theme="1"/>
        <rFont val="Calibri"/>
        <family val="2"/>
        <scheme val="minor"/>
      </rPr>
      <t>IDDE &amp; Dry Weather Monitoring</t>
    </r>
  </si>
  <si>
    <r>
      <rPr>
        <b/>
        <sz val="11"/>
        <color theme="1"/>
        <rFont val="Calibri"/>
        <family val="2"/>
        <scheme val="minor"/>
      </rPr>
      <t xml:space="preserve">Jurisdictional Components: </t>
    </r>
    <r>
      <rPr>
        <sz val="11"/>
        <color theme="1"/>
        <rFont val="Calibri"/>
        <family val="2"/>
        <scheme val="minor"/>
      </rPr>
      <t>Special Investigations &amp; Contract Services</t>
    </r>
  </si>
  <si>
    <r>
      <rPr>
        <b/>
        <sz val="11"/>
        <color theme="1"/>
        <rFont val="Calibri"/>
        <family val="2"/>
        <scheme val="minor"/>
      </rPr>
      <t xml:space="preserve">Watershed/Water Quality: </t>
    </r>
    <r>
      <rPr>
        <sz val="11"/>
        <color theme="1"/>
        <rFont val="Calibri"/>
        <family val="2"/>
        <scheme val="minor"/>
      </rPr>
      <t>City of Encinitas Share of WQIP - Monitoring</t>
    </r>
  </si>
  <si>
    <r>
      <rPr>
        <b/>
        <sz val="11"/>
        <color theme="1"/>
        <rFont val="Calibri"/>
        <family val="2"/>
        <scheme val="minor"/>
      </rPr>
      <t xml:space="preserve">Watershed/Water Quality: </t>
    </r>
    <r>
      <rPr>
        <sz val="11"/>
        <color theme="1"/>
        <rFont val="Calibri"/>
        <family val="2"/>
        <scheme val="minor"/>
      </rPr>
      <t>City of Encinitas Share of Carlsbad Watershed WQIP</t>
    </r>
  </si>
  <si>
    <r>
      <rPr>
        <b/>
        <sz val="11"/>
        <color theme="1"/>
        <rFont val="Calibri"/>
        <family val="2"/>
        <scheme val="minor"/>
      </rPr>
      <t xml:space="preserve">Regional: </t>
    </r>
    <r>
      <rPr>
        <sz val="11"/>
        <color theme="1"/>
        <rFont val="Calibri"/>
        <family val="2"/>
        <scheme val="minor"/>
      </rPr>
      <t>City of Encinitas Share of Regional Costs</t>
    </r>
  </si>
  <si>
    <r>
      <rPr>
        <b/>
        <sz val="11"/>
        <color theme="1"/>
        <rFont val="Calibri"/>
        <family val="2"/>
        <scheme val="minor"/>
      </rPr>
      <t>Other Expenditures:</t>
    </r>
    <r>
      <rPr>
        <sz val="11"/>
        <color theme="1"/>
        <rFont val="Calibri"/>
        <family val="2"/>
        <scheme val="minor"/>
      </rPr>
      <t xml:space="preserve"> Monitoring Program</t>
    </r>
  </si>
  <si>
    <r>
      <rPr>
        <b/>
        <sz val="11"/>
        <color theme="1"/>
        <rFont val="Calibri"/>
        <family val="2"/>
        <scheme val="minor"/>
      </rPr>
      <t xml:space="preserve">Other Expenditures: </t>
    </r>
    <r>
      <rPr>
        <sz val="11"/>
        <color theme="1"/>
        <rFont val="Calibri"/>
        <family val="2"/>
        <scheme val="minor"/>
      </rPr>
      <t>Watershed Program</t>
    </r>
  </si>
  <si>
    <r>
      <rPr>
        <b/>
        <sz val="11"/>
        <color theme="1"/>
        <rFont val="Calibri"/>
        <family val="2"/>
        <scheme val="minor"/>
      </rPr>
      <t xml:space="preserve">Other Expenditures: </t>
    </r>
    <r>
      <rPr>
        <sz val="11"/>
        <color theme="1"/>
        <rFont val="Calibri"/>
        <family val="2"/>
        <scheme val="minor"/>
      </rPr>
      <t>Regional Program</t>
    </r>
  </si>
  <si>
    <r>
      <rPr>
        <b/>
        <sz val="11"/>
        <color theme="1"/>
        <rFont val="Calibri"/>
        <family val="2"/>
        <scheme val="minor"/>
      </rPr>
      <t>Staff Resources:</t>
    </r>
    <r>
      <rPr>
        <sz val="11"/>
        <color theme="1"/>
        <rFont val="Calibri"/>
        <family val="2"/>
        <scheme val="minor"/>
      </rPr>
      <t xml:space="preserve"> Program Development</t>
    </r>
  </si>
  <si>
    <r>
      <rPr>
        <b/>
        <sz val="11"/>
        <color theme="1"/>
        <rFont val="Calibri"/>
        <family val="2"/>
        <scheme val="minor"/>
      </rPr>
      <t xml:space="preserve">Staff Resources: </t>
    </r>
    <r>
      <rPr>
        <sz val="11"/>
        <color theme="1"/>
        <rFont val="Calibri"/>
        <family val="2"/>
        <scheme val="minor"/>
      </rPr>
      <t>Program Implementation</t>
    </r>
  </si>
  <si>
    <r>
      <rPr>
        <b/>
        <sz val="11"/>
        <color theme="1"/>
        <rFont val="Calibri"/>
        <family val="2"/>
        <scheme val="minor"/>
      </rPr>
      <t xml:space="preserve">Staff Resources: </t>
    </r>
    <r>
      <rPr>
        <sz val="11"/>
        <color theme="1"/>
        <rFont val="Calibri"/>
        <family val="2"/>
        <scheme val="minor"/>
      </rPr>
      <t>Enforcement</t>
    </r>
  </si>
  <si>
    <r>
      <rPr>
        <b/>
        <sz val="11"/>
        <color theme="1"/>
        <rFont val="Calibri"/>
        <family val="2"/>
        <scheme val="minor"/>
      </rPr>
      <t xml:space="preserve">Jurisdictional Component: </t>
    </r>
    <r>
      <rPr>
        <sz val="11"/>
        <color theme="1"/>
        <rFont val="Calibri"/>
        <family val="2"/>
        <scheme val="minor"/>
      </rPr>
      <t>Development Planning</t>
    </r>
  </si>
  <si>
    <r>
      <rPr>
        <b/>
        <sz val="11"/>
        <color theme="1"/>
        <rFont val="Calibri"/>
        <family val="2"/>
        <scheme val="minor"/>
      </rPr>
      <t xml:space="preserve">Jurisdictional Component: </t>
    </r>
    <r>
      <rPr>
        <sz val="11"/>
        <color theme="1"/>
        <rFont val="Calibri"/>
        <family val="2"/>
        <scheme val="minor"/>
      </rPr>
      <t>Construction</t>
    </r>
  </si>
  <si>
    <r>
      <rPr>
        <b/>
        <sz val="11"/>
        <color theme="1"/>
        <rFont val="Calibri"/>
        <family val="2"/>
        <scheme val="minor"/>
      </rPr>
      <t xml:space="preserve">Jurisdictional Component: </t>
    </r>
    <r>
      <rPr>
        <sz val="11"/>
        <color theme="1"/>
        <rFont val="Calibri"/>
        <family val="2"/>
        <scheme val="minor"/>
      </rPr>
      <t>Municipal (Including Non-Emergency Fire Fighting Flows)</t>
    </r>
  </si>
  <si>
    <r>
      <rPr>
        <b/>
        <sz val="11"/>
        <color theme="1"/>
        <rFont val="Calibri"/>
        <family val="2"/>
        <scheme val="minor"/>
      </rPr>
      <t xml:space="preserve">Jurisdictional Component: </t>
    </r>
    <r>
      <rPr>
        <sz val="11"/>
        <color theme="1"/>
        <rFont val="Calibri"/>
        <family val="2"/>
        <scheme val="minor"/>
      </rPr>
      <t>IDDE</t>
    </r>
  </si>
  <si>
    <r>
      <rPr>
        <b/>
        <sz val="11"/>
        <color theme="1"/>
        <rFont val="Calibri"/>
        <family val="2"/>
        <scheme val="minor"/>
      </rPr>
      <t xml:space="preserve">Watershed Component: </t>
    </r>
    <r>
      <rPr>
        <sz val="11"/>
        <color theme="1"/>
        <rFont val="Calibri"/>
        <family val="2"/>
        <scheme val="minor"/>
      </rPr>
      <t>Carlsbad Watershed</t>
    </r>
  </si>
  <si>
    <r>
      <rPr>
        <b/>
        <sz val="11"/>
        <color theme="1"/>
        <rFont val="Calibri"/>
        <family val="2"/>
        <scheme val="minor"/>
      </rPr>
      <t xml:space="preserve">Watershed Component: </t>
    </r>
    <r>
      <rPr>
        <sz val="11"/>
        <color theme="1"/>
        <rFont val="Calibri"/>
        <family val="2"/>
        <scheme val="minor"/>
      </rPr>
      <t>San Dieguito Watershed</t>
    </r>
  </si>
  <si>
    <r>
      <rPr>
        <b/>
        <sz val="11"/>
        <color theme="1"/>
        <rFont val="Calibri"/>
        <family val="2"/>
        <scheme val="minor"/>
      </rPr>
      <t xml:space="preserve">Regional Component: </t>
    </r>
    <r>
      <rPr>
        <sz val="11"/>
        <color theme="1"/>
        <rFont val="Calibri"/>
        <family val="2"/>
        <scheme val="minor"/>
      </rPr>
      <t>City of Solana Beach Copermittee Cost Share</t>
    </r>
  </si>
  <si>
    <r>
      <rPr>
        <b/>
        <sz val="11"/>
        <color theme="1"/>
        <rFont val="Calibri"/>
        <family val="2"/>
        <scheme val="minor"/>
      </rPr>
      <t xml:space="preserve">Jurisdictional Component: </t>
    </r>
    <r>
      <rPr>
        <sz val="11"/>
        <color theme="1"/>
        <rFont val="Calibri"/>
        <family val="2"/>
        <scheme val="minor"/>
      </rPr>
      <t>Municipal</t>
    </r>
  </si>
  <si>
    <r>
      <rPr>
        <b/>
        <sz val="11"/>
        <color theme="1"/>
        <rFont val="Calibri"/>
        <family val="2"/>
        <scheme val="minor"/>
      </rPr>
      <t xml:space="preserve">Jurisdictional Component: </t>
    </r>
    <r>
      <rPr>
        <sz val="11"/>
        <color theme="1"/>
        <rFont val="Calibri"/>
        <family val="2"/>
        <scheme val="minor"/>
      </rPr>
      <t>Industrial-Commercial</t>
    </r>
  </si>
  <si>
    <r>
      <rPr>
        <b/>
        <sz val="11"/>
        <color theme="1"/>
        <rFont val="Calibri"/>
        <family val="2"/>
        <scheme val="minor"/>
      </rPr>
      <t xml:space="preserve">Jurisdictional Component: </t>
    </r>
    <r>
      <rPr>
        <sz val="11"/>
        <color theme="1"/>
        <rFont val="Calibri"/>
        <family val="2"/>
        <scheme val="minor"/>
      </rPr>
      <t>Residential</t>
    </r>
  </si>
  <si>
    <r>
      <rPr>
        <b/>
        <sz val="11"/>
        <color theme="1"/>
        <rFont val="Calibri"/>
        <family val="2"/>
        <scheme val="minor"/>
      </rPr>
      <t xml:space="preserve">Jurisdictional Component: </t>
    </r>
    <r>
      <rPr>
        <sz val="11"/>
        <color theme="1"/>
        <rFont val="Calibri"/>
        <family val="2"/>
        <scheme val="minor"/>
      </rPr>
      <t>Public Education &amp; Participation</t>
    </r>
  </si>
  <si>
    <r>
      <rPr>
        <b/>
        <sz val="11"/>
        <color theme="1"/>
        <rFont val="Calibri"/>
        <family val="2"/>
        <scheme val="minor"/>
      </rPr>
      <t xml:space="preserve">Jurisdictional Component: </t>
    </r>
    <r>
      <rPr>
        <sz val="11"/>
        <color theme="1"/>
        <rFont val="Calibri"/>
        <family val="2"/>
        <scheme val="minor"/>
      </rPr>
      <t>Special Investigations</t>
    </r>
  </si>
  <si>
    <r>
      <rPr>
        <b/>
        <sz val="11"/>
        <color theme="1"/>
        <rFont val="Calibri"/>
        <family val="2"/>
        <scheme val="minor"/>
      </rPr>
      <t xml:space="preserve">Jurisdictional Component: </t>
    </r>
    <r>
      <rPr>
        <sz val="11"/>
        <color theme="1"/>
        <rFont val="Calibri"/>
        <family val="2"/>
        <scheme val="minor"/>
      </rPr>
      <t>Non-emergency Firefighting</t>
    </r>
  </si>
  <si>
    <r>
      <rPr>
        <b/>
        <sz val="11"/>
        <color theme="1"/>
        <rFont val="Calibri"/>
        <family val="2"/>
        <scheme val="minor"/>
      </rPr>
      <t xml:space="preserve">Jurisdictional Component: </t>
    </r>
    <r>
      <rPr>
        <sz val="11"/>
        <color theme="1"/>
        <rFont val="Calibri"/>
        <family val="2"/>
        <scheme val="minor"/>
      </rPr>
      <t>Grants</t>
    </r>
  </si>
  <si>
    <r>
      <rPr>
        <b/>
        <sz val="11"/>
        <color theme="1"/>
        <rFont val="Calibri"/>
        <family val="2"/>
        <scheme val="minor"/>
      </rPr>
      <t xml:space="preserve">Jurisdictional Component: </t>
    </r>
    <r>
      <rPr>
        <sz val="11"/>
        <color theme="1"/>
        <rFont val="Calibri"/>
        <family val="2"/>
        <scheme val="minor"/>
      </rPr>
      <t>Municipal (Including Non-Emergency Fire Flows)</t>
    </r>
  </si>
  <si>
    <r>
      <rPr>
        <b/>
        <sz val="11"/>
        <color theme="1"/>
        <rFont val="Calibri"/>
        <family val="2"/>
        <scheme val="minor"/>
      </rPr>
      <t xml:space="preserve">Watershed Component: </t>
    </r>
    <r>
      <rPr>
        <sz val="11"/>
        <color theme="1"/>
        <rFont val="Calibri"/>
        <family val="2"/>
        <scheme val="minor"/>
      </rPr>
      <t>Carlsbad WMA</t>
    </r>
  </si>
  <si>
    <r>
      <rPr>
        <b/>
        <sz val="11"/>
        <color theme="1"/>
        <rFont val="Calibri"/>
        <family val="2"/>
        <scheme val="minor"/>
      </rPr>
      <t xml:space="preserve">Watershed Component: </t>
    </r>
    <r>
      <rPr>
        <sz val="11"/>
        <color theme="1"/>
        <rFont val="Calibri"/>
        <family val="2"/>
        <scheme val="minor"/>
      </rPr>
      <t>San Luis Rey WMA</t>
    </r>
  </si>
  <si>
    <r>
      <rPr>
        <b/>
        <sz val="11"/>
        <color theme="1"/>
        <rFont val="Calibri"/>
        <family val="2"/>
        <scheme val="minor"/>
      </rPr>
      <t xml:space="preserve">Watershed Component: </t>
    </r>
    <r>
      <rPr>
        <sz val="11"/>
        <color theme="1"/>
        <rFont val="Calibri"/>
        <family val="2"/>
        <scheme val="minor"/>
      </rPr>
      <t>Administration</t>
    </r>
  </si>
  <si>
    <r>
      <rPr>
        <b/>
        <sz val="11"/>
        <color theme="1"/>
        <rFont val="Calibri"/>
        <family val="2"/>
        <scheme val="minor"/>
      </rPr>
      <t xml:space="preserve">Regional Component: </t>
    </r>
    <r>
      <rPr>
        <sz val="11"/>
        <color theme="1"/>
        <rFont val="Calibri"/>
        <family val="2"/>
        <scheme val="minor"/>
      </rPr>
      <t>Copermittee Cost Share</t>
    </r>
  </si>
  <si>
    <r>
      <rPr>
        <b/>
        <sz val="11"/>
        <color theme="1"/>
        <rFont val="Calibri"/>
        <family val="2"/>
        <scheme val="minor"/>
      </rPr>
      <t xml:space="preserve">Regional Component: </t>
    </r>
    <r>
      <rPr>
        <sz val="11"/>
        <color theme="1"/>
        <rFont val="Calibri"/>
        <family val="2"/>
        <scheme val="minor"/>
      </rPr>
      <t>Administration</t>
    </r>
  </si>
  <si>
    <r>
      <rPr>
        <b/>
        <sz val="11"/>
        <color theme="1"/>
        <rFont val="Calibri"/>
        <family val="2"/>
        <scheme val="minor"/>
      </rPr>
      <t xml:space="preserve">Watershed Component: </t>
    </r>
    <r>
      <rPr>
        <sz val="11"/>
        <color theme="1"/>
        <rFont val="Calibri"/>
        <family val="2"/>
        <scheme val="minor"/>
      </rPr>
      <t>Los Peñasquitos Watershed</t>
    </r>
  </si>
  <si>
    <r>
      <t xml:space="preserve">Regional Component: </t>
    </r>
    <r>
      <rPr>
        <sz val="11"/>
        <color theme="1"/>
        <rFont val="Calibri"/>
        <family val="2"/>
        <scheme val="minor"/>
      </rPr>
      <t>Total Copermittee Cost Share</t>
    </r>
  </si>
  <si>
    <r>
      <rPr>
        <b/>
        <sz val="11"/>
        <color theme="1"/>
        <rFont val="Calibri"/>
        <family val="2"/>
        <scheme val="minor"/>
      </rPr>
      <t xml:space="preserve">Jurisdictional Component: </t>
    </r>
    <r>
      <rPr>
        <sz val="11"/>
        <color theme="1"/>
        <rFont val="Calibri"/>
        <family val="2"/>
        <scheme val="minor"/>
      </rPr>
      <t>Administration and Permit Fee</t>
    </r>
  </si>
  <si>
    <r>
      <rPr>
        <b/>
        <sz val="11"/>
        <color theme="1"/>
        <rFont val="Calibri"/>
        <family val="2"/>
        <scheme val="minor"/>
      </rPr>
      <t xml:space="preserve">Jurisdictional Component: </t>
    </r>
    <r>
      <rPr>
        <sz val="11"/>
        <color theme="1"/>
        <rFont val="Calibri"/>
        <family val="2"/>
        <scheme val="minor"/>
      </rPr>
      <t>Education</t>
    </r>
  </si>
  <si>
    <r>
      <rPr>
        <b/>
        <sz val="11"/>
        <color theme="1"/>
        <rFont val="Calibri"/>
        <family val="2"/>
        <scheme val="minor"/>
      </rPr>
      <t xml:space="preserve">Jurisdictional Component: </t>
    </r>
    <r>
      <rPr>
        <sz val="11"/>
        <color theme="1"/>
        <rFont val="Calibri"/>
        <family val="2"/>
        <scheme val="minor"/>
      </rPr>
      <t>Public Participation</t>
    </r>
  </si>
  <si>
    <r>
      <rPr>
        <b/>
        <sz val="11"/>
        <color theme="1"/>
        <rFont val="Calibri"/>
        <family val="2"/>
        <scheme val="minor"/>
      </rPr>
      <t xml:space="preserve">Watershed Component: </t>
    </r>
    <r>
      <rPr>
        <sz val="11"/>
        <color theme="1"/>
        <rFont val="Calibri"/>
        <family val="2"/>
        <scheme val="minor"/>
      </rPr>
      <t>Los Peñasquitos</t>
    </r>
  </si>
  <si>
    <r>
      <rPr>
        <b/>
        <sz val="11"/>
        <color theme="1"/>
        <rFont val="Calibri"/>
        <family val="2"/>
        <scheme val="minor"/>
      </rPr>
      <t xml:space="preserve">Watershed Component: </t>
    </r>
    <r>
      <rPr>
        <sz val="11"/>
        <color theme="1"/>
        <rFont val="Calibri"/>
        <family val="2"/>
        <scheme val="minor"/>
      </rPr>
      <t>San Dieguito</t>
    </r>
  </si>
  <si>
    <r>
      <rPr>
        <b/>
        <sz val="11"/>
        <color theme="1"/>
        <rFont val="Calibri"/>
        <family val="2"/>
        <scheme val="minor"/>
      </rPr>
      <t xml:space="preserve">Jurisdictional Component: </t>
    </r>
    <r>
      <rPr>
        <sz val="11"/>
        <color theme="1"/>
        <rFont val="Calibri"/>
        <family val="2"/>
        <scheme val="minor"/>
      </rPr>
      <t>Construction Management</t>
    </r>
  </si>
  <si>
    <r>
      <rPr>
        <b/>
        <sz val="11"/>
        <color theme="1"/>
        <rFont val="Calibri"/>
        <family val="2"/>
        <scheme val="minor"/>
      </rPr>
      <t xml:space="preserve">Jurisdictional Component: </t>
    </r>
    <r>
      <rPr>
        <sz val="11"/>
        <color theme="1"/>
        <rFont val="Calibri"/>
        <family val="2"/>
        <scheme val="minor"/>
      </rPr>
      <t>Municipal Areas</t>
    </r>
  </si>
  <si>
    <r>
      <rPr>
        <b/>
        <sz val="11"/>
        <color theme="1"/>
        <rFont val="Calibri"/>
        <family val="2"/>
        <scheme val="minor"/>
      </rPr>
      <t xml:space="preserve">Jurisdictional Component: </t>
    </r>
    <r>
      <rPr>
        <sz val="11"/>
        <color theme="1"/>
        <rFont val="Calibri"/>
        <family val="2"/>
        <scheme val="minor"/>
      </rPr>
      <t>Industrial and Commercial Areas</t>
    </r>
  </si>
  <si>
    <r>
      <rPr>
        <b/>
        <sz val="11"/>
        <color theme="1"/>
        <rFont val="Calibri"/>
        <family val="2"/>
        <scheme val="minor"/>
      </rPr>
      <t xml:space="preserve">Jurisdictional Component: </t>
    </r>
    <r>
      <rPr>
        <sz val="11"/>
        <color theme="1"/>
        <rFont val="Calibri"/>
        <family val="2"/>
        <scheme val="minor"/>
      </rPr>
      <t>Residential Areas</t>
    </r>
  </si>
  <si>
    <r>
      <rPr>
        <b/>
        <sz val="11"/>
        <color theme="1"/>
        <rFont val="Calibri"/>
        <family val="2"/>
        <scheme val="minor"/>
      </rPr>
      <t xml:space="preserve">Jurisdictional Component: </t>
    </r>
    <r>
      <rPr>
        <sz val="11"/>
        <color theme="1"/>
        <rFont val="Calibri"/>
        <family val="2"/>
        <scheme val="minor"/>
      </rPr>
      <t>Special Studies (Investigations)</t>
    </r>
  </si>
  <si>
    <r>
      <rPr>
        <b/>
        <sz val="11"/>
        <color theme="1"/>
        <rFont val="Calibri"/>
        <family val="2"/>
        <scheme val="minor"/>
      </rPr>
      <t xml:space="preserve">Jurisdictional Shared Programs: </t>
    </r>
    <r>
      <rPr>
        <sz val="11"/>
        <color theme="1"/>
        <rFont val="Calibri"/>
        <family val="2"/>
        <scheme val="minor"/>
      </rPr>
      <t>Used Oil Recycling</t>
    </r>
  </si>
  <si>
    <r>
      <rPr>
        <b/>
        <sz val="11"/>
        <color theme="1"/>
        <rFont val="Calibri"/>
        <family val="2"/>
        <scheme val="minor"/>
      </rPr>
      <t xml:space="preserve">Jurisdictional Shared Programs: </t>
    </r>
    <r>
      <rPr>
        <sz val="11"/>
        <color theme="1"/>
        <rFont val="Calibri"/>
        <family val="2"/>
        <scheme val="minor"/>
      </rPr>
      <t>Household Hazardous Waste Management</t>
    </r>
  </si>
  <si>
    <r>
      <rPr>
        <b/>
        <sz val="11"/>
        <color theme="1"/>
        <rFont val="Calibri"/>
        <family val="2"/>
        <scheme val="minor"/>
      </rPr>
      <t xml:space="preserve">Jurisdictional Shared Programs: </t>
    </r>
    <r>
      <rPr>
        <sz val="11"/>
        <color theme="1"/>
        <rFont val="Calibri"/>
        <family val="2"/>
        <scheme val="minor"/>
      </rPr>
      <t>Wastewater Collection Systems Maintenance</t>
    </r>
  </si>
  <si>
    <r>
      <rPr>
        <b/>
        <sz val="11"/>
        <color theme="1"/>
        <rFont val="Calibri"/>
        <family val="2"/>
        <scheme val="minor"/>
      </rPr>
      <t xml:space="preserve">Jurisdictional Shared Programs: </t>
    </r>
    <r>
      <rPr>
        <sz val="11"/>
        <color theme="1"/>
        <rFont val="Calibri"/>
        <family val="2"/>
        <scheme val="minor"/>
      </rPr>
      <t>Flood Management Projects and Flood Control Devices</t>
    </r>
  </si>
  <si>
    <r>
      <rPr>
        <b/>
        <sz val="11"/>
        <color theme="1"/>
        <rFont val="Calibri"/>
        <family val="2"/>
        <scheme val="minor"/>
      </rPr>
      <t xml:space="preserve">Personnel Services: </t>
    </r>
    <r>
      <rPr>
        <sz val="11"/>
        <color theme="1"/>
        <rFont val="Calibri"/>
        <family val="2"/>
        <scheme val="minor"/>
      </rPr>
      <t>Salaries</t>
    </r>
  </si>
  <si>
    <r>
      <rPr>
        <b/>
        <sz val="11"/>
        <color theme="1"/>
        <rFont val="Calibri"/>
        <family val="2"/>
        <scheme val="minor"/>
      </rPr>
      <t xml:space="preserve">Personnel Services: </t>
    </r>
    <r>
      <rPr>
        <sz val="11"/>
        <color theme="1"/>
        <rFont val="Calibri"/>
        <family val="2"/>
        <scheme val="minor"/>
      </rPr>
      <t>Social Security</t>
    </r>
  </si>
  <si>
    <r>
      <rPr>
        <b/>
        <sz val="11"/>
        <color theme="1"/>
        <rFont val="Calibri"/>
        <family val="2"/>
        <scheme val="minor"/>
      </rPr>
      <t xml:space="preserve">Personnel Services: </t>
    </r>
    <r>
      <rPr>
        <sz val="11"/>
        <color theme="1"/>
        <rFont val="Calibri"/>
        <family val="2"/>
        <scheme val="minor"/>
      </rPr>
      <t>Medicare</t>
    </r>
  </si>
  <si>
    <r>
      <rPr>
        <b/>
        <sz val="11"/>
        <color theme="1"/>
        <rFont val="Calibri"/>
        <family val="2"/>
        <scheme val="minor"/>
      </rPr>
      <t>Services and Supplies:</t>
    </r>
    <r>
      <rPr>
        <sz val="11"/>
        <color theme="1"/>
        <rFont val="Calibri"/>
        <family val="2"/>
        <scheme val="minor"/>
      </rPr>
      <t xml:space="preserve"> Contract Services</t>
    </r>
  </si>
  <si>
    <r>
      <rPr>
        <b/>
        <sz val="11"/>
        <color theme="1"/>
        <rFont val="Calibri"/>
        <family val="2"/>
        <scheme val="minor"/>
      </rPr>
      <t>Services and Supplies:</t>
    </r>
    <r>
      <rPr>
        <sz val="11"/>
        <color theme="1"/>
        <rFont val="Calibri"/>
        <family val="2"/>
        <scheme val="minor"/>
      </rPr>
      <t xml:space="preserve"> Professional Services</t>
    </r>
  </si>
  <si>
    <r>
      <rPr>
        <b/>
        <sz val="11"/>
        <color theme="1"/>
        <rFont val="Calibri"/>
        <family val="2"/>
        <scheme val="minor"/>
      </rPr>
      <t>Services and Supplies:</t>
    </r>
    <r>
      <rPr>
        <sz val="11"/>
        <color theme="1"/>
        <rFont val="Calibri"/>
        <family val="2"/>
        <scheme val="minor"/>
      </rPr>
      <t xml:space="preserve"> Storm Drain Litigation BMP</t>
    </r>
  </si>
  <si>
    <r>
      <rPr>
        <b/>
        <sz val="11"/>
        <color theme="1"/>
        <rFont val="Calibri"/>
        <family val="2"/>
        <scheme val="minor"/>
      </rPr>
      <t xml:space="preserve">Services and Supplies: </t>
    </r>
    <r>
      <rPr>
        <sz val="11"/>
        <color theme="1"/>
        <rFont val="Calibri"/>
        <family val="2"/>
        <scheme val="minor"/>
      </rPr>
      <t>Utilities - Electricity</t>
    </r>
  </si>
  <si>
    <r>
      <rPr>
        <b/>
        <sz val="11"/>
        <color theme="1"/>
        <rFont val="Calibri"/>
        <family val="2"/>
        <scheme val="minor"/>
      </rPr>
      <t xml:space="preserve">Services and Supplies: </t>
    </r>
    <r>
      <rPr>
        <sz val="11"/>
        <color theme="1"/>
        <rFont val="Calibri"/>
        <family val="2"/>
        <scheme val="minor"/>
      </rPr>
      <t>Utilities - Gas</t>
    </r>
  </si>
  <si>
    <r>
      <rPr>
        <b/>
        <sz val="11"/>
        <color theme="1"/>
        <rFont val="Calibri"/>
        <family val="2"/>
        <scheme val="minor"/>
      </rPr>
      <t xml:space="preserve">Services and Supplies: </t>
    </r>
    <r>
      <rPr>
        <sz val="11"/>
        <color theme="1"/>
        <rFont val="Calibri"/>
        <family val="2"/>
        <scheme val="minor"/>
      </rPr>
      <t>Utilities - Water</t>
    </r>
  </si>
  <si>
    <r>
      <rPr>
        <b/>
        <sz val="11"/>
        <color theme="1"/>
        <rFont val="Calibri"/>
        <family val="2"/>
        <scheme val="minor"/>
      </rPr>
      <t xml:space="preserve">Services and Supplies: </t>
    </r>
    <r>
      <rPr>
        <sz val="11"/>
        <color theme="1"/>
        <rFont val="Calibri"/>
        <family val="2"/>
        <scheme val="minor"/>
      </rPr>
      <t>Rental-Equipment</t>
    </r>
  </si>
  <si>
    <r>
      <rPr>
        <b/>
        <sz val="11"/>
        <color theme="1"/>
        <rFont val="Calibri"/>
        <family val="2"/>
        <scheme val="minor"/>
      </rPr>
      <t xml:space="preserve">Services and Supplies: </t>
    </r>
    <r>
      <rPr>
        <sz val="11"/>
        <color theme="1"/>
        <rFont val="Calibri"/>
        <family val="2"/>
        <scheme val="minor"/>
      </rPr>
      <t>Repair and Maint. Equipt</t>
    </r>
  </si>
  <si>
    <r>
      <rPr>
        <b/>
        <sz val="11"/>
        <color theme="1"/>
        <rFont val="Calibri"/>
        <family val="2"/>
        <scheme val="minor"/>
      </rPr>
      <t xml:space="preserve">Services and Supplies: </t>
    </r>
    <r>
      <rPr>
        <sz val="11"/>
        <color theme="1"/>
        <rFont val="Calibri"/>
        <family val="2"/>
        <scheme val="minor"/>
      </rPr>
      <t>Repair and Maint. Office Equipt</t>
    </r>
  </si>
  <si>
    <r>
      <rPr>
        <b/>
        <sz val="11"/>
        <color theme="1"/>
        <rFont val="Calibri"/>
        <family val="2"/>
        <scheme val="minor"/>
      </rPr>
      <t>Services and Supplies:</t>
    </r>
    <r>
      <rPr>
        <sz val="11"/>
        <color theme="1"/>
        <rFont val="Calibri"/>
        <family val="2"/>
        <scheme val="minor"/>
      </rPr>
      <t xml:space="preserve"> Repair and Maint. Bldgs/Structure</t>
    </r>
  </si>
  <si>
    <r>
      <rPr>
        <b/>
        <sz val="11"/>
        <color theme="1"/>
        <rFont val="Calibri"/>
        <family val="2"/>
        <scheme val="minor"/>
      </rPr>
      <t>Services and Supplies:</t>
    </r>
    <r>
      <rPr>
        <sz val="11"/>
        <color theme="1"/>
        <rFont val="Calibri"/>
        <family val="2"/>
        <scheme val="minor"/>
      </rPr>
      <t xml:space="preserve"> Repair and Maint. Outside</t>
    </r>
  </si>
  <si>
    <r>
      <rPr>
        <b/>
        <sz val="11"/>
        <color theme="1"/>
        <rFont val="Calibri"/>
        <family val="2"/>
        <scheme val="minor"/>
      </rPr>
      <t xml:space="preserve">Services and Supplies: </t>
    </r>
    <r>
      <rPr>
        <sz val="11"/>
        <color theme="1"/>
        <rFont val="Calibri"/>
        <family val="2"/>
        <scheme val="minor"/>
      </rPr>
      <t>Sewage &amp; Transport Treatment</t>
    </r>
  </si>
  <si>
    <r>
      <rPr>
        <b/>
        <sz val="11"/>
        <color theme="1"/>
        <rFont val="Calibri"/>
        <family val="2"/>
        <scheme val="minor"/>
      </rPr>
      <t xml:space="preserve">Services and Supplies: </t>
    </r>
    <r>
      <rPr>
        <sz val="11"/>
        <color theme="1"/>
        <rFont val="Calibri"/>
        <family val="2"/>
        <scheme val="minor"/>
      </rPr>
      <t>Communications</t>
    </r>
  </si>
  <si>
    <r>
      <rPr>
        <b/>
        <sz val="11"/>
        <color theme="1"/>
        <rFont val="Calibri"/>
        <family val="2"/>
        <scheme val="minor"/>
      </rPr>
      <t xml:space="preserve">Services and Supplies: </t>
    </r>
    <r>
      <rPr>
        <sz val="11"/>
        <color theme="1"/>
        <rFont val="Calibri"/>
        <family val="2"/>
        <scheme val="minor"/>
      </rPr>
      <t>Training, memberships</t>
    </r>
  </si>
  <si>
    <r>
      <rPr>
        <b/>
        <sz val="11"/>
        <color theme="1"/>
        <rFont val="Calibri"/>
        <family val="2"/>
        <scheme val="minor"/>
      </rPr>
      <t xml:space="preserve">Services and Supplies: </t>
    </r>
    <r>
      <rPr>
        <sz val="11"/>
        <color theme="1"/>
        <rFont val="Calibri"/>
        <family val="2"/>
        <scheme val="minor"/>
      </rPr>
      <t>Fuels &amp; Lubricants</t>
    </r>
  </si>
  <si>
    <r>
      <rPr>
        <b/>
        <sz val="11"/>
        <color theme="1"/>
        <rFont val="Calibri"/>
        <family val="2"/>
        <scheme val="minor"/>
      </rPr>
      <t xml:space="preserve">Services and Supplies: </t>
    </r>
    <r>
      <rPr>
        <sz val="11"/>
        <color theme="1"/>
        <rFont val="Calibri"/>
        <family val="2"/>
        <scheme val="minor"/>
      </rPr>
      <t>Materials</t>
    </r>
  </si>
  <si>
    <r>
      <rPr>
        <b/>
        <sz val="11"/>
        <color theme="1"/>
        <rFont val="Calibri"/>
        <family val="2"/>
        <scheme val="minor"/>
      </rPr>
      <t xml:space="preserve">Services and Supplies: </t>
    </r>
    <r>
      <rPr>
        <sz val="11"/>
        <color theme="1"/>
        <rFont val="Calibri"/>
        <family val="2"/>
        <scheme val="minor"/>
      </rPr>
      <t>Small Tools &amp; Instruments</t>
    </r>
  </si>
  <si>
    <r>
      <rPr>
        <b/>
        <sz val="11"/>
        <color theme="1"/>
        <rFont val="Calibri"/>
        <family val="2"/>
        <scheme val="minor"/>
      </rPr>
      <t xml:space="preserve">Services and Supplies: </t>
    </r>
    <r>
      <rPr>
        <sz val="11"/>
        <color theme="1"/>
        <rFont val="Calibri"/>
        <family val="2"/>
        <scheme val="minor"/>
      </rPr>
      <t>Misc Supplies</t>
    </r>
  </si>
  <si>
    <r>
      <rPr>
        <b/>
        <sz val="11"/>
        <color theme="1"/>
        <rFont val="Calibri"/>
        <family val="2"/>
        <scheme val="minor"/>
      </rPr>
      <t xml:space="preserve">Property: </t>
    </r>
    <r>
      <rPr>
        <sz val="11"/>
        <color theme="1"/>
        <rFont val="Calibri"/>
        <family val="2"/>
        <scheme val="minor"/>
      </rPr>
      <t>Office/computer equipment</t>
    </r>
  </si>
  <si>
    <r>
      <rPr>
        <b/>
        <sz val="11"/>
        <color theme="1"/>
        <rFont val="Calibri"/>
        <family val="2"/>
        <scheme val="minor"/>
      </rPr>
      <t xml:space="preserve">Property: </t>
    </r>
    <r>
      <rPr>
        <sz val="11"/>
        <color theme="1"/>
        <rFont val="Calibri"/>
        <family val="2"/>
        <scheme val="minor"/>
      </rPr>
      <t>Other fixed assets</t>
    </r>
  </si>
  <si>
    <r>
      <rPr>
        <b/>
        <sz val="11"/>
        <color theme="1"/>
        <rFont val="Calibri"/>
        <family val="2"/>
        <scheme val="minor"/>
      </rPr>
      <t xml:space="preserve">Property: </t>
    </r>
    <r>
      <rPr>
        <sz val="11"/>
        <color theme="1"/>
        <rFont val="Calibri"/>
        <family val="2"/>
        <scheme val="minor"/>
      </rPr>
      <t>Shop tools</t>
    </r>
  </si>
  <si>
    <r>
      <rPr>
        <b/>
        <sz val="11"/>
        <color theme="1"/>
        <rFont val="Calibri"/>
        <family val="2"/>
        <scheme val="minor"/>
      </rPr>
      <t xml:space="preserve">Property: </t>
    </r>
    <r>
      <rPr>
        <sz val="11"/>
        <color theme="1"/>
        <rFont val="Calibri"/>
        <family val="2"/>
        <scheme val="minor"/>
      </rPr>
      <t>Vehicle/Equipt.</t>
    </r>
  </si>
  <si>
    <r>
      <rPr>
        <b/>
        <sz val="11"/>
        <color theme="1"/>
        <rFont val="Calibri"/>
        <family val="2"/>
        <scheme val="minor"/>
      </rPr>
      <t xml:space="preserve">Debt Service: </t>
    </r>
    <r>
      <rPr>
        <sz val="11"/>
        <color theme="1"/>
        <rFont val="Calibri"/>
        <family val="2"/>
        <scheme val="minor"/>
      </rPr>
      <t>Retirement of Principal</t>
    </r>
  </si>
  <si>
    <r>
      <rPr>
        <b/>
        <sz val="11"/>
        <color theme="1"/>
        <rFont val="Calibri"/>
        <family val="2"/>
        <scheme val="minor"/>
      </rPr>
      <t xml:space="preserve">Debt Service: </t>
    </r>
    <r>
      <rPr>
        <sz val="11"/>
        <color theme="1"/>
        <rFont val="Calibri"/>
        <family val="2"/>
        <scheme val="minor"/>
      </rPr>
      <t>Interest Expense</t>
    </r>
  </si>
  <si>
    <t>Administration Tasks</t>
  </si>
  <si>
    <t>Development Planning and Construction Management</t>
  </si>
  <si>
    <t>Existing Development Management and O&amp;M</t>
  </si>
  <si>
    <t>Public Education and Participation</t>
  </si>
  <si>
    <t>CIP Expenditures</t>
  </si>
  <si>
    <t>San Diego Bay WQIP</t>
  </si>
  <si>
    <t>Tijuana River WQIP</t>
  </si>
  <si>
    <r>
      <rPr>
        <b/>
        <sz val="11"/>
        <color theme="1"/>
        <rFont val="Calibri"/>
        <family val="2"/>
        <scheme val="minor"/>
      </rPr>
      <t xml:space="preserve">Jurisdictional Components: </t>
    </r>
    <r>
      <rPr>
        <sz val="11"/>
        <color theme="1"/>
        <rFont val="Calibri"/>
        <family val="2"/>
        <scheme val="minor"/>
      </rPr>
      <t>Education/Public Participation</t>
    </r>
  </si>
  <si>
    <r>
      <rPr>
        <b/>
        <sz val="11"/>
        <color theme="1"/>
        <rFont val="Calibri"/>
        <family val="2"/>
        <scheme val="minor"/>
      </rPr>
      <t>Watershed Components:</t>
    </r>
    <r>
      <rPr>
        <sz val="11"/>
        <color theme="1"/>
        <rFont val="Calibri"/>
        <family val="2"/>
        <scheme val="minor"/>
      </rPr>
      <t xml:space="preserve"> San Diego River</t>
    </r>
  </si>
  <si>
    <r>
      <rPr>
        <b/>
        <sz val="11"/>
        <color theme="1"/>
        <rFont val="Calibri"/>
        <family val="2"/>
        <scheme val="minor"/>
      </rPr>
      <t>Watershed Components:</t>
    </r>
    <r>
      <rPr>
        <sz val="11"/>
        <color theme="1"/>
        <rFont val="Calibri"/>
        <family val="2"/>
        <scheme val="minor"/>
      </rPr>
      <t xml:space="preserve"> San Diego Bay</t>
    </r>
  </si>
  <si>
    <r>
      <rPr>
        <b/>
        <sz val="11"/>
        <color theme="1"/>
        <rFont val="Calibri"/>
        <family val="2"/>
        <scheme val="minor"/>
      </rPr>
      <t xml:space="preserve">Regional Components: </t>
    </r>
    <r>
      <rPr>
        <sz val="11"/>
        <color theme="1"/>
        <rFont val="Calibri"/>
        <family val="2"/>
        <scheme val="minor"/>
      </rPr>
      <t>Annual Permit Fee to Regional Board</t>
    </r>
  </si>
  <si>
    <r>
      <rPr>
        <b/>
        <sz val="11"/>
        <color theme="1"/>
        <rFont val="Calibri"/>
        <family val="2"/>
        <scheme val="minor"/>
      </rPr>
      <t xml:space="preserve">Regional Components: </t>
    </r>
    <r>
      <rPr>
        <sz val="11"/>
        <color theme="1"/>
        <rFont val="Calibri"/>
        <family val="2"/>
        <scheme val="minor"/>
      </rPr>
      <t>Copermittee Cost Share of Regional Budget</t>
    </r>
  </si>
  <si>
    <r>
      <t xml:space="preserve">Watershed Program: </t>
    </r>
    <r>
      <rPr>
        <sz val="11"/>
        <color theme="1"/>
        <rFont val="Calibri"/>
        <family val="2"/>
        <scheme val="minor"/>
      </rPr>
      <t>Administration</t>
    </r>
  </si>
  <si>
    <r>
      <t xml:space="preserve">Watershed Program: </t>
    </r>
    <r>
      <rPr>
        <sz val="11"/>
        <color theme="1"/>
        <rFont val="Calibri"/>
        <family val="2"/>
        <scheme val="minor"/>
      </rPr>
      <t>Cost Share</t>
    </r>
  </si>
  <si>
    <r>
      <t xml:space="preserve">Watershed Program: </t>
    </r>
    <r>
      <rPr>
        <sz val="11"/>
        <color theme="1"/>
        <rFont val="Calibri"/>
        <family val="2"/>
        <scheme val="minor"/>
      </rPr>
      <t>Watershed Activities</t>
    </r>
  </si>
  <si>
    <r>
      <t xml:space="preserve">Watershed Program: </t>
    </r>
    <r>
      <rPr>
        <sz val="11"/>
        <color theme="1"/>
        <rFont val="Calibri"/>
        <family val="2"/>
        <scheme val="minor"/>
      </rPr>
      <t>Other</t>
    </r>
  </si>
  <si>
    <r>
      <rPr>
        <b/>
        <sz val="11"/>
        <color theme="1"/>
        <rFont val="Calibri"/>
        <family val="2"/>
        <scheme val="minor"/>
      </rPr>
      <t xml:space="preserve">Cost Share Agreement Programs (Regional Programs?): </t>
    </r>
    <r>
      <rPr>
        <sz val="11"/>
        <color theme="1"/>
        <rFont val="Calibri"/>
        <family val="2"/>
        <scheme val="minor"/>
      </rPr>
      <t>San Diego Bay Watershed WQIP Cost Share &amp; Admin</t>
    </r>
  </si>
  <si>
    <r>
      <rPr>
        <b/>
        <sz val="11"/>
        <color theme="1"/>
        <rFont val="Calibri"/>
        <family val="2"/>
        <scheme val="minor"/>
      </rPr>
      <t xml:space="preserve">Jurisdictional Components: </t>
    </r>
    <r>
      <rPr>
        <sz val="11"/>
        <color theme="1"/>
        <rFont val="Calibri"/>
        <family val="2"/>
        <scheme val="minor"/>
      </rPr>
      <t>Administration and Permit Fee</t>
    </r>
  </si>
  <si>
    <r>
      <rPr>
        <b/>
        <sz val="11"/>
        <color theme="1"/>
        <rFont val="Calibri"/>
        <family val="2"/>
        <scheme val="minor"/>
      </rPr>
      <t>Jurisdictional Components:</t>
    </r>
    <r>
      <rPr>
        <sz val="11"/>
        <color theme="1"/>
        <rFont val="Calibri"/>
        <family val="2"/>
        <scheme val="minor"/>
      </rPr>
      <t>Development Planning</t>
    </r>
  </si>
  <si>
    <r>
      <rPr>
        <b/>
        <sz val="11"/>
        <color theme="1"/>
        <rFont val="Calibri"/>
        <family val="2"/>
        <scheme val="minor"/>
      </rPr>
      <t>Jurisdictional Components:</t>
    </r>
    <r>
      <rPr>
        <sz val="11"/>
        <color theme="1"/>
        <rFont val="Calibri"/>
        <family val="2"/>
        <scheme val="minor"/>
      </rPr>
      <t>Construction</t>
    </r>
  </si>
  <si>
    <r>
      <rPr>
        <b/>
        <sz val="11"/>
        <color theme="1"/>
        <rFont val="Calibri"/>
        <family val="2"/>
        <scheme val="minor"/>
      </rPr>
      <t>Jurisdictional Components:</t>
    </r>
    <r>
      <rPr>
        <sz val="11"/>
        <color theme="1"/>
        <rFont val="Calibri"/>
        <family val="2"/>
        <scheme val="minor"/>
      </rPr>
      <t>Municipal</t>
    </r>
  </si>
  <si>
    <r>
      <rPr>
        <b/>
        <sz val="11"/>
        <color theme="1"/>
        <rFont val="Calibri"/>
        <family val="2"/>
        <scheme val="minor"/>
      </rPr>
      <t>Jurisdictional Components:</t>
    </r>
    <r>
      <rPr>
        <sz val="11"/>
        <color theme="1"/>
        <rFont val="Calibri"/>
        <family val="2"/>
        <scheme val="minor"/>
      </rPr>
      <t>Industrial and Commercial</t>
    </r>
  </si>
  <si>
    <r>
      <rPr>
        <b/>
        <sz val="11"/>
        <color theme="1"/>
        <rFont val="Calibri"/>
        <family val="2"/>
        <scheme val="minor"/>
      </rPr>
      <t>Jurisdictional Components:</t>
    </r>
    <r>
      <rPr>
        <sz val="11"/>
        <color theme="1"/>
        <rFont val="Calibri"/>
        <family val="2"/>
        <scheme val="minor"/>
      </rPr>
      <t>Residential</t>
    </r>
  </si>
  <si>
    <r>
      <rPr>
        <b/>
        <sz val="11"/>
        <color theme="1"/>
        <rFont val="Calibri"/>
        <family val="2"/>
        <scheme val="minor"/>
      </rPr>
      <t>Jurisdictional Components:</t>
    </r>
    <r>
      <rPr>
        <sz val="11"/>
        <color theme="1"/>
        <rFont val="Calibri"/>
        <family val="2"/>
        <scheme val="minor"/>
      </rPr>
      <t>IDDE</t>
    </r>
  </si>
  <si>
    <r>
      <rPr>
        <b/>
        <sz val="11"/>
        <color theme="1"/>
        <rFont val="Calibri"/>
        <family val="2"/>
        <scheme val="minor"/>
      </rPr>
      <t>Jurisdictional Components:</t>
    </r>
    <r>
      <rPr>
        <sz val="11"/>
        <color theme="1"/>
        <rFont val="Calibri"/>
        <family val="2"/>
        <scheme val="minor"/>
      </rPr>
      <t>Education</t>
    </r>
  </si>
  <si>
    <r>
      <rPr>
        <b/>
        <sz val="11"/>
        <color theme="1"/>
        <rFont val="Calibri"/>
        <family val="2"/>
        <scheme val="minor"/>
      </rPr>
      <t>Jurisdictional Components:</t>
    </r>
    <r>
      <rPr>
        <sz val="11"/>
        <color theme="1"/>
        <rFont val="Calibri"/>
        <family val="2"/>
        <scheme val="minor"/>
      </rPr>
      <t>Public Participation</t>
    </r>
  </si>
  <si>
    <r>
      <rPr>
        <b/>
        <sz val="11"/>
        <color theme="1"/>
        <rFont val="Calibri"/>
        <family val="2"/>
        <scheme val="minor"/>
      </rPr>
      <t>Jurisdictional Components:</t>
    </r>
    <r>
      <rPr>
        <sz val="11"/>
        <color theme="1"/>
        <rFont val="Calibri"/>
        <family val="2"/>
        <scheme val="minor"/>
      </rPr>
      <t>Special Investigations</t>
    </r>
  </si>
  <si>
    <r>
      <rPr>
        <b/>
        <sz val="11"/>
        <color theme="1"/>
        <rFont val="Calibri"/>
        <family val="2"/>
        <scheme val="minor"/>
      </rPr>
      <t xml:space="preserve">Jurisdictional Components: </t>
    </r>
    <r>
      <rPr>
        <sz val="11"/>
        <color theme="1"/>
        <rFont val="Calibri"/>
        <family val="2"/>
        <scheme val="minor"/>
      </rPr>
      <t>Permit Fee</t>
    </r>
  </si>
  <si>
    <r>
      <rPr>
        <b/>
        <sz val="11"/>
        <color theme="1"/>
        <rFont val="Calibri"/>
        <family val="2"/>
        <scheme val="minor"/>
      </rPr>
      <t xml:space="preserve">Jurisdictional Components: </t>
    </r>
    <r>
      <rPr>
        <sz val="11"/>
        <color theme="1"/>
        <rFont val="Calibri"/>
        <family val="2"/>
        <scheme val="minor"/>
      </rPr>
      <t>Staff Time/Labor: Development Services</t>
    </r>
  </si>
  <si>
    <r>
      <rPr>
        <b/>
        <sz val="11"/>
        <color theme="1"/>
        <rFont val="Calibri"/>
        <family val="2"/>
        <scheme val="minor"/>
      </rPr>
      <t xml:space="preserve">Jurisdictional Components: </t>
    </r>
    <r>
      <rPr>
        <sz val="11"/>
        <color theme="1"/>
        <rFont val="Calibri"/>
        <family val="2"/>
        <scheme val="minor"/>
      </rPr>
      <t>Staff Time/Labor: Public Services</t>
    </r>
  </si>
  <si>
    <r>
      <rPr>
        <b/>
        <sz val="11"/>
        <color theme="1"/>
        <rFont val="Calibri"/>
        <family val="2"/>
        <scheme val="minor"/>
      </rPr>
      <t xml:space="preserve">Jurisdictional Components: </t>
    </r>
    <r>
      <rPr>
        <sz val="11"/>
        <color theme="1"/>
        <rFont val="Calibri"/>
        <family val="2"/>
        <scheme val="minor"/>
      </rPr>
      <t>Dog Station Maintenance</t>
    </r>
  </si>
  <si>
    <r>
      <rPr>
        <b/>
        <sz val="11"/>
        <color theme="1"/>
        <rFont val="Calibri"/>
        <family val="2"/>
        <scheme val="minor"/>
      </rPr>
      <t xml:space="preserve">Jurisdictional Components: </t>
    </r>
    <r>
      <rPr>
        <sz val="11"/>
        <color theme="1"/>
        <rFont val="Calibri"/>
        <family val="2"/>
        <scheme val="minor"/>
      </rPr>
      <t>Street Sweeping (includes contractor and disposal costs)</t>
    </r>
  </si>
  <si>
    <r>
      <rPr>
        <b/>
        <sz val="11"/>
        <color theme="1"/>
        <rFont val="Calibri"/>
        <family val="2"/>
        <scheme val="minor"/>
      </rPr>
      <t xml:space="preserve">Jurisdictional Components: </t>
    </r>
    <r>
      <rPr>
        <sz val="11"/>
        <color theme="1"/>
        <rFont val="Calibri"/>
        <family val="2"/>
        <scheme val="minor"/>
      </rPr>
      <t>Storm Drain and Channel Maintenance</t>
    </r>
  </si>
  <si>
    <r>
      <rPr>
        <b/>
        <sz val="11"/>
        <color theme="1"/>
        <rFont val="Calibri"/>
        <family val="2"/>
        <scheme val="minor"/>
      </rPr>
      <t xml:space="preserve">Jurisdictional Components: </t>
    </r>
    <r>
      <rPr>
        <sz val="11"/>
        <color theme="1"/>
        <rFont val="Calibri"/>
        <family val="2"/>
        <scheme val="minor"/>
      </rPr>
      <t>Specialized Equipment (Public Services)</t>
    </r>
  </si>
  <si>
    <r>
      <rPr>
        <b/>
        <sz val="11"/>
        <color theme="1"/>
        <rFont val="Calibri"/>
        <family val="2"/>
        <scheme val="minor"/>
      </rPr>
      <t xml:space="preserve">Jurisdictional Components: </t>
    </r>
    <r>
      <rPr>
        <sz val="11"/>
        <color theme="1"/>
        <rFont val="Calibri"/>
        <family val="2"/>
        <scheme val="minor"/>
      </rPr>
      <t>Waste Disposal (volunteer river cleanups)</t>
    </r>
  </si>
  <si>
    <r>
      <rPr>
        <b/>
        <sz val="11"/>
        <color theme="1"/>
        <rFont val="Calibri"/>
        <family val="2"/>
        <scheme val="minor"/>
      </rPr>
      <t xml:space="preserve">Jurisdictional Components: </t>
    </r>
    <r>
      <rPr>
        <sz val="11"/>
        <color theme="1"/>
        <rFont val="Calibri"/>
        <family val="2"/>
        <scheme val="minor"/>
      </rPr>
      <t>Miscellaneous Expenses (Supplies, printing, postage, apparel, rainy season sand bags, etc.)</t>
    </r>
  </si>
  <si>
    <r>
      <rPr>
        <b/>
        <sz val="11"/>
        <color theme="1"/>
        <rFont val="Calibri"/>
        <family val="2"/>
        <scheme val="minor"/>
      </rPr>
      <t xml:space="preserve">Jurisdictional Components: </t>
    </r>
    <r>
      <rPr>
        <sz val="11"/>
        <color theme="1"/>
        <rFont val="Calibri"/>
        <family val="2"/>
        <scheme val="minor"/>
      </rPr>
      <t>Professional Development</t>
    </r>
  </si>
  <si>
    <r>
      <rPr>
        <b/>
        <sz val="11"/>
        <color theme="1"/>
        <rFont val="Calibri"/>
        <family val="2"/>
        <scheme val="minor"/>
      </rPr>
      <t xml:space="preserve">Jurisdictional Components: </t>
    </r>
    <r>
      <rPr>
        <sz val="11"/>
        <color theme="1"/>
        <rFont val="Calibri"/>
        <family val="2"/>
        <scheme val="minor"/>
      </rPr>
      <t>Legal Expenses</t>
    </r>
  </si>
  <si>
    <r>
      <rPr>
        <b/>
        <sz val="11"/>
        <color theme="1"/>
        <rFont val="Calibri"/>
        <family val="2"/>
        <scheme val="minor"/>
      </rPr>
      <t xml:space="preserve">Municipal: </t>
    </r>
    <r>
      <rPr>
        <sz val="11"/>
        <color theme="1"/>
        <rFont val="Calibri"/>
        <family val="2"/>
        <scheme val="minor"/>
      </rPr>
      <t>Administration</t>
    </r>
  </si>
  <si>
    <r>
      <rPr>
        <b/>
        <sz val="11"/>
        <color theme="1"/>
        <rFont val="Calibri"/>
        <family val="2"/>
        <scheme val="minor"/>
      </rPr>
      <t>Municipal:</t>
    </r>
    <r>
      <rPr>
        <sz val="11"/>
        <color theme="1"/>
        <rFont val="Calibri"/>
        <family val="2"/>
        <scheme val="minor"/>
      </rPr>
      <t xml:space="preserve"> Municipal Inspections</t>
    </r>
  </si>
  <si>
    <r>
      <rPr>
        <b/>
        <sz val="11"/>
        <color theme="1"/>
        <rFont val="Calibri"/>
        <family val="2"/>
        <scheme val="minor"/>
      </rPr>
      <t xml:space="preserve">Municipal: </t>
    </r>
    <r>
      <rPr>
        <sz val="11"/>
        <color theme="1"/>
        <rFont val="Calibri"/>
        <family val="2"/>
        <scheme val="minor"/>
      </rPr>
      <t>Waste Management</t>
    </r>
  </si>
  <si>
    <r>
      <rPr>
        <b/>
        <sz val="11"/>
        <color theme="1"/>
        <rFont val="Calibri"/>
        <family val="2"/>
        <scheme val="minor"/>
      </rPr>
      <t xml:space="preserve">Municipal: </t>
    </r>
    <r>
      <rPr>
        <sz val="11"/>
        <color theme="1"/>
        <rFont val="Calibri"/>
        <family val="2"/>
        <scheme val="minor"/>
      </rPr>
      <t>BMP Implementation</t>
    </r>
  </si>
  <si>
    <r>
      <rPr>
        <b/>
        <sz val="11"/>
        <color theme="1"/>
        <rFont val="Calibri"/>
        <family val="2"/>
        <scheme val="minor"/>
      </rPr>
      <t>Municipal:</t>
    </r>
    <r>
      <rPr>
        <sz val="11"/>
        <color theme="1"/>
        <rFont val="Calibri"/>
        <family val="2"/>
        <scheme val="minor"/>
      </rPr>
      <t xml:space="preserve"> BMP Implementation</t>
    </r>
  </si>
  <si>
    <r>
      <rPr>
        <b/>
        <sz val="11"/>
        <color theme="1"/>
        <rFont val="Calibri"/>
        <family val="2"/>
        <scheme val="minor"/>
      </rPr>
      <t xml:space="preserve">Municipal: </t>
    </r>
    <r>
      <rPr>
        <sz val="11"/>
        <color theme="1"/>
        <rFont val="Calibri"/>
        <family val="2"/>
        <scheme val="minor"/>
      </rPr>
      <t>Other expenditures</t>
    </r>
  </si>
  <si>
    <r>
      <rPr>
        <b/>
        <sz val="11"/>
        <color theme="1"/>
        <rFont val="Calibri"/>
        <family val="2"/>
        <scheme val="minor"/>
      </rPr>
      <t xml:space="preserve">Development Planning and Construction: </t>
    </r>
    <r>
      <rPr>
        <sz val="11"/>
        <color theme="1"/>
        <rFont val="Calibri"/>
        <family val="2"/>
        <scheme val="minor"/>
      </rPr>
      <t>Compliance Inspections &amp; Enforcement</t>
    </r>
  </si>
  <si>
    <r>
      <rPr>
        <b/>
        <sz val="11"/>
        <color theme="1"/>
        <rFont val="Calibri"/>
        <family val="2"/>
        <scheme val="minor"/>
      </rPr>
      <t xml:space="preserve">Development Planning and Construction: </t>
    </r>
    <r>
      <rPr>
        <sz val="11"/>
        <color theme="1"/>
        <rFont val="Calibri"/>
        <family val="2"/>
        <scheme val="minor"/>
      </rPr>
      <t>Project Planning &amp; Engineering</t>
    </r>
  </si>
  <si>
    <r>
      <rPr>
        <b/>
        <sz val="11"/>
        <color theme="1"/>
        <rFont val="Calibri"/>
        <family val="2"/>
        <scheme val="minor"/>
      </rPr>
      <t xml:space="preserve">Industrial and Commercial: </t>
    </r>
    <r>
      <rPr>
        <sz val="11"/>
        <color theme="1"/>
        <rFont val="Calibri"/>
        <family val="2"/>
        <scheme val="minor"/>
      </rPr>
      <t>Industrial Compliance</t>
    </r>
  </si>
  <si>
    <r>
      <rPr>
        <b/>
        <sz val="11"/>
        <color theme="1"/>
        <rFont val="Calibri"/>
        <family val="2"/>
        <scheme val="minor"/>
      </rPr>
      <t>Industrial and Commercial:</t>
    </r>
    <r>
      <rPr>
        <sz val="11"/>
        <color theme="1"/>
        <rFont val="Calibri"/>
        <family val="2"/>
        <scheme val="minor"/>
      </rPr>
      <t xml:space="preserve"> IGP Program General Management</t>
    </r>
  </si>
  <si>
    <r>
      <rPr>
        <b/>
        <sz val="11"/>
        <color theme="1"/>
        <rFont val="Calibri"/>
        <family val="2"/>
        <scheme val="minor"/>
      </rPr>
      <t xml:space="preserve">Industrial and Commercial: </t>
    </r>
    <r>
      <rPr>
        <sz val="11"/>
        <color theme="1"/>
        <rFont val="Calibri"/>
        <family val="2"/>
        <scheme val="minor"/>
      </rPr>
      <t>Compliance Inspections &amp; Enforcement</t>
    </r>
  </si>
  <si>
    <r>
      <rPr>
        <b/>
        <sz val="11"/>
        <color theme="1"/>
        <rFont val="Calibri"/>
        <family val="2"/>
        <scheme val="minor"/>
      </rPr>
      <t>Education:</t>
    </r>
    <r>
      <rPr>
        <sz val="11"/>
        <color theme="1"/>
        <rFont val="Calibri"/>
        <family val="2"/>
        <scheme val="minor"/>
      </rPr>
      <t xml:space="preserve">  Education &amp; Outreach</t>
    </r>
  </si>
  <si>
    <r>
      <rPr>
        <b/>
        <sz val="11"/>
        <color theme="1"/>
        <rFont val="Calibri"/>
        <family val="2"/>
        <scheme val="minor"/>
      </rPr>
      <t xml:space="preserve">Watershed: </t>
    </r>
    <r>
      <rPr>
        <sz val="11"/>
        <color theme="1"/>
        <rFont val="Calibri"/>
        <family val="2"/>
        <scheme val="minor"/>
      </rPr>
      <t>Watershed Activities</t>
    </r>
  </si>
  <si>
    <r>
      <rPr>
        <b/>
        <sz val="11"/>
        <color theme="1"/>
        <rFont val="Calibri"/>
        <family val="2"/>
        <scheme val="minor"/>
      </rPr>
      <t xml:space="preserve">TMDL and Other Regulatory Orders: </t>
    </r>
    <r>
      <rPr>
        <sz val="11"/>
        <color theme="1"/>
        <rFont val="Calibri"/>
        <family val="2"/>
        <scheme val="minor"/>
      </rPr>
      <t>SIYB TMDL Implementation</t>
    </r>
  </si>
  <si>
    <r>
      <rPr>
        <b/>
        <sz val="11"/>
        <color theme="1"/>
        <rFont val="Calibri"/>
        <family val="2"/>
        <scheme val="minor"/>
      </rPr>
      <t>TMDL and Other Regulatory Orders:</t>
    </r>
    <r>
      <rPr>
        <sz val="11"/>
        <color theme="1"/>
        <rFont val="Calibri"/>
        <family val="2"/>
        <scheme val="minor"/>
      </rPr>
      <t xml:space="preserve"> SISP TMDL</t>
    </r>
  </si>
  <si>
    <r>
      <rPr>
        <b/>
        <sz val="11"/>
        <color theme="1"/>
        <rFont val="Calibri"/>
        <family val="2"/>
        <scheme val="minor"/>
      </rPr>
      <t>TMDL and Other Regulatory Orders:</t>
    </r>
    <r>
      <rPr>
        <sz val="11"/>
        <color theme="1"/>
        <rFont val="Calibri"/>
        <family val="2"/>
        <scheme val="minor"/>
      </rPr>
      <t xml:space="preserve"> Chollas TMDL Collaboration</t>
    </r>
  </si>
  <si>
    <r>
      <rPr>
        <b/>
        <sz val="11"/>
        <color theme="1"/>
        <rFont val="Calibri"/>
        <family val="2"/>
        <scheme val="minor"/>
      </rPr>
      <t xml:space="preserve">TMDL and Other Regulatory Orders: </t>
    </r>
    <r>
      <rPr>
        <sz val="11"/>
        <color theme="1"/>
        <rFont val="Calibri"/>
        <family val="2"/>
        <scheme val="minor"/>
      </rPr>
      <t>Other Regulatory Orders</t>
    </r>
  </si>
  <si>
    <r>
      <rPr>
        <b/>
        <sz val="11"/>
        <color theme="1"/>
        <rFont val="Calibri"/>
        <family val="2"/>
        <scheme val="minor"/>
      </rPr>
      <t xml:space="preserve">Urban Runoff and Receiving Water Monitoring: </t>
    </r>
    <r>
      <rPr>
        <sz val="11"/>
        <color theme="1"/>
        <rFont val="Calibri"/>
        <family val="2"/>
        <scheme val="minor"/>
      </rPr>
      <t>Regional Harbor Monitoring Program</t>
    </r>
  </si>
  <si>
    <r>
      <rPr>
        <b/>
        <sz val="11"/>
        <color theme="1"/>
        <rFont val="Calibri"/>
        <family val="2"/>
        <scheme val="minor"/>
      </rPr>
      <t>Urban Runoff and Receiving Water Monitoring:</t>
    </r>
    <r>
      <rPr>
        <sz val="11"/>
        <color theme="1"/>
        <rFont val="Calibri"/>
        <family val="2"/>
        <scheme val="minor"/>
      </rPr>
      <t xml:space="preserve"> MS4 Permit Required Monitoring</t>
    </r>
  </si>
  <si>
    <r>
      <rPr>
        <b/>
        <sz val="11"/>
        <color theme="1"/>
        <rFont val="Calibri"/>
        <family val="2"/>
        <scheme val="minor"/>
      </rPr>
      <t>Urban Runoff and Receiving Water Monitoring:</t>
    </r>
    <r>
      <rPr>
        <sz val="11"/>
        <color theme="1"/>
        <rFont val="Calibri"/>
        <family val="2"/>
        <scheme val="minor"/>
      </rPr>
      <t xml:space="preserve"> Other Monitoring Programs and Planning Efforts</t>
    </r>
  </si>
  <si>
    <r>
      <rPr>
        <b/>
        <sz val="11"/>
        <color theme="1"/>
        <rFont val="Calibri"/>
        <family val="2"/>
        <scheme val="minor"/>
      </rPr>
      <t>Permits and Fees:</t>
    </r>
    <r>
      <rPr>
        <sz val="11"/>
        <color theme="1"/>
        <rFont val="Calibri"/>
        <family val="2"/>
        <scheme val="minor"/>
      </rPr>
      <t xml:space="preserve"> Copermitee Regional Cost Share</t>
    </r>
  </si>
  <si>
    <r>
      <rPr>
        <b/>
        <sz val="11"/>
        <color theme="1"/>
        <rFont val="Calibri"/>
        <family val="2"/>
        <scheme val="minor"/>
      </rPr>
      <t>Permits and Fees:</t>
    </r>
    <r>
      <rPr>
        <sz val="11"/>
        <color theme="1"/>
        <rFont val="Calibri"/>
        <family val="2"/>
        <scheme val="minor"/>
      </rPr>
      <t xml:space="preserve"> SD Bay Regional/Watershed Collaboration Cost Share</t>
    </r>
  </si>
  <si>
    <r>
      <rPr>
        <b/>
        <sz val="11"/>
        <color theme="1"/>
        <rFont val="Calibri"/>
        <family val="2"/>
        <scheme val="minor"/>
      </rPr>
      <t>Permits and Fees:</t>
    </r>
    <r>
      <rPr>
        <sz val="11"/>
        <color theme="1"/>
        <rFont val="Calibri"/>
        <family val="2"/>
        <scheme val="minor"/>
      </rPr>
      <t xml:space="preserve"> Permits</t>
    </r>
  </si>
  <si>
    <r>
      <rPr>
        <b/>
        <sz val="11"/>
        <color theme="1"/>
        <rFont val="Calibri"/>
        <family val="2"/>
        <scheme val="minor"/>
      </rPr>
      <t>Education:</t>
    </r>
    <r>
      <rPr>
        <sz val="11"/>
        <color theme="1"/>
        <rFont val="Calibri"/>
        <family val="2"/>
        <scheme val="minor"/>
      </rPr>
      <t xml:space="preserve"> Outreach/Education Support</t>
    </r>
  </si>
  <si>
    <r>
      <rPr>
        <b/>
        <sz val="11"/>
        <color theme="1"/>
        <rFont val="Calibri"/>
        <family val="2"/>
        <scheme val="minor"/>
      </rPr>
      <t>Education:</t>
    </r>
    <r>
      <rPr>
        <sz val="11"/>
        <color theme="1"/>
        <rFont val="Calibri"/>
        <family val="2"/>
        <scheme val="minor"/>
      </rPr>
      <t xml:space="preserve"> Ocean Discovery Institute (formerly Aquatic Adventures)</t>
    </r>
  </si>
  <si>
    <r>
      <rPr>
        <b/>
        <sz val="11"/>
        <color theme="1"/>
        <rFont val="Calibri"/>
        <family val="2"/>
        <scheme val="minor"/>
      </rPr>
      <t>Education:</t>
    </r>
    <r>
      <rPr>
        <sz val="11"/>
        <color theme="1"/>
        <rFont val="Calibri"/>
        <family val="2"/>
        <scheme val="minor"/>
      </rPr>
      <t xml:space="preserve"> I Love a Clean San Diego</t>
    </r>
  </si>
  <si>
    <r>
      <rPr>
        <b/>
        <sz val="11"/>
        <color theme="1"/>
        <rFont val="Calibri"/>
        <family val="2"/>
        <scheme val="minor"/>
      </rPr>
      <t>Education:</t>
    </r>
    <r>
      <rPr>
        <sz val="11"/>
        <color theme="1"/>
        <rFont val="Calibri"/>
        <family val="2"/>
        <scheme val="minor"/>
      </rPr>
      <t xml:space="preserve"> Living Coast Discovery Center</t>
    </r>
  </si>
  <si>
    <r>
      <rPr>
        <b/>
        <sz val="11"/>
        <color theme="1"/>
        <rFont val="Calibri"/>
        <family val="2"/>
        <scheme val="minor"/>
      </rPr>
      <t>Education:</t>
    </r>
    <r>
      <rPr>
        <sz val="11"/>
        <color theme="1"/>
        <rFont val="Calibri"/>
        <family val="2"/>
        <scheme val="minor"/>
      </rPr>
      <t xml:space="preserve"> The Ocean Foundation</t>
    </r>
  </si>
  <si>
    <r>
      <rPr>
        <b/>
        <sz val="11"/>
        <color theme="1"/>
        <rFont val="Calibri"/>
        <family val="2"/>
        <scheme val="minor"/>
      </rPr>
      <t>Education:</t>
    </r>
    <r>
      <rPr>
        <sz val="11"/>
        <color theme="1"/>
        <rFont val="Calibri"/>
        <family val="2"/>
        <scheme val="minor"/>
      </rPr>
      <t xml:space="preserve"> Outdoor Outreach</t>
    </r>
  </si>
  <si>
    <r>
      <rPr>
        <b/>
        <sz val="11"/>
        <color theme="1"/>
        <rFont val="Calibri"/>
        <family val="2"/>
        <scheme val="minor"/>
      </rPr>
      <t>Education:</t>
    </r>
    <r>
      <rPr>
        <sz val="11"/>
        <color theme="1"/>
        <rFont val="Calibri"/>
        <family val="2"/>
        <scheme val="minor"/>
      </rPr>
      <t xml:space="preserve"> I.P.M. Training Seminars</t>
    </r>
  </si>
  <si>
    <r>
      <rPr>
        <b/>
        <sz val="11"/>
        <color theme="1"/>
        <rFont val="Calibri"/>
        <family val="2"/>
        <scheme val="minor"/>
      </rPr>
      <t>Education:</t>
    </r>
    <r>
      <rPr>
        <sz val="11"/>
        <color theme="1"/>
        <rFont val="Calibri"/>
        <family val="2"/>
        <scheme val="minor"/>
      </rPr>
      <t xml:space="preserve"> Maritime Museum Association of San Diego</t>
    </r>
  </si>
  <si>
    <r>
      <rPr>
        <b/>
        <sz val="11"/>
        <color theme="1"/>
        <rFont val="Calibri"/>
        <family val="2"/>
        <scheme val="minor"/>
      </rPr>
      <t xml:space="preserve">Education: </t>
    </r>
    <r>
      <rPr>
        <sz val="11"/>
        <color theme="1"/>
        <rFont val="Calibri"/>
        <family val="2"/>
        <scheme val="minor"/>
      </rPr>
      <t>Resource Conservation District</t>
    </r>
  </si>
  <si>
    <r>
      <rPr>
        <b/>
        <sz val="11"/>
        <color theme="1"/>
        <rFont val="Calibri"/>
        <family val="2"/>
        <scheme val="minor"/>
      </rPr>
      <t>Education:</t>
    </r>
    <r>
      <rPr>
        <sz val="11"/>
        <color theme="1"/>
        <rFont val="Calibri"/>
        <family val="2"/>
        <scheme val="minor"/>
      </rPr>
      <t xml:space="preserve"> San Diego Coastkeeper</t>
    </r>
  </si>
  <si>
    <r>
      <rPr>
        <b/>
        <sz val="11"/>
        <color theme="1"/>
        <rFont val="Calibri"/>
        <family val="2"/>
        <scheme val="minor"/>
      </rPr>
      <t xml:space="preserve">Education: </t>
    </r>
    <r>
      <rPr>
        <sz val="11"/>
        <color theme="1"/>
        <rFont val="Calibri"/>
        <family val="2"/>
        <scheme val="minor"/>
      </rPr>
      <t>Chula Vista School District</t>
    </r>
  </si>
  <si>
    <r>
      <rPr>
        <b/>
        <sz val="11"/>
        <color theme="1"/>
        <rFont val="Calibri"/>
        <family val="2"/>
        <scheme val="minor"/>
      </rPr>
      <t xml:space="preserve">Education: </t>
    </r>
    <r>
      <rPr>
        <sz val="11"/>
        <color theme="1"/>
        <rFont val="Calibri"/>
        <family val="2"/>
        <scheme val="minor"/>
      </rPr>
      <t>San Diego Aubudon Society</t>
    </r>
  </si>
  <si>
    <r>
      <rPr>
        <b/>
        <sz val="11"/>
        <color theme="1"/>
        <rFont val="Calibri"/>
        <family val="2"/>
        <scheme val="minor"/>
      </rPr>
      <t>Education:</t>
    </r>
    <r>
      <rPr>
        <sz val="11"/>
        <color theme="1"/>
        <rFont val="Calibri"/>
        <family val="2"/>
        <scheme val="minor"/>
      </rPr>
      <t xml:space="preserve"> Zoological Society of SD</t>
    </r>
  </si>
  <si>
    <r>
      <rPr>
        <b/>
        <sz val="11"/>
        <color theme="1"/>
        <rFont val="Calibri"/>
        <family val="2"/>
        <scheme val="minor"/>
      </rPr>
      <t>Development Planning and Construction:</t>
    </r>
    <r>
      <rPr>
        <sz val="11"/>
        <color theme="1"/>
        <rFont val="Calibri"/>
        <family val="2"/>
        <scheme val="minor"/>
      </rPr>
      <t xml:space="preserve"> Tenant Projects</t>
    </r>
  </si>
  <si>
    <r>
      <rPr>
        <b/>
        <sz val="11"/>
        <color theme="1"/>
        <rFont val="Calibri"/>
        <family val="2"/>
        <scheme val="minor"/>
      </rPr>
      <t>Development Planning and Construction:</t>
    </r>
    <r>
      <rPr>
        <sz val="11"/>
        <color theme="1"/>
        <rFont val="Calibri"/>
        <family val="2"/>
        <scheme val="minor"/>
      </rPr>
      <t xml:space="preserve"> Capital Projects</t>
    </r>
  </si>
  <si>
    <r>
      <rPr>
        <b/>
        <sz val="11"/>
        <color theme="1"/>
        <rFont val="Calibri"/>
        <family val="2"/>
        <scheme val="minor"/>
      </rPr>
      <t>Development Planning and Construction:</t>
    </r>
    <r>
      <rPr>
        <sz val="11"/>
        <color theme="1"/>
        <rFont val="Calibri"/>
        <family val="2"/>
        <scheme val="minor"/>
      </rPr>
      <t xml:space="preserve"> SUSMP and SWPPP Review</t>
    </r>
  </si>
  <si>
    <r>
      <rPr>
        <b/>
        <sz val="11"/>
        <color theme="1"/>
        <rFont val="Calibri"/>
        <family val="2"/>
        <scheme val="minor"/>
      </rPr>
      <t xml:space="preserve">Industrial Commercial Support: </t>
    </r>
    <r>
      <rPr>
        <sz val="11"/>
        <color theme="1"/>
        <rFont val="Calibri"/>
        <family val="2"/>
        <scheme val="minor"/>
      </rPr>
      <t xml:space="preserve"> Commercial/Industrial facilities inspection</t>
    </r>
  </si>
  <si>
    <r>
      <rPr>
        <b/>
        <sz val="11"/>
        <color theme="1"/>
        <rFont val="Calibri"/>
        <family val="2"/>
        <scheme val="minor"/>
      </rPr>
      <t xml:space="preserve">Industrial Commercial Support:  </t>
    </r>
    <r>
      <rPr>
        <sz val="11"/>
        <color theme="1"/>
        <rFont val="Calibri"/>
        <family val="2"/>
        <scheme val="minor"/>
      </rPr>
      <t>Industrial Program</t>
    </r>
  </si>
  <si>
    <r>
      <rPr>
        <b/>
        <sz val="11"/>
        <color theme="1"/>
        <rFont val="Calibri"/>
        <family val="2"/>
        <scheme val="minor"/>
      </rPr>
      <t>TMDL Support:</t>
    </r>
    <r>
      <rPr>
        <sz val="11"/>
        <color theme="1"/>
        <rFont val="Calibri"/>
        <family val="2"/>
        <scheme val="minor"/>
      </rPr>
      <t xml:space="preserve"> SIYB TMDL Implementation</t>
    </r>
  </si>
  <si>
    <r>
      <rPr>
        <b/>
        <sz val="11"/>
        <color theme="1"/>
        <rFont val="Calibri"/>
        <family val="2"/>
        <scheme val="minor"/>
      </rPr>
      <t xml:space="preserve">TMDL Support: </t>
    </r>
    <r>
      <rPr>
        <sz val="11"/>
        <color theme="1"/>
        <rFont val="Calibri"/>
        <family val="2"/>
        <scheme val="minor"/>
      </rPr>
      <t>Other TMDL related studies</t>
    </r>
  </si>
  <si>
    <r>
      <rPr>
        <b/>
        <sz val="11"/>
        <color theme="1"/>
        <rFont val="Calibri"/>
        <family val="2"/>
        <scheme val="minor"/>
      </rPr>
      <t>TMDL Support:</t>
    </r>
    <r>
      <rPr>
        <sz val="11"/>
        <color theme="1"/>
        <rFont val="Calibri"/>
        <family val="2"/>
        <scheme val="minor"/>
      </rPr>
      <t xml:space="preserve"> Chollas Creek TMDL Implementation</t>
    </r>
  </si>
  <si>
    <r>
      <rPr>
        <b/>
        <sz val="11"/>
        <color theme="1"/>
        <rFont val="Calibri"/>
        <family val="2"/>
        <scheme val="minor"/>
      </rPr>
      <t xml:space="preserve">Stormwater Permit Monitoring: </t>
    </r>
    <r>
      <rPr>
        <sz val="11"/>
        <color theme="1"/>
        <rFont val="Calibri"/>
        <family val="2"/>
        <scheme val="minor"/>
      </rPr>
      <t>Regional Harbor Monitoring Program</t>
    </r>
  </si>
  <si>
    <r>
      <rPr>
        <b/>
        <sz val="11"/>
        <color theme="1"/>
        <rFont val="Calibri"/>
        <family val="2"/>
        <scheme val="minor"/>
      </rPr>
      <t xml:space="preserve">Stormwater Permit Monitoring: </t>
    </r>
    <r>
      <rPr>
        <sz val="11"/>
        <color theme="1"/>
        <rFont val="Calibri"/>
        <family val="2"/>
        <scheme val="minor"/>
      </rPr>
      <t>Outfall Monitoring</t>
    </r>
  </si>
  <si>
    <r>
      <rPr>
        <b/>
        <sz val="11"/>
        <color theme="1"/>
        <rFont val="Calibri"/>
        <family val="2"/>
        <scheme val="minor"/>
      </rPr>
      <t xml:space="preserve">Stormwater Permit Monitoring: </t>
    </r>
    <r>
      <rPr>
        <sz val="11"/>
        <color theme="1"/>
        <rFont val="Calibri"/>
        <family val="2"/>
        <scheme val="minor"/>
      </rPr>
      <t>Industrial Monitoring and Review</t>
    </r>
  </si>
  <si>
    <r>
      <rPr>
        <b/>
        <sz val="11"/>
        <color theme="1"/>
        <rFont val="Calibri"/>
        <family val="2"/>
        <scheme val="minor"/>
      </rPr>
      <t>Watershed and Other Collaborative Efforts:</t>
    </r>
    <r>
      <rPr>
        <sz val="11"/>
        <color theme="1"/>
        <rFont val="Calibri"/>
        <family val="2"/>
        <scheme val="minor"/>
      </rPr>
      <t xml:space="preserve"> SD Bay Watershed</t>
    </r>
  </si>
  <si>
    <r>
      <rPr>
        <b/>
        <sz val="11"/>
        <color theme="1"/>
        <rFont val="Calibri"/>
        <family val="2"/>
        <scheme val="minor"/>
      </rPr>
      <t>Municipal Activities Operations and Maintenance:</t>
    </r>
    <r>
      <rPr>
        <sz val="11"/>
        <color theme="1"/>
        <rFont val="Calibri"/>
        <family val="2"/>
        <scheme val="minor"/>
      </rPr>
      <t xml:space="preserve"> Stormwater Data Management</t>
    </r>
  </si>
  <si>
    <r>
      <rPr>
        <b/>
        <sz val="11"/>
        <color theme="1"/>
        <rFont val="Calibri"/>
        <family val="2"/>
        <scheme val="minor"/>
      </rPr>
      <t xml:space="preserve">Municipal Activities Operations and Maintenance: </t>
    </r>
    <r>
      <rPr>
        <sz val="11"/>
        <color theme="1"/>
        <rFont val="Calibri"/>
        <family val="2"/>
        <scheme val="minor"/>
      </rPr>
      <t>Trash Collection and Recycling</t>
    </r>
  </si>
  <si>
    <r>
      <rPr>
        <b/>
        <sz val="11"/>
        <color theme="1"/>
        <rFont val="Calibri"/>
        <family val="2"/>
        <scheme val="minor"/>
      </rPr>
      <t>Municipal Activities Operations and Maintenance:</t>
    </r>
    <r>
      <rPr>
        <sz val="11"/>
        <color theme="1"/>
        <rFont val="Calibri"/>
        <family val="2"/>
        <scheme val="minor"/>
      </rPr>
      <t xml:space="preserve"> Cleanup Events</t>
    </r>
  </si>
  <si>
    <r>
      <rPr>
        <b/>
        <sz val="11"/>
        <color theme="1"/>
        <rFont val="Calibri"/>
        <family val="2"/>
        <scheme val="minor"/>
      </rPr>
      <t xml:space="preserve">Municipal Activities Operations and Maintenance: </t>
    </r>
    <r>
      <rPr>
        <sz val="11"/>
        <color theme="1"/>
        <rFont val="Calibri"/>
        <family val="2"/>
        <scheme val="minor"/>
      </rPr>
      <t>Stormwater Training, Equipment &amp; Supplies</t>
    </r>
  </si>
  <si>
    <r>
      <rPr>
        <b/>
        <sz val="11"/>
        <color theme="1"/>
        <rFont val="Calibri"/>
        <family val="2"/>
        <scheme val="minor"/>
      </rPr>
      <t>Municipal Activities Operations and Maintenance:</t>
    </r>
    <r>
      <rPr>
        <sz val="11"/>
        <color theme="1"/>
        <rFont val="Calibri"/>
        <family val="2"/>
        <scheme val="minor"/>
      </rPr>
      <t xml:space="preserve"> MS4 Maintenance</t>
    </r>
  </si>
  <si>
    <t>Sum of C2</t>
  </si>
  <si>
    <t>Sum of 3A</t>
  </si>
  <si>
    <t>San Diego County</t>
  </si>
  <si>
    <t>Phase Type</t>
  </si>
  <si>
    <t>Green</t>
  </si>
  <si>
    <t>Needs categorization</t>
  </si>
  <si>
    <t>$ By Population</t>
  </si>
  <si>
    <t>$ By Square Mile</t>
  </si>
  <si>
    <t>San Diego City</t>
  </si>
  <si>
    <t>Los Angeles County</t>
  </si>
  <si>
    <t>Los Angeles FCD</t>
  </si>
  <si>
    <t>Los Angeles City</t>
  </si>
  <si>
    <t>Riverside FCD</t>
  </si>
  <si>
    <t>Fresno FCD</t>
  </si>
  <si>
    <t>San Bernardino County</t>
  </si>
  <si>
    <t>San Bernardino FCD</t>
  </si>
  <si>
    <r>
      <rPr>
        <b/>
        <sz val="11"/>
        <color theme="1"/>
        <rFont val="Calibri"/>
        <family val="2"/>
        <scheme val="minor"/>
      </rPr>
      <t xml:space="preserve">15. Mercury Controls (C.11): D: </t>
    </r>
    <r>
      <rPr>
        <sz val="11"/>
        <color theme="1"/>
        <rFont val="Calibri"/>
        <family val="2"/>
        <scheme val="minor"/>
      </rPr>
      <t>C.11.c.ii.2 - Plan and Implement Green Infrastructure to Reduce Mercury Loads - Prepare Reasonable Assurance Analysis (Budget also addresses 15.E, 16.B, 16.C, and 16.D) LWA/GEOSYNTEC</t>
    </r>
  </si>
  <si>
    <t>Sacramento County</t>
  </si>
  <si>
    <t>Orange County</t>
  </si>
  <si>
    <t>Kern County</t>
  </si>
  <si>
    <t>Riverside County</t>
  </si>
  <si>
    <t>Ventura County</t>
  </si>
  <si>
    <t>Sonoma County</t>
  </si>
  <si>
    <t>Contra Costa County</t>
  </si>
  <si>
    <t>San Joaquin County</t>
  </si>
  <si>
    <t>Area (sq-mi)</t>
  </si>
  <si>
    <t>Alameda</t>
  </si>
  <si>
    <t>Principal Permittee (VCWPD)</t>
  </si>
  <si>
    <t>Monterey</t>
  </si>
  <si>
    <t>Imperial</t>
  </si>
  <si>
    <t>Public Education and Involvement</t>
  </si>
  <si>
    <t>San Francisco Bay</t>
  </si>
  <si>
    <t>Lahontan</t>
  </si>
  <si>
    <t>Colorado River Basin</t>
  </si>
  <si>
    <t/>
  </si>
  <si>
    <t>Majority RB</t>
  </si>
  <si>
    <t>Del Norte County</t>
  </si>
  <si>
    <t>Siskiyou County</t>
  </si>
  <si>
    <t>Humboldt County</t>
  </si>
  <si>
    <t>Trinity County</t>
  </si>
  <si>
    <t>Shasta County</t>
  </si>
  <si>
    <t>Modoc County</t>
  </si>
  <si>
    <t>Lassen County</t>
  </si>
  <si>
    <t>Tehama County</t>
  </si>
  <si>
    <t>Plumas County</t>
  </si>
  <si>
    <t>Mendocino County</t>
  </si>
  <si>
    <t>Glenn County</t>
  </si>
  <si>
    <t>Lake County</t>
  </si>
  <si>
    <t>Colusa County</t>
  </si>
  <si>
    <t>Butte County</t>
  </si>
  <si>
    <t>Sutter County</t>
  </si>
  <si>
    <t>Sierra County</t>
  </si>
  <si>
    <t>Yuba County</t>
  </si>
  <si>
    <t>Nevada County</t>
  </si>
  <si>
    <t>Placer County</t>
  </si>
  <si>
    <t>Napa County</t>
  </si>
  <si>
    <t>Yolo County</t>
  </si>
  <si>
    <t>Solano County</t>
  </si>
  <si>
    <t>El Dorado County</t>
  </si>
  <si>
    <t>Amador County</t>
  </si>
  <si>
    <t>Alpine County</t>
  </si>
  <si>
    <t>Calaveras County</t>
  </si>
  <si>
    <t>Tuolumne County</t>
  </si>
  <si>
    <t>Mono County</t>
  </si>
  <si>
    <t>Marin County</t>
  </si>
  <si>
    <t>San Francisco County</t>
  </si>
  <si>
    <t>Alameda County</t>
  </si>
  <si>
    <t>San Mateo County</t>
  </si>
  <si>
    <t>Santa Clara County</t>
  </si>
  <si>
    <t>Stanislaus County</t>
  </si>
  <si>
    <t>Merced County</t>
  </si>
  <si>
    <t>Mariposa County</t>
  </si>
  <si>
    <t>Madera County</t>
  </si>
  <si>
    <t>Fresno County</t>
  </si>
  <si>
    <t>Inyo County</t>
  </si>
  <si>
    <t>Santa Cruz County</t>
  </si>
  <si>
    <t>Monterey County</t>
  </si>
  <si>
    <t>San Benito County</t>
  </si>
  <si>
    <t>Tulare County</t>
  </si>
  <si>
    <t>Kings County</t>
  </si>
  <si>
    <t>San Luis Obispo County</t>
  </si>
  <si>
    <t>Santa Barbara County</t>
  </si>
  <si>
    <t>Imperial County</t>
  </si>
  <si>
    <t>Majority RB #</t>
  </si>
  <si>
    <t>Adelanto</t>
  </si>
  <si>
    <t>Modoc</t>
  </si>
  <si>
    <t>Madera</t>
  </si>
  <si>
    <t>Stanislaus</t>
  </si>
  <si>
    <t>Albany</t>
  </si>
  <si>
    <t>Mendocino</t>
  </si>
  <si>
    <t>Humboldt</t>
  </si>
  <si>
    <t>Sierra</t>
  </si>
  <si>
    <t>Solano</t>
  </si>
  <si>
    <t>Tulare</t>
  </si>
  <si>
    <t>Plumas</t>
  </si>
  <si>
    <t>Alpine</t>
  </si>
  <si>
    <t>Placer</t>
  </si>
  <si>
    <t>Nevada</t>
  </si>
  <si>
    <t>Marin</t>
  </si>
  <si>
    <t>Alturas</t>
  </si>
  <si>
    <t>Santa Clara</t>
  </si>
  <si>
    <t>Amador</t>
  </si>
  <si>
    <t>Napa</t>
  </si>
  <si>
    <t>Santa Cruz</t>
  </si>
  <si>
    <t>Anderson</t>
  </si>
  <si>
    <t>Shasta</t>
  </si>
  <si>
    <t>Angels</t>
  </si>
  <si>
    <t>Calaveras</t>
  </si>
  <si>
    <t>Antioch</t>
  </si>
  <si>
    <t>Colusa</t>
  </si>
  <si>
    <t>Arcata</t>
  </si>
  <si>
    <t>Kings</t>
  </si>
  <si>
    <t>San Benito</t>
  </si>
  <si>
    <t>San Luis Obispo</t>
  </si>
  <si>
    <t>Glenn</t>
  </si>
  <si>
    <t>Arvin</t>
  </si>
  <si>
    <t>Mono</t>
  </si>
  <si>
    <t>Atascadero</t>
  </si>
  <si>
    <t>Atherton</t>
  </si>
  <si>
    <t>San Mateo</t>
  </si>
  <si>
    <t>Atwater</t>
  </si>
  <si>
    <t>Merced</t>
  </si>
  <si>
    <t>Auburn</t>
  </si>
  <si>
    <t>El Dorado</t>
  </si>
  <si>
    <t>Avalon</t>
  </si>
  <si>
    <t>Avenal</t>
  </si>
  <si>
    <t>Santa Barbara</t>
  </si>
  <si>
    <t>Butte</t>
  </si>
  <si>
    <t>Banning</t>
  </si>
  <si>
    <t>Barstow</t>
  </si>
  <si>
    <t>Yuba</t>
  </si>
  <si>
    <t>Mariposa</t>
  </si>
  <si>
    <t>Belmont</t>
  </si>
  <si>
    <t>Belvedere</t>
  </si>
  <si>
    <t>Tehama</t>
  </si>
  <si>
    <t>Benicia</t>
  </si>
  <si>
    <t>Del Norte</t>
  </si>
  <si>
    <t>Lassen</t>
  </si>
  <si>
    <t>Inyo</t>
  </si>
  <si>
    <t>Biggs</t>
  </si>
  <si>
    <t>Bishop</t>
  </si>
  <si>
    <t>Blythe</t>
  </si>
  <si>
    <t>Brawley</t>
  </si>
  <si>
    <t>Brentwood</t>
  </si>
  <si>
    <t>Brisbane</t>
  </si>
  <si>
    <t>Buellton</t>
  </si>
  <si>
    <t>Burlingame</t>
  </si>
  <si>
    <t>Trinity</t>
  </si>
  <si>
    <t>Calexico</t>
  </si>
  <si>
    <t>Calipatria</t>
  </si>
  <si>
    <t>Calistoga</t>
  </si>
  <si>
    <t>Campbell</t>
  </si>
  <si>
    <t>Capitola</t>
  </si>
  <si>
    <t>Carmel-by-the-Sea</t>
  </si>
  <si>
    <t>Carpinteria</t>
  </si>
  <si>
    <t>Siskiyou</t>
  </si>
  <si>
    <t>Tuolumne</t>
  </si>
  <si>
    <t>Ceres</t>
  </si>
  <si>
    <t>Chico</t>
  </si>
  <si>
    <t>Chowchilla</t>
  </si>
  <si>
    <t>Yolo</t>
  </si>
  <si>
    <t>Clayton</t>
  </si>
  <si>
    <t>Clearlake</t>
  </si>
  <si>
    <t>Lake</t>
  </si>
  <si>
    <t>Cloverdale</t>
  </si>
  <si>
    <t>Coachella</t>
  </si>
  <si>
    <t>Coalinga</t>
  </si>
  <si>
    <t>Colfax</t>
  </si>
  <si>
    <t>Colma</t>
  </si>
  <si>
    <t>Commerce</t>
  </si>
  <si>
    <t>Concord</t>
  </si>
  <si>
    <t>Corcoran</t>
  </si>
  <si>
    <t>Corning</t>
  </si>
  <si>
    <t>Cotati</t>
  </si>
  <si>
    <t>Cudahy</t>
  </si>
  <si>
    <t>Cupertino</t>
  </si>
  <si>
    <t>Danville</t>
  </si>
  <si>
    <t>Davis</t>
  </si>
  <si>
    <t>Delano</t>
  </si>
  <si>
    <t>Dinuba</t>
  </si>
  <si>
    <t>Dixon</t>
  </si>
  <si>
    <t>Dorris</t>
  </si>
  <si>
    <t>Dublin</t>
  </si>
  <si>
    <t>Dunsmuir</t>
  </si>
  <si>
    <t>Sutter</t>
  </si>
  <si>
    <t>El Cerrito</t>
  </si>
  <si>
    <t>Emeryville</t>
  </si>
  <si>
    <t>Escalon</t>
  </si>
  <si>
    <t>Etna</t>
  </si>
  <si>
    <t>Eureka</t>
  </si>
  <si>
    <t>Exeter</t>
  </si>
  <si>
    <t>Fairfax</t>
  </si>
  <si>
    <t>Fairfield</t>
  </si>
  <si>
    <t>Farmersville</t>
  </si>
  <si>
    <t>Ferndale</t>
  </si>
  <si>
    <t>Firebaugh</t>
  </si>
  <si>
    <t>Fortuna</t>
  </si>
  <si>
    <t>Fowler</t>
  </si>
  <si>
    <t>Fremont</t>
  </si>
  <si>
    <t>Gilroy</t>
  </si>
  <si>
    <t>Goleta</t>
  </si>
  <si>
    <t>Gonzales</t>
  </si>
  <si>
    <t>Greenfield</t>
  </si>
  <si>
    <t>Gridley</t>
  </si>
  <si>
    <t>Guadalupe</t>
  </si>
  <si>
    <t>Gustine</t>
  </si>
  <si>
    <t>Hanford</t>
  </si>
  <si>
    <t>Hayward</t>
  </si>
  <si>
    <t>Healdsburg</t>
  </si>
  <si>
    <t>Hercules</t>
  </si>
  <si>
    <t>Hesperia</t>
  </si>
  <si>
    <t>Hillsborough</t>
  </si>
  <si>
    <t>Hollister</t>
  </si>
  <si>
    <t>Holtville</t>
  </si>
  <si>
    <t>Hughson</t>
  </si>
  <si>
    <t>Huron</t>
  </si>
  <si>
    <t>Indio</t>
  </si>
  <si>
    <t>Ione</t>
  </si>
  <si>
    <t>Isleton</t>
  </si>
  <si>
    <t>Jackson</t>
  </si>
  <si>
    <t>Kerman</t>
  </si>
  <si>
    <t>Kingsburg</t>
  </si>
  <si>
    <t>La Quinta</t>
  </si>
  <si>
    <t>Lafayette</t>
  </si>
  <si>
    <t>Lakeport</t>
  </si>
  <si>
    <t>Lancaster</t>
  </si>
  <si>
    <t>Larkspur</t>
  </si>
  <si>
    <t>Lathrop</t>
  </si>
  <si>
    <t>Lemoore</t>
  </si>
  <si>
    <t>Lincoln</t>
  </si>
  <si>
    <t>Lindsay</t>
  </si>
  <si>
    <t>Live Oak</t>
  </si>
  <si>
    <t>Livermore</t>
  </si>
  <si>
    <t>Livingston</t>
  </si>
  <si>
    <t>Lodi</t>
  </si>
  <si>
    <t>Lompoc</t>
  </si>
  <si>
    <t>Loomis</t>
  </si>
  <si>
    <t>Loyalton</t>
  </si>
  <si>
    <t>Lynwood</t>
  </si>
  <si>
    <t>Manteca</t>
  </si>
  <si>
    <t>Maricopa</t>
  </si>
  <si>
    <t>Marina</t>
  </si>
  <si>
    <t>Martinez</t>
  </si>
  <si>
    <t>Marysville</t>
  </si>
  <si>
    <t>Maywood</t>
  </si>
  <si>
    <t>McFarland</t>
  </si>
  <si>
    <t>Mendota</t>
  </si>
  <si>
    <t>Millbrae</t>
  </si>
  <si>
    <t>Milpitas</t>
  </si>
  <si>
    <t>Modesto</t>
  </si>
  <si>
    <t>Montague</t>
  </si>
  <si>
    <t>Moraga</t>
  </si>
  <si>
    <t>Needles</t>
  </si>
  <si>
    <t>Newark</t>
  </si>
  <si>
    <t>Newman</t>
  </si>
  <si>
    <t>Novato</t>
  </si>
  <si>
    <t>Oakdale</t>
  </si>
  <si>
    <t>Oakland</t>
  </si>
  <si>
    <t>Oakley</t>
  </si>
  <si>
    <t>Orinda</t>
  </si>
  <si>
    <t>Orland</t>
  </si>
  <si>
    <t>Oroville</t>
  </si>
  <si>
    <t>Pacifica</t>
  </si>
  <si>
    <t>Palmdale</t>
  </si>
  <si>
    <t>Paradise</t>
  </si>
  <si>
    <t>Parlier</t>
  </si>
  <si>
    <t>Patterson</t>
  </si>
  <si>
    <t>Petaluma</t>
  </si>
  <si>
    <t>Piedmont</t>
  </si>
  <si>
    <t>Pinole</t>
  </si>
  <si>
    <t>Pittsburg</t>
  </si>
  <si>
    <t>Placerville</t>
  </si>
  <si>
    <t>Pleasanton</t>
  </si>
  <si>
    <t>Plymouth</t>
  </si>
  <si>
    <t>Porterville</t>
  </si>
  <si>
    <t>Portola</t>
  </si>
  <si>
    <t>Redding</t>
  </si>
  <si>
    <t>Reedley</t>
  </si>
  <si>
    <t>Richmond</t>
  </si>
  <si>
    <t>Ridgecrest</t>
  </si>
  <si>
    <t>Rio Dell</t>
  </si>
  <si>
    <t>Ripon</t>
  </si>
  <si>
    <t>Riverbank</t>
  </si>
  <si>
    <t>Rocklin</t>
  </si>
  <si>
    <t>Roseville</t>
  </si>
  <si>
    <t>Ross</t>
  </si>
  <si>
    <t>San Jose</t>
  </si>
  <si>
    <t>San Francisco</t>
  </si>
  <si>
    <t>Sanger</t>
  </si>
  <si>
    <t>Saratoga</t>
  </si>
  <si>
    <t>Sausalito</t>
  </si>
  <si>
    <t>Seaside</t>
  </si>
  <si>
    <t>Sebastopol</t>
  </si>
  <si>
    <t>Selma</t>
  </si>
  <si>
    <t>Shafter</t>
  </si>
  <si>
    <t>Soledad</t>
  </si>
  <si>
    <t>Solvang</t>
  </si>
  <si>
    <t>Sonora</t>
  </si>
  <si>
    <t>Sunnyvale</t>
  </si>
  <si>
    <t>Susanville</t>
  </si>
  <si>
    <t>Taft</t>
  </si>
  <si>
    <t>Tehachapi</t>
  </si>
  <si>
    <t>Tiburon</t>
  </si>
  <si>
    <t>Tracy</t>
  </si>
  <si>
    <t>Trinidad</t>
  </si>
  <si>
    <t>Truckee</t>
  </si>
  <si>
    <t>Tulelake</t>
  </si>
  <si>
    <t>Turlock</t>
  </si>
  <si>
    <t>Ukiah</t>
  </si>
  <si>
    <t>Vacaville</t>
  </si>
  <si>
    <t>Vallejo</t>
  </si>
  <si>
    <t>Vernon</t>
  </si>
  <si>
    <t>Victorville</t>
  </si>
  <si>
    <t>Visalia</t>
  </si>
  <si>
    <t>Wasco</t>
  </si>
  <si>
    <t>Waterford</t>
  </si>
  <si>
    <t>Watsonville</t>
  </si>
  <si>
    <t>Weed</t>
  </si>
  <si>
    <t>Westmorland</t>
  </si>
  <si>
    <t>Wheatland</t>
  </si>
  <si>
    <t>Williams</t>
  </si>
  <si>
    <t>Willits</t>
  </si>
  <si>
    <t>Willows</t>
  </si>
  <si>
    <t>Windsor</t>
  </si>
  <si>
    <t>Winters</t>
  </si>
  <si>
    <t>Woodlake</t>
  </si>
  <si>
    <t>Woodland</t>
  </si>
  <si>
    <t>Woodside</t>
  </si>
  <si>
    <t>Yountville</t>
  </si>
  <si>
    <t>Yreka</t>
  </si>
  <si>
    <t>Los Altos</t>
  </si>
  <si>
    <t>Santa Rosa</t>
  </si>
  <si>
    <t>Palo Alto</t>
  </si>
  <si>
    <t>El Paso de Robles (Paso Robles)</t>
  </si>
  <si>
    <t>Half Moon Bay</t>
  </si>
  <si>
    <t>San Buenaventura (Ventura)</t>
  </si>
  <si>
    <t>Yucca Valley</t>
  </si>
  <si>
    <t>Amador City</t>
  </si>
  <si>
    <t>American Canyon</t>
  </si>
  <si>
    <t>Apple Valley</t>
  </si>
  <si>
    <t>Arroyo Grande</t>
  </si>
  <si>
    <t>Bell Gardens</t>
  </si>
  <si>
    <t>Blue Lake</t>
  </si>
  <si>
    <t>California City</t>
  </si>
  <si>
    <t>Cathedral City</t>
  </si>
  <si>
    <t>Corte Madera</t>
  </si>
  <si>
    <t>Crescent City</t>
  </si>
  <si>
    <t>Daly City</t>
  </si>
  <si>
    <t>Del Rey Oaks</t>
  </si>
  <si>
    <t>Desert Hot Springs</t>
  </si>
  <si>
    <t>Dos Palos</t>
  </si>
  <si>
    <t>East Palo Alto</t>
  </si>
  <si>
    <t>Fort Bragg</t>
  </si>
  <si>
    <t>Fort Jones</t>
  </si>
  <si>
    <t>Foster City</t>
  </si>
  <si>
    <t>Grass Valley</t>
  </si>
  <si>
    <t>Grover Beach</t>
  </si>
  <si>
    <t>Huntington Park</t>
  </si>
  <si>
    <t>Indian Wells</t>
  </si>
  <si>
    <t>King City</t>
  </si>
  <si>
    <t>Los Altos Hills</t>
  </si>
  <si>
    <t>Los Banos</t>
  </si>
  <si>
    <t>Los Gatos</t>
  </si>
  <si>
    <t>Mammoth Lakes</t>
  </si>
  <si>
    <t>Menlo Park</t>
  </si>
  <si>
    <t>Mill Valley</t>
  </si>
  <si>
    <t>Monte Sereno</t>
  </si>
  <si>
    <t>Morgan Hill</t>
  </si>
  <si>
    <t>Morro Bay</t>
  </si>
  <si>
    <t>Mount Shasta</t>
  </si>
  <si>
    <t>Mountain View</t>
  </si>
  <si>
    <t>Nevada City</t>
  </si>
  <si>
    <t>Orange Cove</t>
  </si>
  <si>
    <t>Pacific Grove</t>
  </si>
  <si>
    <t>Palm Desert</t>
  </si>
  <si>
    <t>Palm Springs</t>
  </si>
  <si>
    <t>Pismo Beach</t>
  </si>
  <si>
    <t>Pleasant Hill</t>
  </si>
  <si>
    <t>Point Arena</t>
  </si>
  <si>
    <t>Portola Valley</t>
  </si>
  <si>
    <t>Rancho Mirage</t>
  </si>
  <si>
    <t>Red Bluff</t>
  </si>
  <si>
    <t>Redwood City</t>
  </si>
  <si>
    <t>Rio Vista</t>
  </si>
  <si>
    <t>Rohnert Park</t>
  </si>
  <si>
    <t>San Anselmo</t>
  </si>
  <si>
    <t>San Bruno</t>
  </si>
  <si>
    <t>San Carlos</t>
  </si>
  <si>
    <t>San Juan Bautista</t>
  </si>
  <si>
    <t>San Leandro</t>
  </si>
  <si>
    <t>San Pablo</t>
  </si>
  <si>
    <t>San Rafael</t>
  </si>
  <si>
    <t>San Ramon</t>
  </si>
  <si>
    <t>Sand City</t>
  </si>
  <si>
    <t>Santa Fe Springs</t>
  </si>
  <si>
    <t>Santa Maria</t>
  </si>
  <si>
    <t>Scotts Valley</t>
  </si>
  <si>
    <t>Shasta Lake</t>
  </si>
  <si>
    <t>South Gate</t>
  </si>
  <si>
    <t>South Lake Tahoe</t>
  </si>
  <si>
    <t>South San Francisco</t>
  </si>
  <si>
    <t>St. Helena</t>
  </si>
  <si>
    <t>Suisun City</t>
  </si>
  <si>
    <t>Sutter Creek</t>
  </si>
  <si>
    <t>Twentynine Palms</t>
  </si>
  <si>
    <t>Union City</t>
  </si>
  <si>
    <t>Walnut Creek</t>
  </si>
  <si>
    <t>West Hollywood</t>
  </si>
  <si>
    <t>West Sacramento</t>
  </si>
  <si>
    <t>Yuba City</t>
  </si>
  <si>
    <t>Regional Board</t>
  </si>
  <si>
    <t>Regional Board #</t>
  </si>
  <si>
    <t>S.U.S.M.P. (Standard Urban Storm Water Mitigation Plan)</t>
  </si>
  <si>
    <t>County-wide costs.</t>
  </si>
  <si>
    <t>includes education regarding IC/ID, 24 hour hotline to report illegal discharges, maintenance of website, distribute pamphlets, brochures, radio, social media, advertisements, surveys, etc (check Table 10-2 in the pdf on rcflood.org
County-wide costs.</t>
  </si>
  <si>
    <t>City Council-approved values</t>
  </si>
  <si>
    <t>Includes Baseline Monitoring Program, Bioassessment Analysis, Dry Weather Field Screening, Smith Canal Bathymetry Study, Detention Basin Monitoring, BMP Effectiveness Study, Sediment Toxicity, Smith Canal/Mosher Slough Low DO13267 Letter Monitoring</t>
  </si>
  <si>
    <t>Staff salaries</t>
  </si>
  <si>
    <t>Population</t>
  </si>
  <si>
    <t>Population Data from</t>
  </si>
  <si>
    <t>United States Census Bureau. B01001 SEX BY AGE, 2017 American Community Survey 5-Year Estimates. U.S. Census Bureau, American Community Survey Office. Web. 6 December 2018. http://www.census.gov/.</t>
  </si>
  <si>
    <t>United States Census Bureau. Annual Estimates of the Resident Population: April 1, 2010 to July 1, 2018. U.S. Census Bureau, Population Division. Web. May 2019. http://www.census.gov/.</t>
  </si>
  <si>
    <t>Downloaded from</t>
  </si>
  <si>
    <t>https://www.california-demographics.com/cities_by_population</t>
  </si>
  <si>
    <t>Areas from:</t>
  </si>
  <si>
    <t>From the US Census TIGER GIS file for California Places</t>
  </si>
  <si>
    <t>Representative Year</t>
  </si>
  <si>
    <t>YES</t>
  </si>
  <si>
    <t>Majority Regional Board for Counties:</t>
  </si>
  <si>
    <t>Selected Regional Board covers the majority of the county's population. Determined using census population data.</t>
  </si>
  <si>
    <t>Value calculated, not given in original table</t>
  </si>
  <si>
    <t>Prop O grant ($500 million Clean Water, Ocean, River, Beach, Bay Stormwater Clean up Measure). The council set aside $518 million. Approximately 44.5 million was set aside for planning, design, and construction.</t>
  </si>
  <si>
    <t>This budget/expenditure does not reflect all monies used by the City to perform activities that enhance stormwater quality via other Programs (e.g. street sweeping, solid waste collection and trash cleanup evets, etc.).</t>
  </si>
  <si>
    <t>* Note that Santa Paula did not submit Budget annual report data this reporting year.</t>
  </si>
  <si>
    <t>Phase II permit data from:</t>
  </si>
  <si>
    <t>Phase I permit data from:</t>
  </si>
  <si>
    <t>Expenditure</t>
  </si>
  <si>
    <t>Budget</t>
  </si>
  <si>
    <t>Total Annual Budgets</t>
  </si>
  <si>
    <t>Jurisdiction Info</t>
  </si>
  <si>
    <t>Categorized Activities</t>
  </si>
  <si>
    <t>Data Type</t>
  </si>
  <si>
    <t>Categorized Activities Data Available</t>
  </si>
  <si>
    <t>2016–2017</t>
  </si>
  <si>
    <t>2011–2012</t>
  </si>
  <si>
    <t>2012–2013</t>
  </si>
  <si>
    <t>2002–2003</t>
  </si>
  <si>
    <t>2015–2016</t>
  </si>
  <si>
    <t>2017–2018</t>
  </si>
  <si>
    <t>2001–2002</t>
  </si>
  <si>
    <t>2018–2019</t>
  </si>
  <si>
    <t>2019–2020</t>
  </si>
  <si>
    <t>2020–2021</t>
  </si>
  <si>
    <t>2021–2022</t>
  </si>
  <si>
    <t>2013–2014</t>
  </si>
  <si>
    <t>2014–2015</t>
  </si>
  <si>
    <t>2005–2006</t>
  </si>
  <si>
    <t>2006–2007</t>
  </si>
  <si>
    <t>2008–2009</t>
  </si>
  <si>
    <t>2010–2011</t>
  </si>
  <si>
    <t>2003–2004</t>
  </si>
  <si>
    <t>2004–2005</t>
  </si>
  <si>
    <t>2007–2008</t>
  </si>
  <si>
    <t>2009–2010</t>
  </si>
  <si>
    <t>The Storm Drainage Fund revenues cover the cost of storm drainage operations for pumping stations, wet weather treatment and storage, collection system maintenance, related engineering services, floodplain management, customer service and billing, education programs, water quality monitoring, innovative “green” infrastructure programs, regulatory compliance, and a capital improvement program. Fund expenditures are divided among operating costs, debt service, and capital improvement and multi–year operating projects
The Storm Drainage Fund does not reflect all monies used by other City departments to assist with implementation of the Stormwater Program such as street sweeping, the household hazardous waste center, illegal dumping, etc.</t>
  </si>
  <si>
    <t>The budget allocated to the NPDES–related Capital Improvement Projects (CIPs) during FY 17/18 was $1.1 million.</t>
  </si>
  <si>
    <t>1999–2000</t>
  </si>
  <si>
    <t>2000–2001</t>
  </si>
  <si>
    <t>Stormwater Program Management</t>
  </si>
  <si>
    <t>Construction Site Controls</t>
  </si>
  <si>
    <t>Unable to Decipher</t>
  </si>
  <si>
    <t>Pollution Prevention</t>
  </si>
  <si>
    <t>Post-Construction</t>
  </si>
  <si>
    <t>Watershed - San Diego Bay Watershed: Watershed Activities</t>
  </si>
  <si>
    <t>Citrus Heights provides budget only, not expenses (DB)</t>
  </si>
  <si>
    <t>see annual report for more detail on Berkeley.
Includes administration across multiple program components per tables 3, 4, and 5 in the annual report (DB)</t>
  </si>
  <si>
    <t>Typo from original table, says 45,00, might have meant 45,000? (DB)</t>
  </si>
  <si>
    <t>Other has two values in the Other row (DB)</t>
  </si>
  <si>
    <t>Original table has two values in the Monitoring row (DB)</t>
  </si>
  <si>
    <t>Unsure about table, "water water enterprise fund", also some line items are cut off (DB)</t>
  </si>
  <si>
    <t>Undefined (DB)</t>
  </si>
  <si>
    <t>Inspection private construction projects, utilize enforcement, maintain inspection data.
Activities defined separately in annual report, but combined in cost reporting (DB)</t>
  </si>
  <si>
    <t>remove debris accumulation and prevent flooding, maintain performance of drain system.
Operation and maintenance costs for the entire storm drainage system (DB)</t>
  </si>
  <si>
    <t>BMP Requirements for All Construction Sites
· Construction Site Inventory
· Construction Plan Review and Approval Procedures
· Construction Site Inspection and Enforcement
· Construction Outreach, Education, and Training
Construction does not include emergency construction activities required to immediately protect public health and safety or routine maintenance activities required to maintain the integrity of structures by performing minor repair and restoration work, maintain the original line and grade, hydraulic capacity, or original purposes of the facility. See “Routine Maintenance” definition for further explanation
The construction program covers all construction categories (DB)</t>
  </si>
  <si>
    <t>LIP categorizes as Public Information (DB)</t>
  </si>
  <si>
    <t>Activities Implemented through Cost Share Agreements with Other Agencies (DB)</t>
  </si>
  <si>
    <t>Municipal Activities (LIP Section A- 5.0). Included in the Environmental Performance Reporting Program (DB)</t>
  </si>
  <si>
    <t>Municipal Activities (LIP Section A- 5.0) (Municipal Activities). Included in the Environmental Performance Reporting Program (DB)</t>
  </si>
  <si>
    <t>An asphalt overlay is applied to existing high volume traffic streets when the asphalt pavement surface deteriorates to the point of needing repair. 
Not part of the overall NPDES Program; however, considered a significant County-wide NPDES-related activity (DB)</t>
  </si>
  <si>
    <t>This program element may include the following: project approval process, site inventory and tracking, inspection/outreach, enforcement of local codes and ordinances, and training.
Staff salaries - outreach (DB)</t>
  </si>
  <si>
    <t>This program element may include the following: high priority facility inventory and tracking, inspection/outreach, enforcement of local codes and ordinances and training. 
Staff salaries, inspections, and follow-up inspections (DB)</t>
  </si>
  <si>
    <t>MS4 permit also calls it Pollution Prevention/Good Housekeeping.
Staff salaries, CIPs, and Storm Drain System Cleaning and Maintenance (includes Illicit Discharges, illegal connections mitigation, and
clean-up) (DB)</t>
  </si>
  <si>
    <t>Educational materials distributed, media campaigns, community-wide events, events held for school-age children
MS4 permit names Public Involvement and Participation Program. 
Staff salaries, industrial, commercial, and residential programs, including media and community events (DB)</t>
  </si>
  <si>
    <t>[a]    Annually, the City breaks the overall budget down into individual Program Element expenditures. The City has developed and is implementing a consistent methodology for tracking stormwater program expenditures.
[b]    Facility Pollution Prevention Plans (FPPPs) are paid for out of Public Works budget and are not a Stormwater Expense.
[c]    The Industrial and Commercial Inspection Program is conducted in-house by Stormwater and Environmental Control Staff. During the 2017-2018 reporting year, the City reorganized staffing positions to better align with permit objectives. During this process, the staff positions for inspector and project manager were vacant; therefore, there was no salary expenditure.
[d]    During the 2017-2018 reporting year, the City reorganized staffing positions to better align with permit objectives. During this process, the staff position for construction site inspector was vacant; therefore, there was no salary expenditure.
Staff salaries, utility billing, phone charges, computer software/rentals, memberships, permit fees, indirect cost allocations, training, consultant contracts (DB)</t>
  </si>
  <si>
    <t>https://www.waterboards.ca.gov/water_issues/programs/stormwater/phase_i_municipal.html (Accessed 5/2020)</t>
  </si>
  <si>
    <t>https://www.waterboards.ca.gov/water_issues/programs/stormwater/phase_ii_municipal.html (Accessed 5/2020)</t>
  </si>
  <si>
    <t>Estimating Benefits and Costs of Stormwater Management, Part II: Reported Costs in California.</t>
  </si>
  <si>
    <t>Description</t>
  </si>
  <si>
    <t>Budgets</t>
  </si>
  <si>
    <t>Expenditures</t>
  </si>
  <si>
    <t>Categorized_Activities</t>
  </si>
  <si>
    <t>Total annual reported expenditures by year and entity</t>
  </si>
  <si>
    <t>Total annual reported budgets by year and entity</t>
  </si>
  <si>
    <t>Reported budgets and spending, transcribed from reported amounts and categorized, by year and entity. The reported amounts were further attributed to standardized categories</t>
  </si>
  <si>
    <t>Jusrisdiction_info</t>
  </si>
  <si>
    <t>Inflation_info</t>
  </si>
  <si>
    <t>Characteristics of jurisditions</t>
  </si>
  <si>
    <t>Table of inflation adjustment values for normalizing dollar values, based on Consumer Price Index published values</t>
  </si>
  <si>
    <t>Total Annual Expenditures</t>
  </si>
  <si>
    <t>Table 5</t>
  </si>
  <si>
    <t>Figure 2</t>
  </si>
  <si>
    <t>Figure 2 continued</t>
  </si>
  <si>
    <t>Figure 3</t>
  </si>
  <si>
    <t>Figure 3 continued</t>
  </si>
  <si>
    <t>Number of reporting entities for budgets and expenditures by region of the California State Water Resources Control Board</t>
  </si>
  <si>
    <t>Total number of reported values available for budgets and expenditures across all years</t>
  </si>
  <si>
    <t>Number of entities that reported budgets (left) and expenditures (right), based on evaluating the most recent single fiscal year in the jurisdiction’s annual reports, or another year representative of multi-year spending trends</t>
  </si>
  <si>
    <t>Regions</t>
  </si>
  <si>
    <t>Number of Entities Reporting Budgets</t>
  </si>
  <si>
    <t>Number of Entities Reporting Expenditures</t>
  </si>
  <si>
    <t>1: North Coast</t>
  </si>
  <si>
    <t>2: San Francisco Bay</t>
  </si>
  <si>
    <t>3: Central Coast</t>
  </si>
  <si>
    <t>4: Los Angeles</t>
  </si>
  <si>
    <t>5: Central Valley</t>
  </si>
  <si>
    <t>6: Lahontan</t>
  </si>
  <si>
    <t>7: Colorado River Basin</t>
  </si>
  <si>
    <t>8: Santa Ana</t>
  </si>
  <si>
    <t>9: San Diego</t>
  </si>
  <si>
    <t>Total</t>
  </si>
  <si>
    <t>Row Labels</t>
  </si>
  <si>
    <t>Distinct Count of Jurisdiction</t>
  </si>
  <si>
    <t>Count of Type</t>
  </si>
  <si>
    <t>Column Labels</t>
  </si>
  <si>
    <t>(Multiple Items)</t>
  </si>
  <si>
    <t>Grand Total</t>
  </si>
  <si>
    <t>Count</t>
  </si>
  <si>
    <t>Table 7</t>
  </si>
  <si>
    <t>Figure 4</t>
  </si>
  <si>
    <t>Table 8</t>
  </si>
  <si>
    <t>Table 9</t>
  </si>
  <si>
    <t>Figure 5</t>
  </si>
  <si>
    <t>Summary statistics for reported annual budgets and expenditures. Values reported here are only for cities and counties, not flood control districts or others due to the low sample size for these latter entities.  Statistics are for data from most representative year for each jurisdiction, normalized to 2018 dollars</t>
  </si>
  <si>
    <t>Average and total annual budgets and expenditures, by entity type</t>
  </si>
  <si>
    <t>Total and average stormwater budgets, by entity type, in real dollars (normalized to 2018). The summary statistics are based on the most representative year for each entity, providing a method to estimate statewide budgets</t>
  </si>
  <si>
    <t xml:space="preserve">Total and average stormwater expenditures, by entity type, in real dollars (normalized to 2018 based on an inflation index). The summary statistics are based on the most representative year for each entity, providing a method to estimate statewide expenditures </t>
  </si>
  <si>
    <t>Distribution of reported expenditures across cities and counties. Mean values are indicated by an X, while median values are represented by lines</t>
  </si>
  <si>
    <t>Statistic</t>
  </si>
  <si>
    <r>
      <t>City Budgets</t>
    </r>
    <r>
      <rPr>
        <b/>
        <vertAlign val="superscript"/>
        <sz val="10"/>
        <color rgb="FFFFFFFF"/>
        <rFont val="Calibri"/>
        <family val="2"/>
        <scheme val="minor"/>
      </rPr>
      <t>1</t>
    </r>
  </si>
  <si>
    <r>
      <t>County Budgets</t>
    </r>
    <r>
      <rPr>
        <b/>
        <vertAlign val="superscript"/>
        <sz val="10"/>
        <color rgb="FFFFFFFF"/>
        <rFont val="Calibri"/>
        <family val="2"/>
        <scheme val="minor"/>
      </rPr>
      <t>1</t>
    </r>
  </si>
  <si>
    <r>
      <t>City Expenditures</t>
    </r>
    <r>
      <rPr>
        <b/>
        <vertAlign val="superscript"/>
        <sz val="10"/>
        <color rgb="FFFFFFFF"/>
        <rFont val="Calibri"/>
        <family val="2"/>
        <scheme val="minor"/>
      </rPr>
      <t>1</t>
    </r>
  </si>
  <si>
    <r>
      <t>County Expenditures</t>
    </r>
    <r>
      <rPr>
        <b/>
        <vertAlign val="superscript"/>
        <sz val="10"/>
        <color rgb="FFFFFFFF"/>
        <rFont val="Calibri"/>
        <family val="2"/>
        <scheme val="minor"/>
      </rPr>
      <t>1</t>
    </r>
  </si>
  <si>
    <t>City Budgets*</t>
  </si>
  <si>
    <t>County Budgets*</t>
  </si>
  <si>
    <t>Flood Control District Budgets*</t>
  </si>
  <si>
    <t>Others Budgets*</t>
  </si>
  <si>
    <t>City Expenditures*</t>
  </si>
  <si>
    <t>County Expenditures*</t>
  </si>
  <si>
    <t>Flood Control District Expenditures*</t>
  </si>
  <si>
    <t>Others Expenditures*</t>
  </si>
  <si>
    <t>Mean</t>
  </si>
  <si>
    <t>Total (Sum)</t>
  </si>
  <si>
    <t>Median</t>
  </si>
  <si>
    <t>Standard Deviation</t>
  </si>
  <si>
    <t>Minimum</t>
  </si>
  <si>
    <t>Maximum</t>
  </si>
  <si>
    <t>Sample size</t>
  </si>
  <si>
    <t>25% Quartile</t>
  </si>
  <si>
    <t>75% Quartile</t>
  </si>
  <si>
    <t>Number of Records</t>
  </si>
  <si>
    <t>Budgets and Expenditures</t>
  </si>
  <si>
    <r>
      <t>City Budgets</t>
    </r>
    <r>
      <rPr>
        <vertAlign val="superscript"/>
        <sz val="11"/>
        <color theme="1"/>
        <rFont val="Calibri"/>
        <family val="2"/>
        <scheme val="minor"/>
      </rPr>
      <t>1</t>
    </r>
  </si>
  <si>
    <r>
      <t>County Budgets</t>
    </r>
    <r>
      <rPr>
        <vertAlign val="superscript"/>
        <sz val="11"/>
        <color theme="1"/>
        <rFont val="Calibri"/>
        <family val="2"/>
        <scheme val="minor"/>
      </rPr>
      <t>1</t>
    </r>
  </si>
  <si>
    <r>
      <t>City Expenditures</t>
    </r>
    <r>
      <rPr>
        <vertAlign val="superscript"/>
        <sz val="11"/>
        <color theme="1"/>
        <rFont val="Calibri"/>
        <family val="2"/>
        <scheme val="minor"/>
      </rPr>
      <t>1</t>
    </r>
  </si>
  <si>
    <r>
      <t>County Expenditures</t>
    </r>
    <r>
      <rPr>
        <vertAlign val="superscript"/>
        <sz val="11"/>
        <color theme="1"/>
        <rFont val="Calibri"/>
        <family val="2"/>
        <scheme val="minor"/>
      </rPr>
      <t>1</t>
    </r>
  </si>
  <si>
    <t>Cities</t>
  </si>
  <si>
    <t>Counties</t>
  </si>
  <si>
    <t>Min</t>
  </si>
  <si>
    <t>Q1</t>
  </si>
  <si>
    <t>Q3</t>
  </si>
  <si>
    <t>Max</t>
  </si>
  <si>
    <t>Rounded values in millions, 2 significant figures</t>
  </si>
  <si>
    <t>Values for graphing</t>
  </si>
  <si>
    <t>Bottom</t>
  </si>
  <si>
    <t>City Budgets1</t>
  </si>
  <si>
    <t>County Budgets1</t>
  </si>
  <si>
    <t>City Expenditures1</t>
  </si>
  <si>
    <t>County Expenditures1</t>
  </si>
  <si>
    <t>2Q Box</t>
  </si>
  <si>
    <t>3Q Box</t>
  </si>
  <si>
    <t>Whisker-</t>
  </si>
  <si>
    <t>Whisker+</t>
  </si>
  <si>
    <t>Offset</t>
  </si>
  <si>
    <t>Table 10</t>
  </si>
  <si>
    <t>Figure 6</t>
  </si>
  <si>
    <t>Total and average identified budgets and expenditures (normalized to 2018 dollars) by Regional Water Quality Control Boards in California</t>
  </si>
  <si>
    <t>Estimated total expenditures (normalized to 2018 dollars), by regional board</t>
  </si>
  <si>
    <t xml:space="preserve">Region 1 </t>
  </si>
  <si>
    <t>Sum</t>
  </si>
  <si>
    <t>Average</t>
  </si>
  <si>
    <t xml:space="preserve">Region 2 </t>
  </si>
  <si>
    <t xml:space="preserve">Region 3 </t>
  </si>
  <si>
    <t xml:space="preserve">Region 4 </t>
  </si>
  <si>
    <t>Region 5</t>
  </si>
  <si>
    <t xml:space="preserve">Region 6 </t>
  </si>
  <si>
    <t xml:space="preserve">Region 7 </t>
  </si>
  <si>
    <t xml:space="preserve">Region 8 </t>
  </si>
  <si>
    <t xml:space="preserve">Region 9 </t>
  </si>
  <si>
    <t>All Regions</t>
  </si>
  <si>
    <t>Total Spending</t>
  </si>
  <si>
    <t>Budget*</t>
  </si>
  <si>
    <t>Expenditures*</t>
  </si>
  <si>
    <t>Sum of 2018 $ Value</t>
  </si>
  <si>
    <t>Stdev</t>
  </si>
  <si>
    <t xml:space="preserve">Total Spending </t>
  </si>
  <si>
    <t>Table 11</t>
  </si>
  <si>
    <t>Figure 7</t>
  </si>
  <si>
    <t>Figure 8 - this plot does not dynamically update with Appendix D.</t>
  </si>
  <si>
    <t>Average and total annual expenditures by category, normalized to 2018 dollars</t>
  </si>
  <si>
    <t>Identified total annual stormwater expenditures, by category. Values shown are real dollars (i.e., normalized to 2018 dollars) for the most representative year of each entity</t>
  </si>
  <si>
    <t>Box and whisker plot showing distribution of reported annual expenditures for all entities by category.  Values are in normalized 2018 dollars.  Median values represented by horizontal lines. Outliers not shown</t>
  </si>
  <si>
    <t>Average Annual Expenditures (standard deviation)</t>
  </si>
  <si>
    <t>Sample Size</t>
  </si>
  <si>
    <t>Activities</t>
  </si>
  <si>
    <t>Average of 2018 $ Value2</t>
  </si>
  <si>
    <t>StdDev of 2018 $ Value2</t>
  </si>
  <si>
    <t>Count of Category</t>
  </si>
  <si>
    <t>$</t>
  </si>
  <si>
    <t>$ in millions</t>
  </si>
  <si>
    <t>Label</t>
  </si>
  <si>
    <t>To update with new Appendix D data:</t>
  </si>
  <si>
    <t>Cycle through each category listed in "Category" slicer below. For each category, copy and hard-paste the green values below (Min, Q1, etc.)  into the corresponding column of yellow cells above.</t>
  </si>
  <si>
    <t>Table 12</t>
  </si>
  <si>
    <t>Figure 9</t>
  </si>
  <si>
    <t>Figure 9 continued</t>
  </si>
  <si>
    <t>Figure 10</t>
  </si>
  <si>
    <t>Figure 11</t>
  </si>
  <si>
    <t>Average and standard deviation values of per capita and unit area expenditures across cities within regional boards.  Values are normalized 2018 dollars.</t>
  </si>
  <si>
    <t>Average stormwater expenditures by cities within various regions, normalized by population (top) and area (bottom). Only cities are included in the analysis, as county expenditures may cover programs that serve city populations or unincorporated areas</t>
  </si>
  <si>
    <t>Total expenditures versus total area in a city, by regions. All cities were included in the correlation analyses, however some cities may not be visible due to chart scaling. Values are in normalized 2018 dollars</t>
  </si>
  <si>
    <t>Total expenditures versus population in a city, by regions. All cities were included in the correlation analyses, however some cities may not be visible due to chart scaling. Values are in normalized 2018 dollars</t>
  </si>
  <si>
    <t>Per Capita Expenditures</t>
  </si>
  <si>
    <t>Unit Area Expenditures, per Square Mile</t>
  </si>
  <si>
    <t>Number of Cities reporting</t>
  </si>
  <si>
    <t>Region 1
North Coast</t>
  </si>
  <si>
    <t>Region 2
San Francisco Bay</t>
  </si>
  <si>
    <t>Region 3
Central Coast</t>
  </si>
  <si>
    <t>Region 4
Los Angeles</t>
  </si>
  <si>
    <t>74*</t>
  </si>
  <si>
    <t>Region 5
Central Valley</t>
  </si>
  <si>
    <t>Region 6
Lahontan</t>
  </si>
  <si>
    <t>Region 7
Colorado River Basin</t>
  </si>
  <si>
    <t>Region 8
Santa Ana</t>
  </si>
  <si>
    <t>Region 9
San Diego</t>
  </si>
  <si>
    <t>TOTAL</t>
  </si>
  <si>
    <t>Average of $ By Population</t>
  </si>
  <si>
    <t>StdDev of $ By Population2</t>
  </si>
  <si>
    <t>Average of $ By Square Mile</t>
  </si>
  <si>
    <t>StdDev of $ By Square Mile2</t>
  </si>
  <si>
    <t>Count of $ By Square Mile</t>
  </si>
  <si>
    <t>Average of Regional Board #</t>
  </si>
  <si>
    <t>Jurisdiction information</t>
  </si>
  <si>
    <t>Area (square miles)</t>
  </si>
  <si>
    <t>Population (K)</t>
  </si>
  <si>
    <t>Values from Pivot Table:</t>
  </si>
  <si>
    <t>Reorganized for chart</t>
  </si>
  <si>
    <t>Average of $ by Sq Mi</t>
  </si>
  <si>
    <t>Rounded Average of $ by Sq Mi</t>
  </si>
  <si>
    <t>Region 1</t>
  </si>
  <si>
    <t>Region 2</t>
  </si>
  <si>
    <t>Region 3</t>
  </si>
  <si>
    <t>Region 4</t>
  </si>
  <si>
    <t>Region 6</t>
  </si>
  <si>
    <t>Region 7</t>
  </si>
  <si>
    <t>Region 8</t>
  </si>
  <si>
    <t>Region 9</t>
  </si>
  <si>
    <t>Rounded values, 2 signficant figures. Unit Area Expenditures in Thousands of Dollars</t>
  </si>
  <si>
    <t>Figure 12</t>
  </si>
  <si>
    <t>Figure 12 continued</t>
  </si>
  <si>
    <t>Expenditures over time (normalized to 2018 dollars) in selected cities, counties and a flood control district in California</t>
  </si>
  <si>
    <t>Figure A1</t>
  </si>
  <si>
    <t xml:space="preserve">Figure A1 continued </t>
  </si>
  <si>
    <t>Figure A2</t>
  </si>
  <si>
    <t>Figure A2 continued</t>
  </si>
  <si>
    <t>Total expenditures versus population (top) and total expenditures versus area (bottom). Expenditures include all cities</t>
  </si>
  <si>
    <t>Total expenditures versus population (top) and total expenditures versus area (bottom), not including outliers (cities with populations &gt;600,000)</t>
  </si>
  <si>
    <t>Expenditures - outliers removed</t>
  </si>
  <si>
    <t>Table/Figure</t>
  </si>
  <si>
    <t>Sheet Location</t>
  </si>
  <si>
    <t>III. Data Availability</t>
  </si>
  <si>
    <t>IV.A. Jurisdictional Type</t>
  </si>
  <si>
    <t>IV.B. Regional Boards</t>
  </si>
  <si>
    <t>IV.C. Category</t>
  </si>
  <si>
    <t>Figure 8</t>
  </si>
  <si>
    <t>IV.D. Population and Area</t>
  </si>
  <si>
    <t>IV.E. Over Time</t>
  </si>
  <si>
    <t>App.A. Supplemental</t>
  </si>
  <si>
    <t>List of tables and figures with sheet location:</t>
  </si>
  <si>
    <r>
      <t xml:space="preserve">This workbook contains data tables compiled to inform the report, "Estimating Benefits and Costs of Stormwater Management, Part II: Reported Costs in California." 
The sheets are split into three sections:
</t>
    </r>
    <r>
      <rPr>
        <sz val="11"/>
        <color theme="1"/>
        <rFont val="Calibri"/>
        <family val="2"/>
      </rPr>
      <t xml:space="preserve">     •  </t>
    </r>
    <r>
      <rPr>
        <b/>
        <sz val="11"/>
        <color theme="1"/>
        <rFont val="Calibri"/>
        <family val="2"/>
        <scheme val="minor"/>
      </rPr>
      <t>Data</t>
    </r>
    <r>
      <rPr>
        <sz val="11"/>
        <color theme="1"/>
        <rFont val="Calibri"/>
        <family val="2"/>
        <scheme val="minor"/>
      </rPr>
      <t xml:space="preserve"> - This collection of sheets ('Budgets', 'Expenditures,' and 'Categorized_Activities') are the master datasets upon which all analyses were performed. 
     •  </t>
    </r>
    <r>
      <rPr>
        <b/>
        <sz val="11"/>
        <color theme="1"/>
        <rFont val="Calibri"/>
        <family val="2"/>
        <scheme val="minor"/>
      </rPr>
      <t>Analyses</t>
    </r>
    <r>
      <rPr>
        <sz val="11"/>
        <color theme="1"/>
        <rFont val="Calibri"/>
        <family val="2"/>
        <scheme val="minor"/>
      </rPr>
      <t xml:space="preserve"> - This collection of sheets contains all data-driven tables and figures from the report. Sheet name section numbers match the section numbers of the report. Figures and tables are located along the top of each sheet, with corresponding data and calculations located below the dotted line of each sheet. 
     •  </t>
    </r>
    <r>
      <rPr>
        <b/>
        <sz val="11"/>
        <color theme="1"/>
        <rFont val="Calibri"/>
        <family val="2"/>
        <scheme val="minor"/>
      </rPr>
      <t>Reference_Data</t>
    </r>
    <r>
      <rPr>
        <sz val="11"/>
        <color theme="1"/>
        <rFont val="Calibri"/>
        <family val="2"/>
        <scheme val="minor"/>
      </rPr>
      <t xml:space="preserve"> - This collection of sheets contains jurisdictional information such as population, area, location, and permit status, as well as inflation tables.
If a user desires to change or add to the master dataset tables in the 'Data' sheets and see those changes reflected in the tables and figures in the 'Analyses' sheets, use the following procedure:
     (1)  Change/add/delete desired data in the 'Budgets', 'Expenditures,' and 'Categorized_Activities' sheets
     (2)  To incorporate the updated data, navigate to the "Data" toolbar and click "Refresh All" in the "Queries &amp; Connections" group (or use the shortcut: Ctrl + Alt + F5)
     (3)  If tables and figures do not apppear to update, check that any added data is within each table's defined limits</t>
    </r>
  </si>
  <si>
    <t>This sheet serves as a section marker for the following 'Analyses' sheets and contains no data.</t>
  </si>
  <si>
    <t>This sheet serves as a section marker for the following 'Reference Data' sheets and contains no data.</t>
  </si>
  <si>
    <t>This sheet serves as a section marker for the following 'Data' sheets and contains no data.</t>
  </si>
  <si>
    <t>Appendix D: Data Tables and Analyses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</si>
</sst>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0.000"/>
    <numFmt numFmtId="165" formatCode="&quot;$&quot;#,##0"/>
    <numFmt numFmtId="166" formatCode="&quot;$&quot;#,##0.00"/>
    <numFmt numFmtId="167" formatCode="0.0"/>
    <numFmt numFmtId="168" formatCode="_(&quot;$&quot;* #,##0_);_(&quot;$&quot;* \(#,##0\);_(&quot;$&quot;* &quot;-&quot;??_);_(@_)"/>
  </numFmts>
  <fonts count="41" x14ac:knownFonts="1">
    <font>
      <sz val="11"/>
      <color theme="1"/>
      <name val="Calibri"/>
      <family val="2"/>
      <scheme val="minor"/>
    </font>
    <font>
      <b/>
      <sz val="16"/>
      <color theme="0"/>
      <name val="Calibri"/>
      <family val="2"/>
      <scheme val="minor"/>
    </font>
    <font>
      <sz val="9"/>
      <color indexed="81"/>
      <name val="Tahoma"/>
      <family val="2"/>
    </font>
    <font>
      <b/>
      <sz val="9"/>
      <color indexed="81"/>
      <name val="Tahoma"/>
      <family val="2"/>
    </font>
    <font>
      <sz val="11"/>
      <name val="Calibri"/>
      <family val="2"/>
      <scheme val="minor"/>
    </font>
    <font>
      <b/>
      <sz val="11"/>
      <color theme="1"/>
      <name val="Calibri"/>
      <family val="2"/>
      <scheme val="minor"/>
    </font>
    <font>
      <b/>
      <sz val="12"/>
      <color theme="1"/>
      <name val="Calibri"/>
      <family val="2"/>
      <scheme val="minor"/>
    </font>
    <font>
      <u/>
      <sz val="11"/>
      <color theme="10"/>
      <name val="Calibri"/>
      <family val="2"/>
      <scheme val="minor"/>
    </font>
    <font>
      <sz val="11"/>
      <color indexed="8"/>
      <name val="Arial"/>
      <family val="1"/>
      <charset val="204"/>
    </font>
    <font>
      <sz val="11"/>
      <color indexed="63"/>
      <name val="Arial"/>
      <family val="1"/>
      <charset val="204"/>
    </font>
    <font>
      <sz val="11"/>
      <color indexed="23"/>
      <name val="Arial"/>
      <family val="1"/>
      <charset val="204"/>
    </font>
    <font>
      <sz val="11"/>
      <color indexed="8"/>
      <name val="Arial"/>
      <family val="2"/>
    </font>
    <font>
      <sz val="11"/>
      <color indexed="63"/>
      <name val="Arial"/>
      <family val="2"/>
    </font>
    <font>
      <sz val="11"/>
      <color indexed="23"/>
      <name val="Arial"/>
      <family val="2"/>
    </font>
    <font>
      <b/>
      <sz val="11"/>
      <name val="Calibri"/>
      <family val="2"/>
      <scheme val="minor"/>
    </font>
    <font>
      <sz val="11"/>
      <color theme="1"/>
      <name val="Calibri"/>
      <family val="2"/>
      <scheme val="minor"/>
    </font>
    <font>
      <i/>
      <sz val="11"/>
      <color rgb="FF7F7F7F"/>
      <name val="Calibri"/>
      <family val="2"/>
      <scheme val="minor"/>
    </font>
    <font>
      <sz val="11"/>
      <color rgb="FF9C57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i/>
      <sz val="11"/>
      <color theme="3"/>
      <name val="Calibri"/>
      <family val="2"/>
      <scheme val="minor"/>
    </font>
    <font>
      <b/>
      <sz val="10"/>
      <color theme="0"/>
      <name val="Calibri"/>
      <family val="2"/>
      <scheme val="minor"/>
    </font>
    <font>
      <sz val="10"/>
      <color theme="1"/>
      <name val="Calibri"/>
      <family val="2"/>
      <scheme val="minor"/>
    </font>
    <font>
      <sz val="11"/>
      <color rgb="FF006100"/>
      <name val="Calibri"/>
      <family val="2"/>
      <scheme val="minor"/>
    </font>
    <font>
      <i/>
      <sz val="14"/>
      <color theme="0"/>
      <name val="Calibri"/>
      <family val="2"/>
      <scheme val="minor"/>
    </font>
    <font>
      <b/>
      <i/>
      <u val="double"/>
      <sz val="20"/>
      <name val="Calibri"/>
      <family val="2"/>
      <scheme val="minor"/>
    </font>
    <font>
      <b/>
      <sz val="10"/>
      <color rgb="FF000000"/>
      <name val="Calibri"/>
      <family val="2"/>
      <scheme val="minor"/>
    </font>
    <font>
      <b/>
      <i/>
      <u val="double"/>
      <sz val="16"/>
      <color theme="1"/>
      <name val="Calibri"/>
      <family val="2"/>
      <scheme val="minor"/>
    </font>
    <font>
      <b/>
      <sz val="10"/>
      <color rgb="FFFFFFFF"/>
      <name val="Calibri"/>
      <family val="2"/>
      <scheme val="minor"/>
    </font>
    <font>
      <b/>
      <vertAlign val="superscript"/>
      <sz val="10"/>
      <color rgb="FFFFFFFF"/>
      <name val="Calibri"/>
      <family val="2"/>
      <scheme val="minor"/>
    </font>
    <font>
      <b/>
      <i/>
      <sz val="10"/>
      <color rgb="FF000000"/>
      <name val="Calibri"/>
      <family val="2"/>
      <scheme val="minor"/>
    </font>
    <font>
      <sz val="10"/>
      <color rgb="FF000000"/>
      <name val="Calibri"/>
      <family val="2"/>
      <scheme val="minor"/>
    </font>
    <font>
      <b/>
      <sz val="10"/>
      <color theme="1"/>
      <name val="Calibri"/>
      <family val="2"/>
      <scheme val="minor"/>
    </font>
    <font>
      <vertAlign val="superscript"/>
      <sz val="11"/>
      <color theme="1"/>
      <name val="Calibri"/>
      <family val="2"/>
      <scheme val="minor"/>
    </font>
    <font>
      <b/>
      <sz val="11"/>
      <color rgb="FFFFFFFF"/>
      <name val="Calibri"/>
      <family val="2"/>
      <scheme val="minor"/>
    </font>
    <font>
      <b/>
      <sz val="11"/>
      <color rgb="FF000000"/>
      <name val="Calibri"/>
      <family val="2"/>
      <scheme val="minor"/>
    </font>
    <font>
      <sz val="11"/>
      <color rgb="FF000000"/>
      <name val="Calibri"/>
      <family val="2"/>
      <scheme val="minor"/>
    </font>
    <font>
      <sz val="11"/>
      <color theme="1"/>
      <name val="Calibri"/>
      <family val="2"/>
    </font>
    <font>
      <sz val="10"/>
      <color rgb="FF222222"/>
      <name val="Calibri"/>
      <family val="2"/>
      <scheme val="minor"/>
    </font>
    <font>
      <b/>
      <sz val="11"/>
      <color theme="0"/>
      <name val="Calibri"/>
      <family val="2"/>
      <scheme val="minor"/>
    </font>
  </fonts>
  <fills count="16">
    <fill>
      <patternFill patternType="none"/>
    </fill>
    <fill>
      <patternFill patternType="gray125"/>
    </fill>
    <fill>
      <patternFill patternType="solid">
        <fgColor theme="4"/>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indexed="64"/>
      </patternFill>
    </fill>
    <fill>
      <patternFill patternType="solid">
        <fgColor theme="2"/>
        <bgColor indexed="64"/>
      </patternFill>
    </fill>
    <fill>
      <patternFill patternType="solid">
        <fgColor rgb="FFFFC000"/>
        <bgColor indexed="64"/>
      </patternFill>
    </fill>
    <fill>
      <patternFill patternType="solid">
        <fgColor theme="9"/>
        <bgColor indexed="64"/>
      </patternFill>
    </fill>
    <fill>
      <patternFill patternType="solid">
        <fgColor rgb="FFFFEB9C"/>
      </patternFill>
    </fill>
    <fill>
      <patternFill patternType="solid">
        <fgColor theme="0"/>
        <bgColor indexed="64"/>
      </patternFill>
    </fill>
    <fill>
      <patternFill patternType="solid">
        <fgColor theme="1" tint="0.499984740745262"/>
        <bgColor indexed="64"/>
      </patternFill>
    </fill>
    <fill>
      <patternFill patternType="solid">
        <fgColor rgb="FFC6EFCE"/>
      </patternFill>
    </fill>
    <fill>
      <patternFill patternType="solid">
        <fgColor theme="0" tint="-0.499984740745262"/>
        <bgColor indexed="64"/>
      </patternFill>
    </fill>
    <fill>
      <patternFill patternType="solid">
        <fgColor rgb="FF4472C4"/>
        <bgColor indexed="64"/>
      </patternFill>
    </fill>
    <fill>
      <patternFill patternType="solid">
        <fgColor rgb="FFFFFFFF"/>
        <bgColor indexed="64"/>
      </patternFill>
    </fill>
  </fills>
  <borders count="4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top style="thin">
        <color theme="4" tint="0.39997558519241921"/>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medium">
        <color theme="4" tint="0.39997558519241921"/>
      </top>
      <bottom/>
      <diagonal/>
    </border>
    <border>
      <left style="thin">
        <color theme="4"/>
      </left>
      <right/>
      <top style="thin">
        <color theme="4"/>
      </top>
      <bottom/>
      <diagonal/>
    </border>
    <border>
      <left/>
      <right/>
      <top style="thin">
        <color theme="4"/>
      </top>
      <bottom/>
      <diagonal/>
    </border>
    <border>
      <left style="thin">
        <color theme="4"/>
      </left>
      <right style="thin">
        <color theme="4"/>
      </right>
      <top style="thin">
        <color theme="4"/>
      </top>
      <bottom/>
      <diagonal/>
    </border>
    <border>
      <left/>
      <right/>
      <top style="mediumDashed">
        <color theme="1" tint="0.499984740745262"/>
      </top>
      <bottom/>
      <diagonal/>
    </border>
    <border>
      <left style="medium">
        <color rgb="FF4472C4"/>
      </left>
      <right style="medium">
        <color rgb="FF4472C4"/>
      </right>
      <top style="medium">
        <color rgb="FF4472C4"/>
      </top>
      <bottom/>
      <diagonal/>
    </border>
    <border>
      <left style="medium">
        <color rgb="FF4472C4"/>
      </left>
      <right style="medium">
        <color rgb="FF4472C4"/>
      </right>
      <top/>
      <bottom/>
      <diagonal/>
    </border>
    <border>
      <left/>
      <right style="medium">
        <color rgb="FF4472C4"/>
      </right>
      <top/>
      <bottom/>
      <diagonal/>
    </border>
    <border>
      <left/>
      <right/>
      <top style="medium">
        <color rgb="FF4472C4"/>
      </top>
      <bottom/>
      <diagonal/>
    </border>
    <border>
      <left/>
      <right style="medium">
        <color rgb="FF4472C4"/>
      </right>
      <top style="medium">
        <color rgb="FF4472C4"/>
      </top>
      <bottom/>
      <diagonal/>
    </border>
    <border>
      <left style="medium">
        <color rgb="FF4472C4"/>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top/>
      <bottom/>
      <diagonal/>
    </border>
    <border>
      <left style="medium">
        <color rgb="FF4472C4"/>
      </left>
      <right/>
      <top/>
      <bottom style="medium">
        <color rgb="FF4472C4"/>
      </bottom>
      <diagonal/>
    </border>
    <border>
      <left style="medium">
        <color rgb="FF4472C4"/>
      </left>
      <right style="medium">
        <color rgb="FF4472C4"/>
      </right>
      <top/>
      <bottom style="medium">
        <color rgb="FF4472C4"/>
      </bottom>
      <diagonal/>
    </border>
    <border>
      <left style="medium">
        <color rgb="FF4472C4"/>
      </left>
      <right/>
      <top style="medium">
        <color rgb="FF4472C4"/>
      </top>
      <bottom/>
      <diagonal/>
    </border>
    <border>
      <left/>
      <right/>
      <top style="medium">
        <color rgb="FF4472C4"/>
      </top>
      <bottom style="medium">
        <color rgb="FF4472C4"/>
      </bottom>
      <diagonal/>
    </border>
    <border>
      <left/>
      <right/>
      <top/>
      <bottom style="mediumDashed">
        <color theme="0" tint="-0.499984740745262"/>
      </bottom>
      <diagonal/>
    </border>
    <border>
      <left/>
      <right/>
      <top/>
      <bottom style="mediumDashed">
        <color theme="1" tint="0.499984740745262"/>
      </bottom>
      <diagonal/>
    </border>
    <border>
      <left style="thin">
        <color theme="4"/>
      </left>
      <right style="thin">
        <color theme="4"/>
      </right>
      <top style="thin">
        <color theme="4"/>
      </top>
      <bottom style="thin">
        <color theme="4"/>
      </bottom>
      <diagonal/>
    </border>
    <border>
      <left style="medium">
        <color theme="4"/>
      </left>
      <right style="medium">
        <color theme="4"/>
      </right>
      <top style="medium">
        <color theme="4"/>
      </top>
      <bottom/>
      <diagonal/>
    </border>
    <border>
      <left style="medium">
        <color theme="4"/>
      </left>
      <right style="medium">
        <color theme="4"/>
      </right>
      <top style="medium">
        <color theme="4"/>
      </top>
      <bottom style="medium">
        <color theme="4"/>
      </bottom>
      <diagonal/>
    </border>
    <border>
      <left style="medium">
        <color theme="4"/>
      </left>
      <right/>
      <top style="medium">
        <color theme="4"/>
      </top>
      <bottom/>
      <diagonal/>
    </border>
    <border>
      <left style="medium">
        <color theme="4"/>
      </left>
      <right/>
      <top style="medium">
        <color theme="4"/>
      </top>
      <bottom style="medium">
        <color theme="4"/>
      </bottom>
      <diagonal/>
    </border>
  </borders>
  <cellStyleXfs count="13">
    <xf numFmtId="0" fontId="0" fillId="0" borderId="0"/>
    <xf numFmtId="0" fontId="7" fillId="0" borderId="0" applyNumberForma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6" fillId="0" borderId="0" applyNumberFormat="0" applyFill="0" applyBorder="0" applyAlignment="0" applyProtection="0"/>
    <xf numFmtId="0" fontId="17" fillId="9" borderId="0" applyNumberFormat="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15" fillId="0" borderId="0" applyNumberFormat="0">
      <alignment horizontal="left" vertical="top" wrapText="1"/>
    </xf>
    <xf numFmtId="43" fontId="15" fillId="0" borderId="0" applyFont="0" applyFill="0" applyBorder="0" applyAlignment="0" applyProtection="0"/>
    <xf numFmtId="0" fontId="26" fillId="0" borderId="0" applyNumberFormat="0" applyAlignment="0"/>
    <xf numFmtId="0" fontId="28" fillId="0" borderId="0" applyAlignment="0"/>
  </cellStyleXfs>
  <cellXfs count="252">
    <xf numFmtId="0" fontId="0" fillId="0" borderId="0" xfId="0"/>
    <xf numFmtId="0" fontId="0" fillId="0" borderId="0" xfId="0" applyAlignment="1">
      <alignment horizontal="center"/>
    </xf>
    <xf numFmtId="44" fontId="0" fillId="0" borderId="0" xfId="0" applyNumberFormat="1"/>
    <xf numFmtId="0" fontId="0" fillId="0" borderId="0" xfId="0" applyAlignment="1">
      <alignment horizontal="center" vertical="center"/>
    </xf>
    <xf numFmtId="44" fontId="0" fillId="0" borderId="0" xfId="0" applyNumberFormat="1" applyAlignment="1">
      <alignment horizontal="center" vertical="center"/>
    </xf>
    <xf numFmtId="0" fontId="0" fillId="3" borderId="0" xfId="0" applyFill="1" applyAlignment="1">
      <alignment horizontal="center" vertical="center"/>
    </xf>
    <xf numFmtId="0" fontId="0" fillId="0" borderId="0" xfId="0" applyAlignment="1">
      <alignment horizontal="left" vertical="center"/>
    </xf>
    <xf numFmtId="0" fontId="0" fillId="0" borderId="0" xfId="0" applyAlignment="1">
      <alignment horizontal="right"/>
    </xf>
    <xf numFmtId="0" fontId="0" fillId="0" borderId="0" xfId="0" applyFill="1" applyAlignment="1">
      <alignment horizontal="left" vertical="center"/>
    </xf>
    <xf numFmtId="0" fontId="0" fillId="0" borderId="0" xfId="0" applyFill="1" applyAlignment="1">
      <alignment horizontal="center" vertical="center"/>
    </xf>
    <xf numFmtId="0" fontId="0" fillId="0" borderId="0" xfId="0" applyNumberFormat="1"/>
    <xf numFmtId="0" fontId="0" fillId="0" borderId="0" xfId="0" applyNumberFormat="1" applyAlignment="1">
      <alignment horizontal="center" vertical="center"/>
    </xf>
    <xf numFmtId="0" fontId="0" fillId="0" borderId="0" xfId="0" applyFill="1"/>
    <xf numFmtId="0" fontId="0" fillId="0" borderId="0" xfId="0" applyBorder="1"/>
    <xf numFmtId="0" fontId="0" fillId="0" borderId="0" xfId="0"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xf>
    <xf numFmtId="0" fontId="6" fillId="5" borderId="4" xfId="0" applyFont="1" applyFill="1" applyBorder="1" applyAlignment="1">
      <alignment horizontal="center" vertical="center"/>
    </xf>
    <xf numFmtId="0" fontId="0" fillId="7" borderId="0" xfId="0" applyFill="1" applyAlignment="1">
      <alignment horizontal="center" vertical="center"/>
    </xf>
    <xf numFmtId="0" fontId="0" fillId="0" borderId="0" xfId="0" applyFill="1" applyAlignment="1">
      <alignment horizontal="center"/>
    </xf>
    <xf numFmtId="44" fontId="0" fillId="0" borderId="0" xfId="0" applyNumberFormat="1" applyFill="1" applyAlignment="1">
      <alignment horizontal="center"/>
    </xf>
    <xf numFmtId="0" fontId="0" fillId="0" borderId="0" xfId="0" applyNumberFormat="1" applyFill="1" applyAlignment="1">
      <alignment horizontal="center"/>
    </xf>
    <xf numFmtId="0" fontId="0" fillId="0" borderId="0" xfId="0" applyAlignment="1"/>
    <xf numFmtId="0" fontId="0" fillId="2" borderId="0" xfId="0" applyFill="1" applyAlignment="1">
      <alignment horizontal="center" vertical="center"/>
    </xf>
    <xf numFmtId="0" fontId="0" fillId="3" borderId="0" xfId="0" applyNumberFormat="1" applyFill="1" applyAlignment="1">
      <alignment horizontal="center" vertical="center"/>
    </xf>
    <xf numFmtId="0" fontId="0" fillId="0" borderId="0" xfId="0" applyFont="1" applyFill="1" applyBorder="1" applyAlignment="1">
      <alignment horizontal="center" vertical="center"/>
    </xf>
    <xf numFmtId="0" fontId="0" fillId="2" borderId="0" xfId="0" applyNumberFormat="1" applyFill="1" applyAlignment="1">
      <alignment horizontal="center" vertical="center"/>
    </xf>
    <xf numFmtId="44" fontId="0" fillId="0" borderId="0" xfId="0" applyNumberFormat="1" applyFill="1" applyAlignment="1">
      <alignment horizontal="center" vertical="center"/>
    </xf>
    <xf numFmtId="0" fontId="0" fillId="0" borderId="0" xfId="0" applyNumberFormat="1" applyFill="1" applyAlignment="1">
      <alignment horizontal="center" vertical="center"/>
    </xf>
    <xf numFmtId="0" fontId="0" fillId="0" borderId="0" xfId="0" applyFont="1" applyAlignment="1">
      <alignment horizontal="center" vertical="center"/>
    </xf>
    <xf numFmtId="0" fontId="0" fillId="0" borderId="1" xfId="0" applyNumberFormat="1" applyBorder="1" applyAlignment="1">
      <alignment horizontal="center" vertical="center"/>
    </xf>
    <xf numFmtId="0" fontId="0" fillId="0" borderId="1" xfId="0" quotePrefix="1" applyNumberFormat="1" applyBorder="1" applyAlignment="1">
      <alignment horizontal="center" vertical="center"/>
    </xf>
    <xf numFmtId="0" fontId="0" fillId="0" borderId="5" xfId="0" applyNumberFormat="1" applyBorder="1" applyAlignment="1">
      <alignment horizontal="center" vertical="center"/>
    </xf>
    <xf numFmtId="0" fontId="0" fillId="0" borderId="6" xfId="0" applyNumberFormat="1" applyBorder="1" applyAlignment="1">
      <alignment horizontal="center" vertical="center"/>
    </xf>
    <xf numFmtId="164" fontId="0" fillId="0" borderId="1" xfId="0" applyNumberFormat="1" applyBorder="1" applyAlignment="1">
      <alignment horizontal="center" vertical="center"/>
    </xf>
    <xf numFmtId="164" fontId="0" fillId="0" borderId="5" xfId="0" applyNumberFormat="1" applyBorder="1" applyAlignment="1">
      <alignment horizontal="center" vertical="center"/>
    </xf>
    <xf numFmtId="164" fontId="0" fillId="0" borderId="6" xfId="0" applyNumberFormat="1" applyBorder="1" applyAlignment="1">
      <alignment horizontal="center" vertical="center"/>
    </xf>
    <xf numFmtId="165" fontId="0" fillId="2" borderId="0" xfId="0" applyNumberFormat="1" applyFill="1" applyAlignment="1">
      <alignment horizontal="center" vertical="center"/>
    </xf>
    <xf numFmtId="165" fontId="0" fillId="0" borderId="0" xfId="0" applyNumberFormat="1" applyAlignment="1">
      <alignment horizontal="left" vertical="center"/>
    </xf>
    <xf numFmtId="165" fontId="0" fillId="0" borderId="0" xfId="0" applyNumberFormat="1" applyAlignment="1">
      <alignment horizontal="right" vertical="center"/>
    </xf>
    <xf numFmtId="165" fontId="0" fillId="3" borderId="0" xfId="0" applyNumberFormat="1" applyFill="1" applyAlignment="1">
      <alignment horizontal="left" vertical="center"/>
    </xf>
    <xf numFmtId="165" fontId="0" fillId="0" borderId="0" xfId="0" applyNumberFormat="1" applyFill="1" applyAlignment="1">
      <alignment horizontal="left" vertical="center"/>
    </xf>
    <xf numFmtId="165" fontId="0" fillId="0" borderId="0" xfId="0" applyNumberFormat="1" applyAlignment="1">
      <alignment horizontal="center" vertical="center"/>
    </xf>
    <xf numFmtId="165" fontId="0" fillId="0" borderId="0" xfId="0" applyNumberFormat="1" applyAlignment="1">
      <alignment horizontal="center"/>
    </xf>
    <xf numFmtId="0" fontId="0" fillId="0" borderId="0" xfId="0" applyAlignment="1">
      <alignment horizontal="left"/>
    </xf>
    <xf numFmtId="0" fontId="0" fillId="0" borderId="0" xfId="0" applyAlignment="1">
      <alignment horizontal="left" vertical="top"/>
    </xf>
    <xf numFmtId="0" fontId="4" fillId="0" borderId="0" xfId="0" applyFont="1" applyFill="1" applyAlignment="1">
      <alignment horizontal="left" vertical="center"/>
    </xf>
    <xf numFmtId="0" fontId="7" fillId="0" borderId="0" xfId="1" applyFill="1" applyAlignment="1">
      <alignment horizontal="left" vertical="center"/>
    </xf>
    <xf numFmtId="0" fontId="0" fillId="0" borderId="0" xfId="0" applyFill="1" applyAlignment="1">
      <alignment vertical="center"/>
    </xf>
    <xf numFmtId="0" fontId="0" fillId="0" borderId="0" xfId="0" applyNumberFormat="1" applyFont="1" applyAlignment="1">
      <alignment horizontal="left" vertical="center"/>
    </xf>
    <xf numFmtId="0" fontId="0" fillId="0" borderId="0" xfId="0" applyFont="1" applyFill="1" applyAlignment="1">
      <alignment horizontal="left" vertical="center"/>
    </xf>
    <xf numFmtId="166" fontId="0" fillId="0" borderId="0" xfId="0" applyNumberFormat="1" applyAlignment="1">
      <alignment horizontal="left" vertical="center"/>
    </xf>
    <xf numFmtId="0" fontId="5" fillId="0" borderId="0" xfId="0" applyFont="1" applyFill="1" applyAlignment="1">
      <alignment horizontal="left" vertical="center"/>
    </xf>
    <xf numFmtId="0" fontId="0" fillId="0" borderId="7" xfId="0" applyBorder="1"/>
    <xf numFmtId="0" fontId="0" fillId="0" borderId="9" xfId="0" applyBorder="1"/>
    <xf numFmtId="0" fontId="0" fillId="3" borderId="8" xfId="0" applyFill="1" applyBorder="1"/>
    <xf numFmtId="0" fontId="5" fillId="0" borderId="0" xfId="0" applyFont="1" applyFill="1" applyAlignment="1">
      <alignment vertical="center"/>
    </xf>
    <xf numFmtId="11" fontId="0" fillId="0" borderId="0" xfId="0" applyNumberFormat="1" applyFill="1" applyAlignment="1">
      <alignment horizontal="left" vertical="center"/>
    </xf>
    <xf numFmtId="165" fontId="0" fillId="7" borderId="0" xfId="0" applyNumberFormat="1" applyFill="1" applyAlignment="1">
      <alignment horizontal="left" vertical="center"/>
    </xf>
    <xf numFmtId="0" fontId="0" fillId="7" borderId="8" xfId="0" applyFill="1" applyBorder="1"/>
    <xf numFmtId="0" fontId="0" fillId="0" borderId="10" xfId="0" applyBorder="1"/>
    <xf numFmtId="0" fontId="0" fillId="7" borderId="0" xfId="0" applyFill="1" applyAlignment="1">
      <alignment vertical="center"/>
    </xf>
    <xf numFmtId="0" fontId="0" fillId="0" borderId="0" xfId="0" applyFill="1" applyAlignment="1">
      <alignment horizontal="left" vertical="center" wrapText="1"/>
    </xf>
    <xf numFmtId="0" fontId="5" fillId="0" borderId="0" xfId="0" applyFont="1" applyAlignment="1">
      <alignment vertical="center"/>
    </xf>
    <xf numFmtId="0" fontId="0" fillId="0" borderId="0" xfId="0" applyFont="1" applyFill="1" applyAlignment="1">
      <alignment vertical="center"/>
    </xf>
    <xf numFmtId="0" fontId="0" fillId="0" borderId="0" xfId="0" applyFont="1" applyAlignment="1">
      <alignment vertical="center"/>
    </xf>
    <xf numFmtId="0" fontId="0" fillId="0" borderId="0" xfId="0" applyAlignment="1">
      <alignment vertical="center"/>
    </xf>
    <xf numFmtId="0" fontId="14" fillId="0" borderId="0" xfId="0" applyFont="1" applyFill="1" applyAlignment="1">
      <alignment vertical="center"/>
    </xf>
    <xf numFmtId="0" fontId="5" fillId="3" borderId="0" xfId="0" applyFont="1" applyFill="1" applyAlignment="1">
      <alignment vertical="center"/>
    </xf>
    <xf numFmtId="0" fontId="0" fillId="3" borderId="0" xfId="0" applyFill="1" applyAlignment="1">
      <alignment vertical="center"/>
    </xf>
    <xf numFmtId="0" fontId="7" fillId="0" borderId="0" xfId="1" applyAlignment="1">
      <alignment horizontal="left"/>
    </xf>
    <xf numFmtId="0" fontId="0" fillId="0" borderId="0" xfId="0" applyFill="1" applyBorder="1" applyAlignment="1">
      <alignment horizontal="left" vertical="center"/>
    </xf>
    <xf numFmtId="0" fontId="0" fillId="0" borderId="0" xfId="0" applyNumberFormat="1" applyAlignment="1">
      <alignment horizontal="left" vertical="center"/>
    </xf>
    <xf numFmtId="0" fontId="4" fillId="0" borderId="0" xfId="0" applyFont="1" applyFill="1" applyAlignment="1">
      <alignment horizontal="center"/>
    </xf>
    <xf numFmtId="0" fontId="5" fillId="0" borderId="0" xfId="0" applyFont="1" applyAlignment="1"/>
    <xf numFmtId="0" fontId="0" fillId="8" borderId="0" xfId="0" applyFill="1" applyAlignment="1">
      <alignment horizontal="left" vertical="center"/>
    </xf>
    <xf numFmtId="0" fontId="0" fillId="8" borderId="9" xfId="0" applyFill="1" applyBorder="1"/>
    <xf numFmtId="0" fontId="0" fillId="0" borderId="11" xfId="0" applyBorder="1"/>
    <xf numFmtId="0" fontId="5" fillId="0" borderId="0" xfId="0" applyFont="1" applyBorder="1" applyAlignment="1"/>
    <xf numFmtId="0" fontId="0" fillId="0" borderId="0" xfId="0" applyAlignment="1">
      <alignment horizontal="center" vertical="center" wrapText="1"/>
    </xf>
    <xf numFmtId="0" fontId="0" fillId="0" borderId="0" xfId="0" applyAlignment="1">
      <alignment vertical="center" wrapText="1"/>
    </xf>
    <xf numFmtId="0" fontId="0" fillId="0" borderId="0" xfId="0" applyFill="1" applyAlignment="1">
      <alignment horizontal="left"/>
    </xf>
    <xf numFmtId="167" fontId="0" fillId="0" borderId="0" xfId="3" applyNumberFormat="1" applyFont="1"/>
    <xf numFmtId="1" fontId="0" fillId="0" borderId="0" xfId="3" applyNumberFormat="1" applyFont="1"/>
    <xf numFmtId="0" fontId="16" fillId="0" borderId="0" xfId="4"/>
    <xf numFmtId="0" fontId="0" fillId="0" borderId="0" xfId="0" applyFont="1" applyAlignment="1">
      <alignment horizontal="center" vertical="center" wrapText="1"/>
    </xf>
    <xf numFmtId="0" fontId="0" fillId="0" borderId="0" xfId="0" applyNumberFormat="1" applyFont="1" applyAlignment="1">
      <alignment horizontal="center" vertical="center" wrapText="1"/>
    </xf>
    <xf numFmtId="44" fontId="0" fillId="0" borderId="0" xfId="0" applyNumberFormat="1" applyFont="1" applyAlignment="1">
      <alignment horizontal="center" vertical="center" wrapText="1"/>
    </xf>
    <xf numFmtId="0" fontId="0" fillId="0" borderId="0" xfId="0" applyNumberFormat="1" applyAlignment="1">
      <alignment horizontal="center" vertical="center" wrapText="1"/>
    </xf>
    <xf numFmtId="0" fontId="1" fillId="0" borderId="0" xfId="0" applyFont="1" applyFill="1" applyAlignment="1">
      <alignment vertical="center"/>
    </xf>
    <xf numFmtId="0" fontId="0" fillId="0" borderId="0" xfId="0" applyFill="1" applyAlignment="1">
      <alignment horizontal="center" vertical="center" wrapText="1"/>
    </xf>
    <xf numFmtId="165" fontId="0" fillId="0" borderId="0" xfId="0" applyNumberFormat="1" applyFill="1" applyAlignment="1">
      <alignment horizontal="center" vertical="center" wrapText="1"/>
    </xf>
    <xf numFmtId="0" fontId="0" fillId="0" borderId="0" xfId="0" applyNumberFormat="1" applyFill="1" applyAlignment="1">
      <alignment horizontal="center" vertical="center" wrapText="1"/>
    </xf>
    <xf numFmtId="165" fontId="0" fillId="0" borderId="0" xfId="0" applyNumberFormat="1" applyFill="1" applyAlignment="1">
      <alignment horizontal="center" vertical="center"/>
    </xf>
    <xf numFmtId="0" fontId="7" fillId="0" borderId="0" xfId="1" applyFill="1" applyAlignment="1">
      <alignment horizontal="left"/>
    </xf>
    <xf numFmtId="0" fontId="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Fill="1" applyAlignment="1">
      <alignment horizontal="left" vertical="top"/>
    </xf>
    <xf numFmtId="166" fontId="0" fillId="0" borderId="0" xfId="0" applyNumberFormat="1" applyFill="1" applyAlignment="1">
      <alignment horizontal="left" vertical="center"/>
    </xf>
    <xf numFmtId="44" fontId="0" fillId="0" borderId="0" xfId="2" applyFont="1" applyFill="1"/>
    <xf numFmtId="0" fontId="0" fillId="0" borderId="0" xfId="0" applyNumberFormat="1" applyFont="1" applyFill="1" applyAlignment="1">
      <alignment horizontal="center"/>
    </xf>
    <xf numFmtId="44" fontId="0" fillId="0" borderId="0" xfId="0" applyNumberFormat="1" applyFont="1" applyFill="1" applyBorder="1" applyAlignment="1">
      <alignment horizontal="center"/>
    </xf>
    <xf numFmtId="44" fontId="0" fillId="0" borderId="12" xfId="0" applyNumberFormat="1" applyFill="1" applyBorder="1" applyAlignment="1">
      <alignment horizontal="center"/>
    </xf>
    <xf numFmtId="0" fontId="0" fillId="0" borderId="0" xfId="0" quotePrefix="1"/>
    <xf numFmtId="44" fontId="0" fillId="0" borderId="0" xfId="0" applyNumberFormat="1" applyFill="1" applyBorder="1" applyAlignment="1">
      <alignment horizontal="center"/>
    </xf>
    <xf numFmtId="44" fontId="0" fillId="0" borderId="0" xfId="2" applyFont="1" applyFill="1" applyAlignment="1">
      <alignment horizontal="center" vertical="center"/>
    </xf>
    <xf numFmtId="0" fontId="17" fillId="9" borderId="0" xfId="5" applyAlignment="1">
      <alignment horizontal="center" vertical="center"/>
    </xf>
    <xf numFmtId="0" fontId="17" fillId="9" borderId="0" xfId="5" applyAlignment="1">
      <alignment horizontal="center"/>
    </xf>
    <xf numFmtId="0" fontId="17" fillId="9" borderId="0" xfId="5" applyNumberFormat="1" applyAlignment="1">
      <alignment horizontal="center" vertical="center"/>
    </xf>
    <xf numFmtId="0" fontId="17" fillId="9" borderId="0" xfId="5" applyAlignment="1">
      <alignment vertical="center"/>
    </xf>
    <xf numFmtId="0" fontId="17" fillId="9" borderId="0" xfId="5" applyAlignment="1">
      <alignment horizontal="left" vertical="center"/>
    </xf>
    <xf numFmtId="44" fontId="17" fillId="9" borderId="0" xfId="5" applyNumberFormat="1" applyAlignment="1">
      <alignment horizontal="center" vertical="center"/>
    </xf>
    <xf numFmtId="165" fontId="17" fillId="9" borderId="0" xfId="5" applyNumberFormat="1" applyAlignment="1">
      <alignment horizontal="left" vertical="center"/>
    </xf>
    <xf numFmtId="165" fontId="17" fillId="9" borderId="0" xfId="5" applyNumberFormat="1" applyAlignment="1">
      <alignment horizontal="center" vertical="center"/>
    </xf>
    <xf numFmtId="0" fontId="17" fillId="9" borderId="0" xfId="5"/>
    <xf numFmtId="0" fontId="0" fillId="0" borderId="0" xfId="0" applyFont="1" applyFill="1" applyAlignment="1">
      <alignment horizontal="left" vertical="center" wrapText="1"/>
    </xf>
    <xf numFmtId="0" fontId="16" fillId="0" borderId="0" xfId="4" applyFill="1"/>
    <xf numFmtId="0" fontId="18" fillId="11" borderId="0" xfId="6" applyFill="1" applyBorder="1"/>
    <xf numFmtId="0" fontId="21" fillId="11" borderId="0" xfId="8" applyFont="1" applyFill="1" applyBorder="1"/>
    <xf numFmtId="0" fontId="0" fillId="11" borderId="0" xfId="0" applyFill="1" applyBorder="1"/>
    <xf numFmtId="0" fontId="0" fillId="11" borderId="0" xfId="0" applyFill="1" applyBorder="1" applyAlignment="1">
      <alignment vertical="center"/>
    </xf>
    <xf numFmtId="0" fontId="20" fillId="10" borderId="16" xfId="8" applyFill="1" applyBorder="1" applyAlignment="1">
      <alignment wrapText="1"/>
    </xf>
    <xf numFmtId="0" fontId="0" fillId="10" borderId="0" xfId="0" applyFill="1" applyBorder="1"/>
    <xf numFmtId="0" fontId="22" fillId="4" borderId="17" xfId="0" applyFont="1" applyFill="1" applyBorder="1" applyAlignment="1">
      <alignment horizontal="center" vertical="center" wrapText="1"/>
    </xf>
    <xf numFmtId="0" fontId="22" fillId="4" borderId="18" xfId="0" applyFont="1" applyFill="1" applyBorder="1" applyAlignment="1">
      <alignment vertical="center"/>
    </xf>
    <xf numFmtId="0" fontId="23" fillId="0" borderId="19" xfId="0" applyFont="1" applyBorder="1" applyAlignment="1">
      <alignment horizontal="center" vertical="center" wrapText="1"/>
    </xf>
    <xf numFmtId="0" fontId="23" fillId="0" borderId="19" xfId="9" applyFont="1" applyBorder="1" applyAlignment="1">
      <alignment horizontal="left" vertical="center" wrapText="1"/>
    </xf>
    <xf numFmtId="0" fontId="23" fillId="0" borderId="19" xfId="0" applyFont="1" applyBorder="1" applyAlignment="1">
      <alignment vertical="center" wrapText="1"/>
    </xf>
    <xf numFmtId="0" fontId="23" fillId="5" borderId="19" xfId="0" applyFont="1" applyFill="1" applyBorder="1" applyAlignment="1">
      <alignment horizontal="center" vertical="center" wrapText="1"/>
    </xf>
    <xf numFmtId="0" fontId="23" fillId="5" borderId="19" xfId="0" applyFont="1" applyFill="1" applyBorder="1" applyAlignment="1">
      <alignment vertical="center" wrapText="1"/>
    </xf>
    <xf numFmtId="0" fontId="0" fillId="11" borderId="0" xfId="0" applyFill="1" applyAlignment="1">
      <alignment wrapText="1"/>
    </xf>
    <xf numFmtId="0" fontId="19" fillId="10" borderId="14" xfId="7" applyFill="1" applyAlignment="1">
      <alignment horizontal="left" wrapText="1"/>
    </xf>
    <xf numFmtId="0" fontId="18" fillId="10" borderId="13" xfId="6" applyFill="1" applyAlignment="1">
      <alignment horizontal="left" wrapText="1"/>
    </xf>
    <xf numFmtId="0" fontId="21" fillId="10" borderId="0" xfId="8" applyFont="1" applyFill="1" applyBorder="1" applyAlignment="1">
      <alignment horizontal="left" wrapText="1"/>
    </xf>
    <xf numFmtId="0" fontId="0" fillId="11" borderId="0" xfId="0" applyFill="1"/>
    <xf numFmtId="0" fontId="25" fillId="11" borderId="0" xfId="0" applyFont="1" applyFill="1"/>
    <xf numFmtId="0" fontId="26" fillId="0" borderId="0" xfId="11"/>
    <xf numFmtId="0" fontId="0" fillId="13" borderId="0" xfId="0" applyFill="1" applyBorder="1"/>
    <xf numFmtId="0" fontId="0" fillId="13" borderId="0" xfId="0" applyFill="1"/>
    <xf numFmtId="0" fontId="15" fillId="0" borderId="0" xfId="9">
      <alignment horizontal="left" vertical="top" wrapText="1"/>
    </xf>
    <xf numFmtId="0" fontId="0" fillId="0" borderId="0" xfId="0" applyAlignment="1">
      <alignment wrapText="1"/>
    </xf>
    <xf numFmtId="0" fontId="23" fillId="0" borderId="0" xfId="0" applyFont="1" applyAlignment="1">
      <alignment wrapText="1"/>
    </xf>
    <xf numFmtId="0" fontId="0" fillId="13" borderId="0" xfId="0" applyFill="1" applyBorder="1" applyAlignment="1"/>
    <xf numFmtId="0" fontId="0" fillId="0" borderId="0" xfId="0" applyBorder="1" applyAlignment="1"/>
    <xf numFmtId="0" fontId="23" fillId="0" borderId="0" xfId="0" applyFont="1"/>
    <xf numFmtId="0" fontId="27" fillId="0" borderId="0" xfId="0" applyFont="1" applyFill="1" applyBorder="1" applyAlignment="1">
      <alignment horizontal="center" vertical="center" wrapText="1"/>
    </xf>
    <xf numFmtId="0" fontId="0" fillId="0" borderId="20" xfId="0" applyFill="1" applyBorder="1"/>
    <xf numFmtId="0" fontId="0" fillId="11" borderId="20" xfId="0" applyFill="1" applyBorder="1"/>
    <xf numFmtId="0" fontId="28" fillId="0" borderId="0" xfId="12"/>
    <xf numFmtId="0" fontId="28" fillId="0" borderId="0" xfId="12" applyAlignment="1">
      <alignment horizontal="left"/>
    </xf>
    <xf numFmtId="0" fontId="0" fillId="0" borderId="0" xfId="0" pivotButton="1"/>
    <xf numFmtId="0" fontId="15" fillId="11" borderId="0" xfId="9" applyFill="1">
      <alignment horizontal="left" vertical="top" wrapText="1"/>
    </xf>
    <xf numFmtId="0" fontId="15" fillId="0" borderId="0" xfId="9" applyFill="1">
      <alignment horizontal="left" vertical="top" wrapText="1"/>
    </xf>
    <xf numFmtId="0" fontId="29" fillId="14" borderId="21" xfId="0" applyFont="1" applyFill="1" applyBorder="1" applyAlignment="1">
      <alignment vertical="center"/>
    </xf>
    <xf numFmtId="0" fontId="29" fillId="14" borderId="22" xfId="0" applyFont="1" applyFill="1" applyBorder="1" applyAlignment="1">
      <alignment horizontal="center" vertical="center"/>
    </xf>
    <xf numFmtId="0" fontId="29" fillId="14" borderId="0" xfId="0" applyFont="1" applyFill="1" applyAlignment="1">
      <alignment horizontal="center" vertical="center"/>
    </xf>
    <xf numFmtId="0" fontId="29" fillId="14" borderId="22" xfId="0" applyFont="1" applyFill="1" applyBorder="1" applyAlignment="1">
      <alignment horizontal="center" vertical="center" wrapText="1"/>
    </xf>
    <xf numFmtId="0" fontId="29" fillId="14" borderId="23" xfId="0" applyFont="1" applyFill="1" applyBorder="1" applyAlignment="1">
      <alignment horizontal="center" vertical="center" wrapText="1"/>
    </xf>
    <xf numFmtId="0" fontId="29" fillId="14" borderId="21" xfId="0" applyFont="1" applyFill="1" applyBorder="1" applyAlignment="1">
      <alignment vertical="center" wrapText="1"/>
    </xf>
    <xf numFmtId="0" fontId="29" fillId="14" borderId="21" xfId="0" applyFont="1" applyFill="1" applyBorder="1" applyAlignment="1">
      <alignment horizontal="center" vertical="center" wrapText="1"/>
    </xf>
    <xf numFmtId="0" fontId="29" fillId="14" borderId="24" xfId="0" applyFont="1" applyFill="1" applyBorder="1" applyAlignment="1">
      <alignment horizontal="center" vertical="center" wrapText="1"/>
    </xf>
    <xf numFmtId="0" fontId="29" fillId="14" borderId="25" xfId="0" applyFont="1" applyFill="1" applyBorder="1" applyAlignment="1">
      <alignment horizontal="center" vertical="center" wrapText="1"/>
    </xf>
    <xf numFmtId="0" fontId="31" fillId="15" borderId="26" xfId="0" applyFont="1" applyFill="1" applyBorder="1" applyAlignment="1">
      <alignment horizontal="left" vertical="center"/>
    </xf>
    <xf numFmtId="0" fontId="32" fillId="0" borderId="27" xfId="0" applyFont="1" applyBorder="1" applyAlignment="1">
      <alignment horizontal="center" vertical="center"/>
    </xf>
    <xf numFmtId="0" fontId="33" fillId="15" borderId="26" xfId="0" applyFont="1" applyFill="1" applyBorder="1" applyAlignment="1">
      <alignment horizontal="left" vertical="center" wrapText="1"/>
    </xf>
    <xf numFmtId="0" fontId="32" fillId="0" borderId="27" xfId="0" applyFont="1" applyBorder="1" applyAlignment="1">
      <alignment horizontal="center" vertical="center" wrapText="1"/>
    </xf>
    <xf numFmtId="0" fontId="31" fillId="15" borderId="28" xfId="0" applyFont="1" applyFill="1" applyBorder="1" applyAlignment="1">
      <alignment horizontal="left" vertical="center"/>
    </xf>
    <xf numFmtId="0" fontId="33" fillId="15" borderId="28" xfId="0" applyFont="1" applyFill="1" applyBorder="1" applyAlignment="1">
      <alignment horizontal="left" vertical="center" wrapText="1"/>
    </xf>
    <xf numFmtId="0" fontId="31" fillId="15" borderId="29" xfId="0" applyFont="1" applyFill="1" applyBorder="1" applyAlignment="1">
      <alignment horizontal="left" vertical="center"/>
    </xf>
    <xf numFmtId="0" fontId="32" fillId="0" borderId="30" xfId="0" applyFont="1" applyBorder="1" applyAlignment="1">
      <alignment horizontal="center" vertical="center"/>
    </xf>
    <xf numFmtId="168" fontId="0" fillId="0" borderId="0" xfId="2" applyNumberFormat="1" applyFont="1"/>
    <xf numFmtId="0" fontId="0" fillId="0" borderId="0" xfId="2" applyNumberFormat="1" applyFont="1"/>
    <xf numFmtId="0" fontId="0" fillId="0" borderId="20" xfId="0" applyBorder="1"/>
    <xf numFmtId="43" fontId="0" fillId="0" borderId="0" xfId="10" applyFont="1"/>
    <xf numFmtId="0" fontId="5" fillId="0" borderId="0" xfId="0" applyFont="1"/>
    <xf numFmtId="168" fontId="0" fillId="0" borderId="0" xfId="0" applyNumberFormat="1"/>
    <xf numFmtId="167" fontId="0" fillId="0" borderId="0" xfId="0" applyNumberFormat="1"/>
    <xf numFmtId="2" fontId="0" fillId="0" borderId="0" xfId="0" applyNumberFormat="1"/>
    <xf numFmtId="0" fontId="15" fillId="0" borderId="0" xfId="9" applyAlignment="1">
      <alignment vertical="top" wrapText="1"/>
    </xf>
    <xf numFmtId="0" fontId="15" fillId="11" borderId="0" xfId="9" applyFill="1" applyAlignment="1">
      <alignment vertical="top" wrapText="1"/>
    </xf>
    <xf numFmtId="0" fontId="0" fillId="0" borderId="0" xfId="0" applyAlignment="1">
      <alignment vertical="top" wrapText="1"/>
    </xf>
    <xf numFmtId="0" fontId="27" fillId="15" borderId="27" xfId="0" applyFont="1" applyFill="1" applyBorder="1" applyAlignment="1">
      <alignment vertical="center"/>
    </xf>
    <xf numFmtId="0" fontId="0" fillId="0" borderId="27" xfId="0" applyBorder="1" applyAlignment="1">
      <alignment horizontal="center"/>
    </xf>
    <xf numFmtId="168" fontId="0" fillId="11" borderId="0" xfId="2" applyNumberFormat="1" applyFont="1" applyFill="1"/>
    <xf numFmtId="168" fontId="17" fillId="9" borderId="0" xfId="5" applyNumberFormat="1"/>
    <xf numFmtId="168" fontId="24" fillId="12" borderId="0" xfId="2" applyNumberFormat="1" applyFont="1" applyFill="1"/>
    <xf numFmtId="0" fontId="0" fillId="0" borderId="0" xfId="0" applyFill="1" applyBorder="1"/>
    <xf numFmtId="0" fontId="35" fillId="14" borderId="31" xfId="0" applyFont="1" applyFill="1" applyBorder="1" applyAlignment="1">
      <alignment horizontal="center" vertical="center"/>
    </xf>
    <xf numFmtId="0" fontId="35" fillId="14" borderId="21" xfId="0" applyFont="1" applyFill="1" applyBorder="1" applyAlignment="1">
      <alignment horizontal="center" vertical="center" wrapText="1"/>
    </xf>
    <xf numFmtId="0" fontId="35" fillId="14" borderId="24" xfId="0" applyFont="1" applyFill="1" applyBorder="1" applyAlignment="1">
      <alignment horizontal="center" vertical="center" wrapText="1"/>
    </xf>
    <xf numFmtId="0" fontId="36" fillId="15" borderId="31" xfId="0" applyFont="1" applyFill="1" applyBorder="1" applyAlignment="1">
      <alignment horizontal="left" vertical="center" wrapText="1"/>
    </xf>
    <xf numFmtId="0" fontId="37" fillId="0" borderId="21" xfId="0" applyFont="1" applyBorder="1" applyAlignment="1">
      <alignment horizontal="center" vertical="center"/>
    </xf>
    <xf numFmtId="0" fontId="37" fillId="0" borderId="21" xfId="0" applyFont="1" applyBorder="1" applyAlignment="1">
      <alignment horizontal="center" vertical="center" wrapText="1"/>
    </xf>
    <xf numFmtId="0" fontId="36" fillId="15" borderId="28" xfId="0" applyFont="1" applyFill="1" applyBorder="1" applyAlignment="1">
      <alignment horizontal="left" vertical="center" wrapText="1"/>
    </xf>
    <xf numFmtId="0" fontId="36" fillId="15" borderId="26" xfId="0" applyFont="1" applyFill="1" applyBorder="1" applyAlignment="1">
      <alignment horizontal="justify" vertical="center"/>
    </xf>
    <xf numFmtId="0" fontId="36" fillId="15" borderId="32" xfId="0" applyFont="1" applyFill="1" applyBorder="1" applyAlignment="1">
      <alignment horizontal="center" vertical="center" wrapText="1"/>
    </xf>
    <xf numFmtId="0" fontId="36" fillId="15" borderId="27" xfId="0" applyFont="1" applyFill="1" applyBorder="1" applyAlignment="1">
      <alignment horizontal="center" vertical="center" wrapText="1"/>
    </xf>
    <xf numFmtId="0" fontId="0" fillId="0" borderId="0" xfId="0" applyNumberFormat="1" applyFill="1"/>
    <xf numFmtId="0" fontId="0" fillId="11" borderId="0" xfId="0" applyNumberFormat="1" applyFill="1"/>
    <xf numFmtId="1" fontId="0" fillId="0" borderId="0" xfId="0" applyNumberFormat="1"/>
    <xf numFmtId="0" fontId="5" fillId="0" borderId="0" xfId="0" applyFont="1" applyAlignment="1">
      <alignment horizontal="left"/>
    </xf>
    <xf numFmtId="0" fontId="36" fillId="15" borderId="0" xfId="0" applyFont="1" applyFill="1" applyBorder="1" applyAlignment="1">
      <alignment horizontal="justify" vertical="center"/>
    </xf>
    <xf numFmtId="0" fontId="37" fillId="15" borderId="0" xfId="0" applyFont="1" applyFill="1" applyBorder="1" applyAlignment="1">
      <alignment horizontal="center" vertical="center"/>
    </xf>
    <xf numFmtId="0" fontId="36" fillId="15" borderId="0" xfId="0" applyFont="1" applyFill="1" applyBorder="1" applyAlignment="1">
      <alignment horizontal="center" vertical="center" wrapText="1"/>
    </xf>
    <xf numFmtId="0" fontId="36" fillId="15" borderId="0" xfId="0" applyFont="1" applyFill="1" applyBorder="1" applyAlignment="1">
      <alignment horizontal="left" vertical="center"/>
    </xf>
    <xf numFmtId="0" fontId="0" fillId="0" borderId="33" xfId="0" applyBorder="1"/>
    <xf numFmtId="0" fontId="0" fillId="11" borderId="33" xfId="0" applyFill="1" applyBorder="1"/>
    <xf numFmtId="0" fontId="0" fillId="0" borderId="34" xfId="0" applyBorder="1"/>
    <xf numFmtId="0" fontId="0" fillId="11" borderId="34" xfId="0" applyFill="1" applyBorder="1"/>
    <xf numFmtId="0" fontId="22" fillId="4" borderId="0" xfId="0" applyFont="1" applyFill="1" applyBorder="1" applyAlignment="1">
      <alignment vertical="center"/>
    </xf>
    <xf numFmtId="0" fontId="23" fillId="0" borderId="35" xfId="0" applyFont="1" applyBorder="1" applyAlignment="1">
      <alignment horizontal="center" vertical="center" wrapText="1"/>
    </xf>
    <xf numFmtId="0" fontId="23" fillId="0" borderId="35" xfId="0" applyFont="1" applyBorder="1" applyAlignment="1">
      <alignment vertical="center" wrapText="1"/>
    </xf>
    <xf numFmtId="0" fontId="23" fillId="5" borderId="19" xfId="9" applyFont="1" applyFill="1" applyBorder="1" applyAlignment="1">
      <alignment horizontal="left" vertical="center" wrapText="1"/>
    </xf>
    <xf numFmtId="0" fontId="23" fillId="10" borderId="19" xfId="0" applyFont="1" applyFill="1" applyBorder="1" applyAlignment="1">
      <alignment horizontal="center" vertical="center" wrapText="1"/>
    </xf>
    <xf numFmtId="0" fontId="23" fillId="10" borderId="19" xfId="9" applyFont="1" applyFill="1" applyBorder="1" applyAlignment="1">
      <alignment horizontal="left" vertical="center" wrapText="1"/>
    </xf>
    <xf numFmtId="0" fontId="23" fillId="10" borderId="19" xfId="0" applyFont="1" applyFill="1" applyBorder="1" applyAlignment="1">
      <alignment vertical="center" wrapText="1"/>
    </xf>
    <xf numFmtId="0" fontId="23" fillId="5" borderId="19" xfId="0" applyFont="1" applyFill="1" applyBorder="1" applyAlignment="1">
      <alignment horizontal="left" vertical="center" wrapText="1"/>
    </xf>
    <xf numFmtId="0" fontId="23" fillId="10" borderId="19" xfId="0" applyFont="1" applyFill="1" applyBorder="1" applyAlignment="1">
      <alignment horizontal="left" vertical="center" wrapText="1"/>
    </xf>
    <xf numFmtId="0" fontId="39" fillId="0" borderId="19" xfId="0" applyFont="1" applyBorder="1" applyAlignment="1">
      <alignment horizontal="left" vertical="center"/>
    </xf>
    <xf numFmtId="0" fontId="39" fillId="5" borderId="19" xfId="0" applyFont="1" applyFill="1" applyBorder="1" applyAlignment="1">
      <alignment horizontal="left" vertical="center"/>
    </xf>
    <xf numFmtId="0" fontId="39" fillId="0" borderId="35" xfId="0" applyFont="1" applyBorder="1" applyAlignment="1">
      <alignment horizontal="left" vertical="center"/>
    </xf>
    <xf numFmtId="0" fontId="0" fillId="0" borderId="0" xfId="0"/>
    <xf numFmtId="0" fontId="22" fillId="4" borderId="36" xfId="0" applyFont="1" applyFill="1" applyBorder="1" applyAlignment="1">
      <alignment wrapText="1"/>
    </xf>
    <xf numFmtId="0" fontId="23" fillId="0" borderId="37" xfId="0" applyFont="1" applyBorder="1"/>
    <xf numFmtId="0" fontId="40" fillId="4" borderId="38" xfId="0" applyFont="1" applyFill="1" applyBorder="1" applyAlignment="1">
      <alignment wrapText="1"/>
    </xf>
    <xf numFmtId="0" fontId="22" fillId="4" borderId="38" xfId="0" applyFont="1" applyFill="1" applyBorder="1" applyAlignment="1">
      <alignment wrapText="1"/>
    </xf>
    <xf numFmtId="0" fontId="23" fillId="0" borderId="38" xfId="0" applyFont="1" applyBorder="1"/>
    <xf numFmtId="0" fontId="23" fillId="0" borderId="36" xfId="0" applyFont="1" applyBorder="1"/>
    <xf numFmtId="0" fontId="23" fillId="0" borderId="39" xfId="0" applyFont="1" applyBorder="1"/>
    <xf numFmtId="0" fontId="40" fillId="4" borderId="36" xfId="0" applyFont="1" applyFill="1" applyBorder="1" applyAlignment="1">
      <alignment horizontal="center"/>
    </xf>
    <xf numFmtId="0" fontId="0" fillId="0" borderId="37" xfId="0" applyFont="1" applyBorder="1" applyAlignment="1">
      <alignment horizontal="center"/>
    </xf>
    <xf numFmtId="0" fontId="40" fillId="4" borderId="38" xfId="0" applyFont="1" applyFill="1" applyBorder="1" applyAlignment="1">
      <alignment horizontal="center"/>
    </xf>
    <xf numFmtId="0" fontId="0" fillId="0" borderId="38" xfId="0" applyFont="1" applyBorder="1"/>
    <xf numFmtId="0" fontId="0" fillId="0" borderId="38" xfId="0" applyFont="1" applyBorder="1" applyAlignment="1">
      <alignment horizontal="center"/>
    </xf>
    <xf numFmtId="0" fontId="0" fillId="0" borderId="36" xfId="0" applyFont="1" applyBorder="1" applyAlignment="1">
      <alignment horizontal="center"/>
    </xf>
    <xf numFmtId="0" fontId="0" fillId="0" borderId="39" xfId="0" applyFont="1" applyBorder="1"/>
    <xf numFmtId="0" fontId="0" fillId="0" borderId="39" xfId="0" applyFont="1" applyBorder="1" applyAlignment="1">
      <alignment horizontal="center"/>
    </xf>
    <xf numFmtId="0" fontId="1" fillId="4" borderId="0"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19" fillId="10" borderId="14" xfId="7" applyFill="1" applyAlignment="1">
      <alignment horizontal="left" wrapText="1"/>
    </xf>
    <xf numFmtId="0" fontId="18" fillId="10" borderId="13" xfId="6" applyFill="1" applyAlignment="1">
      <alignment horizontal="left" wrapText="1"/>
    </xf>
    <xf numFmtId="0" fontId="21" fillId="10" borderId="0" xfId="8" applyFont="1" applyFill="1" applyBorder="1" applyAlignment="1">
      <alignment horizontal="left" wrapText="1"/>
    </xf>
    <xf numFmtId="0" fontId="0" fillId="10" borderId="0" xfId="0" applyFill="1" applyAlignment="1">
      <alignment horizontal="left" vertical="center" wrapText="1"/>
    </xf>
    <xf numFmtId="0" fontId="1" fillId="2" borderId="0" xfId="0" applyFont="1" applyFill="1" applyAlignment="1">
      <alignment horizontal="center" vertical="center"/>
    </xf>
    <xf numFmtId="49" fontId="15" fillId="0" borderId="0" xfId="9" applyNumberFormat="1">
      <alignment horizontal="left" vertical="top" wrapText="1"/>
    </xf>
    <xf numFmtId="0" fontId="15" fillId="0" borderId="0" xfId="9">
      <alignment horizontal="left" vertical="top" wrapText="1"/>
    </xf>
    <xf numFmtId="0" fontId="0" fillId="0" borderId="0" xfId="9" applyFont="1">
      <alignment horizontal="left" vertical="top" wrapText="1"/>
    </xf>
    <xf numFmtId="0" fontId="0" fillId="0" borderId="0" xfId="0"/>
    <xf numFmtId="0" fontId="15" fillId="0" borderId="0" xfId="9" applyAlignment="1">
      <alignment horizontal="left" vertical="top" wrapText="1"/>
    </xf>
    <xf numFmtId="0" fontId="5" fillId="0" borderId="0" xfId="0" applyFont="1" applyAlignment="1">
      <alignment horizontal="left" wrapText="1"/>
    </xf>
  </cellXfs>
  <cellStyles count="13">
    <cellStyle name="Comma" xfId="10" builtinId="3"/>
    <cellStyle name="Currency" xfId="2" builtinId="4"/>
    <cellStyle name="Description" xfId="9" xr:uid="{1FA7BF30-5835-427B-94F6-F476E6578BC6}"/>
    <cellStyle name="Explanatory Text" xfId="4" builtinId="53"/>
    <cellStyle name="Heading 1" xfId="6" builtinId="16"/>
    <cellStyle name="Heading 2" xfId="7" builtinId="17"/>
    <cellStyle name="Heading 3" xfId="8" builtinId="18"/>
    <cellStyle name="Headings_" xfId="11" xr:uid="{77FDFB06-6038-4CC3-A82A-305FF2F7328C}"/>
    <cellStyle name="Headings_ 2" xfId="12" xr:uid="{034C6213-6A29-4491-8752-423879751777}"/>
    <cellStyle name="Hyperlink" xfId="1" builtinId="8"/>
    <cellStyle name="Neutral" xfId="5" builtinId="28"/>
    <cellStyle name="Normal" xfId="0" builtinId="0"/>
    <cellStyle name="Percent" xfId="3" builtinId="5"/>
  </cellStyles>
  <dxfs count="156">
    <dxf>
      <numFmt numFmtId="165" formatCode="&quot;$&quot;#,##0"/>
      <fill>
        <patternFill patternType="none">
          <fgColor indexed="64"/>
          <bgColor indexed="65"/>
        </patternFill>
      </fill>
      <alignment horizontal="center" vertical="center" textRotation="0" wrapText="0" indent="0" justifyLastLine="0" shrinkToFit="0" readingOrder="0"/>
    </dxf>
    <dxf>
      <numFmt numFmtId="165" formatCode="&quot;$&quot;#,##0"/>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34" formatCode="_(&quot;$&quot;* #,##0.00_);_(&quot;$&quot;* \(#,##0.00\);_(&quot;$&quot;* &quot;-&quot;??_);_(@_)"/>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165" formatCode="&quot;$&quot;#,##0"/>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34" formatCode="_(&quot;$&quot;* #,##0.00_);_(&quot;$&quot;* \(#,##0.00\);_(&quot;$&quot;* &quot;-&quot;??_);_(@_)"/>
      <alignment horizontal="center" vertical="center" textRotation="0" wrapText="0" indent="0" justifyLastLine="0" shrinkToFit="0" readingOrder="0"/>
    </dxf>
    <dxf>
      <numFmt numFmtId="165" formatCode="&quot;$&quot;#,##0"/>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65" formatCode="&quot;$&quot;#,##0"/>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34" formatCode="_(&quot;$&quot;* #,##0.00_);_(&quot;$&quot;* \(#,##0.00\);_(&quot;$&quot;* &quot;-&quot;??_);_(@_)"/>
      <alignment horizontal="center" vertical="center" textRotation="0" wrapText="0" indent="0" justifyLastLine="0" shrinkToFit="0" readingOrder="0"/>
    </dxf>
    <dxf>
      <numFmt numFmtId="165" formatCode="&quot;$&quot;#,##0"/>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0" formatCode="General"/>
    </dxf>
    <dxf>
      <numFmt numFmtId="167" formatCode="0.0"/>
    </dxf>
    <dxf>
      <numFmt numFmtId="1" formatCode="0"/>
    </dxf>
    <dxf>
      <numFmt numFmtId="0" formatCode="General"/>
    </dxf>
    <dxf>
      <border outline="0">
        <right style="thin">
          <color indexed="64"/>
        </right>
      </border>
    </dxf>
    <dxf>
      <font>
        <b/>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color rgb="FF9C0006"/>
      </font>
      <fill>
        <patternFill>
          <bgColor rgb="FFFFC7CE"/>
        </patternFill>
      </fill>
    </dxf>
    <dxf>
      <numFmt numFmtId="1" formatCode="0"/>
    </dxf>
    <dxf>
      <fill>
        <patternFill patternType="none">
          <bgColor auto="1"/>
        </patternFill>
      </fill>
    </dxf>
    <dxf>
      <fill>
        <patternFill patternType="none">
          <bgColor auto="1"/>
        </patternFill>
      </fill>
    </dxf>
    <dxf>
      <numFmt numFmtId="168" formatCode="_(&quot;$&quot;* #,##0_);_(&quot;$&quot;* \(#,##0\);_(&quot;$&quot;* &quot;-&quot;??_);_(@_)"/>
    </dxf>
    <dxf>
      <numFmt numFmtId="168" formatCode="_(&quot;$&quot;* #,##0_);_(&quot;$&quot;* \(#,##0\);_(&quot;$&quot;* &quot;-&quot;??_);_(@_)"/>
    </dxf>
    <dxf>
      <numFmt numFmtId="168" formatCode="_(&quot;$&quot;* #,##0_);_(&quot;$&quot;* \(#,##0\);_(&quot;$&quot;* &quot;-&quot;??_);_(@_)"/>
    </dxf>
    <dxf>
      <numFmt numFmtId="168" formatCode="_(&quot;$&quot;* #,##0_);_(&quot;$&quot;* \(#,##0\);_(&quot;$&quot;* &quot;-&quot;??_);_(@_)"/>
    </dxf>
    <dxf>
      <numFmt numFmtId="165" formatCode="&quot;$&quot;#,##0"/>
      <fill>
        <patternFill patternType="none">
          <fgColor indexed="64"/>
          <bgColor auto="1"/>
        </patternFill>
      </fill>
      <alignment horizontal="center" vertical="center" textRotation="0" wrapText="0" indent="0" justifyLastLine="0" shrinkToFit="0" readingOrder="0"/>
    </dxf>
    <dxf>
      <numFmt numFmtId="165" formatCode="&quot;$&quot;#,##0"/>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1" indent="0" justifyLastLine="0" shrinkToFit="0" readingOrder="0"/>
    </dxf>
    <dxf>
      <numFmt numFmtId="34" formatCode="_(&quot;$&quot;* #,##0.00_);_(&quot;$&quot;* \(#,##0.00\);_(&quot;$&quot;* &quot;-&quot;??_);_(@_)"/>
      <fill>
        <patternFill patternType="none">
          <fgColor indexed="64"/>
          <bgColor auto="1"/>
        </patternFill>
      </fill>
      <alignment horizontal="center" vertical="bottom" textRotation="0" wrapText="0" indent="0" justifyLastLine="0" shrinkToFit="0" readingOrder="0"/>
    </dxf>
    <dxf>
      <numFmt numFmtId="34" formatCode="_(&quot;$&quot;* #,##0.00_);_(&quot;$&quot;* \(#,##0.00\);_(&quot;$&quot;* &quot;-&quot;??_);_(@_)"/>
      <fill>
        <patternFill patternType="none">
          <fgColor indexed="64"/>
          <bgColor auto="1"/>
        </patternFill>
      </fill>
      <alignment horizontal="center" vertical="bottom" textRotation="0" wrapText="0" indent="0" justifyLastLine="0" shrinkToFit="0" readingOrder="0"/>
    </dxf>
    <dxf>
      <numFmt numFmtId="34" formatCode="_(&quot;$&quot;* #,##0.00_);_(&quot;$&quot;* \(#,##0.00\);_(&quot;$&quot;* &quot;-&quot;??_);_(@_)"/>
      <fill>
        <patternFill patternType="none">
          <fgColor indexed="64"/>
          <bgColor auto="1"/>
        </patternFill>
      </fill>
      <alignment horizontal="center" vertical="bottom" textRotation="0" wrapText="0" indent="0" justifyLastLine="0" shrinkToFit="0" readingOrder="0"/>
    </dxf>
    <dxf>
      <numFmt numFmtId="34" formatCode="_(&quot;$&quot;* #,##0.00_);_(&quot;$&quot;* \(#,##0.00\);_(&quot;$&quot;* &quot;-&quot;??_);_(@_)"/>
      <fill>
        <patternFill patternType="none">
          <fgColor indexed="64"/>
          <bgColor auto="1"/>
        </patternFill>
      </fill>
      <alignment horizontal="center" vertical="bottom" textRotation="0" wrapText="0" indent="0" justifyLastLine="0" shrinkToFit="0" readingOrder="0"/>
    </dxf>
    <dxf>
      <numFmt numFmtId="34" formatCode="_(&quot;$&quot;* #,##0.00_);_(&quot;$&quot;* \(#,##0.00\);_(&quot;$&quot;* &quot;-&quot;??_);_(@_)"/>
      <fill>
        <patternFill patternType="none">
          <fgColor indexed="64"/>
          <bgColor auto="1"/>
        </patternFill>
      </fill>
      <alignment horizontal="center" vertical="bottom" textRotation="0" wrapText="0" indent="0" justifyLastLine="0" shrinkToFit="0" readingOrder="0"/>
    </dxf>
    <dxf>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textRotation="0" wrapText="0" indent="0" justifyLastLine="0" shrinkToFit="0" readingOrder="0"/>
    </dxf>
    <dxf>
      <fill>
        <patternFill patternType="none">
          <fgColor indexed="64"/>
          <bgColor auto="1"/>
        </patternFill>
      </fill>
      <alignment horizontal="center" textRotation="0" wrapText="0" indent="0" justifyLastLine="0" shrinkToFit="0" readingOrder="0"/>
    </dxf>
    <dxf>
      <alignment horizontal="center" vertical="center" textRotation="0" wrapText="1" indent="0" justifyLastLine="0" shrinkToFit="0" readingOrder="0"/>
    </dxf>
    <dxf>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numFmt numFmtId="34" formatCode="_(&quot;$&quot;* #,##0.00_);_(&quot;$&quot;* \(#,##0.00\);_(&quot;$&quot;* &quot;-&quot;??_);_(@_)"/>
      <fill>
        <patternFill patternType="none">
          <fgColor indexed="64"/>
          <bgColor auto="1"/>
        </patternFill>
      </fill>
      <alignment horizontal="center" vertical="center" textRotation="0" wrapText="0" indent="0" justifyLastLine="0" shrinkToFit="0" readingOrder="0"/>
    </dxf>
    <dxf>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textRotation="0" wrapText="0" indent="0" justifyLastLine="0" shrinkToFit="0" readingOrder="0"/>
    </dxf>
    <dxf>
      <fill>
        <patternFill patternType="none">
          <fgColor indexed="64"/>
          <bgColor auto="1"/>
        </patternFill>
      </fill>
      <alignment horizontal="center" textRotation="0" wrapText="0" indent="0" justifyLastLine="0" shrinkToFit="0" readingOrder="0"/>
    </dxf>
    <dxf>
      <fill>
        <patternFill patternType="none">
          <fgColor indexed="64"/>
          <bgColor auto="1"/>
        </patternFill>
      </fill>
      <alignment horizontal="center" textRotation="0" wrapText="0" indent="0" justifyLastLine="0" shrinkToFit="0" readingOrder="0"/>
    </dxf>
    <dxf>
      <font>
        <strike val="0"/>
        <outline val="0"/>
        <shadow val="0"/>
        <u val="none"/>
        <vertAlign val="baseline"/>
        <sz val="11"/>
        <color theme="1"/>
        <name val="Calibri"/>
        <scheme val="minor"/>
      </font>
      <alignment horizontal="center" vertical="center" textRotation="0" wrapText="1" indent="0" justifyLastLine="0" shrinkToFit="0" readingOrder="0"/>
    </dxf>
    <dxf>
      <alignment horizontal="center" vertical="center" textRotation="0" wrapText="0" indent="0" justifyLastLine="0" shrinkToFit="0" readingOrder="0"/>
    </dxf>
    <dxf>
      <numFmt numFmtId="165" formatCode="&quot;$&quot;#,##0"/>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34" formatCode="_(&quot;$&quot;* #,##0.00_);_(&quot;$&quot;* \(#,##0.00\);_(&quot;$&quot;* &quot;-&quot;??_);_(@_)"/>
      <alignment horizontal="center" vertical="center" textRotation="0" wrapText="0" indent="0" justifyLastLine="0" shrinkToFit="0" readingOrder="0"/>
    </dxf>
    <dxf>
      <numFmt numFmtId="165" formatCode="&quot;$&quot;#,##0"/>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65" formatCode="&quot;$&quot;#,##0"/>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34" formatCode="_(&quot;$&quot;* #,##0.00_);_(&quot;$&quot;* \(#,##0.00\);_(&quot;$&quot;* &quot;-&quot;??_);_(@_)"/>
      <alignment horizontal="center" vertical="center" textRotation="0" wrapText="0" indent="0" justifyLastLine="0" shrinkToFit="0" readingOrder="0"/>
    </dxf>
    <dxf>
      <numFmt numFmtId="165" formatCode="&quot;$&quot;#,##0"/>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left style="medium">
          <color theme="4"/>
        </left>
        <right style="medium">
          <color theme="4"/>
        </right>
        <vertical style="medium">
          <color theme="4"/>
        </vertical>
      </border>
    </dxf>
    <dxf>
      <border>
        <left style="medium">
          <color theme="4"/>
        </left>
        <right style="medium">
          <color theme="4"/>
        </right>
        <vertical style="medium">
          <color theme="4"/>
        </vertical>
      </border>
    </dxf>
    <dxf>
      <border>
        <top style="medium">
          <color theme="4"/>
        </top>
        <bottom style="medium">
          <color theme="4"/>
        </bottom>
      </border>
    </dxf>
    <dxf>
      <border>
        <top style="medium">
          <color theme="4"/>
        </top>
        <bottom style="medium">
          <color theme="4"/>
        </bottom>
      </border>
    </dxf>
    <dxf>
      <font>
        <b/>
        <color theme="1"/>
      </font>
      <border>
        <left style="medium">
          <color theme="4"/>
        </left>
        <right style="medium">
          <color theme="4"/>
        </right>
      </border>
    </dxf>
    <dxf>
      <font>
        <b/>
        <color theme="1"/>
      </font>
      <border>
        <left style="medium">
          <color theme="4"/>
        </left>
        <right style="medium">
          <color theme="4"/>
        </right>
        <vertical style="medium">
          <color theme="4"/>
        </vertical>
      </border>
    </dxf>
    <dxf>
      <font>
        <b/>
        <color theme="1"/>
      </font>
      <border>
        <top style="double">
          <color theme="4"/>
        </top>
        <bottom style="medium">
          <color theme="4"/>
        </bottom>
      </border>
    </dxf>
    <dxf>
      <font>
        <b/>
        <color theme="0"/>
      </font>
      <fill>
        <patternFill patternType="solid">
          <fgColor theme="4"/>
          <bgColor theme="4"/>
        </patternFill>
      </fill>
    </dxf>
    <dxf>
      <font>
        <color theme="1"/>
      </font>
      <border>
        <left style="medium">
          <color theme="4"/>
        </left>
        <right style="medium">
          <color theme="4"/>
        </right>
        <top style="medium">
          <color theme="4"/>
        </top>
        <bottom style="medium">
          <color theme="4"/>
        </bottom>
        <vertical style="medium">
          <color theme="4"/>
        </vertical>
      </border>
    </dxf>
  </dxfs>
  <tableStyles count="1" defaultTableStyle="TableStyleMedium2" defaultPivotStyle="PivotStyleLight16">
    <tableStyle name="TableStyleLight9_2" pivot="0" count="9" xr9:uid="{79EA9FFE-3257-431B-80D4-CC1E05B19499}">
      <tableStyleElement type="wholeTable" dxfId="155"/>
      <tableStyleElement type="headerRow" dxfId="154"/>
      <tableStyleElement type="totalRow" dxfId="153"/>
      <tableStyleElement type="firstColumn" dxfId="152"/>
      <tableStyleElement type="lastColumn" dxfId="151"/>
      <tableStyleElement type="firstRowStripe" dxfId="150"/>
      <tableStyleElement type="secondRowStripe" dxfId="149"/>
      <tableStyleElement type="firstColumnStripe" dxfId="148"/>
      <tableStyleElement type="secondColumnStripe" dxfId="147"/>
    </tableStyle>
  </tableStyles>
  <colors>
    <mruColors>
      <color rgb="FF417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9" Type="http://schemas.openxmlformats.org/officeDocument/2006/relationships/pivotTable" Target="pivotTables/pivotTable3.xml"/><Relationship Id="rId21" Type="http://schemas.openxmlformats.org/officeDocument/2006/relationships/pivotCacheDefinition" Target="pivotCache/pivotCacheDefinition2.xml"/><Relationship Id="rId34" Type="http://schemas.openxmlformats.org/officeDocument/2006/relationships/pivotCacheDefinition" Target="pivotCache/pivotCacheDefinition14.xml"/><Relationship Id="rId42" Type="http://schemas.openxmlformats.org/officeDocument/2006/relationships/connections" Target="connections.xml"/><Relationship Id="rId47" Type="http://schemas.openxmlformats.org/officeDocument/2006/relationships/calcChain" Target="calcChain.xml"/><Relationship Id="rId50" Type="http://schemas.openxmlformats.org/officeDocument/2006/relationships/customXml" Target="../customXml/item3.xml"/><Relationship Id="rId55" Type="http://schemas.openxmlformats.org/officeDocument/2006/relationships/customXml" Target="../customXml/item8.xml"/><Relationship Id="rId63" Type="http://schemas.openxmlformats.org/officeDocument/2006/relationships/customXml" Target="../customXml/item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10.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microsoft.com/office/2007/relationships/slicerCache" Target="slicerCaches/slicerCache1.xml"/><Relationship Id="rId37" Type="http://schemas.openxmlformats.org/officeDocument/2006/relationships/pivotTable" Target="pivotTables/pivotTable1.xml"/><Relationship Id="rId40" Type="http://schemas.openxmlformats.org/officeDocument/2006/relationships/pivotTable" Target="pivotTables/pivotTable4.xml"/><Relationship Id="rId45" Type="http://schemas.openxmlformats.org/officeDocument/2006/relationships/sheetMetadata" Target="metadata.xml"/><Relationship Id="rId53" Type="http://schemas.openxmlformats.org/officeDocument/2006/relationships/customXml" Target="../customXml/item6.xml"/><Relationship Id="rId58" Type="http://schemas.openxmlformats.org/officeDocument/2006/relationships/customXml" Target="../customXml/item11.xml"/><Relationship Id="rId5" Type="http://schemas.openxmlformats.org/officeDocument/2006/relationships/worksheet" Target="worksheets/sheet5.xml"/><Relationship Id="rId61" Type="http://schemas.openxmlformats.org/officeDocument/2006/relationships/customXml" Target="../customXml/item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pivotCacheDefinition" Target="pivotCache/pivotCacheDefinition11.xml"/><Relationship Id="rId35" Type="http://schemas.openxmlformats.org/officeDocument/2006/relationships/pivotCacheDefinition" Target="pivotCache/pivotCacheDefinition15.xml"/><Relationship Id="rId43" Type="http://schemas.openxmlformats.org/officeDocument/2006/relationships/styles" Target="styles.xml"/><Relationship Id="rId48" Type="http://schemas.openxmlformats.org/officeDocument/2006/relationships/customXml" Target="../customXml/item1.xml"/><Relationship Id="rId56" Type="http://schemas.openxmlformats.org/officeDocument/2006/relationships/customXml" Target="../customXml/item9.xml"/><Relationship Id="rId64" Type="http://schemas.openxmlformats.org/officeDocument/2006/relationships/customXml" Target="../customXml/item17.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openxmlformats.org/officeDocument/2006/relationships/pivotCacheDefinition" Target="pivotCache/pivotCacheDefinition13.xml"/><Relationship Id="rId38" Type="http://schemas.openxmlformats.org/officeDocument/2006/relationships/pivotTable" Target="pivotTables/pivotTable2.xml"/><Relationship Id="rId46" Type="http://schemas.openxmlformats.org/officeDocument/2006/relationships/powerPivotData" Target="model/item.data"/><Relationship Id="rId59" Type="http://schemas.openxmlformats.org/officeDocument/2006/relationships/customXml" Target="../customXml/item12.xml"/><Relationship Id="rId20" Type="http://schemas.openxmlformats.org/officeDocument/2006/relationships/pivotCacheDefinition" Target="pivotCache/pivotCacheDefinition1.xml"/><Relationship Id="rId41" Type="http://schemas.openxmlformats.org/officeDocument/2006/relationships/theme" Target="theme/theme1.xml"/><Relationship Id="rId54" Type="http://schemas.openxmlformats.org/officeDocument/2006/relationships/customXml" Target="../customXml/item7.xml"/><Relationship Id="rId62"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36" Type="http://schemas.openxmlformats.org/officeDocument/2006/relationships/pivotCacheDefinition" Target="pivotCache/pivotCacheDefinition16.xml"/><Relationship Id="rId49" Type="http://schemas.openxmlformats.org/officeDocument/2006/relationships/customXml" Target="../customXml/item2.xml"/><Relationship Id="rId5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pivotCacheDefinition" Target="pivotCache/pivotCacheDefinition12.xml"/><Relationship Id="rId44" Type="http://schemas.openxmlformats.org/officeDocument/2006/relationships/sharedStrings" Target="sharedStrings.xml"/><Relationship Id="rId52" Type="http://schemas.openxmlformats.org/officeDocument/2006/relationships/customXml" Target="../customXml/item5.xml"/><Relationship Id="rId60"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t>Total Number of Reported Values in All Years: Budgets</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v>City</c:v>
          </c:tx>
          <c:spPr>
            <a:solidFill>
              <a:schemeClr val="accent1"/>
            </a:solidFill>
            <a:ln>
              <a:noFill/>
            </a:ln>
            <a:effectLst/>
          </c:spPr>
          <c:invertIfNegative val="0"/>
          <c:dLbls>
            <c:delete val="1"/>
          </c:dLbls>
          <c:cat>
            <c:strRef>
              <c:f>'III. Data Availability'!$G$28:$G$50</c:f>
              <c:strCache>
                <c:ptCount val="23"/>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strCache>
            </c:strRef>
          </c:cat>
          <c:val>
            <c:numRef>
              <c:f>'III. Data Availability'!$H$28:$H$50</c:f>
              <c:numCache>
                <c:formatCode>General</c:formatCode>
                <c:ptCount val="23"/>
                <c:pt idx="0">
                  <c:v>1</c:v>
                </c:pt>
                <c:pt idx="1">
                  <c:v>1</c:v>
                </c:pt>
                <c:pt idx="2">
                  <c:v>30</c:v>
                </c:pt>
                <c:pt idx="3">
                  <c:v>33</c:v>
                </c:pt>
                <c:pt idx="5">
                  <c:v>1</c:v>
                </c:pt>
                <c:pt idx="6">
                  <c:v>11</c:v>
                </c:pt>
                <c:pt idx="7">
                  <c:v>11</c:v>
                </c:pt>
                <c:pt idx="9">
                  <c:v>11</c:v>
                </c:pt>
                <c:pt idx="10">
                  <c:v>1</c:v>
                </c:pt>
                <c:pt idx="11">
                  <c:v>10</c:v>
                </c:pt>
                <c:pt idx="12">
                  <c:v>78</c:v>
                </c:pt>
                <c:pt idx="13">
                  <c:v>89</c:v>
                </c:pt>
                <c:pt idx="14">
                  <c:v>22</c:v>
                </c:pt>
                <c:pt idx="15">
                  <c:v>30</c:v>
                </c:pt>
                <c:pt idx="16">
                  <c:v>31</c:v>
                </c:pt>
                <c:pt idx="17">
                  <c:v>125</c:v>
                </c:pt>
                <c:pt idx="18">
                  <c:v>20</c:v>
                </c:pt>
                <c:pt idx="19">
                  <c:v>20</c:v>
                </c:pt>
                <c:pt idx="20">
                  <c:v>2</c:v>
                </c:pt>
                <c:pt idx="21">
                  <c:v>1</c:v>
                </c:pt>
                <c:pt idx="22">
                  <c:v>1</c:v>
                </c:pt>
              </c:numCache>
            </c:numRef>
          </c:val>
          <c:extLst>
            <c:ext xmlns:c16="http://schemas.microsoft.com/office/drawing/2014/chart" uri="{C3380CC4-5D6E-409C-BE32-E72D297353CC}">
              <c16:uniqueId val="{00000000-91F4-48C1-815F-292D92D9CA32}"/>
            </c:ext>
          </c:extLst>
        </c:ser>
        <c:ser>
          <c:idx val="1"/>
          <c:order val="1"/>
          <c:tx>
            <c:v>County</c:v>
          </c:tx>
          <c:spPr>
            <a:solidFill>
              <a:schemeClr val="accent2"/>
            </a:solidFill>
            <a:ln>
              <a:noFill/>
            </a:ln>
            <a:effectLst/>
          </c:spPr>
          <c:invertIfNegative val="0"/>
          <c:dLbls>
            <c:delete val="1"/>
          </c:dLbls>
          <c:cat>
            <c:strRef>
              <c:f>'III. Data Availability'!$G$28:$G$50</c:f>
              <c:strCache>
                <c:ptCount val="23"/>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strCache>
            </c:strRef>
          </c:cat>
          <c:val>
            <c:numRef>
              <c:f>'III. Data Availability'!$I$28:$I$50</c:f>
              <c:numCache>
                <c:formatCode>General</c:formatCode>
                <c:ptCount val="23"/>
                <c:pt idx="4">
                  <c:v>1</c:v>
                </c:pt>
                <c:pt idx="5">
                  <c:v>1</c:v>
                </c:pt>
                <c:pt idx="6">
                  <c:v>2</c:v>
                </c:pt>
                <c:pt idx="7">
                  <c:v>2</c:v>
                </c:pt>
                <c:pt idx="8">
                  <c:v>1</c:v>
                </c:pt>
                <c:pt idx="9">
                  <c:v>2</c:v>
                </c:pt>
                <c:pt idx="10">
                  <c:v>1</c:v>
                </c:pt>
                <c:pt idx="11">
                  <c:v>2</c:v>
                </c:pt>
                <c:pt idx="12">
                  <c:v>3</c:v>
                </c:pt>
                <c:pt idx="13">
                  <c:v>4</c:v>
                </c:pt>
                <c:pt idx="14">
                  <c:v>5</c:v>
                </c:pt>
                <c:pt idx="15">
                  <c:v>5</c:v>
                </c:pt>
                <c:pt idx="16">
                  <c:v>4</c:v>
                </c:pt>
                <c:pt idx="17">
                  <c:v>6</c:v>
                </c:pt>
                <c:pt idx="18">
                  <c:v>2</c:v>
                </c:pt>
                <c:pt idx="19">
                  <c:v>5</c:v>
                </c:pt>
              </c:numCache>
            </c:numRef>
          </c:val>
          <c:extLst>
            <c:ext xmlns:c16="http://schemas.microsoft.com/office/drawing/2014/chart" uri="{C3380CC4-5D6E-409C-BE32-E72D297353CC}">
              <c16:uniqueId val="{00000001-91F4-48C1-815F-292D92D9CA32}"/>
            </c:ext>
          </c:extLst>
        </c:ser>
        <c:ser>
          <c:idx val="2"/>
          <c:order val="2"/>
          <c:tx>
            <c:v>FCD</c:v>
          </c:tx>
          <c:spPr>
            <a:solidFill>
              <a:schemeClr val="accent3"/>
            </a:solidFill>
            <a:ln>
              <a:noFill/>
            </a:ln>
            <a:effectLst/>
          </c:spPr>
          <c:invertIfNegative val="0"/>
          <c:dLbls>
            <c:delete val="1"/>
          </c:dLbls>
          <c:cat>
            <c:strRef>
              <c:f>'III. Data Availability'!$G$28:$G$50</c:f>
              <c:strCache>
                <c:ptCount val="23"/>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strCache>
            </c:strRef>
          </c:cat>
          <c:val>
            <c:numRef>
              <c:f>'III. Data Availability'!$J$28:$J$50</c:f>
              <c:numCache>
                <c:formatCode>General</c:formatCode>
                <c:ptCount val="23"/>
                <c:pt idx="6">
                  <c:v>2</c:v>
                </c:pt>
                <c:pt idx="7">
                  <c:v>2</c:v>
                </c:pt>
                <c:pt idx="9">
                  <c:v>2</c:v>
                </c:pt>
                <c:pt idx="11">
                  <c:v>2</c:v>
                </c:pt>
                <c:pt idx="12">
                  <c:v>2</c:v>
                </c:pt>
                <c:pt idx="13">
                  <c:v>3</c:v>
                </c:pt>
                <c:pt idx="14">
                  <c:v>2</c:v>
                </c:pt>
                <c:pt idx="15">
                  <c:v>4</c:v>
                </c:pt>
                <c:pt idx="16">
                  <c:v>2</c:v>
                </c:pt>
                <c:pt idx="17">
                  <c:v>4</c:v>
                </c:pt>
                <c:pt idx="19">
                  <c:v>2</c:v>
                </c:pt>
              </c:numCache>
            </c:numRef>
          </c:val>
          <c:extLst>
            <c:ext xmlns:c16="http://schemas.microsoft.com/office/drawing/2014/chart" uri="{C3380CC4-5D6E-409C-BE32-E72D297353CC}">
              <c16:uniqueId val="{00000002-91F4-48C1-815F-292D92D9CA32}"/>
            </c:ext>
          </c:extLst>
        </c:ser>
        <c:dLbls>
          <c:dLblPos val="ctr"/>
          <c:showLegendKey val="0"/>
          <c:showVal val="1"/>
          <c:showCatName val="0"/>
          <c:showSerName val="0"/>
          <c:showPercent val="0"/>
          <c:showBubbleSize val="0"/>
        </c:dLbls>
        <c:gapWidth val="150"/>
        <c:overlap val="100"/>
        <c:axId val="233483231"/>
        <c:axId val="345184335"/>
      </c:barChart>
      <c:catAx>
        <c:axId val="233483231"/>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sz="900"/>
                  <a:t>Fiscal Year</a:t>
                </a:r>
              </a:p>
            </c:rich>
          </c:tx>
          <c:layout>
            <c:manualLayout>
              <c:xMode val="edge"/>
              <c:yMode val="edge"/>
              <c:x val="0.47582872728699949"/>
              <c:y val="0.8324884732283759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crossAx val="345184335"/>
        <c:crosses val="autoZero"/>
        <c:auto val="1"/>
        <c:lblAlgn val="ctr"/>
        <c:lblOffset val="100"/>
        <c:noMultiLvlLbl val="0"/>
      </c:catAx>
      <c:valAx>
        <c:axId val="345184335"/>
        <c:scaling>
          <c:orientation val="minMax"/>
          <c:max val="1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sz="900"/>
                  <a:t>Number of Reports</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3483231"/>
        <c:crosses val="autoZero"/>
        <c:crossBetween val="between"/>
      </c:valAx>
      <c:spPr>
        <a:noFill/>
        <a:ln>
          <a:noFill/>
        </a:ln>
        <a:effectLst/>
      </c:spPr>
    </c:plotArea>
    <c:legend>
      <c:legendPos val="b"/>
      <c:layout>
        <c:manualLayout>
          <c:xMode val="edge"/>
          <c:yMode val="edge"/>
          <c:x val="0.32212596216401462"/>
          <c:y val="0.92501066143375099"/>
          <c:w val="0.40837908229988618"/>
          <c:h val="5.17820183927149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ysClr val="window" lastClr="FFFFFF"/>
    </a:solidFill>
    <a:ln w="12700"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Century Gothic" panose="020B0502020202020204" pitchFamily="34" charset="0"/>
                <a:ea typeface="+mn-ea"/>
                <a:cs typeface="+mn-cs"/>
              </a:defRPr>
            </a:pPr>
            <a:r>
              <a:rPr lang="en-US" sz="1100" b="1"/>
              <a:t>Total Expenditures </a:t>
            </a:r>
          </a:p>
          <a:p>
            <a:pPr>
              <a:defRPr sz="1100" b="1"/>
            </a:pPr>
            <a:r>
              <a:rPr lang="en-US" sz="1100" b="1"/>
              <a:t>within Regional Board Jurisdictions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21269548126937871"/>
          <c:y val="0.12191819334657131"/>
          <c:w val="0.46373711098383841"/>
          <c:h val="0.85285658077751114"/>
        </c:manualLayout>
      </c:layout>
      <c:barChart>
        <c:barDir val="col"/>
        <c:grouping val="stacked"/>
        <c:varyColors val="0"/>
        <c:ser>
          <c:idx val="0"/>
          <c:order val="0"/>
          <c:tx>
            <c:strRef>
              <c:f>'IV.B. Regional Boards'!$H$56</c:f>
              <c:strCache>
                <c:ptCount val="1"/>
                <c:pt idx="0">
                  <c:v>Los Angeles</c:v>
                </c:pt>
              </c:strCache>
            </c:strRef>
          </c:tx>
          <c:spPr>
            <a:solidFill>
              <a:schemeClr val="accent5">
                <a:shade val="45000"/>
              </a:schemeClr>
            </a:solidFill>
            <a:ln>
              <a:noFill/>
            </a:ln>
            <a:effectLst/>
          </c:spPr>
          <c:invertIfNegative val="0"/>
          <c:dLbls>
            <c:dLbl>
              <c:idx val="0"/>
              <c:layout>
                <c:manualLayout>
                  <c:x val="0.32437803229141809"/>
                  <c:y val="4.6959755030621171E-2"/>
                </c:manualLayout>
              </c:layout>
              <c:tx>
                <c:rich>
                  <a:bodyPr rot="0" spcFirstLastPara="1" vertOverflow="ellipsis" vert="horz" wrap="square" lIns="38100" tIns="19050" rIns="38100" bIns="19050" anchor="ctr" anchorCtr="0">
                    <a:spAutoFit/>
                  </a:bodyPr>
                  <a:lstStyle/>
                  <a:p>
                    <a:pPr algn="l">
                      <a:defRPr sz="1000" b="0" i="0" u="none" strike="noStrike" kern="1200" baseline="0">
                        <a:solidFill>
                          <a:schemeClr val="tx1">
                            <a:lumMod val="75000"/>
                            <a:lumOff val="25000"/>
                          </a:schemeClr>
                        </a:solidFill>
                        <a:latin typeface="Century Gothic" panose="020B0502020202020204" pitchFamily="34" charset="0"/>
                        <a:ea typeface="+mn-ea"/>
                        <a:cs typeface="+mn-cs"/>
                      </a:defRPr>
                    </a:pPr>
                    <a:fld id="{A90D018D-8705-4A28-8199-DE73CC96DB05}" type="CELLRANGE">
                      <a:rPr lang="en-US"/>
                      <a:pPr algn="l">
                        <a:defRPr sz="1000"/>
                      </a:pPr>
                      <a:t>[CELLRANGE]</a:t>
                    </a:fld>
                    <a:endParaRPr lang="en-US"/>
                  </a:p>
                </c:rich>
              </c:tx>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DFE-4C11-BD72-EF5EF23CCD9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'IV.B. Regional Boards'!$I$56</c:f>
              <c:numCache>
                <c:formatCode>_("$"* #,##0_);_("$"* \(#,##0\);_("$"* "-"??_);_(@_)</c:formatCode>
                <c:ptCount val="1"/>
                <c:pt idx="0">
                  <c:v>297148942.12325698</c:v>
                </c:pt>
              </c:numCache>
            </c:numRef>
          </c:val>
          <c:extLst>
            <c:ext xmlns:c15="http://schemas.microsoft.com/office/drawing/2012/chart" uri="{02D57815-91ED-43cb-92C2-25804820EDAC}">
              <c15:datalabelsRange>
                <c15:f>'IV.B. Regional Boards'!$K$56</c15:f>
                <c15:dlblRangeCache>
                  <c:ptCount val="1"/>
                  <c:pt idx="0">
                    <c:v>Los Angeles
$300M</c:v>
                  </c:pt>
                </c15:dlblRangeCache>
              </c15:datalabelsRange>
            </c:ext>
            <c:ext xmlns:c16="http://schemas.microsoft.com/office/drawing/2014/chart" uri="{C3380CC4-5D6E-409C-BE32-E72D297353CC}">
              <c16:uniqueId val="{00000001-3DFE-4C11-BD72-EF5EF23CCD9D}"/>
            </c:ext>
          </c:extLst>
        </c:ser>
        <c:ser>
          <c:idx val="1"/>
          <c:order val="1"/>
          <c:tx>
            <c:strRef>
              <c:f>'IV.B. Regional Boards'!$H$57</c:f>
              <c:strCache>
                <c:ptCount val="1"/>
                <c:pt idx="0">
                  <c:v>San Diego</c:v>
                </c:pt>
              </c:strCache>
            </c:strRef>
          </c:tx>
          <c:spPr>
            <a:solidFill>
              <a:schemeClr val="accent5">
                <a:shade val="61000"/>
              </a:schemeClr>
            </a:solidFill>
            <a:ln>
              <a:noFill/>
            </a:ln>
            <a:effectLst/>
          </c:spPr>
          <c:invertIfNegative val="0"/>
          <c:dLbls>
            <c:dLbl>
              <c:idx val="0"/>
              <c:layout>
                <c:manualLayout>
                  <c:x val="0.31787282271534251"/>
                  <c:y val="0.16152668416447943"/>
                </c:manualLayout>
              </c:layout>
              <c:tx>
                <c:rich>
                  <a:bodyPr/>
                  <a:lstStyle/>
                  <a:p>
                    <a:fld id="{717908B0-A595-4F82-8ED1-CF3A94AD9B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DFE-4C11-BD72-EF5EF23CCD9D}"/>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'IV.B. Regional Boards'!$I$57</c:f>
              <c:numCache>
                <c:formatCode>_("$"* #,##0_);_("$"* \(#,##0\);_("$"* "-"??_);_(@_)</c:formatCode>
                <c:ptCount val="1"/>
                <c:pt idx="0">
                  <c:v>179131231.17446607</c:v>
                </c:pt>
              </c:numCache>
            </c:numRef>
          </c:val>
          <c:extLst>
            <c:ext xmlns:c15="http://schemas.microsoft.com/office/drawing/2012/chart" uri="{02D57815-91ED-43cb-92C2-25804820EDAC}">
              <c15:datalabelsRange>
                <c15:f>'IV.B. Regional Boards'!$K$57</c15:f>
                <c15:dlblRangeCache>
                  <c:ptCount val="1"/>
                  <c:pt idx="0">
                    <c:v>San Diego
$180M</c:v>
                  </c:pt>
                </c15:dlblRangeCache>
              </c15:datalabelsRange>
            </c:ext>
            <c:ext xmlns:c16="http://schemas.microsoft.com/office/drawing/2014/chart" uri="{C3380CC4-5D6E-409C-BE32-E72D297353CC}">
              <c16:uniqueId val="{00000003-3DFE-4C11-BD72-EF5EF23CCD9D}"/>
            </c:ext>
          </c:extLst>
        </c:ser>
        <c:ser>
          <c:idx val="2"/>
          <c:order val="2"/>
          <c:tx>
            <c:strRef>
              <c:f>'IV.B. Regional Boards'!$H$58</c:f>
              <c:strCache>
                <c:ptCount val="1"/>
                <c:pt idx="0">
                  <c:v>Central Valley</c:v>
                </c:pt>
              </c:strCache>
            </c:strRef>
          </c:tx>
          <c:spPr>
            <a:solidFill>
              <a:schemeClr val="accent5">
                <a:shade val="76000"/>
              </a:schemeClr>
            </a:solidFill>
            <a:ln>
              <a:noFill/>
            </a:ln>
            <a:effectLst/>
          </c:spPr>
          <c:invertIfNegative val="0"/>
          <c:dLbls>
            <c:dLbl>
              <c:idx val="0"/>
              <c:layout>
                <c:manualLayout>
                  <c:x val="0.34282370953630797"/>
                  <c:y val="0.20268299795858843"/>
                </c:manualLayout>
              </c:layout>
              <c:tx>
                <c:rich>
                  <a:bodyPr/>
                  <a:lstStyle/>
                  <a:p>
                    <a:fld id="{D216C840-5F5B-4FB6-84C1-C94741A4EF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DFE-4C11-BD72-EF5EF23CCD9D}"/>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'IV.B. Regional Boards'!$I$58</c:f>
              <c:numCache>
                <c:formatCode>_("$"* #,##0_);_("$"* \(#,##0\);_("$"* "-"??_);_(@_)</c:formatCode>
                <c:ptCount val="1"/>
                <c:pt idx="0">
                  <c:v>142729015.8818672</c:v>
                </c:pt>
              </c:numCache>
            </c:numRef>
          </c:val>
          <c:extLst>
            <c:ext xmlns:c15="http://schemas.microsoft.com/office/drawing/2012/chart" uri="{02D57815-91ED-43cb-92C2-25804820EDAC}">
              <c15:datalabelsRange>
                <c15:f>'IV.B. Regional Boards'!$K$58</c15:f>
                <c15:dlblRangeCache>
                  <c:ptCount val="1"/>
                  <c:pt idx="0">
                    <c:v>Central Valley
$140M</c:v>
                  </c:pt>
                </c15:dlblRangeCache>
              </c15:datalabelsRange>
            </c:ext>
            <c:ext xmlns:c16="http://schemas.microsoft.com/office/drawing/2014/chart" uri="{C3380CC4-5D6E-409C-BE32-E72D297353CC}">
              <c16:uniqueId val="{00000005-3DFE-4C11-BD72-EF5EF23CCD9D}"/>
            </c:ext>
          </c:extLst>
        </c:ser>
        <c:ser>
          <c:idx val="3"/>
          <c:order val="3"/>
          <c:tx>
            <c:strRef>
              <c:f>'IV.B. Regional Boards'!$H$59</c:f>
              <c:strCache>
                <c:ptCount val="1"/>
                <c:pt idx="0">
                  <c:v>Santa Ana</c:v>
                </c:pt>
              </c:strCache>
            </c:strRef>
          </c:tx>
          <c:spPr>
            <a:solidFill>
              <a:schemeClr val="accent5">
                <a:shade val="92000"/>
              </a:schemeClr>
            </a:solidFill>
            <a:ln>
              <a:noFill/>
            </a:ln>
            <a:effectLst/>
          </c:spPr>
          <c:invertIfNegative val="0"/>
          <c:dLbls>
            <c:dLbl>
              <c:idx val="0"/>
              <c:layout>
                <c:manualLayout>
                  <c:x val="0.32544858029109991"/>
                  <c:y val="0.22818606007582384"/>
                </c:manualLayout>
              </c:layout>
              <c:tx>
                <c:rich>
                  <a:bodyPr/>
                  <a:lstStyle/>
                  <a:p>
                    <a:fld id="{D37088ED-0165-4CA3-84A2-C4B324291B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DFE-4C11-BD72-EF5EF23CCD9D}"/>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'IV.B. Regional Boards'!$I$59</c:f>
              <c:numCache>
                <c:formatCode>_("$"* #,##0_);_("$"* \(#,##0\);_("$"* "-"??_);_(@_)</c:formatCode>
                <c:ptCount val="1"/>
                <c:pt idx="0">
                  <c:v>134592280.78380907</c:v>
                </c:pt>
              </c:numCache>
            </c:numRef>
          </c:val>
          <c:extLst>
            <c:ext xmlns:c15="http://schemas.microsoft.com/office/drawing/2012/chart" uri="{02D57815-91ED-43cb-92C2-25804820EDAC}">
              <c15:datalabelsRange>
                <c15:f>'IV.B. Regional Boards'!$K$59</c15:f>
                <c15:dlblRangeCache>
                  <c:ptCount val="1"/>
                  <c:pt idx="0">
                    <c:v>Santa Ana
$130M</c:v>
                  </c:pt>
                </c15:dlblRangeCache>
              </c15:datalabelsRange>
            </c:ext>
            <c:ext xmlns:c16="http://schemas.microsoft.com/office/drawing/2014/chart" uri="{C3380CC4-5D6E-409C-BE32-E72D297353CC}">
              <c16:uniqueId val="{00000007-3DFE-4C11-BD72-EF5EF23CCD9D}"/>
            </c:ext>
          </c:extLst>
        </c:ser>
        <c:ser>
          <c:idx val="4"/>
          <c:order val="4"/>
          <c:tx>
            <c:strRef>
              <c:f>'IV.B. Regional Boards'!$H$60</c:f>
              <c:strCache>
                <c:ptCount val="1"/>
                <c:pt idx="0">
                  <c:v>San Francisco Bay</c:v>
                </c:pt>
              </c:strCache>
            </c:strRef>
          </c:tx>
          <c:spPr>
            <a:solidFill>
              <a:schemeClr val="accent5">
                <a:tint val="93000"/>
              </a:schemeClr>
            </a:solidFill>
            <a:ln>
              <a:noFill/>
            </a:ln>
            <a:effectLst/>
          </c:spPr>
          <c:invertIfNegative val="0"/>
          <c:dLbls>
            <c:dLbl>
              <c:idx val="0"/>
              <c:layout>
                <c:manualLayout>
                  <c:x val="0.37443092340730127"/>
                  <c:y val="0.2130103528725576"/>
                </c:manualLayout>
              </c:layout>
              <c:tx>
                <c:rich>
                  <a:bodyPr/>
                  <a:lstStyle/>
                  <a:p>
                    <a:fld id="{7E8E28CE-81E3-49B2-8D8C-31668CBE68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24454545454545454"/>
                      <c:h val="9.2048702245552644E-2"/>
                    </c:manualLayout>
                  </c15:layout>
                  <c15:dlblFieldTable/>
                  <c15:showDataLabelsRange val="1"/>
                </c:ext>
                <c:ext xmlns:c16="http://schemas.microsoft.com/office/drawing/2014/chart" uri="{C3380CC4-5D6E-409C-BE32-E72D297353CC}">
                  <c16:uniqueId val="{00000008-3DFE-4C11-BD72-EF5EF23CCD9D}"/>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'IV.B. Regional Boards'!$I$60</c:f>
              <c:numCache>
                <c:formatCode>_("$"* #,##0_);_("$"* \(#,##0\);_("$"* "-"??_);_(@_)</c:formatCode>
                <c:ptCount val="1"/>
                <c:pt idx="0">
                  <c:v>6566244.7263157899</c:v>
                </c:pt>
              </c:numCache>
            </c:numRef>
          </c:val>
          <c:extLst>
            <c:ext xmlns:c15="http://schemas.microsoft.com/office/drawing/2012/chart" uri="{02D57815-91ED-43cb-92C2-25804820EDAC}">
              <c15:datalabelsRange>
                <c15:f>'IV.B. Regional Boards'!$K$60</c15:f>
                <c15:dlblRangeCache>
                  <c:ptCount val="1"/>
                  <c:pt idx="0">
                    <c:v>San Francisco Bay
$6.6M</c:v>
                  </c:pt>
                </c15:dlblRangeCache>
              </c15:datalabelsRange>
            </c:ext>
            <c:ext xmlns:c16="http://schemas.microsoft.com/office/drawing/2014/chart" uri="{C3380CC4-5D6E-409C-BE32-E72D297353CC}">
              <c16:uniqueId val="{00000009-3DFE-4C11-BD72-EF5EF23CCD9D}"/>
            </c:ext>
          </c:extLst>
        </c:ser>
        <c:ser>
          <c:idx val="5"/>
          <c:order val="5"/>
          <c:tx>
            <c:strRef>
              <c:f>'IV.B. Regional Boards'!$H$61</c:f>
              <c:strCache>
                <c:ptCount val="1"/>
                <c:pt idx="0">
                  <c:v>Central Coast</c:v>
                </c:pt>
              </c:strCache>
            </c:strRef>
          </c:tx>
          <c:spPr>
            <a:solidFill>
              <a:schemeClr val="accent5">
                <a:tint val="77000"/>
              </a:schemeClr>
            </a:solidFill>
            <a:ln>
              <a:noFill/>
            </a:ln>
            <a:effectLst/>
          </c:spPr>
          <c:invertIfNegative val="0"/>
          <c:dLbls>
            <c:dLbl>
              <c:idx val="0"/>
              <c:layout>
                <c:manualLayout>
                  <c:x val="0.34496460669689005"/>
                  <c:y val="0.1367271799358413"/>
                </c:manualLayout>
              </c:layout>
              <c:tx>
                <c:rich>
                  <a:bodyPr/>
                  <a:lstStyle/>
                  <a:p>
                    <a:fld id="{C3B1FC2B-52D4-4236-B46E-D29988D6E3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DFE-4C11-BD72-EF5EF23CCD9D}"/>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'IV.B. Regional Boards'!$I$61</c:f>
              <c:numCache>
                <c:formatCode>_("$"* #,##0_);_("$"* \(#,##0\);_("$"* "-"??_);_(@_)</c:formatCode>
                <c:ptCount val="1"/>
                <c:pt idx="0">
                  <c:v>4577600.1080783363</c:v>
                </c:pt>
              </c:numCache>
            </c:numRef>
          </c:val>
          <c:extLst>
            <c:ext xmlns:c15="http://schemas.microsoft.com/office/drawing/2012/chart" uri="{02D57815-91ED-43cb-92C2-25804820EDAC}">
              <c15:datalabelsRange>
                <c15:f>'IV.B. Regional Boards'!$K$61</c15:f>
                <c15:dlblRangeCache>
                  <c:ptCount val="1"/>
                  <c:pt idx="0">
                    <c:v>Central Coast
$4.6M</c:v>
                  </c:pt>
                </c15:dlblRangeCache>
              </c15:datalabelsRange>
            </c:ext>
            <c:ext xmlns:c16="http://schemas.microsoft.com/office/drawing/2014/chart" uri="{C3380CC4-5D6E-409C-BE32-E72D297353CC}">
              <c16:uniqueId val="{0000000B-3DFE-4C11-BD72-EF5EF23CCD9D}"/>
            </c:ext>
          </c:extLst>
        </c:ser>
        <c:ser>
          <c:idx val="6"/>
          <c:order val="6"/>
          <c:tx>
            <c:strRef>
              <c:f>'IV.B. Regional Boards'!$H$62</c:f>
              <c:strCache>
                <c:ptCount val="1"/>
                <c:pt idx="0">
                  <c:v>North Coast</c:v>
                </c:pt>
              </c:strCache>
            </c:strRef>
          </c:tx>
          <c:spPr>
            <a:solidFill>
              <a:schemeClr val="accent5">
                <a:tint val="62000"/>
              </a:schemeClr>
            </a:solidFill>
            <a:ln>
              <a:noFill/>
            </a:ln>
            <a:effectLst/>
          </c:spPr>
          <c:invertIfNegative val="0"/>
          <c:dLbls>
            <c:dLbl>
              <c:idx val="0"/>
              <c:layout>
                <c:manualLayout>
                  <c:x val="0.33141871470611628"/>
                  <c:y val="6.3568095654709847E-2"/>
                </c:manualLayout>
              </c:layout>
              <c:tx>
                <c:rich>
                  <a:bodyPr/>
                  <a:lstStyle/>
                  <a:p>
                    <a:fld id="{02474BB0-1383-433E-A172-851F2E6CD9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DFE-4C11-BD72-EF5EF23CCD9D}"/>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'IV.B. Regional Boards'!$I$62</c:f>
              <c:numCache>
                <c:formatCode>_("$"* #,##0_);_("$"* \(#,##0\);_("$"* "-"??_);_(@_)</c:formatCode>
                <c:ptCount val="1"/>
                <c:pt idx="0">
                  <c:v>837994.9477210301</c:v>
                </c:pt>
              </c:numCache>
            </c:numRef>
          </c:val>
          <c:extLst>
            <c:ext xmlns:c15="http://schemas.microsoft.com/office/drawing/2012/chart" uri="{02D57815-91ED-43cb-92C2-25804820EDAC}">
              <c15:datalabelsRange>
                <c15:f>'IV.B. Regional Boards'!$K$62</c15:f>
                <c15:dlblRangeCache>
                  <c:ptCount val="1"/>
                  <c:pt idx="0">
                    <c:v>North Coast
$0.84M</c:v>
                  </c:pt>
                </c15:dlblRangeCache>
              </c15:datalabelsRange>
            </c:ext>
            <c:ext xmlns:c16="http://schemas.microsoft.com/office/drawing/2014/chart" uri="{C3380CC4-5D6E-409C-BE32-E72D297353CC}">
              <c16:uniqueId val="{0000000D-3DFE-4C11-BD72-EF5EF23CCD9D}"/>
            </c:ext>
          </c:extLst>
        </c:ser>
        <c:ser>
          <c:idx val="7"/>
          <c:order val="7"/>
          <c:tx>
            <c:strRef>
              <c:f>'IV.B. Regional Boards'!$H$63</c:f>
              <c:strCache>
                <c:ptCount val="1"/>
                <c:pt idx="0">
                  <c:v>Colorado River Basin</c:v>
                </c:pt>
              </c:strCache>
            </c:strRef>
          </c:tx>
          <c:spPr>
            <a:solidFill>
              <a:schemeClr val="accent5">
                <a:tint val="46000"/>
              </a:schemeClr>
            </a:solidFill>
            <a:ln>
              <a:noFill/>
            </a:ln>
            <a:effectLst/>
          </c:spPr>
          <c:invertIfNegative val="0"/>
          <c:dLbls>
            <c:dLbl>
              <c:idx val="0"/>
              <c:layout>
                <c:manualLayout>
                  <c:x val="0.3908865529783675"/>
                  <c:y val="-1.7822121245150421E-2"/>
                </c:manualLayout>
              </c:layout>
              <c:tx>
                <c:rich>
                  <a:bodyPr/>
                  <a:lstStyle/>
                  <a:p>
                    <a:fld id="{D811A427-0E32-4E8C-B9FE-AFE3E602C7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27119740714228896"/>
                      <c:h val="7.3059200933216675E-2"/>
                    </c:manualLayout>
                  </c15:layout>
                  <c15:dlblFieldTable/>
                  <c15:showDataLabelsRange val="1"/>
                </c:ext>
                <c:ext xmlns:c16="http://schemas.microsoft.com/office/drawing/2014/chart" uri="{C3380CC4-5D6E-409C-BE32-E72D297353CC}">
                  <c16:uniqueId val="{0000000E-3DFE-4C11-BD72-EF5EF23CCD9D}"/>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'IV.B. Regional Boards'!$I$63</c:f>
              <c:numCache>
                <c:formatCode>_("$"* #,##0_);_("$"* \(#,##0\);_("$"* "-"??_);_(@_)</c:formatCode>
                <c:ptCount val="1"/>
                <c:pt idx="0">
                  <c:v>153760.34354430379</c:v>
                </c:pt>
              </c:numCache>
            </c:numRef>
          </c:val>
          <c:extLst>
            <c:ext xmlns:c15="http://schemas.microsoft.com/office/drawing/2012/chart" uri="{02D57815-91ED-43cb-92C2-25804820EDAC}">
              <c15:datalabelsRange>
                <c15:f>'IV.B. Regional Boards'!$K$63</c15:f>
                <c15:dlblRangeCache>
                  <c:ptCount val="1"/>
                  <c:pt idx="0">
                    <c:v>Colorado River Basin
$0.15M</c:v>
                  </c:pt>
                </c15:dlblRangeCache>
              </c15:datalabelsRange>
            </c:ext>
            <c:ext xmlns:c16="http://schemas.microsoft.com/office/drawing/2014/chart" uri="{C3380CC4-5D6E-409C-BE32-E72D297353CC}">
              <c16:uniqueId val="{0000000F-3DFE-4C11-BD72-EF5EF23CCD9D}"/>
            </c:ext>
          </c:extLst>
        </c:ser>
        <c:dLbls>
          <c:showLegendKey val="0"/>
          <c:showVal val="1"/>
          <c:showCatName val="0"/>
          <c:showSerName val="0"/>
          <c:showPercent val="0"/>
          <c:showBubbleSize val="0"/>
        </c:dLbls>
        <c:gapWidth val="150"/>
        <c:overlap val="100"/>
        <c:axId val="999130816"/>
        <c:axId val="271342448"/>
      </c:barChart>
      <c:catAx>
        <c:axId val="999130816"/>
        <c:scaling>
          <c:orientation val="minMax"/>
        </c:scaling>
        <c:delete val="1"/>
        <c:axPos val="b"/>
        <c:numFmt formatCode="General" sourceLinked="1"/>
        <c:majorTickMark val="none"/>
        <c:minorTickMark val="none"/>
        <c:tickLblPos val="nextTo"/>
        <c:crossAx val="271342448"/>
        <c:crosses val="autoZero"/>
        <c:auto val="1"/>
        <c:lblAlgn val="ctr"/>
        <c:lblOffset val="100"/>
        <c:noMultiLvlLbl val="0"/>
      </c:catAx>
      <c:valAx>
        <c:axId val="271342448"/>
        <c:scaling>
          <c:orientation val="minMax"/>
          <c:max val="80000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99913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b="1"/>
              <a:t>Total Annual Expenditures, by Category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8667547078949473"/>
          <c:y val="7.1044286101979215E-2"/>
          <c:w val="0.38153931881662434"/>
          <c:h val="0.9079282332235098"/>
        </c:manualLayout>
      </c:layout>
      <c:barChart>
        <c:barDir val="col"/>
        <c:grouping val="stacked"/>
        <c:varyColors val="0"/>
        <c:ser>
          <c:idx val="0"/>
          <c:order val="0"/>
          <c:tx>
            <c:strRef>
              <c:f>'IV.C. Category'!$H$66</c:f>
              <c:strCache>
                <c:ptCount val="1"/>
                <c:pt idx="0">
                  <c:v>Pollution Prevention</c:v>
                </c:pt>
              </c:strCache>
            </c:strRef>
          </c:tx>
          <c:spPr>
            <a:solidFill>
              <a:schemeClr val="accent5">
                <a:shade val="40000"/>
              </a:schemeClr>
            </a:solidFill>
            <a:ln>
              <a:noFill/>
            </a:ln>
            <a:effectLst/>
          </c:spPr>
          <c:invertIfNegative val="0"/>
          <c:dLbls>
            <c:dLbl>
              <c:idx val="0"/>
              <c:layout>
                <c:manualLayout>
                  <c:x val="0.34390599981162284"/>
                  <c:y val="0.11339562193995802"/>
                </c:manualLayout>
              </c:layout>
              <c:tx>
                <c:rich>
                  <a:bodyPr/>
                  <a:lstStyle/>
                  <a:p>
                    <a:fld id="{71CBA964-1AAA-4BB2-B53F-9E2AB5DEE9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24369027177023786"/>
                      <c:h val="7.8700922996405479E-2"/>
                    </c:manualLayout>
                  </c15:layout>
                  <c15:dlblFieldTable/>
                  <c15:showDataLabelsRange val="1"/>
                </c:ext>
                <c:ext xmlns:c16="http://schemas.microsoft.com/office/drawing/2014/chart" uri="{C3380CC4-5D6E-409C-BE32-E72D297353CC}">
                  <c16:uniqueId val="{00000000-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Category'!$I$66</c:f>
              <c:numCache>
                <c:formatCode>General</c:formatCode>
                <c:ptCount val="1"/>
                <c:pt idx="0">
                  <c:v>274049125.06270885</c:v>
                </c:pt>
              </c:numCache>
            </c:numRef>
          </c:val>
          <c:extLst>
            <c:ext xmlns:c15="http://schemas.microsoft.com/office/drawing/2012/chart" uri="{02D57815-91ED-43cb-92C2-25804820EDAC}">
              <c15:datalabelsRange>
                <c15:f>'IV.C. Category'!$K$66</c15:f>
                <c15:dlblRangeCache>
                  <c:ptCount val="1"/>
                  <c:pt idx="0">
                    <c:v>Pollution Prevention,
$270M</c:v>
                  </c:pt>
                </c15:dlblRangeCache>
              </c15:datalabelsRange>
            </c:ext>
            <c:ext xmlns:c16="http://schemas.microsoft.com/office/drawing/2014/chart" uri="{C3380CC4-5D6E-409C-BE32-E72D297353CC}">
              <c16:uniqueId val="{00000001-95EB-4ADC-98B9-134E788C3094}"/>
            </c:ext>
          </c:extLst>
        </c:ser>
        <c:ser>
          <c:idx val="1"/>
          <c:order val="1"/>
          <c:tx>
            <c:strRef>
              <c:f>'IV.C. Category'!$H$67</c:f>
              <c:strCache>
                <c:ptCount val="1"/>
                <c:pt idx="0">
                  <c:v>Capital Costs</c:v>
                </c:pt>
              </c:strCache>
            </c:strRef>
          </c:tx>
          <c:spPr>
            <a:solidFill>
              <a:schemeClr val="accent5">
                <a:shade val="51000"/>
              </a:schemeClr>
            </a:solidFill>
            <a:ln>
              <a:noFill/>
            </a:ln>
            <a:effectLst/>
          </c:spPr>
          <c:invertIfNegative val="0"/>
          <c:dLbls>
            <c:dLbl>
              <c:idx val="0"/>
              <c:layout>
                <c:manualLayout>
                  <c:x val="0.2920805604680628"/>
                  <c:y val="0.22882068470756603"/>
                </c:manualLayout>
              </c:layout>
              <c:tx>
                <c:rich>
                  <a:bodyPr/>
                  <a:lstStyle/>
                  <a:p>
                    <a:fld id="{C1B7F01E-5BD8-4EE4-92AA-20830A68F0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Category'!$I$67</c:f>
              <c:numCache>
                <c:formatCode>General</c:formatCode>
                <c:ptCount val="1"/>
                <c:pt idx="0">
                  <c:v>87918213.81586048</c:v>
                </c:pt>
              </c:numCache>
            </c:numRef>
          </c:val>
          <c:extLst>
            <c:ext xmlns:c15="http://schemas.microsoft.com/office/drawing/2012/chart" uri="{02D57815-91ED-43cb-92C2-25804820EDAC}">
              <c15:datalabelsRange>
                <c15:f>'IV.C. Category'!$K$67</c15:f>
                <c15:dlblRangeCache>
                  <c:ptCount val="1"/>
                  <c:pt idx="0">
                    <c:v>Capital Costs,
$88M</c:v>
                  </c:pt>
                </c15:dlblRangeCache>
              </c15:datalabelsRange>
            </c:ext>
            <c:ext xmlns:c16="http://schemas.microsoft.com/office/drawing/2014/chart" uri="{C3380CC4-5D6E-409C-BE32-E72D297353CC}">
              <c16:uniqueId val="{00000003-95EB-4ADC-98B9-134E788C3094}"/>
            </c:ext>
          </c:extLst>
        </c:ser>
        <c:ser>
          <c:idx val="2"/>
          <c:order val="2"/>
          <c:tx>
            <c:strRef>
              <c:f>'IV.C. Category'!$H$68</c:f>
              <c:strCache>
                <c:ptCount val="1"/>
                <c:pt idx="0">
                  <c:v>Operations and Maintenance</c:v>
                </c:pt>
              </c:strCache>
            </c:strRef>
          </c:tx>
          <c:spPr>
            <a:solidFill>
              <a:schemeClr val="accent5">
                <a:shade val="62000"/>
              </a:schemeClr>
            </a:solidFill>
            <a:ln>
              <a:noFill/>
            </a:ln>
            <a:effectLst/>
          </c:spPr>
          <c:invertIfNegative val="0"/>
          <c:dLbls>
            <c:dLbl>
              <c:idx val="0"/>
              <c:layout>
                <c:manualLayout>
                  <c:x val="0.40533340166688736"/>
                  <c:y val="0.24859809425298471"/>
                </c:manualLayout>
              </c:layout>
              <c:tx>
                <c:rich>
                  <a:bodyPr/>
                  <a:lstStyle/>
                  <a:p>
                    <a:fld id="{4FA41C5E-2827-4F8D-A9AD-2DB97B3D09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36044569304671026"/>
                      <c:h val="7.8700922996405479E-2"/>
                    </c:manualLayout>
                  </c15:layout>
                  <c15:dlblFieldTable/>
                  <c15:showDataLabelsRange val="1"/>
                </c:ext>
                <c:ext xmlns:c16="http://schemas.microsoft.com/office/drawing/2014/chart" uri="{C3380CC4-5D6E-409C-BE32-E72D297353CC}">
                  <c16:uniqueId val="{00000004-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Category'!$I$68</c:f>
              <c:numCache>
                <c:formatCode>General</c:formatCode>
                <c:ptCount val="1"/>
                <c:pt idx="0">
                  <c:v>83016327.345205486</c:v>
                </c:pt>
              </c:numCache>
            </c:numRef>
          </c:val>
          <c:extLst>
            <c:ext xmlns:c15="http://schemas.microsoft.com/office/drawing/2012/chart" uri="{02D57815-91ED-43cb-92C2-25804820EDAC}">
              <c15:datalabelsRange>
                <c15:f>'IV.C. Category'!$K$68</c15:f>
                <c15:dlblRangeCache>
                  <c:ptCount val="1"/>
                  <c:pt idx="0">
                    <c:v>Operations and Maintenance,
$83M</c:v>
                  </c:pt>
                </c15:dlblRangeCache>
              </c15:datalabelsRange>
            </c:ext>
            <c:ext xmlns:c16="http://schemas.microsoft.com/office/drawing/2014/chart" uri="{C3380CC4-5D6E-409C-BE32-E72D297353CC}">
              <c16:uniqueId val="{00000005-95EB-4ADC-98B9-134E788C3094}"/>
            </c:ext>
          </c:extLst>
        </c:ser>
        <c:ser>
          <c:idx val="3"/>
          <c:order val="3"/>
          <c:tx>
            <c:strRef>
              <c:f>'IV.C. Category'!$H$69</c:f>
              <c:strCache>
                <c:ptCount val="1"/>
                <c:pt idx="0">
                  <c:v>Stormwater Program Management</c:v>
                </c:pt>
              </c:strCache>
            </c:strRef>
          </c:tx>
          <c:spPr>
            <a:solidFill>
              <a:schemeClr val="accent5">
                <a:shade val="73000"/>
              </a:schemeClr>
            </a:solidFill>
            <a:ln>
              <a:noFill/>
            </a:ln>
            <a:effectLst/>
          </c:spPr>
          <c:invertIfNegative val="0"/>
          <c:dLbls>
            <c:dLbl>
              <c:idx val="0"/>
              <c:layout>
                <c:manualLayout>
                  <c:x val="0.42224266856711296"/>
                  <c:y val="0.25514014936490548"/>
                </c:manualLayout>
              </c:layout>
              <c:tx>
                <c:rich>
                  <a:bodyPr/>
                  <a:lstStyle/>
                  <a:p>
                    <a:fld id="{982EBBB2-0026-4CA5-94EA-E561D5BDC3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40062409163916396"/>
                      <c:h val="0.10275387895790042"/>
                    </c:manualLayout>
                  </c15:layout>
                  <c15:dlblFieldTable/>
                  <c15:showDataLabelsRange val="1"/>
                </c:ext>
                <c:ext xmlns:c16="http://schemas.microsoft.com/office/drawing/2014/chart" uri="{C3380CC4-5D6E-409C-BE32-E72D297353CC}">
                  <c16:uniqueId val="{00000006-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Category'!$I$69</c:f>
              <c:numCache>
                <c:formatCode>General</c:formatCode>
                <c:ptCount val="1"/>
                <c:pt idx="0">
                  <c:v>69604279.434595034</c:v>
                </c:pt>
              </c:numCache>
            </c:numRef>
          </c:val>
          <c:extLst>
            <c:ext xmlns:c15="http://schemas.microsoft.com/office/drawing/2012/chart" uri="{02D57815-91ED-43cb-92C2-25804820EDAC}">
              <c15:datalabelsRange>
                <c15:f>'IV.C. Category'!$K$69</c15:f>
                <c15:dlblRangeCache>
                  <c:ptCount val="1"/>
                  <c:pt idx="0">
                    <c:v>Stormwater Program Management,
$70M</c:v>
                  </c:pt>
                </c15:dlblRangeCache>
              </c15:datalabelsRange>
            </c:ext>
            <c:ext xmlns:c16="http://schemas.microsoft.com/office/drawing/2014/chart" uri="{C3380CC4-5D6E-409C-BE32-E72D297353CC}">
              <c16:uniqueId val="{00000007-95EB-4ADC-98B9-134E788C3094}"/>
            </c:ext>
          </c:extLst>
        </c:ser>
        <c:ser>
          <c:idx val="4"/>
          <c:order val="4"/>
          <c:tx>
            <c:strRef>
              <c:f>'IV.C. Category'!$H$70</c:f>
              <c:strCache>
                <c:ptCount val="1"/>
                <c:pt idx="0">
                  <c:v>Public Education and Involvement</c:v>
                </c:pt>
              </c:strCache>
            </c:strRef>
          </c:tx>
          <c:spPr>
            <a:solidFill>
              <a:schemeClr val="accent5">
                <a:shade val="83000"/>
              </a:schemeClr>
            </a:solidFill>
            <a:ln>
              <a:noFill/>
            </a:ln>
            <a:effectLst/>
          </c:spPr>
          <c:invertIfNegative val="0"/>
          <c:dLbls>
            <c:dLbl>
              <c:idx val="0"/>
              <c:layout>
                <c:manualLayout>
                  <c:x val="0.42000003867937025"/>
                  <c:y val="0.24859809425298479"/>
                </c:manualLayout>
              </c:layout>
              <c:tx>
                <c:rich>
                  <a:bodyPr/>
                  <a:lstStyle/>
                  <a:p>
                    <a:fld id="{CE5A4F1A-7022-4395-9AF0-7255E7AF27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39180345464795485"/>
                      <c:h val="0.10275387895790042"/>
                    </c:manualLayout>
                  </c15:layout>
                  <c15:dlblFieldTable/>
                  <c15:showDataLabelsRange val="1"/>
                </c:ext>
                <c:ext xmlns:c16="http://schemas.microsoft.com/office/drawing/2014/chart" uri="{C3380CC4-5D6E-409C-BE32-E72D297353CC}">
                  <c16:uniqueId val="{00000008-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Category'!$I$70</c:f>
              <c:numCache>
                <c:formatCode>General</c:formatCode>
                <c:ptCount val="1"/>
                <c:pt idx="0">
                  <c:v>55924485.00552617</c:v>
                </c:pt>
              </c:numCache>
            </c:numRef>
          </c:val>
          <c:extLst>
            <c:ext xmlns:c15="http://schemas.microsoft.com/office/drawing/2012/chart" uri="{02D57815-91ED-43cb-92C2-25804820EDAC}">
              <c15:datalabelsRange>
                <c15:f>'IV.C. Category'!$K$70</c15:f>
                <c15:dlblRangeCache>
                  <c:ptCount val="1"/>
                  <c:pt idx="0">
                    <c:v>Public Education and Involvement,
$56M</c:v>
                  </c:pt>
                </c15:dlblRangeCache>
              </c15:datalabelsRange>
            </c:ext>
            <c:ext xmlns:c16="http://schemas.microsoft.com/office/drawing/2014/chart" uri="{C3380CC4-5D6E-409C-BE32-E72D297353CC}">
              <c16:uniqueId val="{00000009-95EB-4ADC-98B9-134E788C3094}"/>
            </c:ext>
          </c:extLst>
        </c:ser>
        <c:ser>
          <c:idx val="5"/>
          <c:order val="5"/>
          <c:tx>
            <c:strRef>
              <c:f>'IV.C. Category'!$H$71</c:f>
              <c:strCache>
                <c:ptCount val="1"/>
                <c:pt idx="0">
                  <c:v>Unable to Decipher</c:v>
                </c:pt>
              </c:strCache>
            </c:strRef>
          </c:tx>
          <c:spPr>
            <a:solidFill>
              <a:schemeClr val="accent5">
                <a:shade val="94000"/>
              </a:schemeClr>
            </a:solidFill>
            <a:ln>
              <a:noFill/>
            </a:ln>
            <a:effectLst/>
          </c:spPr>
          <c:invertIfNegative val="0"/>
          <c:dLbls>
            <c:dLbl>
              <c:idx val="0"/>
              <c:layout>
                <c:manualLayout>
                  <c:x val="0.39789458517825871"/>
                  <c:y val="0.23551398402914356"/>
                </c:manualLayout>
              </c:layout>
              <c:tx>
                <c:rich>
                  <a:bodyPr/>
                  <a:lstStyle/>
                  <a:p>
                    <a:fld id="{701397D6-31A0-4B44-91D9-375182DC15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34102285660687154"/>
                      <c:h val="7.8700922996405479E-2"/>
                    </c:manualLayout>
                  </c15:layout>
                  <c15:dlblFieldTable/>
                  <c15:showDataLabelsRange val="1"/>
                </c:ext>
                <c:ext xmlns:c16="http://schemas.microsoft.com/office/drawing/2014/chart" uri="{C3380CC4-5D6E-409C-BE32-E72D297353CC}">
                  <c16:uniqueId val="{0000000A-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Category'!$I$71</c:f>
              <c:numCache>
                <c:formatCode>General</c:formatCode>
                <c:ptCount val="1"/>
                <c:pt idx="0">
                  <c:v>48150222.416294098</c:v>
                </c:pt>
              </c:numCache>
            </c:numRef>
          </c:val>
          <c:extLst>
            <c:ext xmlns:c15="http://schemas.microsoft.com/office/drawing/2012/chart" uri="{02D57815-91ED-43cb-92C2-25804820EDAC}">
              <c15:datalabelsRange>
                <c15:f>'IV.C. Category'!$K$71</c15:f>
                <c15:dlblRangeCache>
                  <c:ptCount val="1"/>
                  <c:pt idx="0">
                    <c:v>Unable to Decipher,
$48M</c:v>
                  </c:pt>
                </c15:dlblRangeCache>
              </c15:datalabelsRange>
            </c:ext>
            <c:ext xmlns:c16="http://schemas.microsoft.com/office/drawing/2014/chart" uri="{C3380CC4-5D6E-409C-BE32-E72D297353CC}">
              <c16:uniqueId val="{0000000B-95EB-4ADC-98B9-134E788C3094}"/>
            </c:ext>
          </c:extLst>
        </c:ser>
        <c:ser>
          <c:idx val="6"/>
          <c:order val="6"/>
          <c:tx>
            <c:strRef>
              <c:f>'IV.C. Category'!$H$72</c:f>
              <c:strCache>
                <c:ptCount val="1"/>
                <c:pt idx="0">
                  <c:v>Post-Construction</c:v>
                </c:pt>
              </c:strCache>
            </c:strRef>
          </c:tx>
          <c:spPr>
            <a:solidFill>
              <a:schemeClr val="accent5">
                <a:tint val="95000"/>
              </a:schemeClr>
            </a:solidFill>
            <a:ln>
              <a:noFill/>
            </a:ln>
            <a:effectLst/>
          </c:spPr>
          <c:invertIfNegative val="0"/>
          <c:dLbls>
            <c:dLbl>
              <c:idx val="0"/>
              <c:layout>
                <c:manualLayout>
                  <c:x val="0.40894731192881439"/>
                  <c:y val="0.21370713365607472"/>
                </c:manualLayout>
              </c:layout>
              <c:tx>
                <c:rich>
                  <a:bodyPr/>
                  <a:lstStyle/>
                  <a:p>
                    <a:fld id="{71B7917E-4758-4F04-BC91-24CEE11139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37080345754890764"/>
                      <c:h val="7.8700922996405479E-2"/>
                    </c:manualLayout>
                  </c15:layout>
                  <c15:dlblFieldTable/>
                  <c15:showDataLabelsRange val="1"/>
                </c:ext>
                <c:ext xmlns:c16="http://schemas.microsoft.com/office/drawing/2014/chart" uri="{C3380CC4-5D6E-409C-BE32-E72D297353CC}">
                  <c16:uniqueId val="{0000000C-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Category'!$I$72</c:f>
              <c:numCache>
                <c:formatCode>General</c:formatCode>
                <c:ptCount val="1"/>
                <c:pt idx="0">
                  <c:v>28738223.534110706</c:v>
                </c:pt>
              </c:numCache>
            </c:numRef>
          </c:val>
          <c:extLst>
            <c:ext xmlns:c15="http://schemas.microsoft.com/office/drawing/2012/chart" uri="{02D57815-91ED-43cb-92C2-25804820EDAC}">
              <c15:datalabelsRange>
                <c15:f>'IV.C. Category'!$K$72</c15:f>
                <c15:dlblRangeCache>
                  <c:ptCount val="1"/>
                  <c:pt idx="0">
                    <c:v>Post-Construction,
$29M</c:v>
                  </c:pt>
                </c15:dlblRangeCache>
              </c15:datalabelsRange>
            </c:ext>
            <c:ext xmlns:c16="http://schemas.microsoft.com/office/drawing/2014/chart" uri="{C3380CC4-5D6E-409C-BE32-E72D297353CC}">
              <c16:uniqueId val="{0000000D-95EB-4ADC-98B9-134E788C3094}"/>
            </c:ext>
          </c:extLst>
        </c:ser>
        <c:ser>
          <c:idx val="7"/>
          <c:order val="7"/>
          <c:tx>
            <c:strRef>
              <c:f>'IV.C. Category'!$H$73</c:f>
              <c:strCache>
                <c:ptCount val="1"/>
                <c:pt idx="0">
                  <c:v>Illicit Discharge</c:v>
                </c:pt>
              </c:strCache>
            </c:strRef>
          </c:tx>
          <c:spPr>
            <a:solidFill>
              <a:schemeClr val="accent5">
                <a:tint val="84000"/>
              </a:schemeClr>
            </a:solidFill>
            <a:ln>
              <a:noFill/>
            </a:ln>
            <a:effectLst/>
          </c:spPr>
          <c:invertIfNegative val="0"/>
          <c:dLbls>
            <c:dLbl>
              <c:idx val="0"/>
              <c:layout>
                <c:manualLayout>
                  <c:x val="0.30463230179321277"/>
                  <c:y val="0.17663554370676784"/>
                </c:manualLayout>
              </c:layout>
              <c:tx>
                <c:rich>
                  <a:bodyPr/>
                  <a:lstStyle/>
                  <a:p>
                    <a:fld id="{EC9DF252-A8A4-4B18-B1EC-74E236FE61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Category'!$I$73</c:f>
              <c:numCache>
                <c:formatCode>General</c:formatCode>
                <c:ptCount val="1"/>
                <c:pt idx="0">
                  <c:v>25994835.538055982</c:v>
                </c:pt>
              </c:numCache>
            </c:numRef>
          </c:val>
          <c:extLst>
            <c:ext xmlns:c15="http://schemas.microsoft.com/office/drawing/2012/chart" uri="{02D57815-91ED-43cb-92C2-25804820EDAC}">
              <c15:datalabelsRange>
                <c15:f>'IV.C. Category'!$K$73</c15:f>
                <c15:dlblRangeCache>
                  <c:ptCount val="1"/>
                  <c:pt idx="0">
                    <c:v>Illicit Discharge,
$26M</c:v>
                  </c:pt>
                </c15:dlblRangeCache>
              </c15:datalabelsRange>
            </c:ext>
            <c:ext xmlns:c16="http://schemas.microsoft.com/office/drawing/2014/chart" uri="{C3380CC4-5D6E-409C-BE32-E72D297353CC}">
              <c16:uniqueId val="{0000000F-95EB-4ADC-98B9-134E788C3094}"/>
            </c:ext>
          </c:extLst>
        </c:ser>
        <c:ser>
          <c:idx val="8"/>
          <c:order val="8"/>
          <c:tx>
            <c:strRef>
              <c:f>'IV.C. Category'!$H$74</c:f>
              <c:strCache>
                <c:ptCount val="1"/>
                <c:pt idx="0">
                  <c:v>Watershed/TMDL Collaboration</c:v>
                </c:pt>
              </c:strCache>
            </c:strRef>
          </c:tx>
          <c:spPr>
            <a:solidFill>
              <a:schemeClr val="accent5">
                <a:tint val="74000"/>
              </a:schemeClr>
            </a:solidFill>
            <a:ln>
              <a:noFill/>
            </a:ln>
            <a:effectLst/>
          </c:spPr>
          <c:invertIfNegative val="0"/>
          <c:dLbls>
            <c:dLbl>
              <c:idx val="0"/>
              <c:layout>
                <c:manualLayout>
                  <c:x val="0.4064912686156556"/>
                  <c:y val="0.12647973216379924"/>
                </c:manualLayout>
              </c:layout>
              <c:tx>
                <c:rich>
                  <a:bodyPr/>
                  <a:lstStyle/>
                  <a:p>
                    <a:fld id="{7A75D936-7E29-4546-B942-FA0C03B2A1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3715648609524988"/>
                      <c:h val="7.8700922996405479E-2"/>
                    </c:manualLayout>
                  </c15:layout>
                  <c15:dlblFieldTable/>
                  <c15:showDataLabelsRange val="1"/>
                </c:ext>
                <c:ext xmlns:c16="http://schemas.microsoft.com/office/drawing/2014/chart" uri="{C3380CC4-5D6E-409C-BE32-E72D297353CC}">
                  <c16:uniqueId val="{00000010-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Category'!$I$74</c:f>
              <c:numCache>
                <c:formatCode>General</c:formatCode>
                <c:ptCount val="1"/>
                <c:pt idx="0">
                  <c:v>17767145.561256398</c:v>
                </c:pt>
              </c:numCache>
            </c:numRef>
          </c:val>
          <c:extLst>
            <c:ext xmlns:c15="http://schemas.microsoft.com/office/drawing/2012/chart" uri="{02D57815-91ED-43cb-92C2-25804820EDAC}">
              <c15:datalabelsRange>
                <c15:f>'IV.C. Category'!$K$74</c15:f>
                <c15:dlblRangeCache>
                  <c:ptCount val="1"/>
                  <c:pt idx="0">
                    <c:v>Watershed/TMDL Collaboration,
$18M</c:v>
                  </c:pt>
                </c15:dlblRangeCache>
              </c15:datalabelsRange>
            </c:ext>
            <c:ext xmlns:c16="http://schemas.microsoft.com/office/drawing/2014/chart" uri="{C3380CC4-5D6E-409C-BE32-E72D297353CC}">
              <c16:uniqueId val="{00000011-95EB-4ADC-98B9-134E788C3094}"/>
            </c:ext>
          </c:extLst>
        </c:ser>
        <c:ser>
          <c:idx val="9"/>
          <c:order val="9"/>
          <c:tx>
            <c:strRef>
              <c:f>'IV.C. Category'!$H$75</c:f>
              <c:strCache>
                <c:ptCount val="1"/>
                <c:pt idx="0">
                  <c:v>Water Quality Monitoring</c:v>
                </c:pt>
              </c:strCache>
            </c:strRef>
          </c:tx>
          <c:spPr>
            <a:solidFill>
              <a:schemeClr val="accent5">
                <a:tint val="63000"/>
              </a:schemeClr>
            </a:solidFill>
            <a:ln>
              <a:noFill/>
            </a:ln>
            <a:effectLst/>
          </c:spPr>
          <c:invertIfNegative val="0"/>
          <c:dLbls>
            <c:dLbl>
              <c:idx val="0"/>
              <c:layout>
                <c:manualLayout>
                  <c:x val="0.39858075720669184"/>
                  <c:y val="7.6323976305740976E-2"/>
                </c:manualLayout>
              </c:layout>
              <c:tx>
                <c:rich>
                  <a:bodyPr/>
                  <a:lstStyle/>
                  <a:p>
                    <a:fld id="{2CE58546-0648-48BA-9E90-C8F2DD2776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34970231389662743"/>
                      <c:h val="7.8700922996405479E-2"/>
                    </c:manualLayout>
                  </c15:layout>
                  <c15:dlblFieldTable/>
                  <c15:showDataLabelsRange val="1"/>
                </c:ext>
                <c:ext xmlns:c16="http://schemas.microsoft.com/office/drawing/2014/chart" uri="{C3380CC4-5D6E-409C-BE32-E72D297353CC}">
                  <c16:uniqueId val="{00000012-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Category'!$I$75</c:f>
              <c:numCache>
                <c:formatCode>General</c:formatCode>
                <c:ptCount val="1"/>
                <c:pt idx="0">
                  <c:v>17516078.681699414</c:v>
                </c:pt>
              </c:numCache>
            </c:numRef>
          </c:val>
          <c:extLst>
            <c:ext xmlns:c15="http://schemas.microsoft.com/office/drawing/2012/chart" uri="{02D57815-91ED-43cb-92C2-25804820EDAC}">
              <c15:datalabelsRange>
                <c15:f>'IV.C. Category'!$K$75</c15:f>
                <c15:dlblRangeCache>
                  <c:ptCount val="1"/>
                  <c:pt idx="0">
                    <c:v>Water Quality Monitoring,
$18M</c:v>
                  </c:pt>
                </c15:dlblRangeCache>
              </c15:datalabelsRange>
            </c:ext>
            <c:ext xmlns:c16="http://schemas.microsoft.com/office/drawing/2014/chart" uri="{C3380CC4-5D6E-409C-BE32-E72D297353CC}">
              <c16:uniqueId val="{00000013-95EB-4ADC-98B9-134E788C3094}"/>
            </c:ext>
          </c:extLst>
        </c:ser>
        <c:ser>
          <c:idx val="10"/>
          <c:order val="10"/>
          <c:tx>
            <c:strRef>
              <c:f>'IV.C. Category'!$H$76</c:f>
              <c:strCache>
                <c:ptCount val="1"/>
                <c:pt idx="0">
                  <c:v>Construction Site Controls</c:v>
                </c:pt>
              </c:strCache>
            </c:strRef>
          </c:tx>
          <c:spPr>
            <a:solidFill>
              <a:schemeClr val="accent5">
                <a:tint val="52000"/>
              </a:schemeClr>
            </a:solidFill>
            <a:ln>
              <a:noFill/>
            </a:ln>
            <a:effectLst/>
          </c:spPr>
          <c:invertIfNegative val="0"/>
          <c:dLbls>
            <c:dLbl>
              <c:idx val="0"/>
              <c:layout>
                <c:manualLayout>
                  <c:x val="0.37443100228885162"/>
                  <c:y val="1.9626165335761964E-2"/>
                </c:manualLayout>
              </c:layout>
              <c:tx>
                <c:rich>
                  <a:bodyPr/>
                  <a:lstStyle/>
                  <a:p>
                    <a:fld id="{FB4D5FFB-8E7F-42D4-9BF3-F1FACCF26B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3046688900858005"/>
                      <c:h val="7.8700922996405479E-2"/>
                    </c:manualLayout>
                  </c15:layout>
                  <c15:dlblFieldTable/>
                  <c15:showDataLabelsRange val="1"/>
                </c:ext>
                <c:ext xmlns:c16="http://schemas.microsoft.com/office/drawing/2014/chart" uri="{C3380CC4-5D6E-409C-BE32-E72D297353CC}">
                  <c16:uniqueId val="{00000014-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Category'!$I$76</c:f>
              <c:numCache>
                <c:formatCode>General</c:formatCode>
                <c:ptCount val="1"/>
                <c:pt idx="0">
                  <c:v>15565861.745746953</c:v>
                </c:pt>
              </c:numCache>
            </c:numRef>
          </c:val>
          <c:extLst>
            <c:ext xmlns:c15="http://schemas.microsoft.com/office/drawing/2012/chart" uri="{02D57815-91ED-43cb-92C2-25804820EDAC}">
              <c15:datalabelsRange>
                <c15:f>'IV.C. Category'!$K$76</c15:f>
                <c15:dlblRangeCache>
                  <c:ptCount val="1"/>
                  <c:pt idx="0">
                    <c:v>Construction Site Controls,
$16M</c:v>
                  </c:pt>
                </c15:dlblRangeCache>
              </c15:datalabelsRange>
            </c:ext>
            <c:ext xmlns:c16="http://schemas.microsoft.com/office/drawing/2014/chart" uri="{C3380CC4-5D6E-409C-BE32-E72D297353CC}">
              <c16:uniqueId val="{00000015-95EB-4ADC-98B9-134E788C3094}"/>
            </c:ext>
          </c:extLst>
        </c:ser>
        <c:ser>
          <c:idx val="11"/>
          <c:order val="11"/>
          <c:tx>
            <c:strRef>
              <c:f>'IV.C. Category'!$H$77</c:f>
              <c:strCache>
                <c:ptCount val="1"/>
                <c:pt idx="0">
                  <c:v>Industrial and Commercial</c:v>
                </c:pt>
              </c:strCache>
            </c:strRef>
          </c:tx>
          <c:spPr>
            <a:solidFill>
              <a:schemeClr val="accent5">
                <a:tint val="41000"/>
              </a:schemeClr>
            </a:solidFill>
            <a:ln>
              <a:noFill/>
            </a:ln>
            <a:effectLst/>
          </c:spPr>
          <c:invertIfNegative val="0"/>
          <c:dLbls>
            <c:dLbl>
              <c:idx val="0"/>
              <c:layout>
                <c:manualLayout>
                  <c:x val="0.37824556178400859"/>
                  <c:y val="-2.8348905484989504E-2"/>
                </c:manualLayout>
              </c:layout>
              <c:tx>
                <c:rich>
                  <a:bodyPr/>
                  <a:lstStyle/>
                  <a:p>
                    <a:fld id="{E7C7B9D1-2E9C-4C29-8DC1-1AD32B0B9B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3081351418517555"/>
                      <c:h val="7.8700922996405479E-2"/>
                    </c:manualLayout>
                  </c15:layout>
                  <c15:dlblFieldTable/>
                  <c15:showDataLabelsRange val="1"/>
                </c:ext>
                <c:ext xmlns:c16="http://schemas.microsoft.com/office/drawing/2014/chart" uri="{C3380CC4-5D6E-409C-BE32-E72D297353CC}">
                  <c16:uniqueId val="{00000016-95EB-4ADC-98B9-134E788C3094}"/>
                </c:ext>
              </c:extLst>
            </c:dLbl>
            <c:spPr>
              <a:noFill/>
              <a:ln>
                <a:noFill/>
              </a:ln>
              <a:effectLst/>
            </c:spPr>
            <c:txPr>
              <a:bodyPr rot="0" spcFirstLastPara="1" vertOverflow="ellipsis" vert="horz" wrap="square" anchor="ctr" anchorCtr="0"/>
              <a:lstStyle/>
              <a:p>
                <a:pPr algn="l">
                  <a:defRPr sz="9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'IV.C. Category'!$I$77</c:f>
              <c:numCache>
                <c:formatCode>General</c:formatCode>
                <c:ptCount val="1"/>
                <c:pt idx="0">
                  <c:v>14864119.034569172</c:v>
                </c:pt>
              </c:numCache>
            </c:numRef>
          </c:val>
          <c:extLst>
            <c:ext xmlns:c15="http://schemas.microsoft.com/office/drawing/2012/chart" uri="{02D57815-91ED-43cb-92C2-25804820EDAC}">
              <c15:datalabelsRange>
                <c15:f>'IV.C. Category'!$K$77</c15:f>
                <c15:dlblRangeCache>
                  <c:ptCount val="1"/>
                  <c:pt idx="0">
                    <c:v>Industrial and Commercial,
$15M</c:v>
                  </c:pt>
                </c15:dlblRangeCache>
              </c15:datalabelsRange>
            </c:ext>
            <c:ext xmlns:c16="http://schemas.microsoft.com/office/drawing/2014/chart" uri="{C3380CC4-5D6E-409C-BE32-E72D297353CC}">
              <c16:uniqueId val="{00000017-95EB-4ADC-98B9-134E788C3094}"/>
            </c:ext>
          </c:extLst>
        </c:ser>
        <c:dLbls>
          <c:showLegendKey val="0"/>
          <c:showVal val="1"/>
          <c:showCatName val="0"/>
          <c:showSerName val="0"/>
          <c:showPercent val="0"/>
          <c:showBubbleSize val="0"/>
        </c:dLbls>
        <c:gapWidth val="150"/>
        <c:overlap val="100"/>
        <c:axId val="999130816"/>
        <c:axId val="271342448"/>
        <c:extLst/>
      </c:barChart>
      <c:catAx>
        <c:axId val="999130816"/>
        <c:scaling>
          <c:orientation val="minMax"/>
        </c:scaling>
        <c:delete val="1"/>
        <c:axPos val="b"/>
        <c:numFmt formatCode="General" sourceLinked="1"/>
        <c:majorTickMark val="none"/>
        <c:minorTickMark val="none"/>
        <c:tickLblPos val="nextTo"/>
        <c:crossAx val="271342448"/>
        <c:crosses val="autoZero"/>
        <c:auto val="1"/>
        <c:lblAlgn val="ctr"/>
        <c:lblOffset val="100"/>
        <c:noMultiLvlLbl val="0"/>
      </c:catAx>
      <c:valAx>
        <c:axId val="2713424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99913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Distribution of Stormwater Expenditures by Expense Type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v>bottom</c:v>
          </c:tx>
          <c:spPr>
            <a:noFill/>
            <a:ln>
              <a:noFill/>
            </a:ln>
            <a:effectLst/>
          </c:spPr>
          <c:invertIfNegative val="0"/>
          <c:errBars>
            <c:errBarType val="minus"/>
            <c:errValType val="cust"/>
            <c:noEndCap val="0"/>
            <c:plus>
              <c:numRef>
                <c:f>'IV.C. Category'!$O$63:$Z$63</c:f>
                <c:numCache>
                  <c:formatCode>General</c:formatCode>
                  <c:ptCount val="12"/>
                  <c:pt idx="0">
                    <c:v>28746.452848101268</c:v>
                  </c:pt>
                  <c:pt idx="1">
                    <c:v>12429.420848948826</c:v>
                  </c:pt>
                  <c:pt idx="2">
                    <c:v>4955.6442721518988</c:v>
                  </c:pt>
                  <c:pt idx="3">
                    <c:v>15520.69563607595</c:v>
                  </c:pt>
                  <c:pt idx="4">
                    <c:v>35217.324999999997</c:v>
                  </c:pt>
                  <c:pt idx="5">
                    <c:v>155624.53173427016</c:v>
                  </c:pt>
                  <c:pt idx="6">
                    <c:v>8862.1381053041623</c:v>
                  </c:pt>
                  <c:pt idx="7">
                    <c:v>3429.0174050632913</c:v>
                  </c:pt>
                  <c:pt idx="8">
                    <c:v>39245.350858749262</c:v>
                  </c:pt>
                  <c:pt idx="9">
                    <c:v>29290.003058323367</c:v>
                  </c:pt>
                  <c:pt idx="10">
                    <c:v>23872.824012658228</c:v>
                  </c:pt>
                  <c:pt idx="11">
                    <c:v>22306.996511867088</c:v>
                  </c:pt>
                </c:numCache>
              </c:numRef>
            </c:plus>
            <c:minus>
              <c:numRef>
                <c:f>'IV.C. Category'!$O$63:$Z$63</c:f>
                <c:numCache>
                  <c:formatCode>General</c:formatCode>
                  <c:ptCount val="12"/>
                  <c:pt idx="0">
                    <c:v>28746.452848101268</c:v>
                  </c:pt>
                  <c:pt idx="1">
                    <c:v>12429.420848948826</c:v>
                  </c:pt>
                  <c:pt idx="2">
                    <c:v>4955.6442721518988</c:v>
                  </c:pt>
                  <c:pt idx="3">
                    <c:v>15520.69563607595</c:v>
                  </c:pt>
                  <c:pt idx="4">
                    <c:v>35217.324999999997</c:v>
                  </c:pt>
                  <c:pt idx="5">
                    <c:v>155624.53173427016</c:v>
                  </c:pt>
                  <c:pt idx="6">
                    <c:v>8862.1381053041623</c:v>
                  </c:pt>
                  <c:pt idx="7">
                    <c:v>3429.0174050632913</c:v>
                  </c:pt>
                  <c:pt idx="8">
                    <c:v>39245.350858749262</c:v>
                  </c:pt>
                  <c:pt idx="9">
                    <c:v>29290.003058323367</c:v>
                  </c:pt>
                  <c:pt idx="10">
                    <c:v>23872.824012658228</c:v>
                  </c:pt>
                  <c:pt idx="11">
                    <c:v>22306.996511867088</c:v>
                  </c:pt>
                </c:numCache>
              </c:numRef>
            </c:minus>
            <c:spPr>
              <a:noFill/>
              <a:ln w="9525" cap="flat" cmpd="sng" algn="ctr">
                <a:solidFill>
                  <a:schemeClr val="accent1"/>
                </a:solidFill>
                <a:round/>
              </a:ln>
              <a:effectLst/>
            </c:spPr>
          </c:errBars>
          <c:val>
            <c:numRef>
              <c:f>'IV.C. Category'!$O$60:$Z$60</c:f>
              <c:numCache>
                <c:formatCode>_("$"* #,##0_);_("$"* \(#,##0\);_("$"* "-"??_);_(@_)</c:formatCode>
                <c:ptCount val="12"/>
                <c:pt idx="0">
                  <c:v>29197.689873417723</c:v>
                </c:pt>
                <c:pt idx="1">
                  <c:v>13640.863443808068</c:v>
                </c:pt>
                <c:pt idx="2">
                  <c:v>5308.6708860759491</c:v>
                </c:pt>
                <c:pt idx="3">
                  <c:v>16054.217060126583</c:v>
                </c:pt>
                <c:pt idx="4">
                  <c:v>37314.25</c:v>
                </c:pt>
                <c:pt idx="5">
                  <c:v>156686.26591148536</c:v>
                </c:pt>
                <c:pt idx="6">
                  <c:v>8957.6941812535297</c:v>
                </c:pt>
                <c:pt idx="7">
                  <c:v>3929.0174050632913</c:v>
                </c:pt>
                <c:pt idx="8">
                  <c:v>41368.819213179639</c:v>
                </c:pt>
                <c:pt idx="9">
                  <c:v>30121.331499388005</c:v>
                </c:pt>
                <c:pt idx="10">
                  <c:v>24972.824012658228</c:v>
                </c:pt>
                <c:pt idx="11">
                  <c:v>24188.986699367088</c:v>
                </c:pt>
              </c:numCache>
            </c:numRef>
          </c:val>
          <c:extLst>
            <c:ext xmlns:c16="http://schemas.microsoft.com/office/drawing/2014/chart" uri="{C3380CC4-5D6E-409C-BE32-E72D297353CC}">
              <c16:uniqueId val="{00000000-9E1E-41BA-AB79-FBB0EE6D2749}"/>
            </c:ext>
          </c:extLst>
        </c:ser>
        <c:ser>
          <c:idx val="0"/>
          <c:order val="1"/>
          <c:tx>
            <c:v>2Q</c:v>
          </c:tx>
          <c:spPr>
            <a:solidFill>
              <a:schemeClr val="accent5"/>
            </a:solidFill>
            <a:ln>
              <a:solidFill>
                <a:schemeClr val="accent1"/>
              </a:solidFill>
            </a:ln>
            <a:effectLst/>
          </c:spPr>
          <c:invertIfNegative val="0"/>
          <c:cat>
            <c:strRef>
              <c:f>'IV.C. Category'!$O$50:$Z$50</c:f>
              <c:strCache>
                <c:ptCount val="12"/>
                <c:pt idx="0">
                  <c:v>Capital Costs</c:v>
                </c:pt>
                <c:pt idx="1">
                  <c:v>Construction Site Controls</c:v>
                </c:pt>
                <c:pt idx="2">
                  <c:v>Illicit Discharge</c:v>
                </c:pt>
                <c:pt idx="3">
                  <c:v>Industrial and Commercial</c:v>
                </c:pt>
                <c:pt idx="4">
                  <c:v>Operations and Maintenance</c:v>
                </c:pt>
                <c:pt idx="5">
                  <c:v>Pollution Prevention</c:v>
                </c:pt>
                <c:pt idx="6">
                  <c:v>Post-Construction</c:v>
                </c:pt>
                <c:pt idx="7">
                  <c:v>Public Education and Involvement</c:v>
                </c:pt>
                <c:pt idx="8">
                  <c:v>Stormwater Program Management</c:v>
                </c:pt>
                <c:pt idx="9">
                  <c:v>Unable to Decipher</c:v>
                </c:pt>
                <c:pt idx="10">
                  <c:v>Water Quality Monitoring</c:v>
                </c:pt>
                <c:pt idx="11">
                  <c:v>Watershed/TMDL Collaboration</c:v>
                </c:pt>
              </c:strCache>
            </c:strRef>
          </c:cat>
          <c:val>
            <c:numRef>
              <c:f>'IV.C. Category'!$O$61:$Z$61</c:f>
              <c:numCache>
                <c:formatCode>_("$"* #,##0_);_("$"* \(#,##0\);_("$"* "-"??_);_(@_)</c:formatCode>
                <c:ptCount val="12"/>
                <c:pt idx="0">
                  <c:v>112886.44338462857</c:v>
                </c:pt>
                <c:pt idx="1">
                  <c:v>25237.745998252016</c:v>
                </c:pt>
                <c:pt idx="2">
                  <c:v>15527.485471623568</c:v>
                </c:pt>
                <c:pt idx="3">
                  <c:v>15900.26560443038</c:v>
                </c:pt>
                <c:pt idx="4">
                  <c:v>197460.75</c:v>
                </c:pt>
                <c:pt idx="5">
                  <c:v>197103.22590104997</c:v>
                </c:pt>
                <c:pt idx="6">
                  <c:v>19993.14249596166</c:v>
                </c:pt>
                <c:pt idx="7">
                  <c:v>10445.414036320035</c:v>
                </c:pt>
                <c:pt idx="8">
                  <c:v>74846.745789984911</c:v>
                </c:pt>
                <c:pt idx="9">
                  <c:v>60880.668500611995</c:v>
                </c:pt>
                <c:pt idx="10">
                  <c:v>31463.656177215187</c:v>
                </c:pt>
                <c:pt idx="11">
                  <c:v>50811.013300632912</c:v>
                </c:pt>
              </c:numCache>
            </c:numRef>
          </c:val>
          <c:extLst>
            <c:ext xmlns:c16="http://schemas.microsoft.com/office/drawing/2014/chart" uri="{C3380CC4-5D6E-409C-BE32-E72D297353CC}">
              <c16:uniqueId val="{00000001-9E1E-41BA-AB79-FBB0EE6D2749}"/>
            </c:ext>
          </c:extLst>
        </c:ser>
        <c:ser>
          <c:idx val="1"/>
          <c:order val="2"/>
          <c:tx>
            <c:v>3Q</c:v>
          </c:tx>
          <c:spPr>
            <a:solidFill>
              <a:schemeClr val="accent5"/>
            </a:solidFill>
            <a:ln>
              <a:solidFill>
                <a:schemeClr val="accent1"/>
              </a:solidFill>
            </a:ln>
            <a:effectLst/>
          </c:spPr>
          <c:invertIfNegative val="0"/>
          <c:errBars>
            <c:errBarType val="plus"/>
            <c:errValType val="cust"/>
            <c:noEndCap val="0"/>
            <c:plus>
              <c:numRef>
                <c:f>'IV.C. Category'!$O$64:$Z$64</c:f>
                <c:numCache>
                  <c:formatCode>General</c:formatCode>
                  <c:ptCount val="12"/>
                  <c:pt idx="0">
                    <c:v>1231153.546908495</c:v>
                  </c:pt>
                  <c:pt idx="1">
                    <c:v>138694.99617761717</c:v>
                  </c:pt>
                  <c:pt idx="2">
                    <c:v>93330.566977499984</c:v>
                  </c:pt>
                  <c:pt idx="3">
                    <c:v>108468.52882357305</c:v>
                  </c:pt>
                  <c:pt idx="4">
                    <c:v>979511.19249694003</c:v>
                  </c:pt>
                  <c:pt idx="5">
                    <c:v>1629085.9702531425</c:v>
                  </c:pt>
                  <c:pt idx="6">
                    <c:v>114160.30738231276</c:v>
                  </c:pt>
                  <c:pt idx="7">
                    <c:v>63426.921691823794</c:v>
                  </c:pt>
                  <c:pt idx="8">
                    <c:v>334599.24614542042</c:v>
                  </c:pt>
                  <c:pt idx="9">
                    <c:v>348355.18068212335</c:v>
                  </c:pt>
                  <c:pt idx="10">
                    <c:v>135052.45883206159</c:v>
                  </c:pt>
                  <c:pt idx="11">
                    <c:v>202500.39495094935</c:v>
                  </c:pt>
                </c:numCache>
              </c:numRef>
            </c:plus>
            <c:minus>
              <c:numLit>
                <c:formatCode>General</c:formatCode>
                <c:ptCount val="1"/>
                <c:pt idx="0">
                  <c:v>1</c:v>
                </c:pt>
              </c:numLit>
            </c:minus>
            <c:spPr>
              <a:noFill/>
              <a:ln w="9525" cap="flat" cmpd="sng" algn="ctr">
                <a:solidFill>
                  <a:schemeClr val="accent1"/>
                </a:solidFill>
                <a:round/>
              </a:ln>
              <a:effectLst/>
            </c:spPr>
          </c:errBars>
          <c:cat>
            <c:strRef>
              <c:f>'IV.C. Category'!$O$50:$Z$50</c:f>
              <c:strCache>
                <c:ptCount val="12"/>
                <c:pt idx="0">
                  <c:v>Capital Costs</c:v>
                </c:pt>
                <c:pt idx="1">
                  <c:v>Construction Site Controls</c:v>
                </c:pt>
                <c:pt idx="2">
                  <c:v>Illicit Discharge</c:v>
                </c:pt>
                <c:pt idx="3">
                  <c:v>Industrial and Commercial</c:v>
                </c:pt>
                <c:pt idx="4">
                  <c:v>Operations and Maintenance</c:v>
                </c:pt>
                <c:pt idx="5">
                  <c:v>Pollution Prevention</c:v>
                </c:pt>
                <c:pt idx="6">
                  <c:v>Post-Construction</c:v>
                </c:pt>
                <c:pt idx="7">
                  <c:v>Public Education and Involvement</c:v>
                </c:pt>
                <c:pt idx="8">
                  <c:v>Stormwater Program Management</c:v>
                </c:pt>
                <c:pt idx="9">
                  <c:v>Unable to Decipher</c:v>
                </c:pt>
                <c:pt idx="10">
                  <c:v>Water Quality Monitoring</c:v>
                </c:pt>
                <c:pt idx="11">
                  <c:v>Watershed/TMDL Collaboration</c:v>
                </c:pt>
              </c:strCache>
            </c:strRef>
          </c:cat>
          <c:val>
            <c:numRef>
              <c:f>'IV.C. Category'!$O$62:$Z$62</c:f>
              <c:numCache>
                <c:formatCode>_("$"* #,##0_);_("$"* \(#,##0\);_("$"* "-"??_);_(@_)</c:formatCode>
                <c:ptCount val="12"/>
                <c:pt idx="0">
                  <c:v>707882.58788770158</c:v>
                </c:pt>
                <c:pt idx="1">
                  <c:v>67225.58478682609</c:v>
                </c:pt>
                <c:pt idx="2">
                  <c:v>46692.892513376421</c:v>
                </c:pt>
                <c:pt idx="3">
                  <c:v>56412.086944618328</c:v>
                </c:pt>
                <c:pt idx="4">
                  <c:v>455546.71166462672</c:v>
                </c:pt>
                <c:pt idx="5">
                  <c:v>888954.08760104491</c:v>
                </c:pt>
                <c:pt idx="6">
                  <c:v>56113.729092246838</c:v>
                </c:pt>
                <c:pt idx="7">
                  <c:v>31839.200424895826</c:v>
                </c:pt>
                <c:pt idx="8">
                  <c:v>148219.41830696203</c:v>
                </c:pt>
                <c:pt idx="9">
                  <c:v>171356.11862080358</c:v>
                </c:pt>
                <c:pt idx="10">
                  <c:v>58571.316377492534</c:v>
                </c:pt>
                <c:pt idx="11">
                  <c:v>84189.25</c:v>
                </c:pt>
              </c:numCache>
            </c:numRef>
          </c:val>
          <c:extLst>
            <c:ext xmlns:c16="http://schemas.microsoft.com/office/drawing/2014/chart" uri="{C3380CC4-5D6E-409C-BE32-E72D297353CC}">
              <c16:uniqueId val="{00000002-9E1E-41BA-AB79-FBB0EE6D2749}"/>
            </c:ext>
          </c:extLst>
        </c:ser>
        <c:dLbls>
          <c:showLegendKey val="0"/>
          <c:showVal val="0"/>
          <c:showCatName val="0"/>
          <c:showSerName val="0"/>
          <c:showPercent val="0"/>
          <c:showBubbleSize val="0"/>
        </c:dLbls>
        <c:gapWidth val="100"/>
        <c:overlap val="100"/>
        <c:axId val="1521011536"/>
        <c:axId val="1528638176"/>
      </c:barChart>
      <c:catAx>
        <c:axId val="152101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638176"/>
        <c:crosses val="autoZero"/>
        <c:auto val="1"/>
        <c:lblAlgn val="ctr"/>
        <c:lblOffset val="100"/>
        <c:noMultiLvlLbl val="0"/>
      </c:catAx>
      <c:valAx>
        <c:axId val="1528638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011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Calibri" panose="020F0502020204030204" pitchFamily="34" charset="0"/>
                <a:ea typeface="+mn-ea"/>
                <a:cs typeface="Calibri" panose="020F0502020204030204" pitchFamily="34" charset="0"/>
              </a:defRPr>
            </a:pPr>
            <a:r>
              <a:rPr lang="en-US" sz="1200"/>
              <a:t>Average Expenditures per Capita by Cities, Grouped by Regions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1"/>
          <c:order val="0"/>
          <c:tx>
            <c:strRef>
              <c:f>'IV.D. Population and Area'!$L$39:$L$45</c:f>
              <c:strCache>
                <c:ptCount val="7"/>
                <c:pt idx="0">
                  <c:v>R2 - San Francisco Bay</c:v>
                </c:pt>
                <c:pt idx="1">
                  <c:v>R3 - Central Coast</c:v>
                </c:pt>
                <c:pt idx="2">
                  <c:v>R4 - Los Angeles</c:v>
                </c:pt>
                <c:pt idx="3">
                  <c:v>R5 - Central Valley</c:v>
                </c:pt>
                <c:pt idx="4">
                  <c:v>R7 - Colorado River Basin</c:v>
                </c:pt>
                <c:pt idx="5">
                  <c:v>R8 - Santa Ana</c:v>
                </c:pt>
                <c:pt idx="6">
                  <c:v>R9 - San Diego</c:v>
                </c:pt>
              </c:strCache>
            </c:strRef>
          </c:tx>
          <c:spPr>
            <a:solidFill>
              <a:schemeClr val="accent1"/>
            </a:solidFill>
            <a:ln>
              <a:noFill/>
            </a:ln>
            <a:effectLst/>
          </c:spPr>
          <c:invertIfNegative val="0"/>
          <c:dLbls>
            <c:dLbl>
              <c:idx val="4"/>
              <c:numFmt formatCode="&quot;$&quot;#,##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0-B926-41DD-8802-0FB0929D8F45}"/>
                </c:ext>
              </c:extLst>
            </c:dLbl>
            <c:numFmt formatCode="&quot;$&quot;#,##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'IV.D. Population and Area'!$L$39:$L$45</c:f>
              <c:strCache>
                <c:ptCount val="7"/>
                <c:pt idx="0">
                  <c:v>R2 - San Francisco Bay</c:v>
                </c:pt>
                <c:pt idx="1">
                  <c:v>R3 - Central Coast</c:v>
                </c:pt>
                <c:pt idx="2">
                  <c:v>R4 - Los Angeles</c:v>
                </c:pt>
                <c:pt idx="3">
                  <c:v>R5 - Central Valley</c:v>
                </c:pt>
                <c:pt idx="4">
                  <c:v>R7 - Colorado River Basin</c:v>
                </c:pt>
                <c:pt idx="5">
                  <c:v>R8 - Santa Ana</c:v>
                </c:pt>
                <c:pt idx="6">
                  <c:v>R9 - San Diego</c:v>
                </c:pt>
              </c:strCache>
            </c:strRef>
          </c:cat>
          <c:val>
            <c:numRef>
              <c:f>'IV.D. Population and Area'!$M$39:$M$45</c:f>
              <c:numCache>
                <c:formatCode>General</c:formatCode>
                <c:ptCount val="7"/>
                <c:pt idx="0">
                  <c:v>53.979634884997822</c:v>
                </c:pt>
                <c:pt idx="1">
                  <c:v>29.294953302391136</c:v>
                </c:pt>
                <c:pt idx="2">
                  <c:v>44.583699982724468</c:v>
                </c:pt>
                <c:pt idx="3">
                  <c:v>31.494047303375567</c:v>
                </c:pt>
                <c:pt idx="4">
                  <c:v>3.4850485844130503</c:v>
                </c:pt>
                <c:pt idx="5">
                  <c:v>19.549655013355959</c:v>
                </c:pt>
                <c:pt idx="6">
                  <c:v>39.703056823009135</c:v>
                </c:pt>
              </c:numCache>
            </c:numRef>
          </c:val>
          <c:extLst>
            <c:ext xmlns:c16="http://schemas.microsoft.com/office/drawing/2014/chart" uri="{C3380CC4-5D6E-409C-BE32-E72D297353CC}">
              <c16:uniqueId val="{00000001-B926-41DD-8802-0FB0929D8F45}"/>
            </c:ext>
          </c:extLst>
        </c:ser>
        <c:dLbls>
          <c:showLegendKey val="0"/>
          <c:showVal val="0"/>
          <c:showCatName val="0"/>
          <c:showSerName val="0"/>
          <c:showPercent val="0"/>
          <c:showBubbleSize val="0"/>
        </c:dLbls>
        <c:gapWidth val="219"/>
        <c:overlap val="-27"/>
        <c:axId val="2121776975"/>
        <c:axId val="1108701295"/>
      </c:barChart>
      <c:catAx>
        <c:axId val="2121776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1108701295"/>
        <c:crosses val="autoZero"/>
        <c:auto val="1"/>
        <c:lblAlgn val="ctr"/>
        <c:lblOffset val="100"/>
        <c:tickLblSkip val="1"/>
        <c:noMultiLvlLbl val="0"/>
      </c:catAx>
      <c:valAx>
        <c:axId val="1108701295"/>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2121776975"/>
        <c:crosses val="autoZero"/>
        <c:crossBetween val="between"/>
      </c:valAx>
      <c:spPr>
        <a:solidFill>
          <a:schemeClr val="bg1"/>
        </a:solidFill>
        <a:ln>
          <a:noFill/>
        </a:ln>
        <a:effectLst/>
      </c:spPr>
    </c:plotArea>
    <c:plotVisOnly val="1"/>
    <c:dispBlanksAs val="gap"/>
    <c:showDLblsOverMax val="0"/>
    <c:extLst/>
  </c:chart>
  <c:spPr>
    <a:solidFill>
      <a:schemeClr val="bg1"/>
    </a:solidFill>
    <a:ln w="6350" cap="flat" cmpd="sng" algn="ctr">
      <a:solidFill>
        <a:sysClr val="windowText" lastClr="000000"/>
      </a:solidFill>
      <a:prstDash val="solid"/>
      <a:round/>
    </a:ln>
    <a:effectLst/>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sz="1200" b="1">
                <a:solidFill>
                  <a:sysClr val="windowText" lastClr="000000"/>
                </a:solidFill>
              </a:rPr>
              <a:t>Average Expenditures per Square Mile by Cities, Grouped by Regions</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'IV.D. Population and Area'!$L$39:$L$45</c:f>
              <c:strCache>
                <c:ptCount val="7"/>
                <c:pt idx="0">
                  <c:v>R2 - San Francisco Bay</c:v>
                </c:pt>
                <c:pt idx="1">
                  <c:v>R3 - Central Coast</c:v>
                </c:pt>
                <c:pt idx="2">
                  <c:v>R4 - Los Angeles</c:v>
                </c:pt>
                <c:pt idx="3">
                  <c:v>R5 - Central Valley</c:v>
                </c:pt>
                <c:pt idx="4">
                  <c:v>R7 - Colorado River Basin</c:v>
                </c:pt>
                <c:pt idx="5">
                  <c:v>R8 - Santa Ana</c:v>
                </c:pt>
                <c:pt idx="6">
                  <c:v>R9 - San Diego</c:v>
                </c:pt>
              </c:strCache>
            </c:strRef>
          </c:tx>
          <c:spPr>
            <a:solidFill>
              <a:schemeClr val="accent1"/>
            </a:solidFill>
            <a:ln>
              <a:noFill/>
            </a:ln>
            <a:effectLst/>
          </c:spPr>
          <c:invertIfNegative val="0"/>
          <c:dLbls>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'IV.D. Population and Area'!$L$39:$L$45</c:f>
              <c:strCache>
                <c:ptCount val="7"/>
                <c:pt idx="0">
                  <c:v>R2 - San Francisco Bay</c:v>
                </c:pt>
                <c:pt idx="1">
                  <c:v>R3 - Central Coast</c:v>
                </c:pt>
                <c:pt idx="2">
                  <c:v>R4 - Los Angeles</c:v>
                </c:pt>
                <c:pt idx="3">
                  <c:v>R5 - Central Valley</c:v>
                </c:pt>
                <c:pt idx="4">
                  <c:v>R7 - Colorado River Basin</c:v>
                </c:pt>
                <c:pt idx="5">
                  <c:v>R8 - Santa Ana</c:v>
                </c:pt>
                <c:pt idx="6">
                  <c:v>R9 - San Diego</c:v>
                </c:pt>
              </c:strCache>
            </c:strRef>
          </c:cat>
          <c:val>
            <c:numRef>
              <c:f>'IV.D. Population and Area'!$O$39:$O$45</c:f>
              <c:numCache>
                <c:formatCode>General</c:formatCode>
                <c:ptCount val="7"/>
                <c:pt idx="0">
                  <c:v>630000</c:v>
                </c:pt>
                <c:pt idx="1">
                  <c:v>190000</c:v>
                </c:pt>
                <c:pt idx="2">
                  <c:v>210000</c:v>
                </c:pt>
                <c:pt idx="3">
                  <c:v>130000</c:v>
                </c:pt>
                <c:pt idx="4">
                  <c:v>14000</c:v>
                </c:pt>
                <c:pt idx="5">
                  <c:v>76000</c:v>
                </c:pt>
                <c:pt idx="6">
                  <c:v>160000</c:v>
                </c:pt>
              </c:numCache>
            </c:numRef>
          </c:val>
          <c:extLst>
            <c:ext xmlns:c16="http://schemas.microsoft.com/office/drawing/2014/chart" uri="{C3380CC4-5D6E-409C-BE32-E72D297353CC}">
              <c16:uniqueId val="{00000000-B08E-45EC-9C2C-F8B1D8F25543}"/>
            </c:ext>
          </c:extLst>
        </c:ser>
        <c:dLbls>
          <c:showLegendKey val="0"/>
          <c:showVal val="0"/>
          <c:showCatName val="0"/>
          <c:showSerName val="0"/>
          <c:showPercent val="0"/>
          <c:showBubbleSize val="0"/>
        </c:dLbls>
        <c:gapWidth val="219"/>
        <c:overlap val="-27"/>
        <c:axId val="2121776975"/>
        <c:axId val="1108701295"/>
      </c:barChart>
      <c:catAx>
        <c:axId val="2121776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108701295"/>
        <c:crosses val="autoZero"/>
        <c:auto val="1"/>
        <c:lblAlgn val="ctr"/>
        <c:lblOffset val="100"/>
        <c:tickLblSkip val="1"/>
        <c:noMultiLvlLbl val="0"/>
      </c:catAx>
      <c:valAx>
        <c:axId val="110870129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1217769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ysClr val="windowText" lastClr="000000"/>
      </a:solidFill>
      <a:round/>
    </a:ln>
    <a:effectLst/>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sz="1200" b="1"/>
              <a:t>Total Expenditures versus Area for Cities</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scatterChart>
        <c:scatterStyle val="lineMarker"/>
        <c:varyColors val="0"/>
        <c:ser>
          <c:idx val="0"/>
          <c:order val="0"/>
          <c:tx>
            <c:v>Region 2</c:v>
          </c:tx>
          <c:spPr>
            <a:ln w="25400" cap="rnd">
              <a:noFill/>
              <a:round/>
            </a:ln>
            <a:effectLst/>
          </c:spPr>
          <c:marker>
            <c:symbol val="circle"/>
            <c:size val="5"/>
            <c:spPr>
              <a:solidFill>
                <a:schemeClr val="accent1"/>
              </a:solidFill>
              <a:ln w="254000">
                <a:noFill/>
              </a:ln>
              <a:effectLst/>
            </c:spPr>
          </c:marker>
          <c:xVal>
            <c:numRef>
              <c:f>'IV.D. Population and Area'!$AI$29:$AI$198</c:f>
              <c:numCache>
                <c:formatCode>0</c:formatCode>
                <c:ptCount val="170"/>
                <c:pt idx="0">
                  <c:v>7.8</c:v>
                </c:pt>
                <c:pt idx="1">
                  <c:v>7.6</c:v>
                </c:pt>
                <c:pt idx="2">
                  <c:v>6.9</c:v>
                </c:pt>
                <c:pt idx="3">
                  <c:v>50</c:v>
                </c:pt>
                <c:pt idx="4">
                  <c:v>10.9</c:v>
                </c:pt>
                <c:pt idx="5">
                  <c:v>1.6</c:v>
                </c:pt>
                <c:pt idx="6">
                  <c:v>9.6999999999999993</c:v>
                </c:pt>
                <c:pt idx="7">
                  <c:v>148.80000000000001</c:v>
                </c:pt>
                <c:pt idx="8">
                  <c:v>6.6</c:v>
                </c:pt>
                <c:pt idx="9">
                  <c:v>30.7</c:v>
                </c:pt>
                <c:pt idx="10">
                  <c:v>2.5</c:v>
                </c:pt>
                <c:pt idx="11">
                  <c:v>6.1</c:v>
                </c:pt>
                <c:pt idx="12">
                  <c:v>10.5</c:v>
                </c:pt>
                <c:pt idx="13">
                  <c:v>5.7</c:v>
                </c:pt>
                <c:pt idx="14">
                  <c:v>6.3</c:v>
                </c:pt>
                <c:pt idx="15">
                  <c:v>2</c:v>
                </c:pt>
                <c:pt idx="16">
                  <c:v>12.2</c:v>
                </c:pt>
                <c:pt idx="17">
                  <c:v>10.5</c:v>
                </c:pt>
                <c:pt idx="18">
                  <c:v>17.399999999999999</c:v>
                </c:pt>
                <c:pt idx="19">
                  <c:v>13.7</c:v>
                </c:pt>
                <c:pt idx="20">
                  <c:v>14.9</c:v>
                </c:pt>
                <c:pt idx="21">
                  <c:v>3.9</c:v>
                </c:pt>
                <c:pt idx="22">
                  <c:v>37.700000000000003</c:v>
                </c:pt>
                <c:pt idx="23">
                  <c:v>18.7</c:v>
                </c:pt>
                <c:pt idx="24">
                  <c:v>8.6999999999999993</c:v>
                </c:pt>
                <c:pt idx="25">
                  <c:v>29.7</c:v>
                </c:pt>
                <c:pt idx="26">
                  <c:v>44.7</c:v>
                </c:pt>
                <c:pt idx="27">
                  <c:v>49.6</c:v>
                </c:pt>
                <c:pt idx="28">
                  <c:v>14.2</c:v>
                </c:pt>
                <c:pt idx="29">
                  <c:v>13.4</c:v>
                </c:pt>
                <c:pt idx="30">
                  <c:v>24.2</c:v>
                </c:pt>
                <c:pt idx="31">
                  <c:v>15.3</c:v>
                </c:pt>
                <c:pt idx="32">
                  <c:v>10</c:v>
                </c:pt>
                <c:pt idx="33">
                  <c:v>39.5</c:v>
                </c:pt>
                <c:pt idx="34">
                  <c:v>7.9</c:v>
                </c:pt>
                <c:pt idx="35">
                  <c:v>15.7</c:v>
                </c:pt>
                <c:pt idx="36">
                  <c:v>7</c:v>
                </c:pt>
                <c:pt idx="37">
                  <c:v>5.0999999999999996</c:v>
                </c:pt>
                <c:pt idx="38">
                  <c:v>6.6</c:v>
                </c:pt>
                <c:pt idx="39">
                  <c:v>6.5</c:v>
                </c:pt>
                <c:pt idx="40">
                  <c:v>1.7</c:v>
                </c:pt>
                <c:pt idx="41">
                  <c:v>14.9</c:v>
                </c:pt>
                <c:pt idx="42">
                  <c:v>12.4</c:v>
                </c:pt>
                <c:pt idx="43">
                  <c:v>6.7</c:v>
                </c:pt>
                <c:pt idx="44">
                  <c:v>12.7</c:v>
                </c:pt>
                <c:pt idx="45">
                  <c:v>14.5</c:v>
                </c:pt>
                <c:pt idx="46">
                  <c:v>11.2</c:v>
                </c:pt>
                <c:pt idx="47">
                  <c:v>9.6</c:v>
                </c:pt>
                <c:pt idx="48">
                  <c:v>5.5</c:v>
                </c:pt>
                <c:pt idx="49">
                  <c:v>42.2</c:v>
                </c:pt>
                <c:pt idx="50">
                  <c:v>18.8</c:v>
                </c:pt>
                <c:pt idx="51">
                  <c:v>37.1</c:v>
                </c:pt>
                <c:pt idx="52">
                  <c:v>27.7</c:v>
                </c:pt>
                <c:pt idx="53">
                  <c:v>43</c:v>
                </c:pt>
                <c:pt idx="54">
                  <c:v>9.1</c:v>
                </c:pt>
                <c:pt idx="55">
                  <c:v>114.4</c:v>
                </c:pt>
                <c:pt idx="56">
                  <c:v>22.4</c:v>
                </c:pt>
                <c:pt idx="57">
                  <c:v>18</c:v>
                </c:pt>
                <c:pt idx="58">
                  <c:v>5.8</c:v>
                </c:pt>
                <c:pt idx="59">
                  <c:v>30.4</c:v>
                </c:pt>
                <c:pt idx="60">
                  <c:v>19.399999999999999</c:v>
                </c:pt>
                <c:pt idx="61">
                  <c:v>3.5</c:v>
                </c:pt>
                <c:pt idx="62">
                  <c:v>0.9</c:v>
                </c:pt>
                <c:pt idx="63">
                  <c:v>6.1</c:v>
                </c:pt>
                <c:pt idx="64">
                  <c:v>27.7</c:v>
                </c:pt>
                <c:pt idx="65">
                  <c:v>1.4</c:v>
                </c:pt>
                <c:pt idx="66">
                  <c:v>1.7</c:v>
                </c:pt>
                <c:pt idx="67">
                  <c:v>18.8</c:v>
                </c:pt>
                <c:pt idx="68">
                  <c:v>26.9</c:v>
                </c:pt>
                <c:pt idx="69">
                  <c:v>4.2</c:v>
                </c:pt>
                <c:pt idx="70">
                  <c:v>9.1</c:v>
                </c:pt>
                <c:pt idx="71">
                  <c:v>65.599999999999994</c:v>
                </c:pt>
                <c:pt idx="72">
                  <c:v>8.8000000000000007</c:v>
                </c:pt>
                <c:pt idx="73">
                  <c:v>42.9</c:v>
                </c:pt>
                <c:pt idx="74">
                  <c:v>8.6</c:v>
                </c:pt>
                <c:pt idx="75">
                  <c:v>7.4</c:v>
                </c:pt>
                <c:pt idx="76">
                  <c:v>6.2</c:v>
                </c:pt>
                <c:pt idx="77">
                  <c:v>9.1</c:v>
                </c:pt>
                <c:pt idx="78">
                  <c:v>7.8</c:v>
                </c:pt>
                <c:pt idx="79">
                  <c:v>1.8</c:v>
                </c:pt>
                <c:pt idx="80">
                  <c:v>3.5</c:v>
                </c:pt>
                <c:pt idx="81">
                  <c:v>8.4</c:v>
                </c:pt>
                <c:pt idx="82">
                  <c:v>8.9</c:v>
                </c:pt>
                <c:pt idx="83">
                  <c:v>6.6</c:v>
                </c:pt>
                <c:pt idx="84">
                  <c:v>14.7</c:v>
                </c:pt>
                <c:pt idx="85">
                  <c:v>3.3</c:v>
                </c:pt>
                <c:pt idx="86">
                  <c:v>38</c:v>
                </c:pt>
                <c:pt idx="87">
                  <c:v>16.600000000000001</c:v>
                </c:pt>
                <c:pt idx="88">
                  <c:v>9.4</c:v>
                </c:pt>
                <c:pt idx="89">
                  <c:v>2</c:v>
                </c:pt>
                <c:pt idx="90">
                  <c:v>3.9</c:v>
                </c:pt>
                <c:pt idx="91">
                  <c:v>7.5</c:v>
                </c:pt>
                <c:pt idx="92">
                  <c:v>1.9</c:v>
                </c:pt>
                <c:pt idx="93">
                  <c:v>50.3</c:v>
                </c:pt>
                <c:pt idx="94">
                  <c:v>4</c:v>
                </c:pt>
                <c:pt idx="95">
                  <c:v>19.8</c:v>
                </c:pt>
                <c:pt idx="96">
                  <c:v>3.9</c:v>
                </c:pt>
                <c:pt idx="97">
                  <c:v>46.5</c:v>
                </c:pt>
                <c:pt idx="98">
                  <c:v>17.7</c:v>
                </c:pt>
                <c:pt idx="99">
                  <c:v>13.6</c:v>
                </c:pt>
                <c:pt idx="100">
                  <c:v>5.5</c:v>
                </c:pt>
                <c:pt idx="101">
                  <c:v>8.3000000000000007</c:v>
                </c:pt>
                <c:pt idx="102">
                  <c:v>7.7</c:v>
                </c:pt>
                <c:pt idx="103">
                  <c:v>51.3</c:v>
                </c:pt>
                <c:pt idx="104">
                  <c:v>33.6</c:v>
                </c:pt>
                <c:pt idx="105">
                  <c:v>7.3</c:v>
                </c:pt>
                <c:pt idx="106">
                  <c:v>23.8</c:v>
                </c:pt>
                <c:pt idx="107">
                  <c:v>9.6999999999999993</c:v>
                </c:pt>
                <c:pt idx="108">
                  <c:v>41.3</c:v>
                </c:pt>
                <c:pt idx="109">
                  <c:v>49.9</c:v>
                </c:pt>
                <c:pt idx="110">
                  <c:v>25.4</c:v>
                </c:pt>
                <c:pt idx="111">
                  <c:v>4.8</c:v>
                </c:pt>
                <c:pt idx="112">
                  <c:v>4.7</c:v>
                </c:pt>
                <c:pt idx="113">
                  <c:v>23</c:v>
                </c:pt>
                <c:pt idx="114">
                  <c:v>31.6</c:v>
                </c:pt>
                <c:pt idx="115">
                  <c:v>8.3000000000000007</c:v>
                </c:pt>
                <c:pt idx="116">
                  <c:v>6.6</c:v>
                </c:pt>
                <c:pt idx="117">
                  <c:v>23</c:v>
                </c:pt>
                <c:pt idx="118">
                  <c:v>39.1</c:v>
                </c:pt>
                <c:pt idx="119">
                  <c:v>34.9</c:v>
                </c:pt>
                <c:pt idx="120">
                  <c:v>40</c:v>
                </c:pt>
                <c:pt idx="121">
                  <c:v>13.5</c:v>
                </c:pt>
                <c:pt idx="122">
                  <c:v>12.9</c:v>
                </c:pt>
                <c:pt idx="123">
                  <c:v>36</c:v>
                </c:pt>
                <c:pt idx="124">
                  <c:v>6.2</c:v>
                </c:pt>
                <c:pt idx="125">
                  <c:v>22.3</c:v>
                </c:pt>
                <c:pt idx="126">
                  <c:v>3</c:v>
                </c:pt>
                <c:pt idx="127">
                  <c:v>3.6</c:v>
                </c:pt>
                <c:pt idx="128">
                  <c:v>5.2</c:v>
                </c:pt>
                <c:pt idx="129">
                  <c:v>97.9</c:v>
                </c:pt>
                <c:pt idx="130">
                  <c:v>23.6</c:v>
                </c:pt>
                <c:pt idx="131">
                  <c:v>61.5</c:v>
                </c:pt>
                <c:pt idx="132">
                  <c:v>21.8</c:v>
                </c:pt>
                <c:pt idx="133">
                  <c:v>18.399999999999999</c:v>
                </c:pt>
                <c:pt idx="134">
                  <c:v>15</c:v>
                </c:pt>
                <c:pt idx="135">
                  <c:v>2.4</c:v>
                </c:pt>
                <c:pt idx="136">
                  <c:v>4.0999999999999996</c:v>
                </c:pt>
                <c:pt idx="137">
                  <c:v>25.7</c:v>
                </c:pt>
                <c:pt idx="138">
                  <c:v>14.2</c:v>
                </c:pt>
                <c:pt idx="139">
                  <c:v>24.4</c:v>
                </c:pt>
                <c:pt idx="140">
                  <c:v>3.8</c:v>
                </c:pt>
                <c:pt idx="141">
                  <c:v>27.1</c:v>
                </c:pt>
                <c:pt idx="142">
                  <c:v>52.8</c:v>
                </c:pt>
                <c:pt idx="143">
                  <c:v>8.4</c:v>
                </c:pt>
                <c:pt idx="144">
                  <c:v>16.2</c:v>
                </c:pt>
                <c:pt idx="145">
                  <c:v>11.3</c:v>
                </c:pt>
                <c:pt idx="146">
                  <c:v>3</c:v>
                </c:pt>
                <c:pt idx="147">
                  <c:v>2.2000000000000002</c:v>
                </c:pt>
                <c:pt idx="148">
                  <c:v>3.5</c:v>
                </c:pt>
                <c:pt idx="149">
                  <c:v>2.8</c:v>
                </c:pt>
                <c:pt idx="150">
                  <c:v>3.4</c:v>
                </c:pt>
                <c:pt idx="151">
                  <c:v>3.1</c:v>
                </c:pt>
                <c:pt idx="152">
                  <c:v>61.7</c:v>
                </c:pt>
                <c:pt idx="153">
                  <c:v>37.299999999999997</c:v>
                </c:pt>
                <c:pt idx="154">
                  <c:v>4</c:v>
                </c:pt>
                <c:pt idx="155">
                  <c:v>20.5</c:v>
                </c:pt>
                <c:pt idx="156">
                  <c:v>11.1</c:v>
                </c:pt>
                <c:pt idx="157">
                  <c:v>15.6</c:v>
                </c:pt>
                <c:pt idx="158">
                  <c:v>2.1</c:v>
                </c:pt>
                <c:pt idx="159">
                  <c:v>18.7</c:v>
                </c:pt>
                <c:pt idx="160">
                  <c:v>9</c:v>
                </c:pt>
                <c:pt idx="161">
                  <c:v>16</c:v>
                </c:pt>
                <c:pt idx="162">
                  <c:v>5.2</c:v>
                </c:pt>
                <c:pt idx="163">
                  <c:v>10</c:v>
                </c:pt>
                <c:pt idx="164">
                  <c:v>14.6</c:v>
                </c:pt>
                <c:pt idx="165">
                  <c:v>23.7</c:v>
                </c:pt>
                <c:pt idx="166">
                  <c:v>19.3</c:v>
                </c:pt>
                <c:pt idx="167">
                  <c:v>28.4</c:v>
                </c:pt>
                <c:pt idx="168">
                  <c:v>#N/A</c:v>
                </c:pt>
                <c:pt idx="169">
                  <c:v>#N/A</c:v>
                </c:pt>
              </c:numCache>
            </c:numRef>
          </c:xVal>
          <c:yVal>
            <c:numRef>
              <c:f>'IV.D. Population and Area'!$Y$29:$Y$198</c:f>
              <c:numCache>
                <c:formatCode>0</c:formatCode>
                <c:ptCount val="170"/>
                <c:pt idx="12">
                  <c:v>6566244.7263157899</c:v>
                </c:pt>
              </c:numCache>
            </c:numRef>
          </c:yVal>
          <c:smooth val="0"/>
          <c:extLst>
            <c:ext xmlns:c16="http://schemas.microsoft.com/office/drawing/2014/chart" uri="{C3380CC4-5D6E-409C-BE32-E72D297353CC}">
              <c16:uniqueId val="{00000000-D357-4EA1-AE0E-39F7D2ACA11C}"/>
            </c:ext>
          </c:extLst>
        </c:ser>
        <c:ser>
          <c:idx val="1"/>
          <c:order val="1"/>
          <c:tx>
            <c:v>Region 3</c:v>
          </c:tx>
          <c:spPr>
            <a:ln w="25400" cap="rnd">
              <a:noFill/>
              <a:round/>
            </a:ln>
            <a:effectLst/>
          </c:spPr>
          <c:marker>
            <c:symbol val="circle"/>
            <c:size val="5"/>
            <c:spPr>
              <a:solidFill>
                <a:schemeClr val="accent2"/>
              </a:solidFill>
              <a:ln w="254000">
                <a:noFill/>
              </a:ln>
              <a:effectLst/>
            </c:spPr>
          </c:marker>
          <c:xVal>
            <c:numRef>
              <c:f>'IV.D. Population and Area'!$AI$29:$AI$198</c:f>
              <c:numCache>
                <c:formatCode>0</c:formatCode>
                <c:ptCount val="170"/>
                <c:pt idx="0">
                  <c:v>7.8</c:v>
                </c:pt>
                <c:pt idx="1">
                  <c:v>7.6</c:v>
                </c:pt>
                <c:pt idx="2">
                  <c:v>6.9</c:v>
                </c:pt>
                <c:pt idx="3">
                  <c:v>50</c:v>
                </c:pt>
                <c:pt idx="4">
                  <c:v>10.9</c:v>
                </c:pt>
                <c:pt idx="5">
                  <c:v>1.6</c:v>
                </c:pt>
                <c:pt idx="6">
                  <c:v>9.6999999999999993</c:v>
                </c:pt>
                <c:pt idx="7">
                  <c:v>148.80000000000001</c:v>
                </c:pt>
                <c:pt idx="8">
                  <c:v>6.6</c:v>
                </c:pt>
                <c:pt idx="9">
                  <c:v>30.7</c:v>
                </c:pt>
                <c:pt idx="10">
                  <c:v>2.5</c:v>
                </c:pt>
                <c:pt idx="11">
                  <c:v>6.1</c:v>
                </c:pt>
                <c:pt idx="12">
                  <c:v>10.5</c:v>
                </c:pt>
                <c:pt idx="13">
                  <c:v>5.7</c:v>
                </c:pt>
                <c:pt idx="14">
                  <c:v>6.3</c:v>
                </c:pt>
                <c:pt idx="15">
                  <c:v>2</c:v>
                </c:pt>
                <c:pt idx="16">
                  <c:v>12.2</c:v>
                </c:pt>
                <c:pt idx="17">
                  <c:v>10.5</c:v>
                </c:pt>
                <c:pt idx="18">
                  <c:v>17.399999999999999</c:v>
                </c:pt>
                <c:pt idx="19">
                  <c:v>13.7</c:v>
                </c:pt>
                <c:pt idx="20">
                  <c:v>14.9</c:v>
                </c:pt>
                <c:pt idx="21">
                  <c:v>3.9</c:v>
                </c:pt>
                <c:pt idx="22">
                  <c:v>37.700000000000003</c:v>
                </c:pt>
                <c:pt idx="23">
                  <c:v>18.7</c:v>
                </c:pt>
                <c:pt idx="24">
                  <c:v>8.6999999999999993</c:v>
                </c:pt>
                <c:pt idx="25">
                  <c:v>29.7</c:v>
                </c:pt>
                <c:pt idx="26">
                  <c:v>44.7</c:v>
                </c:pt>
                <c:pt idx="27">
                  <c:v>49.6</c:v>
                </c:pt>
                <c:pt idx="28">
                  <c:v>14.2</c:v>
                </c:pt>
                <c:pt idx="29">
                  <c:v>13.4</c:v>
                </c:pt>
                <c:pt idx="30">
                  <c:v>24.2</c:v>
                </c:pt>
                <c:pt idx="31">
                  <c:v>15.3</c:v>
                </c:pt>
                <c:pt idx="32">
                  <c:v>10</c:v>
                </c:pt>
                <c:pt idx="33">
                  <c:v>39.5</c:v>
                </c:pt>
                <c:pt idx="34">
                  <c:v>7.9</c:v>
                </c:pt>
                <c:pt idx="35">
                  <c:v>15.7</c:v>
                </c:pt>
                <c:pt idx="36">
                  <c:v>7</c:v>
                </c:pt>
                <c:pt idx="37">
                  <c:v>5.0999999999999996</c:v>
                </c:pt>
                <c:pt idx="38">
                  <c:v>6.6</c:v>
                </c:pt>
                <c:pt idx="39">
                  <c:v>6.5</c:v>
                </c:pt>
                <c:pt idx="40">
                  <c:v>1.7</c:v>
                </c:pt>
                <c:pt idx="41">
                  <c:v>14.9</c:v>
                </c:pt>
                <c:pt idx="42">
                  <c:v>12.4</c:v>
                </c:pt>
                <c:pt idx="43">
                  <c:v>6.7</c:v>
                </c:pt>
                <c:pt idx="44">
                  <c:v>12.7</c:v>
                </c:pt>
                <c:pt idx="45">
                  <c:v>14.5</c:v>
                </c:pt>
                <c:pt idx="46">
                  <c:v>11.2</c:v>
                </c:pt>
                <c:pt idx="47">
                  <c:v>9.6</c:v>
                </c:pt>
                <c:pt idx="48">
                  <c:v>5.5</c:v>
                </c:pt>
                <c:pt idx="49">
                  <c:v>42.2</c:v>
                </c:pt>
                <c:pt idx="50">
                  <c:v>18.8</c:v>
                </c:pt>
                <c:pt idx="51">
                  <c:v>37.1</c:v>
                </c:pt>
                <c:pt idx="52">
                  <c:v>27.7</c:v>
                </c:pt>
                <c:pt idx="53">
                  <c:v>43</c:v>
                </c:pt>
                <c:pt idx="54">
                  <c:v>9.1</c:v>
                </c:pt>
                <c:pt idx="55">
                  <c:v>114.4</c:v>
                </c:pt>
                <c:pt idx="56">
                  <c:v>22.4</c:v>
                </c:pt>
                <c:pt idx="57">
                  <c:v>18</c:v>
                </c:pt>
                <c:pt idx="58">
                  <c:v>5.8</c:v>
                </c:pt>
                <c:pt idx="59">
                  <c:v>30.4</c:v>
                </c:pt>
                <c:pt idx="60">
                  <c:v>19.399999999999999</c:v>
                </c:pt>
                <c:pt idx="61">
                  <c:v>3.5</c:v>
                </c:pt>
                <c:pt idx="62">
                  <c:v>0.9</c:v>
                </c:pt>
                <c:pt idx="63">
                  <c:v>6.1</c:v>
                </c:pt>
                <c:pt idx="64">
                  <c:v>27.7</c:v>
                </c:pt>
                <c:pt idx="65">
                  <c:v>1.4</c:v>
                </c:pt>
                <c:pt idx="66">
                  <c:v>1.7</c:v>
                </c:pt>
                <c:pt idx="67">
                  <c:v>18.8</c:v>
                </c:pt>
                <c:pt idx="68">
                  <c:v>26.9</c:v>
                </c:pt>
                <c:pt idx="69">
                  <c:v>4.2</c:v>
                </c:pt>
                <c:pt idx="70">
                  <c:v>9.1</c:v>
                </c:pt>
                <c:pt idx="71">
                  <c:v>65.599999999999994</c:v>
                </c:pt>
                <c:pt idx="72">
                  <c:v>8.8000000000000007</c:v>
                </c:pt>
                <c:pt idx="73">
                  <c:v>42.9</c:v>
                </c:pt>
                <c:pt idx="74">
                  <c:v>8.6</c:v>
                </c:pt>
                <c:pt idx="75">
                  <c:v>7.4</c:v>
                </c:pt>
                <c:pt idx="76">
                  <c:v>6.2</c:v>
                </c:pt>
                <c:pt idx="77">
                  <c:v>9.1</c:v>
                </c:pt>
                <c:pt idx="78">
                  <c:v>7.8</c:v>
                </c:pt>
                <c:pt idx="79">
                  <c:v>1.8</c:v>
                </c:pt>
                <c:pt idx="80">
                  <c:v>3.5</c:v>
                </c:pt>
                <c:pt idx="81">
                  <c:v>8.4</c:v>
                </c:pt>
                <c:pt idx="82">
                  <c:v>8.9</c:v>
                </c:pt>
                <c:pt idx="83">
                  <c:v>6.6</c:v>
                </c:pt>
                <c:pt idx="84">
                  <c:v>14.7</c:v>
                </c:pt>
                <c:pt idx="85">
                  <c:v>3.3</c:v>
                </c:pt>
                <c:pt idx="86">
                  <c:v>38</c:v>
                </c:pt>
                <c:pt idx="87">
                  <c:v>16.600000000000001</c:v>
                </c:pt>
                <c:pt idx="88">
                  <c:v>9.4</c:v>
                </c:pt>
                <c:pt idx="89">
                  <c:v>2</c:v>
                </c:pt>
                <c:pt idx="90">
                  <c:v>3.9</c:v>
                </c:pt>
                <c:pt idx="91">
                  <c:v>7.5</c:v>
                </c:pt>
                <c:pt idx="92">
                  <c:v>1.9</c:v>
                </c:pt>
                <c:pt idx="93">
                  <c:v>50.3</c:v>
                </c:pt>
                <c:pt idx="94">
                  <c:v>4</c:v>
                </c:pt>
                <c:pt idx="95">
                  <c:v>19.8</c:v>
                </c:pt>
                <c:pt idx="96">
                  <c:v>3.9</c:v>
                </c:pt>
                <c:pt idx="97">
                  <c:v>46.5</c:v>
                </c:pt>
                <c:pt idx="98">
                  <c:v>17.7</c:v>
                </c:pt>
                <c:pt idx="99">
                  <c:v>13.6</c:v>
                </c:pt>
                <c:pt idx="100">
                  <c:v>5.5</c:v>
                </c:pt>
                <c:pt idx="101">
                  <c:v>8.3000000000000007</c:v>
                </c:pt>
                <c:pt idx="102">
                  <c:v>7.7</c:v>
                </c:pt>
                <c:pt idx="103">
                  <c:v>51.3</c:v>
                </c:pt>
                <c:pt idx="104">
                  <c:v>33.6</c:v>
                </c:pt>
                <c:pt idx="105">
                  <c:v>7.3</c:v>
                </c:pt>
                <c:pt idx="106">
                  <c:v>23.8</c:v>
                </c:pt>
                <c:pt idx="107">
                  <c:v>9.6999999999999993</c:v>
                </c:pt>
                <c:pt idx="108">
                  <c:v>41.3</c:v>
                </c:pt>
                <c:pt idx="109">
                  <c:v>49.9</c:v>
                </c:pt>
                <c:pt idx="110">
                  <c:v>25.4</c:v>
                </c:pt>
                <c:pt idx="111">
                  <c:v>4.8</c:v>
                </c:pt>
                <c:pt idx="112">
                  <c:v>4.7</c:v>
                </c:pt>
                <c:pt idx="113">
                  <c:v>23</c:v>
                </c:pt>
                <c:pt idx="114">
                  <c:v>31.6</c:v>
                </c:pt>
                <c:pt idx="115">
                  <c:v>8.3000000000000007</c:v>
                </c:pt>
                <c:pt idx="116">
                  <c:v>6.6</c:v>
                </c:pt>
                <c:pt idx="117">
                  <c:v>23</c:v>
                </c:pt>
                <c:pt idx="118">
                  <c:v>39.1</c:v>
                </c:pt>
                <c:pt idx="119">
                  <c:v>34.9</c:v>
                </c:pt>
                <c:pt idx="120">
                  <c:v>40</c:v>
                </c:pt>
                <c:pt idx="121">
                  <c:v>13.5</c:v>
                </c:pt>
                <c:pt idx="122">
                  <c:v>12.9</c:v>
                </c:pt>
                <c:pt idx="123">
                  <c:v>36</c:v>
                </c:pt>
                <c:pt idx="124">
                  <c:v>6.2</c:v>
                </c:pt>
                <c:pt idx="125">
                  <c:v>22.3</c:v>
                </c:pt>
                <c:pt idx="126">
                  <c:v>3</c:v>
                </c:pt>
                <c:pt idx="127">
                  <c:v>3.6</c:v>
                </c:pt>
                <c:pt idx="128">
                  <c:v>5.2</c:v>
                </c:pt>
                <c:pt idx="129">
                  <c:v>97.9</c:v>
                </c:pt>
                <c:pt idx="130">
                  <c:v>23.6</c:v>
                </c:pt>
                <c:pt idx="131">
                  <c:v>61.5</c:v>
                </c:pt>
                <c:pt idx="132">
                  <c:v>21.8</c:v>
                </c:pt>
                <c:pt idx="133">
                  <c:v>18.399999999999999</c:v>
                </c:pt>
                <c:pt idx="134">
                  <c:v>15</c:v>
                </c:pt>
                <c:pt idx="135">
                  <c:v>2.4</c:v>
                </c:pt>
                <c:pt idx="136">
                  <c:v>4.0999999999999996</c:v>
                </c:pt>
                <c:pt idx="137">
                  <c:v>25.7</c:v>
                </c:pt>
                <c:pt idx="138">
                  <c:v>14.2</c:v>
                </c:pt>
                <c:pt idx="139">
                  <c:v>24.4</c:v>
                </c:pt>
                <c:pt idx="140">
                  <c:v>3.8</c:v>
                </c:pt>
                <c:pt idx="141">
                  <c:v>27.1</c:v>
                </c:pt>
                <c:pt idx="142">
                  <c:v>52.8</c:v>
                </c:pt>
                <c:pt idx="143">
                  <c:v>8.4</c:v>
                </c:pt>
                <c:pt idx="144">
                  <c:v>16.2</c:v>
                </c:pt>
                <c:pt idx="145">
                  <c:v>11.3</c:v>
                </c:pt>
                <c:pt idx="146">
                  <c:v>3</c:v>
                </c:pt>
                <c:pt idx="147">
                  <c:v>2.2000000000000002</c:v>
                </c:pt>
                <c:pt idx="148">
                  <c:v>3.5</c:v>
                </c:pt>
                <c:pt idx="149">
                  <c:v>2.8</c:v>
                </c:pt>
                <c:pt idx="150">
                  <c:v>3.4</c:v>
                </c:pt>
                <c:pt idx="151">
                  <c:v>3.1</c:v>
                </c:pt>
                <c:pt idx="152">
                  <c:v>61.7</c:v>
                </c:pt>
                <c:pt idx="153">
                  <c:v>37.299999999999997</c:v>
                </c:pt>
                <c:pt idx="154">
                  <c:v>4</c:v>
                </c:pt>
                <c:pt idx="155">
                  <c:v>20.5</c:v>
                </c:pt>
                <c:pt idx="156">
                  <c:v>11.1</c:v>
                </c:pt>
                <c:pt idx="157">
                  <c:v>15.6</c:v>
                </c:pt>
                <c:pt idx="158">
                  <c:v>2.1</c:v>
                </c:pt>
                <c:pt idx="159">
                  <c:v>18.7</c:v>
                </c:pt>
                <c:pt idx="160">
                  <c:v>9</c:v>
                </c:pt>
                <c:pt idx="161">
                  <c:v>16</c:v>
                </c:pt>
                <c:pt idx="162">
                  <c:v>5.2</c:v>
                </c:pt>
                <c:pt idx="163">
                  <c:v>10</c:v>
                </c:pt>
                <c:pt idx="164">
                  <c:v>14.6</c:v>
                </c:pt>
                <c:pt idx="165">
                  <c:v>23.7</c:v>
                </c:pt>
                <c:pt idx="166">
                  <c:v>19.3</c:v>
                </c:pt>
                <c:pt idx="167">
                  <c:v>28.4</c:v>
                </c:pt>
                <c:pt idx="168">
                  <c:v>#N/A</c:v>
                </c:pt>
                <c:pt idx="169">
                  <c:v>#N/A</c:v>
                </c:pt>
              </c:numCache>
            </c:numRef>
          </c:xVal>
          <c:yVal>
            <c:numRef>
              <c:f>'IV.D. Population and Area'!$Z$29:$Z$198</c:f>
              <c:numCache>
                <c:formatCode>0</c:formatCode>
                <c:ptCount val="170"/>
                <c:pt idx="130">
                  <c:v>4577600.1080783363</c:v>
                </c:pt>
              </c:numCache>
            </c:numRef>
          </c:yVal>
          <c:smooth val="0"/>
          <c:extLst>
            <c:ext xmlns:c16="http://schemas.microsoft.com/office/drawing/2014/chart" uri="{C3380CC4-5D6E-409C-BE32-E72D297353CC}">
              <c16:uniqueId val="{00000001-D357-4EA1-AE0E-39F7D2ACA11C}"/>
            </c:ext>
          </c:extLst>
        </c:ser>
        <c:ser>
          <c:idx val="2"/>
          <c:order val="2"/>
          <c:tx>
            <c:v>Region 4</c:v>
          </c:tx>
          <c:spPr>
            <a:ln w="25400" cap="rnd">
              <a:noFill/>
              <a:round/>
            </a:ln>
            <a:effectLst/>
          </c:spPr>
          <c:marker>
            <c:symbol val="circle"/>
            <c:size val="5"/>
            <c:spPr>
              <a:solidFill>
                <a:schemeClr val="accent3"/>
              </a:solidFill>
              <a:ln w="254000">
                <a:noFill/>
              </a:ln>
              <a:effectLst/>
            </c:spPr>
          </c:marker>
          <c:trendline>
            <c:spPr>
              <a:ln w="19050" cap="rnd">
                <a:solidFill>
                  <a:schemeClr val="accent3"/>
                </a:solidFill>
                <a:prstDash val="sysDot"/>
              </a:ln>
              <a:effectLst/>
            </c:spPr>
            <c:trendlineType val="linear"/>
            <c:dispRSqr val="1"/>
            <c:dispEq val="1"/>
            <c:trendlineLbl>
              <c:layout>
                <c:manualLayout>
                  <c:x val="-0.24858965265847438"/>
                  <c:y val="3.6997423699064821E-2"/>
                </c:manualLayout>
              </c:layout>
              <c:numFmt formatCode="0.00" sourceLinked="0"/>
              <c:spPr>
                <a:noFill/>
                <a:ln w="12700">
                  <a:solidFill>
                    <a:schemeClr val="accent3"/>
                  </a:solidFill>
                  <a:prstDash val="sysDash"/>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'IV.D. Population and Area'!$AI$29:$AI$198</c:f>
              <c:numCache>
                <c:formatCode>0</c:formatCode>
                <c:ptCount val="170"/>
                <c:pt idx="0">
                  <c:v>7.8</c:v>
                </c:pt>
                <c:pt idx="1">
                  <c:v>7.6</c:v>
                </c:pt>
                <c:pt idx="2">
                  <c:v>6.9</c:v>
                </c:pt>
                <c:pt idx="3">
                  <c:v>50</c:v>
                </c:pt>
                <c:pt idx="4">
                  <c:v>10.9</c:v>
                </c:pt>
                <c:pt idx="5">
                  <c:v>1.6</c:v>
                </c:pt>
                <c:pt idx="6">
                  <c:v>9.6999999999999993</c:v>
                </c:pt>
                <c:pt idx="7">
                  <c:v>148.80000000000001</c:v>
                </c:pt>
                <c:pt idx="8">
                  <c:v>6.6</c:v>
                </c:pt>
                <c:pt idx="9">
                  <c:v>30.7</c:v>
                </c:pt>
                <c:pt idx="10">
                  <c:v>2.5</c:v>
                </c:pt>
                <c:pt idx="11">
                  <c:v>6.1</c:v>
                </c:pt>
                <c:pt idx="12">
                  <c:v>10.5</c:v>
                </c:pt>
                <c:pt idx="13">
                  <c:v>5.7</c:v>
                </c:pt>
                <c:pt idx="14">
                  <c:v>6.3</c:v>
                </c:pt>
                <c:pt idx="15">
                  <c:v>2</c:v>
                </c:pt>
                <c:pt idx="16">
                  <c:v>12.2</c:v>
                </c:pt>
                <c:pt idx="17">
                  <c:v>10.5</c:v>
                </c:pt>
                <c:pt idx="18">
                  <c:v>17.399999999999999</c:v>
                </c:pt>
                <c:pt idx="19">
                  <c:v>13.7</c:v>
                </c:pt>
                <c:pt idx="20">
                  <c:v>14.9</c:v>
                </c:pt>
                <c:pt idx="21">
                  <c:v>3.9</c:v>
                </c:pt>
                <c:pt idx="22">
                  <c:v>37.700000000000003</c:v>
                </c:pt>
                <c:pt idx="23">
                  <c:v>18.7</c:v>
                </c:pt>
                <c:pt idx="24">
                  <c:v>8.6999999999999993</c:v>
                </c:pt>
                <c:pt idx="25">
                  <c:v>29.7</c:v>
                </c:pt>
                <c:pt idx="26">
                  <c:v>44.7</c:v>
                </c:pt>
                <c:pt idx="27">
                  <c:v>49.6</c:v>
                </c:pt>
                <c:pt idx="28">
                  <c:v>14.2</c:v>
                </c:pt>
                <c:pt idx="29">
                  <c:v>13.4</c:v>
                </c:pt>
                <c:pt idx="30">
                  <c:v>24.2</c:v>
                </c:pt>
                <c:pt idx="31">
                  <c:v>15.3</c:v>
                </c:pt>
                <c:pt idx="32">
                  <c:v>10</c:v>
                </c:pt>
                <c:pt idx="33">
                  <c:v>39.5</c:v>
                </c:pt>
                <c:pt idx="34">
                  <c:v>7.9</c:v>
                </c:pt>
                <c:pt idx="35">
                  <c:v>15.7</c:v>
                </c:pt>
                <c:pt idx="36">
                  <c:v>7</c:v>
                </c:pt>
                <c:pt idx="37">
                  <c:v>5.0999999999999996</c:v>
                </c:pt>
                <c:pt idx="38">
                  <c:v>6.6</c:v>
                </c:pt>
                <c:pt idx="39">
                  <c:v>6.5</c:v>
                </c:pt>
                <c:pt idx="40">
                  <c:v>1.7</c:v>
                </c:pt>
                <c:pt idx="41">
                  <c:v>14.9</c:v>
                </c:pt>
                <c:pt idx="42">
                  <c:v>12.4</c:v>
                </c:pt>
                <c:pt idx="43">
                  <c:v>6.7</c:v>
                </c:pt>
                <c:pt idx="44">
                  <c:v>12.7</c:v>
                </c:pt>
                <c:pt idx="45">
                  <c:v>14.5</c:v>
                </c:pt>
                <c:pt idx="46">
                  <c:v>11.2</c:v>
                </c:pt>
                <c:pt idx="47">
                  <c:v>9.6</c:v>
                </c:pt>
                <c:pt idx="48">
                  <c:v>5.5</c:v>
                </c:pt>
                <c:pt idx="49">
                  <c:v>42.2</c:v>
                </c:pt>
                <c:pt idx="50">
                  <c:v>18.8</c:v>
                </c:pt>
                <c:pt idx="51">
                  <c:v>37.1</c:v>
                </c:pt>
                <c:pt idx="52">
                  <c:v>27.7</c:v>
                </c:pt>
                <c:pt idx="53">
                  <c:v>43</c:v>
                </c:pt>
                <c:pt idx="54">
                  <c:v>9.1</c:v>
                </c:pt>
                <c:pt idx="55">
                  <c:v>114.4</c:v>
                </c:pt>
                <c:pt idx="56">
                  <c:v>22.4</c:v>
                </c:pt>
                <c:pt idx="57">
                  <c:v>18</c:v>
                </c:pt>
                <c:pt idx="58">
                  <c:v>5.8</c:v>
                </c:pt>
                <c:pt idx="59">
                  <c:v>30.4</c:v>
                </c:pt>
                <c:pt idx="60">
                  <c:v>19.399999999999999</c:v>
                </c:pt>
                <c:pt idx="61">
                  <c:v>3.5</c:v>
                </c:pt>
                <c:pt idx="62">
                  <c:v>0.9</c:v>
                </c:pt>
                <c:pt idx="63">
                  <c:v>6.1</c:v>
                </c:pt>
                <c:pt idx="64">
                  <c:v>27.7</c:v>
                </c:pt>
                <c:pt idx="65">
                  <c:v>1.4</c:v>
                </c:pt>
                <c:pt idx="66">
                  <c:v>1.7</c:v>
                </c:pt>
                <c:pt idx="67">
                  <c:v>18.8</c:v>
                </c:pt>
                <c:pt idx="68">
                  <c:v>26.9</c:v>
                </c:pt>
                <c:pt idx="69">
                  <c:v>4.2</c:v>
                </c:pt>
                <c:pt idx="70">
                  <c:v>9.1</c:v>
                </c:pt>
                <c:pt idx="71">
                  <c:v>65.599999999999994</c:v>
                </c:pt>
                <c:pt idx="72">
                  <c:v>8.8000000000000007</c:v>
                </c:pt>
                <c:pt idx="73">
                  <c:v>42.9</c:v>
                </c:pt>
                <c:pt idx="74">
                  <c:v>8.6</c:v>
                </c:pt>
                <c:pt idx="75">
                  <c:v>7.4</c:v>
                </c:pt>
                <c:pt idx="76">
                  <c:v>6.2</c:v>
                </c:pt>
                <c:pt idx="77">
                  <c:v>9.1</c:v>
                </c:pt>
                <c:pt idx="78">
                  <c:v>7.8</c:v>
                </c:pt>
                <c:pt idx="79">
                  <c:v>1.8</c:v>
                </c:pt>
                <c:pt idx="80">
                  <c:v>3.5</c:v>
                </c:pt>
                <c:pt idx="81">
                  <c:v>8.4</c:v>
                </c:pt>
                <c:pt idx="82">
                  <c:v>8.9</c:v>
                </c:pt>
                <c:pt idx="83">
                  <c:v>6.6</c:v>
                </c:pt>
                <c:pt idx="84">
                  <c:v>14.7</c:v>
                </c:pt>
                <c:pt idx="85">
                  <c:v>3.3</c:v>
                </c:pt>
                <c:pt idx="86">
                  <c:v>38</c:v>
                </c:pt>
                <c:pt idx="87">
                  <c:v>16.600000000000001</c:v>
                </c:pt>
                <c:pt idx="88">
                  <c:v>9.4</c:v>
                </c:pt>
                <c:pt idx="89">
                  <c:v>2</c:v>
                </c:pt>
                <c:pt idx="90">
                  <c:v>3.9</c:v>
                </c:pt>
                <c:pt idx="91">
                  <c:v>7.5</c:v>
                </c:pt>
                <c:pt idx="92">
                  <c:v>1.9</c:v>
                </c:pt>
                <c:pt idx="93">
                  <c:v>50.3</c:v>
                </c:pt>
                <c:pt idx="94">
                  <c:v>4</c:v>
                </c:pt>
                <c:pt idx="95">
                  <c:v>19.8</c:v>
                </c:pt>
                <c:pt idx="96">
                  <c:v>3.9</c:v>
                </c:pt>
                <c:pt idx="97">
                  <c:v>46.5</c:v>
                </c:pt>
                <c:pt idx="98">
                  <c:v>17.7</c:v>
                </c:pt>
                <c:pt idx="99">
                  <c:v>13.6</c:v>
                </c:pt>
                <c:pt idx="100">
                  <c:v>5.5</c:v>
                </c:pt>
                <c:pt idx="101">
                  <c:v>8.3000000000000007</c:v>
                </c:pt>
                <c:pt idx="102">
                  <c:v>7.7</c:v>
                </c:pt>
                <c:pt idx="103">
                  <c:v>51.3</c:v>
                </c:pt>
                <c:pt idx="104">
                  <c:v>33.6</c:v>
                </c:pt>
                <c:pt idx="105">
                  <c:v>7.3</c:v>
                </c:pt>
                <c:pt idx="106">
                  <c:v>23.8</c:v>
                </c:pt>
                <c:pt idx="107">
                  <c:v>9.6999999999999993</c:v>
                </c:pt>
                <c:pt idx="108">
                  <c:v>41.3</c:v>
                </c:pt>
                <c:pt idx="109">
                  <c:v>49.9</c:v>
                </c:pt>
                <c:pt idx="110">
                  <c:v>25.4</c:v>
                </c:pt>
                <c:pt idx="111">
                  <c:v>4.8</c:v>
                </c:pt>
                <c:pt idx="112">
                  <c:v>4.7</c:v>
                </c:pt>
                <c:pt idx="113">
                  <c:v>23</c:v>
                </c:pt>
                <c:pt idx="114">
                  <c:v>31.6</c:v>
                </c:pt>
                <c:pt idx="115">
                  <c:v>8.3000000000000007</c:v>
                </c:pt>
                <c:pt idx="116">
                  <c:v>6.6</c:v>
                </c:pt>
                <c:pt idx="117">
                  <c:v>23</c:v>
                </c:pt>
                <c:pt idx="118">
                  <c:v>39.1</c:v>
                </c:pt>
                <c:pt idx="119">
                  <c:v>34.9</c:v>
                </c:pt>
                <c:pt idx="120">
                  <c:v>40</c:v>
                </c:pt>
                <c:pt idx="121">
                  <c:v>13.5</c:v>
                </c:pt>
                <c:pt idx="122">
                  <c:v>12.9</c:v>
                </c:pt>
                <c:pt idx="123">
                  <c:v>36</c:v>
                </c:pt>
                <c:pt idx="124">
                  <c:v>6.2</c:v>
                </c:pt>
                <c:pt idx="125">
                  <c:v>22.3</c:v>
                </c:pt>
                <c:pt idx="126">
                  <c:v>3</c:v>
                </c:pt>
                <c:pt idx="127">
                  <c:v>3.6</c:v>
                </c:pt>
                <c:pt idx="128">
                  <c:v>5.2</c:v>
                </c:pt>
                <c:pt idx="129">
                  <c:v>97.9</c:v>
                </c:pt>
                <c:pt idx="130">
                  <c:v>23.6</c:v>
                </c:pt>
                <c:pt idx="131">
                  <c:v>61.5</c:v>
                </c:pt>
                <c:pt idx="132">
                  <c:v>21.8</c:v>
                </c:pt>
                <c:pt idx="133">
                  <c:v>18.399999999999999</c:v>
                </c:pt>
                <c:pt idx="134">
                  <c:v>15</c:v>
                </c:pt>
                <c:pt idx="135">
                  <c:v>2.4</c:v>
                </c:pt>
                <c:pt idx="136">
                  <c:v>4.0999999999999996</c:v>
                </c:pt>
                <c:pt idx="137">
                  <c:v>25.7</c:v>
                </c:pt>
                <c:pt idx="138">
                  <c:v>14.2</c:v>
                </c:pt>
                <c:pt idx="139">
                  <c:v>24.4</c:v>
                </c:pt>
                <c:pt idx="140">
                  <c:v>3.8</c:v>
                </c:pt>
                <c:pt idx="141">
                  <c:v>27.1</c:v>
                </c:pt>
                <c:pt idx="142">
                  <c:v>52.8</c:v>
                </c:pt>
                <c:pt idx="143">
                  <c:v>8.4</c:v>
                </c:pt>
                <c:pt idx="144">
                  <c:v>16.2</c:v>
                </c:pt>
                <c:pt idx="145">
                  <c:v>11.3</c:v>
                </c:pt>
                <c:pt idx="146">
                  <c:v>3</c:v>
                </c:pt>
                <c:pt idx="147">
                  <c:v>2.2000000000000002</c:v>
                </c:pt>
                <c:pt idx="148">
                  <c:v>3.5</c:v>
                </c:pt>
                <c:pt idx="149">
                  <c:v>2.8</c:v>
                </c:pt>
                <c:pt idx="150">
                  <c:v>3.4</c:v>
                </c:pt>
                <c:pt idx="151">
                  <c:v>3.1</c:v>
                </c:pt>
                <c:pt idx="152">
                  <c:v>61.7</c:v>
                </c:pt>
                <c:pt idx="153">
                  <c:v>37.299999999999997</c:v>
                </c:pt>
                <c:pt idx="154">
                  <c:v>4</c:v>
                </c:pt>
                <c:pt idx="155">
                  <c:v>20.5</c:v>
                </c:pt>
                <c:pt idx="156">
                  <c:v>11.1</c:v>
                </c:pt>
                <c:pt idx="157">
                  <c:v>15.6</c:v>
                </c:pt>
                <c:pt idx="158">
                  <c:v>2.1</c:v>
                </c:pt>
                <c:pt idx="159">
                  <c:v>18.7</c:v>
                </c:pt>
                <c:pt idx="160">
                  <c:v>9</c:v>
                </c:pt>
                <c:pt idx="161">
                  <c:v>16</c:v>
                </c:pt>
                <c:pt idx="162">
                  <c:v>5.2</c:v>
                </c:pt>
                <c:pt idx="163">
                  <c:v>10</c:v>
                </c:pt>
                <c:pt idx="164">
                  <c:v>14.6</c:v>
                </c:pt>
                <c:pt idx="165">
                  <c:v>23.7</c:v>
                </c:pt>
                <c:pt idx="166">
                  <c:v>19.3</c:v>
                </c:pt>
                <c:pt idx="167">
                  <c:v>28.4</c:v>
                </c:pt>
                <c:pt idx="168">
                  <c:v>#N/A</c:v>
                </c:pt>
                <c:pt idx="169">
                  <c:v>#N/A</c:v>
                </c:pt>
              </c:numCache>
            </c:numRef>
          </c:xVal>
          <c:yVal>
            <c:numRef>
              <c:f>'IV.D. Population and Area'!$AA$29:$AA$198</c:f>
              <c:numCache>
                <c:formatCode>0</c:formatCode>
                <c:ptCount val="170"/>
                <c:pt idx="0">
                  <c:v>2767008.7973924051</c:v>
                </c:pt>
                <c:pt idx="1">
                  <c:v>765706.76259493665</c:v>
                </c:pt>
                <c:pt idx="4">
                  <c:v>730366.94050632906</c:v>
                </c:pt>
                <c:pt idx="5">
                  <c:v>184151.42263291139</c:v>
                </c:pt>
                <c:pt idx="6">
                  <c:v>575990.79113924049</c:v>
                </c:pt>
                <c:pt idx="8">
                  <c:v>4256492.3164556958</c:v>
                </c:pt>
                <c:pt idx="10">
                  <c:v>289853.43037974683</c:v>
                </c:pt>
                <c:pt idx="11">
                  <c:v>347143.54484810127</c:v>
                </c:pt>
                <c:pt idx="13">
                  <c:v>3958406.1992658228</c:v>
                </c:pt>
                <c:pt idx="15">
                  <c:v>353557.48101265822</c:v>
                </c:pt>
                <c:pt idx="18">
                  <c:v>3833761.7920632907</c:v>
                </c:pt>
                <c:pt idx="19">
                  <c:v>1144549.4430379746</c:v>
                </c:pt>
                <c:pt idx="23">
                  <c:v>1318833.1082278481</c:v>
                </c:pt>
                <c:pt idx="24">
                  <c:v>892265.47651898733</c:v>
                </c:pt>
                <c:pt idx="29">
                  <c:v>6952375.5413164552</c:v>
                </c:pt>
                <c:pt idx="32">
                  <c:v>491582.92405063286</c:v>
                </c:pt>
                <c:pt idx="36">
                  <c:v>786884.11249367089</c:v>
                </c:pt>
                <c:pt idx="37">
                  <c:v>972135.49173417711</c:v>
                </c:pt>
                <c:pt idx="41">
                  <c:v>418323.2658227848</c:v>
                </c:pt>
                <c:pt idx="42">
                  <c:v>1351306.2480379746</c:v>
                </c:pt>
                <c:pt idx="43">
                  <c:v>783453.64936708857</c:v>
                </c:pt>
                <c:pt idx="47">
                  <c:v>1488632.0082531644</c:v>
                </c:pt>
                <c:pt idx="48">
                  <c:v>2425637.9012658228</c:v>
                </c:pt>
                <c:pt idx="58">
                  <c:v>847733.15992405056</c:v>
                </c:pt>
                <c:pt idx="59">
                  <c:v>767633.81012658228</c:v>
                </c:pt>
                <c:pt idx="60">
                  <c:v>498484.19620253163</c:v>
                </c:pt>
                <c:pt idx="62">
                  <c:v>119445.09493670885</c:v>
                </c:pt>
                <c:pt idx="63">
                  <c:v>1212500.4303797467</c:v>
                </c:pt>
                <c:pt idx="65">
                  <c:v>754217.73706329113</c:v>
                </c:pt>
                <c:pt idx="66">
                  <c:v>119531.09540506329</c:v>
                </c:pt>
                <c:pt idx="70">
                  <c:v>2651734.1943037971</c:v>
                </c:pt>
                <c:pt idx="72">
                  <c:v>530965.45827911387</c:v>
                </c:pt>
                <c:pt idx="74">
                  <c:v>535470.76799999992</c:v>
                </c:pt>
                <c:pt idx="76">
                  <c:v>47665.494151898733</c:v>
                </c:pt>
                <c:pt idx="78">
                  <c:v>1331635.4989367088</c:v>
                </c:pt>
                <c:pt idx="80">
                  <c:v>53178.017999999996</c:v>
                </c:pt>
                <c:pt idx="81">
                  <c:v>5068301.9128405061</c:v>
                </c:pt>
                <c:pt idx="88">
                  <c:v>7275871.080835443</c:v>
                </c:pt>
                <c:pt idx="89">
                  <c:v>90582.91306329114</c:v>
                </c:pt>
                <c:pt idx="92">
                  <c:v>213408.56962025314</c:v>
                </c:pt>
                <c:pt idx="93">
                  <c:v>2259514.7249620254</c:v>
                </c:pt>
                <c:pt idx="95">
                  <c:v>1503881.6962405061</c:v>
                </c:pt>
                <c:pt idx="96">
                  <c:v>4997698.501177215</c:v>
                </c:pt>
                <c:pt idx="99">
                  <c:v>757972.02911392401</c:v>
                </c:pt>
                <c:pt idx="101">
                  <c:v>4223082.7271012655</c:v>
                </c:pt>
                <c:pt idx="102">
                  <c:v>791069.46862025314</c:v>
                </c:pt>
                <c:pt idx="107">
                  <c:v>1105460.6375696203</c:v>
                </c:pt>
                <c:pt idx="111">
                  <c:v>106098.0345949367</c:v>
                </c:pt>
                <c:pt idx="112">
                  <c:v>3737410.4772151895</c:v>
                </c:pt>
                <c:pt idx="113">
                  <c:v>17736269.430379745</c:v>
                </c:pt>
                <c:pt idx="115">
                  <c:v>1035243.9094936708</c:v>
                </c:pt>
                <c:pt idx="117">
                  <c:v>3636785.6823037975</c:v>
                </c:pt>
                <c:pt idx="121">
                  <c:v>445312.54860759492</c:v>
                </c:pt>
                <c:pt idx="124">
                  <c:v>2575767.1139240507</c:v>
                </c:pt>
                <c:pt idx="126">
                  <c:v>77393.33975202532</c:v>
                </c:pt>
                <c:pt idx="127">
                  <c:v>370923.24768455693</c:v>
                </c:pt>
                <c:pt idx="128">
                  <c:v>418803.16967088607</c:v>
                </c:pt>
                <c:pt idx="132">
                  <c:v>1468000</c:v>
                </c:pt>
                <c:pt idx="134">
                  <c:v>615805.82278481009</c:v>
                </c:pt>
                <c:pt idx="135">
                  <c:v>408236.79113924049</c:v>
                </c:pt>
                <c:pt idx="136">
                  <c:v>434071.22565949365</c:v>
                </c:pt>
                <c:pt idx="140">
                  <c:v>567200.69388607587</c:v>
                </c:pt>
                <c:pt idx="142">
                  <c:v>3154598.0439873417</c:v>
                </c:pt>
                <c:pt idx="143">
                  <c:v>11273447.839101264</c:v>
                </c:pt>
                <c:pt idx="146">
                  <c:v>351860.82979746832</c:v>
                </c:pt>
                <c:pt idx="147">
                  <c:v>583422.93037974683</c:v>
                </c:pt>
                <c:pt idx="149">
                  <c:v>300927.23290936707</c:v>
                </c:pt>
                <c:pt idx="150">
                  <c:v>219778.97468354428</c:v>
                </c:pt>
                <c:pt idx="154">
                  <c:v>349310.54430379748</c:v>
                </c:pt>
                <c:pt idx="155">
                  <c:v>2256186.1883164556</c:v>
                </c:pt>
                <c:pt idx="160">
                  <c:v>192598.57974683543</c:v>
                </c:pt>
                <c:pt idx="161">
                  <c:v>1094671.2948607595</c:v>
                </c:pt>
                <c:pt idx="162">
                  <c:v>358914.99167088605</c:v>
                </c:pt>
                <c:pt idx="164">
                  <c:v>647657.84810126573</c:v>
                </c:pt>
              </c:numCache>
            </c:numRef>
          </c:yVal>
          <c:smooth val="0"/>
          <c:extLst>
            <c:ext xmlns:c16="http://schemas.microsoft.com/office/drawing/2014/chart" uri="{C3380CC4-5D6E-409C-BE32-E72D297353CC}">
              <c16:uniqueId val="{00000003-D357-4EA1-AE0E-39F7D2ACA11C}"/>
            </c:ext>
          </c:extLst>
        </c:ser>
        <c:ser>
          <c:idx val="3"/>
          <c:order val="3"/>
          <c:tx>
            <c:v>Region 5</c:v>
          </c:tx>
          <c:spPr>
            <a:ln w="25400" cap="rnd">
              <a:noFill/>
              <a:round/>
            </a:ln>
            <a:effectLst/>
          </c:spPr>
          <c:marker>
            <c:symbol val="circle"/>
            <c:size val="5"/>
            <c:spPr>
              <a:solidFill>
                <a:schemeClr val="accent4"/>
              </a:solidFill>
              <a:ln w="254000">
                <a:noFill/>
              </a:ln>
              <a:effectLst/>
            </c:spPr>
          </c:marker>
          <c:trendline>
            <c:spPr>
              <a:ln w="19050" cap="rnd">
                <a:solidFill>
                  <a:schemeClr val="accent4"/>
                </a:solidFill>
                <a:prstDash val="sysDot"/>
              </a:ln>
              <a:effectLst/>
            </c:spPr>
            <c:trendlineType val="linear"/>
            <c:dispRSqr val="1"/>
            <c:dispEq val="1"/>
            <c:trendlineLbl>
              <c:layout>
                <c:manualLayout>
                  <c:x val="-0.47963589471597667"/>
                  <c:y val="-1.4222084561391637E-2"/>
                </c:manualLayout>
              </c:layout>
              <c:numFmt formatCode="0.00" sourceLinked="0"/>
              <c:spPr>
                <a:noFill/>
                <a:ln w="12700">
                  <a:solidFill>
                    <a:schemeClr val="accent4"/>
                  </a:solidFill>
                  <a:prstDash val="sysDash"/>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'IV.D. Population and Area'!$AI$29:$AI$198</c:f>
              <c:numCache>
                <c:formatCode>0</c:formatCode>
                <c:ptCount val="170"/>
                <c:pt idx="0">
                  <c:v>7.8</c:v>
                </c:pt>
                <c:pt idx="1">
                  <c:v>7.6</c:v>
                </c:pt>
                <c:pt idx="2">
                  <c:v>6.9</c:v>
                </c:pt>
                <c:pt idx="3">
                  <c:v>50</c:v>
                </c:pt>
                <c:pt idx="4">
                  <c:v>10.9</c:v>
                </c:pt>
                <c:pt idx="5">
                  <c:v>1.6</c:v>
                </c:pt>
                <c:pt idx="6">
                  <c:v>9.6999999999999993</c:v>
                </c:pt>
                <c:pt idx="7">
                  <c:v>148.80000000000001</c:v>
                </c:pt>
                <c:pt idx="8">
                  <c:v>6.6</c:v>
                </c:pt>
                <c:pt idx="9">
                  <c:v>30.7</c:v>
                </c:pt>
                <c:pt idx="10">
                  <c:v>2.5</c:v>
                </c:pt>
                <c:pt idx="11">
                  <c:v>6.1</c:v>
                </c:pt>
                <c:pt idx="12">
                  <c:v>10.5</c:v>
                </c:pt>
                <c:pt idx="13">
                  <c:v>5.7</c:v>
                </c:pt>
                <c:pt idx="14">
                  <c:v>6.3</c:v>
                </c:pt>
                <c:pt idx="15">
                  <c:v>2</c:v>
                </c:pt>
                <c:pt idx="16">
                  <c:v>12.2</c:v>
                </c:pt>
                <c:pt idx="17">
                  <c:v>10.5</c:v>
                </c:pt>
                <c:pt idx="18">
                  <c:v>17.399999999999999</c:v>
                </c:pt>
                <c:pt idx="19">
                  <c:v>13.7</c:v>
                </c:pt>
                <c:pt idx="20">
                  <c:v>14.9</c:v>
                </c:pt>
                <c:pt idx="21">
                  <c:v>3.9</c:v>
                </c:pt>
                <c:pt idx="22">
                  <c:v>37.700000000000003</c:v>
                </c:pt>
                <c:pt idx="23">
                  <c:v>18.7</c:v>
                </c:pt>
                <c:pt idx="24">
                  <c:v>8.6999999999999993</c:v>
                </c:pt>
                <c:pt idx="25">
                  <c:v>29.7</c:v>
                </c:pt>
                <c:pt idx="26">
                  <c:v>44.7</c:v>
                </c:pt>
                <c:pt idx="27">
                  <c:v>49.6</c:v>
                </c:pt>
                <c:pt idx="28">
                  <c:v>14.2</c:v>
                </c:pt>
                <c:pt idx="29">
                  <c:v>13.4</c:v>
                </c:pt>
                <c:pt idx="30">
                  <c:v>24.2</c:v>
                </c:pt>
                <c:pt idx="31">
                  <c:v>15.3</c:v>
                </c:pt>
                <c:pt idx="32">
                  <c:v>10</c:v>
                </c:pt>
                <c:pt idx="33">
                  <c:v>39.5</c:v>
                </c:pt>
                <c:pt idx="34">
                  <c:v>7.9</c:v>
                </c:pt>
                <c:pt idx="35">
                  <c:v>15.7</c:v>
                </c:pt>
                <c:pt idx="36">
                  <c:v>7</c:v>
                </c:pt>
                <c:pt idx="37">
                  <c:v>5.0999999999999996</c:v>
                </c:pt>
                <c:pt idx="38">
                  <c:v>6.6</c:v>
                </c:pt>
                <c:pt idx="39">
                  <c:v>6.5</c:v>
                </c:pt>
                <c:pt idx="40">
                  <c:v>1.7</c:v>
                </c:pt>
                <c:pt idx="41">
                  <c:v>14.9</c:v>
                </c:pt>
                <c:pt idx="42">
                  <c:v>12.4</c:v>
                </c:pt>
                <c:pt idx="43">
                  <c:v>6.7</c:v>
                </c:pt>
                <c:pt idx="44">
                  <c:v>12.7</c:v>
                </c:pt>
                <c:pt idx="45">
                  <c:v>14.5</c:v>
                </c:pt>
                <c:pt idx="46">
                  <c:v>11.2</c:v>
                </c:pt>
                <c:pt idx="47">
                  <c:v>9.6</c:v>
                </c:pt>
                <c:pt idx="48">
                  <c:v>5.5</c:v>
                </c:pt>
                <c:pt idx="49">
                  <c:v>42.2</c:v>
                </c:pt>
                <c:pt idx="50">
                  <c:v>18.8</c:v>
                </c:pt>
                <c:pt idx="51">
                  <c:v>37.1</c:v>
                </c:pt>
                <c:pt idx="52">
                  <c:v>27.7</c:v>
                </c:pt>
                <c:pt idx="53">
                  <c:v>43</c:v>
                </c:pt>
                <c:pt idx="54">
                  <c:v>9.1</c:v>
                </c:pt>
                <c:pt idx="55">
                  <c:v>114.4</c:v>
                </c:pt>
                <c:pt idx="56">
                  <c:v>22.4</c:v>
                </c:pt>
                <c:pt idx="57">
                  <c:v>18</c:v>
                </c:pt>
                <c:pt idx="58">
                  <c:v>5.8</c:v>
                </c:pt>
                <c:pt idx="59">
                  <c:v>30.4</c:v>
                </c:pt>
                <c:pt idx="60">
                  <c:v>19.399999999999999</c:v>
                </c:pt>
                <c:pt idx="61">
                  <c:v>3.5</c:v>
                </c:pt>
                <c:pt idx="62">
                  <c:v>0.9</c:v>
                </c:pt>
                <c:pt idx="63">
                  <c:v>6.1</c:v>
                </c:pt>
                <c:pt idx="64">
                  <c:v>27.7</c:v>
                </c:pt>
                <c:pt idx="65">
                  <c:v>1.4</c:v>
                </c:pt>
                <c:pt idx="66">
                  <c:v>1.7</c:v>
                </c:pt>
                <c:pt idx="67">
                  <c:v>18.8</c:v>
                </c:pt>
                <c:pt idx="68">
                  <c:v>26.9</c:v>
                </c:pt>
                <c:pt idx="69">
                  <c:v>4.2</c:v>
                </c:pt>
                <c:pt idx="70">
                  <c:v>9.1</c:v>
                </c:pt>
                <c:pt idx="71">
                  <c:v>65.599999999999994</c:v>
                </c:pt>
                <c:pt idx="72">
                  <c:v>8.8000000000000007</c:v>
                </c:pt>
                <c:pt idx="73">
                  <c:v>42.9</c:v>
                </c:pt>
                <c:pt idx="74">
                  <c:v>8.6</c:v>
                </c:pt>
                <c:pt idx="75">
                  <c:v>7.4</c:v>
                </c:pt>
                <c:pt idx="76">
                  <c:v>6.2</c:v>
                </c:pt>
                <c:pt idx="77">
                  <c:v>9.1</c:v>
                </c:pt>
                <c:pt idx="78">
                  <c:v>7.8</c:v>
                </c:pt>
                <c:pt idx="79">
                  <c:v>1.8</c:v>
                </c:pt>
                <c:pt idx="80">
                  <c:v>3.5</c:v>
                </c:pt>
                <c:pt idx="81">
                  <c:v>8.4</c:v>
                </c:pt>
                <c:pt idx="82">
                  <c:v>8.9</c:v>
                </c:pt>
                <c:pt idx="83">
                  <c:v>6.6</c:v>
                </c:pt>
                <c:pt idx="84">
                  <c:v>14.7</c:v>
                </c:pt>
                <c:pt idx="85">
                  <c:v>3.3</c:v>
                </c:pt>
                <c:pt idx="86">
                  <c:v>38</c:v>
                </c:pt>
                <c:pt idx="87">
                  <c:v>16.600000000000001</c:v>
                </c:pt>
                <c:pt idx="88">
                  <c:v>9.4</c:v>
                </c:pt>
                <c:pt idx="89">
                  <c:v>2</c:v>
                </c:pt>
                <c:pt idx="90">
                  <c:v>3.9</c:v>
                </c:pt>
                <c:pt idx="91">
                  <c:v>7.5</c:v>
                </c:pt>
                <c:pt idx="92">
                  <c:v>1.9</c:v>
                </c:pt>
                <c:pt idx="93">
                  <c:v>50.3</c:v>
                </c:pt>
                <c:pt idx="94">
                  <c:v>4</c:v>
                </c:pt>
                <c:pt idx="95">
                  <c:v>19.8</c:v>
                </c:pt>
                <c:pt idx="96">
                  <c:v>3.9</c:v>
                </c:pt>
                <c:pt idx="97">
                  <c:v>46.5</c:v>
                </c:pt>
                <c:pt idx="98">
                  <c:v>17.7</c:v>
                </c:pt>
                <c:pt idx="99">
                  <c:v>13.6</c:v>
                </c:pt>
                <c:pt idx="100">
                  <c:v>5.5</c:v>
                </c:pt>
                <c:pt idx="101">
                  <c:v>8.3000000000000007</c:v>
                </c:pt>
                <c:pt idx="102">
                  <c:v>7.7</c:v>
                </c:pt>
                <c:pt idx="103">
                  <c:v>51.3</c:v>
                </c:pt>
                <c:pt idx="104">
                  <c:v>33.6</c:v>
                </c:pt>
                <c:pt idx="105">
                  <c:v>7.3</c:v>
                </c:pt>
                <c:pt idx="106">
                  <c:v>23.8</c:v>
                </c:pt>
                <c:pt idx="107">
                  <c:v>9.6999999999999993</c:v>
                </c:pt>
                <c:pt idx="108">
                  <c:v>41.3</c:v>
                </c:pt>
                <c:pt idx="109">
                  <c:v>49.9</c:v>
                </c:pt>
                <c:pt idx="110">
                  <c:v>25.4</c:v>
                </c:pt>
                <c:pt idx="111">
                  <c:v>4.8</c:v>
                </c:pt>
                <c:pt idx="112">
                  <c:v>4.7</c:v>
                </c:pt>
                <c:pt idx="113">
                  <c:v>23</c:v>
                </c:pt>
                <c:pt idx="114">
                  <c:v>31.6</c:v>
                </c:pt>
                <c:pt idx="115">
                  <c:v>8.3000000000000007</c:v>
                </c:pt>
                <c:pt idx="116">
                  <c:v>6.6</c:v>
                </c:pt>
                <c:pt idx="117">
                  <c:v>23</c:v>
                </c:pt>
                <c:pt idx="118">
                  <c:v>39.1</c:v>
                </c:pt>
                <c:pt idx="119">
                  <c:v>34.9</c:v>
                </c:pt>
                <c:pt idx="120">
                  <c:v>40</c:v>
                </c:pt>
                <c:pt idx="121">
                  <c:v>13.5</c:v>
                </c:pt>
                <c:pt idx="122">
                  <c:v>12.9</c:v>
                </c:pt>
                <c:pt idx="123">
                  <c:v>36</c:v>
                </c:pt>
                <c:pt idx="124">
                  <c:v>6.2</c:v>
                </c:pt>
                <c:pt idx="125">
                  <c:v>22.3</c:v>
                </c:pt>
                <c:pt idx="126">
                  <c:v>3</c:v>
                </c:pt>
                <c:pt idx="127">
                  <c:v>3.6</c:v>
                </c:pt>
                <c:pt idx="128">
                  <c:v>5.2</c:v>
                </c:pt>
                <c:pt idx="129">
                  <c:v>97.9</c:v>
                </c:pt>
                <c:pt idx="130">
                  <c:v>23.6</c:v>
                </c:pt>
                <c:pt idx="131">
                  <c:v>61.5</c:v>
                </c:pt>
                <c:pt idx="132">
                  <c:v>21.8</c:v>
                </c:pt>
                <c:pt idx="133">
                  <c:v>18.399999999999999</c:v>
                </c:pt>
                <c:pt idx="134">
                  <c:v>15</c:v>
                </c:pt>
                <c:pt idx="135">
                  <c:v>2.4</c:v>
                </c:pt>
                <c:pt idx="136">
                  <c:v>4.0999999999999996</c:v>
                </c:pt>
                <c:pt idx="137">
                  <c:v>25.7</c:v>
                </c:pt>
                <c:pt idx="138">
                  <c:v>14.2</c:v>
                </c:pt>
                <c:pt idx="139">
                  <c:v>24.4</c:v>
                </c:pt>
                <c:pt idx="140">
                  <c:v>3.8</c:v>
                </c:pt>
                <c:pt idx="141">
                  <c:v>27.1</c:v>
                </c:pt>
                <c:pt idx="142">
                  <c:v>52.8</c:v>
                </c:pt>
                <c:pt idx="143">
                  <c:v>8.4</c:v>
                </c:pt>
                <c:pt idx="144">
                  <c:v>16.2</c:v>
                </c:pt>
                <c:pt idx="145">
                  <c:v>11.3</c:v>
                </c:pt>
                <c:pt idx="146">
                  <c:v>3</c:v>
                </c:pt>
                <c:pt idx="147">
                  <c:v>2.2000000000000002</c:v>
                </c:pt>
                <c:pt idx="148">
                  <c:v>3.5</c:v>
                </c:pt>
                <c:pt idx="149">
                  <c:v>2.8</c:v>
                </c:pt>
                <c:pt idx="150">
                  <c:v>3.4</c:v>
                </c:pt>
                <c:pt idx="151">
                  <c:v>3.1</c:v>
                </c:pt>
                <c:pt idx="152">
                  <c:v>61.7</c:v>
                </c:pt>
                <c:pt idx="153">
                  <c:v>37.299999999999997</c:v>
                </c:pt>
                <c:pt idx="154">
                  <c:v>4</c:v>
                </c:pt>
                <c:pt idx="155">
                  <c:v>20.5</c:v>
                </c:pt>
                <c:pt idx="156">
                  <c:v>11.1</c:v>
                </c:pt>
                <c:pt idx="157">
                  <c:v>15.6</c:v>
                </c:pt>
                <c:pt idx="158">
                  <c:v>2.1</c:v>
                </c:pt>
                <c:pt idx="159">
                  <c:v>18.7</c:v>
                </c:pt>
                <c:pt idx="160">
                  <c:v>9</c:v>
                </c:pt>
                <c:pt idx="161">
                  <c:v>16</c:v>
                </c:pt>
                <c:pt idx="162">
                  <c:v>5.2</c:v>
                </c:pt>
                <c:pt idx="163">
                  <c:v>10</c:v>
                </c:pt>
                <c:pt idx="164">
                  <c:v>14.6</c:v>
                </c:pt>
                <c:pt idx="165">
                  <c:v>23.7</c:v>
                </c:pt>
                <c:pt idx="166">
                  <c:v>19.3</c:v>
                </c:pt>
                <c:pt idx="167">
                  <c:v>28.4</c:v>
                </c:pt>
                <c:pt idx="168">
                  <c:v>#N/A</c:v>
                </c:pt>
                <c:pt idx="169">
                  <c:v>#N/A</c:v>
                </c:pt>
              </c:numCache>
            </c:numRef>
          </c:xVal>
          <c:yVal>
            <c:numRef>
              <c:f>'IV.D. Population and Area'!$AB$29:$AB$198</c:f>
              <c:numCache>
                <c:formatCode>0</c:formatCode>
                <c:ptCount val="170"/>
                <c:pt idx="7">
                  <c:v>26033100</c:v>
                </c:pt>
                <c:pt idx="28">
                  <c:v>4217208.1518987343</c:v>
                </c:pt>
                <c:pt idx="30">
                  <c:v>2146083.2924050633</c:v>
                </c:pt>
                <c:pt idx="49">
                  <c:v>966166.42218987341</c:v>
                </c:pt>
                <c:pt idx="52">
                  <c:v>875153.5067848101</c:v>
                </c:pt>
                <c:pt idx="55">
                  <c:v>10886431.928962024</c:v>
                </c:pt>
                <c:pt idx="119">
                  <c:v>1939277.1300375001</c:v>
                </c:pt>
                <c:pt idx="129">
                  <c:v>35256726.769277848</c:v>
                </c:pt>
                <c:pt idx="152">
                  <c:v>4952739.7339167688</c:v>
                </c:pt>
              </c:numCache>
            </c:numRef>
          </c:yVal>
          <c:smooth val="0"/>
          <c:extLst>
            <c:ext xmlns:c16="http://schemas.microsoft.com/office/drawing/2014/chart" uri="{C3380CC4-5D6E-409C-BE32-E72D297353CC}">
              <c16:uniqueId val="{00000005-D357-4EA1-AE0E-39F7D2ACA11C}"/>
            </c:ext>
          </c:extLst>
        </c:ser>
        <c:ser>
          <c:idx val="4"/>
          <c:order val="4"/>
          <c:tx>
            <c:v>Region 7</c:v>
          </c:tx>
          <c:spPr>
            <a:ln w="25400" cap="rnd">
              <a:noFill/>
              <a:round/>
            </a:ln>
            <a:effectLst/>
          </c:spPr>
          <c:marker>
            <c:symbol val="circle"/>
            <c:size val="5"/>
            <c:spPr>
              <a:solidFill>
                <a:schemeClr val="accent5"/>
              </a:solidFill>
              <a:ln w="254000">
                <a:noFill/>
              </a:ln>
              <a:effectLst/>
            </c:spPr>
          </c:marker>
          <c:xVal>
            <c:numRef>
              <c:f>'IV.D. Population and Area'!$AI$29:$AI$198</c:f>
              <c:numCache>
                <c:formatCode>0</c:formatCode>
                <c:ptCount val="170"/>
                <c:pt idx="0">
                  <c:v>7.8</c:v>
                </c:pt>
                <c:pt idx="1">
                  <c:v>7.6</c:v>
                </c:pt>
                <c:pt idx="2">
                  <c:v>6.9</c:v>
                </c:pt>
                <c:pt idx="3">
                  <c:v>50</c:v>
                </c:pt>
                <c:pt idx="4">
                  <c:v>10.9</c:v>
                </c:pt>
                <c:pt idx="5">
                  <c:v>1.6</c:v>
                </c:pt>
                <c:pt idx="6">
                  <c:v>9.6999999999999993</c:v>
                </c:pt>
                <c:pt idx="7">
                  <c:v>148.80000000000001</c:v>
                </c:pt>
                <c:pt idx="8">
                  <c:v>6.6</c:v>
                </c:pt>
                <c:pt idx="9">
                  <c:v>30.7</c:v>
                </c:pt>
                <c:pt idx="10">
                  <c:v>2.5</c:v>
                </c:pt>
                <c:pt idx="11">
                  <c:v>6.1</c:v>
                </c:pt>
                <c:pt idx="12">
                  <c:v>10.5</c:v>
                </c:pt>
                <c:pt idx="13">
                  <c:v>5.7</c:v>
                </c:pt>
                <c:pt idx="14">
                  <c:v>6.3</c:v>
                </c:pt>
                <c:pt idx="15">
                  <c:v>2</c:v>
                </c:pt>
                <c:pt idx="16">
                  <c:v>12.2</c:v>
                </c:pt>
                <c:pt idx="17">
                  <c:v>10.5</c:v>
                </c:pt>
                <c:pt idx="18">
                  <c:v>17.399999999999999</c:v>
                </c:pt>
                <c:pt idx="19">
                  <c:v>13.7</c:v>
                </c:pt>
                <c:pt idx="20">
                  <c:v>14.9</c:v>
                </c:pt>
                <c:pt idx="21">
                  <c:v>3.9</c:v>
                </c:pt>
                <c:pt idx="22">
                  <c:v>37.700000000000003</c:v>
                </c:pt>
                <c:pt idx="23">
                  <c:v>18.7</c:v>
                </c:pt>
                <c:pt idx="24">
                  <c:v>8.6999999999999993</c:v>
                </c:pt>
                <c:pt idx="25">
                  <c:v>29.7</c:v>
                </c:pt>
                <c:pt idx="26">
                  <c:v>44.7</c:v>
                </c:pt>
                <c:pt idx="27">
                  <c:v>49.6</c:v>
                </c:pt>
                <c:pt idx="28">
                  <c:v>14.2</c:v>
                </c:pt>
                <c:pt idx="29">
                  <c:v>13.4</c:v>
                </c:pt>
                <c:pt idx="30">
                  <c:v>24.2</c:v>
                </c:pt>
                <c:pt idx="31">
                  <c:v>15.3</c:v>
                </c:pt>
                <c:pt idx="32">
                  <c:v>10</c:v>
                </c:pt>
                <c:pt idx="33">
                  <c:v>39.5</c:v>
                </c:pt>
                <c:pt idx="34">
                  <c:v>7.9</c:v>
                </c:pt>
                <c:pt idx="35">
                  <c:v>15.7</c:v>
                </c:pt>
                <c:pt idx="36">
                  <c:v>7</c:v>
                </c:pt>
                <c:pt idx="37">
                  <c:v>5.0999999999999996</c:v>
                </c:pt>
                <c:pt idx="38">
                  <c:v>6.6</c:v>
                </c:pt>
                <c:pt idx="39">
                  <c:v>6.5</c:v>
                </c:pt>
                <c:pt idx="40">
                  <c:v>1.7</c:v>
                </c:pt>
                <c:pt idx="41">
                  <c:v>14.9</c:v>
                </c:pt>
                <c:pt idx="42">
                  <c:v>12.4</c:v>
                </c:pt>
                <c:pt idx="43">
                  <c:v>6.7</c:v>
                </c:pt>
                <c:pt idx="44">
                  <c:v>12.7</c:v>
                </c:pt>
                <c:pt idx="45">
                  <c:v>14.5</c:v>
                </c:pt>
                <c:pt idx="46">
                  <c:v>11.2</c:v>
                </c:pt>
                <c:pt idx="47">
                  <c:v>9.6</c:v>
                </c:pt>
                <c:pt idx="48">
                  <c:v>5.5</c:v>
                </c:pt>
                <c:pt idx="49">
                  <c:v>42.2</c:v>
                </c:pt>
                <c:pt idx="50">
                  <c:v>18.8</c:v>
                </c:pt>
                <c:pt idx="51">
                  <c:v>37.1</c:v>
                </c:pt>
                <c:pt idx="52">
                  <c:v>27.7</c:v>
                </c:pt>
                <c:pt idx="53">
                  <c:v>43</c:v>
                </c:pt>
                <c:pt idx="54">
                  <c:v>9.1</c:v>
                </c:pt>
                <c:pt idx="55">
                  <c:v>114.4</c:v>
                </c:pt>
                <c:pt idx="56">
                  <c:v>22.4</c:v>
                </c:pt>
                <c:pt idx="57">
                  <c:v>18</c:v>
                </c:pt>
                <c:pt idx="58">
                  <c:v>5.8</c:v>
                </c:pt>
                <c:pt idx="59">
                  <c:v>30.4</c:v>
                </c:pt>
                <c:pt idx="60">
                  <c:v>19.399999999999999</c:v>
                </c:pt>
                <c:pt idx="61">
                  <c:v>3.5</c:v>
                </c:pt>
                <c:pt idx="62">
                  <c:v>0.9</c:v>
                </c:pt>
                <c:pt idx="63">
                  <c:v>6.1</c:v>
                </c:pt>
                <c:pt idx="64">
                  <c:v>27.7</c:v>
                </c:pt>
                <c:pt idx="65">
                  <c:v>1.4</c:v>
                </c:pt>
                <c:pt idx="66">
                  <c:v>1.7</c:v>
                </c:pt>
                <c:pt idx="67">
                  <c:v>18.8</c:v>
                </c:pt>
                <c:pt idx="68">
                  <c:v>26.9</c:v>
                </c:pt>
                <c:pt idx="69">
                  <c:v>4.2</c:v>
                </c:pt>
                <c:pt idx="70">
                  <c:v>9.1</c:v>
                </c:pt>
                <c:pt idx="71">
                  <c:v>65.599999999999994</c:v>
                </c:pt>
                <c:pt idx="72">
                  <c:v>8.8000000000000007</c:v>
                </c:pt>
                <c:pt idx="73">
                  <c:v>42.9</c:v>
                </c:pt>
                <c:pt idx="74">
                  <c:v>8.6</c:v>
                </c:pt>
                <c:pt idx="75">
                  <c:v>7.4</c:v>
                </c:pt>
                <c:pt idx="76">
                  <c:v>6.2</c:v>
                </c:pt>
                <c:pt idx="77">
                  <c:v>9.1</c:v>
                </c:pt>
                <c:pt idx="78">
                  <c:v>7.8</c:v>
                </c:pt>
                <c:pt idx="79">
                  <c:v>1.8</c:v>
                </c:pt>
                <c:pt idx="80">
                  <c:v>3.5</c:v>
                </c:pt>
                <c:pt idx="81">
                  <c:v>8.4</c:v>
                </c:pt>
                <c:pt idx="82">
                  <c:v>8.9</c:v>
                </c:pt>
                <c:pt idx="83">
                  <c:v>6.6</c:v>
                </c:pt>
                <c:pt idx="84">
                  <c:v>14.7</c:v>
                </c:pt>
                <c:pt idx="85">
                  <c:v>3.3</c:v>
                </c:pt>
                <c:pt idx="86">
                  <c:v>38</c:v>
                </c:pt>
                <c:pt idx="87">
                  <c:v>16.600000000000001</c:v>
                </c:pt>
                <c:pt idx="88">
                  <c:v>9.4</c:v>
                </c:pt>
                <c:pt idx="89">
                  <c:v>2</c:v>
                </c:pt>
                <c:pt idx="90">
                  <c:v>3.9</c:v>
                </c:pt>
                <c:pt idx="91">
                  <c:v>7.5</c:v>
                </c:pt>
                <c:pt idx="92">
                  <c:v>1.9</c:v>
                </c:pt>
                <c:pt idx="93">
                  <c:v>50.3</c:v>
                </c:pt>
                <c:pt idx="94">
                  <c:v>4</c:v>
                </c:pt>
                <c:pt idx="95">
                  <c:v>19.8</c:v>
                </c:pt>
                <c:pt idx="96">
                  <c:v>3.9</c:v>
                </c:pt>
                <c:pt idx="97">
                  <c:v>46.5</c:v>
                </c:pt>
                <c:pt idx="98">
                  <c:v>17.7</c:v>
                </c:pt>
                <c:pt idx="99">
                  <c:v>13.6</c:v>
                </c:pt>
                <c:pt idx="100">
                  <c:v>5.5</c:v>
                </c:pt>
                <c:pt idx="101">
                  <c:v>8.3000000000000007</c:v>
                </c:pt>
                <c:pt idx="102">
                  <c:v>7.7</c:v>
                </c:pt>
                <c:pt idx="103">
                  <c:v>51.3</c:v>
                </c:pt>
                <c:pt idx="104">
                  <c:v>33.6</c:v>
                </c:pt>
                <c:pt idx="105">
                  <c:v>7.3</c:v>
                </c:pt>
                <c:pt idx="106">
                  <c:v>23.8</c:v>
                </c:pt>
                <c:pt idx="107">
                  <c:v>9.6999999999999993</c:v>
                </c:pt>
                <c:pt idx="108">
                  <c:v>41.3</c:v>
                </c:pt>
                <c:pt idx="109">
                  <c:v>49.9</c:v>
                </c:pt>
                <c:pt idx="110">
                  <c:v>25.4</c:v>
                </c:pt>
                <c:pt idx="111">
                  <c:v>4.8</c:v>
                </c:pt>
                <c:pt idx="112">
                  <c:v>4.7</c:v>
                </c:pt>
                <c:pt idx="113">
                  <c:v>23</c:v>
                </c:pt>
                <c:pt idx="114">
                  <c:v>31.6</c:v>
                </c:pt>
                <c:pt idx="115">
                  <c:v>8.3000000000000007</c:v>
                </c:pt>
                <c:pt idx="116">
                  <c:v>6.6</c:v>
                </c:pt>
                <c:pt idx="117">
                  <c:v>23</c:v>
                </c:pt>
                <c:pt idx="118">
                  <c:v>39.1</c:v>
                </c:pt>
                <c:pt idx="119">
                  <c:v>34.9</c:v>
                </c:pt>
                <c:pt idx="120">
                  <c:v>40</c:v>
                </c:pt>
                <c:pt idx="121">
                  <c:v>13.5</c:v>
                </c:pt>
                <c:pt idx="122">
                  <c:v>12.9</c:v>
                </c:pt>
                <c:pt idx="123">
                  <c:v>36</c:v>
                </c:pt>
                <c:pt idx="124">
                  <c:v>6.2</c:v>
                </c:pt>
                <c:pt idx="125">
                  <c:v>22.3</c:v>
                </c:pt>
                <c:pt idx="126">
                  <c:v>3</c:v>
                </c:pt>
                <c:pt idx="127">
                  <c:v>3.6</c:v>
                </c:pt>
                <c:pt idx="128">
                  <c:v>5.2</c:v>
                </c:pt>
                <c:pt idx="129">
                  <c:v>97.9</c:v>
                </c:pt>
                <c:pt idx="130">
                  <c:v>23.6</c:v>
                </c:pt>
                <c:pt idx="131">
                  <c:v>61.5</c:v>
                </c:pt>
                <c:pt idx="132">
                  <c:v>21.8</c:v>
                </c:pt>
                <c:pt idx="133">
                  <c:v>18.399999999999999</c:v>
                </c:pt>
                <c:pt idx="134">
                  <c:v>15</c:v>
                </c:pt>
                <c:pt idx="135">
                  <c:v>2.4</c:v>
                </c:pt>
                <c:pt idx="136">
                  <c:v>4.0999999999999996</c:v>
                </c:pt>
                <c:pt idx="137">
                  <c:v>25.7</c:v>
                </c:pt>
                <c:pt idx="138">
                  <c:v>14.2</c:v>
                </c:pt>
                <c:pt idx="139">
                  <c:v>24.4</c:v>
                </c:pt>
                <c:pt idx="140">
                  <c:v>3.8</c:v>
                </c:pt>
                <c:pt idx="141">
                  <c:v>27.1</c:v>
                </c:pt>
                <c:pt idx="142">
                  <c:v>52.8</c:v>
                </c:pt>
                <c:pt idx="143">
                  <c:v>8.4</c:v>
                </c:pt>
                <c:pt idx="144">
                  <c:v>16.2</c:v>
                </c:pt>
                <c:pt idx="145">
                  <c:v>11.3</c:v>
                </c:pt>
                <c:pt idx="146">
                  <c:v>3</c:v>
                </c:pt>
                <c:pt idx="147">
                  <c:v>2.2000000000000002</c:v>
                </c:pt>
                <c:pt idx="148">
                  <c:v>3.5</c:v>
                </c:pt>
                <c:pt idx="149">
                  <c:v>2.8</c:v>
                </c:pt>
                <c:pt idx="150">
                  <c:v>3.4</c:v>
                </c:pt>
                <c:pt idx="151">
                  <c:v>3.1</c:v>
                </c:pt>
                <c:pt idx="152">
                  <c:v>61.7</c:v>
                </c:pt>
                <c:pt idx="153">
                  <c:v>37.299999999999997</c:v>
                </c:pt>
                <c:pt idx="154">
                  <c:v>4</c:v>
                </c:pt>
                <c:pt idx="155">
                  <c:v>20.5</c:v>
                </c:pt>
                <c:pt idx="156">
                  <c:v>11.1</c:v>
                </c:pt>
                <c:pt idx="157">
                  <c:v>15.6</c:v>
                </c:pt>
                <c:pt idx="158">
                  <c:v>2.1</c:v>
                </c:pt>
                <c:pt idx="159">
                  <c:v>18.7</c:v>
                </c:pt>
                <c:pt idx="160">
                  <c:v>9</c:v>
                </c:pt>
                <c:pt idx="161">
                  <c:v>16</c:v>
                </c:pt>
                <c:pt idx="162">
                  <c:v>5.2</c:v>
                </c:pt>
                <c:pt idx="163">
                  <c:v>10</c:v>
                </c:pt>
                <c:pt idx="164">
                  <c:v>14.6</c:v>
                </c:pt>
                <c:pt idx="165">
                  <c:v>23.7</c:v>
                </c:pt>
                <c:pt idx="166">
                  <c:v>19.3</c:v>
                </c:pt>
                <c:pt idx="167">
                  <c:v>28.4</c:v>
                </c:pt>
                <c:pt idx="168">
                  <c:v>#N/A</c:v>
                </c:pt>
                <c:pt idx="169">
                  <c:v>#N/A</c:v>
                </c:pt>
              </c:numCache>
            </c:numRef>
          </c:xVal>
          <c:yVal>
            <c:numRef>
              <c:f>'IV.D. Population and Area'!$AC$29:$AC$198</c:f>
              <c:numCache>
                <c:formatCode>0</c:formatCode>
                <c:ptCount val="170"/>
                <c:pt idx="46">
                  <c:v>153760.34354430379</c:v>
                </c:pt>
              </c:numCache>
            </c:numRef>
          </c:yVal>
          <c:smooth val="0"/>
          <c:extLst>
            <c:ext xmlns:c16="http://schemas.microsoft.com/office/drawing/2014/chart" uri="{C3380CC4-5D6E-409C-BE32-E72D297353CC}">
              <c16:uniqueId val="{00000006-D357-4EA1-AE0E-39F7D2ACA11C}"/>
            </c:ext>
          </c:extLst>
        </c:ser>
        <c:ser>
          <c:idx val="5"/>
          <c:order val="5"/>
          <c:tx>
            <c:v>Region 8</c:v>
          </c:tx>
          <c:spPr>
            <a:ln w="25400" cap="rnd">
              <a:noFill/>
              <a:round/>
            </a:ln>
            <a:effectLst/>
          </c:spPr>
          <c:marker>
            <c:symbol val="circle"/>
            <c:size val="5"/>
            <c:spPr>
              <a:solidFill>
                <a:schemeClr val="accent6"/>
              </a:solidFill>
              <a:ln w="254000">
                <a:noFill/>
              </a:ln>
              <a:effectLst/>
            </c:spPr>
          </c:marker>
          <c:trendline>
            <c:spPr>
              <a:ln w="19050" cap="rnd">
                <a:solidFill>
                  <a:schemeClr val="accent6"/>
                </a:solidFill>
                <a:prstDash val="sysDot"/>
              </a:ln>
              <a:effectLst/>
            </c:spPr>
            <c:trendlineType val="linear"/>
            <c:dispRSqr val="1"/>
            <c:dispEq val="1"/>
            <c:trendlineLbl>
              <c:layout>
                <c:manualLayout>
                  <c:x val="-0.26849530961407603"/>
                  <c:y val="0.32005650588685891"/>
                </c:manualLayout>
              </c:layout>
              <c:numFmt formatCode="0.00" sourceLinked="0"/>
              <c:spPr>
                <a:noFill/>
                <a:ln w="12700">
                  <a:solidFill>
                    <a:schemeClr val="accent6"/>
                  </a:solidFill>
                  <a:prstDash val="sysDash"/>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'IV.D. Population and Area'!$AI$29:$AI$198</c:f>
              <c:numCache>
                <c:formatCode>0</c:formatCode>
                <c:ptCount val="170"/>
                <c:pt idx="0">
                  <c:v>7.8</c:v>
                </c:pt>
                <c:pt idx="1">
                  <c:v>7.6</c:v>
                </c:pt>
                <c:pt idx="2">
                  <c:v>6.9</c:v>
                </c:pt>
                <c:pt idx="3">
                  <c:v>50</c:v>
                </c:pt>
                <c:pt idx="4">
                  <c:v>10.9</c:v>
                </c:pt>
                <c:pt idx="5">
                  <c:v>1.6</c:v>
                </c:pt>
                <c:pt idx="6">
                  <c:v>9.6999999999999993</c:v>
                </c:pt>
                <c:pt idx="7">
                  <c:v>148.80000000000001</c:v>
                </c:pt>
                <c:pt idx="8">
                  <c:v>6.6</c:v>
                </c:pt>
                <c:pt idx="9">
                  <c:v>30.7</c:v>
                </c:pt>
                <c:pt idx="10">
                  <c:v>2.5</c:v>
                </c:pt>
                <c:pt idx="11">
                  <c:v>6.1</c:v>
                </c:pt>
                <c:pt idx="12">
                  <c:v>10.5</c:v>
                </c:pt>
                <c:pt idx="13">
                  <c:v>5.7</c:v>
                </c:pt>
                <c:pt idx="14">
                  <c:v>6.3</c:v>
                </c:pt>
                <c:pt idx="15">
                  <c:v>2</c:v>
                </c:pt>
                <c:pt idx="16">
                  <c:v>12.2</c:v>
                </c:pt>
                <c:pt idx="17">
                  <c:v>10.5</c:v>
                </c:pt>
                <c:pt idx="18">
                  <c:v>17.399999999999999</c:v>
                </c:pt>
                <c:pt idx="19">
                  <c:v>13.7</c:v>
                </c:pt>
                <c:pt idx="20">
                  <c:v>14.9</c:v>
                </c:pt>
                <c:pt idx="21">
                  <c:v>3.9</c:v>
                </c:pt>
                <c:pt idx="22">
                  <c:v>37.700000000000003</c:v>
                </c:pt>
                <c:pt idx="23">
                  <c:v>18.7</c:v>
                </c:pt>
                <c:pt idx="24">
                  <c:v>8.6999999999999993</c:v>
                </c:pt>
                <c:pt idx="25">
                  <c:v>29.7</c:v>
                </c:pt>
                <c:pt idx="26">
                  <c:v>44.7</c:v>
                </c:pt>
                <c:pt idx="27">
                  <c:v>49.6</c:v>
                </c:pt>
                <c:pt idx="28">
                  <c:v>14.2</c:v>
                </c:pt>
                <c:pt idx="29">
                  <c:v>13.4</c:v>
                </c:pt>
                <c:pt idx="30">
                  <c:v>24.2</c:v>
                </c:pt>
                <c:pt idx="31">
                  <c:v>15.3</c:v>
                </c:pt>
                <c:pt idx="32">
                  <c:v>10</c:v>
                </c:pt>
                <c:pt idx="33">
                  <c:v>39.5</c:v>
                </c:pt>
                <c:pt idx="34">
                  <c:v>7.9</c:v>
                </c:pt>
                <c:pt idx="35">
                  <c:v>15.7</c:v>
                </c:pt>
                <c:pt idx="36">
                  <c:v>7</c:v>
                </c:pt>
                <c:pt idx="37">
                  <c:v>5.0999999999999996</c:v>
                </c:pt>
                <c:pt idx="38">
                  <c:v>6.6</c:v>
                </c:pt>
                <c:pt idx="39">
                  <c:v>6.5</c:v>
                </c:pt>
                <c:pt idx="40">
                  <c:v>1.7</c:v>
                </c:pt>
                <c:pt idx="41">
                  <c:v>14.9</c:v>
                </c:pt>
                <c:pt idx="42">
                  <c:v>12.4</c:v>
                </c:pt>
                <c:pt idx="43">
                  <c:v>6.7</c:v>
                </c:pt>
                <c:pt idx="44">
                  <c:v>12.7</c:v>
                </c:pt>
                <c:pt idx="45">
                  <c:v>14.5</c:v>
                </c:pt>
                <c:pt idx="46">
                  <c:v>11.2</c:v>
                </c:pt>
                <c:pt idx="47">
                  <c:v>9.6</c:v>
                </c:pt>
                <c:pt idx="48">
                  <c:v>5.5</c:v>
                </c:pt>
                <c:pt idx="49">
                  <c:v>42.2</c:v>
                </c:pt>
                <c:pt idx="50">
                  <c:v>18.8</c:v>
                </c:pt>
                <c:pt idx="51">
                  <c:v>37.1</c:v>
                </c:pt>
                <c:pt idx="52">
                  <c:v>27.7</c:v>
                </c:pt>
                <c:pt idx="53">
                  <c:v>43</c:v>
                </c:pt>
                <c:pt idx="54">
                  <c:v>9.1</c:v>
                </c:pt>
                <c:pt idx="55">
                  <c:v>114.4</c:v>
                </c:pt>
                <c:pt idx="56">
                  <c:v>22.4</c:v>
                </c:pt>
                <c:pt idx="57">
                  <c:v>18</c:v>
                </c:pt>
                <c:pt idx="58">
                  <c:v>5.8</c:v>
                </c:pt>
                <c:pt idx="59">
                  <c:v>30.4</c:v>
                </c:pt>
                <c:pt idx="60">
                  <c:v>19.399999999999999</c:v>
                </c:pt>
                <c:pt idx="61">
                  <c:v>3.5</c:v>
                </c:pt>
                <c:pt idx="62">
                  <c:v>0.9</c:v>
                </c:pt>
                <c:pt idx="63">
                  <c:v>6.1</c:v>
                </c:pt>
                <c:pt idx="64">
                  <c:v>27.7</c:v>
                </c:pt>
                <c:pt idx="65">
                  <c:v>1.4</c:v>
                </c:pt>
                <c:pt idx="66">
                  <c:v>1.7</c:v>
                </c:pt>
                <c:pt idx="67">
                  <c:v>18.8</c:v>
                </c:pt>
                <c:pt idx="68">
                  <c:v>26.9</c:v>
                </c:pt>
                <c:pt idx="69">
                  <c:v>4.2</c:v>
                </c:pt>
                <c:pt idx="70">
                  <c:v>9.1</c:v>
                </c:pt>
                <c:pt idx="71">
                  <c:v>65.599999999999994</c:v>
                </c:pt>
                <c:pt idx="72">
                  <c:v>8.8000000000000007</c:v>
                </c:pt>
                <c:pt idx="73">
                  <c:v>42.9</c:v>
                </c:pt>
                <c:pt idx="74">
                  <c:v>8.6</c:v>
                </c:pt>
                <c:pt idx="75">
                  <c:v>7.4</c:v>
                </c:pt>
                <c:pt idx="76">
                  <c:v>6.2</c:v>
                </c:pt>
                <c:pt idx="77">
                  <c:v>9.1</c:v>
                </c:pt>
                <c:pt idx="78">
                  <c:v>7.8</c:v>
                </c:pt>
                <c:pt idx="79">
                  <c:v>1.8</c:v>
                </c:pt>
                <c:pt idx="80">
                  <c:v>3.5</c:v>
                </c:pt>
                <c:pt idx="81">
                  <c:v>8.4</c:v>
                </c:pt>
                <c:pt idx="82">
                  <c:v>8.9</c:v>
                </c:pt>
                <c:pt idx="83">
                  <c:v>6.6</c:v>
                </c:pt>
                <c:pt idx="84">
                  <c:v>14.7</c:v>
                </c:pt>
                <c:pt idx="85">
                  <c:v>3.3</c:v>
                </c:pt>
                <c:pt idx="86">
                  <c:v>38</c:v>
                </c:pt>
                <c:pt idx="87">
                  <c:v>16.600000000000001</c:v>
                </c:pt>
                <c:pt idx="88">
                  <c:v>9.4</c:v>
                </c:pt>
                <c:pt idx="89">
                  <c:v>2</c:v>
                </c:pt>
                <c:pt idx="90">
                  <c:v>3.9</c:v>
                </c:pt>
                <c:pt idx="91">
                  <c:v>7.5</c:v>
                </c:pt>
                <c:pt idx="92">
                  <c:v>1.9</c:v>
                </c:pt>
                <c:pt idx="93">
                  <c:v>50.3</c:v>
                </c:pt>
                <c:pt idx="94">
                  <c:v>4</c:v>
                </c:pt>
                <c:pt idx="95">
                  <c:v>19.8</c:v>
                </c:pt>
                <c:pt idx="96">
                  <c:v>3.9</c:v>
                </c:pt>
                <c:pt idx="97">
                  <c:v>46.5</c:v>
                </c:pt>
                <c:pt idx="98">
                  <c:v>17.7</c:v>
                </c:pt>
                <c:pt idx="99">
                  <c:v>13.6</c:v>
                </c:pt>
                <c:pt idx="100">
                  <c:v>5.5</c:v>
                </c:pt>
                <c:pt idx="101">
                  <c:v>8.3000000000000007</c:v>
                </c:pt>
                <c:pt idx="102">
                  <c:v>7.7</c:v>
                </c:pt>
                <c:pt idx="103">
                  <c:v>51.3</c:v>
                </c:pt>
                <c:pt idx="104">
                  <c:v>33.6</c:v>
                </c:pt>
                <c:pt idx="105">
                  <c:v>7.3</c:v>
                </c:pt>
                <c:pt idx="106">
                  <c:v>23.8</c:v>
                </c:pt>
                <c:pt idx="107">
                  <c:v>9.6999999999999993</c:v>
                </c:pt>
                <c:pt idx="108">
                  <c:v>41.3</c:v>
                </c:pt>
                <c:pt idx="109">
                  <c:v>49.9</c:v>
                </c:pt>
                <c:pt idx="110">
                  <c:v>25.4</c:v>
                </c:pt>
                <c:pt idx="111">
                  <c:v>4.8</c:v>
                </c:pt>
                <c:pt idx="112">
                  <c:v>4.7</c:v>
                </c:pt>
                <c:pt idx="113">
                  <c:v>23</c:v>
                </c:pt>
                <c:pt idx="114">
                  <c:v>31.6</c:v>
                </c:pt>
                <c:pt idx="115">
                  <c:v>8.3000000000000007</c:v>
                </c:pt>
                <c:pt idx="116">
                  <c:v>6.6</c:v>
                </c:pt>
                <c:pt idx="117">
                  <c:v>23</c:v>
                </c:pt>
                <c:pt idx="118">
                  <c:v>39.1</c:v>
                </c:pt>
                <c:pt idx="119">
                  <c:v>34.9</c:v>
                </c:pt>
                <c:pt idx="120">
                  <c:v>40</c:v>
                </c:pt>
                <c:pt idx="121">
                  <c:v>13.5</c:v>
                </c:pt>
                <c:pt idx="122">
                  <c:v>12.9</c:v>
                </c:pt>
                <c:pt idx="123">
                  <c:v>36</c:v>
                </c:pt>
                <c:pt idx="124">
                  <c:v>6.2</c:v>
                </c:pt>
                <c:pt idx="125">
                  <c:v>22.3</c:v>
                </c:pt>
                <c:pt idx="126">
                  <c:v>3</c:v>
                </c:pt>
                <c:pt idx="127">
                  <c:v>3.6</c:v>
                </c:pt>
                <c:pt idx="128">
                  <c:v>5.2</c:v>
                </c:pt>
                <c:pt idx="129">
                  <c:v>97.9</c:v>
                </c:pt>
                <c:pt idx="130">
                  <c:v>23.6</c:v>
                </c:pt>
                <c:pt idx="131">
                  <c:v>61.5</c:v>
                </c:pt>
                <c:pt idx="132">
                  <c:v>21.8</c:v>
                </c:pt>
                <c:pt idx="133">
                  <c:v>18.399999999999999</c:v>
                </c:pt>
                <c:pt idx="134">
                  <c:v>15</c:v>
                </c:pt>
                <c:pt idx="135">
                  <c:v>2.4</c:v>
                </c:pt>
                <c:pt idx="136">
                  <c:v>4.0999999999999996</c:v>
                </c:pt>
                <c:pt idx="137">
                  <c:v>25.7</c:v>
                </c:pt>
                <c:pt idx="138">
                  <c:v>14.2</c:v>
                </c:pt>
                <c:pt idx="139">
                  <c:v>24.4</c:v>
                </c:pt>
                <c:pt idx="140">
                  <c:v>3.8</c:v>
                </c:pt>
                <c:pt idx="141">
                  <c:v>27.1</c:v>
                </c:pt>
                <c:pt idx="142">
                  <c:v>52.8</c:v>
                </c:pt>
                <c:pt idx="143">
                  <c:v>8.4</c:v>
                </c:pt>
                <c:pt idx="144">
                  <c:v>16.2</c:v>
                </c:pt>
                <c:pt idx="145">
                  <c:v>11.3</c:v>
                </c:pt>
                <c:pt idx="146">
                  <c:v>3</c:v>
                </c:pt>
                <c:pt idx="147">
                  <c:v>2.2000000000000002</c:v>
                </c:pt>
                <c:pt idx="148">
                  <c:v>3.5</c:v>
                </c:pt>
                <c:pt idx="149">
                  <c:v>2.8</c:v>
                </c:pt>
                <c:pt idx="150">
                  <c:v>3.4</c:v>
                </c:pt>
                <c:pt idx="151">
                  <c:v>3.1</c:v>
                </c:pt>
                <c:pt idx="152">
                  <c:v>61.7</c:v>
                </c:pt>
                <c:pt idx="153">
                  <c:v>37.299999999999997</c:v>
                </c:pt>
                <c:pt idx="154">
                  <c:v>4</c:v>
                </c:pt>
                <c:pt idx="155">
                  <c:v>20.5</c:v>
                </c:pt>
                <c:pt idx="156">
                  <c:v>11.1</c:v>
                </c:pt>
                <c:pt idx="157">
                  <c:v>15.6</c:v>
                </c:pt>
                <c:pt idx="158">
                  <c:v>2.1</c:v>
                </c:pt>
                <c:pt idx="159">
                  <c:v>18.7</c:v>
                </c:pt>
                <c:pt idx="160">
                  <c:v>9</c:v>
                </c:pt>
                <c:pt idx="161">
                  <c:v>16</c:v>
                </c:pt>
                <c:pt idx="162">
                  <c:v>5.2</c:v>
                </c:pt>
                <c:pt idx="163">
                  <c:v>10</c:v>
                </c:pt>
                <c:pt idx="164">
                  <c:v>14.6</c:v>
                </c:pt>
                <c:pt idx="165">
                  <c:v>23.7</c:v>
                </c:pt>
                <c:pt idx="166">
                  <c:v>19.3</c:v>
                </c:pt>
                <c:pt idx="167">
                  <c:v>28.4</c:v>
                </c:pt>
                <c:pt idx="168">
                  <c:v>#N/A</c:v>
                </c:pt>
                <c:pt idx="169">
                  <c:v>#N/A</c:v>
                </c:pt>
              </c:numCache>
            </c:numRef>
          </c:xVal>
          <c:yVal>
            <c:numRef>
              <c:f>'IV.D. Population and Area'!$AD$29:$AD$198</c:f>
              <c:numCache>
                <c:formatCode>0</c:formatCode>
                <c:ptCount val="170"/>
                <c:pt idx="3">
                  <c:v>2501287.4445906268</c:v>
                </c:pt>
                <c:pt idx="9">
                  <c:v>156745.14375000002</c:v>
                </c:pt>
                <c:pt idx="14">
                  <c:v>1704116.9961977187</c:v>
                </c:pt>
                <c:pt idx="16">
                  <c:v>671792.25298136647</c:v>
                </c:pt>
                <c:pt idx="17">
                  <c:v>368708.32580463012</c:v>
                </c:pt>
                <c:pt idx="20">
                  <c:v>66068.990253000011</c:v>
                </c:pt>
                <c:pt idx="21">
                  <c:v>143238.27317062503</c:v>
                </c:pt>
                <c:pt idx="25">
                  <c:v>546737.71346007613</c:v>
                </c:pt>
                <c:pt idx="26">
                  <c:v>427421.99477351917</c:v>
                </c:pt>
                <c:pt idx="31">
                  <c:v>627823.72881533101</c:v>
                </c:pt>
                <c:pt idx="33">
                  <c:v>1643463.9202875001</c:v>
                </c:pt>
                <c:pt idx="35">
                  <c:v>1545061.1006968643</c:v>
                </c:pt>
                <c:pt idx="38">
                  <c:v>776952.98252964427</c:v>
                </c:pt>
                <c:pt idx="44">
                  <c:v>145888.68152437502</c:v>
                </c:pt>
                <c:pt idx="53">
                  <c:v>1895990.1517870724</c:v>
                </c:pt>
                <c:pt idx="54">
                  <c:v>2609821.2514624507</c:v>
                </c:pt>
                <c:pt idx="56">
                  <c:v>2358936.1931620552</c:v>
                </c:pt>
                <c:pt idx="57">
                  <c:v>1683421.335889328</c:v>
                </c:pt>
                <c:pt idx="61">
                  <c:v>131400.92152091255</c:v>
                </c:pt>
                <c:pt idx="64">
                  <c:v>918723.73720199999</c:v>
                </c:pt>
                <c:pt idx="67">
                  <c:v>562900.77946768061</c:v>
                </c:pt>
                <c:pt idx="68">
                  <c:v>12523295.5053642</c:v>
                </c:pt>
                <c:pt idx="71">
                  <c:v>3572387.2623150763</c:v>
                </c:pt>
                <c:pt idx="73">
                  <c:v>533143.18125000002</c:v>
                </c:pt>
                <c:pt idx="75">
                  <c:v>2539451.2427837378</c:v>
                </c:pt>
                <c:pt idx="79">
                  <c:v>203038.22642574814</c:v>
                </c:pt>
                <c:pt idx="85">
                  <c:v>736687.48175030609</c:v>
                </c:pt>
                <c:pt idx="86">
                  <c:v>149294.57001712502</c:v>
                </c:pt>
                <c:pt idx="87">
                  <c:v>1510205.385</c:v>
                </c:pt>
                <c:pt idx="91">
                  <c:v>241531.74144486693</c:v>
                </c:pt>
                <c:pt idx="94">
                  <c:v>91329.48606271777</c:v>
                </c:pt>
                <c:pt idx="97">
                  <c:v>347654.43806250003</c:v>
                </c:pt>
                <c:pt idx="100">
                  <c:v>456243.04140684416</c:v>
                </c:pt>
                <c:pt idx="103">
                  <c:v>855936.47651250008</c:v>
                </c:pt>
                <c:pt idx="106">
                  <c:v>3001101.062676454</c:v>
                </c:pt>
                <c:pt idx="109">
                  <c:v>2467026.6813307987</c:v>
                </c:pt>
                <c:pt idx="110">
                  <c:v>2582509.839367589</c:v>
                </c:pt>
                <c:pt idx="114">
                  <c:v>189436.20450000002</c:v>
                </c:pt>
                <c:pt idx="116">
                  <c:v>447385.99375494069</c:v>
                </c:pt>
                <c:pt idx="120">
                  <c:v>1415205.912091255</c:v>
                </c:pt>
                <c:pt idx="123">
                  <c:v>1228933.0611406844</c:v>
                </c:pt>
                <c:pt idx="125">
                  <c:v>305497.25589353614</c:v>
                </c:pt>
                <c:pt idx="131">
                  <c:v>2054167.9285171104</c:v>
                </c:pt>
                <c:pt idx="137">
                  <c:v>1471263.0867708751</c:v>
                </c:pt>
                <c:pt idx="141">
                  <c:v>6201789.1281818179</c:v>
                </c:pt>
                <c:pt idx="145">
                  <c:v>567910.28063241101</c:v>
                </c:pt>
                <c:pt idx="151">
                  <c:v>140235.61868435913</c:v>
                </c:pt>
                <c:pt idx="156">
                  <c:v>961416.55021456804</c:v>
                </c:pt>
                <c:pt idx="157">
                  <c:v>238263.83399239546</c:v>
                </c:pt>
                <c:pt idx="158">
                  <c:v>125744.45793337097</c:v>
                </c:pt>
                <c:pt idx="163">
                  <c:v>614513.87634105026</c:v>
                </c:pt>
                <c:pt idx="166">
                  <c:v>566543.43127046863</c:v>
                </c:pt>
                <c:pt idx="167">
                  <c:v>265769.96197718632</c:v>
                </c:pt>
              </c:numCache>
            </c:numRef>
          </c:yVal>
          <c:smooth val="0"/>
          <c:extLst>
            <c:ext xmlns:c16="http://schemas.microsoft.com/office/drawing/2014/chart" uri="{C3380CC4-5D6E-409C-BE32-E72D297353CC}">
              <c16:uniqueId val="{00000008-D357-4EA1-AE0E-39F7D2ACA11C}"/>
            </c:ext>
          </c:extLst>
        </c:ser>
        <c:ser>
          <c:idx val="6"/>
          <c:order val="6"/>
          <c:tx>
            <c:v>Region 9</c:v>
          </c:tx>
          <c:spPr>
            <a:ln w="25400" cap="rnd">
              <a:noFill/>
              <a:round/>
            </a:ln>
            <a:effectLst/>
          </c:spPr>
          <c:marker>
            <c:symbol val="circle"/>
            <c:size val="5"/>
            <c:spPr>
              <a:solidFill>
                <a:schemeClr val="accent1">
                  <a:lumMod val="60000"/>
                </a:schemeClr>
              </a:solidFill>
              <a:ln w="254000">
                <a:noFill/>
              </a:ln>
              <a:effectLst/>
            </c:spPr>
          </c:marker>
          <c:trendline>
            <c:spPr>
              <a:ln w="19050" cap="rnd">
                <a:solidFill>
                  <a:schemeClr val="accent1">
                    <a:lumMod val="60000"/>
                  </a:schemeClr>
                </a:solidFill>
                <a:prstDash val="sysDot"/>
              </a:ln>
              <a:effectLst/>
            </c:spPr>
            <c:trendlineType val="linear"/>
            <c:dispRSqr val="1"/>
            <c:dispEq val="1"/>
            <c:trendlineLbl>
              <c:layout>
                <c:manualLayout>
                  <c:x val="-0.21979160591037231"/>
                  <c:y val="0.1677379241050333"/>
                </c:manualLayout>
              </c:layout>
              <c:numFmt formatCode="0.00" sourceLinked="0"/>
              <c:spPr>
                <a:noFill/>
                <a:ln w="12700">
                  <a:solidFill>
                    <a:srgbClr val="002060"/>
                  </a:solidFill>
                  <a:prstDash val="sysDash"/>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'IV.D. Population and Area'!$AI$29:$AI$198</c:f>
              <c:numCache>
                <c:formatCode>0</c:formatCode>
                <c:ptCount val="170"/>
                <c:pt idx="0">
                  <c:v>7.8</c:v>
                </c:pt>
                <c:pt idx="1">
                  <c:v>7.6</c:v>
                </c:pt>
                <c:pt idx="2">
                  <c:v>6.9</c:v>
                </c:pt>
                <c:pt idx="3">
                  <c:v>50</c:v>
                </c:pt>
                <c:pt idx="4">
                  <c:v>10.9</c:v>
                </c:pt>
                <c:pt idx="5">
                  <c:v>1.6</c:v>
                </c:pt>
                <c:pt idx="6">
                  <c:v>9.6999999999999993</c:v>
                </c:pt>
                <c:pt idx="7">
                  <c:v>148.80000000000001</c:v>
                </c:pt>
                <c:pt idx="8">
                  <c:v>6.6</c:v>
                </c:pt>
                <c:pt idx="9">
                  <c:v>30.7</c:v>
                </c:pt>
                <c:pt idx="10">
                  <c:v>2.5</c:v>
                </c:pt>
                <c:pt idx="11">
                  <c:v>6.1</c:v>
                </c:pt>
                <c:pt idx="12">
                  <c:v>10.5</c:v>
                </c:pt>
                <c:pt idx="13">
                  <c:v>5.7</c:v>
                </c:pt>
                <c:pt idx="14">
                  <c:v>6.3</c:v>
                </c:pt>
                <c:pt idx="15">
                  <c:v>2</c:v>
                </c:pt>
                <c:pt idx="16">
                  <c:v>12.2</c:v>
                </c:pt>
                <c:pt idx="17">
                  <c:v>10.5</c:v>
                </c:pt>
                <c:pt idx="18">
                  <c:v>17.399999999999999</c:v>
                </c:pt>
                <c:pt idx="19">
                  <c:v>13.7</c:v>
                </c:pt>
                <c:pt idx="20">
                  <c:v>14.9</c:v>
                </c:pt>
                <c:pt idx="21">
                  <c:v>3.9</c:v>
                </c:pt>
                <c:pt idx="22">
                  <c:v>37.700000000000003</c:v>
                </c:pt>
                <c:pt idx="23">
                  <c:v>18.7</c:v>
                </c:pt>
                <c:pt idx="24">
                  <c:v>8.6999999999999993</c:v>
                </c:pt>
                <c:pt idx="25">
                  <c:v>29.7</c:v>
                </c:pt>
                <c:pt idx="26">
                  <c:v>44.7</c:v>
                </c:pt>
                <c:pt idx="27">
                  <c:v>49.6</c:v>
                </c:pt>
                <c:pt idx="28">
                  <c:v>14.2</c:v>
                </c:pt>
                <c:pt idx="29">
                  <c:v>13.4</c:v>
                </c:pt>
                <c:pt idx="30">
                  <c:v>24.2</c:v>
                </c:pt>
                <c:pt idx="31">
                  <c:v>15.3</c:v>
                </c:pt>
                <c:pt idx="32">
                  <c:v>10</c:v>
                </c:pt>
                <c:pt idx="33">
                  <c:v>39.5</c:v>
                </c:pt>
                <c:pt idx="34">
                  <c:v>7.9</c:v>
                </c:pt>
                <c:pt idx="35">
                  <c:v>15.7</c:v>
                </c:pt>
                <c:pt idx="36">
                  <c:v>7</c:v>
                </c:pt>
                <c:pt idx="37">
                  <c:v>5.0999999999999996</c:v>
                </c:pt>
                <c:pt idx="38">
                  <c:v>6.6</c:v>
                </c:pt>
                <c:pt idx="39">
                  <c:v>6.5</c:v>
                </c:pt>
                <c:pt idx="40">
                  <c:v>1.7</c:v>
                </c:pt>
                <c:pt idx="41">
                  <c:v>14.9</c:v>
                </c:pt>
                <c:pt idx="42">
                  <c:v>12.4</c:v>
                </c:pt>
                <c:pt idx="43">
                  <c:v>6.7</c:v>
                </c:pt>
                <c:pt idx="44">
                  <c:v>12.7</c:v>
                </c:pt>
                <c:pt idx="45">
                  <c:v>14.5</c:v>
                </c:pt>
                <c:pt idx="46">
                  <c:v>11.2</c:v>
                </c:pt>
                <c:pt idx="47">
                  <c:v>9.6</c:v>
                </c:pt>
                <c:pt idx="48">
                  <c:v>5.5</c:v>
                </c:pt>
                <c:pt idx="49">
                  <c:v>42.2</c:v>
                </c:pt>
                <c:pt idx="50">
                  <c:v>18.8</c:v>
                </c:pt>
                <c:pt idx="51">
                  <c:v>37.1</c:v>
                </c:pt>
                <c:pt idx="52">
                  <c:v>27.7</c:v>
                </c:pt>
                <c:pt idx="53">
                  <c:v>43</c:v>
                </c:pt>
                <c:pt idx="54">
                  <c:v>9.1</c:v>
                </c:pt>
                <c:pt idx="55">
                  <c:v>114.4</c:v>
                </c:pt>
                <c:pt idx="56">
                  <c:v>22.4</c:v>
                </c:pt>
                <c:pt idx="57">
                  <c:v>18</c:v>
                </c:pt>
                <c:pt idx="58">
                  <c:v>5.8</c:v>
                </c:pt>
                <c:pt idx="59">
                  <c:v>30.4</c:v>
                </c:pt>
                <c:pt idx="60">
                  <c:v>19.399999999999999</c:v>
                </c:pt>
                <c:pt idx="61">
                  <c:v>3.5</c:v>
                </c:pt>
                <c:pt idx="62">
                  <c:v>0.9</c:v>
                </c:pt>
                <c:pt idx="63">
                  <c:v>6.1</c:v>
                </c:pt>
                <c:pt idx="64">
                  <c:v>27.7</c:v>
                </c:pt>
                <c:pt idx="65">
                  <c:v>1.4</c:v>
                </c:pt>
                <c:pt idx="66">
                  <c:v>1.7</c:v>
                </c:pt>
                <c:pt idx="67">
                  <c:v>18.8</c:v>
                </c:pt>
                <c:pt idx="68">
                  <c:v>26.9</c:v>
                </c:pt>
                <c:pt idx="69">
                  <c:v>4.2</c:v>
                </c:pt>
                <c:pt idx="70">
                  <c:v>9.1</c:v>
                </c:pt>
                <c:pt idx="71">
                  <c:v>65.599999999999994</c:v>
                </c:pt>
                <c:pt idx="72">
                  <c:v>8.8000000000000007</c:v>
                </c:pt>
                <c:pt idx="73">
                  <c:v>42.9</c:v>
                </c:pt>
                <c:pt idx="74">
                  <c:v>8.6</c:v>
                </c:pt>
                <c:pt idx="75">
                  <c:v>7.4</c:v>
                </c:pt>
                <c:pt idx="76">
                  <c:v>6.2</c:v>
                </c:pt>
                <c:pt idx="77">
                  <c:v>9.1</c:v>
                </c:pt>
                <c:pt idx="78">
                  <c:v>7.8</c:v>
                </c:pt>
                <c:pt idx="79">
                  <c:v>1.8</c:v>
                </c:pt>
                <c:pt idx="80">
                  <c:v>3.5</c:v>
                </c:pt>
                <c:pt idx="81">
                  <c:v>8.4</c:v>
                </c:pt>
                <c:pt idx="82">
                  <c:v>8.9</c:v>
                </c:pt>
                <c:pt idx="83">
                  <c:v>6.6</c:v>
                </c:pt>
                <c:pt idx="84">
                  <c:v>14.7</c:v>
                </c:pt>
                <c:pt idx="85">
                  <c:v>3.3</c:v>
                </c:pt>
                <c:pt idx="86">
                  <c:v>38</c:v>
                </c:pt>
                <c:pt idx="87">
                  <c:v>16.600000000000001</c:v>
                </c:pt>
                <c:pt idx="88">
                  <c:v>9.4</c:v>
                </c:pt>
                <c:pt idx="89">
                  <c:v>2</c:v>
                </c:pt>
                <c:pt idx="90">
                  <c:v>3.9</c:v>
                </c:pt>
                <c:pt idx="91">
                  <c:v>7.5</c:v>
                </c:pt>
                <c:pt idx="92">
                  <c:v>1.9</c:v>
                </c:pt>
                <c:pt idx="93">
                  <c:v>50.3</c:v>
                </c:pt>
                <c:pt idx="94">
                  <c:v>4</c:v>
                </c:pt>
                <c:pt idx="95">
                  <c:v>19.8</c:v>
                </c:pt>
                <c:pt idx="96">
                  <c:v>3.9</c:v>
                </c:pt>
                <c:pt idx="97">
                  <c:v>46.5</c:v>
                </c:pt>
                <c:pt idx="98">
                  <c:v>17.7</c:v>
                </c:pt>
                <c:pt idx="99">
                  <c:v>13.6</c:v>
                </c:pt>
                <c:pt idx="100">
                  <c:v>5.5</c:v>
                </c:pt>
                <c:pt idx="101">
                  <c:v>8.3000000000000007</c:v>
                </c:pt>
                <c:pt idx="102">
                  <c:v>7.7</c:v>
                </c:pt>
                <c:pt idx="103">
                  <c:v>51.3</c:v>
                </c:pt>
                <c:pt idx="104">
                  <c:v>33.6</c:v>
                </c:pt>
                <c:pt idx="105">
                  <c:v>7.3</c:v>
                </c:pt>
                <c:pt idx="106">
                  <c:v>23.8</c:v>
                </c:pt>
                <c:pt idx="107">
                  <c:v>9.6999999999999993</c:v>
                </c:pt>
                <c:pt idx="108">
                  <c:v>41.3</c:v>
                </c:pt>
                <c:pt idx="109">
                  <c:v>49.9</c:v>
                </c:pt>
                <c:pt idx="110">
                  <c:v>25.4</c:v>
                </c:pt>
                <c:pt idx="111">
                  <c:v>4.8</c:v>
                </c:pt>
                <c:pt idx="112">
                  <c:v>4.7</c:v>
                </c:pt>
                <c:pt idx="113">
                  <c:v>23</c:v>
                </c:pt>
                <c:pt idx="114">
                  <c:v>31.6</c:v>
                </c:pt>
                <c:pt idx="115">
                  <c:v>8.3000000000000007</c:v>
                </c:pt>
                <c:pt idx="116">
                  <c:v>6.6</c:v>
                </c:pt>
                <c:pt idx="117">
                  <c:v>23</c:v>
                </c:pt>
                <c:pt idx="118">
                  <c:v>39.1</c:v>
                </c:pt>
                <c:pt idx="119">
                  <c:v>34.9</c:v>
                </c:pt>
                <c:pt idx="120">
                  <c:v>40</c:v>
                </c:pt>
                <c:pt idx="121">
                  <c:v>13.5</c:v>
                </c:pt>
                <c:pt idx="122">
                  <c:v>12.9</c:v>
                </c:pt>
                <c:pt idx="123">
                  <c:v>36</c:v>
                </c:pt>
                <c:pt idx="124">
                  <c:v>6.2</c:v>
                </c:pt>
                <c:pt idx="125">
                  <c:v>22.3</c:v>
                </c:pt>
                <c:pt idx="126">
                  <c:v>3</c:v>
                </c:pt>
                <c:pt idx="127">
                  <c:v>3.6</c:v>
                </c:pt>
                <c:pt idx="128">
                  <c:v>5.2</c:v>
                </c:pt>
                <c:pt idx="129">
                  <c:v>97.9</c:v>
                </c:pt>
                <c:pt idx="130">
                  <c:v>23.6</c:v>
                </c:pt>
                <c:pt idx="131">
                  <c:v>61.5</c:v>
                </c:pt>
                <c:pt idx="132">
                  <c:v>21.8</c:v>
                </c:pt>
                <c:pt idx="133">
                  <c:v>18.399999999999999</c:v>
                </c:pt>
                <c:pt idx="134">
                  <c:v>15</c:v>
                </c:pt>
                <c:pt idx="135">
                  <c:v>2.4</c:v>
                </c:pt>
                <c:pt idx="136">
                  <c:v>4.0999999999999996</c:v>
                </c:pt>
                <c:pt idx="137">
                  <c:v>25.7</c:v>
                </c:pt>
                <c:pt idx="138">
                  <c:v>14.2</c:v>
                </c:pt>
                <c:pt idx="139">
                  <c:v>24.4</c:v>
                </c:pt>
                <c:pt idx="140">
                  <c:v>3.8</c:v>
                </c:pt>
                <c:pt idx="141">
                  <c:v>27.1</c:v>
                </c:pt>
                <c:pt idx="142">
                  <c:v>52.8</c:v>
                </c:pt>
                <c:pt idx="143">
                  <c:v>8.4</c:v>
                </c:pt>
                <c:pt idx="144">
                  <c:v>16.2</c:v>
                </c:pt>
                <c:pt idx="145">
                  <c:v>11.3</c:v>
                </c:pt>
                <c:pt idx="146">
                  <c:v>3</c:v>
                </c:pt>
                <c:pt idx="147">
                  <c:v>2.2000000000000002</c:v>
                </c:pt>
                <c:pt idx="148">
                  <c:v>3.5</c:v>
                </c:pt>
                <c:pt idx="149">
                  <c:v>2.8</c:v>
                </c:pt>
                <c:pt idx="150">
                  <c:v>3.4</c:v>
                </c:pt>
                <c:pt idx="151">
                  <c:v>3.1</c:v>
                </c:pt>
                <c:pt idx="152">
                  <c:v>61.7</c:v>
                </c:pt>
                <c:pt idx="153">
                  <c:v>37.299999999999997</c:v>
                </c:pt>
                <c:pt idx="154">
                  <c:v>4</c:v>
                </c:pt>
                <c:pt idx="155">
                  <c:v>20.5</c:v>
                </c:pt>
                <c:pt idx="156">
                  <c:v>11.1</c:v>
                </c:pt>
                <c:pt idx="157">
                  <c:v>15.6</c:v>
                </c:pt>
                <c:pt idx="158">
                  <c:v>2.1</c:v>
                </c:pt>
                <c:pt idx="159">
                  <c:v>18.7</c:v>
                </c:pt>
                <c:pt idx="160">
                  <c:v>9</c:v>
                </c:pt>
                <c:pt idx="161">
                  <c:v>16</c:v>
                </c:pt>
                <c:pt idx="162">
                  <c:v>5.2</c:v>
                </c:pt>
                <c:pt idx="163">
                  <c:v>10</c:v>
                </c:pt>
                <c:pt idx="164">
                  <c:v>14.6</c:v>
                </c:pt>
                <c:pt idx="165">
                  <c:v>23.7</c:v>
                </c:pt>
                <c:pt idx="166">
                  <c:v>19.3</c:v>
                </c:pt>
                <c:pt idx="167">
                  <c:v>28.4</c:v>
                </c:pt>
                <c:pt idx="168">
                  <c:v>#N/A</c:v>
                </c:pt>
                <c:pt idx="169">
                  <c:v>#N/A</c:v>
                </c:pt>
              </c:numCache>
            </c:numRef>
          </c:xVal>
          <c:yVal>
            <c:numRef>
              <c:f>'IV.D. Population and Area'!$AE$29:$AE$198</c:f>
              <c:numCache>
                <c:formatCode>0</c:formatCode>
                <c:ptCount val="170"/>
                <c:pt idx="2">
                  <c:v>782266.67833500006</c:v>
                </c:pt>
                <c:pt idx="22">
                  <c:v>3156292.5366462674</c:v>
                </c:pt>
                <c:pt idx="27">
                  <c:v>2859532.2200489598</c:v>
                </c:pt>
                <c:pt idx="34">
                  <c:v>1122087.410379437</c:v>
                </c:pt>
                <c:pt idx="39">
                  <c:v>2139535.9533047737</c:v>
                </c:pt>
                <c:pt idx="40">
                  <c:v>607991.21232558147</c:v>
                </c:pt>
                <c:pt idx="45">
                  <c:v>1599667.8540146882</c:v>
                </c:pt>
                <c:pt idx="50">
                  <c:v>2611487.2954589967</c:v>
                </c:pt>
                <c:pt idx="51">
                  <c:v>1953828.9900367199</c:v>
                </c:pt>
                <c:pt idx="69">
                  <c:v>5435158.7614075895</c:v>
                </c:pt>
                <c:pt idx="77">
                  <c:v>548931.33253365976</c:v>
                </c:pt>
                <c:pt idx="82">
                  <c:v>1898195.0288372096</c:v>
                </c:pt>
                <c:pt idx="83">
                  <c:v>699806.24126071006</c:v>
                </c:pt>
                <c:pt idx="84">
                  <c:v>1711704.7344675644</c:v>
                </c:pt>
                <c:pt idx="90">
                  <c:v>252529.46948041618</c:v>
                </c:pt>
                <c:pt idx="98">
                  <c:v>2715352.0716279075</c:v>
                </c:pt>
                <c:pt idx="104">
                  <c:v>1051240</c:v>
                </c:pt>
                <c:pt idx="105">
                  <c:v>699244.66575275408</c:v>
                </c:pt>
                <c:pt idx="108">
                  <c:v>4327077.8860465121</c:v>
                </c:pt>
                <c:pt idx="118">
                  <c:v>1995185.3816034275</c:v>
                </c:pt>
                <c:pt idx="122">
                  <c:v>373495.5750396573</c:v>
                </c:pt>
                <c:pt idx="133">
                  <c:v>3321750.21</c:v>
                </c:pt>
                <c:pt idx="138">
                  <c:v>4167322.2920485931</c:v>
                </c:pt>
                <c:pt idx="139">
                  <c:v>1140690.8413004293</c:v>
                </c:pt>
                <c:pt idx="144">
                  <c:v>806808.44842105277</c:v>
                </c:pt>
                <c:pt idx="148">
                  <c:v>491332.37037943705</c:v>
                </c:pt>
                <c:pt idx="153">
                  <c:v>1177814</c:v>
                </c:pt>
                <c:pt idx="159">
                  <c:v>4489168.9052386787</c:v>
                </c:pt>
                <c:pt idx="165">
                  <c:v>226102</c:v>
                </c:pt>
              </c:numCache>
            </c:numRef>
          </c:yVal>
          <c:smooth val="0"/>
          <c:extLst>
            <c:ext xmlns:c16="http://schemas.microsoft.com/office/drawing/2014/chart" uri="{C3380CC4-5D6E-409C-BE32-E72D297353CC}">
              <c16:uniqueId val="{0000000A-D357-4EA1-AE0E-39F7D2ACA11C}"/>
            </c:ext>
          </c:extLst>
        </c:ser>
        <c:dLbls>
          <c:showLegendKey val="0"/>
          <c:showVal val="0"/>
          <c:showCatName val="0"/>
          <c:showSerName val="0"/>
          <c:showPercent val="0"/>
          <c:showBubbleSize val="0"/>
        </c:dLbls>
        <c:axId val="2114256736"/>
        <c:axId val="126691199"/>
      </c:scatterChart>
      <c:valAx>
        <c:axId val="2114256736"/>
        <c:scaling>
          <c:orientation val="minMax"/>
          <c:max val="8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900"/>
                  <a:t>Total city area, in square miles</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26691199"/>
        <c:crosses val="autoZero"/>
        <c:crossBetween val="midCat"/>
      </c:valAx>
      <c:valAx>
        <c:axId val="126691199"/>
        <c:scaling>
          <c:orientation val="minMax"/>
          <c:max val="8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900"/>
                  <a:t>Expenditures</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114256736"/>
        <c:crosses val="autoZero"/>
        <c:crossBetween val="midCat"/>
      </c:valAx>
      <c:spPr>
        <a:noFill/>
        <a:ln>
          <a:noFill/>
        </a:ln>
        <a:effectLst/>
      </c:spPr>
    </c:plotArea>
    <c:legend>
      <c:legendPos val="r"/>
      <c:layout>
        <c:manualLayout>
          <c:xMode val="edge"/>
          <c:yMode val="edge"/>
          <c:x val="0.7926036502381647"/>
          <c:y val="0.19654717196989668"/>
          <c:w val="0.20466255573800604"/>
          <c:h val="0.6040535737235587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sz="1200" b="1"/>
              <a:t>Total Expenditures versus Population for Cities</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scatterChart>
        <c:scatterStyle val="lineMarker"/>
        <c:varyColors val="0"/>
        <c:ser>
          <c:idx val="0"/>
          <c:order val="0"/>
          <c:tx>
            <c:v>Region 2</c:v>
          </c:tx>
          <c:spPr>
            <a:ln w="25400" cap="rnd">
              <a:noFill/>
              <a:round/>
            </a:ln>
            <a:effectLst/>
          </c:spPr>
          <c:marker>
            <c:symbol val="circle"/>
            <c:size val="5"/>
            <c:spPr>
              <a:solidFill>
                <a:schemeClr val="accent1"/>
              </a:solidFill>
              <a:ln w="254000">
                <a:noFill/>
              </a:ln>
              <a:effectLst/>
            </c:spPr>
          </c:marker>
          <c:xVal>
            <c:numRef>
              <c:f>'IV.D. Population and Area'!$AJ$29:$AJ$198</c:f>
              <c:numCache>
                <c:formatCode>0</c:formatCode>
                <c:ptCount val="170"/>
                <c:pt idx="0">
                  <c:v>0.20472000000000001</c:v>
                </c:pt>
                <c:pt idx="1">
                  <c:v>0.84648999999999996</c:v>
                </c:pt>
                <c:pt idx="2">
                  <c:v>0.51783000000000001</c:v>
                </c:pt>
                <c:pt idx="3">
                  <c:v>3.5200499999999999</c:v>
                </c:pt>
                <c:pt idx="4">
                  <c:v>0.58609999999999995</c:v>
                </c:pt>
                <c:pt idx="5">
                  <c:v>0.16750000000000001</c:v>
                </c:pt>
                <c:pt idx="6">
                  <c:v>0.49958000000000002</c:v>
                </c:pt>
                <c:pt idx="7">
                  <c:v>3.8357899999999998</c:v>
                </c:pt>
                <c:pt idx="8">
                  <c:v>0.75812999999999997</c:v>
                </c:pt>
                <c:pt idx="9">
                  <c:v>0.49241000000000001</c:v>
                </c:pt>
                <c:pt idx="10">
                  <c:v>0.35727999999999999</c:v>
                </c:pt>
                <c:pt idx="11">
                  <c:v>0.77131000000000005</c:v>
                </c:pt>
                <c:pt idx="12">
                  <c:v>1.2164299999999999</c:v>
                </c:pt>
                <c:pt idx="13">
                  <c:v>0.34183000000000002</c:v>
                </c:pt>
                <c:pt idx="14">
                  <c:v>5.2810000000000003E-2</c:v>
                </c:pt>
                <c:pt idx="15">
                  <c:v>1.0840000000000001E-2</c:v>
                </c:pt>
                <c:pt idx="16">
                  <c:v>0.43601000000000001</c:v>
                </c:pt>
                <c:pt idx="17">
                  <c:v>0.82421</c:v>
                </c:pt>
                <c:pt idx="18">
                  <c:v>1.03695</c:v>
                </c:pt>
                <c:pt idx="19">
                  <c:v>0.23954</c:v>
                </c:pt>
                <c:pt idx="20">
                  <c:v>8.9370000000000005E-2</c:v>
                </c:pt>
                <c:pt idx="21">
                  <c:v>0.11267000000000001</c:v>
                </c:pt>
                <c:pt idx="22">
                  <c:v>1.1587700000000001</c:v>
                </c:pt>
                <c:pt idx="23">
                  <c:v>0.91908999999999996</c:v>
                </c:pt>
                <c:pt idx="24">
                  <c:v>0.50461999999999996</c:v>
                </c:pt>
                <c:pt idx="25">
                  <c:v>0.91583000000000003</c:v>
                </c:pt>
                <c:pt idx="26">
                  <c:v>0.83447000000000005</c:v>
                </c:pt>
                <c:pt idx="27">
                  <c:v>2.71651</c:v>
                </c:pt>
                <c:pt idx="28">
                  <c:v>0.87909999999999999</c:v>
                </c:pt>
                <c:pt idx="29">
                  <c:v>0.36477999999999999</c:v>
                </c:pt>
                <c:pt idx="30">
                  <c:v>1.12022</c:v>
                </c:pt>
                <c:pt idx="31">
                  <c:v>0.54740999999999995</c:v>
                </c:pt>
                <c:pt idx="32">
                  <c:v>0.96616999999999997</c:v>
                </c:pt>
                <c:pt idx="33">
                  <c:v>1.6881900000000001</c:v>
                </c:pt>
                <c:pt idx="34">
                  <c:v>0.21390000000000001</c:v>
                </c:pt>
                <c:pt idx="35">
                  <c:v>1.13615</c:v>
                </c:pt>
                <c:pt idx="36">
                  <c:v>0.47963</c:v>
                </c:pt>
                <c:pt idx="37">
                  <c:v>0.39213999999999999</c:v>
                </c:pt>
                <c:pt idx="38">
                  <c:v>0.48958000000000002</c:v>
                </c:pt>
                <c:pt idx="39">
                  <c:v>0.33729999999999999</c:v>
                </c:pt>
                <c:pt idx="40">
                  <c:v>4.3470000000000002E-2</c:v>
                </c:pt>
                <c:pt idx="41">
                  <c:v>0.56274999999999997</c:v>
                </c:pt>
                <c:pt idx="42">
                  <c:v>1.12269</c:v>
                </c:pt>
                <c:pt idx="43">
                  <c:v>0.21526999999999999</c:v>
                </c:pt>
                <c:pt idx="44">
                  <c:v>0.64822000000000002</c:v>
                </c:pt>
                <c:pt idx="45">
                  <c:v>1.03241</c:v>
                </c:pt>
                <c:pt idx="46">
                  <c:v>0.44119999999999998</c:v>
                </c:pt>
                <c:pt idx="47">
                  <c:v>1.1558600000000001</c:v>
                </c:pt>
                <c:pt idx="48">
                  <c:v>0.16719000000000001</c:v>
                </c:pt>
                <c:pt idx="49">
                  <c:v>1.7288600000000001</c:v>
                </c:pt>
                <c:pt idx="50">
                  <c:v>0.62904000000000004</c:v>
                </c:pt>
                <c:pt idx="51">
                  <c:v>1.52213</c:v>
                </c:pt>
                <c:pt idx="52">
                  <c:v>0.79022000000000003</c:v>
                </c:pt>
                <c:pt idx="53">
                  <c:v>2.1373899999999999</c:v>
                </c:pt>
                <c:pt idx="54">
                  <c:v>0.55813999999999997</c:v>
                </c:pt>
                <c:pt idx="55">
                  <c:v>5.3009300000000001</c:v>
                </c:pt>
                <c:pt idx="56">
                  <c:v>1.3964000000000001</c:v>
                </c:pt>
                <c:pt idx="57">
                  <c:v>1.7264600000000001</c:v>
                </c:pt>
                <c:pt idx="58">
                  <c:v>0.59721000000000002</c:v>
                </c:pt>
                <c:pt idx="59">
                  <c:v>2.0136099999999999</c:v>
                </c:pt>
                <c:pt idx="60">
                  <c:v>0.52002000000000004</c:v>
                </c:pt>
                <c:pt idx="61">
                  <c:v>0.12584000000000001</c:v>
                </c:pt>
                <c:pt idx="62">
                  <c:v>0.14315</c:v>
                </c:pt>
                <c:pt idx="63">
                  <c:v>0.86965000000000003</c:v>
                </c:pt>
                <c:pt idx="64">
                  <c:v>0.85275000000000001</c:v>
                </c:pt>
                <c:pt idx="65">
                  <c:v>0.19464999999999999</c:v>
                </c:pt>
                <c:pt idx="66">
                  <c:v>1.898E-2</c:v>
                </c:pt>
                <c:pt idx="67">
                  <c:v>0.55406</c:v>
                </c:pt>
                <c:pt idx="68">
                  <c:v>2.0064099999999998</c:v>
                </c:pt>
                <c:pt idx="69">
                  <c:v>0.27446999999999999</c:v>
                </c:pt>
                <c:pt idx="70">
                  <c:v>1.09419</c:v>
                </c:pt>
                <c:pt idx="71">
                  <c:v>2.82572</c:v>
                </c:pt>
                <c:pt idx="72">
                  <c:v>1.4630000000000001E-2</c:v>
                </c:pt>
                <c:pt idx="73">
                  <c:v>1.0839300000000001</c:v>
                </c:pt>
                <c:pt idx="74">
                  <c:v>0.20227000000000001</c:v>
                </c:pt>
                <c:pt idx="75">
                  <c:v>0.62182999999999999</c:v>
                </c:pt>
                <c:pt idx="76">
                  <c:v>5.3530000000000001E-2</c:v>
                </c:pt>
                <c:pt idx="77">
                  <c:v>0.59555999999999998</c:v>
                </c:pt>
                <c:pt idx="78">
                  <c:v>0.48682999999999998</c:v>
                </c:pt>
                <c:pt idx="79">
                  <c:v>0.15568000000000001</c:v>
                </c:pt>
                <c:pt idx="80">
                  <c:v>0.39907999999999999</c:v>
                </c:pt>
                <c:pt idx="81">
                  <c:v>0.32206000000000001</c:v>
                </c:pt>
                <c:pt idx="82">
                  <c:v>0.22991</c:v>
                </c:pt>
                <c:pt idx="83">
                  <c:v>0.31024000000000002</c:v>
                </c:pt>
                <c:pt idx="84">
                  <c:v>0.66266000000000003</c:v>
                </c:pt>
                <c:pt idx="85">
                  <c:v>0.16045999999999999</c:v>
                </c:pt>
                <c:pt idx="86">
                  <c:v>0.68183000000000005</c:v>
                </c:pt>
                <c:pt idx="87">
                  <c:v>0.85623000000000005</c:v>
                </c:pt>
                <c:pt idx="88">
                  <c:v>0.8014</c:v>
                </c:pt>
                <c:pt idx="89">
                  <c:v>0.32754</c:v>
                </c:pt>
                <c:pt idx="90">
                  <c:v>0.26968999999999999</c:v>
                </c:pt>
                <c:pt idx="91">
                  <c:v>0.24382000000000001</c:v>
                </c:pt>
                <c:pt idx="92">
                  <c:v>0.20521</c:v>
                </c:pt>
                <c:pt idx="93">
                  <c:v>4.67354</c:v>
                </c:pt>
                <c:pt idx="94">
                  <c:v>0.11529</c:v>
                </c:pt>
                <c:pt idx="95">
                  <c:v>0.12776999999999999</c:v>
                </c:pt>
                <c:pt idx="96">
                  <c:v>0.35532000000000002</c:v>
                </c:pt>
                <c:pt idx="97">
                  <c:v>0.92595000000000005</c:v>
                </c:pt>
                <c:pt idx="98">
                  <c:v>0.95201999999999998</c:v>
                </c:pt>
                <c:pt idx="99">
                  <c:v>0.36714999999999998</c:v>
                </c:pt>
                <c:pt idx="100">
                  <c:v>0.39437</c:v>
                </c:pt>
                <c:pt idx="101">
                  <c:v>0.62631999999999999</c:v>
                </c:pt>
                <c:pt idx="102">
                  <c:v>0.60401000000000005</c:v>
                </c:pt>
                <c:pt idx="103">
                  <c:v>2.0905</c:v>
                </c:pt>
                <c:pt idx="104">
                  <c:v>1.14985</c:v>
                </c:pt>
                <c:pt idx="105">
                  <c:v>0.61431000000000002</c:v>
                </c:pt>
                <c:pt idx="106">
                  <c:v>0.85326000000000002</c:v>
                </c:pt>
                <c:pt idx="107">
                  <c:v>1.0511999999999999</c:v>
                </c:pt>
                <c:pt idx="108">
                  <c:v>1.7607999999999999</c:v>
                </c:pt>
                <c:pt idx="109">
                  <c:v>1.81107</c:v>
                </c:pt>
                <c:pt idx="110">
                  <c:v>1.3948400000000001</c:v>
                </c:pt>
                <c:pt idx="111">
                  <c:v>0.13403999999999999</c:v>
                </c:pt>
                <c:pt idx="112">
                  <c:v>0.53681999999999996</c:v>
                </c:pt>
                <c:pt idx="113">
                  <c:v>1.41371</c:v>
                </c:pt>
                <c:pt idx="114">
                  <c:v>0.79132999999999998</c:v>
                </c:pt>
                <c:pt idx="115">
                  <c:v>0.62887999999999999</c:v>
                </c:pt>
                <c:pt idx="116">
                  <c:v>0.51671</c:v>
                </c:pt>
                <c:pt idx="117">
                  <c:v>1.5236099999999999</c:v>
                </c:pt>
                <c:pt idx="118">
                  <c:v>0.49703999999999998</c:v>
                </c:pt>
                <c:pt idx="119">
                  <c:v>0.74585000000000001</c:v>
                </c:pt>
                <c:pt idx="120">
                  <c:v>1.7775099999999999</c:v>
                </c:pt>
                <c:pt idx="121">
                  <c:v>0.41927999999999999</c:v>
                </c:pt>
                <c:pt idx="122">
                  <c:v>0.48325000000000001</c:v>
                </c:pt>
                <c:pt idx="123">
                  <c:v>0.71586000000000005</c:v>
                </c:pt>
                <c:pt idx="124">
                  <c:v>0.67412000000000005</c:v>
                </c:pt>
                <c:pt idx="125">
                  <c:v>1.0344</c:v>
                </c:pt>
                <c:pt idx="126">
                  <c:v>1.8669999999999999E-2</c:v>
                </c:pt>
                <c:pt idx="127">
                  <c:v>8.1409999999999996E-2</c:v>
                </c:pt>
                <c:pt idx="128">
                  <c:v>0.54412000000000005</c:v>
                </c:pt>
                <c:pt idx="129">
                  <c:v>5.0852899999999996</c:v>
                </c:pt>
                <c:pt idx="130">
                  <c:v>1.5625899999999999</c:v>
                </c:pt>
                <c:pt idx="131">
                  <c:v>2.1594099999999998</c:v>
                </c:pt>
                <c:pt idx="132">
                  <c:v>1.11128</c:v>
                </c:pt>
                <c:pt idx="133">
                  <c:v>0.64856999999999998</c:v>
                </c:pt>
                <c:pt idx="134">
                  <c:v>0.33982000000000001</c:v>
                </c:pt>
                <c:pt idx="135">
                  <c:v>0.24510000000000001</c:v>
                </c:pt>
                <c:pt idx="136">
                  <c:v>0.40334999999999999</c:v>
                </c:pt>
                <c:pt idx="137">
                  <c:v>0.48866999999999999</c:v>
                </c:pt>
                <c:pt idx="138">
                  <c:v>0.36013000000000001</c:v>
                </c:pt>
                <c:pt idx="139">
                  <c:v>0.96847000000000005</c:v>
                </c:pt>
                <c:pt idx="140">
                  <c:v>0.13186</c:v>
                </c:pt>
                <c:pt idx="141">
                  <c:v>3.3272499999999998</c:v>
                </c:pt>
                <c:pt idx="142">
                  <c:v>2.1008900000000001</c:v>
                </c:pt>
                <c:pt idx="143">
                  <c:v>0.91410999999999998</c:v>
                </c:pt>
                <c:pt idx="144">
                  <c:v>0.58115000000000006</c:v>
                </c:pt>
                <c:pt idx="145">
                  <c:v>0.24118999999999999</c:v>
                </c:pt>
                <c:pt idx="146">
                  <c:v>0.10917</c:v>
                </c:pt>
                <c:pt idx="147">
                  <c:v>0.11555</c:v>
                </c:pt>
                <c:pt idx="148">
                  <c:v>0.13378999999999999</c:v>
                </c:pt>
                <c:pt idx="149">
                  <c:v>0.20766999999999999</c:v>
                </c:pt>
                <c:pt idx="150">
                  <c:v>0.25611</c:v>
                </c:pt>
                <c:pt idx="151">
                  <c:v>0.38234000000000001</c:v>
                </c:pt>
                <c:pt idx="152">
                  <c:v>3.11178</c:v>
                </c:pt>
                <c:pt idx="153">
                  <c:v>1.1474200000000001</c:v>
                </c:pt>
                <c:pt idx="154">
                  <c:v>0.36120000000000002</c:v>
                </c:pt>
                <c:pt idx="155">
                  <c:v>1.4518200000000001</c:v>
                </c:pt>
                <c:pt idx="156">
                  <c:v>0.79795000000000005</c:v>
                </c:pt>
                <c:pt idx="157">
                  <c:v>0.77</c:v>
                </c:pt>
                <c:pt idx="158">
                  <c:v>5.8389999999999997E-2</c:v>
                </c:pt>
                <c:pt idx="159">
                  <c:v>1.01224</c:v>
                </c:pt>
                <c:pt idx="160">
                  <c:v>0.30005999999999999</c:v>
                </c:pt>
                <c:pt idx="161">
                  <c:v>1.06311</c:v>
                </c:pt>
                <c:pt idx="162">
                  <c:v>8.3519999999999997E-2</c:v>
                </c:pt>
                <c:pt idx="163">
                  <c:v>0.90937999999999997</c:v>
                </c:pt>
                <c:pt idx="164">
                  <c:v>0.86063999999999996</c:v>
                </c:pt>
                <c:pt idx="165">
                  <c:v>0.37280000000000002</c:v>
                </c:pt>
                <c:pt idx="166">
                  <c:v>0.67786999999999997</c:v>
                </c:pt>
                <c:pt idx="167">
                  <c:v>0.53681999999999996</c:v>
                </c:pt>
                <c:pt idx="168">
                  <c:v>#N/A</c:v>
                </c:pt>
                <c:pt idx="169">
                  <c:v>#N/A</c:v>
                </c:pt>
              </c:numCache>
            </c:numRef>
          </c:xVal>
          <c:yVal>
            <c:numRef>
              <c:f>'IV.D. Population and Area'!$Y$29:$Y$198</c:f>
              <c:numCache>
                <c:formatCode>0</c:formatCode>
                <c:ptCount val="170"/>
                <c:pt idx="12">
                  <c:v>6566244.7263157899</c:v>
                </c:pt>
              </c:numCache>
            </c:numRef>
          </c:yVal>
          <c:smooth val="0"/>
          <c:extLst>
            <c:ext xmlns:c16="http://schemas.microsoft.com/office/drawing/2014/chart" uri="{C3380CC4-5D6E-409C-BE32-E72D297353CC}">
              <c16:uniqueId val="{00000000-DF28-4F46-91CF-1E90655E45B2}"/>
            </c:ext>
          </c:extLst>
        </c:ser>
        <c:ser>
          <c:idx val="1"/>
          <c:order val="1"/>
          <c:tx>
            <c:v>Region 3</c:v>
          </c:tx>
          <c:spPr>
            <a:ln w="25400" cap="rnd">
              <a:noFill/>
              <a:round/>
            </a:ln>
            <a:effectLst/>
          </c:spPr>
          <c:marker>
            <c:symbol val="circle"/>
            <c:size val="5"/>
            <c:spPr>
              <a:solidFill>
                <a:schemeClr val="accent2"/>
              </a:solidFill>
              <a:ln w="254000">
                <a:noFill/>
              </a:ln>
              <a:effectLst/>
            </c:spPr>
          </c:marker>
          <c:xVal>
            <c:numRef>
              <c:f>'IV.D. Population and Area'!$AJ$29:$AJ$198</c:f>
              <c:numCache>
                <c:formatCode>0</c:formatCode>
                <c:ptCount val="170"/>
                <c:pt idx="0">
                  <c:v>0.20472000000000001</c:v>
                </c:pt>
                <c:pt idx="1">
                  <c:v>0.84648999999999996</c:v>
                </c:pt>
                <c:pt idx="2">
                  <c:v>0.51783000000000001</c:v>
                </c:pt>
                <c:pt idx="3">
                  <c:v>3.5200499999999999</c:v>
                </c:pt>
                <c:pt idx="4">
                  <c:v>0.58609999999999995</c:v>
                </c:pt>
                <c:pt idx="5">
                  <c:v>0.16750000000000001</c:v>
                </c:pt>
                <c:pt idx="6">
                  <c:v>0.49958000000000002</c:v>
                </c:pt>
                <c:pt idx="7">
                  <c:v>3.8357899999999998</c:v>
                </c:pt>
                <c:pt idx="8">
                  <c:v>0.75812999999999997</c:v>
                </c:pt>
                <c:pt idx="9">
                  <c:v>0.49241000000000001</c:v>
                </c:pt>
                <c:pt idx="10">
                  <c:v>0.35727999999999999</c:v>
                </c:pt>
                <c:pt idx="11">
                  <c:v>0.77131000000000005</c:v>
                </c:pt>
                <c:pt idx="12">
                  <c:v>1.2164299999999999</c:v>
                </c:pt>
                <c:pt idx="13">
                  <c:v>0.34183000000000002</c:v>
                </c:pt>
                <c:pt idx="14">
                  <c:v>5.2810000000000003E-2</c:v>
                </c:pt>
                <c:pt idx="15">
                  <c:v>1.0840000000000001E-2</c:v>
                </c:pt>
                <c:pt idx="16">
                  <c:v>0.43601000000000001</c:v>
                </c:pt>
                <c:pt idx="17">
                  <c:v>0.82421</c:v>
                </c:pt>
                <c:pt idx="18">
                  <c:v>1.03695</c:v>
                </c:pt>
                <c:pt idx="19">
                  <c:v>0.23954</c:v>
                </c:pt>
                <c:pt idx="20">
                  <c:v>8.9370000000000005E-2</c:v>
                </c:pt>
                <c:pt idx="21">
                  <c:v>0.11267000000000001</c:v>
                </c:pt>
                <c:pt idx="22">
                  <c:v>1.1587700000000001</c:v>
                </c:pt>
                <c:pt idx="23">
                  <c:v>0.91908999999999996</c:v>
                </c:pt>
                <c:pt idx="24">
                  <c:v>0.50461999999999996</c:v>
                </c:pt>
                <c:pt idx="25">
                  <c:v>0.91583000000000003</c:v>
                </c:pt>
                <c:pt idx="26">
                  <c:v>0.83447000000000005</c:v>
                </c:pt>
                <c:pt idx="27">
                  <c:v>2.71651</c:v>
                </c:pt>
                <c:pt idx="28">
                  <c:v>0.87909999999999999</c:v>
                </c:pt>
                <c:pt idx="29">
                  <c:v>0.36477999999999999</c:v>
                </c:pt>
                <c:pt idx="30">
                  <c:v>1.12022</c:v>
                </c:pt>
                <c:pt idx="31">
                  <c:v>0.54740999999999995</c:v>
                </c:pt>
                <c:pt idx="32">
                  <c:v>0.96616999999999997</c:v>
                </c:pt>
                <c:pt idx="33">
                  <c:v>1.6881900000000001</c:v>
                </c:pt>
                <c:pt idx="34">
                  <c:v>0.21390000000000001</c:v>
                </c:pt>
                <c:pt idx="35">
                  <c:v>1.13615</c:v>
                </c:pt>
                <c:pt idx="36">
                  <c:v>0.47963</c:v>
                </c:pt>
                <c:pt idx="37">
                  <c:v>0.39213999999999999</c:v>
                </c:pt>
                <c:pt idx="38">
                  <c:v>0.48958000000000002</c:v>
                </c:pt>
                <c:pt idx="39">
                  <c:v>0.33729999999999999</c:v>
                </c:pt>
                <c:pt idx="40">
                  <c:v>4.3470000000000002E-2</c:v>
                </c:pt>
                <c:pt idx="41">
                  <c:v>0.56274999999999997</c:v>
                </c:pt>
                <c:pt idx="42">
                  <c:v>1.12269</c:v>
                </c:pt>
                <c:pt idx="43">
                  <c:v>0.21526999999999999</c:v>
                </c:pt>
                <c:pt idx="44">
                  <c:v>0.64822000000000002</c:v>
                </c:pt>
                <c:pt idx="45">
                  <c:v>1.03241</c:v>
                </c:pt>
                <c:pt idx="46">
                  <c:v>0.44119999999999998</c:v>
                </c:pt>
                <c:pt idx="47">
                  <c:v>1.1558600000000001</c:v>
                </c:pt>
                <c:pt idx="48">
                  <c:v>0.16719000000000001</c:v>
                </c:pt>
                <c:pt idx="49">
                  <c:v>1.7288600000000001</c:v>
                </c:pt>
                <c:pt idx="50">
                  <c:v>0.62904000000000004</c:v>
                </c:pt>
                <c:pt idx="51">
                  <c:v>1.52213</c:v>
                </c:pt>
                <c:pt idx="52">
                  <c:v>0.79022000000000003</c:v>
                </c:pt>
                <c:pt idx="53">
                  <c:v>2.1373899999999999</c:v>
                </c:pt>
                <c:pt idx="54">
                  <c:v>0.55813999999999997</c:v>
                </c:pt>
                <c:pt idx="55">
                  <c:v>5.3009300000000001</c:v>
                </c:pt>
                <c:pt idx="56">
                  <c:v>1.3964000000000001</c:v>
                </c:pt>
                <c:pt idx="57">
                  <c:v>1.7264600000000001</c:v>
                </c:pt>
                <c:pt idx="58">
                  <c:v>0.59721000000000002</c:v>
                </c:pt>
                <c:pt idx="59">
                  <c:v>2.0136099999999999</c:v>
                </c:pt>
                <c:pt idx="60">
                  <c:v>0.52002000000000004</c:v>
                </c:pt>
                <c:pt idx="61">
                  <c:v>0.12584000000000001</c:v>
                </c:pt>
                <c:pt idx="62">
                  <c:v>0.14315</c:v>
                </c:pt>
                <c:pt idx="63">
                  <c:v>0.86965000000000003</c:v>
                </c:pt>
                <c:pt idx="64">
                  <c:v>0.85275000000000001</c:v>
                </c:pt>
                <c:pt idx="65">
                  <c:v>0.19464999999999999</c:v>
                </c:pt>
                <c:pt idx="66">
                  <c:v>1.898E-2</c:v>
                </c:pt>
                <c:pt idx="67">
                  <c:v>0.55406</c:v>
                </c:pt>
                <c:pt idx="68">
                  <c:v>2.0064099999999998</c:v>
                </c:pt>
                <c:pt idx="69">
                  <c:v>0.27446999999999999</c:v>
                </c:pt>
                <c:pt idx="70">
                  <c:v>1.09419</c:v>
                </c:pt>
                <c:pt idx="71">
                  <c:v>2.82572</c:v>
                </c:pt>
                <c:pt idx="72">
                  <c:v>1.4630000000000001E-2</c:v>
                </c:pt>
                <c:pt idx="73">
                  <c:v>1.0839300000000001</c:v>
                </c:pt>
                <c:pt idx="74">
                  <c:v>0.20227000000000001</c:v>
                </c:pt>
                <c:pt idx="75">
                  <c:v>0.62182999999999999</c:v>
                </c:pt>
                <c:pt idx="76">
                  <c:v>5.3530000000000001E-2</c:v>
                </c:pt>
                <c:pt idx="77">
                  <c:v>0.59555999999999998</c:v>
                </c:pt>
                <c:pt idx="78">
                  <c:v>0.48682999999999998</c:v>
                </c:pt>
                <c:pt idx="79">
                  <c:v>0.15568000000000001</c:v>
                </c:pt>
                <c:pt idx="80">
                  <c:v>0.39907999999999999</c:v>
                </c:pt>
                <c:pt idx="81">
                  <c:v>0.32206000000000001</c:v>
                </c:pt>
                <c:pt idx="82">
                  <c:v>0.22991</c:v>
                </c:pt>
                <c:pt idx="83">
                  <c:v>0.31024000000000002</c:v>
                </c:pt>
                <c:pt idx="84">
                  <c:v>0.66266000000000003</c:v>
                </c:pt>
                <c:pt idx="85">
                  <c:v>0.16045999999999999</c:v>
                </c:pt>
                <c:pt idx="86">
                  <c:v>0.68183000000000005</c:v>
                </c:pt>
                <c:pt idx="87">
                  <c:v>0.85623000000000005</c:v>
                </c:pt>
                <c:pt idx="88">
                  <c:v>0.8014</c:v>
                </c:pt>
                <c:pt idx="89">
                  <c:v>0.32754</c:v>
                </c:pt>
                <c:pt idx="90">
                  <c:v>0.26968999999999999</c:v>
                </c:pt>
                <c:pt idx="91">
                  <c:v>0.24382000000000001</c:v>
                </c:pt>
                <c:pt idx="92">
                  <c:v>0.20521</c:v>
                </c:pt>
                <c:pt idx="93">
                  <c:v>4.67354</c:v>
                </c:pt>
                <c:pt idx="94">
                  <c:v>0.11529</c:v>
                </c:pt>
                <c:pt idx="95">
                  <c:v>0.12776999999999999</c:v>
                </c:pt>
                <c:pt idx="96">
                  <c:v>0.35532000000000002</c:v>
                </c:pt>
                <c:pt idx="97">
                  <c:v>0.92595000000000005</c:v>
                </c:pt>
                <c:pt idx="98">
                  <c:v>0.95201999999999998</c:v>
                </c:pt>
                <c:pt idx="99">
                  <c:v>0.36714999999999998</c:v>
                </c:pt>
                <c:pt idx="100">
                  <c:v>0.39437</c:v>
                </c:pt>
                <c:pt idx="101">
                  <c:v>0.62631999999999999</c:v>
                </c:pt>
                <c:pt idx="102">
                  <c:v>0.60401000000000005</c:v>
                </c:pt>
                <c:pt idx="103">
                  <c:v>2.0905</c:v>
                </c:pt>
                <c:pt idx="104">
                  <c:v>1.14985</c:v>
                </c:pt>
                <c:pt idx="105">
                  <c:v>0.61431000000000002</c:v>
                </c:pt>
                <c:pt idx="106">
                  <c:v>0.85326000000000002</c:v>
                </c:pt>
                <c:pt idx="107">
                  <c:v>1.0511999999999999</c:v>
                </c:pt>
                <c:pt idx="108">
                  <c:v>1.7607999999999999</c:v>
                </c:pt>
                <c:pt idx="109">
                  <c:v>1.81107</c:v>
                </c:pt>
                <c:pt idx="110">
                  <c:v>1.3948400000000001</c:v>
                </c:pt>
                <c:pt idx="111">
                  <c:v>0.13403999999999999</c:v>
                </c:pt>
                <c:pt idx="112">
                  <c:v>0.53681999999999996</c:v>
                </c:pt>
                <c:pt idx="113">
                  <c:v>1.41371</c:v>
                </c:pt>
                <c:pt idx="114">
                  <c:v>0.79132999999999998</c:v>
                </c:pt>
                <c:pt idx="115">
                  <c:v>0.62887999999999999</c:v>
                </c:pt>
                <c:pt idx="116">
                  <c:v>0.51671</c:v>
                </c:pt>
                <c:pt idx="117">
                  <c:v>1.5236099999999999</c:v>
                </c:pt>
                <c:pt idx="118">
                  <c:v>0.49703999999999998</c:v>
                </c:pt>
                <c:pt idx="119">
                  <c:v>0.74585000000000001</c:v>
                </c:pt>
                <c:pt idx="120">
                  <c:v>1.7775099999999999</c:v>
                </c:pt>
                <c:pt idx="121">
                  <c:v>0.41927999999999999</c:v>
                </c:pt>
                <c:pt idx="122">
                  <c:v>0.48325000000000001</c:v>
                </c:pt>
                <c:pt idx="123">
                  <c:v>0.71586000000000005</c:v>
                </c:pt>
                <c:pt idx="124">
                  <c:v>0.67412000000000005</c:v>
                </c:pt>
                <c:pt idx="125">
                  <c:v>1.0344</c:v>
                </c:pt>
                <c:pt idx="126">
                  <c:v>1.8669999999999999E-2</c:v>
                </c:pt>
                <c:pt idx="127">
                  <c:v>8.1409999999999996E-2</c:v>
                </c:pt>
                <c:pt idx="128">
                  <c:v>0.54412000000000005</c:v>
                </c:pt>
                <c:pt idx="129">
                  <c:v>5.0852899999999996</c:v>
                </c:pt>
                <c:pt idx="130">
                  <c:v>1.5625899999999999</c:v>
                </c:pt>
                <c:pt idx="131">
                  <c:v>2.1594099999999998</c:v>
                </c:pt>
                <c:pt idx="132">
                  <c:v>1.11128</c:v>
                </c:pt>
                <c:pt idx="133">
                  <c:v>0.64856999999999998</c:v>
                </c:pt>
                <c:pt idx="134">
                  <c:v>0.33982000000000001</c:v>
                </c:pt>
                <c:pt idx="135">
                  <c:v>0.24510000000000001</c:v>
                </c:pt>
                <c:pt idx="136">
                  <c:v>0.40334999999999999</c:v>
                </c:pt>
                <c:pt idx="137">
                  <c:v>0.48866999999999999</c:v>
                </c:pt>
                <c:pt idx="138">
                  <c:v>0.36013000000000001</c:v>
                </c:pt>
                <c:pt idx="139">
                  <c:v>0.96847000000000005</c:v>
                </c:pt>
                <c:pt idx="140">
                  <c:v>0.13186</c:v>
                </c:pt>
                <c:pt idx="141">
                  <c:v>3.3272499999999998</c:v>
                </c:pt>
                <c:pt idx="142">
                  <c:v>2.1008900000000001</c:v>
                </c:pt>
                <c:pt idx="143">
                  <c:v>0.91410999999999998</c:v>
                </c:pt>
                <c:pt idx="144">
                  <c:v>0.58115000000000006</c:v>
                </c:pt>
                <c:pt idx="145">
                  <c:v>0.24118999999999999</c:v>
                </c:pt>
                <c:pt idx="146">
                  <c:v>0.10917</c:v>
                </c:pt>
                <c:pt idx="147">
                  <c:v>0.11555</c:v>
                </c:pt>
                <c:pt idx="148">
                  <c:v>0.13378999999999999</c:v>
                </c:pt>
                <c:pt idx="149">
                  <c:v>0.20766999999999999</c:v>
                </c:pt>
                <c:pt idx="150">
                  <c:v>0.25611</c:v>
                </c:pt>
                <c:pt idx="151">
                  <c:v>0.38234000000000001</c:v>
                </c:pt>
                <c:pt idx="152">
                  <c:v>3.11178</c:v>
                </c:pt>
                <c:pt idx="153">
                  <c:v>1.1474200000000001</c:v>
                </c:pt>
                <c:pt idx="154">
                  <c:v>0.36120000000000002</c:v>
                </c:pt>
                <c:pt idx="155">
                  <c:v>1.4518200000000001</c:v>
                </c:pt>
                <c:pt idx="156">
                  <c:v>0.79795000000000005</c:v>
                </c:pt>
                <c:pt idx="157">
                  <c:v>0.77</c:v>
                </c:pt>
                <c:pt idx="158">
                  <c:v>5.8389999999999997E-2</c:v>
                </c:pt>
                <c:pt idx="159">
                  <c:v>1.01224</c:v>
                </c:pt>
                <c:pt idx="160">
                  <c:v>0.30005999999999999</c:v>
                </c:pt>
                <c:pt idx="161">
                  <c:v>1.06311</c:v>
                </c:pt>
                <c:pt idx="162">
                  <c:v>8.3519999999999997E-2</c:v>
                </c:pt>
                <c:pt idx="163">
                  <c:v>0.90937999999999997</c:v>
                </c:pt>
                <c:pt idx="164">
                  <c:v>0.86063999999999996</c:v>
                </c:pt>
                <c:pt idx="165">
                  <c:v>0.37280000000000002</c:v>
                </c:pt>
                <c:pt idx="166">
                  <c:v>0.67786999999999997</c:v>
                </c:pt>
                <c:pt idx="167">
                  <c:v>0.53681999999999996</c:v>
                </c:pt>
                <c:pt idx="168">
                  <c:v>#N/A</c:v>
                </c:pt>
                <c:pt idx="169">
                  <c:v>#N/A</c:v>
                </c:pt>
              </c:numCache>
            </c:numRef>
          </c:xVal>
          <c:yVal>
            <c:numRef>
              <c:f>'IV.D. Population and Area'!$Z$29:$Z$198</c:f>
              <c:numCache>
                <c:formatCode>0</c:formatCode>
                <c:ptCount val="170"/>
                <c:pt idx="130">
                  <c:v>4577600.1080783363</c:v>
                </c:pt>
              </c:numCache>
            </c:numRef>
          </c:yVal>
          <c:smooth val="0"/>
          <c:extLst>
            <c:ext xmlns:c16="http://schemas.microsoft.com/office/drawing/2014/chart" uri="{C3380CC4-5D6E-409C-BE32-E72D297353CC}">
              <c16:uniqueId val="{00000001-DF28-4F46-91CF-1E90655E45B2}"/>
            </c:ext>
          </c:extLst>
        </c:ser>
        <c:ser>
          <c:idx val="2"/>
          <c:order val="2"/>
          <c:tx>
            <c:v>Region 4</c:v>
          </c:tx>
          <c:spPr>
            <a:ln w="25400" cap="rnd">
              <a:noFill/>
              <a:round/>
            </a:ln>
            <a:effectLst/>
          </c:spPr>
          <c:marker>
            <c:symbol val="circle"/>
            <c:size val="5"/>
            <c:spPr>
              <a:solidFill>
                <a:schemeClr val="accent3"/>
              </a:solidFill>
              <a:ln w="254000">
                <a:noFill/>
              </a:ln>
              <a:effectLst/>
            </c:spPr>
          </c:marker>
          <c:trendline>
            <c:spPr>
              <a:ln w="19050" cap="rnd">
                <a:solidFill>
                  <a:schemeClr val="accent3"/>
                </a:solidFill>
                <a:prstDash val="sysDot"/>
              </a:ln>
              <a:effectLst/>
            </c:spPr>
            <c:trendlineType val="linear"/>
            <c:dispRSqr val="1"/>
            <c:dispEq val="1"/>
            <c:trendlineLbl>
              <c:layout>
                <c:manualLayout>
                  <c:x val="8.8420911878489133E-2"/>
                  <c:y val="8.693052660900015E-2"/>
                </c:manualLayout>
              </c:layout>
              <c:numFmt formatCode="#,##0.00" sourceLinked="0"/>
              <c:spPr>
                <a:noFill/>
                <a:ln w="12700">
                  <a:solidFill>
                    <a:schemeClr val="accent3"/>
                  </a:solidFill>
                  <a:prstDash val="sysDash"/>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'IV.D. Population and Area'!$AJ$29:$AJ$198</c:f>
              <c:numCache>
                <c:formatCode>0</c:formatCode>
                <c:ptCount val="170"/>
                <c:pt idx="0">
                  <c:v>0.20472000000000001</c:v>
                </c:pt>
                <c:pt idx="1">
                  <c:v>0.84648999999999996</c:v>
                </c:pt>
                <c:pt idx="2">
                  <c:v>0.51783000000000001</c:v>
                </c:pt>
                <c:pt idx="3">
                  <c:v>3.5200499999999999</c:v>
                </c:pt>
                <c:pt idx="4">
                  <c:v>0.58609999999999995</c:v>
                </c:pt>
                <c:pt idx="5">
                  <c:v>0.16750000000000001</c:v>
                </c:pt>
                <c:pt idx="6">
                  <c:v>0.49958000000000002</c:v>
                </c:pt>
                <c:pt idx="7">
                  <c:v>3.8357899999999998</c:v>
                </c:pt>
                <c:pt idx="8">
                  <c:v>0.75812999999999997</c:v>
                </c:pt>
                <c:pt idx="9">
                  <c:v>0.49241000000000001</c:v>
                </c:pt>
                <c:pt idx="10">
                  <c:v>0.35727999999999999</c:v>
                </c:pt>
                <c:pt idx="11">
                  <c:v>0.77131000000000005</c:v>
                </c:pt>
                <c:pt idx="12">
                  <c:v>1.2164299999999999</c:v>
                </c:pt>
                <c:pt idx="13">
                  <c:v>0.34183000000000002</c:v>
                </c:pt>
                <c:pt idx="14">
                  <c:v>5.2810000000000003E-2</c:v>
                </c:pt>
                <c:pt idx="15">
                  <c:v>1.0840000000000001E-2</c:v>
                </c:pt>
                <c:pt idx="16">
                  <c:v>0.43601000000000001</c:v>
                </c:pt>
                <c:pt idx="17">
                  <c:v>0.82421</c:v>
                </c:pt>
                <c:pt idx="18">
                  <c:v>1.03695</c:v>
                </c:pt>
                <c:pt idx="19">
                  <c:v>0.23954</c:v>
                </c:pt>
                <c:pt idx="20">
                  <c:v>8.9370000000000005E-2</c:v>
                </c:pt>
                <c:pt idx="21">
                  <c:v>0.11267000000000001</c:v>
                </c:pt>
                <c:pt idx="22">
                  <c:v>1.1587700000000001</c:v>
                </c:pt>
                <c:pt idx="23">
                  <c:v>0.91908999999999996</c:v>
                </c:pt>
                <c:pt idx="24">
                  <c:v>0.50461999999999996</c:v>
                </c:pt>
                <c:pt idx="25">
                  <c:v>0.91583000000000003</c:v>
                </c:pt>
                <c:pt idx="26">
                  <c:v>0.83447000000000005</c:v>
                </c:pt>
                <c:pt idx="27">
                  <c:v>2.71651</c:v>
                </c:pt>
                <c:pt idx="28">
                  <c:v>0.87909999999999999</c:v>
                </c:pt>
                <c:pt idx="29">
                  <c:v>0.36477999999999999</c:v>
                </c:pt>
                <c:pt idx="30">
                  <c:v>1.12022</c:v>
                </c:pt>
                <c:pt idx="31">
                  <c:v>0.54740999999999995</c:v>
                </c:pt>
                <c:pt idx="32">
                  <c:v>0.96616999999999997</c:v>
                </c:pt>
                <c:pt idx="33">
                  <c:v>1.6881900000000001</c:v>
                </c:pt>
                <c:pt idx="34">
                  <c:v>0.21390000000000001</c:v>
                </c:pt>
                <c:pt idx="35">
                  <c:v>1.13615</c:v>
                </c:pt>
                <c:pt idx="36">
                  <c:v>0.47963</c:v>
                </c:pt>
                <c:pt idx="37">
                  <c:v>0.39213999999999999</c:v>
                </c:pt>
                <c:pt idx="38">
                  <c:v>0.48958000000000002</c:v>
                </c:pt>
                <c:pt idx="39">
                  <c:v>0.33729999999999999</c:v>
                </c:pt>
                <c:pt idx="40">
                  <c:v>4.3470000000000002E-2</c:v>
                </c:pt>
                <c:pt idx="41">
                  <c:v>0.56274999999999997</c:v>
                </c:pt>
                <c:pt idx="42">
                  <c:v>1.12269</c:v>
                </c:pt>
                <c:pt idx="43">
                  <c:v>0.21526999999999999</c:v>
                </c:pt>
                <c:pt idx="44">
                  <c:v>0.64822000000000002</c:v>
                </c:pt>
                <c:pt idx="45">
                  <c:v>1.03241</c:v>
                </c:pt>
                <c:pt idx="46">
                  <c:v>0.44119999999999998</c:v>
                </c:pt>
                <c:pt idx="47">
                  <c:v>1.1558600000000001</c:v>
                </c:pt>
                <c:pt idx="48">
                  <c:v>0.16719000000000001</c:v>
                </c:pt>
                <c:pt idx="49">
                  <c:v>1.7288600000000001</c:v>
                </c:pt>
                <c:pt idx="50">
                  <c:v>0.62904000000000004</c:v>
                </c:pt>
                <c:pt idx="51">
                  <c:v>1.52213</c:v>
                </c:pt>
                <c:pt idx="52">
                  <c:v>0.79022000000000003</c:v>
                </c:pt>
                <c:pt idx="53">
                  <c:v>2.1373899999999999</c:v>
                </c:pt>
                <c:pt idx="54">
                  <c:v>0.55813999999999997</c:v>
                </c:pt>
                <c:pt idx="55">
                  <c:v>5.3009300000000001</c:v>
                </c:pt>
                <c:pt idx="56">
                  <c:v>1.3964000000000001</c:v>
                </c:pt>
                <c:pt idx="57">
                  <c:v>1.7264600000000001</c:v>
                </c:pt>
                <c:pt idx="58">
                  <c:v>0.59721000000000002</c:v>
                </c:pt>
                <c:pt idx="59">
                  <c:v>2.0136099999999999</c:v>
                </c:pt>
                <c:pt idx="60">
                  <c:v>0.52002000000000004</c:v>
                </c:pt>
                <c:pt idx="61">
                  <c:v>0.12584000000000001</c:v>
                </c:pt>
                <c:pt idx="62">
                  <c:v>0.14315</c:v>
                </c:pt>
                <c:pt idx="63">
                  <c:v>0.86965000000000003</c:v>
                </c:pt>
                <c:pt idx="64">
                  <c:v>0.85275000000000001</c:v>
                </c:pt>
                <c:pt idx="65">
                  <c:v>0.19464999999999999</c:v>
                </c:pt>
                <c:pt idx="66">
                  <c:v>1.898E-2</c:v>
                </c:pt>
                <c:pt idx="67">
                  <c:v>0.55406</c:v>
                </c:pt>
                <c:pt idx="68">
                  <c:v>2.0064099999999998</c:v>
                </c:pt>
                <c:pt idx="69">
                  <c:v>0.27446999999999999</c:v>
                </c:pt>
                <c:pt idx="70">
                  <c:v>1.09419</c:v>
                </c:pt>
                <c:pt idx="71">
                  <c:v>2.82572</c:v>
                </c:pt>
                <c:pt idx="72">
                  <c:v>1.4630000000000001E-2</c:v>
                </c:pt>
                <c:pt idx="73">
                  <c:v>1.0839300000000001</c:v>
                </c:pt>
                <c:pt idx="74">
                  <c:v>0.20227000000000001</c:v>
                </c:pt>
                <c:pt idx="75">
                  <c:v>0.62182999999999999</c:v>
                </c:pt>
                <c:pt idx="76">
                  <c:v>5.3530000000000001E-2</c:v>
                </c:pt>
                <c:pt idx="77">
                  <c:v>0.59555999999999998</c:v>
                </c:pt>
                <c:pt idx="78">
                  <c:v>0.48682999999999998</c:v>
                </c:pt>
                <c:pt idx="79">
                  <c:v>0.15568000000000001</c:v>
                </c:pt>
                <c:pt idx="80">
                  <c:v>0.39907999999999999</c:v>
                </c:pt>
                <c:pt idx="81">
                  <c:v>0.32206000000000001</c:v>
                </c:pt>
                <c:pt idx="82">
                  <c:v>0.22991</c:v>
                </c:pt>
                <c:pt idx="83">
                  <c:v>0.31024000000000002</c:v>
                </c:pt>
                <c:pt idx="84">
                  <c:v>0.66266000000000003</c:v>
                </c:pt>
                <c:pt idx="85">
                  <c:v>0.16045999999999999</c:v>
                </c:pt>
                <c:pt idx="86">
                  <c:v>0.68183000000000005</c:v>
                </c:pt>
                <c:pt idx="87">
                  <c:v>0.85623000000000005</c:v>
                </c:pt>
                <c:pt idx="88">
                  <c:v>0.8014</c:v>
                </c:pt>
                <c:pt idx="89">
                  <c:v>0.32754</c:v>
                </c:pt>
                <c:pt idx="90">
                  <c:v>0.26968999999999999</c:v>
                </c:pt>
                <c:pt idx="91">
                  <c:v>0.24382000000000001</c:v>
                </c:pt>
                <c:pt idx="92">
                  <c:v>0.20521</c:v>
                </c:pt>
                <c:pt idx="93">
                  <c:v>4.67354</c:v>
                </c:pt>
                <c:pt idx="94">
                  <c:v>0.11529</c:v>
                </c:pt>
                <c:pt idx="95">
                  <c:v>0.12776999999999999</c:v>
                </c:pt>
                <c:pt idx="96">
                  <c:v>0.35532000000000002</c:v>
                </c:pt>
                <c:pt idx="97">
                  <c:v>0.92595000000000005</c:v>
                </c:pt>
                <c:pt idx="98">
                  <c:v>0.95201999999999998</c:v>
                </c:pt>
                <c:pt idx="99">
                  <c:v>0.36714999999999998</c:v>
                </c:pt>
                <c:pt idx="100">
                  <c:v>0.39437</c:v>
                </c:pt>
                <c:pt idx="101">
                  <c:v>0.62631999999999999</c:v>
                </c:pt>
                <c:pt idx="102">
                  <c:v>0.60401000000000005</c:v>
                </c:pt>
                <c:pt idx="103">
                  <c:v>2.0905</c:v>
                </c:pt>
                <c:pt idx="104">
                  <c:v>1.14985</c:v>
                </c:pt>
                <c:pt idx="105">
                  <c:v>0.61431000000000002</c:v>
                </c:pt>
                <c:pt idx="106">
                  <c:v>0.85326000000000002</c:v>
                </c:pt>
                <c:pt idx="107">
                  <c:v>1.0511999999999999</c:v>
                </c:pt>
                <c:pt idx="108">
                  <c:v>1.7607999999999999</c:v>
                </c:pt>
                <c:pt idx="109">
                  <c:v>1.81107</c:v>
                </c:pt>
                <c:pt idx="110">
                  <c:v>1.3948400000000001</c:v>
                </c:pt>
                <c:pt idx="111">
                  <c:v>0.13403999999999999</c:v>
                </c:pt>
                <c:pt idx="112">
                  <c:v>0.53681999999999996</c:v>
                </c:pt>
                <c:pt idx="113">
                  <c:v>1.41371</c:v>
                </c:pt>
                <c:pt idx="114">
                  <c:v>0.79132999999999998</c:v>
                </c:pt>
                <c:pt idx="115">
                  <c:v>0.62887999999999999</c:v>
                </c:pt>
                <c:pt idx="116">
                  <c:v>0.51671</c:v>
                </c:pt>
                <c:pt idx="117">
                  <c:v>1.5236099999999999</c:v>
                </c:pt>
                <c:pt idx="118">
                  <c:v>0.49703999999999998</c:v>
                </c:pt>
                <c:pt idx="119">
                  <c:v>0.74585000000000001</c:v>
                </c:pt>
                <c:pt idx="120">
                  <c:v>1.7775099999999999</c:v>
                </c:pt>
                <c:pt idx="121">
                  <c:v>0.41927999999999999</c:v>
                </c:pt>
                <c:pt idx="122">
                  <c:v>0.48325000000000001</c:v>
                </c:pt>
                <c:pt idx="123">
                  <c:v>0.71586000000000005</c:v>
                </c:pt>
                <c:pt idx="124">
                  <c:v>0.67412000000000005</c:v>
                </c:pt>
                <c:pt idx="125">
                  <c:v>1.0344</c:v>
                </c:pt>
                <c:pt idx="126">
                  <c:v>1.8669999999999999E-2</c:v>
                </c:pt>
                <c:pt idx="127">
                  <c:v>8.1409999999999996E-2</c:v>
                </c:pt>
                <c:pt idx="128">
                  <c:v>0.54412000000000005</c:v>
                </c:pt>
                <c:pt idx="129">
                  <c:v>5.0852899999999996</c:v>
                </c:pt>
                <c:pt idx="130">
                  <c:v>1.5625899999999999</c:v>
                </c:pt>
                <c:pt idx="131">
                  <c:v>2.1594099999999998</c:v>
                </c:pt>
                <c:pt idx="132">
                  <c:v>1.11128</c:v>
                </c:pt>
                <c:pt idx="133">
                  <c:v>0.64856999999999998</c:v>
                </c:pt>
                <c:pt idx="134">
                  <c:v>0.33982000000000001</c:v>
                </c:pt>
                <c:pt idx="135">
                  <c:v>0.24510000000000001</c:v>
                </c:pt>
                <c:pt idx="136">
                  <c:v>0.40334999999999999</c:v>
                </c:pt>
                <c:pt idx="137">
                  <c:v>0.48866999999999999</c:v>
                </c:pt>
                <c:pt idx="138">
                  <c:v>0.36013000000000001</c:v>
                </c:pt>
                <c:pt idx="139">
                  <c:v>0.96847000000000005</c:v>
                </c:pt>
                <c:pt idx="140">
                  <c:v>0.13186</c:v>
                </c:pt>
                <c:pt idx="141">
                  <c:v>3.3272499999999998</c:v>
                </c:pt>
                <c:pt idx="142">
                  <c:v>2.1008900000000001</c:v>
                </c:pt>
                <c:pt idx="143">
                  <c:v>0.91410999999999998</c:v>
                </c:pt>
                <c:pt idx="144">
                  <c:v>0.58115000000000006</c:v>
                </c:pt>
                <c:pt idx="145">
                  <c:v>0.24118999999999999</c:v>
                </c:pt>
                <c:pt idx="146">
                  <c:v>0.10917</c:v>
                </c:pt>
                <c:pt idx="147">
                  <c:v>0.11555</c:v>
                </c:pt>
                <c:pt idx="148">
                  <c:v>0.13378999999999999</c:v>
                </c:pt>
                <c:pt idx="149">
                  <c:v>0.20766999999999999</c:v>
                </c:pt>
                <c:pt idx="150">
                  <c:v>0.25611</c:v>
                </c:pt>
                <c:pt idx="151">
                  <c:v>0.38234000000000001</c:v>
                </c:pt>
                <c:pt idx="152">
                  <c:v>3.11178</c:v>
                </c:pt>
                <c:pt idx="153">
                  <c:v>1.1474200000000001</c:v>
                </c:pt>
                <c:pt idx="154">
                  <c:v>0.36120000000000002</c:v>
                </c:pt>
                <c:pt idx="155">
                  <c:v>1.4518200000000001</c:v>
                </c:pt>
                <c:pt idx="156">
                  <c:v>0.79795000000000005</c:v>
                </c:pt>
                <c:pt idx="157">
                  <c:v>0.77</c:v>
                </c:pt>
                <c:pt idx="158">
                  <c:v>5.8389999999999997E-2</c:v>
                </c:pt>
                <c:pt idx="159">
                  <c:v>1.01224</c:v>
                </c:pt>
                <c:pt idx="160">
                  <c:v>0.30005999999999999</c:v>
                </c:pt>
                <c:pt idx="161">
                  <c:v>1.06311</c:v>
                </c:pt>
                <c:pt idx="162">
                  <c:v>8.3519999999999997E-2</c:v>
                </c:pt>
                <c:pt idx="163">
                  <c:v>0.90937999999999997</c:v>
                </c:pt>
                <c:pt idx="164">
                  <c:v>0.86063999999999996</c:v>
                </c:pt>
                <c:pt idx="165">
                  <c:v>0.37280000000000002</c:v>
                </c:pt>
                <c:pt idx="166">
                  <c:v>0.67786999999999997</c:v>
                </c:pt>
                <c:pt idx="167">
                  <c:v>0.53681999999999996</c:v>
                </c:pt>
                <c:pt idx="168">
                  <c:v>#N/A</c:v>
                </c:pt>
                <c:pt idx="169">
                  <c:v>#N/A</c:v>
                </c:pt>
              </c:numCache>
            </c:numRef>
          </c:xVal>
          <c:yVal>
            <c:numRef>
              <c:f>'IV.D. Population and Area'!$AA$29:$AA$198</c:f>
              <c:numCache>
                <c:formatCode>0</c:formatCode>
                <c:ptCount val="170"/>
                <c:pt idx="0">
                  <c:v>2767008.7973924051</c:v>
                </c:pt>
                <c:pt idx="1">
                  <c:v>765706.76259493665</c:v>
                </c:pt>
                <c:pt idx="4">
                  <c:v>730366.94050632906</c:v>
                </c:pt>
                <c:pt idx="5">
                  <c:v>184151.42263291139</c:v>
                </c:pt>
                <c:pt idx="6">
                  <c:v>575990.79113924049</c:v>
                </c:pt>
                <c:pt idx="8">
                  <c:v>4256492.3164556958</c:v>
                </c:pt>
                <c:pt idx="10">
                  <c:v>289853.43037974683</c:v>
                </c:pt>
                <c:pt idx="11">
                  <c:v>347143.54484810127</c:v>
                </c:pt>
                <c:pt idx="13">
                  <c:v>3958406.1992658228</c:v>
                </c:pt>
                <c:pt idx="15">
                  <c:v>353557.48101265822</c:v>
                </c:pt>
                <c:pt idx="18">
                  <c:v>3833761.7920632907</c:v>
                </c:pt>
                <c:pt idx="19">
                  <c:v>1144549.4430379746</c:v>
                </c:pt>
                <c:pt idx="23">
                  <c:v>1318833.1082278481</c:v>
                </c:pt>
                <c:pt idx="24">
                  <c:v>892265.47651898733</c:v>
                </c:pt>
                <c:pt idx="29">
                  <c:v>6952375.5413164552</c:v>
                </c:pt>
                <c:pt idx="32">
                  <c:v>491582.92405063286</c:v>
                </c:pt>
                <c:pt idx="36">
                  <c:v>786884.11249367089</c:v>
                </c:pt>
                <c:pt idx="37">
                  <c:v>972135.49173417711</c:v>
                </c:pt>
                <c:pt idx="41">
                  <c:v>418323.2658227848</c:v>
                </c:pt>
                <c:pt idx="42">
                  <c:v>1351306.2480379746</c:v>
                </c:pt>
                <c:pt idx="43">
                  <c:v>783453.64936708857</c:v>
                </c:pt>
                <c:pt idx="47">
                  <c:v>1488632.0082531644</c:v>
                </c:pt>
                <c:pt idx="48">
                  <c:v>2425637.9012658228</c:v>
                </c:pt>
                <c:pt idx="58">
                  <c:v>847733.15992405056</c:v>
                </c:pt>
                <c:pt idx="59">
                  <c:v>767633.81012658228</c:v>
                </c:pt>
                <c:pt idx="60">
                  <c:v>498484.19620253163</c:v>
                </c:pt>
                <c:pt idx="62">
                  <c:v>119445.09493670885</c:v>
                </c:pt>
                <c:pt idx="63">
                  <c:v>1212500.4303797467</c:v>
                </c:pt>
                <c:pt idx="65">
                  <c:v>754217.73706329113</c:v>
                </c:pt>
                <c:pt idx="66">
                  <c:v>119531.09540506329</c:v>
                </c:pt>
                <c:pt idx="70">
                  <c:v>2651734.1943037971</c:v>
                </c:pt>
                <c:pt idx="72">
                  <c:v>530965.45827911387</c:v>
                </c:pt>
                <c:pt idx="74">
                  <c:v>535470.76799999992</c:v>
                </c:pt>
                <c:pt idx="76">
                  <c:v>47665.494151898733</c:v>
                </c:pt>
                <c:pt idx="78">
                  <c:v>1331635.4989367088</c:v>
                </c:pt>
                <c:pt idx="80">
                  <c:v>53178.017999999996</c:v>
                </c:pt>
                <c:pt idx="81">
                  <c:v>5068301.9128405061</c:v>
                </c:pt>
                <c:pt idx="88">
                  <c:v>7275871.080835443</c:v>
                </c:pt>
                <c:pt idx="89">
                  <c:v>90582.91306329114</c:v>
                </c:pt>
                <c:pt idx="92">
                  <c:v>213408.56962025314</c:v>
                </c:pt>
                <c:pt idx="93">
                  <c:v>2259514.7249620254</c:v>
                </c:pt>
                <c:pt idx="95">
                  <c:v>1503881.6962405061</c:v>
                </c:pt>
                <c:pt idx="96">
                  <c:v>4997698.501177215</c:v>
                </c:pt>
                <c:pt idx="99">
                  <c:v>757972.02911392401</c:v>
                </c:pt>
                <c:pt idx="101">
                  <c:v>4223082.7271012655</c:v>
                </c:pt>
                <c:pt idx="102">
                  <c:v>791069.46862025314</c:v>
                </c:pt>
                <c:pt idx="107">
                  <c:v>1105460.6375696203</c:v>
                </c:pt>
                <c:pt idx="111">
                  <c:v>106098.0345949367</c:v>
                </c:pt>
                <c:pt idx="112">
                  <c:v>3737410.4772151895</c:v>
                </c:pt>
                <c:pt idx="113">
                  <c:v>17736269.430379745</c:v>
                </c:pt>
                <c:pt idx="115">
                  <c:v>1035243.9094936708</c:v>
                </c:pt>
                <c:pt idx="117">
                  <c:v>3636785.6823037975</c:v>
                </c:pt>
                <c:pt idx="121">
                  <c:v>445312.54860759492</c:v>
                </c:pt>
                <c:pt idx="124">
                  <c:v>2575767.1139240507</c:v>
                </c:pt>
                <c:pt idx="126">
                  <c:v>77393.33975202532</c:v>
                </c:pt>
                <c:pt idx="127">
                  <c:v>370923.24768455693</c:v>
                </c:pt>
                <c:pt idx="128">
                  <c:v>418803.16967088607</c:v>
                </c:pt>
                <c:pt idx="132">
                  <c:v>1468000</c:v>
                </c:pt>
                <c:pt idx="134">
                  <c:v>615805.82278481009</c:v>
                </c:pt>
                <c:pt idx="135">
                  <c:v>408236.79113924049</c:v>
                </c:pt>
                <c:pt idx="136">
                  <c:v>434071.22565949365</c:v>
                </c:pt>
                <c:pt idx="140">
                  <c:v>567200.69388607587</c:v>
                </c:pt>
                <c:pt idx="142">
                  <c:v>3154598.0439873417</c:v>
                </c:pt>
                <c:pt idx="143">
                  <c:v>11273447.839101264</c:v>
                </c:pt>
                <c:pt idx="146">
                  <c:v>351860.82979746832</c:v>
                </c:pt>
                <c:pt idx="147">
                  <c:v>583422.93037974683</c:v>
                </c:pt>
                <c:pt idx="149">
                  <c:v>300927.23290936707</c:v>
                </c:pt>
                <c:pt idx="150">
                  <c:v>219778.97468354428</c:v>
                </c:pt>
                <c:pt idx="154">
                  <c:v>349310.54430379748</c:v>
                </c:pt>
                <c:pt idx="155">
                  <c:v>2256186.1883164556</c:v>
                </c:pt>
                <c:pt idx="160">
                  <c:v>192598.57974683543</c:v>
                </c:pt>
                <c:pt idx="161">
                  <c:v>1094671.2948607595</c:v>
                </c:pt>
                <c:pt idx="162">
                  <c:v>358914.99167088605</c:v>
                </c:pt>
                <c:pt idx="164">
                  <c:v>647657.84810126573</c:v>
                </c:pt>
              </c:numCache>
            </c:numRef>
          </c:yVal>
          <c:smooth val="0"/>
          <c:extLst>
            <c:ext xmlns:c16="http://schemas.microsoft.com/office/drawing/2014/chart" uri="{C3380CC4-5D6E-409C-BE32-E72D297353CC}">
              <c16:uniqueId val="{00000003-DF28-4F46-91CF-1E90655E45B2}"/>
            </c:ext>
          </c:extLst>
        </c:ser>
        <c:ser>
          <c:idx val="3"/>
          <c:order val="3"/>
          <c:tx>
            <c:v>Region 5</c:v>
          </c:tx>
          <c:spPr>
            <a:ln w="25400" cap="rnd">
              <a:noFill/>
              <a:round/>
            </a:ln>
            <a:effectLst/>
          </c:spPr>
          <c:marker>
            <c:symbol val="circle"/>
            <c:size val="5"/>
            <c:spPr>
              <a:solidFill>
                <a:schemeClr val="accent4"/>
              </a:solidFill>
              <a:ln w="254000">
                <a:noFill/>
              </a:ln>
              <a:effectLst/>
            </c:spPr>
          </c:marker>
          <c:trendline>
            <c:spPr>
              <a:ln w="19050" cap="rnd">
                <a:solidFill>
                  <a:schemeClr val="accent4"/>
                </a:solidFill>
                <a:prstDash val="sysDot"/>
              </a:ln>
              <a:effectLst/>
            </c:spPr>
            <c:trendlineType val="linear"/>
            <c:dispRSqr val="1"/>
            <c:dispEq val="1"/>
            <c:trendlineLbl>
              <c:layout>
                <c:manualLayout>
                  <c:x val="-0.16430770352856799"/>
                  <c:y val="1.4933670246367657E-2"/>
                </c:manualLayout>
              </c:layout>
              <c:numFmt formatCode="0.00" sourceLinked="0"/>
              <c:spPr>
                <a:noFill/>
                <a:ln w="12700">
                  <a:solidFill>
                    <a:schemeClr val="accent4"/>
                  </a:solidFill>
                  <a:prstDash val="sysDash"/>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'IV.D. Population and Area'!$AJ$29:$AJ$198</c:f>
              <c:numCache>
                <c:formatCode>0</c:formatCode>
                <c:ptCount val="170"/>
                <c:pt idx="0">
                  <c:v>0.20472000000000001</c:v>
                </c:pt>
                <c:pt idx="1">
                  <c:v>0.84648999999999996</c:v>
                </c:pt>
                <c:pt idx="2">
                  <c:v>0.51783000000000001</c:v>
                </c:pt>
                <c:pt idx="3">
                  <c:v>3.5200499999999999</c:v>
                </c:pt>
                <c:pt idx="4">
                  <c:v>0.58609999999999995</c:v>
                </c:pt>
                <c:pt idx="5">
                  <c:v>0.16750000000000001</c:v>
                </c:pt>
                <c:pt idx="6">
                  <c:v>0.49958000000000002</c:v>
                </c:pt>
                <c:pt idx="7">
                  <c:v>3.8357899999999998</c:v>
                </c:pt>
                <c:pt idx="8">
                  <c:v>0.75812999999999997</c:v>
                </c:pt>
                <c:pt idx="9">
                  <c:v>0.49241000000000001</c:v>
                </c:pt>
                <c:pt idx="10">
                  <c:v>0.35727999999999999</c:v>
                </c:pt>
                <c:pt idx="11">
                  <c:v>0.77131000000000005</c:v>
                </c:pt>
                <c:pt idx="12">
                  <c:v>1.2164299999999999</c:v>
                </c:pt>
                <c:pt idx="13">
                  <c:v>0.34183000000000002</c:v>
                </c:pt>
                <c:pt idx="14">
                  <c:v>5.2810000000000003E-2</c:v>
                </c:pt>
                <c:pt idx="15">
                  <c:v>1.0840000000000001E-2</c:v>
                </c:pt>
                <c:pt idx="16">
                  <c:v>0.43601000000000001</c:v>
                </c:pt>
                <c:pt idx="17">
                  <c:v>0.82421</c:v>
                </c:pt>
                <c:pt idx="18">
                  <c:v>1.03695</c:v>
                </c:pt>
                <c:pt idx="19">
                  <c:v>0.23954</c:v>
                </c:pt>
                <c:pt idx="20">
                  <c:v>8.9370000000000005E-2</c:v>
                </c:pt>
                <c:pt idx="21">
                  <c:v>0.11267000000000001</c:v>
                </c:pt>
                <c:pt idx="22">
                  <c:v>1.1587700000000001</c:v>
                </c:pt>
                <c:pt idx="23">
                  <c:v>0.91908999999999996</c:v>
                </c:pt>
                <c:pt idx="24">
                  <c:v>0.50461999999999996</c:v>
                </c:pt>
                <c:pt idx="25">
                  <c:v>0.91583000000000003</c:v>
                </c:pt>
                <c:pt idx="26">
                  <c:v>0.83447000000000005</c:v>
                </c:pt>
                <c:pt idx="27">
                  <c:v>2.71651</c:v>
                </c:pt>
                <c:pt idx="28">
                  <c:v>0.87909999999999999</c:v>
                </c:pt>
                <c:pt idx="29">
                  <c:v>0.36477999999999999</c:v>
                </c:pt>
                <c:pt idx="30">
                  <c:v>1.12022</c:v>
                </c:pt>
                <c:pt idx="31">
                  <c:v>0.54740999999999995</c:v>
                </c:pt>
                <c:pt idx="32">
                  <c:v>0.96616999999999997</c:v>
                </c:pt>
                <c:pt idx="33">
                  <c:v>1.6881900000000001</c:v>
                </c:pt>
                <c:pt idx="34">
                  <c:v>0.21390000000000001</c:v>
                </c:pt>
                <c:pt idx="35">
                  <c:v>1.13615</c:v>
                </c:pt>
                <c:pt idx="36">
                  <c:v>0.47963</c:v>
                </c:pt>
                <c:pt idx="37">
                  <c:v>0.39213999999999999</c:v>
                </c:pt>
                <c:pt idx="38">
                  <c:v>0.48958000000000002</c:v>
                </c:pt>
                <c:pt idx="39">
                  <c:v>0.33729999999999999</c:v>
                </c:pt>
                <c:pt idx="40">
                  <c:v>4.3470000000000002E-2</c:v>
                </c:pt>
                <c:pt idx="41">
                  <c:v>0.56274999999999997</c:v>
                </c:pt>
                <c:pt idx="42">
                  <c:v>1.12269</c:v>
                </c:pt>
                <c:pt idx="43">
                  <c:v>0.21526999999999999</c:v>
                </c:pt>
                <c:pt idx="44">
                  <c:v>0.64822000000000002</c:v>
                </c:pt>
                <c:pt idx="45">
                  <c:v>1.03241</c:v>
                </c:pt>
                <c:pt idx="46">
                  <c:v>0.44119999999999998</c:v>
                </c:pt>
                <c:pt idx="47">
                  <c:v>1.1558600000000001</c:v>
                </c:pt>
                <c:pt idx="48">
                  <c:v>0.16719000000000001</c:v>
                </c:pt>
                <c:pt idx="49">
                  <c:v>1.7288600000000001</c:v>
                </c:pt>
                <c:pt idx="50">
                  <c:v>0.62904000000000004</c:v>
                </c:pt>
                <c:pt idx="51">
                  <c:v>1.52213</c:v>
                </c:pt>
                <c:pt idx="52">
                  <c:v>0.79022000000000003</c:v>
                </c:pt>
                <c:pt idx="53">
                  <c:v>2.1373899999999999</c:v>
                </c:pt>
                <c:pt idx="54">
                  <c:v>0.55813999999999997</c:v>
                </c:pt>
                <c:pt idx="55">
                  <c:v>5.3009300000000001</c:v>
                </c:pt>
                <c:pt idx="56">
                  <c:v>1.3964000000000001</c:v>
                </c:pt>
                <c:pt idx="57">
                  <c:v>1.7264600000000001</c:v>
                </c:pt>
                <c:pt idx="58">
                  <c:v>0.59721000000000002</c:v>
                </c:pt>
                <c:pt idx="59">
                  <c:v>2.0136099999999999</c:v>
                </c:pt>
                <c:pt idx="60">
                  <c:v>0.52002000000000004</c:v>
                </c:pt>
                <c:pt idx="61">
                  <c:v>0.12584000000000001</c:v>
                </c:pt>
                <c:pt idx="62">
                  <c:v>0.14315</c:v>
                </c:pt>
                <c:pt idx="63">
                  <c:v>0.86965000000000003</c:v>
                </c:pt>
                <c:pt idx="64">
                  <c:v>0.85275000000000001</c:v>
                </c:pt>
                <c:pt idx="65">
                  <c:v>0.19464999999999999</c:v>
                </c:pt>
                <c:pt idx="66">
                  <c:v>1.898E-2</c:v>
                </c:pt>
                <c:pt idx="67">
                  <c:v>0.55406</c:v>
                </c:pt>
                <c:pt idx="68">
                  <c:v>2.0064099999999998</c:v>
                </c:pt>
                <c:pt idx="69">
                  <c:v>0.27446999999999999</c:v>
                </c:pt>
                <c:pt idx="70">
                  <c:v>1.09419</c:v>
                </c:pt>
                <c:pt idx="71">
                  <c:v>2.82572</c:v>
                </c:pt>
                <c:pt idx="72">
                  <c:v>1.4630000000000001E-2</c:v>
                </c:pt>
                <c:pt idx="73">
                  <c:v>1.0839300000000001</c:v>
                </c:pt>
                <c:pt idx="74">
                  <c:v>0.20227000000000001</c:v>
                </c:pt>
                <c:pt idx="75">
                  <c:v>0.62182999999999999</c:v>
                </c:pt>
                <c:pt idx="76">
                  <c:v>5.3530000000000001E-2</c:v>
                </c:pt>
                <c:pt idx="77">
                  <c:v>0.59555999999999998</c:v>
                </c:pt>
                <c:pt idx="78">
                  <c:v>0.48682999999999998</c:v>
                </c:pt>
                <c:pt idx="79">
                  <c:v>0.15568000000000001</c:v>
                </c:pt>
                <c:pt idx="80">
                  <c:v>0.39907999999999999</c:v>
                </c:pt>
                <c:pt idx="81">
                  <c:v>0.32206000000000001</c:v>
                </c:pt>
                <c:pt idx="82">
                  <c:v>0.22991</c:v>
                </c:pt>
                <c:pt idx="83">
                  <c:v>0.31024000000000002</c:v>
                </c:pt>
                <c:pt idx="84">
                  <c:v>0.66266000000000003</c:v>
                </c:pt>
                <c:pt idx="85">
                  <c:v>0.16045999999999999</c:v>
                </c:pt>
                <c:pt idx="86">
                  <c:v>0.68183000000000005</c:v>
                </c:pt>
                <c:pt idx="87">
                  <c:v>0.85623000000000005</c:v>
                </c:pt>
                <c:pt idx="88">
                  <c:v>0.8014</c:v>
                </c:pt>
                <c:pt idx="89">
                  <c:v>0.32754</c:v>
                </c:pt>
                <c:pt idx="90">
                  <c:v>0.26968999999999999</c:v>
                </c:pt>
                <c:pt idx="91">
                  <c:v>0.24382000000000001</c:v>
                </c:pt>
                <c:pt idx="92">
                  <c:v>0.20521</c:v>
                </c:pt>
                <c:pt idx="93">
                  <c:v>4.67354</c:v>
                </c:pt>
                <c:pt idx="94">
                  <c:v>0.11529</c:v>
                </c:pt>
                <c:pt idx="95">
                  <c:v>0.12776999999999999</c:v>
                </c:pt>
                <c:pt idx="96">
                  <c:v>0.35532000000000002</c:v>
                </c:pt>
                <c:pt idx="97">
                  <c:v>0.92595000000000005</c:v>
                </c:pt>
                <c:pt idx="98">
                  <c:v>0.95201999999999998</c:v>
                </c:pt>
                <c:pt idx="99">
                  <c:v>0.36714999999999998</c:v>
                </c:pt>
                <c:pt idx="100">
                  <c:v>0.39437</c:v>
                </c:pt>
                <c:pt idx="101">
                  <c:v>0.62631999999999999</c:v>
                </c:pt>
                <c:pt idx="102">
                  <c:v>0.60401000000000005</c:v>
                </c:pt>
                <c:pt idx="103">
                  <c:v>2.0905</c:v>
                </c:pt>
                <c:pt idx="104">
                  <c:v>1.14985</c:v>
                </c:pt>
                <c:pt idx="105">
                  <c:v>0.61431000000000002</c:v>
                </c:pt>
                <c:pt idx="106">
                  <c:v>0.85326000000000002</c:v>
                </c:pt>
                <c:pt idx="107">
                  <c:v>1.0511999999999999</c:v>
                </c:pt>
                <c:pt idx="108">
                  <c:v>1.7607999999999999</c:v>
                </c:pt>
                <c:pt idx="109">
                  <c:v>1.81107</c:v>
                </c:pt>
                <c:pt idx="110">
                  <c:v>1.3948400000000001</c:v>
                </c:pt>
                <c:pt idx="111">
                  <c:v>0.13403999999999999</c:v>
                </c:pt>
                <c:pt idx="112">
                  <c:v>0.53681999999999996</c:v>
                </c:pt>
                <c:pt idx="113">
                  <c:v>1.41371</c:v>
                </c:pt>
                <c:pt idx="114">
                  <c:v>0.79132999999999998</c:v>
                </c:pt>
                <c:pt idx="115">
                  <c:v>0.62887999999999999</c:v>
                </c:pt>
                <c:pt idx="116">
                  <c:v>0.51671</c:v>
                </c:pt>
                <c:pt idx="117">
                  <c:v>1.5236099999999999</c:v>
                </c:pt>
                <c:pt idx="118">
                  <c:v>0.49703999999999998</c:v>
                </c:pt>
                <c:pt idx="119">
                  <c:v>0.74585000000000001</c:v>
                </c:pt>
                <c:pt idx="120">
                  <c:v>1.7775099999999999</c:v>
                </c:pt>
                <c:pt idx="121">
                  <c:v>0.41927999999999999</c:v>
                </c:pt>
                <c:pt idx="122">
                  <c:v>0.48325000000000001</c:v>
                </c:pt>
                <c:pt idx="123">
                  <c:v>0.71586000000000005</c:v>
                </c:pt>
                <c:pt idx="124">
                  <c:v>0.67412000000000005</c:v>
                </c:pt>
                <c:pt idx="125">
                  <c:v>1.0344</c:v>
                </c:pt>
                <c:pt idx="126">
                  <c:v>1.8669999999999999E-2</c:v>
                </c:pt>
                <c:pt idx="127">
                  <c:v>8.1409999999999996E-2</c:v>
                </c:pt>
                <c:pt idx="128">
                  <c:v>0.54412000000000005</c:v>
                </c:pt>
                <c:pt idx="129">
                  <c:v>5.0852899999999996</c:v>
                </c:pt>
                <c:pt idx="130">
                  <c:v>1.5625899999999999</c:v>
                </c:pt>
                <c:pt idx="131">
                  <c:v>2.1594099999999998</c:v>
                </c:pt>
                <c:pt idx="132">
                  <c:v>1.11128</c:v>
                </c:pt>
                <c:pt idx="133">
                  <c:v>0.64856999999999998</c:v>
                </c:pt>
                <c:pt idx="134">
                  <c:v>0.33982000000000001</c:v>
                </c:pt>
                <c:pt idx="135">
                  <c:v>0.24510000000000001</c:v>
                </c:pt>
                <c:pt idx="136">
                  <c:v>0.40334999999999999</c:v>
                </c:pt>
                <c:pt idx="137">
                  <c:v>0.48866999999999999</c:v>
                </c:pt>
                <c:pt idx="138">
                  <c:v>0.36013000000000001</c:v>
                </c:pt>
                <c:pt idx="139">
                  <c:v>0.96847000000000005</c:v>
                </c:pt>
                <c:pt idx="140">
                  <c:v>0.13186</c:v>
                </c:pt>
                <c:pt idx="141">
                  <c:v>3.3272499999999998</c:v>
                </c:pt>
                <c:pt idx="142">
                  <c:v>2.1008900000000001</c:v>
                </c:pt>
                <c:pt idx="143">
                  <c:v>0.91410999999999998</c:v>
                </c:pt>
                <c:pt idx="144">
                  <c:v>0.58115000000000006</c:v>
                </c:pt>
                <c:pt idx="145">
                  <c:v>0.24118999999999999</c:v>
                </c:pt>
                <c:pt idx="146">
                  <c:v>0.10917</c:v>
                </c:pt>
                <c:pt idx="147">
                  <c:v>0.11555</c:v>
                </c:pt>
                <c:pt idx="148">
                  <c:v>0.13378999999999999</c:v>
                </c:pt>
                <c:pt idx="149">
                  <c:v>0.20766999999999999</c:v>
                </c:pt>
                <c:pt idx="150">
                  <c:v>0.25611</c:v>
                </c:pt>
                <c:pt idx="151">
                  <c:v>0.38234000000000001</c:v>
                </c:pt>
                <c:pt idx="152">
                  <c:v>3.11178</c:v>
                </c:pt>
                <c:pt idx="153">
                  <c:v>1.1474200000000001</c:v>
                </c:pt>
                <c:pt idx="154">
                  <c:v>0.36120000000000002</c:v>
                </c:pt>
                <c:pt idx="155">
                  <c:v>1.4518200000000001</c:v>
                </c:pt>
                <c:pt idx="156">
                  <c:v>0.79795000000000005</c:v>
                </c:pt>
                <c:pt idx="157">
                  <c:v>0.77</c:v>
                </c:pt>
                <c:pt idx="158">
                  <c:v>5.8389999999999997E-2</c:v>
                </c:pt>
                <c:pt idx="159">
                  <c:v>1.01224</c:v>
                </c:pt>
                <c:pt idx="160">
                  <c:v>0.30005999999999999</c:v>
                </c:pt>
                <c:pt idx="161">
                  <c:v>1.06311</c:v>
                </c:pt>
                <c:pt idx="162">
                  <c:v>8.3519999999999997E-2</c:v>
                </c:pt>
                <c:pt idx="163">
                  <c:v>0.90937999999999997</c:v>
                </c:pt>
                <c:pt idx="164">
                  <c:v>0.86063999999999996</c:v>
                </c:pt>
                <c:pt idx="165">
                  <c:v>0.37280000000000002</c:v>
                </c:pt>
                <c:pt idx="166">
                  <c:v>0.67786999999999997</c:v>
                </c:pt>
                <c:pt idx="167">
                  <c:v>0.53681999999999996</c:v>
                </c:pt>
                <c:pt idx="168">
                  <c:v>#N/A</c:v>
                </c:pt>
                <c:pt idx="169">
                  <c:v>#N/A</c:v>
                </c:pt>
              </c:numCache>
            </c:numRef>
          </c:xVal>
          <c:yVal>
            <c:numRef>
              <c:f>'IV.D. Population and Area'!$AB$29:$AB$198</c:f>
              <c:numCache>
                <c:formatCode>0</c:formatCode>
                <c:ptCount val="170"/>
                <c:pt idx="7">
                  <c:v>26033100</c:v>
                </c:pt>
                <c:pt idx="28">
                  <c:v>4217208.1518987343</c:v>
                </c:pt>
                <c:pt idx="30">
                  <c:v>2146083.2924050633</c:v>
                </c:pt>
                <c:pt idx="49">
                  <c:v>966166.42218987341</c:v>
                </c:pt>
                <c:pt idx="52">
                  <c:v>875153.5067848101</c:v>
                </c:pt>
                <c:pt idx="55">
                  <c:v>10886431.928962024</c:v>
                </c:pt>
                <c:pt idx="119">
                  <c:v>1939277.1300375001</c:v>
                </c:pt>
                <c:pt idx="129">
                  <c:v>35256726.769277848</c:v>
                </c:pt>
                <c:pt idx="152">
                  <c:v>4952739.7339167688</c:v>
                </c:pt>
              </c:numCache>
            </c:numRef>
          </c:yVal>
          <c:smooth val="0"/>
          <c:extLst>
            <c:ext xmlns:c16="http://schemas.microsoft.com/office/drawing/2014/chart" uri="{C3380CC4-5D6E-409C-BE32-E72D297353CC}">
              <c16:uniqueId val="{00000005-DF28-4F46-91CF-1E90655E45B2}"/>
            </c:ext>
          </c:extLst>
        </c:ser>
        <c:ser>
          <c:idx val="4"/>
          <c:order val="4"/>
          <c:tx>
            <c:v>Region 6</c:v>
          </c:tx>
          <c:spPr>
            <a:ln w="25400" cap="rnd">
              <a:noFill/>
              <a:round/>
            </a:ln>
            <a:effectLst/>
          </c:spPr>
          <c:marker>
            <c:symbol val="circle"/>
            <c:size val="5"/>
            <c:spPr>
              <a:solidFill>
                <a:schemeClr val="accent5"/>
              </a:solidFill>
              <a:ln w="254000">
                <a:noFill/>
              </a:ln>
              <a:effectLst/>
            </c:spPr>
          </c:marker>
          <c:xVal>
            <c:numRef>
              <c:f>'IV.D. Population and Area'!$AJ$29:$AJ$198</c:f>
              <c:numCache>
                <c:formatCode>0</c:formatCode>
                <c:ptCount val="170"/>
                <c:pt idx="0">
                  <c:v>0.20472000000000001</c:v>
                </c:pt>
                <c:pt idx="1">
                  <c:v>0.84648999999999996</c:v>
                </c:pt>
                <c:pt idx="2">
                  <c:v>0.51783000000000001</c:v>
                </c:pt>
                <c:pt idx="3">
                  <c:v>3.5200499999999999</c:v>
                </c:pt>
                <c:pt idx="4">
                  <c:v>0.58609999999999995</c:v>
                </c:pt>
                <c:pt idx="5">
                  <c:v>0.16750000000000001</c:v>
                </c:pt>
                <c:pt idx="6">
                  <c:v>0.49958000000000002</c:v>
                </c:pt>
                <c:pt idx="7">
                  <c:v>3.8357899999999998</c:v>
                </c:pt>
                <c:pt idx="8">
                  <c:v>0.75812999999999997</c:v>
                </c:pt>
                <c:pt idx="9">
                  <c:v>0.49241000000000001</c:v>
                </c:pt>
                <c:pt idx="10">
                  <c:v>0.35727999999999999</c:v>
                </c:pt>
                <c:pt idx="11">
                  <c:v>0.77131000000000005</c:v>
                </c:pt>
                <c:pt idx="12">
                  <c:v>1.2164299999999999</c:v>
                </c:pt>
                <c:pt idx="13">
                  <c:v>0.34183000000000002</c:v>
                </c:pt>
                <c:pt idx="14">
                  <c:v>5.2810000000000003E-2</c:v>
                </c:pt>
                <c:pt idx="15">
                  <c:v>1.0840000000000001E-2</c:v>
                </c:pt>
                <c:pt idx="16">
                  <c:v>0.43601000000000001</c:v>
                </c:pt>
                <c:pt idx="17">
                  <c:v>0.82421</c:v>
                </c:pt>
                <c:pt idx="18">
                  <c:v>1.03695</c:v>
                </c:pt>
                <c:pt idx="19">
                  <c:v>0.23954</c:v>
                </c:pt>
                <c:pt idx="20">
                  <c:v>8.9370000000000005E-2</c:v>
                </c:pt>
                <c:pt idx="21">
                  <c:v>0.11267000000000001</c:v>
                </c:pt>
                <c:pt idx="22">
                  <c:v>1.1587700000000001</c:v>
                </c:pt>
                <c:pt idx="23">
                  <c:v>0.91908999999999996</c:v>
                </c:pt>
                <c:pt idx="24">
                  <c:v>0.50461999999999996</c:v>
                </c:pt>
                <c:pt idx="25">
                  <c:v>0.91583000000000003</c:v>
                </c:pt>
                <c:pt idx="26">
                  <c:v>0.83447000000000005</c:v>
                </c:pt>
                <c:pt idx="27">
                  <c:v>2.71651</c:v>
                </c:pt>
                <c:pt idx="28">
                  <c:v>0.87909999999999999</c:v>
                </c:pt>
                <c:pt idx="29">
                  <c:v>0.36477999999999999</c:v>
                </c:pt>
                <c:pt idx="30">
                  <c:v>1.12022</c:v>
                </c:pt>
                <c:pt idx="31">
                  <c:v>0.54740999999999995</c:v>
                </c:pt>
                <c:pt idx="32">
                  <c:v>0.96616999999999997</c:v>
                </c:pt>
                <c:pt idx="33">
                  <c:v>1.6881900000000001</c:v>
                </c:pt>
                <c:pt idx="34">
                  <c:v>0.21390000000000001</c:v>
                </c:pt>
                <c:pt idx="35">
                  <c:v>1.13615</c:v>
                </c:pt>
                <c:pt idx="36">
                  <c:v>0.47963</c:v>
                </c:pt>
                <c:pt idx="37">
                  <c:v>0.39213999999999999</c:v>
                </c:pt>
                <c:pt idx="38">
                  <c:v>0.48958000000000002</c:v>
                </c:pt>
                <c:pt idx="39">
                  <c:v>0.33729999999999999</c:v>
                </c:pt>
                <c:pt idx="40">
                  <c:v>4.3470000000000002E-2</c:v>
                </c:pt>
                <c:pt idx="41">
                  <c:v>0.56274999999999997</c:v>
                </c:pt>
                <c:pt idx="42">
                  <c:v>1.12269</c:v>
                </c:pt>
                <c:pt idx="43">
                  <c:v>0.21526999999999999</c:v>
                </c:pt>
                <c:pt idx="44">
                  <c:v>0.64822000000000002</c:v>
                </c:pt>
                <c:pt idx="45">
                  <c:v>1.03241</c:v>
                </c:pt>
                <c:pt idx="46">
                  <c:v>0.44119999999999998</c:v>
                </c:pt>
                <c:pt idx="47">
                  <c:v>1.1558600000000001</c:v>
                </c:pt>
                <c:pt idx="48">
                  <c:v>0.16719000000000001</c:v>
                </c:pt>
                <c:pt idx="49">
                  <c:v>1.7288600000000001</c:v>
                </c:pt>
                <c:pt idx="50">
                  <c:v>0.62904000000000004</c:v>
                </c:pt>
                <c:pt idx="51">
                  <c:v>1.52213</c:v>
                </c:pt>
                <c:pt idx="52">
                  <c:v>0.79022000000000003</c:v>
                </c:pt>
                <c:pt idx="53">
                  <c:v>2.1373899999999999</c:v>
                </c:pt>
                <c:pt idx="54">
                  <c:v>0.55813999999999997</c:v>
                </c:pt>
                <c:pt idx="55">
                  <c:v>5.3009300000000001</c:v>
                </c:pt>
                <c:pt idx="56">
                  <c:v>1.3964000000000001</c:v>
                </c:pt>
                <c:pt idx="57">
                  <c:v>1.7264600000000001</c:v>
                </c:pt>
                <c:pt idx="58">
                  <c:v>0.59721000000000002</c:v>
                </c:pt>
                <c:pt idx="59">
                  <c:v>2.0136099999999999</c:v>
                </c:pt>
                <c:pt idx="60">
                  <c:v>0.52002000000000004</c:v>
                </c:pt>
                <c:pt idx="61">
                  <c:v>0.12584000000000001</c:v>
                </c:pt>
                <c:pt idx="62">
                  <c:v>0.14315</c:v>
                </c:pt>
                <c:pt idx="63">
                  <c:v>0.86965000000000003</c:v>
                </c:pt>
                <c:pt idx="64">
                  <c:v>0.85275000000000001</c:v>
                </c:pt>
                <c:pt idx="65">
                  <c:v>0.19464999999999999</c:v>
                </c:pt>
                <c:pt idx="66">
                  <c:v>1.898E-2</c:v>
                </c:pt>
                <c:pt idx="67">
                  <c:v>0.55406</c:v>
                </c:pt>
                <c:pt idx="68">
                  <c:v>2.0064099999999998</c:v>
                </c:pt>
                <c:pt idx="69">
                  <c:v>0.27446999999999999</c:v>
                </c:pt>
                <c:pt idx="70">
                  <c:v>1.09419</c:v>
                </c:pt>
                <c:pt idx="71">
                  <c:v>2.82572</c:v>
                </c:pt>
                <c:pt idx="72">
                  <c:v>1.4630000000000001E-2</c:v>
                </c:pt>
                <c:pt idx="73">
                  <c:v>1.0839300000000001</c:v>
                </c:pt>
                <c:pt idx="74">
                  <c:v>0.20227000000000001</c:v>
                </c:pt>
                <c:pt idx="75">
                  <c:v>0.62182999999999999</c:v>
                </c:pt>
                <c:pt idx="76">
                  <c:v>5.3530000000000001E-2</c:v>
                </c:pt>
                <c:pt idx="77">
                  <c:v>0.59555999999999998</c:v>
                </c:pt>
                <c:pt idx="78">
                  <c:v>0.48682999999999998</c:v>
                </c:pt>
                <c:pt idx="79">
                  <c:v>0.15568000000000001</c:v>
                </c:pt>
                <c:pt idx="80">
                  <c:v>0.39907999999999999</c:v>
                </c:pt>
                <c:pt idx="81">
                  <c:v>0.32206000000000001</c:v>
                </c:pt>
                <c:pt idx="82">
                  <c:v>0.22991</c:v>
                </c:pt>
                <c:pt idx="83">
                  <c:v>0.31024000000000002</c:v>
                </c:pt>
                <c:pt idx="84">
                  <c:v>0.66266000000000003</c:v>
                </c:pt>
                <c:pt idx="85">
                  <c:v>0.16045999999999999</c:v>
                </c:pt>
                <c:pt idx="86">
                  <c:v>0.68183000000000005</c:v>
                </c:pt>
                <c:pt idx="87">
                  <c:v>0.85623000000000005</c:v>
                </c:pt>
                <c:pt idx="88">
                  <c:v>0.8014</c:v>
                </c:pt>
                <c:pt idx="89">
                  <c:v>0.32754</c:v>
                </c:pt>
                <c:pt idx="90">
                  <c:v>0.26968999999999999</c:v>
                </c:pt>
                <c:pt idx="91">
                  <c:v>0.24382000000000001</c:v>
                </c:pt>
                <c:pt idx="92">
                  <c:v>0.20521</c:v>
                </c:pt>
                <c:pt idx="93">
                  <c:v>4.67354</c:v>
                </c:pt>
                <c:pt idx="94">
                  <c:v>0.11529</c:v>
                </c:pt>
                <c:pt idx="95">
                  <c:v>0.12776999999999999</c:v>
                </c:pt>
                <c:pt idx="96">
                  <c:v>0.35532000000000002</c:v>
                </c:pt>
                <c:pt idx="97">
                  <c:v>0.92595000000000005</c:v>
                </c:pt>
                <c:pt idx="98">
                  <c:v>0.95201999999999998</c:v>
                </c:pt>
                <c:pt idx="99">
                  <c:v>0.36714999999999998</c:v>
                </c:pt>
                <c:pt idx="100">
                  <c:v>0.39437</c:v>
                </c:pt>
                <c:pt idx="101">
                  <c:v>0.62631999999999999</c:v>
                </c:pt>
                <c:pt idx="102">
                  <c:v>0.60401000000000005</c:v>
                </c:pt>
                <c:pt idx="103">
                  <c:v>2.0905</c:v>
                </c:pt>
                <c:pt idx="104">
                  <c:v>1.14985</c:v>
                </c:pt>
                <c:pt idx="105">
                  <c:v>0.61431000000000002</c:v>
                </c:pt>
                <c:pt idx="106">
                  <c:v>0.85326000000000002</c:v>
                </c:pt>
                <c:pt idx="107">
                  <c:v>1.0511999999999999</c:v>
                </c:pt>
                <c:pt idx="108">
                  <c:v>1.7607999999999999</c:v>
                </c:pt>
                <c:pt idx="109">
                  <c:v>1.81107</c:v>
                </c:pt>
                <c:pt idx="110">
                  <c:v>1.3948400000000001</c:v>
                </c:pt>
                <c:pt idx="111">
                  <c:v>0.13403999999999999</c:v>
                </c:pt>
                <c:pt idx="112">
                  <c:v>0.53681999999999996</c:v>
                </c:pt>
                <c:pt idx="113">
                  <c:v>1.41371</c:v>
                </c:pt>
                <c:pt idx="114">
                  <c:v>0.79132999999999998</c:v>
                </c:pt>
                <c:pt idx="115">
                  <c:v>0.62887999999999999</c:v>
                </c:pt>
                <c:pt idx="116">
                  <c:v>0.51671</c:v>
                </c:pt>
                <c:pt idx="117">
                  <c:v>1.5236099999999999</c:v>
                </c:pt>
                <c:pt idx="118">
                  <c:v>0.49703999999999998</c:v>
                </c:pt>
                <c:pt idx="119">
                  <c:v>0.74585000000000001</c:v>
                </c:pt>
                <c:pt idx="120">
                  <c:v>1.7775099999999999</c:v>
                </c:pt>
                <c:pt idx="121">
                  <c:v>0.41927999999999999</c:v>
                </c:pt>
                <c:pt idx="122">
                  <c:v>0.48325000000000001</c:v>
                </c:pt>
                <c:pt idx="123">
                  <c:v>0.71586000000000005</c:v>
                </c:pt>
                <c:pt idx="124">
                  <c:v>0.67412000000000005</c:v>
                </c:pt>
                <c:pt idx="125">
                  <c:v>1.0344</c:v>
                </c:pt>
                <c:pt idx="126">
                  <c:v>1.8669999999999999E-2</c:v>
                </c:pt>
                <c:pt idx="127">
                  <c:v>8.1409999999999996E-2</c:v>
                </c:pt>
                <c:pt idx="128">
                  <c:v>0.54412000000000005</c:v>
                </c:pt>
                <c:pt idx="129">
                  <c:v>5.0852899999999996</c:v>
                </c:pt>
                <c:pt idx="130">
                  <c:v>1.5625899999999999</c:v>
                </c:pt>
                <c:pt idx="131">
                  <c:v>2.1594099999999998</c:v>
                </c:pt>
                <c:pt idx="132">
                  <c:v>1.11128</c:v>
                </c:pt>
                <c:pt idx="133">
                  <c:v>0.64856999999999998</c:v>
                </c:pt>
                <c:pt idx="134">
                  <c:v>0.33982000000000001</c:v>
                </c:pt>
                <c:pt idx="135">
                  <c:v>0.24510000000000001</c:v>
                </c:pt>
                <c:pt idx="136">
                  <c:v>0.40334999999999999</c:v>
                </c:pt>
                <c:pt idx="137">
                  <c:v>0.48866999999999999</c:v>
                </c:pt>
                <c:pt idx="138">
                  <c:v>0.36013000000000001</c:v>
                </c:pt>
                <c:pt idx="139">
                  <c:v>0.96847000000000005</c:v>
                </c:pt>
                <c:pt idx="140">
                  <c:v>0.13186</c:v>
                </c:pt>
                <c:pt idx="141">
                  <c:v>3.3272499999999998</c:v>
                </c:pt>
                <c:pt idx="142">
                  <c:v>2.1008900000000001</c:v>
                </c:pt>
                <c:pt idx="143">
                  <c:v>0.91410999999999998</c:v>
                </c:pt>
                <c:pt idx="144">
                  <c:v>0.58115000000000006</c:v>
                </c:pt>
                <c:pt idx="145">
                  <c:v>0.24118999999999999</c:v>
                </c:pt>
                <c:pt idx="146">
                  <c:v>0.10917</c:v>
                </c:pt>
                <c:pt idx="147">
                  <c:v>0.11555</c:v>
                </c:pt>
                <c:pt idx="148">
                  <c:v>0.13378999999999999</c:v>
                </c:pt>
                <c:pt idx="149">
                  <c:v>0.20766999999999999</c:v>
                </c:pt>
                <c:pt idx="150">
                  <c:v>0.25611</c:v>
                </c:pt>
                <c:pt idx="151">
                  <c:v>0.38234000000000001</c:v>
                </c:pt>
                <c:pt idx="152">
                  <c:v>3.11178</c:v>
                </c:pt>
                <c:pt idx="153">
                  <c:v>1.1474200000000001</c:v>
                </c:pt>
                <c:pt idx="154">
                  <c:v>0.36120000000000002</c:v>
                </c:pt>
                <c:pt idx="155">
                  <c:v>1.4518200000000001</c:v>
                </c:pt>
                <c:pt idx="156">
                  <c:v>0.79795000000000005</c:v>
                </c:pt>
                <c:pt idx="157">
                  <c:v>0.77</c:v>
                </c:pt>
                <c:pt idx="158">
                  <c:v>5.8389999999999997E-2</c:v>
                </c:pt>
                <c:pt idx="159">
                  <c:v>1.01224</c:v>
                </c:pt>
                <c:pt idx="160">
                  <c:v>0.30005999999999999</c:v>
                </c:pt>
                <c:pt idx="161">
                  <c:v>1.06311</c:v>
                </c:pt>
                <c:pt idx="162">
                  <c:v>8.3519999999999997E-2</c:v>
                </c:pt>
                <c:pt idx="163">
                  <c:v>0.90937999999999997</c:v>
                </c:pt>
                <c:pt idx="164">
                  <c:v>0.86063999999999996</c:v>
                </c:pt>
                <c:pt idx="165">
                  <c:v>0.37280000000000002</c:v>
                </c:pt>
                <c:pt idx="166">
                  <c:v>0.67786999999999997</c:v>
                </c:pt>
                <c:pt idx="167">
                  <c:v>0.53681999999999996</c:v>
                </c:pt>
                <c:pt idx="168">
                  <c:v>#N/A</c:v>
                </c:pt>
                <c:pt idx="169">
                  <c:v>#N/A</c:v>
                </c:pt>
              </c:numCache>
            </c:numRef>
          </c:xVal>
          <c:yVal>
            <c:numRef>
              <c:f>'IV.D. Population and Area'!$AC$29:$AC$198</c:f>
              <c:numCache>
                <c:formatCode>0</c:formatCode>
                <c:ptCount val="170"/>
                <c:pt idx="46">
                  <c:v>153760.34354430379</c:v>
                </c:pt>
              </c:numCache>
            </c:numRef>
          </c:yVal>
          <c:smooth val="0"/>
          <c:extLst>
            <c:ext xmlns:c16="http://schemas.microsoft.com/office/drawing/2014/chart" uri="{C3380CC4-5D6E-409C-BE32-E72D297353CC}">
              <c16:uniqueId val="{00000006-DF28-4F46-91CF-1E90655E45B2}"/>
            </c:ext>
          </c:extLst>
        </c:ser>
        <c:ser>
          <c:idx val="5"/>
          <c:order val="5"/>
          <c:tx>
            <c:v>Region 8</c:v>
          </c:tx>
          <c:spPr>
            <a:ln w="25400" cap="rnd">
              <a:noFill/>
              <a:round/>
            </a:ln>
            <a:effectLst/>
          </c:spPr>
          <c:marker>
            <c:symbol val="circle"/>
            <c:size val="5"/>
            <c:spPr>
              <a:solidFill>
                <a:schemeClr val="accent6"/>
              </a:solidFill>
              <a:ln w="254000">
                <a:noFill/>
              </a:ln>
              <a:effectLst/>
            </c:spPr>
          </c:marker>
          <c:trendline>
            <c:spPr>
              <a:ln w="19050" cap="rnd">
                <a:solidFill>
                  <a:schemeClr val="accent6"/>
                </a:solidFill>
                <a:prstDash val="sysDot"/>
              </a:ln>
              <a:effectLst/>
            </c:spPr>
            <c:trendlineType val="linear"/>
            <c:dispRSqr val="1"/>
            <c:dispEq val="1"/>
            <c:trendlineLbl>
              <c:layout>
                <c:manualLayout>
                  <c:x val="6.1864193896319385E-2"/>
                  <c:y val="-1.1965122887547062E-2"/>
                </c:manualLayout>
              </c:layout>
              <c:numFmt formatCode="0.00" sourceLinked="0"/>
              <c:spPr>
                <a:noFill/>
                <a:ln w="12700">
                  <a:solidFill>
                    <a:schemeClr val="accent6"/>
                  </a:solidFill>
                  <a:prstDash val="sysDash"/>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'IV.D. Population and Area'!$AJ$29:$AJ$198</c:f>
              <c:numCache>
                <c:formatCode>0</c:formatCode>
                <c:ptCount val="170"/>
                <c:pt idx="0">
                  <c:v>0.20472000000000001</c:v>
                </c:pt>
                <c:pt idx="1">
                  <c:v>0.84648999999999996</c:v>
                </c:pt>
                <c:pt idx="2">
                  <c:v>0.51783000000000001</c:v>
                </c:pt>
                <c:pt idx="3">
                  <c:v>3.5200499999999999</c:v>
                </c:pt>
                <c:pt idx="4">
                  <c:v>0.58609999999999995</c:v>
                </c:pt>
                <c:pt idx="5">
                  <c:v>0.16750000000000001</c:v>
                </c:pt>
                <c:pt idx="6">
                  <c:v>0.49958000000000002</c:v>
                </c:pt>
                <c:pt idx="7">
                  <c:v>3.8357899999999998</c:v>
                </c:pt>
                <c:pt idx="8">
                  <c:v>0.75812999999999997</c:v>
                </c:pt>
                <c:pt idx="9">
                  <c:v>0.49241000000000001</c:v>
                </c:pt>
                <c:pt idx="10">
                  <c:v>0.35727999999999999</c:v>
                </c:pt>
                <c:pt idx="11">
                  <c:v>0.77131000000000005</c:v>
                </c:pt>
                <c:pt idx="12">
                  <c:v>1.2164299999999999</c:v>
                </c:pt>
                <c:pt idx="13">
                  <c:v>0.34183000000000002</c:v>
                </c:pt>
                <c:pt idx="14">
                  <c:v>5.2810000000000003E-2</c:v>
                </c:pt>
                <c:pt idx="15">
                  <c:v>1.0840000000000001E-2</c:v>
                </c:pt>
                <c:pt idx="16">
                  <c:v>0.43601000000000001</c:v>
                </c:pt>
                <c:pt idx="17">
                  <c:v>0.82421</c:v>
                </c:pt>
                <c:pt idx="18">
                  <c:v>1.03695</c:v>
                </c:pt>
                <c:pt idx="19">
                  <c:v>0.23954</c:v>
                </c:pt>
                <c:pt idx="20">
                  <c:v>8.9370000000000005E-2</c:v>
                </c:pt>
                <c:pt idx="21">
                  <c:v>0.11267000000000001</c:v>
                </c:pt>
                <c:pt idx="22">
                  <c:v>1.1587700000000001</c:v>
                </c:pt>
                <c:pt idx="23">
                  <c:v>0.91908999999999996</c:v>
                </c:pt>
                <c:pt idx="24">
                  <c:v>0.50461999999999996</c:v>
                </c:pt>
                <c:pt idx="25">
                  <c:v>0.91583000000000003</c:v>
                </c:pt>
                <c:pt idx="26">
                  <c:v>0.83447000000000005</c:v>
                </c:pt>
                <c:pt idx="27">
                  <c:v>2.71651</c:v>
                </c:pt>
                <c:pt idx="28">
                  <c:v>0.87909999999999999</c:v>
                </c:pt>
                <c:pt idx="29">
                  <c:v>0.36477999999999999</c:v>
                </c:pt>
                <c:pt idx="30">
                  <c:v>1.12022</c:v>
                </c:pt>
                <c:pt idx="31">
                  <c:v>0.54740999999999995</c:v>
                </c:pt>
                <c:pt idx="32">
                  <c:v>0.96616999999999997</c:v>
                </c:pt>
                <c:pt idx="33">
                  <c:v>1.6881900000000001</c:v>
                </c:pt>
                <c:pt idx="34">
                  <c:v>0.21390000000000001</c:v>
                </c:pt>
                <c:pt idx="35">
                  <c:v>1.13615</c:v>
                </c:pt>
                <c:pt idx="36">
                  <c:v>0.47963</c:v>
                </c:pt>
                <c:pt idx="37">
                  <c:v>0.39213999999999999</c:v>
                </c:pt>
                <c:pt idx="38">
                  <c:v>0.48958000000000002</c:v>
                </c:pt>
                <c:pt idx="39">
                  <c:v>0.33729999999999999</c:v>
                </c:pt>
                <c:pt idx="40">
                  <c:v>4.3470000000000002E-2</c:v>
                </c:pt>
                <c:pt idx="41">
                  <c:v>0.56274999999999997</c:v>
                </c:pt>
                <c:pt idx="42">
                  <c:v>1.12269</c:v>
                </c:pt>
                <c:pt idx="43">
                  <c:v>0.21526999999999999</c:v>
                </c:pt>
                <c:pt idx="44">
                  <c:v>0.64822000000000002</c:v>
                </c:pt>
                <c:pt idx="45">
                  <c:v>1.03241</c:v>
                </c:pt>
                <c:pt idx="46">
                  <c:v>0.44119999999999998</c:v>
                </c:pt>
                <c:pt idx="47">
                  <c:v>1.1558600000000001</c:v>
                </c:pt>
                <c:pt idx="48">
                  <c:v>0.16719000000000001</c:v>
                </c:pt>
                <c:pt idx="49">
                  <c:v>1.7288600000000001</c:v>
                </c:pt>
                <c:pt idx="50">
                  <c:v>0.62904000000000004</c:v>
                </c:pt>
                <c:pt idx="51">
                  <c:v>1.52213</c:v>
                </c:pt>
                <c:pt idx="52">
                  <c:v>0.79022000000000003</c:v>
                </c:pt>
                <c:pt idx="53">
                  <c:v>2.1373899999999999</c:v>
                </c:pt>
                <c:pt idx="54">
                  <c:v>0.55813999999999997</c:v>
                </c:pt>
                <c:pt idx="55">
                  <c:v>5.3009300000000001</c:v>
                </c:pt>
                <c:pt idx="56">
                  <c:v>1.3964000000000001</c:v>
                </c:pt>
                <c:pt idx="57">
                  <c:v>1.7264600000000001</c:v>
                </c:pt>
                <c:pt idx="58">
                  <c:v>0.59721000000000002</c:v>
                </c:pt>
                <c:pt idx="59">
                  <c:v>2.0136099999999999</c:v>
                </c:pt>
                <c:pt idx="60">
                  <c:v>0.52002000000000004</c:v>
                </c:pt>
                <c:pt idx="61">
                  <c:v>0.12584000000000001</c:v>
                </c:pt>
                <c:pt idx="62">
                  <c:v>0.14315</c:v>
                </c:pt>
                <c:pt idx="63">
                  <c:v>0.86965000000000003</c:v>
                </c:pt>
                <c:pt idx="64">
                  <c:v>0.85275000000000001</c:v>
                </c:pt>
                <c:pt idx="65">
                  <c:v>0.19464999999999999</c:v>
                </c:pt>
                <c:pt idx="66">
                  <c:v>1.898E-2</c:v>
                </c:pt>
                <c:pt idx="67">
                  <c:v>0.55406</c:v>
                </c:pt>
                <c:pt idx="68">
                  <c:v>2.0064099999999998</c:v>
                </c:pt>
                <c:pt idx="69">
                  <c:v>0.27446999999999999</c:v>
                </c:pt>
                <c:pt idx="70">
                  <c:v>1.09419</c:v>
                </c:pt>
                <c:pt idx="71">
                  <c:v>2.82572</c:v>
                </c:pt>
                <c:pt idx="72">
                  <c:v>1.4630000000000001E-2</c:v>
                </c:pt>
                <c:pt idx="73">
                  <c:v>1.0839300000000001</c:v>
                </c:pt>
                <c:pt idx="74">
                  <c:v>0.20227000000000001</c:v>
                </c:pt>
                <c:pt idx="75">
                  <c:v>0.62182999999999999</c:v>
                </c:pt>
                <c:pt idx="76">
                  <c:v>5.3530000000000001E-2</c:v>
                </c:pt>
                <c:pt idx="77">
                  <c:v>0.59555999999999998</c:v>
                </c:pt>
                <c:pt idx="78">
                  <c:v>0.48682999999999998</c:v>
                </c:pt>
                <c:pt idx="79">
                  <c:v>0.15568000000000001</c:v>
                </c:pt>
                <c:pt idx="80">
                  <c:v>0.39907999999999999</c:v>
                </c:pt>
                <c:pt idx="81">
                  <c:v>0.32206000000000001</c:v>
                </c:pt>
                <c:pt idx="82">
                  <c:v>0.22991</c:v>
                </c:pt>
                <c:pt idx="83">
                  <c:v>0.31024000000000002</c:v>
                </c:pt>
                <c:pt idx="84">
                  <c:v>0.66266000000000003</c:v>
                </c:pt>
                <c:pt idx="85">
                  <c:v>0.16045999999999999</c:v>
                </c:pt>
                <c:pt idx="86">
                  <c:v>0.68183000000000005</c:v>
                </c:pt>
                <c:pt idx="87">
                  <c:v>0.85623000000000005</c:v>
                </c:pt>
                <c:pt idx="88">
                  <c:v>0.8014</c:v>
                </c:pt>
                <c:pt idx="89">
                  <c:v>0.32754</c:v>
                </c:pt>
                <c:pt idx="90">
                  <c:v>0.26968999999999999</c:v>
                </c:pt>
                <c:pt idx="91">
                  <c:v>0.24382000000000001</c:v>
                </c:pt>
                <c:pt idx="92">
                  <c:v>0.20521</c:v>
                </c:pt>
                <c:pt idx="93">
                  <c:v>4.67354</c:v>
                </c:pt>
                <c:pt idx="94">
                  <c:v>0.11529</c:v>
                </c:pt>
                <c:pt idx="95">
                  <c:v>0.12776999999999999</c:v>
                </c:pt>
                <c:pt idx="96">
                  <c:v>0.35532000000000002</c:v>
                </c:pt>
                <c:pt idx="97">
                  <c:v>0.92595000000000005</c:v>
                </c:pt>
                <c:pt idx="98">
                  <c:v>0.95201999999999998</c:v>
                </c:pt>
                <c:pt idx="99">
                  <c:v>0.36714999999999998</c:v>
                </c:pt>
                <c:pt idx="100">
                  <c:v>0.39437</c:v>
                </c:pt>
                <c:pt idx="101">
                  <c:v>0.62631999999999999</c:v>
                </c:pt>
                <c:pt idx="102">
                  <c:v>0.60401000000000005</c:v>
                </c:pt>
                <c:pt idx="103">
                  <c:v>2.0905</c:v>
                </c:pt>
                <c:pt idx="104">
                  <c:v>1.14985</c:v>
                </c:pt>
                <c:pt idx="105">
                  <c:v>0.61431000000000002</c:v>
                </c:pt>
                <c:pt idx="106">
                  <c:v>0.85326000000000002</c:v>
                </c:pt>
                <c:pt idx="107">
                  <c:v>1.0511999999999999</c:v>
                </c:pt>
                <c:pt idx="108">
                  <c:v>1.7607999999999999</c:v>
                </c:pt>
                <c:pt idx="109">
                  <c:v>1.81107</c:v>
                </c:pt>
                <c:pt idx="110">
                  <c:v>1.3948400000000001</c:v>
                </c:pt>
                <c:pt idx="111">
                  <c:v>0.13403999999999999</c:v>
                </c:pt>
                <c:pt idx="112">
                  <c:v>0.53681999999999996</c:v>
                </c:pt>
                <c:pt idx="113">
                  <c:v>1.41371</c:v>
                </c:pt>
                <c:pt idx="114">
                  <c:v>0.79132999999999998</c:v>
                </c:pt>
                <c:pt idx="115">
                  <c:v>0.62887999999999999</c:v>
                </c:pt>
                <c:pt idx="116">
                  <c:v>0.51671</c:v>
                </c:pt>
                <c:pt idx="117">
                  <c:v>1.5236099999999999</c:v>
                </c:pt>
                <c:pt idx="118">
                  <c:v>0.49703999999999998</c:v>
                </c:pt>
                <c:pt idx="119">
                  <c:v>0.74585000000000001</c:v>
                </c:pt>
                <c:pt idx="120">
                  <c:v>1.7775099999999999</c:v>
                </c:pt>
                <c:pt idx="121">
                  <c:v>0.41927999999999999</c:v>
                </c:pt>
                <c:pt idx="122">
                  <c:v>0.48325000000000001</c:v>
                </c:pt>
                <c:pt idx="123">
                  <c:v>0.71586000000000005</c:v>
                </c:pt>
                <c:pt idx="124">
                  <c:v>0.67412000000000005</c:v>
                </c:pt>
                <c:pt idx="125">
                  <c:v>1.0344</c:v>
                </c:pt>
                <c:pt idx="126">
                  <c:v>1.8669999999999999E-2</c:v>
                </c:pt>
                <c:pt idx="127">
                  <c:v>8.1409999999999996E-2</c:v>
                </c:pt>
                <c:pt idx="128">
                  <c:v>0.54412000000000005</c:v>
                </c:pt>
                <c:pt idx="129">
                  <c:v>5.0852899999999996</c:v>
                </c:pt>
                <c:pt idx="130">
                  <c:v>1.5625899999999999</c:v>
                </c:pt>
                <c:pt idx="131">
                  <c:v>2.1594099999999998</c:v>
                </c:pt>
                <c:pt idx="132">
                  <c:v>1.11128</c:v>
                </c:pt>
                <c:pt idx="133">
                  <c:v>0.64856999999999998</c:v>
                </c:pt>
                <c:pt idx="134">
                  <c:v>0.33982000000000001</c:v>
                </c:pt>
                <c:pt idx="135">
                  <c:v>0.24510000000000001</c:v>
                </c:pt>
                <c:pt idx="136">
                  <c:v>0.40334999999999999</c:v>
                </c:pt>
                <c:pt idx="137">
                  <c:v>0.48866999999999999</c:v>
                </c:pt>
                <c:pt idx="138">
                  <c:v>0.36013000000000001</c:v>
                </c:pt>
                <c:pt idx="139">
                  <c:v>0.96847000000000005</c:v>
                </c:pt>
                <c:pt idx="140">
                  <c:v>0.13186</c:v>
                </c:pt>
                <c:pt idx="141">
                  <c:v>3.3272499999999998</c:v>
                </c:pt>
                <c:pt idx="142">
                  <c:v>2.1008900000000001</c:v>
                </c:pt>
                <c:pt idx="143">
                  <c:v>0.91410999999999998</c:v>
                </c:pt>
                <c:pt idx="144">
                  <c:v>0.58115000000000006</c:v>
                </c:pt>
                <c:pt idx="145">
                  <c:v>0.24118999999999999</c:v>
                </c:pt>
                <c:pt idx="146">
                  <c:v>0.10917</c:v>
                </c:pt>
                <c:pt idx="147">
                  <c:v>0.11555</c:v>
                </c:pt>
                <c:pt idx="148">
                  <c:v>0.13378999999999999</c:v>
                </c:pt>
                <c:pt idx="149">
                  <c:v>0.20766999999999999</c:v>
                </c:pt>
                <c:pt idx="150">
                  <c:v>0.25611</c:v>
                </c:pt>
                <c:pt idx="151">
                  <c:v>0.38234000000000001</c:v>
                </c:pt>
                <c:pt idx="152">
                  <c:v>3.11178</c:v>
                </c:pt>
                <c:pt idx="153">
                  <c:v>1.1474200000000001</c:v>
                </c:pt>
                <c:pt idx="154">
                  <c:v>0.36120000000000002</c:v>
                </c:pt>
                <c:pt idx="155">
                  <c:v>1.4518200000000001</c:v>
                </c:pt>
                <c:pt idx="156">
                  <c:v>0.79795000000000005</c:v>
                </c:pt>
                <c:pt idx="157">
                  <c:v>0.77</c:v>
                </c:pt>
                <c:pt idx="158">
                  <c:v>5.8389999999999997E-2</c:v>
                </c:pt>
                <c:pt idx="159">
                  <c:v>1.01224</c:v>
                </c:pt>
                <c:pt idx="160">
                  <c:v>0.30005999999999999</c:v>
                </c:pt>
                <c:pt idx="161">
                  <c:v>1.06311</c:v>
                </c:pt>
                <c:pt idx="162">
                  <c:v>8.3519999999999997E-2</c:v>
                </c:pt>
                <c:pt idx="163">
                  <c:v>0.90937999999999997</c:v>
                </c:pt>
                <c:pt idx="164">
                  <c:v>0.86063999999999996</c:v>
                </c:pt>
                <c:pt idx="165">
                  <c:v>0.37280000000000002</c:v>
                </c:pt>
                <c:pt idx="166">
                  <c:v>0.67786999999999997</c:v>
                </c:pt>
                <c:pt idx="167">
                  <c:v>0.53681999999999996</c:v>
                </c:pt>
                <c:pt idx="168">
                  <c:v>#N/A</c:v>
                </c:pt>
                <c:pt idx="169">
                  <c:v>#N/A</c:v>
                </c:pt>
              </c:numCache>
            </c:numRef>
          </c:xVal>
          <c:yVal>
            <c:numRef>
              <c:f>'IV.D. Population and Area'!$AD$29:$AD$198</c:f>
              <c:numCache>
                <c:formatCode>0</c:formatCode>
                <c:ptCount val="170"/>
                <c:pt idx="3">
                  <c:v>2501287.4445906268</c:v>
                </c:pt>
                <c:pt idx="9">
                  <c:v>156745.14375000002</c:v>
                </c:pt>
                <c:pt idx="14">
                  <c:v>1704116.9961977187</c:v>
                </c:pt>
                <c:pt idx="16">
                  <c:v>671792.25298136647</c:v>
                </c:pt>
                <c:pt idx="17">
                  <c:v>368708.32580463012</c:v>
                </c:pt>
                <c:pt idx="20">
                  <c:v>66068.990253000011</c:v>
                </c:pt>
                <c:pt idx="21">
                  <c:v>143238.27317062503</c:v>
                </c:pt>
                <c:pt idx="25">
                  <c:v>546737.71346007613</c:v>
                </c:pt>
                <c:pt idx="26">
                  <c:v>427421.99477351917</c:v>
                </c:pt>
                <c:pt idx="31">
                  <c:v>627823.72881533101</c:v>
                </c:pt>
                <c:pt idx="33">
                  <c:v>1643463.9202875001</c:v>
                </c:pt>
                <c:pt idx="35">
                  <c:v>1545061.1006968643</c:v>
                </c:pt>
                <c:pt idx="38">
                  <c:v>776952.98252964427</c:v>
                </c:pt>
                <c:pt idx="44">
                  <c:v>145888.68152437502</c:v>
                </c:pt>
                <c:pt idx="53">
                  <c:v>1895990.1517870724</c:v>
                </c:pt>
                <c:pt idx="54">
                  <c:v>2609821.2514624507</c:v>
                </c:pt>
                <c:pt idx="56">
                  <c:v>2358936.1931620552</c:v>
                </c:pt>
                <c:pt idx="57">
                  <c:v>1683421.335889328</c:v>
                </c:pt>
                <c:pt idx="61">
                  <c:v>131400.92152091255</c:v>
                </c:pt>
                <c:pt idx="64">
                  <c:v>918723.73720199999</c:v>
                </c:pt>
                <c:pt idx="67">
                  <c:v>562900.77946768061</c:v>
                </c:pt>
                <c:pt idx="68">
                  <c:v>12523295.5053642</c:v>
                </c:pt>
                <c:pt idx="71">
                  <c:v>3572387.2623150763</c:v>
                </c:pt>
                <c:pt idx="73">
                  <c:v>533143.18125000002</c:v>
                </c:pt>
                <c:pt idx="75">
                  <c:v>2539451.2427837378</c:v>
                </c:pt>
                <c:pt idx="79">
                  <c:v>203038.22642574814</c:v>
                </c:pt>
                <c:pt idx="85">
                  <c:v>736687.48175030609</c:v>
                </c:pt>
                <c:pt idx="86">
                  <c:v>149294.57001712502</c:v>
                </c:pt>
                <c:pt idx="87">
                  <c:v>1510205.385</c:v>
                </c:pt>
                <c:pt idx="91">
                  <c:v>241531.74144486693</c:v>
                </c:pt>
                <c:pt idx="94">
                  <c:v>91329.48606271777</c:v>
                </c:pt>
                <c:pt idx="97">
                  <c:v>347654.43806250003</c:v>
                </c:pt>
                <c:pt idx="100">
                  <c:v>456243.04140684416</c:v>
                </c:pt>
                <c:pt idx="103">
                  <c:v>855936.47651250008</c:v>
                </c:pt>
                <c:pt idx="106">
                  <c:v>3001101.062676454</c:v>
                </c:pt>
                <c:pt idx="109">
                  <c:v>2467026.6813307987</c:v>
                </c:pt>
                <c:pt idx="110">
                  <c:v>2582509.839367589</c:v>
                </c:pt>
                <c:pt idx="114">
                  <c:v>189436.20450000002</c:v>
                </c:pt>
                <c:pt idx="116">
                  <c:v>447385.99375494069</c:v>
                </c:pt>
                <c:pt idx="120">
                  <c:v>1415205.912091255</c:v>
                </c:pt>
                <c:pt idx="123">
                  <c:v>1228933.0611406844</c:v>
                </c:pt>
                <c:pt idx="125">
                  <c:v>305497.25589353614</c:v>
                </c:pt>
                <c:pt idx="131">
                  <c:v>2054167.9285171104</c:v>
                </c:pt>
                <c:pt idx="137">
                  <c:v>1471263.0867708751</c:v>
                </c:pt>
                <c:pt idx="141">
                  <c:v>6201789.1281818179</c:v>
                </c:pt>
                <c:pt idx="145">
                  <c:v>567910.28063241101</c:v>
                </c:pt>
                <c:pt idx="151">
                  <c:v>140235.61868435913</c:v>
                </c:pt>
                <c:pt idx="156">
                  <c:v>961416.55021456804</c:v>
                </c:pt>
                <c:pt idx="157">
                  <c:v>238263.83399239546</c:v>
                </c:pt>
                <c:pt idx="158">
                  <c:v>125744.45793337097</c:v>
                </c:pt>
                <c:pt idx="163">
                  <c:v>614513.87634105026</c:v>
                </c:pt>
                <c:pt idx="166">
                  <c:v>566543.43127046863</c:v>
                </c:pt>
                <c:pt idx="167">
                  <c:v>265769.96197718632</c:v>
                </c:pt>
              </c:numCache>
            </c:numRef>
          </c:yVal>
          <c:smooth val="0"/>
          <c:extLst>
            <c:ext xmlns:c16="http://schemas.microsoft.com/office/drawing/2014/chart" uri="{C3380CC4-5D6E-409C-BE32-E72D297353CC}">
              <c16:uniqueId val="{00000008-DF28-4F46-91CF-1E90655E45B2}"/>
            </c:ext>
          </c:extLst>
        </c:ser>
        <c:ser>
          <c:idx val="6"/>
          <c:order val="6"/>
          <c:tx>
            <c:v>Region 9</c:v>
          </c:tx>
          <c:spPr>
            <a:ln w="25400" cap="rnd">
              <a:noFill/>
              <a:round/>
            </a:ln>
            <a:effectLst/>
          </c:spPr>
          <c:marker>
            <c:symbol val="circle"/>
            <c:size val="5"/>
            <c:spPr>
              <a:solidFill>
                <a:schemeClr val="accent1">
                  <a:lumMod val="60000"/>
                </a:schemeClr>
              </a:solidFill>
              <a:ln w="254000">
                <a:noFill/>
              </a:ln>
              <a:effectLst/>
            </c:spPr>
          </c:marker>
          <c:trendline>
            <c:spPr>
              <a:ln w="19050" cap="rnd">
                <a:solidFill>
                  <a:schemeClr val="accent1">
                    <a:lumMod val="60000"/>
                  </a:schemeClr>
                </a:solidFill>
                <a:prstDash val="sysDot"/>
              </a:ln>
              <a:effectLst/>
            </c:spPr>
            <c:trendlineType val="linear"/>
            <c:dispRSqr val="1"/>
            <c:dispEq val="1"/>
            <c:trendlineLbl>
              <c:layout>
                <c:manualLayout>
                  <c:x val="1.1940788374050696E-2"/>
                  <c:y val="0.16355370297600988"/>
                </c:manualLayout>
              </c:layout>
              <c:numFmt formatCode="0.00" sourceLinked="0"/>
              <c:spPr>
                <a:noFill/>
                <a:ln w="12700">
                  <a:solidFill>
                    <a:srgbClr val="002060"/>
                  </a:solidFill>
                  <a:prstDash val="sysDash"/>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'IV.D. Population and Area'!$AJ$29:$AJ$198</c:f>
              <c:numCache>
                <c:formatCode>0</c:formatCode>
                <c:ptCount val="170"/>
                <c:pt idx="0">
                  <c:v>0.20472000000000001</c:v>
                </c:pt>
                <c:pt idx="1">
                  <c:v>0.84648999999999996</c:v>
                </c:pt>
                <c:pt idx="2">
                  <c:v>0.51783000000000001</c:v>
                </c:pt>
                <c:pt idx="3">
                  <c:v>3.5200499999999999</c:v>
                </c:pt>
                <c:pt idx="4">
                  <c:v>0.58609999999999995</c:v>
                </c:pt>
                <c:pt idx="5">
                  <c:v>0.16750000000000001</c:v>
                </c:pt>
                <c:pt idx="6">
                  <c:v>0.49958000000000002</c:v>
                </c:pt>
                <c:pt idx="7">
                  <c:v>3.8357899999999998</c:v>
                </c:pt>
                <c:pt idx="8">
                  <c:v>0.75812999999999997</c:v>
                </c:pt>
                <c:pt idx="9">
                  <c:v>0.49241000000000001</c:v>
                </c:pt>
                <c:pt idx="10">
                  <c:v>0.35727999999999999</c:v>
                </c:pt>
                <c:pt idx="11">
                  <c:v>0.77131000000000005</c:v>
                </c:pt>
                <c:pt idx="12">
                  <c:v>1.2164299999999999</c:v>
                </c:pt>
                <c:pt idx="13">
                  <c:v>0.34183000000000002</c:v>
                </c:pt>
                <c:pt idx="14">
                  <c:v>5.2810000000000003E-2</c:v>
                </c:pt>
                <c:pt idx="15">
                  <c:v>1.0840000000000001E-2</c:v>
                </c:pt>
                <c:pt idx="16">
                  <c:v>0.43601000000000001</c:v>
                </c:pt>
                <c:pt idx="17">
                  <c:v>0.82421</c:v>
                </c:pt>
                <c:pt idx="18">
                  <c:v>1.03695</c:v>
                </c:pt>
                <c:pt idx="19">
                  <c:v>0.23954</c:v>
                </c:pt>
                <c:pt idx="20">
                  <c:v>8.9370000000000005E-2</c:v>
                </c:pt>
                <c:pt idx="21">
                  <c:v>0.11267000000000001</c:v>
                </c:pt>
                <c:pt idx="22">
                  <c:v>1.1587700000000001</c:v>
                </c:pt>
                <c:pt idx="23">
                  <c:v>0.91908999999999996</c:v>
                </c:pt>
                <c:pt idx="24">
                  <c:v>0.50461999999999996</c:v>
                </c:pt>
                <c:pt idx="25">
                  <c:v>0.91583000000000003</c:v>
                </c:pt>
                <c:pt idx="26">
                  <c:v>0.83447000000000005</c:v>
                </c:pt>
                <c:pt idx="27">
                  <c:v>2.71651</c:v>
                </c:pt>
                <c:pt idx="28">
                  <c:v>0.87909999999999999</c:v>
                </c:pt>
                <c:pt idx="29">
                  <c:v>0.36477999999999999</c:v>
                </c:pt>
                <c:pt idx="30">
                  <c:v>1.12022</c:v>
                </c:pt>
                <c:pt idx="31">
                  <c:v>0.54740999999999995</c:v>
                </c:pt>
                <c:pt idx="32">
                  <c:v>0.96616999999999997</c:v>
                </c:pt>
                <c:pt idx="33">
                  <c:v>1.6881900000000001</c:v>
                </c:pt>
                <c:pt idx="34">
                  <c:v>0.21390000000000001</c:v>
                </c:pt>
                <c:pt idx="35">
                  <c:v>1.13615</c:v>
                </c:pt>
                <c:pt idx="36">
                  <c:v>0.47963</c:v>
                </c:pt>
                <c:pt idx="37">
                  <c:v>0.39213999999999999</c:v>
                </c:pt>
                <c:pt idx="38">
                  <c:v>0.48958000000000002</c:v>
                </c:pt>
                <c:pt idx="39">
                  <c:v>0.33729999999999999</c:v>
                </c:pt>
                <c:pt idx="40">
                  <c:v>4.3470000000000002E-2</c:v>
                </c:pt>
                <c:pt idx="41">
                  <c:v>0.56274999999999997</c:v>
                </c:pt>
                <c:pt idx="42">
                  <c:v>1.12269</c:v>
                </c:pt>
                <c:pt idx="43">
                  <c:v>0.21526999999999999</c:v>
                </c:pt>
                <c:pt idx="44">
                  <c:v>0.64822000000000002</c:v>
                </c:pt>
                <c:pt idx="45">
                  <c:v>1.03241</c:v>
                </c:pt>
                <c:pt idx="46">
                  <c:v>0.44119999999999998</c:v>
                </c:pt>
                <c:pt idx="47">
                  <c:v>1.1558600000000001</c:v>
                </c:pt>
                <c:pt idx="48">
                  <c:v>0.16719000000000001</c:v>
                </c:pt>
                <c:pt idx="49">
                  <c:v>1.7288600000000001</c:v>
                </c:pt>
                <c:pt idx="50">
                  <c:v>0.62904000000000004</c:v>
                </c:pt>
                <c:pt idx="51">
                  <c:v>1.52213</c:v>
                </c:pt>
                <c:pt idx="52">
                  <c:v>0.79022000000000003</c:v>
                </c:pt>
                <c:pt idx="53">
                  <c:v>2.1373899999999999</c:v>
                </c:pt>
                <c:pt idx="54">
                  <c:v>0.55813999999999997</c:v>
                </c:pt>
                <c:pt idx="55">
                  <c:v>5.3009300000000001</c:v>
                </c:pt>
                <c:pt idx="56">
                  <c:v>1.3964000000000001</c:v>
                </c:pt>
                <c:pt idx="57">
                  <c:v>1.7264600000000001</c:v>
                </c:pt>
                <c:pt idx="58">
                  <c:v>0.59721000000000002</c:v>
                </c:pt>
                <c:pt idx="59">
                  <c:v>2.0136099999999999</c:v>
                </c:pt>
                <c:pt idx="60">
                  <c:v>0.52002000000000004</c:v>
                </c:pt>
                <c:pt idx="61">
                  <c:v>0.12584000000000001</c:v>
                </c:pt>
                <c:pt idx="62">
                  <c:v>0.14315</c:v>
                </c:pt>
                <c:pt idx="63">
                  <c:v>0.86965000000000003</c:v>
                </c:pt>
                <c:pt idx="64">
                  <c:v>0.85275000000000001</c:v>
                </c:pt>
                <c:pt idx="65">
                  <c:v>0.19464999999999999</c:v>
                </c:pt>
                <c:pt idx="66">
                  <c:v>1.898E-2</c:v>
                </c:pt>
                <c:pt idx="67">
                  <c:v>0.55406</c:v>
                </c:pt>
                <c:pt idx="68">
                  <c:v>2.0064099999999998</c:v>
                </c:pt>
                <c:pt idx="69">
                  <c:v>0.27446999999999999</c:v>
                </c:pt>
                <c:pt idx="70">
                  <c:v>1.09419</c:v>
                </c:pt>
                <c:pt idx="71">
                  <c:v>2.82572</c:v>
                </c:pt>
                <c:pt idx="72">
                  <c:v>1.4630000000000001E-2</c:v>
                </c:pt>
                <c:pt idx="73">
                  <c:v>1.0839300000000001</c:v>
                </c:pt>
                <c:pt idx="74">
                  <c:v>0.20227000000000001</c:v>
                </c:pt>
                <c:pt idx="75">
                  <c:v>0.62182999999999999</c:v>
                </c:pt>
                <c:pt idx="76">
                  <c:v>5.3530000000000001E-2</c:v>
                </c:pt>
                <c:pt idx="77">
                  <c:v>0.59555999999999998</c:v>
                </c:pt>
                <c:pt idx="78">
                  <c:v>0.48682999999999998</c:v>
                </c:pt>
                <c:pt idx="79">
                  <c:v>0.15568000000000001</c:v>
                </c:pt>
                <c:pt idx="80">
                  <c:v>0.39907999999999999</c:v>
                </c:pt>
                <c:pt idx="81">
                  <c:v>0.32206000000000001</c:v>
                </c:pt>
                <c:pt idx="82">
                  <c:v>0.22991</c:v>
                </c:pt>
                <c:pt idx="83">
                  <c:v>0.31024000000000002</c:v>
                </c:pt>
                <c:pt idx="84">
                  <c:v>0.66266000000000003</c:v>
                </c:pt>
                <c:pt idx="85">
                  <c:v>0.16045999999999999</c:v>
                </c:pt>
                <c:pt idx="86">
                  <c:v>0.68183000000000005</c:v>
                </c:pt>
                <c:pt idx="87">
                  <c:v>0.85623000000000005</c:v>
                </c:pt>
                <c:pt idx="88">
                  <c:v>0.8014</c:v>
                </c:pt>
                <c:pt idx="89">
                  <c:v>0.32754</c:v>
                </c:pt>
                <c:pt idx="90">
                  <c:v>0.26968999999999999</c:v>
                </c:pt>
                <c:pt idx="91">
                  <c:v>0.24382000000000001</c:v>
                </c:pt>
                <c:pt idx="92">
                  <c:v>0.20521</c:v>
                </c:pt>
                <c:pt idx="93">
                  <c:v>4.67354</c:v>
                </c:pt>
                <c:pt idx="94">
                  <c:v>0.11529</c:v>
                </c:pt>
                <c:pt idx="95">
                  <c:v>0.12776999999999999</c:v>
                </c:pt>
                <c:pt idx="96">
                  <c:v>0.35532000000000002</c:v>
                </c:pt>
                <c:pt idx="97">
                  <c:v>0.92595000000000005</c:v>
                </c:pt>
                <c:pt idx="98">
                  <c:v>0.95201999999999998</c:v>
                </c:pt>
                <c:pt idx="99">
                  <c:v>0.36714999999999998</c:v>
                </c:pt>
                <c:pt idx="100">
                  <c:v>0.39437</c:v>
                </c:pt>
                <c:pt idx="101">
                  <c:v>0.62631999999999999</c:v>
                </c:pt>
                <c:pt idx="102">
                  <c:v>0.60401000000000005</c:v>
                </c:pt>
                <c:pt idx="103">
                  <c:v>2.0905</c:v>
                </c:pt>
                <c:pt idx="104">
                  <c:v>1.14985</c:v>
                </c:pt>
                <c:pt idx="105">
                  <c:v>0.61431000000000002</c:v>
                </c:pt>
                <c:pt idx="106">
                  <c:v>0.85326000000000002</c:v>
                </c:pt>
                <c:pt idx="107">
                  <c:v>1.0511999999999999</c:v>
                </c:pt>
                <c:pt idx="108">
                  <c:v>1.7607999999999999</c:v>
                </c:pt>
                <c:pt idx="109">
                  <c:v>1.81107</c:v>
                </c:pt>
                <c:pt idx="110">
                  <c:v>1.3948400000000001</c:v>
                </c:pt>
                <c:pt idx="111">
                  <c:v>0.13403999999999999</c:v>
                </c:pt>
                <c:pt idx="112">
                  <c:v>0.53681999999999996</c:v>
                </c:pt>
                <c:pt idx="113">
                  <c:v>1.41371</c:v>
                </c:pt>
                <c:pt idx="114">
                  <c:v>0.79132999999999998</c:v>
                </c:pt>
                <c:pt idx="115">
                  <c:v>0.62887999999999999</c:v>
                </c:pt>
                <c:pt idx="116">
                  <c:v>0.51671</c:v>
                </c:pt>
                <c:pt idx="117">
                  <c:v>1.5236099999999999</c:v>
                </c:pt>
                <c:pt idx="118">
                  <c:v>0.49703999999999998</c:v>
                </c:pt>
                <c:pt idx="119">
                  <c:v>0.74585000000000001</c:v>
                </c:pt>
                <c:pt idx="120">
                  <c:v>1.7775099999999999</c:v>
                </c:pt>
                <c:pt idx="121">
                  <c:v>0.41927999999999999</c:v>
                </c:pt>
                <c:pt idx="122">
                  <c:v>0.48325000000000001</c:v>
                </c:pt>
                <c:pt idx="123">
                  <c:v>0.71586000000000005</c:v>
                </c:pt>
                <c:pt idx="124">
                  <c:v>0.67412000000000005</c:v>
                </c:pt>
                <c:pt idx="125">
                  <c:v>1.0344</c:v>
                </c:pt>
                <c:pt idx="126">
                  <c:v>1.8669999999999999E-2</c:v>
                </c:pt>
                <c:pt idx="127">
                  <c:v>8.1409999999999996E-2</c:v>
                </c:pt>
                <c:pt idx="128">
                  <c:v>0.54412000000000005</c:v>
                </c:pt>
                <c:pt idx="129">
                  <c:v>5.0852899999999996</c:v>
                </c:pt>
                <c:pt idx="130">
                  <c:v>1.5625899999999999</c:v>
                </c:pt>
                <c:pt idx="131">
                  <c:v>2.1594099999999998</c:v>
                </c:pt>
                <c:pt idx="132">
                  <c:v>1.11128</c:v>
                </c:pt>
                <c:pt idx="133">
                  <c:v>0.64856999999999998</c:v>
                </c:pt>
                <c:pt idx="134">
                  <c:v>0.33982000000000001</c:v>
                </c:pt>
                <c:pt idx="135">
                  <c:v>0.24510000000000001</c:v>
                </c:pt>
                <c:pt idx="136">
                  <c:v>0.40334999999999999</c:v>
                </c:pt>
                <c:pt idx="137">
                  <c:v>0.48866999999999999</c:v>
                </c:pt>
                <c:pt idx="138">
                  <c:v>0.36013000000000001</c:v>
                </c:pt>
                <c:pt idx="139">
                  <c:v>0.96847000000000005</c:v>
                </c:pt>
                <c:pt idx="140">
                  <c:v>0.13186</c:v>
                </c:pt>
                <c:pt idx="141">
                  <c:v>3.3272499999999998</c:v>
                </c:pt>
                <c:pt idx="142">
                  <c:v>2.1008900000000001</c:v>
                </c:pt>
                <c:pt idx="143">
                  <c:v>0.91410999999999998</c:v>
                </c:pt>
                <c:pt idx="144">
                  <c:v>0.58115000000000006</c:v>
                </c:pt>
                <c:pt idx="145">
                  <c:v>0.24118999999999999</c:v>
                </c:pt>
                <c:pt idx="146">
                  <c:v>0.10917</c:v>
                </c:pt>
                <c:pt idx="147">
                  <c:v>0.11555</c:v>
                </c:pt>
                <c:pt idx="148">
                  <c:v>0.13378999999999999</c:v>
                </c:pt>
                <c:pt idx="149">
                  <c:v>0.20766999999999999</c:v>
                </c:pt>
                <c:pt idx="150">
                  <c:v>0.25611</c:v>
                </c:pt>
                <c:pt idx="151">
                  <c:v>0.38234000000000001</c:v>
                </c:pt>
                <c:pt idx="152">
                  <c:v>3.11178</c:v>
                </c:pt>
                <c:pt idx="153">
                  <c:v>1.1474200000000001</c:v>
                </c:pt>
                <c:pt idx="154">
                  <c:v>0.36120000000000002</c:v>
                </c:pt>
                <c:pt idx="155">
                  <c:v>1.4518200000000001</c:v>
                </c:pt>
                <c:pt idx="156">
                  <c:v>0.79795000000000005</c:v>
                </c:pt>
                <c:pt idx="157">
                  <c:v>0.77</c:v>
                </c:pt>
                <c:pt idx="158">
                  <c:v>5.8389999999999997E-2</c:v>
                </c:pt>
                <c:pt idx="159">
                  <c:v>1.01224</c:v>
                </c:pt>
                <c:pt idx="160">
                  <c:v>0.30005999999999999</c:v>
                </c:pt>
                <c:pt idx="161">
                  <c:v>1.06311</c:v>
                </c:pt>
                <c:pt idx="162">
                  <c:v>8.3519999999999997E-2</c:v>
                </c:pt>
                <c:pt idx="163">
                  <c:v>0.90937999999999997</c:v>
                </c:pt>
                <c:pt idx="164">
                  <c:v>0.86063999999999996</c:v>
                </c:pt>
                <c:pt idx="165">
                  <c:v>0.37280000000000002</c:v>
                </c:pt>
                <c:pt idx="166">
                  <c:v>0.67786999999999997</c:v>
                </c:pt>
                <c:pt idx="167">
                  <c:v>0.53681999999999996</c:v>
                </c:pt>
                <c:pt idx="168">
                  <c:v>#N/A</c:v>
                </c:pt>
                <c:pt idx="169">
                  <c:v>#N/A</c:v>
                </c:pt>
              </c:numCache>
            </c:numRef>
          </c:xVal>
          <c:yVal>
            <c:numRef>
              <c:f>'IV.D. Population and Area'!$AE$29:$AE$198</c:f>
              <c:numCache>
                <c:formatCode>0</c:formatCode>
                <c:ptCount val="170"/>
                <c:pt idx="2">
                  <c:v>782266.67833500006</c:v>
                </c:pt>
                <c:pt idx="22">
                  <c:v>3156292.5366462674</c:v>
                </c:pt>
                <c:pt idx="27">
                  <c:v>2859532.2200489598</c:v>
                </c:pt>
                <c:pt idx="34">
                  <c:v>1122087.410379437</c:v>
                </c:pt>
                <c:pt idx="39">
                  <c:v>2139535.9533047737</c:v>
                </c:pt>
                <c:pt idx="40">
                  <c:v>607991.21232558147</c:v>
                </c:pt>
                <c:pt idx="45">
                  <c:v>1599667.8540146882</c:v>
                </c:pt>
                <c:pt idx="50">
                  <c:v>2611487.2954589967</c:v>
                </c:pt>
                <c:pt idx="51">
                  <c:v>1953828.9900367199</c:v>
                </c:pt>
                <c:pt idx="69">
                  <c:v>5435158.7614075895</c:v>
                </c:pt>
                <c:pt idx="77">
                  <c:v>548931.33253365976</c:v>
                </c:pt>
                <c:pt idx="82">
                  <c:v>1898195.0288372096</c:v>
                </c:pt>
                <c:pt idx="83">
                  <c:v>699806.24126071006</c:v>
                </c:pt>
                <c:pt idx="84">
                  <c:v>1711704.7344675644</c:v>
                </c:pt>
                <c:pt idx="90">
                  <c:v>252529.46948041618</c:v>
                </c:pt>
                <c:pt idx="98">
                  <c:v>2715352.0716279075</c:v>
                </c:pt>
                <c:pt idx="104">
                  <c:v>1051240</c:v>
                </c:pt>
                <c:pt idx="105">
                  <c:v>699244.66575275408</c:v>
                </c:pt>
                <c:pt idx="108">
                  <c:v>4327077.8860465121</c:v>
                </c:pt>
                <c:pt idx="118">
                  <c:v>1995185.3816034275</c:v>
                </c:pt>
                <c:pt idx="122">
                  <c:v>373495.5750396573</c:v>
                </c:pt>
                <c:pt idx="133">
                  <c:v>3321750.21</c:v>
                </c:pt>
                <c:pt idx="138">
                  <c:v>4167322.2920485931</c:v>
                </c:pt>
                <c:pt idx="139">
                  <c:v>1140690.8413004293</c:v>
                </c:pt>
                <c:pt idx="144">
                  <c:v>806808.44842105277</c:v>
                </c:pt>
                <c:pt idx="148">
                  <c:v>491332.37037943705</c:v>
                </c:pt>
                <c:pt idx="153">
                  <c:v>1177814</c:v>
                </c:pt>
                <c:pt idx="159">
                  <c:v>4489168.9052386787</c:v>
                </c:pt>
                <c:pt idx="165">
                  <c:v>226102</c:v>
                </c:pt>
              </c:numCache>
            </c:numRef>
          </c:yVal>
          <c:smooth val="0"/>
          <c:extLst>
            <c:ext xmlns:c16="http://schemas.microsoft.com/office/drawing/2014/chart" uri="{C3380CC4-5D6E-409C-BE32-E72D297353CC}">
              <c16:uniqueId val="{0000000A-DF28-4F46-91CF-1E90655E45B2}"/>
            </c:ext>
          </c:extLst>
        </c:ser>
        <c:dLbls>
          <c:showLegendKey val="0"/>
          <c:showVal val="0"/>
          <c:showCatName val="0"/>
          <c:showSerName val="0"/>
          <c:showPercent val="0"/>
          <c:showBubbleSize val="0"/>
        </c:dLbls>
        <c:axId val="2114256736"/>
        <c:axId val="126691199"/>
      </c:scatterChart>
      <c:valAx>
        <c:axId val="2114256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900"/>
                  <a:t>City population, in hundreds of thousands</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26691199"/>
        <c:crosses val="autoZero"/>
        <c:crossBetween val="midCat"/>
      </c:valAx>
      <c:valAx>
        <c:axId val="126691199"/>
        <c:scaling>
          <c:orientation val="minMax"/>
          <c:max val="8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900"/>
                  <a:t>Expenditures</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114256736"/>
        <c:crosses val="autoZero"/>
        <c:crossBetween val="midCat"/>
      </c:valAx>
      <c:spPr>
        <a:noFill/>
        <a:ln>
          <a:noFill/>
        </a:ln>
        <a:effectLst/>
      </c:spPr>
    </c:plotArea>
    <c:legend>
      <c:legendPos val="r"/>
      <c:layout>
        <c:manualLayout>
          <c:xMode val="edge"/>
          <c:yMode val="edge"/>
          <c:x val="0.79414085773023069"/>
          <c:y val="0.19406187862880775"/>
          <c:w val="0.20466255573800604"/>
          <c:h val="0.6040535737235587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Expenditures by Selected Counties and FCDs Over Time</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583502022161715"/>
          <c:y val="0.16078886310904872"/>
          <c:w val="0.63825837376955352"/>
          <c:h val="0.57167838938926141"/>
        </c:manualLayout>
      </c:layout>
      <c:lineChart>
        <c:grouping val="standard"/>
        <c:varyColors val="0"/>
        <c:ser>
          <c:idx val="0"/>
          <c:order val="0"/>
          <c:tx>
            <c:strRef>
              <c:f>'IV.E. Over Time'!$B$28</c:f>
              <c:strCache>
                <c:ptCount val="1"/>
                <c:pt idx="0">
                  <c:v>Orange County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Time'!$B$29:$B$48</c:f>
              <c:numCache>
                <c:formatCode>_("$"* #,##0_);_("$"* \(#,##0\);_("$"* "-"??_);_(@_)</c:formatCode>
                <c:ptCount val="20"/>
                <c:pt idx="0">
                  <c:v>0</c:v>
                </c:pt>
                <c:pt idx="1">
                  <c:v>0</c:v>
                </c:pt>
                <c:pt idx="2">
                  <c:v>0</c:v>
                </c:pt>
                <c:pt idx="3">
                  <c:v>8285232.5185047239</c:v>
                </c:pt>
                <c:pt idx="4">
                  <c:v>18163405.257211957</c:v>
                </c:pt>
                <c:pt idx="5">
                  <c:v>11898015.50205929</c:v>
                </c:pt>
                <c:pt idx="6">
                  <c:v>17713238.915622119</c:v>
                </c:pt>
                <c:pt idx="7">
                  <c:v>24448604.010491073</c:v>
                </c:pt>
                <c:pt idx="8">
                  <c:v>27120585.253285091</c:v>
                </c:pt>
                <c:pt idx="9">
                  <c:v>25882710.897686947</c:v>
                </c:pt>
                <c:pt idx="10">
                  <c:v>27526249.424895104</c:v>
                </c:pt>
                <c:pt idx="11">
                  <c:v>33628008.37469051</c:v>
                </c:pt>
                <c:pt idx="12">
                  <c:v>35549194.699288577</c:v>
                </c:pt>
                <c:pt idx="13">
                  <c:v>22537426.958937284</c:v>
                </c:pt>
                <c:pt idx="14">
                  <c:v>27960864.13332618</c:v>
                </c:pt>
                <c:pt idx="15">
                  <c:v>34245141.03494297</c:v>
                </c:pt>
                <c:pt idx="16">
                  <c:v>36668878.635227844</c:v>
                </c:pt>
                <c:pt idx="17">
                  <c:v>35118863.739600003</c:v>
                </c:pt>
                <c:pt idx="18">
                  <c:v>28138460.505165242</c:v>
                </c:pt>
                <c:pt idx="19">
                  <c:v>0</c:v>
                </c:pt>
              </c:numCache>
            </c:numRef>
          </c:val>
          <c:smooth val="0"/>
          <c:extLst xmlns:c15="http://schemas.microsoft.com/office/drawing/2012/chart">
            <c:ext xmlns:c16="http://schemas.microsoft.com/office/drawing/2014/chart" uri="{C3380CC4-5D6E-409C-BE32-E72D297353CC}">
              <c16:uniqueId val="{00000000-A3FC-4BC9-B1D7-1DF0BC924CB5}"/>
            </c:ext>
          </c:extLst>
        </c:ser>
        <c:ser>
          <c:idx val="2"/>
          <c:order val="2"/>
          <c:tx>
            <c:strRef>
              <c:f>'IV.E. Over Time'!$C$28</c:f>
              <c:strCache>
                <c:ptCount val="1"/>
                <c:pt idx="0">
                  <c:v>San Diego County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Time'!$C$29:$C$48</c:f>
              <c:numCache>
                <c:formatCode>_("$"* #,##0_);_("$"* \(#,##0\);_("$"* "-"??_);_(@_)</c:formatCode>
                <c:ptCount val="20"/>
                <c:pt idx="0">
                  <c:v>0</c:v>
                </c:pt>
                <c:pt idx="1">
                  <c:v>0</c:v>
                </c:pt>
                <c:pt idx="2">
                  <c:v>0</c:v>
                </c:pt>
                <c:pt idx="3">
                  <c:v>0</c:v>
                </c:pt>
                <c:pt idx="4">
                  <c:v>36759104.367065214</c:v>
                </c:pt>
                <c:pt idx="5">
                  <c:v>36841108.217993647</c:v>
                </c:pt>
                <c:pt idx="6">
                  <c:v>36340038.80046083</c:v>
                </c:pt>
                <c:pt idx="7">
                  <c:v>36867073.15763393</c:v>
                </c:pt>
                <c:pt idx="8">
                  <c:v>38257790.307177998</c:v>
                </c:pt>
                <c:pt idx="9">
                  <c:v>40409727.332689263</c:v>
                </c:pt>
                <c:pt idx="10">
                  <c:v>40595360.588979021</c:v>
                </c:pt>
                <c:pt idx="11">
                  <c:v>36340874.375075653</c:v>
                </c:pt>
                <c:pt idx="12">
                  <c:v>36746467.080947086</c:v>
                </c:pt>
                <c:pt idx="13">
                  <c:v>35313319.164237805</c:v>
                </c:pt>
                <c:pt idx="14">
                  <c:v>0</c:v>
                </c:pt>
                <c:pt idx="15">
                  <c:v>30688349.075361218</c:v>
                </c:pt>
                <c:pt idx="16">
                  <c:v>29106610.068759494</c:v>
                </c:pt>
                <c:pt idx="17">
                  <c:v>36065802.567262501</c:v>
                </c:pt>
                <c:pt idx="18">
                  <c:v>40118833.144112609</c:v>
                </c:pt>
                <c:pt idx="19">
                  <c:v>0</c:v>
                </c:pt>
              </c:numCache>
            </c:numRef>
          </c:val>
          <c:smooth val="0"/>
          <c:extLst xmlns:c15="http://schemas.microsoft.com/office/drawing/2012/chart">
            <c:ext xmlns:c16="http://schemas.microsoft.com/office/drawing/2014/chart" uri="{C3380CC4-5D6E-409C-BE32-E72D297353CC}">
              <c16:uniqueId val="{00000001-A3FC-4BC9-B1D7-1DF0BC924CB5}"/>
            </c:ext>
          </c:extLst>
        </c:ser>
        <c:ser>
          <c:idx val="4"/>
          <c:order val="4"/>
          <c:tx>
            <c:strRef>
              <c:f>'IV.E. Over Time'!$D$28</c:f>
              <c:strCache>
                <c:ptCount val="1"/>
                <c:pt idx="0">
                  <c:v>Kern County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Time'!$D$29:$D$48</c:f>
              <c:numCache>
                <c:formatCode>_("$"* #,##0_);_("$"* \(#,##0\);_("$"* "-"??_);_(@_)</c:formatCode>
                <c:ptCount val="20"/>
                <c:pt idx="0">
                  <c:v>0</c:v>
                </c:pt>
                <c:pt idx="1">
                  <c:v>0</c:v>
                </c:pt>
                <c:pt idx="2">
                  <c:v>0</c:v>
                </c:pt>
                <c:pt idx="3">
                  <c:v>0</c:v>
                </c:pt>
                <c:pt idx="4">
                  <c:v>0</c:v>
                </c:pt>
                <c:pt idx="5">
                  <c:v>0</c:v>
                </c:pt>
                <c:pt idx="6">
                  <c:v>11290926.483870966</c:v>
                </c:pt>
                <c:pt idx="7">
                  <c:v>10633282.004464287</c:v>
                </c:pt>
                <c:pt idx="8">
                  <c:v>10348188.316931982</c:v>
                </c:pt>
                <c:pt idx="9">
                  <c:v>10461795.496052019</c:v>
                </c:pt>
                <c:pt idx="10">
                  <c:v>9721285.6447552443</c:v>
                </c:pt>
                <c:pt idx="11">
                  <c:v>9434143.4525447041</c:v>
                </c:pt>
                <c:pt idx="12">
                  <c:v>9219383.9039573148</c:v>
                </c:pt>
                <c:pt idx="13">
                  <c:v>8990109.2900696862</c:v>
                </c:pt>
                <c:pt idx="14">
                  <c:v>8858923.1459227465</c:v>
                </c:pt>
                <c:pt idx="15">
                  <c:v>8720443.9923954383</c:v>
                </c:pt>
                <c:pt idx="16">
                  <c:v>8709405.4556962028</c:v>
                </c:pt>
                <c:pt idx="17">
                  <c:v>8600537.8875000011</c:v>
                </c:pt>
                <c:pt idx="18">
                  <c:v>8421579.3268053867</c:v>
                </c:pt>
                <c:pt idx="19">
                  <c:v>8413600</c:v>
                </c:pt>
              </c:numCache>
            </c:numRef>
          </c:val>
          <c:smooth val="0"/>
          <c:extLst xmlns:c15="http://schemas.microsoft.com/office/drawing/2012/chart">
            <c:ext xmlns:c16="http://schemas.microsoft.com/office/drawing/2014/chart" uri="{C3380CC4-5D6E-409C-BE32-E72D297353CC}">
              <c16:uniqueId val="{00000002-A3FC-4BC9-B1D7-1DF0BC924CB5}"/>
            </c:ext>
          </c:extLst>
        </c:ser>
        <c:ser>
          <c:idx val="6"/>
          <c:order val="6"/>
          <c:tx>
            <c:strRef>
              <c:f>'IV.E. Over Time'!$E$28</c:f>
              <c:strCache>
                <c:ptCount val="1"/>
                <c:pt idx="0">
                  <c:v>Los Angeles County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Time'!$E$29:$E$48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78958564.632916093</c:v>
                </c:pt>
                <c:pt idx="12">
                  <c:v>77299103.101493999</c:v>
                </c:pt>
                <c:pt idx="13">
                  <c:v>77579198.474660277</c:v>
                </c:pt>
                <c:pt idx="14">
                  <c:v>83342779.107296139</c:v>
                </c:pt>
                <c:pt idx="15">
                  <c:v>80381593.460076049</c:v>
                </c:pt>
                <c:pt idx="16">
                  <c:v>51120377.164556958</c:v>
                </c:pt>
                <c:pt idx="17">
                  <c:v>0</c:v>
                </c:pt>
                <c:pt idx="18">
                  <c:v>0</c:v>
                </c:pt>
                <c:pt idx="19">
                  <c:v>0</c:v>
                </c:pt>
              </c:numCache>
            </c:numRef>
          </c:val>
          <c:smooth val="0"/>
          <c:extLst xmlns:c15="http://schemas.microsoft.com/office/drawing/2012/chart">
            <c:ext xmlns:c16="http://schemas.microsoft.com/office/drawing/2014/chart" uri="{C3380CC4-5D6E-409C-BE32-E72D297353CC}">
              <c16:uniqueId val="{00000003-A3FC-4BC9-B1D7-1DF0BC924CB5}"/>
            </c:ext>
          </c:extLst>
        </c:ser>
        <c:ser>
          <c:idx val="7"/>
          <c:order val="7"/>
          <c:tx>
            <c:strRef>
              <c:f>'IV.E. Over Time'!$F$28</c:f>
              <c:strCache>
                <c:ptCount val="1"/>
                <c:pt idx="0">
                  <c:v>Los Angeles FCD</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Time'!$F$29:$F$48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44408042.512023121</c:v>
                </c:pt>
                <c:pt idx="13">
                  <c:v>42691430.512003489</c:v>
                </c:pt>
                <c:pt idx="14">
                  <c:v>37003796.497854076</c:v>
                </c:pt>
                <c:pt idx="15">
                  <c:v>33676243.422053233</c:v>
                </c:pt>
                <c:pt idx="16">
                  <c:v>23066175</c:v>
                </c:pt>
                <c:pt idx="17">
                  <c:v>0</c:v>
                </c:pt>
                <c:pt idx="18">
                  <c:v>0</c:v>
                </c:pt>
                <c:pt idx="19">
                  <c:v>0</c:v>
                </c:pt>
              </c:numCache>
            </c:numRef>
          </c:val>
          <c:smooth val="0"/>
          <c:extLst xmlns:c15="http://schemas.microsoft.com/office/drawing/2012/chart">
            <c:ext xmlns:c16="http://schemas.microsoft.com/office/drawing/2014/chart" uri="{C3380CC4-5D6E-409C-BE32-E72D297353CC}">
              <c16:uniqueId val="{00000004-A3FC-4BC9-B1D7-1DF0BC924CB5}"/>
            </c:ext>
          </c:extLst>
        </c:ser>
        <c:ser>
          <c:idx val="9"/>
          <c:order val="9"/>
          <c:tx>
            <c:strRef>
              <c:f>'IV.E. Over Time'!$G$28</c:f>
              <c:strCache>
                <c:ptCount val="1"/>
                <c:pt idx="0">
                  <c:v>Sacramento County</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Time'!$G$29:$G$48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25771326.475918189</c:v>
                </c:pt>
                <c:pt idx="13">
                  <c:v>24100693.314067945</c:v>
                </c:pt>
                <c:pt idx="14">
                  <c:v>23226813.494497854</c:v>
                </c:pt>
                <c:pt idx="15">
                  <c:v>18595285.328555133</c:v>
                </c:pt>
                <c:pt idx="16">
                  <c:v>19363779.454215188</c:v>
                </c:pt>
                <c:pt idx="17">
                  <c:v>0</c:v>
                </c:pt>
                <c:pt idx="18">
                  <c:v>0</c:v>
                </c:pt>
                <c:pt idx="19">
                  <c:v>0</c:v>
                </c:pt>
              </c:numCache>
            </c:numRef>
          </c:val>
          <c:smooth val="0"/>
          <c:extLst xmlns:c15="http://schemas.microsoft.com/office/drawing/2012/chart">
            <c:ext xmlns:c16="http://schemas.microsoft.com/office/drawing/2014/chart" uri="{C3380CC4-5D6E-409C-BE32-E72D297353CC}">
              <c16:uniqueId val="{00000005-A3FC-4BC9-B1D7-1DF0BC924CB5}"/>
            </c:ext>
          </c:extLst>
        </c:ser>
        <c:dLbls>
          <c:showLegendKey val="0"/>
          <c:showVal val="0"/>
          <c:showCatName val="0"/>
          <c:showSerName val="0"/>
          <c:showPercent val="0"/>
          <c:showBubbleSize val="0"/>
        </c:dLbls>
        <c:marker val="1"/>
        <c:smooth val="0"/>
        <c:axId val="456172447"/>
        <c:axId val="447145743"/>
        <c:extLst>
          <c:ext xmlns:c15="http://schemas.microsoft.com/office/drawing/2012/chart" uri="{02D57815-91ED-43cb-92C2-25804820EDAC}">
            <c15:filteredLineSeries>
              <c15:ser>
                <c:idx val="1"/>
                <c:order val="1"/>
                <c:tx>
                  <c:strRef>
                    <c:extLst>
                      <c:ext uri="{02D57815-91ED-43cb-92C2-25804820EDAC}">
                        <c15:formulaRef>
                          <c15:sqref>'IV.E. Over Time'!$H$28</c15:sqref>
                        </c15:formulaRef>
                      </c:ext>
                    </c:extLst>
                    <c:strCache>
                      <c:ptCount val="1"/>
                      <c:pt idx="0">
                        <c:v>Bakersfield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c:ext uri="{02D57815-91ED-43cb-92C2-25804820EDAC}">
                        <c15:formulaRef>
                          <c15:sqref>'IV.E. Over Time'!$H$29:$H$48</c15:sqref>
                        </c15:formulaRef>
                      </c:ext>
                    </c:extLst>
                    <c:numCache>
                      <c:formatCode>_("$"* #,##0_);_("$"* \(#,##0\);_("$"* "-"??_);_(@_)</c:formatCode>
                      <c:ptCount val="20"/>
                      <c:pt idx="0">
                        <c:v>0</c:v>
                      </c:pt>
                      <c:pt idx="1">
                        <c:v>0</c:v>
                      </c:pt>
                      <c:pt idx="2">
                        <c:v>0</c:v>
                      </c:pt>
                      <c:pt idx="3">
                        <c:v>0</c:v>
                      </c:pt>
                      <c:pt idx="4">
                        <c:v>10271057.747282607</c:v>
                      </c:pt>
                      <c:pt idx="5">
                        <c:v>18072540.709899418</c:v>
                      </c:pt>
                      <c:pt idx="6">
                        <c:v>15227218.691244239</c:v>
                      </c:pt>
                      <c:pt idx="7">
                        <c:v>15262243.941964287</c:v>
                      </c:pt>
                      <c:pt idx="8">
                        <c:v>15154061.231548479</c:v>
                      </c:pt>
                      <c:pt idx="9">
                        <c:v>15028787.115188109</c:v>
                      </c:pt>
                      <c:pt idx="10">
                        <c:v>15084838.535664335</c:v>
                      </c:pt>
                      <c:pt idx="11">
                        <c:v>14835845.327372765</c:v>
                      </c:pt>
                      <c:pt idx="12">
                        <c:v>14389287.690973766</c:v>
                      </c:pt>
                      <c:pt idx="13">
                        <c:v>14722495.812282231</c:v>
                      </c:pt>
                      <c:pt idx="14">
                        <c:v>16489930.210300431</c:v>
                      </c:pt>
                      <c:pt idx="15">
                        <c:v>27872146.376425859</c:v>
                      </c:pt>
                      <c:pt idx="16">
                        <c:v>27863833.226582278</c:v>
                      </c:pt>
                      <c:pt idx="17">
                        <c:v>27515535.311250001</c:v>
                      </c:pt>
                      <c:pt idx="18">
                        <c:v>26942996.632802941</c:v>
                      </c:pt>
                      <c:pt idx="19">
                        <c:v>26033100</c:v>
                      </c:pt>
                    </c:numCache>
                  </c:numRef>
                </c:val>
                <c:smooth val="0"/>
                <c:extLst>
                  <c:ext xmlns:c16="http://schemas.microsoft.com/office/drawing/2014/chart" uri="{C3380CC4-5D6E-409C-BE32-E72D297353CC}">
                    <c16:uniqueId val="{00000006-A3FC-4BC9-B1D7-1DF0BC924CB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'IV.E. Over Time'!$I$28</c15:sqref>
                        </c15:formulaRef>
                      </c:ext>
                    </c:extLst>
                    <c:strCache>
                      <c:ptCount val="1"/>
                      <c:pt idx="0">
                        <c:v>Stockton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Time'!$I$29:$I$48</c15:sqref>
                        </c15:formulaRef>
                      </c:ext>
                    </c:extLst>
                    <c:numCache>
                      <c:formatCode>_("$"* #,##0_);_("$"* \(#,##0\);_("$"* "-"??_);_(@_)</c:formatCode>
                      <c:ptCount val="20"/>
                      <c:pt idx="0">
                        <c:v>0</c:v>
                      </c:pt>
                      <c:pt idx="1">
                        <c:v>0</c:v>
                      </c:pt>
                      <c:pt idx="2">
                        <c:v>0</c:v>
                      </c:pt>
                      <c:pt idx="3">
                        <c:v>0</c:v>
                      </c:pt>
                      <c:pt idx="4">
                        <c:v>5184613.3293586951</c:v>
                      </c:pt>
                      <c:pt idx="5">
                        <c:v>6054328.4455743777</c:v>
                      </c:pt>
                      <c:pt idx="6">
                        <c:v>8067539.816036866</c:v>
                      </c:pt>
                      <c:pt idx="7">
                        <c:v>0</c:v>
                      </c:pt>
                      <c:pt idx="8">
                        <c:v>4459242.4117076695</c:v>
                      </c:pt>
                      <c:pt idx="9">
                        <c:v>7572573.7302833246</c:v>
                      </c:pt>
                      <c:pt idx="10">
                        <c:v>5324187.0099440552</c:v>
                      </c:pt>
                      <c:pt idx="11">
                        <c:v>6008223.7303988999</c:v>
                      </c:pt>
                      <c:pt idx="12">
                        <c:v>0</c:v>
                      </c:pt>
                      <c:pt idx="13">
                        <c:v>0</c:v>
                      </c:pt>
                      <c:pt idx="14">
                        <c:v>3892661.3725107298</c:v>
                      </c:pt>
                      <c:pt idx="15">
                        <c:v>5249797.6452091262</c:v>
                      </c:pt>
                      <c:pt idx="16">
                        <c:v>4508497.0468860753</c:v>
                      </c:pt>
                      <c:pt idx="17">
                        <c:v>5586331.918575</c:v>
                      </c:pt>
                      <c:pt idx="18">
                        <c:v>4952739.7339167688</c:v>
                      </c:pt>
                      <c:pt idx="19">
                        <c:v>0</c:v>
                      </c:pt>
                    </c:numCache>
                  </c:numRef>
                </c:val>
                <c:smooth val="0"/>
                <c:extLst xmlns:c15="http://schemas.microsoft.com/office/drawing/2012/chart">
                  <c:ext xmlns:c16="http://schemas.microsoft.com/office/drawing/2014/chart" uri="{C3380CC4-5D6E-409C-BE32-E72D297353CC}">
                    <c16:uniqueId val="{00000007-A3FC-4BC9-B1D7-1DF0BC924CB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'IV.E. Over Time'!$J$28</c15:sqref>
                        </c15:formulaRef>
                      </c:ext>
                    </c:extLst>
                    <c:strCache>
                      <c:ptCount val="1"/>
                      <c:pt idx="0">
                        <c:v>El Cajon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Time'!$J$29:$J$48</c15:sqref>
                        </c15:formulaRef>
                      </c:ext>
                    </c:extLst>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1282790.840178817</c:v>
                      </c:pt>
                      <c:pt idx="12">
                        <c:v>1242375.7559226323</c:v>
                      </c:pt>
                      <c:pt idx="13">
                        <c:v>1201796.6701045297</c:v>
                      </c:pt>
                      <c:pt idx="14">
                        <c:v>1205054.3792317598</c:v>
                      </c:pt>
                      <c:pt idx="15">
                        <c:v>1134938.730228137</c:v>
                      </c:pt>
                      <c:pt idx="16">
                        <c:v>1176866.5079240506</c:v>
                      </c:pt>
                      <c:pt idx="17">
                        <c:v>1866142.6768125002</c:v>
                      </c:pt>
                      <c:pt idx="18">
                        <c:v>1599667.8540146882</c:v>
                      </c:pt>
                      <c:pt idx="19">
                        <c:v>0</c:v>
                      </c:pt>
                    </c:numCache>
                  </c:numRef>
                </c:val>
                <c:smooth val="0"/>
                <c:extLst xmlns:c15="http://schemas.microsoft.com/office/drawing/2012/chart">
                  <c:ext xmlns:c16="http://schemas.microsoft.com/office/drawing/2014/chart" uri="{C3380CC4-5D6E-409C-BE32-E72D297353CC}">
                    <c16:uniqueId val="{00000008-A3FC-4BC9-B1D7-1DF0BC924CB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'IV.E. Over Time'!$K$28</c15:sqref>
                        </c15:formulaRef>
                      </c:ext>
                    </c:extLst>
                    <c:strCache>
                      <c:ptCount val="1"/>
                      <c:pt idx="0">
                        <c:v>Sacramento</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Time'!$K$29:$K$48</c15:sqref>
                        </c15:formulaRef>
                      </c:ext>
                    </c:extLst>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2471516.5491996445</c:v>
                      </c:pt>
                      <c:pt idx="13">
                        <c:v>2321572.1553658536</c:v>
                      </c:pt>
                      <c:pt idx="14">
                        <c:v>2047854.0751030045</c:v>
                      </c:pt>
                      <c:pt idx="15">
                        <c:v>1852485.7351711027</c:v>
                      </c:pt>
                      <c:pt idx="16">
                        <c:v>1833412.1328227846</c:v>
                      </c:pt>
                      <c:pt idx="17">
                        <c:v>0</c:v>
                      </c:pt>
                      <c:pt idx="18">
                        <c:v>35256726.769277848</c:v>
                      </c:pt>
                      <c:pt idx="19">
                        <c:v>0</c:v>
                      </c:pt>
                    </c:numCache>
                  </c:numRef>
                </c:val>
                <c:smooth val="0"/>
                <c:extLst xmlns:c15="http://schemas.microsoft.com/office/drawing/2012/chart">
                  <c:ext xmlns:c16="http://schemas.microsoft.com/office/drawing/2014/chart" uri="{C3380CC4-5D6E-409C-BE32-E72D297353CC}">
                    <c16:uniqueId val="{00000009-A3FC-4BC9-B1D7-1DF0BC924CB5}"/>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'IV.E. Over Time'!$L$28</c15:sqref>
                        </c15:formulaRef>
                      </c:ext>
                    </c:extLst>
                    <c:strCache>
                      <c:ptCount val="1"/>
                      <c:pt idx="0">
                        <c:v>Elk Grove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Time'!$L$29:$L$48</c15:sqref>
                        </c15:formulaRef>
                      </c:ext>
                    </c:extLst>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712935.85237883509</c:v>
                      </c:pt>
                      <c:pt idx="13">
                        <c:v>751933.92465156794</c:v>
                      </c:pt>
                      <c:pt idx="14">
                        <c:v>830598.29227467813</c:v>
                      </c:pt>
                      <c:pt idx="15">
                        <c:v>874532.00608365028</c:v>
                      </c:pt>
                      <c:pt idx="16">
                        <c:v>966166.42218987341</c:v>
                      </c:pt>
                      <c:pt idx="17">
                        <c:v>0</c:v>
                      </c:pt>
                      <c:pt idx="18">
                        <c:v>0</c:v>
                      </c:pt>
                      <c:pt idx="19">
                        <c:v>0</c:v>
                      </c:pt>
                    </c:numCache>
                  </c:numRef>
                </c:val>
                <c:smooth val="0"/>
                <c:extLst xmlns:c15="http://schemas.microsoft.com/office/drawing/2012/chart">
                  <c:ext xmlns:c16="http://schemas.microsoft.com/office/drawing/2014/chart" uri="{C3380CC4-5D6E-409C-BE32-E72D297353CC}">
                    <c16:uniqueId val="{0000000A-A3FC-4BC9-B1D7-1DF0BC924CB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'IV.E. Over Time'!$M$28</c15:sqref>
                        </c15:formulaRef>
                      </c:ext>
                    </c:extLst>
                    <c:strCache>
                      <c:ptCount val="1"/>
                      <c:pt idx="0">
                        <c:v>Folsom</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Time'!$M$29:$M$48</c15:sqref>
                        </c15:formulaRef>
                      </c:ext>
                    </c:extLst>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507645.68278345931</c:v>
                      </c:pt>
                      <c:pt idx="13">
                        <c:v>924208.00357578404</c:v>
                      </c:pt>
                      <c:pt idx="14">
                        <c:v>783278.7047381975</c:v>
                      </c:pt>
                      <c:pt idx="15">
                        <c:v>891870.83840304194</c:v>
                      </c:pt>
                      <c:pt idx="16">
                        <c:v>875153.5067848101</c:v>
                      </c:pt>
                      <c:pt idx="17">
                        <c:v>0</c:v>
                      </c:pt>
                      <c:pt idx="18">
                        <c:v>0</c:v>
                      </c:pt>
                      <c:pt idx="19">
                        <c:v>0</c:v>
                      </c:pt>
                    </c:numCache>
                  </c:numRef>
                </c:val>
                <c:smooth val="0"/>
                <c:extLst xmlns:c15="http://schemas.microsoft.com/office/drawing/2012/chart">
                  <c:ext xmlns:c16="http://schemas.microsoft.com/office/drawing/2014/chart" uri="{C3380CC4-5D6E-409C-BE32-E72D297353CC}">
                    <c16:uniqueId val="{0000000B-A3FC-4BC9-B1D7-1DF0BC924CB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'IV.E. Over Time'!$N$28</c15:sqref>
                        </c15:formulaRef>
                      </c:ext>
                    </c:extLst>
                    <c:strCache>
                      <c:ptCount val="1"/>
                      <c:pt idx="0">
                        <c:v>San Bernardino</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Time'!$N$29:$N$48</c15:sqref>
                        </c15:formulaRef>
                      </c:ext>
                    </c:extLst>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2616179.1999110719</c:v>
                      </c:pt>
                      <c:pt idx="13">
                        <c:v>0</c:v>
                      </c:pt>
                      <c:pt idx="14">
                        <c:v>2075522.6854892704</c:v>
                      </c:pt>
                      <c:pt idx="15">
                        <c:v>2054167.9285171104</c:v>
                      </c:pt>
                      <c:pt idx="16">
                        <c:v>0</c:v>
                      </c:pt>
                      <c:pt idx="17">
                        <c:v>0</c:v>
                      </c:pt>
                      <c:pt idx="18">
                        <c:v>0</c:v>
                      </c:pt>
                      <c:pt idx="19">
                        <c:v>0</c:v>
                      </c:pt>
                    </c:numCache>
                  </c:numRef>
                </c:val>
                <c:smooth val="0"/>
                <c:extLst xmlns:c15="http://schemas.microsoft.com/office/drawing/2012/chart">
                  <c:ext xmlns:c16="http://schemas.microsoft.com/office/drawing/2014/chart" uri="{C3380CC4-5D6E-409C-BE32-E72D297353CC}">
                    <c16:uniqueId val="{0000000C-A3FC-4BC9-B1D7-1DF0BC924CB5}"/>
                  </c:ext>
                </c:extLst>
              </c15:ser>
            </c15:filteredLineSeries>
          </c:ext>
        </c:extLst>
      </c:lineChart>
      <c:catAx>
        <c:axId val="4561724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Fiscal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47145743"/>
        <c:crosses val="autoZero"/>
        <c:auto val="1"/>
        <c:lblAlgn val="ctr"/>
        <c:lblOffset val="100"/>
        <c:noMultiLvlLbl val="0"/>
      </c:catAx>
      <c:valAx>
        <c:axId val="447145743"/>
        <c:scaling>
          <c:logBase val="10"/>
          <c:orientation val="minMax"/>
          <c:min val="1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quot;$&quot;* #,##0_);_(&quot;$&quot;* \(#,##0\);_(&quot;$&quot;* &quot;-&quot;??_);_(@_)" sourceLinked="1"/>
        <c:majorTickMark val="none"/>
        <c:minorTickMark val="in"/>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56172447"/>
        <c:crosses val="autoZero"/>
        <c:crossBetween val="midCat"/>
      </c:valAx>
      <c:spPr>
        <a:noFill/>
        <a:ln>
          <a:noFill/>
        </a:ln>
        <a:effectLst/>
      </c:spPr>
    </c:plotArea>
    <c:legend>
      <c:legendPos val="r"/>
      <c:layout>
        <c:manualLayout>
          <c:xMode val="edge"/>
          <c:yMode val="edge"/>
          <c:x val="0.80974812408203112"/>
          <c:y val="0.16681951878984966"/>
          <c:w val="0.16245925165286992"/>
          <c:h val="0.650815353417249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Expenditures by Selected Cities Over Time</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362036476209705"/>
          <c:y val="0.16060254924681344"/>
          <c:w val="0.63591981290800181"/>
          <c:h val="0.5814446948476748"/>
        </c:manualLayout>
      </c:layout>
      <c:lineChart>
        <c:grouping val="standard"/>
        <c:varyColors val="0"/>
        <c:ser>
          <c:idx val="1"/>
          <c:order val="1"/>
          <c:tx>
            <c:strRef>
              <c:f>'IV.E. Over Time'!$H$28</c:f>
              <c:strCache>
                <c:ptCount val="1"/>
                <c:pt idx="0">
                  <c:v>Bakersfield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Time'!$H$29:$H$48</c:f>
              <c:numCache>
                <c:formatCode>_("$"* #,##0_);_("$"* \(#,##0\);_("$"* "-"??_);_(@_)</c:formatCode>
                <c:ptCount val="20"/>
                <c:pt idx="0">
                  <c:v>0</c:v>
                </c:pt>
                <c:pt idx="1">
                  <c:v>0</c:v>
                </c:pt>
                <c:pt idx="2">
                  <c:v>0</c:v>
                </c:pt>
                <c:pt idx="3">
                  <c:v>0</c:v>
                </c:pt>
                <c:pt idx="4">
                  <c:v>10271057.747282607</c:v>
                </c:pt>
                <c:pt idx="5">
                  <c:v>18072540.709899418</c:v>
                </c:pt>
                <c:pt idx="6">
                  <c:v>15227218.691244239</c:v>
                </c:pt>
                <c:pt idx="7">
                  <c:v>15262243.941964287</c:v>
                </c:pt>
                <c:pt idx="8">
                  <c:v>15154061.231548479</c:v>
                </c:pt>
                <c:pt idx="9">
                  <c:v>15028787.115188109</c:v>
                </c:pt>
                <c:pt idx="10">
                  <c:v>15084838.535664335</c:v>
                </c:pt>
                <c:pt idx="11">
                  <c:v>14835845.327372765</c:v>
                </c:pt>
                <c:pt idx="12">
                  <c:v>14389287.690973766</c:v>
                </c:pt>
                <c:pt idx="13">
                  <c:v>14722495.812282231</c:v>
                </c:pt>
                <c:pt idx="14">
                  <c:v>16489930.210300431</c:v>
                </c:pt>
                <c:pt idx="15">
                  <c:v>27872146.376425859</c:v>
                </c:pt>
                <c:pt idx="16">
                  <c:v>27863833.226582278</c:v>
                </c:pt>
                <c:pt idx="17">
                  <c:v>27515535.311250001</c:v>
                </c:pt>
                <c:pt idx="18">
                  <c:v>26942996.632802941</c:v>
                </c:pt>
                <c:pt idx="19">
                  <c:v>26033100</c:v>
                </c:pt>
              </c:numCache>
            </c:numRef>
          </c:val>
          <c:smooth val="0"/>
          <c:extLst>
            <c:ext xmlns:c16="http://schemas.microsoft.com/office/drawing/2014/chart" uri="{C3380CC4-5D6E-409C-BE32-E72D297353CC}">
              <c16:uniqueId val="{00000000-22E2-4DA3-9E13-0A4F548DBAD1}"/>
            </c:ext>
          </c:extLst>
        </c:ser>
        <c:ser>
          <c:idx val="3"/>
          <c:order val="3"/>
          <c:tx>
            <c:strRef>
              <c:f>'IV.E. Over Time'!$I$28</c:f>
              <c:strCache>
                <c:ptCount val="1"/>
                <c:pt idx="0">
                  <c:v>Stockton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Time'!$I$29:$I$48</c:f>
              <c:numCache>
                <c:formatCode>_("$"* #,##0_);_("$"* \(#,##0\);_("$"* "-"??_);_(@_)</c:formatCode>
                <c:ptCount val="20"/>
                <c:pt idx="0">
                  <c:v>0</c:v>
                </c:pt>
                <c:pt idx="1">
                  <c:v>0</c:v>
                </c:pt>
                <c:pt idx="2">
                  <c:v>0</c:v>
                </c:pt>
                <c:pt idx="3">
                  <c:v>0</c:v>
                </c:pt>
                <c:pt idx="4">
                  <c:v>5184613.3293586951</c:v>
                </c:pt>
                <c:pt idx="5">
                  <c:v>6054328.4455743777</c:v>
                </c:pt>
                <c:pt idx="6">
                  <c:v>8067539.816036866</c:v>
                </c:pt>
                <c:pt idx="7">
                  <c:v>0</c:v>
                </c:pt>
                <c:pt idx="8">
                  <c:v>4459242.4117076695</c:v>
                </c:pt>
                <c:pt idx="9">
                  <c:v>7572573.7302833246</c:v>
                </c:pt>
                <c:pt idx="10">
                  <c:v>5324187.0099440552</c:v>
                </c:pt>
                <c:pt idx="11">
                  <c:v>6008223.7303988999</c:v>
                </c:pt>
                <c:pt idx="12">
                  <c:v>0</c:v>
                </c:pt>
                <c:pt idx="13">
                  <c:v>0</c:v>
                </c:pt>
                <c:pt idx="14">
                  <c:v>3892661.3725107298</c:v>
                </c:pt>
                <c:pt idx="15">
                  <c:v>5249797.6452091262</c:v>
                </c:pt>
                <c:pt idx="16">
                  <c:v>4508497.0468860753</c:v>
                </c:pt>
                <c:pt idx="17">
                  <c:v>5586331.918575</c:v>
                </c:pt>
                <c:pt idx="18">
                  <c:v>4952739.7339167688</c:v>
                </c:pt>
                <c:pt idx="19">
                  <c:v>0</c:v>
                </c:pt>
              </c:numCache>
            </c:numRef>
          </c:val>
          <c:smooth val="0"/>
          <c:extLst>
            <c:ext xmlns:c16="http://schemas.microsoft.com/office/drawing/2014/chart" uri="{C3380CC4-5D6E-409C-BE32-E72D297353CC}">
              <c16:uniqueId val="{00000001-22E2-4DA3-9E13-0A4F548DBAD1}"/>
            </c:ext>
          </c:extLst>
        </c:ser>
        <c:ser>
          <c:idx val="5"/>
          <c:order val="5"/>
          <c:tx>
            <c:strRef>
              <c:f>'IV.E. Over Time'!$J$28</c:f>
              <c:strCache>
                <c:ptCount val="1"/>
                <c:pt idx="0">
                  <c:v>El Cajon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Time'!$J$29:$J$48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1282790.840178817</c:v>
                </c:pt>
                <c:pt idx="12">
                  <c:v>1242375.7559226323</c:v>
                </c:pt>
                <c:pt idx="13">
                  <c:v>1201796.6701045297</c:v>
                </c:pt>
                <c:pt idx="14">
                  <c:v>1205054.3792317598</c:v>
                </c:pt>
                <c:pt idx="15">
                  <c:v>1134938.730228137</c:v>
                </c:pt>
                <c:pt idx="16">
                  <c:v>1176866.5079240506</c:v>
                </c:pt>
                <c:pt idx="17">
                  <c:v>1866142.6768125002</c:v>
                </c:pt>
                <c:pt idx="18">
                  <c:v>1599667.8540146882</c:v>
                </c:pt>
                <c:pt idx="19">
                  <c:v>0</c:v>
                </c:pt>
              </c:numCache>
            </c:numRef>
          </c:val>
          <c:smooth val="0"/>
          <c:extLst>
            <c:ext xmlns:c16="http://schemas.microsoft.com/office/drawing/2014/chart" uri="{C3380CC4-5D6E-409C-BE32-E72D297353CC}">
              <c16:uniqueId val="{00000002-22E2-4DA3-9E13-0A4F548DBAD1}"/>
            </c:ext>
          </c:extLst>
        </c:ser>
        <c:ser>
          <c:idx val="8"/>
          <c:order val="8"/>
          <c:tx>
            <c:strRef>
              <c:f>'IV.E. Over Time'!$K$28</c:f>
              <c:strCache>
                <c:ptCount val="1"/>
                <c:pt idx="0">
                  <c:v>Sacramento</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Time'!$K$29:$K$48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2471516.5491996445</c:v>
                </c:pt>
                <c:pt idx="13">
                  <c:v>2321572.1553658536</c:v>
                </c:pt>
                <c:pt idx="14">
                  <c:v>2047854.0751030045</c:v>
                </c:pt>
                <c:pt idx="15">
                  <c:v>1852485.7351711027</c:v>
                </c:pt>
                <c:pt idx="16">
                  <c:v>1833412.1328227846</c:v>
                </c:pt>
                <c:pt idx="17">
                  <c:v>0</c:v>
                </c:pt>
                <c:pt idx="18">
                  <c:v>35256726.769277848</c:v>
                </c:pt>
                <c:pt idx="19">
                  <c:v>0</c:v>
                </c:pt>
              </c:numCache>
            </c:numRef>
          </c:val>
          <c:smooth val="0"/>
          <c:extLst>
            <c:ext xmlns:c16="http://schemas.microsoft.com/office/drawing/2014/chart" uri="{C3380CC4-5D6E-409C-BE32-E72D297353CC}">
              <c16:uniqueId val="{00000003-22E2-4DA3-9E13-0A4F548DBAD1}"/>
            </c:ext>
          </c:extLst>
        </c:ser>
        <c:ser>
          <c:idx val="10"/>
          <c:order val="10"/>
          <c:tx>
            <c:strRef>
              <c:f>'IV.E. Over Time'!$L$28</c:f>
              <c:strCache>
                <c:ptCount val="1"/>
                <c:pt idx="0">
                  <c:v>Elk Grove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Time'!$L$29:$L$48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712935.85237883509</c:v>
                </c:pt>
                <c:pt idx="13">
                  <c:v>751933.92465156794</c:v>
                </c:pt>
                <c:pt idx="14">
                  <c:v>830598.29227467813</c:v>
                </c:pt>
                <c:pt idx="15">
                  <c:v>874532.00608365028</c:v>
                </c:pt>
                <c:pt idx="16">
                  <c:v>966166.42218987341</c:v>
                </c:pt>
                <c:pt idx="17">
                  <c:v>0</c:v>
                </c:pt>
                <c:pt idx="18">
                  <c:v>0</c:v>
                </c:pt>
                <c:pt idx="19">
                  <c:v>0</c:v>
                </c:pt>
              </c:numCache>
            </c:numRef>
          </c:val>
          <c:smooth val="0"/>
          <c:extLst>
            <c:ext xmlns:c16="http://schemas.microsoft.com/office/drawing/2014/chart" uri="{C3380CC4-5D6E-409C-BE32-E72D297353CC}">
              <c16:uniqueId val="{00000004-22E2-4DA3-9E13-0A4F548DBAD1}"/>
            </c:ext>
          </c:extLst>
        </c:ser>
        <c:ser>
          <c:idx val="11"/>
          <c:order val="11"/>
          <c:tx>
            <c:strRef>
              <c:f>'IV.E. Over Time'!$M$28</c:f>
              <c:strCache>
                <c:ptCount val="1"/>
                <c:pt idx="0">
                  <c:v>Folsom</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Time'!$M$29:$M$48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507645.68278345931</c:v>
                </c:pt>
                <c:pt idx="13">
                  <c:v>924208.00357578404</c:v>
                </c:pt>
                <c:pt idx="14">
                  <c:v>783278.7047381975</c:v>
                </c:pt>
                <c:pt idx="15">
                  <c:v>891870.83840304194</c:v>
                </c:pt>
                <c:pt idx="16">
                  <c:v>875153.5067848101</c:v>
                </c:pt>
                <c:pt idx="17">
                  <c:v>0</c:v>
                </c:pt>
                <c:pt idx="18">
                  <c:v>0</c:v>
                </c:pt>
                <c:pt idx="19">
                  <c:v>0</c:v>
                </c:pt>
              </c:numCache>
            </c:numRef>
          </c:val>
          <c:smooth val="0"/>
          <c:extLst>
            <c:ext xmlns:c16="http://schemas.microsoft.com/office/drawing/2014/chart" uri="{C3380CC4-5D6E-409C-BE32-E72D297353CC}">
              <c16:uniqueId val="{00000005-22E2-4DA3-9E13-0A4F548DBAD1}"/>
            </c:ext>
          </c:extLst>
        </c:ser>
        <c:ser>
          <c:idx val="12"/>
          <c:order val="12"/>
          <c:tx>
            <c:strRef>
              <c:f>'IV.E. Over Time'!$N$28</c:f>
              <c:strCache>
                <c:ptCount val="1"/>
                <c:pt idx="0">
                  <c:v>San Bernardino</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f>'IV.E. Over Time'!$N$29:$N$48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2616179.1999110719</c:v>
                </c:pt>
                <c:pt idx="13">
                  <c:v>0</c:v>
                </c:pt>
                <c:pt idx="14">
                  <c:v>2075522.6854892704</c:v>
                </c:pt>
                <c:pt idx="15">
                  <c:v>2054167.9285171104</c:v>
                </c:pt>
                <c:pt idx="16">
                  <c:v>0</c:v>
                </c:pt>
                <c:pt idx="17">
                  <c:v>0</c:v>
                </c:pt>
                <c:pt idx="18">
                  <c:v>0</c:v>
                </c:pt>
                <c:pt idx="19">
                  <c:v>0</c:v>
                </c:pt>
              </c:numCache>
            </c:numRef>
          </c:val>
          <c:smooth val="0"/>
          <c:extLst>
            <c:ext xmlns:c16="http://schemas.microsoft.com/office/drawing/2014/chart" uri="{C3380CC4-5D6E-409C-BE32-E72D297353CC}">
              <c16:uniqueId val="{00000006-22E2-4DA3-9E13-0A4F548DBAD1}"/>
            </c:ext>
          </c:extLst>
        </c:ser>
        <c:dLbls>
          <c:showLegendKey val="0"/>
          <c:showVal val="0"/>
          <c:showCatName val="0"/>
          <c:showSerName val="0"/>
          <c:showPercent val="0"/>
          <c:showBubbleSize val="0"/>
        </c:dLbls>
        <c:marker val="1"/>
        <c:smooth val="0"/>
        <c:axId val="456172447"/>
        <c:axId val="447145743"/>
        <c:extLst>
          <c:ext xmlns:c15="http://schemas.microsoft.com/office/drawing/2012/chart" uri="{02D57815-91ED-43cb-92C2-25804820EDAC}">
            <c15:filteredLineSeries>
              <c15:ser>
                <c:idx val="0"/>
                <c:order val="0"/>
                <c:tx>
                  <c:strRef>
                    <c:extLst>
                      <c:ext uri="{02D57815-91ED-43cb-92C2-25804820EDAC}">
                        <c15:formulaRef>
                          <c15:sqref>'IV.E. Over Time'!$B$28</c15:sqref>
                        </c15:formulaRef>
                      </c:ext>
                    </c:extLst>
                    <c:strCache>
                      <c:ptCount val="1"/>
                      <c:pt idx="0">
                        <c:v>Orange County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c:ext uri="{02D57815-91ED-43cb-92C2-25804820EDAC}">
                        <c15:formulaRef>
                          <c15:sqref>'IV.E. Over Time'!$B$29:$B$48</c15:sqref>
                        </c15:formulaRef>
                      </c:ext>
                    </c:extLst>
                    <c:numCache>
                      <c:formatCode>_("$"* #,##0_);_("$"* \(#,##0\);_("$"* "-"??_);_(@_)</c:formatCode>
                      <c:ptCount val="20"/>
                      <c:pt idx="0">
                        <c:v>0</c:v>
                      </c:pt>
                      <c:pt idx="1">
                        <c:v>0</c:v>
                      </c:pt>
                      <c:pt idx="2">
                        <c:v>0</c:v>
                      </c:pt>
                      <c:pt idx="3">
                        <c:v>8285232.5185047239</c:v>
                      </c:pt>
                      <c:pt idx="4">
                        <c:v>18163405.257211957</c:v>
                      </c:pt>
                      <c:pt idx="5">
                        <c:v>11898015.50205929</c:v>
                      </c:pt>
                      <c:pt idx="6">
                        <c:v>17713238.915622119</c:v>
                      </c:pt>
                      <c:pt idx="7">
                        <c:v>24448604.010491073</c:v>
                      </c:pt>
                      <c:pt idx="8">
                        <c:v>27120585.253285091</c:v>
                      </c:pt>
                      <c:pt idx="9">
                        <c:v>25882710.897686947</c:v>
                      </c:pt>
                      <c:pt idx="10">
                        <c:v>27526249.424895104</c:v>
                      </c:pt>
                      <c:pt idx="11">
                        <c:v>33628008.37469051</c:v>
                      </c:pt>
                      <c:pt idx="12">
                        <c:v>35549194.699288577</c:v>
                      </c:pt>
                      <c:pt idx="13">
                        <c:v>22537426.958937284</c:v>
                      </c:pt>
                      <c:pt idx="14">
                        <c:v>27960864.13332618</c:v>
                      </c:pt>
                      <c:pt idx="15">
                        <c:v>34245141.03494297</c:v>
                      </c:pt>
                      <c:pt idx="16">
                        <c:v>36668878.635227844</c:v>
                      </c:pt>
                      <c:pt idx="17">
                        <c:v>35118863.739600003</c:v>
                      </c:pt>
                      <c:pt idx="18">
                        <c:v>28138460.505165242</c:v>
                      </c:pt>
                      <c:pt idx="19">
                        <c:v>0</c:v>
                      </c:pt>
                    </c:numCache>
                  </c:numRef>
                </c:val>
                <c:smooth val="0"/>
                <c:extLst>
                  <c:ext xmlns:c16="http://schemas.microsoft.com/office/drawing/2014/chart" uri="{C3380CC4-5D6E-409C-BE32-E72D297353CC}">
                    <c16:uniqueId val="{00000007-22E2-4DA3-9E13-0A4F548DBAD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'IV.E. Over Time'!$C$28</c15:sqref>
                        </c15:formulaRef>
                      </c:ext>
                    </c:extLst>
                    <c:strCache>
                      <c:ptCount val="1"/>
                      <c:pt idx="0">
                        <c:v>San Diego County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Time'!$C$29:$C$48</c15:sqref>
                        </c15:formulaRef>
                      </c:ext>
                    </c:extLst>
                    <c:numCache>
                      <c:formatCode>_("$"* #,##0_);_("$"* \(#,##0\);_("$"* "-"??_);_(@_)</c:formatCode>
                      <c:ptCount val="20"/>
                      <c:pt idx="0">
                        <c:v>0</c:v>
                      </c:pt>
                      <c:pt idx="1">
                        <c:v>0</c:v>
                      </c:pt>
                      <c:pt idx="2">
                        <c:v>0</c:v>
                      </c:pt>
                      <c:pt idx="3">
                        <c:v>0</c:v>
                      </c:pt>
                      <c:pt idx="4">
                        <c:v>36759104.367065214</c:v>
                      </c:pt>
                      <c:pt idx="5">
                        <c:v>36841108.217993647</c:v>
                      </c:pt>
                      <c:pt idx="6">
                        <c:v>36340038.80046083</c:v>
                      </c:pt>
                      <c:pt idx="7">
                        <c:v>36867073.15763393</c:v>
                      </c:pt>
                      <c:pt idx="8">
                        <c:v>38257790.307177998</c:v>
                      </c:pt>
                      <c:pt idx="9">
                        <c:v>40409727.332689263</c:v>
                      </c:pt>
                      <c:pt idx="10">
                        <c:v>40595360.588979021</c:v>
                      </c:pt>
                      <c:pt idx="11">
                        <c:v>36340874.375075653</c:v>
                      </c:pt>
                      <c:pt idx="12">
                        <c:v>36746467.080947086</c:v>
                      </c:pt>
                      <c:pt idx="13">
                        <c:v>35313319.164237805</c:v>
                      </c:pt>
                      <c:pt idx="14">
                        <c:v>0</c:v>
                      </c:pt>
                      <c:pt idx="15">
                        <c:v>30688349.075361218</c:v>
                      </c:pt>
                      <c:pt idx="16">
                        <c:v>29106610.068759494</c:v>
                      </c:pt>
                      <c:pt idx="17">
                        <c:v>36065802.567262501</c:v>
                      </c:pt>
                      <c:pt idx="18">
                        <c:v>40118833.144112609</c:v>
                      </c:pt>
                      <c:pt idx="19">
                        <c:v>0</c:v>
                      </c:pt>
                    </c:numCache>
                  </c:numRef>
                </c:val>
                <c:smooth val="0"/>
                <c:extLst xmlns:c15="http://schemas.microsoft.com/office/drawing/2012/chart">
                  <c:ext xmlns:c16="http://schemas.microsoft.com/office/drawing/2014/chart" uri="{C3380CC4-5D6E-409C-BE32-E72D297353CC}">
                    <c16:uniqueId val="{00000008-22E2-4DA3-9E13-0A4F548DBAD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'IV.E. Over Time'!$D$28</c15:sqref>
                        </c15:formulaRef>
                      </c:ext>
                    </c:extLst>
                    <c:strCache>
                      <c:ptCount val="1"/>
                      <c:pt idx="0">
                        <c:v>Kern County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Time'!$D$29:$D$48</c15:sqref>
                        </c15:formulaRef>
                      </c:ext>
                    </c:extLst>
                    <c:numCache>
                      <c:formatCode>_("$"* #,##0_);_("$"* \(#,##0\);_("$"* "-"??_);_(@_)</c:formatCode>
                      <c:ptCount val="20"/>
                      <c:pt idx="0">
                        <c:v>0</c:v>
                      </c:pt>
                      <c:pt idx="1">
                        <c:v>0</c:v>
                      </c:pt>
                      <c:pt idx="2">
                        <c:v>0</c:v>
                      </c:pt>
                      <c:pt idx="3">
                        <c:v>0</c:v>
                      </c:pt>
                      <c:pt idx="4">
                        <c:v>0</c:v>
                      </c:pt>
                      <c:pt idx="5">
                        <c:v>0</c:v>
                      </c:pt>
                      <c:pt idx="6">
                        <c:v>11290926.483870966</c:v>
                      </c:pt>
                      <c:pt idx="7">
                        <c:v>10633282.004464287</c:v>
                      </c:pt>
                      <c:pt idx="8">
                        <c:v>10348188.316931982</c:v>
                      </c:pt>
                      <c:pt idx="9">
                        <c:v>10461795.496052019</c:v>
                      </c:pt>
                      <c:pt idx="10">
                        <c:v>9721285.6447552443</c:v>
                      </c:pt>
                      <c:pt idx="11">
                        <c:v>9434143.4525447041</c:v>
                      </c:pt>
                      <c:pt idx="12">
                        <c:v>9219383.9039573148</c:v>
                      </c:pt>
                      <c:pt idx="13">
                        <c:v>8990109.2900696862</c:v>
                      </c:pt>
                      <c:pt idx="14">
                        <c:v>8858923.1459227465</c:v>
                      </c:pt>
                      <c:pt idx="15">
                        <c:v>8720443.9923954383</c:v>
                      </c:pt>
                      <c:pt idx="16">
                        <c:v>8709405.4556962028</c:v>
                      </c:pt>
                      <c:pt idx="17">
                        <c:v>8600537.8875000011</c:v>
                      </c:pt>
                      <c:pt idx="18">
                        <c:v>8421579.3268053867</c:v>
                      </c:pt>
                      <c:pt idx="19">
                        <c:v>8413600</c:v>
                      </c:pt>
                    </c:numCache>
                  </c:numRef>
                </c:val>
                <c:smooth val="0"/>
                <c:extLst xmlns:c15="http://schemas.microsoft.com/office/drawing/2012/chart">
                  <c:ext xmlns:c16="http://schemas.microsoft.com/office/drawing/2014/chart" uri="{C3380CC4-5D6E-409C-BE32-E72D297353CC}">
                    <c16:uniqueId val="{00000009-22E2-4DA3-9E13-0A4F548DBAD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'IV.E. Over Time'!$E$28</c15:sqref>
                        </c15:formulaRef>
                      </c:ext>
                    </c:extLst>
                    <c:strCache>
                      <c:ptCount val="1"/>
                      <c:pt idx="0">
                        <c:v>Los Angeles County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Time'!$E$29:$E$48</c15:sqref>
                        </c15:formulaRef>
                      </c:ext>
                    </c:extLst>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78958564.632916093</c:v>
                      </c:pt>
                      <c:pt idx="12">
                        <c:v>77299103.101493999</c:v>
                      </c:pt>
                      <c:pt idx="13">
                        <c:v>77579198.474660277</c:v>
                      </c:pt>
                      <c:pt idx="14">
                        <c:v>83342779.107296139</c:v>
                      </c:pt>
                      <c:pt idx="15">
                        <c:v>80381593.460076049</c:v>
                      </c:pt>
                      <c:pt idx="16">
                        <c:v>51120377.164556958</c:v>
                      </c:pt>
                      <c:pt idx="17">
                        <c:v>0</c:v>
                      </c:pt>
                      <c:pt idx="18">
                        <c:v>0</c:v>
                      </c:pt>
                      <c:pt idx="19">
                        <c:v>0</c:v>
                      </c:pt>
                    </c:numCache>
                  </c:numRef>
                </c:val>
                <c:smooth val="0"/>
                <c:extLst xmlns:c15="http://schemas.microsoft.com/office/drawing/2012/chart">
                  <c:ext xmlns:c16="http://schemas.microsoft.com/office/drawing/2014/chart" uri="{C3380CC4-5D6E-409C-BE32-E72D297353CC}">
                    <c16:uniqueId val="{0000000A-22E2-4DA3-9E13-0A4F548DBAD1}"/>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'IV.E. Over Time'!$F$28</c15:sqref>
                        </c15:formulaRef>
                      </c:ext>
                    </c:extLst>
                    <c:strCache>
                      <c:ptCount val="1"/>
                      <c:pt idx="0">
                        <c:v>Los Angeles FCD</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Time'!$F$29:$F$48</c15:sqref>
                        </c15:formulaRef>
                      </c:ext>
                    </c:extLst>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44408042.512023121</c:v>
                      </c:pt>
                      <c:pt idx="13">
                        <c:v>42691430.512003489</c:v>
                      </c:pt>
                      <c:pt idx="14">
                        <c:v>37003796.497854076</c:v>
                      </c:pt>
                      <c:pt idx="15">
                        <c:v>33676243.422053233</c:v>
                      </c:pt>
                      <c:pt idx="16">
                        <c:v>23066175</c:v>
                      </c:pt>
                      <c:pt idx="17">
                        <c:v>0</c:v>
                      </c:pt>
                      <c:pt idx="18">
                        <c:v>0</c:v>
                      </c:pt>
                      <c:pt idx="19">
                        <c:v>0</c:v>
                      </c:pt>
                    </c:numCache>
                  </c:numRef>
                </c:val>
                <c:smooth val="0"/>
                <c:extLst xmlns:c15="http://schemas.microsoft.com/office/drawing/2012/chart">
                  <c:ext xmlns:c16="http://schemas.microsoft.com/office/drawing/2014/chart" uri="{C3380CC4-5D6E-409C-BE32-E72D297353CC}">
                    <c16:uniqueId val="{0000000B-22E2-4DA3-9E13-0A4F548DBAD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'IV.E. Over Time'!$G$28</c15:sqref>
                        </c15:formulaRef>
                      </c:ext>
                    </c:extLst>
                    <c:strCache>
                      <c:ptCount val="1"/>
                      <c:pt idx="0">
                        <c:v>Sacramento County</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Lit>
                    <c:ptCount val="20"/>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Lit>
                </c:cat>
                <c:val>
                  <c:numRef>
                    <c:extLst xmlns:c15="http://schemas.microsoft.com/office/drawing/2012/chart">
                      <c:ext xmlns:c15="http://schemas.microsoft.com/office/drawing/2012/chart" uri="{02D57815-91ED-43cb-92C2-25804820EDAC}">
                        <c15:formulaRef>
                          <c15:sqref>'IV.E. Over Time'!$G$29:$G$48</c15:sqref>
                        </c15:formulaRef>
                      </c:ext>
                    </c:extLst>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25771326.475918189</c:v>
                      </c:pt>
                      <c:pt idx="13">
                        <c:v>24100693.314067945</c:v>
                      </c:pt>
                      <c:pt idx="14">
                        <c:v>23226813.494497854</c:v>
                      </c:pt>
                      <c:pt idx="15">
                        <c:v>18595285.328555133</c:v>
                      </c:pt>
                      <c:pt idx="16">
                        <c:v>19363779.454215188</c:v>
                      </c:pt>
                      <c:pt idx="17">
                        <c:v>0</c:v>
                      </c:pt>
                      <c:pt idx="18">
                        <c:v>0</c:v>
                      </c:pt>
                      <c:pt idx="19">
                        <c:v>0</c:v>
                      </c:pt>
                    </c:numCache>
                  </c:numRef>
                </c:val>
                <c:smooth val="0"/>
                <c:extLst xmlns:c15="http://schemas.microsoft.com/office/drawing/2012/chart">
                  <c:ext xmlns:c16="http://schemas.microsoft.com/office/drawing/2014/chart" uri="{C3380CC4-5D6E-409C-BE32-E72D297353CC}">
                    <c16:uniqueId val="{0000000C-22E2-4DA3-9E13-0A4F548DBAD1}"/>
                  </c:ext>
                </c:extLst>
              </c15:ser>
            </c15:filteredLineSeries>
          </c:ext>
        </c:extLst>
      </c:lineChart>
      <c:catAx>
        <c:axId val="456172447"/>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sz="900">
                    <a:solidFill>
                      <a:sysClr val="windowText" lastClr="000000"/>
                    </a:solidFill>
                  </a:rPr>
                  <a:t>Fiscal Year</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General" sourceLinked="1"/>
        <c:majorTickMark val="cross"/>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47145743"/>
        <c:crosses val="autoZero"/>
        <c:auto val="1"/>
        <c:lblAlgn val="ctr"/>
        <c:lblOffset val="100"/>
        <c:noMultiLvlLbl val="0"/>
      </c:catAx>
      <c:valAx>
        <c:axId val="447145743"/>
        <c:scaling>
          <c:logBase val="10"/>
          <c:orientation val="minMax"/>
          <c:min val="1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quot;$&quot;* #,##0_);_(&quot;$&quot;* \(#,##0\);_(&quot;$&quot;* &quot;-&quot;??_);_(@_)" sourceLinked="1"/>
        <c:majorTickMark val="none"/>
        <c:minorTickMark val="in"/>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56172447"/>
        <c:crosses val="autoZero"/>
        <c:crossBetween val="midCat"/>
      </c:valAx>
      <c:spPr>
        <a:noFill/>
        <a:ln>
          <a:noFill/>
        </a:ln>
        <a:effectLst/>
      </c:spPr>
    </c:plotArea>
    <c:legend>
      <c:legendPos val="r"/>
      <c:layout>
        <c:manualLayout>
          <c:xMode val="edge"/>
          <c:yMode val="edge"/>
          <c:x val="0.8030444511743724"/>
          <c:y val="0.17908267260335217"/>
          <c:w val="0.18413503600511474"/>
          <c:h val="0.649482395233620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sz="1200" b="1"/>
              <a:t>Expenditures versus Population for All Cities</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scatterChart>
        <c:scatterStyle val="lineMarker"/>
        <c:varyColors val="0"/>
        <c:ser>
          <c:idx val="0"/>
          <c:order val="0"/>
          <c:tx>
            <c:v>Series1</c:v>
          </c:tx>
          <c:spPr>
            <a:ln w="25400" cap="rnd">
              <a:no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'App.A. Supplemental'!$D$33:$D$220</c:f>
              <c:numCache>
                <c:formatCode>0.00</c:formatCode>
                <c:ptCount val="188"/>
                <c:pt idx="0">
                  <c:v>20472</c:v>
                </c:pt>
                <c:pt idx="1">
                  <c:v>84649</c:v>
                </c:pt>
                <c:pt idx="2">
                  <c:v>51783</c:v>
                </c:pt>
                <c:pt idx="3">
                  <c:v>352005</c:v>
                </c:pt>
                <c:pt idx="4">
                  <c:v>58610</c:v>
                </c:pt>
                <c:pt idx="5">
                  <c:v>16750</c:v>
                </c:pt>
                <c:pt idx="6">
                  <c:v>49958</c:v>
                </c:pt>
                <c:pt idx="7">
                  <c:v>383579</c:v>
                </c:pt>
                <c:pt idx="8">
                  <c:v>75813</c:v>
                </c:pt>
                <c:pt idx="9">
                  <c:v>49241</c:v>
                </c:pt>
                <c:pt idx="10">
                  <c:v>35728</c:v>
                </c:pt>
                <c:pt idx="11">
                  <c:v>77131</c:v>
                </c:pt>
                <c:pt idx="12">
                  <c:v>121643</c:v>
                </c:pt>
                <c:pt idx="13">
                  <c:v>34183</c:v>
                </c:pt>
                <c:pt idx="14">
                  <c:v>5281</c:v>
                </c:pt>
                <c:pt idx="15">
                  <c:v>1084</c:v>
                </c:pt>
                <c:pt idx="16">
                  <c:v>43601</c:v>
                </c:pt>
                <c:pt idx="17">
                  <c:v>82421</c:v>
                </c:pt>
                <c:pt idx="18">
                  <c:v>103695</c:v>
                </c:pt>
                <c:pt idx="19">
                  <c:v>23954</c:v>
                </c:pt>
                <c:pt idx="20">
                  <c:v>8937</c:v>
                </c:pt>
                <c:pt idx="21">
                  <c:v>11267</c:v>
                </c:pt>
                <c:pt idx="22">
                  <c:v>115877</c:v>
                </c:pt>
                <c:pt idx="23">
                  <c:v>91909</c:v>
                </c:pt>
                <c:pt idx="24">
                  <c:v>50462</c:v>
                </c:pt>
                <c:pt idx="25">
                  <c:v>91583</c:v>
                </c:pt>
                <c:pt idx="26">
                  <c:v>83447</c:v>
                </c:pt>
                <c:pt idx="27">
                  <c:v>271651</c:v>
                </c:pt>
                <c:pt idx="28">
                  <c:v>87910</c:v>
                </c:pt>
                <c:pt idx="29">
                  <c:v>36478</c:v>
                </c:pt>
                <c:pt idx="30">
                  <c:v>112022</c:v>
                </c:pt>
                <c:pt idx="31">
                  <c:v>54741</c:v>
                </c:pt>
                <c:pt idx="32">
                  <c:v>96617</c:v>
                </c:pt>
                <c:pt idx="33">
                  <c:v>168819</c:v>
                </c:pt>
                <c:pt idx="34">
                  <c:v>21390</c:v>
                </c:pt>
                <c:pt idx="35">
                  <c:v>113615</c:v>
                </c:pt>
                <c:pt idx="36">
                  <c:v>47963</c:v>
                </c:pt>
                <c:pt idx="37">
                  <c:v>39214</c:v>
                </c:pt>
                <c:pt idx="38">
                  <c:v>48958</c:v>
                </c:pt>
                <c:pt idx="39">
                  <c:v>33730</c:v>
                </c:pt>
                <c:pt idx="40">
                  <c:v>4347</c:v>
                </c:pt>
                <c:pt idx="41">
                  <c:v>56275</c:v>
                </c:pt>
                <c:pt idx="42">
                  <c:v>112269</c:v>
                </c:pt>
                <c:pt idx="43">
                  <c:v>21527</c:v>
                </c:pt>
                <c:pt idx="44">
                  <c:v>64822</c:v>
                </c:pt>
                <c:pt idx="45">
                  <c:v>103241</c:v>
                </c:pt>
                <c:pt idx="46">
                  <c:v>44120</c:v>
                </c:pt>
                <c:pt idx="47">
                  <c:v>115586</c:v>
                </c:pt>
                <c:pt idx="48">
                  <c:v>16719</c:v>
                </c:pt>
                <c:pt idx="49">
                  <c:v>172886</c:v>
                </c:pt>
                <c:pt idx="50">
                  <c:v>62904</c:v>
                </c:pt>
                <c:pt idx="51">
                  <c:v>152213</c:v>
                </c:pt>
                <c:pt idx="52">
                  <c:v>79022</c:v>
                </c:pt>
                <c:pt idx="53">
                  <c:v>213739</c:v>
                </c:pt>
                <c:pt idx="54">
                  <c:v>55814</c:v>
                </c:pt>
                <c:pt idx="55">
                  <c:v>530093</c:v>
                </c:pt>
                <c:pt idx="56">
                  <c:v>139640</c:v>
                </c:pt>
                <c:pt idx="57">
                  <c:v>172646</c:v>
                </c:pt>
                <c:pt idx="58">
                  <c:v>59721</c:v>
                </c:pt>
                <c:pt idx="59">
                  <c:v>201361</c:v>
                </c:pt>
                <c:pt idx="60">
                  <c:v>52002</c:v>
                </c:pt>
                <c:pt idx="61">
                  <c:v>12584</c:v>
                </c:pt>
                <c:pt idx="62">
                  <c:v>14315</c:v>
                </c:pt>
                <c:pt idx="63">
                  <c:v>86965</c:v>
                </c:pt>
                <c:pt idx="64">
                  <c:v>85275</c:v>
                </c:pt>
                <c:pt idx="65">
                  <c:v>19465</c:v>
                </c:pt>
                <c:pt idx="66">
                  <c:v>1898</c:v>
                </c:pt>
                <c:pt idx="67">
                  <c:v>55406</c:v>
                </c:pt>
                <c:pt idx="68">
                  <c:v>200641</c:v>
                </c:pt>
                <c:pt idx="69">
                  <c:v>27447</c:v>
                </c:pt>
                <c:pt idx="70">
                  <c:v>202</c:v>
                </c:pt>
                <c:pt idx="71">
                  <c:v>109419</c:v>
                </c:pt>
                <c:pt idx="72">
                  <c:v>282572</c:v>
                </c:pt>
                <c:pt idx="73">
                  <c:v>1463</c:v>
                </c:pt>
                <c:pt idx="74">
                  <c:v>108393</c:v>
                </c:pt>
                <c:pt idx="75">
                  <c:v>20227</c:v>
                </c:pt>
                <c:pt idx="76">
                  <c:v>62183</c:v>
                </c:pt>
                <c:pt idx="77">
                  <c:v>5353</c:v>
                </c:pt>
                <c:pt idx="78">
                  <c:v>59556</c:v>
                </c:pt>
                <c:pt idx="79">
                  <c:v>48683</c:v>
                </c:pt>
                <c:pt idx="80">
                  <c:v>15568</c:v>
                </c:pt>
                <c:pt idx="81">
                  <c:v>39908</c:v>
                </c:pt>
                <c:pt idx="82">
                  <c:v>32206</c:v>
                </c:pt>
                <c:pt idx="83">
                  <c:v>22991</c:v>
                </c:pt>
                <c:pt idx="84">
                  <c:v>31024</c:v>
                </c:pt>
                <c:pt idx="85">
                  <c:v>66266</c:v>
                </c:pt>
                <c:pt idx="86">
                  <c:v>16046</c:v>
                </c:pt>
                <c:pt idx="87">
                  <c:v>68183</c:v>
                </c:pt>
                <c:pt idx="88">
                  <c:v>85623</c:v>
                </c:pt>
                <c:pt idx="89">
                  <c:v>80140</c:v>
                </c:pt>
                <c:pt idx="90">
                  <c:v>32754</c:v>
                </c:pt>
                <c:pt idx="91">
                  <c:v>26969</c:v>
                </c:pt>
                <c:pt idx="92">
                  <c:v>24382</c:v>
                </c:pt>
                <c:pt idx="93">
                  <c:v>20521</c:v>
                </c:pt>
                <c:pt idx="94">
                  <c:v>467354</c:v>
                </c:pt>
                <c:pt idx="95">
                  <c:v>11529</c:v>
                </c:pt>
                <c:pt idx="96">
                  <c:v>3990456</c:v>
                </c:pt>
                <c:pt idx="97">
                  <c:v>12777</c:v>
                </c:pt>
                <c:pt idx="98">
                  <c:v>35532</c:v>
                </c:pt>
                <c:pt idx="99">
                  <c:v>92595</c:v>
                </c:pt>
                <c:pt idx="100">
                  <c:v>95202</c:v>
                </c:pt>
                <c:pt idx="101">
                  <c:v>36715</c:v>
                </c:pt>
                <c:pt idx="102">
                  <c:v>39437</c:v>
                </c:pt>
                <c:pt idx="103">
                  <c:v>62632</c:v>
                </c:pt>
                <c:pt idx="104">
                  <c:v>60401</c:v>
                </c:pt>
                <c:pt idx="105">
                  <c:v>209050</c:v>
                </c:pt>
                <c:pt idx="106">
                  <c:v>114985</c:v>
                </c:pt>
                <c:pt idx="107">
                  <c:v>61431</c:v>
                </c:pt>
                <c:pt idx="108">
                  <c:v>85326</c:v>
                </c:pt>
                <c:pt idx="109">
                  <c:v>105120</c:v>
                </c:pt>
                <c:pt idx="110">
                  <c:v>176080</c:v>
                </c:pt>
                <c:pt idx="111">
                  <c:v>181107</c:v>
                </c:pt>
                <c:pt idx="112">
                  <c:v>139484</c:v>
                </c:pt>
                <c:pt idx="113">
                  <c:v>13404</c:v>
                </c:pt>
                <c:pt idx="114">
                  <c:v>53682</c:v>
                </c:pt>
                <c:pt idx="115">
                  <c:v>141371</c:v>
                </c:pt>
                <c:pt idx="116">
                  <c:v>79133</c:v>
                </c:pt>
                <c:pt idx="117">
                  <c:v>62888</c:v>
                </c:pt>
                <c:pt idx="118">
                  <c:v>51671</c:v>
                </c:pt>
                <c:pt idx="119">
                  <c:v>152361</c:v>
                </c:pt>
                <c:pt idx="120">
                  <c:v>49704</c:v>
                </c:pt>
                <c:pt idx="121">
                  <c:v>74585</c:v>
                </c:pt>
                <c:pt idx="122">
                  <c:v>177751</c:v>
                </c:pt>
                <c:pt idx="123">
                  <c:v>41928</c:v>
                </c:pt>
                <c:pt idx="124">
                  <c:v>48325</c:v>
                </c:pt>
                <c:pt idx="125">
                  <c:v>71586</c:v>
                </c:pt>
                <c:pt idx="126">
                  <c:v>67412</c:v>
                </c:pt>
                <c:pt idx="127">
                  <c:v>103440</c:v>
                </c:pt>
                <c:pt idx="128">
                  <c:v>1867</c:v>
                </c:pt>
                <c:pt idx="129">
                  <c:v>8141</c:v>
                </c:pt>
                <c:pt idx="130">
                  <c:v>54412</c:v>
                </c:pt>
                <c:pt idx="131">
                  <c:v>508529</c:v>
                </c:pt>
                <c:pt idx="132">
                  <c:v>156259</c:v>
                </c:pt>
                <c:pt idx="133">
                  <c:v>215941</c:v>
                </c:pt>
                <c:pt idx="134">
                  <c:v>111128</c:v>
                </c:pt>
                <c:pt idx="135">
                  <c:v>64857</c:v>
                </c:pt>
                <c:pt idx="136">
                  <c:v>1425976</c:v>
                </c:pt>
                <c:pt idx="137">
                  <c:v>33982</c:v>
                </c:pt>
                <c:pt idx="138">
                  <c:v>24510</c:v>
                </c:pt>
                <c:pt idx="139">
                  <c:v>40335</c:v>
                </c:pt>
                <c:pt idx="140">
                  <c:v>48867</c:v>
                </c:pt>
                <c:pt idx="141">
                  <c:v>36013</c:v>
                </c:pt>
                <c:pt idx="142">
                  <c:v>96847</c:v>
                </c:pt>
                <c:pt idx="143">
                  <c:v>13186</c:v>
                </c:pt>
                <c:pt idx="144">
                  <c:v>332725</c:v>
                </c:pt>
                <c:pt idx="145">
                  <c:v>210089</c:v>
                </c:pt>
                <c:pt idx="146">
                  <c:v>91411</c:v>
                </c:pt>
                <c:pt idx="147">
                  <c:v>58115</c:v>
                </c:pt>
                <c:pt idx="148">
                  <c:v>24119</c:v>
                </c:pt>
                <c:pt idx="149">
                  <c:v>10917</c:v>
                </c:pt>
                <c:pt idx="150">
                  <c:v>11555</c:v>
                </c:pt>
                <c:pt idx="151">
                  <c:v>13379</c:v>
                </c:pt>
                <c:pt idx="152">
                  <c:v>20767</c:v>
                </c:pt>
                <c:pt idx="153">
                  <c:v>25611</c:v>
                </c:pt>
                <c:pt idx="154">
                  <c:v>38234</c:v>
                </c:pt>
                <c:pt idx="155">
                  <c:v>311178</c:v>
                </c:pt>
                <c:pt idx="156">
                  <c:v>114742</c:v>
                </c:pt>
                <c:pt idx="157">
                  <c:v>36120</c:v>
                </c:pt>
                <c:pt idx="158">
                  <c:v>145182</c:v>
                </c:pt>
                <c:pt idx="159">
                  <c:v>79795</c:v>
                </c:pt>
                <c:pt idx="160">
                  <c:v>77000</c:v>
                </c:pt>
                <c:pt idx="161">
                  <c:v>5839</c:v>
                </c:pt>
                <c:pt idx="162">
                  <c:v>101224</c:v>
                </c:pt>
                <c:pt idx="163">
                  <c:v>30006</c:v>
                </c:pt>
                <c:pt idx="164">
                  <c:v>106311</c:v>
                </c:pt>
                <c:pt idx="165">
                  <c:v>8352</c:v>
                </c:pt>
                <c:pt idx="166">
                  <c:v>90938</c:v>
                </c:pt>
                <c:pt idx="167">
                  <c:v>86064</c:v>
                </c:pt>
                <c:pt idx="168">
                  <c:v>37280</c:v>
                </c:pt>
                <c:pt idx="169">
                  <c:v>67787</c:v>
                </c:pt>
                <c:pt idx="170">
                  <c:v>53682</c:v>
                </c:pt>
              </c:numCache>
            </c:numRef>
          </c:xVal>
          <c:yVal>
            <c:numRef>
              <c:f>'App.A. Supplemental'!$B$33:$B$220</c:f>
              <c:numCache>
                <c:formatCode>General</c:formatCode>
                <c:ptCount val="188"/>
                <c:pt idx="0">
                  <c:v>2767008.7973924051</c:v>
                </c:pt>
                <c:pt idx="1">
                  <c:v>765706.76259493665</c:v>
                </c:pt>
                <c:pt idx="2">
                  <c:v>782266.67833500006</c:v>
                </c:pt>
                <c:pt idx="3">
                  <c:v>2501287.4445906268</c:v>
                </c:pt>
                <c:pt idx="4">
                  <c:v>730366.94050632906</c:v>
                </c:pt>
                <c:pt idx="5">
                  <c:v>184151.42263291139</c:v>
                </c:pt>
                <c:pt idx="6">
                  <c:v>575990.79113924049</c:v>
                </c:pt>
                <c:pt idx="7">
                  <c:v>26033100</c:v>
                </c:pt>
                <c:pt idx="8">
                  <c:v>4256492.3164556958</c:v>
                </c:pt>
                <c:pt idx="9">
                  <c:v>156745.14375000002</c:v>
                </c:pt>
                <c:pt idx="10">
                  <c:v>289853.43037974683</c:v>
                </c:pt>
                <c:pt idx="11">
                  <c:v>347143.54484810127</c:v>
                </c:pt>
                <c:pt idx="12">
                  <c:v>6566244.7263157899</c:v>
                </c:pt>
                <c:pt idx="13">
                  <c:v>3958406.1992658228</c:v>
                </c:pt>
                <c:pt idx="14">
                  <c:v>1704116.9961977187</c:v>
                </c:pt>
                <c:pt idx="15">
                  <c:v>353557.48101265822</c:v>
                </c:pt>
                <c:pt idx="16">
                  <c:v>671792.25298136647</c:v>
                </c:pt>
                <c:pt idx="17">
                  <c:v>368708.32580463012</c:v>
                </c:pt>
                <c:pt idx="18">
                  <c:v>3833761.7920632907</c:v>
                </c:pt>
                <c:pt idx="19">
                  <c:v>1144549.4430379746</c:v>
                </c:pt>
                <c:pt idx="20">
                  <c:v>66068.990253000011</c:v>
                </c:pt>
                <c:pt idx="21">
                  <c:v>143238.27317062503</c:v>
                </c:pt>
                <c:pt idx="22">
                  <c:v>3156292.5366462674</c:v>
                </c:pt>
                <c:pt idx="23">
                  <c:v>1318833.1082278481</c:v>
                </c:pt>
                <c:pt idx="24">
                  <c:v>892265.47651898733</c:v>
                </c:pt>
                <c:pt idx="25">
                  <c:v>546737.71346007613</c:v>
                </c:pt>
                <c:pt idx="26">
                  <c:v>427421.99477351917</c:v>
                </c:pt>
                <c:pt idx="27">
                  <c:v>2859532.2200489598</c:v>
                </c:pt>
                <c:pt idx="28">
                  <c:v>4217208.1518987343</c:v>
                </c:pt>
                <c:pt idx="29">
                  <c:v>6952375.5413164552</c:v>
                </c:pt>
                <c:pt idx="30">
                  <c:v>2146083.2924050633</c:v>
                </c:pt>
                <c:pt idx="31">
                  <c:v>627823.72881533101</c:v>
                </c:pt>
                <c:pt idx="32">
                  <c:v>491582.92405063286</c:v>
                </c:pt>
                <c:pt idx="33">
                  <c:v>1643463.9202875001</c:v>
                </c:pt>
                <c:pt idx="34">
                  <c:v>1122087.410379437</c:v>
                </c:pt>
                <c:pt idx="35">
                  <c:v>1545061.1006968643</c:v>
                </c:pt>
                <c:pt idx="36">
                  <c:v>786884.11249367089</c:v>
                </c:pt>
                <c:pt idx="37">
                  <c:v>972135.49173417711</c:v>
                </c:pt>
                <c:pt idx="38">
                  <c:v>776952.98252964427</c:v>
                </c:pt>
                <c:pt idx="39">
                  <c:v>2139535.9533047737</c:v>
                </c:pt>
                <c:pt idx="40">
                  <c:v>607991.21232558147</c:v>
                </c:pt>
                <c:pt idx="41">
                  <c:v>418323.2658227848</c:v>
                </c:pt>
                <c:pt idx="42">
                  <c:v>1351306.2480379746</c:v>
                </c:pt>
                <c:pt idx="43">
                  <c:v>783453.64936708857</c:v>
                </c:pt>
                <c:pt idx="44">
                  <c:v>145888.68152437502</c:v>
                </c:pt>
                <c:pt idx="45">
                  <c:v>1599667.8540146882</c:v>
                </c:pt>
                <c:pt idx="46">
                  <c:v>153760.34354430379</c:v>
                </c:pt>
                <c:pt idx="47">
                  <c:v>1488632.0082531644</c:v>
                </c:pt>
                <c:pt idx="48">
                  <c:v>2425637.9012658228</c:v>
                </c:pt>
                <c:pt idx="49">
                  <c:v>966166.42218987341</c:v>
                </c:pt>
                <c:pt idx="50">
                  <c:v>2611487.2954589967</c:v>
                </c:pt>
                <c:pt idx="51">
                  <c:v>1953828.9900367199</c:v>
                </c:pt>
                <c:pt idx="52">
                  <c:v>875153.5067848101</c:v>
                </c:pt>
                <c:pt idx="53">
                  <c:v>1895990.1517870724</c:v>
                </c:pt>
                <c:pt idx="54">
                  <c:v>2609821.2514624507</c:v>
                </c:pt>
                <c:pt idx="55">
                  <c:v>10886431.928962024</c:v>
                </c:pt>
                <c:pt idx="56">
                  <c:v>2358936.1931620552</c:v>
                </c:pt>
                <c:pt idx="57">
                  <c:v>1683421.335889328</c:v>
                </c:pt>
                <c:pt idx="58">
                  <c:v>847733.15992405056</c:v>
                </c:pt>
                <c:pt idx="59">
                  <c:v>767633.81012658228</c:v>
                </c:pt>
                <c:pt idx="60">
                  <c:v>498484.19620253163</c:v>
                </c:pt>
                <c:pt idx="61">
                  <c:v>131400.92152091255</c:v>
                </c:pt>
                <c:pt idx="62">
                  <c:v>119445.09493670885</c:v>
                </c:pt>
                <c:pt idx="63">
                  <c:v>1212500.4303797467</c:v>
                </c:pt>
                <c:pt idx="64">
                  <c:v>918723.73720199999</c:v>
                </c:pt>
                <c:pt idx="65">
                  <c:v>754217.73706329113</c:v>
                </c:pt>
                <c:pt idx="66">
                  <c:v>119531.09540506329</c:v>
                </c:pt>
                <c:pt idx="67">
                  <c:v>562900.77946768061</c:v>
                </c:pt>
                <c:pt idx="68">
                  <c:v>12523295.5053642</c:v>
                </c:pt>
                <c:pt idx="69">
                  <c:v>5435158.7614075895</c:v>
                </c:pt>
                <c:pt idx="70">
                  <c:v>5295415.1348734172</c:v>
                </c:pt>
                <c:pt idx="71">
                  <c:v>2651734.1943037971</c:v>
                </c:pt>
                <c:pt idx="72">
                  <c:v>3572387.2623150763</c:v>
                </c:pt>
                <c:pt idx="73">
                  <c:v>530965.45827911387</c:v>
                </c:pt>
                <c:pt idx="74">
                  <c:v>533143.18125000002</c:v>
                </c:pt>
                <c:pt idx="75">
                  <c:v>535470.76799999992</c:v>
                </c:pt>
                <c:pt idx="76">
                  <c:v>2539451.2427837378</c:v>
                </c:pt>
                <c:pt idx="77">
                  <c:v>47665.494151898733</c:v>
                </c:pt>
                <c:pt idx="78">
                  <c:v>548931.33253365976</c:v>
                </c:pt>
                <c:pt idx="79">
                  <c:v>1331635.4989367088</c:v>
                </c:pt>
                <c:pt idx="80">
                  <c:v>203038.22642574814</c:v>
                </c:pt>
                <c:pt idx="81">
                  <c:v>53178.017999999996</c:v>
                </c:pt>
                <c:pt idx="82">
                  <c:v>5068301.9128405061</c:v>
                </c:pt>
                <c:pt idx="83">
                  <c:v>1898195.0288372096</c:v>
                </c:pt>
                <c:pt idx="84">
                  <c:v>699806.24126071006</c:v>
                </c:pt>
                <c:pt idx="85">
                  <c:v>1711704.7344675644</c:v>
                </c:pt>
                <c:pt idx="86">
                  <c:v>736687.48175030609</c:v>
                </c:pt>
                <c:pt idx="87">
                  <c:v>149294.57001712502</c:v>
                </c:pt>
                <c:pt idx="88">
                  <c:v>1510205.385</c:v>
                </c:pt>
                <c:pt idx="89">
                  <c:v>7275871.080835443</c:v>
                </c:pt>
                <c:pt idx="90">
                  <c:v>90582.91306329114</c:v>
                </c:pt>
                <c:pt idx="91">
                  <c:v>252529.46948041618</c:v>
                </c:pt>
                <c:pt idx="92">
                  <c:v>241531.74144486693</c:v>
                </c:pt>
                <c:pt idx="93">
                  <c:v>213408.56962025314</c:v>
                </c:pt>
                <c:pt idx="94">
                  <c:v>2259514.7249620254</c:v>
                </c:pt>
                <c:pt idx="95">
                  <c:v>91329.48606271777</c:v>
                </c:pt>
                <c:pt idx="96">
                  <c:v>88404820.173600376</c:v>
                </c:pt>
                <c:pt idx="97">
                  <c:v>1503881.6962405061</c:v>
                </c:pt>
                <c:pt idx="98">
                  <c:v>4997698.501177215</c:v>
                </c:pt>
                <c:pt idx="99">
                  <c:v>347654.43806250003</c:v>
                </c:pt>
                <c:pt idx="100">
                  <c:v>2715352.0716279075</c:v>
                </c:pt>
                <c:pt idx="101">
                  <c:v>757972.02911392401</c:v>
                </c:pt>
                <c:pt idx="102">
                  <c:v>456243.04140684416</c:v>
                </c:pt>
                <c:pt idx="103">
                  <c:v>4223082.7271012655</c:v>
                </c:pt>
                <c:pt idx="104">
                  <c:v>791069.46862025314</c:v>
                </c:pt>
                <c:pt idx="105">
                  <c:v>855936.47651250008</c:v>
                </c:pt>
                <c:pt idx="106">
                  <c:v>1051240</c:v>
                </c:pt>
                <c:pt idx="107">
                  <c:v>699244.66575275408</c:v>
                </c:pt>
                <c:pt idx="108">
                  <c:v>3001101.062676454</c:v>
                </c:pt>
                <c:pt idx="109">
                  <c:v>1105460.6375696203</c:v>
                </c:pt>
                <c:pt idx="110">
                  <c:v>4327077.8860465121</c:v>
                </c:pt>
                <c:pt idx="111">
                  <c:v>2467026.6813307987</c:v>
                </c:pt>
                <c:pt idx="112">
                  <c:v>2582509.839367589</c:v>
                </c:pt>
                <c:pt idx="113">
                  <c:v>106098.0345949367</c:v>
                </c:pt>
                <c:pt idx="114">
                  <c:v>3737410.4772151895</c:v>
                </c:pt>
                <c:pt idx="115">
                  <c:v>17736269.430379745</c:v>
                </c:pt>
                <c:pt idx="116">
                  <c:v>189436.20450000002</c:v>
                </c:pt>
                <c:pt idx="117">
                  <c:v>1035243.9094936708</c:v>
                </c:pt>
                <c:pt idx="118">
                  <c:v>447385.99375494069</c:v>
                </c:pt>
                <c:pt idx="119">
                  <c:v>3636785.6823037975</c:v>
                </c:pt>
                <c:pt idx="120">
                  <c:v>1995185.3816034275</c:v>
                </c:pt>
                <c:pt idx="121">
                  <c:v>1939277.1300375001</c:v>
                </c:pt>
                <c:pt idx="122">
                  <c:v>1415205.912091255</c:v>
                </c:pt>
                <c:pt idx="123">
                  <c:v>445312.54860759492</c:v>
                </c:pt>
                <c:pt idx="124">
                  <c:v>373495.5750396573</c:v>
                </c:pt>
                <c:pt idx="125">
                  <c:v>1228933.0611406844</c:v>
                </c:pt>
                <c:pt idx="126">
                  <c:v>2575767.1139240507</c:v>
                </c:pt>
                <c:pt idx="127">
                  <c:v>305497.25589353614</c:v>
                </c:pt>
                <c:pt idx="128">
                  <c:v>77393.33975202532</c:v>
                </c:pt>
                <c:pt idx="129">
                  <c:v>370923.24768455693</c:v>
                </c:pt>
                <c:pt idx="130">
                  <c:v>418803.16967088607</c:v>
                </c:pt>
                <c:pt idx="131">
                  <c:v>35256726.769277848</c:v>
                </c:pt>
                <c:pt idx="132">
                  <c:v>4577600.1080783363</c:v>
                </c:pt>
                <c:pt idx="133">
                  <c:v>2054167.9285171104</c:v>
                </c:pt>
                <c:pt idx="134">
                  <c:v>1468000</c:v>
                </c:pt>
                <c:pt idx="135">
                  <c:v>3321750.21</c:v>
                </c:pt>
                <c:pt idx="136">
                  <c:v>76397499.007086918</c:v>
                </c:pt>
                <c:pt idx="137">
                  <c:v>615805.82278481009</c:v>
                </c:pt>
                <c:pt idx="138">
                  <c:v>408236.79113924049</c:v>
                </c:pt>
                <c:pt idx="139">
                  <c:v>434071.22565949365</c:v>
                </c:pt>
                <c:pt idx="140">
                  <c:v>1471263.0867708751</c:v>
                </c:pt>
                <c:pt idx="141">
                  <c:v>4167322.2920485931</c:v>
                </c:pt>
                <c:pt idx="142">
                  <c:v>1140690.8413004293</c:v>
                </c:pt>
                <c:pt idx="143">
                  <c:v>567200.69388607587</c:v>
                </c:pt>
                <c:pt idx="144">
                  <c:v>6201789.1281818179</c:v>
                </c:pt>
                <c:pt idx="145">
                  <c:v>3154598.0439873417</c:v>
                </c:pt>
                <c:pt idx="146">
                  <c:v>11273447.839101264</c:v>
                </c:pt>
                <c:pt idx="147">
                  <c:v>806808.44842105277</c:v>
                </c:pt>
                <c:pt idx="148">
                  <c:v>567910.28063241101</c:v>
                </c:pt>
                <c:pt idx="149">
                  <c:v>351860.82979746832</c:v>
                </c:pt>
                <c:pt idx="150">
                  <c:v>583422.93037974683</c:v>
                </c:pt>
                <c:pt idx="151">
                  <c:v>491332.37037943705</c:v>
                </c:pt>
                <c:pt idx="152">
                  <c:v>300927.23290936707</c:v>
                </c:pt>
                <c:pt idx="153">
                  <c:v>219778.97468354428</c:v>
                </c:pt>
                <c:pt idx="154">
                  <c:v>140235.61868435913</c:v>
                </c:pt>
                <c:pt idx="155">
                  <c:v>4952739.7339167688</c:v>
                </c:pt>
                <c:pt idx="156">
                  <c:v>1177814</c:v>
                </c:pt>
                <c:pt idx="157">
                  <c:v>349310.54430379748</c:v>
                </c:pt>
                <c:pt idx="158">
                  <c:v>2256186.1883164556</c:v>
                </c:pt>
                <c:pt idx="159">
                  <c:v>961416.55021456804</c:v>
                </c:pt>
                <c:pt idx="160">
                  <c:v>238263.83399239546</c:v>
                </c:pt>
                <c:pt idx="161">
                  <c:v>125744.45793337097</c:v>
                </c:pt>
                <c:pt idx="162">
                  <c:v>4489168.9052386787</c:v>
                </c:pt>
                <c:pt idx="163">
                  <c:v>192598.57974683543</c:v>
                </c:pt>
                <c:pt idx="164">
                  <c:v>1094671.2948607595</c:v>
                </c:pt>
                <c:pt idx="165">
                  <c:v>358914.99167088605</c:v>
                </c:pt>
                <c:pt idx="166">
                  <c:v>614513.87634105026</c:v>
                </c:pt>
                <c:pt idx="167">
                  <c:v>647657.84810126573</c:v>
                </c:pt>
                <c:pt idx="168">
                  <c:v>226102</c:v>
                </c:pt>
                <c:pt idx="169">
                  <c:v>566543.43127046863</c:v>
                </c:pt>
                <c:pt idx="170">
                  <c:v>265769.96197718632</c:v>
                </c:pt>
              </c:numCache>
            </c:numRef>
          </c:yVal>
          <c:smooth val="0"/>
          <c:extLst>
            <c:ext xmlns:c16="http://schemas.microsoft.com/office/drawing/2014/chart" uri="{C3380CC4-5D6E-409C-BE32-E72D297353CC}">
              <c16:uniqueId val="{00000001-A91B-4F69-B464-ED756CC5EAAF}"/>
            </c:ext>
          </c:extLst>
        </c:ser>
        <c:dLbls>
          <c:showLegendKey val="0"/>
          <c:showVal val="0"/>
          <c:showCatName val="0"/>
          <c:showSerName val="0"/>
          <c:showPercent val="0"/>
          <c:showBubbleSize val="0"/>
        </c:dLbls>
        <c:axId val="128944015"/>
        <c:axId val="464775775"/>
      </c:scatterChart>
      <c:valAx>
        <c:axId val="1289440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a:t>City population, in millions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64775775"/>
        <c:crosses val="autoZero"/>
        <c:crossBetween val="midCat"/>
        <c:dispUnits>
          <c:builtInUnit val="millions"/>
        </c:dispUnits>
      </c:valAx>
      <c:valAx>
        <c:axId val="4647757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a:t>Expenditures, in millions of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28944015"/>
        <c:crosses val="autoZero"/>
        <c:crossBetween val="midCat"/>
        <c:dispUnits>
          <c:builtInUnit val="millions"/>
        </c:dispUnits>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t>Total Number of Reported Values in All Years: Expenditures</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v>City</c:v>
          </c:tx>
          <c:spPr>
            <a:solidFill>
              <a:schemeClr val="accent1"/>
            </a:solidFill>
            <a:ln>
              <a:noFill/>
            </a:ln>
            <a:effectLst/>
          </c:spPr>
          <c:invertIfNegative val="0"/>
          <c:dLbls>
            <c:delete val="1"/>
          </c:dLbls>
          <c:cat>
            <c:strRef>
              <c:f>'III. Data Availability'!$O$51:$O$73</c:f>
              <c:strCache>
                <c:ptCount val="23"/>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strCache>
            </c:strRef>
          </c:cat>
          <c:val>
            <c:numRef>
              <c:f>'III. Data Availability'!$P$51:$P$73</c:f>
              <c:numCache>
                <c:formatCode>General</c:formatCode>
                <c:ptCount val="23"/>
                <c:pt idx="0">
                  <c:v>#N/A</c:v>
                </c:pt>
                <c:pt idx="1">
                  <c:v>31</c:v>
                </c:pt>
                <c:pt idx="2">
                  <c:v>32</c:v>
                </c:pt>
                <c:pt idx="3">
                  <c:v>0</c:v>
                </c:pt>
                <c:pt idx="4">
                  <c:v>2</c:v>
                </c:pt>
                <c:pt idx="5">
                  <c:v>2</c:v>
                </c:pt>
                <c:pt idx="6">
                  <c:v>2</c:v>
                </c:pt>
                <c:pt idx="7">
                  <c:v>1</c:v>
                </c:pt>
                <c:pt idx="8">
                  <c:v>2</c:v>
                </c:pt>
                <c:pt idx="9">
                  <c:v>2</c:v>
                </c:pt>
                <c:pt idx="10">
                  <c:v>2</c:v>
                </c:pt>
                <c:pt idx="11">
                  <c:v>6</c:v>
                </c:pt>
                <c:pt idx="12">
                  <c:v>93</c:v>
                </c:pt>
                <c:pt idx="13">
                  <c:v>21</c:v>
                </c:pt>
                <c:pt idx="14">
                  <c:v>31</c:v>
                </c:pt>
                <c:pt idx="15">
                  <c:v>36</c:v>
                </c:pt>
                <c:pt idx="16">
                  <c:v>110</c:v>
                </c:pt>
                <c:pt idx="17">
                  <c:v>46</c:v>
                </c:pt>
                <c:pt idx="18">
                  <c:v>36</c:v>
                </c:pt>
                <c:pt idx="19">
                  <c:v>6</c:v>
                </c:pt>
                <c:pt idx="20">
                  <c:v>#N/A</c:v>
                </c:pt>
                <c:pt idx="21">
                  <c:v>#N/A</c:v>
                </c:pt>
                <c:pt idx="22">
                  <c:v>#N/A</c:v>
                </c:pt>
              </c:numCache>
            </c:numRef>
          </c:val>
          <c:extLst>
            <c:ext xmlns:c16="http://schemas.microsoft.com/office/drawing/2014/chart" uri="{C3380CC4-5D6E-409C-BE32-E72D297353CC}">
              <c16:uniqueId val="{00000000-EF99-405E-AD2E-3E0C2DB5580C}"/>
            </c:ext>
          </c:extLst>
        </c:ser>
        <c:ser>
          <c:idx val="1"/>
          <c:order val="1"/>
          <c:tx>
            <c:v>County</c:v>
          </c:tx>
          <c:spPr>
            <a:solidFill>
              <a:schemeClr val="accent2"/>
            </a:solidFill>
            <a:ln>
              <a:noFill/>
            </a:ln>
            <a:effectLst/>
          </c:spPr>
          <c:invertIfNegative val="0"/>
          <c:dLbls>
            <c:delete val="1"/>
          </c:dLbls>
          <c:cat>
            <c:strRef>
              <c:f>'III. Data Availability'!$O$51:$O$73</c:f>
              <c:strCache>
                <c:ptCount val="23"/>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strCache>
            </c:strRef>
          </c:cat>
          <c:val>
            <c:numRef>
              <c:f>'III. Data Availability'!$Q$51:$Q$73</c:f>
              <c:numCache>
                <c:formatCode>General</c:formatCode>
                <c:ptCount val="23"/>
                <c:pt idx="0">
                  <c:v>#N/A</c:v>
                </c:pt>
                <c:pt idx="1">
                  <c:v>0</c:v>
                </c:pt>
                <c:pt idx="2">
                  <c:v>0</c:v>
                </c:pt>
                <c:pt idx="3">
                  <c:v>1</c:v>
                </c:pt>
                <c:pt idx="4">
                  <c:v>2</c:v>
                </c:pt>
                <c:pt idx="5">
                  <c:v>2</c:v>
                </c:pt>
                <c:pt idx="6">
                  <c:v>3</c:v>
                </c:pt>
                <c:pt idx="7">
                  <c:v>3</c:v>
                </c:pt>
                <c:pt idx="8">
                  <c:v>3</c:v>
                </c:pt>
                <c:pt idx="9">
                  <c:v>3</c:v>
                </c:pt>
                <c:pt idx="10">
                  <c:v>3</c:v>
                </c:pt>
                <c:pt idx="11">
                  <c:v>4</c:v>
                </c:pt>
                <c:pt idx="12">
                  <c:v>7</c:v>
                </c:pt>
                <c:pt idx="13">
                  <c:v>7</c:v>
                </c:pt>
                <c:pt idx="14">
                  <c:v>6</c:v>
                </c:pt>
                <c:pt idx="15">
                  <c:v>6</c:v>
                </c:pt>
                <c:pt idx="16">
                  <c:v>6</c:v>
                </c:pt>
                <c:pt idx="17">
                  <c:v>6</c:v>
                </c:pt>
                <c:pt idx="18">
                  <c:v>5</c:v>
                </c:pt>
                <c:pt idx="19">
                  <c:v>2</c:v>
                </c:pt>
                <c:pt idx="20">
                  <c:v>#N/A</c:v>
                </c:pt>
                <c:pt idx="21">
                  <c:v>#N/A</c:v>
                </c:pt>
                <c:pt idx="22">
                  <c:v>#N/A</c:v>
                </c:pt>
              </c:numCache>
            </c:numRef>
          </c:val>
          <c:extLst>
            <c:ext xmlns:c16="http://schemas.microsoft.com/office/drawing/2014/chart" uri="{C3380CC4-5D6E-409C-BE32-E72D297353CC}">
              <c16:uniqueId val="{00000001-EF99-405E-AD2E-3E0C2DB5580C}"/>
            </c:ext>
          </c:extLst>
        </c:ser>
        <c:ser>
          <c:idx val="2"/>
          <c:order val="2"/>
          <c:tx>
            <c:v>FCD</c:v>
          </c:tx>
          <c:spPr>
            <a:solidFill>
              <a:schemeClr val="accent3"/>
            </a:solidFill>
            <a:ln>
              <a:noFill/>
            </a:ln>
            <a:effectLst/>
          </c:spPr>
          <c:invertIfNegative val="0"/>
          <c:dLbls>
            <c:delete val="1"/>
          </c:dLbls>
          <c:cat>
            <c:strRef>
              <c:f>'III. Data Availability'!$O$51:$O$73</c:f>
              <c:strCache>
                <c:ptCount val="23"/>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strCache>
            </c:strRef>
          </c:cat>
          <c:val>
            <c:numRef>
              <c:f>'III. Data Availability'!$R$51:$R$73</c:f>
              <c:numCache>
                <c:formatCode>General</c:formatCode>
                <c:ptCount val="23"/>
                <c:pt idx="0">
                  <c:v>#N/A</c:v>
                </c:pt>
                <c:pt idx="1">
                  <c:v>0</c:v>
                </c:pt>
                <c:pt idx="2">
                  <c:v>0</c:v>
                </c:pt>
                <c:pt idx="3">
                  <c:v>1</c:v>
                </c:pt>
                <c:pt idx="4">
                  <c:v>2</c:v>
                </c:pt>
                <c:pt idx="5">
                  <c:v>2</c:v>
                </c:pt>
                <c:pt idx="6">
                  <c:v>3</c:v>
                </c:pt>
                <c:pt idx="7">
                  <c:v>3</c:v>
                </c:pt>
                <c:pt idx="8">
                  <c:v>3</c:v>
                </c:pt>
                <c:pt idx="9">
                  <c:v>3</c:v>
                </c:pt>
                <c:pt idx="10">
                  <c:v>3</c:v>
                </c:pt>
                <c:pt idx="11">
                  <c:v>4</c:v>
                </c:pt>
                <c:pt idx="12">
                  <c:v>7</c:v>
                </c:pt>
                <c:pt idx="13">
                  <c:v>7</c:v>
                </c:pt>
                <c:pt idx="14">
                  <c:v>6</c:v>
                </c:pt>
                <c:pt idx="15">
                  <c:v>6</c:v>
                </c:pt>
                <c:pt idx="16">
                  <c:v>6</c:v>
                </c:pt>
                <c:pt idx="17">
                  <c:v>6</c:v>
                </c:pt>
                <c:pt idx="18">
                  <c:v>5</c:v>
                </c:pt>
                <c:pt idx="19">
                  <c:v>2</c:v>
                </c:pt>
                <c:pt idx="20">
                  <c:v>#N/A</c:v>
                </c:pt>
                <c:pt idx="21">
                  <c:v>#N/A</c:v>
                </c:pt>
                <c:pt idx="22">
                  <c:v>#N/A</c:v>
                </c:pt>
              </c:numCache>
            </c:numRef>
          </c:val>
          <c:extLst>
            <c:ext xmlns:c16="http://schemas.microsoft.com/office/drawing/2014/chart" uri="{C3380CC4-5D6E-409C-BE32-E72D297353CC}">
              <c16:uniqueId val="{00000002-EF99-405E-AD2E-3E0C2DB5580C}"/>
            </c:ext>
          </c:extLst>
        </c:ser>
        <c:ser>
          <c:idx val="3"/>
          <c:order val="3"/>
          <c:tx>
            <c:v>Other</c:v>
          </c:tx>
          <c:spPr>
            <a:solidFill>
              <a:schemeClr val="accent4"/>
            </a:solidFill>
            <a:ln>
              <a:noFill/>
            </a:ln>
            <a:effectLst/>
          </c:spPr>
          <c:invertIfNegative val="0"/>
          <c:dLbls>
            <c:delete val="1"/>
          </c:dLbls>
          <c:cat>
            <c:strRef>
              <c:f>'III. Data Availability'!$O$51:$O$73</c:f>
              <c:strCache>
                <c:ptCount val="23"/>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pt idx="22">
                  <c:v>2021–2022</c:v>
                </c:pt>
              </c:strCache>
            </c:strRef>
          </c:cat>
          <c:val>
            <c:numRef>
              <c:f>'III. Data Availability'!$S$51:$S$73</c:f>
              <c:numCache>
                <c:formatCode>General</c:formatCode>
                <c:ptCount val="23"/>
                <c:pt idx="0">
                  <c:v>#N/A</c:v>
                </c:pt>
                <c:pt idx="1">
                  <c:v>0</c:v>
                </c:pt>
                <c:pt idx="2">
                  <c:v>0</c:v>
                </c:pt>
                <c:pt idx="3">
                  <c:v>0</c:v>
                </c:pt>
                <c:pt idx="4">
                  <c:v>0</c:v>
                </c:pt>
                <c:pt idx="5">
                  <c:v>0</c:v>
                </c:pt>
                <c:pt idx="6">
                  <c:v>0</c:v>
                </c:pt>
                <c:pt idx="7">
                  <c:v>0</c:v>
                </c:pt>
                <c:pt idx="8">
                  <c:v>0</c:v>
                </c:pt>
                <c:pt idx="9">
                  <c:v>0</c:v>
                </c:pt>
                <c:pt idx="10">
                  <c:v>0</c:v>
                </c:pt>
                <c:pt idx="11">
                  <c:v>0</c:v>
                </c:pt>
                <c:pt idx="12">
                  <c:v>2</c:v>
                </c:pt>
                <c:pt idx="13">
                  <c:v>2</c:v>
                </c:pt>
                <c:pt idx="14">
                  <c:v>3</c:v>
                </c:pt>
                <c:pt idx="15">
                  <c:v>3</c:v>
                </c:pt>
                <c:pt idx="16">
                  <c:v>3</c:v>
                </c:pt>
                <c:pt idx="17">
                  <c:v>1</c:v>
                </c:pt>
                <c:pt idx="18">
                  <c:v>1</c:v>
                </c:pt>
                <c:pt idx="19">
                  <c:v>0</c:v>
                </c:pt>
                <c:pt idx="20">
                  <c:v>#N/A</c:v>
                </c:pt>
                <c:pt idx="21">
                  <c:v>#N/A</c:v>
                </c:pt>
                <c:pt idx="22">
                  <c:v>#N/A</c:v>
                </c:pt>
              </c:numCache>
            </c:numRef>
          </c:val>
          <c:extLst>
            <c:ext xmlns:c16="http://schemas.microsoft.com/office/drawing/2014/chart" uri="{C3380CC4-5D6E-409C-BE32-E72D297353CC}">
              <c16:uniqueId val="{00000003-EF99-405E-AD2E-3E0C2DB5580C}"/>
            </c:ext>
          </c:extLst>
        </c:ser>
        <c:dLbls>
          <c:dLblPos val="ctr"/>
          <c:showLegendKey val="0"/>
          <c:showVal val="1"/>
          <c:showCatName val="0"/>
          <c:showSerName val="0"/>
          <c:showPercent val="0"/>
          <c:showBubbleSize val="0"/>
        </c:dLbls>
        <c:gapWidth val="150"/>
        <c:overlap val="100"/>
        <c:axId val="233483231"/>
        <c:axId val="345184335"/>
      </c:barChart>
      <c:catAx>
        <c:axId val="233483231"/>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sz="900"/>
                  <a:t>Fiscal Year</a:t>
                </a:r>
              </a:p>
            </c:rich>
          </c:tx>
          <c:layout>
            <c:manualLayout>
              <c:xMode val="edge"/>
              <c:yMode val="edge"/>
              <c:x val="0.48876417176023196"/>
              <c:y val="0.8399625940849101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crossAx val="345184335"/>
        <c:crosses val="autoZero"/>
        <c:auto val="1"/>
        <c:lblAlgn val="ctr"/>
        <c:lblOffset val="100"/>
        <c:noMultiLvlLbl val="0"/>
      </c:catAx>
      <c:valAx>
        <c:axId val="345184335"/>
        <c:scaling>
          <c:orientation val="minMax"/>
          <c:max val="1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Number of Reports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3483231"/>
        <c:crosses val="autoZero"/>
        <c:crossBetween val="between"/>
      </c:valAx>
      <c:spPr>
        <a:noFill/>
        <a:ln>
          <a:noFill/>
        </a:ln>
        <a:effectLst/>
      </c:spPr>
    </c:plotArea>
    <c:legend>
      <c:legendPos val="b"/>
      <c:layout>
        <c:manualLayout>
          <c:xMode val="edge"/>
          <c:yMode val="edge"/>
          <c:x val="0.31577802176577341"/>
          <c:y val="0.92501066143375099"/>
          <c:w val="0.46730576887532754"/>
          <c:h val="6.12508081962788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ysClr val="window" lastClr="FFFFFF"/>
    </a:solidFill>
    <a:ln w="12700"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sz="1200" b="1"/>
              <a:t>Expenditures versus Area for Cities, Outliers Removed</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scatterChart>
        <c:scatterStyle val="lineMarker"/>
        <c:varyColors val="0"/>
        <c:ser>
          <c:idx val="0"/>
          <c:order val="0"/>
          <c:spPr>
            <a:ln w="25400" cap="rnd">
              <a:noFill/>
              <a:round/>
            </a:ln>
            <a:effectLst/>
          </c:spPr>
          <c:marker>
            <c:symbol val="circle"/>
            <c:size val="4"/>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4.0009838249611421E-2"/>
                  <c:y val="-0.24683653051607923"/>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'App.A. Supplemental'!$H$33:$H$220</c:f>
              <c:numCache>
                <c:formatCode>0</c:formatCode>
                <c:ptCount val="188"/>
                <c:pt idx="0">
                  <c:v>7.8</c:v>
                </c:pt>
                <c:pt idx="1">
                  <c:v>7.6</c:v>
                </c:pt>
                <c:pt idx="2">
                  <c:v>6.9</c:v>
                </c:pt>
                <c:pt idx="3">
                  <c:v>50</c:v>
                </c:pt>
                <c:pt idx="4">
                  <c:v>10.9</c:v>
                </c:pt>
                <c:pt idx="5">
                  <c:v>1.6</c:v>
                </c:pt>
                <c:pt idx="6">
                  <c:v>9.6999999999999993</c:v>
                </c:pt>
                <c:pt idx="7">
                  <c:v>6.6</c:v>
                </c:pt>
                <c:pt idx="8">
                  <c:v>30.7</c:v>
                </c:pt>
                <c:pt idx="9">
                  <c:v>2.5</c:v>
                </c:pt>
                <c:pt idx="10">
                  <c:v>6.1</c:v>
                </c:pt>
                <c:pt idx="11">
                  <c:v>10.5</c:v>
                </c:pt>
                <c:pt idx="12">
                  <c:v>5.7</c:v>
                </c:pt>
                <c:pt idx="13">
                  <c:v>6.3</c:v>
                </c:pt>
                <c:pt idx="14">
                  <c:v>2</c:v>
                </c:pt>
                <c:pt idx="15">
                  <c:v>12.2</c:v>
                </c:pt>
                <c:pt idx="16">
                  <c:v>10.5</c:v>
                </c:pt>
                <c:pt idx="17">
                  <c:v>17.399999999999999</c:v>
                </c:pt>
                <c:pt idx="18">
                  <c:v>13.7</c:v>
                </c:pt>
                <c:pt idx="19">
                  <c:v>14.9</c:v>
                </c:pt>
                <c:pt idx="20">
                  <c:v>3.9</c:v>
                </c:pt>
                <c:pt idx="21">
                  <c:v>37.700000000000003</c:v>
                </c:pt>
                <c:pt idx="22">
                  <c:v>18.7</c:v>
                </c:pt>
                <c:pt idx="23">
                  <c:v>8.6999999999999993</c:v>
                </c:pt>
                <c:pt idx="24">
                  <c:v>29.7</c:v>
                </c:pt>
                <c:pt idx="25">
                  <c:v>44.7</c:v>
                </c:pt>
                <c:pt idx="26">
                  <c:v>49.6</c:v>
                </c:pt>
                <c:pt idx="27">
                  <c:v>14.2</c:v>
                </c:pt>
                <c:pt idx="28">
                  <c:v>13.4</c:v>
                </c:pt>
                <c:pt idx="29">
                  <c:v>24.2</c:v>
                </c:pt>
                <c:pt idx="30">
                  <c:v>15.3</c:v>
                </c:pt>
                <c:pt idx="31">
                  <c:v>10</c:v>
                </c:pt>
                <c:pt idx="32">
                  <c:v>39.5</c:v>
                </c:pt>
                <c:pt idx="33">
                  <c:v>7.9</c:v>
                </c:pt>
                <c:pt idx="34">
                  <c:v>15.7</c:v>
                </c:pt>
                <c:pt idx="35">
                  <c:v>7</c:v>
                </c:pt>
                <c:pt idx="36">
                  <c:v>5.0999999999999996</c:v>
                </c:pt>
                <c:pt idx="37">
                  <c:v>6.6</c:v>
                </c:pt>
                <c:pt idx="38">
                  <c:v>6.5</c:v>
                </c:pt>
                <c:pt idx="39">
                  <c:v>1.7</c:v>
                </c:pt>
                <c:pt idx="40">
                  <c:v>14.9</c:v>
                </c:pt>
                <c:pt idx="41">
                  <c:v>12.4</c:v>
                </c:pt>
                <c:pt idx="42">
                  <c:v>6.7</c:v>
                </c:pt>
                <c:pt idx="43">
                  <c:v>12.7</c:v>
                </c:pt>
                <c:pt idx="44">
                  <c:v>14.5</c:v>
                </c:pt>
                <c:pt idx="45">
                  <c:v>11.2</c:v>
                </c:pt>
                <c:pt idx="46">
                  <c:v>9.6</c:v>
                </c:pt>
                <c:pt idx="47">
                  <c:v>5.5</c:v>
                </c:pt>
                <c:pt idx="48">
                  <c:v>42.2</c:v>
                </c:pt>
                <c:pt idx="49">
                  <c:v>18.8</c:v>
                </c:pt>
                <c:pt idx="50">
                  <c:v>37.1</c:v>
                </c:pt>
                <c:pt idx="51">
                  <c:v>27.7</c:v>
                </c:pt>
                <c:pt idx="52">
                  <c:v>43</c:v>
                </c:pt>
                <c:pt idx="53">
                  <c:v>9.1</c:v>
                </c:pt>
                <c:pt idx="54">
                  <c:v>22.4</c:v>
                </c:pt>
                <c:pt idx="55">
                  <c:v>18</c:v>
                </c:pt>
                <c:pt idx="56">
                  <c:v>5.8</c:v>
                </c:pt>
                <c:pt idx="57">
                  <c:v>30.4</c:v>
                </c:pt>
                <c:pt idx="58">
                  <c:v>19.399999999999999</c:v>
                </c:pt>
                <c:pt idx="59">
                  <c:v>3.5</c:v>
                </c:pt>
                <c:pt idx="60">
                  <c:v>0.9</c:v>
                </c:pt>
                <c:pt idx="61">
                  <c:v>6.1</c:v>
                </c:pt>
                <c:pt idx="62">
                  <c:v>27.7</c:v>
                </c:pt>
                <c:pt idx="63">
                  <c:v>1.4</c:v>
                </c:pt>
                <c:pt idx="64">
                  <c:v>1.7</c:v>
                </c:pt>
                <c:pt idx="65">
                  <c:v>18.8</c:v>
                </c:pt>
                <c:pt idx="66">
                  <c:v>26.9</c:v>
                </c:pt>
                <c:pt idx="67">
                  <c:v>4.2</c:v>
                </c:pt>
                <c:pt idx="68">
                  <c:v>11.8</c:v>
                </c:pt>
                <c:pt idx="69">
                  <c:v>9.1</c:v>
                </c:pt>
                <c:pt idx="70">
                  <c:v>65.599999999999994</c:v>
                </c:pt>
                <c:pt idx="71">
                  <c:v>8.8000000000000007</c:v>
                </c:pt>
                <c:pt idx="72">
                  <c:v>42.9</c:v>
                </c:pt>
                <c:pt idx="73">
                  <c:v>8.6</c:v>
                </c:pt>
                <c:pt idx="74">
                  <c:v>7.4</c:v>
                </c:pt>
                <c:pt idx="75">
                  <c:v>6.2</c:v>
                </c:pt>
                <c:pt idx="76">
                  <c:v>9.1</c:v>
                </c:pt>
                <c:pt idx="77">
                  <c:v>7.8</c:v>
                </c:pt>
                <c:pt idx="78">
                  <c:v>1.8</c:v>
                </c:pt>
                <c:pt idx="79">
                  <c:v>3.5</c:v>
                </c:pt>
                <c:pt idx="80">
                  <c:v>8.4</c:v>
                </c:pt>
                <c:pt idx="81">
                  <c:v>8.9</c:v>
                </c:pt>
                <c:pt idx="82">
                  <c:v>6.6</c:v>
                </c:pt>
                <c:pt idx="83">
                  <c:v>14.7</c:v>
                </c:pt>
                <c:pt idx="84">
                  <c:v>3.3</c:v>
                </c:pt>
                <c:pt idx="85">
                  <c:v>38</c:v>
                </c:pt>
                <c:pt idx="86">
                  <c:v>16.600000000000001</c:v>
                </c:pt>
                <c:pt idx="87">
                  <c:v>9.4</c:v>
                </c:pt>
                <c:pt idx="88">
                  <c:v>2</c:v>
                </c:pt>
                <c:pt idx="89">
                  <c:v>3.9</c:v>
                </c:pt>
                <c:pt idx="90">
                  <c:v>7.5</c:v>
                </c:pt>
                <c:pt idx="91">
                  <c:v>1.9</c:v>
                </c:pt>
                <c:pt idx="92">
                  <c:v>4</c:v>
                </c:pt>
                <c:pt idx="93">
                  <c:v>19.8</c:v>
                </c:pt>
                <c:pt idx="94">
                  <c:v>3.9</c:v>
                </c:pt>
                <c:pt idx="95">
                  <c:v>46.5</c:v>
                </c:pt>
                <c:pt idx="96">
                  <c:v>17.7</c:v>
                </c:pt>
                <c:pt idx="97">
                  <c:v>13.6</c:v>
                </c:pt>
                <c:pt idx="98">
                  <c:v>5.5</c:v>
                </c:pt>
                <c:pt idx="99">
                  <c:v>8.3000000000000007</c:v>
                </c:pt>
                <c:pt idx="100">
                  <c:v>7.7</c:v>
                </c:pt>
                <c:pt idx="101">
                  <c:v>51.3</c:v>
                </c:pt>
                <c:pt idx="102">
                  <c:v>33.6</c:v>
                </c:pt>
                <c:pt idx="103">
                  <c:v>7.3</c:v>
                </c:pt>
                <c:pt idx="104">
                  <c:v>23.8</c:v>
                </c:pt>
                <c:pt idx="105">
                  <c:v>9.6999999999999993</c:v>
                </c:pt>
                <c:pt idx="106">
                  <c:v>41.3</c:v>
                </c:pt>
                <c:pt idx="107">
                  <c:v>49.9</c:v>
                </c:pt>
                <c:pt idx="108">
                  <c:v>25.4</c:v>
                </c:pt>
                <c:pt idx="109">
                  <c:v>4.8</c:v>
                </c:pt>
                <c:pt idx="110">
                  <c:v>4.7</c:v>
                </c:pt>
                <c:pt idx="111">
                  <c:v>23</c:v>
                </c:pt>
                <c:pt idx="112">
                  <c:v>31.6</c:v>
                </c:pt>
                <c:pt idx="113">
                  <c:v>8.3000000000000007</c:v>
                </c:pt>
                <c:pt idx="114">
                  <c:v>6.6</c:v>
                </c:pt>
                <c:pt idx="115">
                  <c:v>23</c:v>
                </c:pt>
                <c:pt idx="116">
                  <c:v>39.1</c:v>
                </c:pt>
                <c:pt idx="117">
                  <c:v>34.9</c:v>
                </c:pt>
                <c:pt idx="118">
                  <c:v>40</c:v>
                </c:pt>
                <c:pt idx="119">
                  <c:v>13.5</c:v>
                </c:pt>
                <c:pt idx="120">
                  <c:v>12.9</c:v>
                </c:pt>
                <c:pt idx="121">
                  <c:v>36</c:v>
                </c:pt>
                <c:pt idx="122">
                  <c:v>6.2</c:v>
                </c:pt>
                <c:pt idx="123">
                  <c:v>22.3</c:v>
                </c:pt>
                <c:pt idx="124">
                  <c:v>3</c:v>
                </c:pt>
                <c:pt idx="125">
                  <c:v>3.6</c:v>
                </c:pt>
                <c:pt idx="126">
                  <c:v>5.2</c:v>
                </c:pt>
                <c:pt idx="127">
                  <c:v>23.6</c:v>
                </c:pt>
                <c:pt idx="128">
                  <c:v>61.5</c:v>
                </c:pt>
                <c:pt idx="129">
                  <c:v>21.8</c:v>
                </c:pt>
                <c:pt idx="130">
                  <c:v>18.399999999999999</c:v>
                </c:pt>
                <c:pt idx="131">
                  <c:v>15</c:v>
                </c:pt>
                <c:pt idx="132">
                  <c:v>2.4</c:v>
                </c:pt>
                <c:pt idx="133">
                  <c:v>4.0999999999999996</c:v>
                </c:pt>
                <c:pt idx="134">
                  <c:v>25.7</c:v>
                </c:pt>
                <c:pt idx="135">
                  <c:v>14.2</c:v>
                </c:pt>
                <c:pt idx="136">
                  <c:v>24.4</c:v>
                </c:pt>
                <c:pt idx="137">
                  <c:v>3.8</c:v>
                </c:pt>
                <c:pt idx="138">
                  <c:v>27.1</c:v>
                </c:pt>
                <c:pt idx="139">
                  <c:v>52.8</c:v>
                </c:pt>
                <c:pt idx="140">
                  <c:v>8.4</c:v>
                </c:pt>
                <c:pt idx="141">
                  <c:v>16.2</c:v>
                </c:pt>
                <c:pt idx="142">
                  <c:v>11.3</c:v>
                </c:pt>
                <c:pt idx="143">
                  <c:v>3</c:v>
                </c:pt>
                <c:pt idx="144">
                  <c:v>2.2000000000000002</c:v>
                </c:pt>
                <c:pt idx="145">
                  <c:v>3.5</c:v>
                </c:pt>
                <c:pt idx="146">
                  <c:v>2.8</c:v>
                </c:pt>
                <c:pt idx="147">
                  <c:v>3.4</c:v>
                </c:pt>
                <c:pt idx="148">
                  <c:v>3.1</c:v>
                </c:pt>
                <c:pt idx="149">
                  <c:v>61.7</c:v>
                </c:pt>
                <c:pt idx="150">
                  <c:v>37.299999999999997</c:v>
                </c:pt>
                <c:pt idx="151">
                  <c:v>4</c:v>
                </c:pt>
                <c:pt idx="152">
                  <c:v>20.5</c:v>
                </c:pt>
                <c:pt idx="153">
                  <c:v>11.1</c:v>
                </c:pt>
                <c:pt idx="154">
                  <c:v>15.6</c:v>
                </c:pt>
                <c:pt idx="155">
                  <c:v>2.1</c:v>
                </c:pt>
                <c:pt idx="156">
                  <c:v>18.7</c:v>
                </c:pt>
                <c:pt idx="157">
                  <c:v>9</c:v>
                </c:pt>
                <c:pt idx="158">
                  <c:v>16</c:v>
                </c:pt>
                <c:pt idx="159">
                  <c:v>5.2</c:v>
                </c:pt>
                <c:pt idx="160">
                  <c:v>10</c:v>
                </c:pt>
                <c:pt idx="161">
                  <c:v>14.6</c:v>
                </c:pt>
                <c:pt idx="162">
                  <c:v>23.7</c:v>
                </c:pt>
                <c:pt idx="163">
                  <c:v>19.3</c:v>
                </c:pt>
                <c:pt idx="164">
                  <c:v>28.4</c:v>
                </c:pt>
                <c:pt idx="165">
                  <c:v>#N/A</c:v>
                </c:pt>
                <c:pt idx="166">
                  <c:v>#N/A</c:v>
                </c:pt>
                <c:pt idx="167">
                  <c:v>#N/A</c:v>
                </c:pt>
                <c:pt idx="168">
                  <c:v>#N/A</c:v>
                </c:pt>
                <c:pt idx="169">
                  <c:v>#N/A</c:v>
                </c:pt>
                <c:pt idx="170">
                  <c:v>#N/A</c:v>
                </c:pt>
              </c:numCache>
            </c:numRef>
          </c:xVal>
          <c:yVal>
            <c:numRef>
              <c:f>'App.A. Supplemental'!$G$33:$G$220</c:f>
              <c:numCache>
                <c:formatCode>General</c:formatCode>
                <c:ptCount val="188"/>
                <c:pt idx="0">
                  <c:v>2767008.7973924051</c:v>
                </c:pt>
                <c:pt idx="1">
                  <c:v>765706.76259493665</c:v>
                </c:pt>
                <c:pt idx="2">
                  <c:v>782266.67833500006</c:v>
                </c:pt>
                <c:pt idx="3">
                  <c:v>2501287.4445906268</c:v>
                </c:pt>
                <c:pt idx="4">
                  <c:v>730366.94050632906</c:v>
                </c:pt>
                <c:pt idx="5">
                  <c:v>184151.42263291139</c:v>
                </c:pt>
                <c:pt idx="6">
                  <c:v>575990.79113924049</c:v>
                </c:pt>
                <c:pt idx="7">
                  <c:v>4256492.3164556958</c:v>
                </c:pt>
                <c:pt idx="8">
                  <c:v>156745.14375000002</c:v>
                </c:pt>
                <c:pt idx="9">
                  <c:v>289853.43037974683</c:v>
                </c:pt>
                <c:pt idx="10">
                  <c:v>347143.54484810127</c:v>
                </c:pt>
                <c:pt idx="11">
                  <c:v>6566244.7263157899</c:v>
                </c:pt>
                <c:pt idx="12">
                  <c:v>3958406.1992658228</c:v>
                </c:pt>
                <c:pt idx="13">
                  <c:v>1704116.9961977187</c:v>
                </c:pt>
                <c:pt idx="14">
                  <c:v>353557.48101265822</c:v>
                </c:pt>
                <c:pt idx="15">
                  <c:v>671792.25298136647</c:v>
                </c:pt>
                <c:pt idx="16">
                  <c:v>368708.32580463012</c:v>
                </c:pt>
                <c:pt idx="17">
                  <c:v>3833761.7920632907</c:v>
                </c:pt>
                <c:pt idx="18">
                  <c:v>1144549.4430379746</c:v>
                </c:pt>
                <c:pt idx="19">
                  <c:v>66068.990253000011</c:v>
                </c:pt>
                <c:pt idx="20">
                  <c:v>143238.27317062503</c:v>
                </c:pt>
                <c:pt idx="21">
                  <c:v>3156292.5366462674</c:v>
                </c:pt>
                <c:pt idx="22">
                  <c:v>1318833.1082278481</c:v>
                </c:pt>
                <c:pt idx="23">
                  <c:v>892265.47651898733</c:v>
                </c:pt>
                <c:pt idx="24">
                  <c:v>546737.71346007613</c:v>
                </c:pt>
                <c:pt idx="25">
                  <c:v>427421.99477351917</c:v>
                </c:pt>
                <c:pt idx="26">
                  <c:v>2859532.2200489598</c:v>
                </c:pt>
                <c:pt idx="27">
                  <c:v>4217208.1518987343</c:v>
                </c:pt>
                <c:pt idx="28">
                  <c:v>6952375.5413164552</c:v>
                </c:pt>
                <c:pt idx="29">
                  <c:v>2146083.2924050633</c:v>
                </c:pt>
                <c:pt idx="30">
                  <c:v>627823.72881533101</c:v>
                </c:pt>
                <c:pt idx="31">
                  <c:v>491582.92405063286</c:v>
                </c:pt>
                <c:pt idx="32">
                  <c:v>1643463.9202875001</c:v>
                </c:pt>
                <c:pt idx="33">
                  <c:v>1122087.410379437</c:v>
                </c:pt>
                <c:pt idx="34">
                  <c:v>1545061.1006968643</c:v>
                </c:pt>
                <c:pt idx="35">
                  <c:v>786884.11249367089</c:v>
                </c:pt>
                <c:pt idx="36">
                  <c:v>972135.49173417711</c:v>
                </c:pt>
                <c:pt idx="37">
                  <c:v>776952.98252964427</c:v>
                </c:pt>
                <c:pt idx="38">
                  <c:v>2139535.9533047737</c:v>
                </c:pt>
                <c:pt idx="39">
                  <c:v>607991.21232558147</c:v>
                </c:pt>
                <c:pt idx="40">
                  <c:v>418323.2658227848</c:v>
                </c:pt>
                <c:pt idx="41">
                  <c:v>1351306.2480379746</c:v>
                </c:pt>
                <c:pt idx="42">
                  <c:v>783453.64936708857</c:v>
                </c:pt>
                <c:pt idx="43">
                  <c:v>145888.68152437502</c:v>
                </c:pt>
                <c:pt idx="44">
                  <c:v>1599667.8540146882</c:v>
                </c:pt>
                <c:pt idx="45">
                  <c:v>153760.34354430379</c:v>
                </c:pt>
                <c:pt idx="46">
                  <c:v>1488632.0082531644</c:v>
                </c:pt>
                <c:pt idx="47">
                  <c:v>2425637.9012658228</c:v>
                </c:pt>
                <c:pt idx="48">
                  <c:v>966166.42218987341</c:v>
                </c:pt>
                <c:pt idx="49">
                  <c:v>2611487.2954589967</c:v>
                </c:pt>
                <c:pt idx="50">
                  <c:v>1953828.9900367199</c:v>
                </c:pt>
                <c:pt idx="51">
                  <c:v>875153.5067848101</c:v>
                </c:pt>
                <c:pt idx="52">
                  <c:v>1895990.1517870724</c:v>
                </c:pt>
                <c:pt idx="53">
                  <c:v>2609821.2514624507</c:v>
                </c:pt>
                <c:pt idx="54">
                  <c:v>2358936.1931620552</c:v>
                </c:pt>
                <c:pt idx="55">
                  <c:v>1683421.335889328</c:v>
                </c:pt>
                <c:pt idx="56">
                  <c:v>847733.15992405056</c:v>
                </c:pt>
                <c:pt idx="57">
                  <c:v>767633.81012658228</c:v>
                </c:pt>
                <c:pt idx="58">
                  <c:v>498484.19620253163</c:v>
                </c:pt>
                <c:pt idx="59">
                  <c:v>131400.92152091255</c:v>
                </c:pt>
                <c:pt idx="60">
                  <c:v>119445.09493670885</c:v>
                </c:pt>
                <c:pt idx="61">
                  <c:v>1212500.4303797467</c:v>
                </c:pt>
                <c:pt idx="62">
                  <c:v>918723.73720199999</c:v>
                </c:pt>
                <c:pt idx="63">
                  <c:v>754217.73706329113</c:v>
                </c:pt>
                <c:pt idx="64">
                  <c:v>119531.09540506329</c:v>
                </c:pt>
                <c:pt idx="65">
                  <c:v>562900.77946768061</c:v>
                </c:pt>
                <c:pt idx="66">
                  <c:v>12523295.5053642</c:v>
                </c:pt>
                <c:pt idx="67">
                  <c:v>5435158.7614075895</c:v>
                </c:pt>
                <c:pt idx="68">
                  <c:v>5295415.1348734172</c:v>
                </c:pt>
                <c:pt idx="69">
                  <c:v>2651734.1943037971</c:v>
                </c:pt>
                <c:pt idx="70">
                  <c:v>3572387.2623150763</c:v>
                </c:pt>
                <c:pt idx="71">
                  <c:v>530965.45827911387</c:v>
                </c:pt>
                <c:pt idx="72">
                  <c:v>533143.18125000002</c:v>
                </c:pt>
                <c:pt idx="73">
                  <c:v>535470.76799999992</c:v>
                </c:pt>
                <c:pt idx="74">
                  <c:v>2539451.2427837378</c:v>
                </c:pt>
                <c:pt idx="75">
                  <c:v>47665.494151898733</c:v>
                </c:pt>
                <c:pt idx="76">
                  <c:v>548931.33253365976</c:v>
                </c:pt>
                <c:pt idx="77">
                  <c:v>1331635.4989367088</c:v>
                </c:pt>
                <c:pt idx="78">
                  <c:v>203038.22642574814</c:v>
                </c:pt>
                <c:pt idx="79">
                  <c:v>53178.017999999996</c:v>
                </c:pt>
                <c:pt idx="80">
                  <c:v>5068301.9128405061</c:v>
                </c:pt>
                <c:pt idx="81">
                  <c:v>1898195.0288372096</c:v>
                </c:pt>
                <c:pt idx="82">
                  <c:v>699806.24126071006</c:v>
                </c:pt>
                <c:pt idx="83">
                  <c:v>1711704.7344675644</c:v>
                </c:pt>
                <c:pt idx="84">
                  <c:v>736687.48175030609</c:v>
                </c:pt>
                <c:pt idx="85">
                  <c:v>149294.57001712502</c:v>
                </c:pt>
                <c:pt idx="86">
                  <c:v>1510205.385</c:v>
                </c:pt>
                <c:pt idx="87">
                  <c:v>7275871.080835443</c:v>
                </c:pt>
                <c:pt idx="88">
                  <c:v>90582.91306329114</c:v>
                </c:pt>
                <c:pt idx="89">
                  <c:v>252529.46948041618</c:v>
                </c:pt>
                <c:pt idx="90">
                  <c:v>241531.74144486693</c:v>
                </c:pt>
                <c:pt idx="91">
                  <c:v>213408.56962025314</c:v>
                </c:pt>
                <c:pt idx="92">
                  <c:v>91329.48606271777</c:v>
                </c:pt>
                <c:pt idx="93">
                  <c:v>1503881.6962405061</c:v>
                </c:pt>
                <c:pt idx="94">
                  <c:v>4997698.501177215</c:v>
                </c:pt>
                <c:pt idx="95">
                  <c:v>347654.43806250003</c:v>
                </c:pt>
                <c:pt idx="96">
                  <c:v>2715352.0716279075</c:v>
                </c:pt>
                <c:pt idx="97">
                  <c:v>757972.02911392401</c:v>
                </c:pt>
                <c:pt idx="98">
                  <c:v>456243.04140684416</c:v>
                </c:pt>
                <c:pt idx="99">
                  <c:v>4223082.7271012655</c:v>
                </c:pt>
                <c:pt idx="100">
                  <c:v>791069.46862025314</c:v>
                </c:pt>
                <c:pt idx="101">
                  <c:v>855936.47651250008</c:v>
                </c:pt>
                <c:pt idx="102">
                  <c:v>1051240</c:v>
                </c:pt>
                <c:pt idx="103">
                  <c:v>699244.66575275408</c:v>
                </c:pt>
                <c:pt idx="104">
                  <c:v>3001101.062676454</c:v>
                </c:pt>
                <c:pt idx="105">
                  <c:v>1105460.6375696203</c:v>
                </c:pt>
                <c:pt idx="106">
                  <c:v>4327077.8860465121</c:v>
                </c:pt>
                <c:pt idx="107">
                  <c:v>2467026.6813307987</c:v>
                </c:pt>
                <c:pt idx="108">
                  <c:v>2582509.839367589</c:v>
                </c:pt>
                <c:pt idx="109">
                  <c:v>106098.0345949367</c:v>
                </c:pt>
                <c:pt idx="110">
                  <c:v>3737410.4772151895</c:v>
                </c:pt>
                <c:pt idx="111">
                  <c:v>17736269.430379745</c:v>
                </c:pt>
                <c:pt idx="112">
                  <c:v>189436.20450000002</c:v>
                </c:pt>
                <c:pt idx="113">
                  <c:v>1035243.9094936708</c:v>
                </c:pt>
                <c:pt idx="114">
                  <c:v>447385.99375494069</c:v>
                </c:pt>
                <c:pt idx="115">
                  <c:v>3636785.6823037975</c:v>
                </c:pt>
                <c:pt idx="116">
                  <c:v>1995185.3816034275</c:v>
                </c:pt>
                <c:pt idx="117">
                  <c:v>1939277.1300375001</c:v>
                </c:pt>
                <c:pt idx="118">
                  <c:v>1415205.912091255</c:v>
                </c:pt>
                <c:pt idx="119">
                  <c:v>445312.54860759492</c:v>
                </c:pt>
                <c:pt idx="120">
                  <c:v>373495.5750396573</c:v>
                </c:pt>
                <c:pt idx="121">
                  <c:v>1228933.0611406844</c:v>
                </c:pt>
                <c:pt idx="122">
                  <c:v>2575767.1139240507</c:v>
                </c:pt>
                <c:pt idx="123">
                  <c:v>305497.25589353614</c:v>
                </c:pt>
                <c:pt idx="124">
                  <c:v>77393.33975202532</c:v>
                </c:pt>
                <c:pt idx="125">
                  <c:v>370923.24768455693</c:v>
                </c:pt>
                <c:pt idx="126">
                  <c:v>418803.16967088607</c:v>
                </c:pt>
                <c:pt idx="127">
                  <c:v>4577600.1080783363</c:v>
                </c:pt>
                <c:pt idx="128">
                  <c:v>2054167.9285171104</c:v>
                </c:pt>
                <c:pt idx="129">
                  <c:v>1468000</c:v>
                </c:pt>
                <c:pt idx="130">
                  <c:v>3321750.21</c:v>
                </c:pt>
                <c:pt idx="131">
                  <c:v>615805.82278481009</c:v>
                </c:pt>
                <c:pt idx="132">
                  <c:v>408236.79113924049</c:v>
                </c:pt>
                <c:pt idx="133">
                  <c:v>434071.22565949365</c:v>
                </c:pt>
                <c:pt idx="134">
                  <c:v>1471263.0867708751</c:v>
                </c:pt>
                <c:pt idx="135">
                  <c:v>4167322.2920485931</c:v>
                </c:pt>
                <c:pt idx="136">
                  <c:v>1140690.8413004293</c:v>
                </c:pt>
                <c:pt idx="137">
                  <c:v>567200.69388607587</c:v>
                </c:pt>
                <c:pt idx="138">
                  <c:v>6201789.1281818179</c:v>
                </c:pt>
                <c:pt idx="139">
                  <c:v>3154598.0439873417</c:v>
                </c:pt>
                <c:pt idx="140">
                  <c:v>11273447.839101264</c:v>
                </c:pt>
                <c:pt idx="141">
                  <c:v>806808.44842105277</c:v>
                </c:pt>
                <c:pt idx="142">
                  <c:v>567910.28063241101</c:v>
                </c:pt>
                <c:pt idx="143">
                  <c:v>351860.82979746832</c:v>
                </c:pt>
                <c:pt idx="144">
                  <c:v>583422.93037974683</c:v>
                </c:pt>
                <c:pt idx="145">
                  <c:v>491332.37037943705</c:v>
                </c:pt>
                <c:pt idx="146">
                  <c:v>300927.23290936707</c:v>
                </c:pt>
                <c:pt idx="147">
                  <c:v>219778.97468354428</c:v>
                </c:pt>
                <c:pt idx="148">
                  <c:v>140235.61868435913</c:v>
                </c:pt>
                <c:pt idx="149">
                  <c:v>4952739.7339167688</c:v>
                </c:pt>
                <c:pt idx="150">
                  <c:v>1177814</c:v>
                </c:pt>
                <c:pt idx="151">
                  <c:v>349310.54430379748</c:v>
                </c:pt>
                <c:pt idx="152">
                  <c:v>2256186.1883164556</c:v>
                </c:pt>
                <c:pt idx="153">
                  <c:v>961416.55021456804</c:v>
                </c:pt>
                <c:pt idx="154">
                  <c:v>238263.83399239546</c:v>
                </c:pt>
                <c:pt idx="155">
                  <c:v>125744.45793337097</c:v>
                </c:pt>
                <c:pt idx="156">
                  <c:v>4489168.9052386787</c:v>
                </c:pt>
                <c:pt idx="157">
                  <c:v>192598.57974683543</c:v>
                </c:pt>
                <c:pt idx="158">
                  <c:v>1094671.2948607595</c:v>
                </c:pt>
                <c:pt idx="159">
                  <c:v>358914.99167088605</c:v>
                </c:pt>
                <c:pt idx="160">
                  <c:v>614513.87634105026</c:v>
                </c:pt>
                <c:pt idx="161">
                  <c:v>647657.84810126573</c:v>
                </c:pt>
                <c:pt idx="162">
                  <c:v>226102</c:v>
                </c:pt>
                <c:pt idx="163">
                  <c:v>566543.43127046863</c:v>
                </c:pt>
                <c:pt idx="164">
                  <c:v>265769.96197718632</c:v>
                </c:pt>
              </c:numCache>
            </c:numRef>
          </c:yVal>
          <c:smooth val="0"/>
          <c:extLst>
            <c:ext xmlns:c16="http://schemas.microsoft.com/office/drawing/2014/chart" uri="{C3380CC4-5D6E-409C-BE32-E72D297353CC}">
              <c16:uniqueId val="{00000001-D375-4F18-8822-79D7BEBCBA5A}"/>
            </c:ext>
          </c:extLst>
        </c:ser>
        <c:dLbls>
          <c:showLegendKey val="0"/>
          <c:showVal val="0"/>
          <c:showCatName val="0"/>
          <c:showSerName val="0"/>
          <c:showPercent val="0"/>
          <c:showBubbleSize val="0"/>
        </c:dLbls>
        <c:axId val="128944015"/>
        <c:axId val="464775775"/>
      </c:scatterChart>
      <c:valAx>
        <c:axId val="1289440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900"/>
                  <a:t>City area, in square miles</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64775775"/>
        <c:crosses val="autoZero"/>
        <c:crossBetween val="midCat"/>
      </c:valAx>
      <c:valAx>
        <c:axId val="4647757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900"/>
                  <a:t>Expenditures, in millions of dollars</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28944015"/>
        <c:crosses val="autoZero"/>
        <c:crossBetween val="midCat"/>
        <c:dispUnits>
          <c:builtInUnit val="millions"/>
        </c:dispUnits>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sz="1200" b="1"/>
              <a:t>Expenditures versus Area for All Cities</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scatterChart>
        <c:scatterStyle val="lineMarker"/>
        <c:varyColors val="0"/>
        <c:ser>
          <c:idx val="0"/>
          <c:order val="0"/>
          <c:spPr>
            <a:ln w="25400" cap="rnd">
              <a:no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'App.A. Supplemental'!$C$33:$C$220</c:f>
              <c:numCache>
                <c:formatCode>0</c:formatCode>
                <c:ptCount val="188"/>
                <c:pt idx="0">
                  <c:v>7.8</c:v>
                </c:pt>
                <c:pt idx="1">
                  <c:v>7.6</c:v>
                </c:pt>
                <c:pt idx="2">
                  <c:v>6.9</c:v>
                </c:pt>
                <c:pt idx="3">
                  <c:v>50</c:v>
                </c:pt>
                <c:pt idx="4">
                  <c:v>10.9</c:v>
                </c:pt>
                <c:pt idx="5">
                  <c:v>1.6</c:v>
                </c:pt>
                <c:pt idx="6">
                  <c:v>9.6999999999999993</c:v>
                </c:pt>
                <c:pt idx="7">
                  <c:v>148.80000000000001</c:v>
                </c:pt>
                <c:pt idx="8">
                  <c:v>6.6</c:v>
                </c:pt>
                <c:pt idx="9">
                  <c:v>30.7</c:v>
                </c:pt>
                <c:pt idx="10">
                  <c:v>2.5</c:v>
                </c:pt>
                <c:pt idx="11">
                  <c:v>6.1</c:v>
                </c:pt>
                <c:pt idx="12">
                  <c:v>10.5</c:v>
                </c:pt>
                <c:pt idx="13">
                  <c:v>5.7</c:v>
                </c:pt>
                <c:pt idx="14">
                  <c:v>6.3</c:v>
                </c:pt>
                <c:pt idx="15">
                  <c:v>2</c:v>
                </c:pt>
                <c:pt idx="16">
                  <c:v>12.2</c:v>
                </c:pt>
                <c:pt idx="17">
                  <c:v>10.5</c:v>
                </c:pt>
                <c:pt idx="18">
                  <c:v>17.399999999999999</c:v>
                </c:pt>
                <c:pt idx="19">
                  <c:v>13.7</c:v>
                </c:pt>
                <c:pt idx="20">
                  <c:v>14.9</c:v>
                </c:pt>
                <c:pt idx="21">
                  <c:v>3.9</c:v>
                </c:pt>
                <c:pt idx="22">
                  <c:v>37.700000000000003</c:v>
                </c:pt>
                <c:pt idx="23">
                  <c:v>18.7</c:v>
                </c:pt>
                <c:pt idx="24">
                  <c:v>8.6999999999999993</c:v>
                </c:pt>
                <c:pt idx="25">
                  <c:v>29.7</c:v>
                </c:pt>
                <c:pt idx="26">
                  <c:v>44.7</c:v>
                </c:pt>
                <c:pt idx="27">
                  <c:v>49.6</c:v>
                </c:pt>
                <c:pt idx="28">
                  <c:v>14.2</c:v>
                </c:pt>
                <c:pt idx="29">
                  <c:v>13.4</c:v>
                </c:pt>
                <c:pt idx="30">
                  <c:v>24.2</c:v>
                </c:pt>
                <c:pt idx="31">
                  <c:v>15.3</c:v>
                </c:pt>
                <c:pt idx="32">
                  <c:v>10</c:v>
                </c:pt>
                <c:pt idx="33">
                  <c:v>39.5</c:v>
                </c:pt>
                <c:pt idx="34">
                  <c:v>7.9</c:v>
                </c:pt>
                <c:pt idx="35">
                  <c:v>15.7</c:v>
                </c:pt>
                <c:pt idx="36">
                  <c:v>7</c:v>
                </c:pt>
                <c:pt idx="37">
                  <c:v>5.0999999999999996</c:v>
                </c:pt>
                <c:pt idx="38">
                  <c:v>6.6</c:v>
                </c:pt>
                <c:pt idx="39">
                  <c:v>6.5</c:v>
                </c:pt>
                <c:pt idx="40">
                  <c:v>1.7</c:v>
                </c:pt>
                <c:pt idx="41">
                  <c:v>14.9</c:v>
                </c:pt>
                <c:pt idx="42">
                  <c:v>12.4</c:v>
                </c:pt>
                <c:pt idx="43">
                  <c:v>6.7</c:v>
                </c:pt>
                <c:pt idx="44">
                  <c:v>12.7</c:v>
                </c:pt>
                <c:pt idx="45">
                  <c:v>14.5</c:v>
                </c:pt>
                <c:pt idx="46">
                  <c:v>11.2</c:v>
                </c:pt>
                <c:pt idx="47">
                  <c:v>9.6</c:v>
                </c:pt>
                <c:pt idx="48">
                  <c:v>5.5</c:v>
                </c:pt>
                <c:pt idx="49">
                  <c:v>42.2</c:v>
                </c:pt>
                <c:pt idx="50">
                  <c:v>18.8</c:v>
                </c:pt>
                <c:pt idx="51">
                  <c:v>37.1</c:v>
                </c:pt>
                <c:pt idx="52">
                  <c:v>27.7</c:v>
                </c:pt>
                <c:pt idx="53">
                  <c:v>43</c:v>
                </c:pt>
                <c:pt idx="54">
                  <c:v>9.1</c:v>
                </c:pt>
                <c:pt idx="55">
                  <c:v>114.4</c:v>
                </c:pt>
                <c:pt idx="56">
                  <c:v>22.4</c:v>
                </c:pt>
                <c:pt idx="57">
                  <c:v>18</c:v>
                </c:pt>
                <c:pt idx="58">
                  <c:v>5.8</c:v>
                </c:pt>
                <c:pt idx="59">
                  <c:v>30.4</c:v>
                </c:pt>
                <c:pt idx="60">
                  <c:v>19.399999999999999</c:v>
                </c:pt>
                <c:pt idx="61">
                  <c:v>3.5</c:v>
                </c:pt>
                <c:pt idx="62">
                  <c:v>0.9</c:v>
                </c:pt>
                <c:pt idx="63">
                  <c:v>6.1</c:v>
                </c:pt>
                <c:pt idx="64">
                  <c:v>27.7</c:v>
                </c:pt>
                <c:pt idx="65">
                  <c:v>1.4</c:v>
                </c:pt>
                <c:pt idx="66">
                  <c:v>1.7</c:v>
                </c:pt>
                <c:pt idx="67">
                  <c:v>18.8</c:v>
                </c:pt>
                <c:pt idx="68">
                  <c:v>26.9</c:v>
                </c:pt>
                <c:pt idx="69">
                  <c:v>4.2</c:v>
                </c:pt>
                <c:pt idx="70">
                  <c:v>11.8</c:v>
                </c:pt>
                <c:pt idx="71">
                  <c:v>9.1</c:v>
                </c:pt>
                <c:pt idx="72">
                  <c:v>65.599999999999994</c:v>
                </c:pt>
                <c:pt idx="73">
                  <c:v>8.8000000000000007</c:v>
                </c:pt>
                <c:pt idx="74">
                  <c:v>42.9</c:v>
                </c:pt>
                <c:pt idx="75">
                  <c:v>8.6</c:v>
                </c:pt>
                <c:pt idx="76">
                  <c:v>7.4</c:v>
                </c:pt>
                <c:pt idx="77">
                  <c:v>6.2</c:v>
                </c:pt>
                <c:pt idx="78">
                  <c:v>9.1</c:v>
                </c:pt>
                <c:pt idx="79">
                  <c:v>7.8</c:v>
                </c:pt>
                <c:pt idx="80">
                  <c:v>1.8</c:v>
                </c:pt>
                <c:pt idx="81">
                  <c:v>3.5</c:v>
                </c:pt>
                <c:pt idx="82">
                  <c:v>8.4</c:v>
                </c:pt>
                <c:pt idx="83">
                  <c:v>8.9</c:v>
                </c:pt>
                <c:pt idx="84">
                  <c:v>6.6</c:v>
                </c:pt>
                <c:pt idx="85">
                  <c:v>14.7</c:v>
                </c:pt>
                <c:pt idx="86">
                  <c:v>3.3</c:v>
                </c:pt>
                <c:pt idx="87">
                  <c:v>38</c:v>
                </c:pt>
                <c:pt idx="88">
                  <c:v>16.600000000000001</c:v>
                </c:pt>
                <c:pt idx="89">
                  <c:v>9.4</c:v>
                </c:pt>
                <c:pt idx="90">
                  <c:v>2</c:v>
                </c:pt>
                <c:pt idx="91">
                  <c:v>3.9</c:v>
                </c:pt>
                <c:pt idx="92">
                  <c:v>7.5</c:v>
                </c:pt>
                <c:pt idx="93">
                  <c:v>1.9</c:v>
                </c:pt>
                <c:pt idx="94">
                  <c:v>50.3</c:v>
                </c:pt>
                <c:pt idx="95">
                  <c:v>4</c:v>
                </c:pt>
                <c:pt idx="96">
                  <c:v>468.7</c:v>
                </c:pt>
                <c:pt idx="97">
                  <c:v>19.8</c:v>
                </c:pt>
                <c:pt idx="98">
                  <c:v>3.9</c:v>
                </c:pt>
                <c:pt idx="99">
                  <c:v>46.5</c:v>
                </c:pt>
                <c:pt idx="100">
                  <c:v>17.7</c:v>
                </c:pt>
                <c:pt idx="101">
                  <c:v>13.6</c:v>
                </c:pt>
                <c:pt idx="102">
                  <c:v>5.5</c:v>
                </c:pt>
                <c:pt idx="103">
                  <c:v>8.3000000000000007</c:v>
                </c:pt>
                <c:pt idx="104">
                  <c:v>7.7</c:v>
                </c:pt>
                <c:pt idx="105">
                  <c:v>51.3</c:v>
                </c:pt>
                <c:pt idx="106">
                  <c:v>33.6</c:v>
                </c:pt>
                <c:pt idx="107">
                  <c:v>7.3</c:v>
                </c:pt>
                <c:pt idx="108">
                  <c:v>23.8</c:v>
                </c:pt>
                <c:pt idx="109">
                  <c:v>9.6999999999999993</c:v>
                </c:pt>
                <c:pt idx="110">
                  <c:v>41.3</c:v>
                </c:pt>
                <c:pt idx="111">
                  <c:v>49.9</c:v>
                </c:pt>
                <c:pt idx="112">
                  <c:v>25.4</c:v>
                </c:pt>
                <c:pt idx="113">
                  <c:v>4.8</c:v>
                </c:pt>
                <c:pt idx="114">
                  <c:v>4.7</c:v>
                </c:pt>
                <c:pt idx="115">
                  <c:v>23</c:v>
                </c:pt>
                <c:pt idx="116">
                  <c:v>31.6</c:v>
                </c:pt>
                <c:pt idx="117">
                  <c:v>8.3000000000000007</c:v>
                </c:pt>
                <c:pt idx="118">
                  <c:v>6.6</c:v>
                </c:pt>
                <c:pt idx="119">
                  <c:v>23</c:v>
                </c:pt>
                <c:pt idx="120">
                  <c:v>39.1</c:v>
                </c:pt>
                <c:pt idx="121">
                  <c:v>34.9</c:v>
                </c:pt>
                <c:pt idx="122">
                  <c:v>40</c:v>
                </c:pt>
                <c:pt idx="123">
                  <c:v>13.5</c:v>
                </c:pt>
                <c:pt idx="124">
                  <c:v>12.9</c:v>
                </c:pt>
                <c:pt idx="125">
                  <c:v>36</c:v>
                </c:pt>
                <c:pt idx="126">
                  <c:v>6.2</c:v>
                </c:pt>
                <c:pt idx="127">
                  <c:v>22.3</c:v>
                </c:pt>
                <c:pt idx="128">
                  <c:v>3</c:v>
                </c:pt>
                <c:pt idx="129">
                  <c:v>3.6</c:v>
                </c:pt>
                <c:pt idx="130">
                  <c:v>5.2</c:v>
                </c:pt>
                <c:pt idx="131">
                  <c:v>97.9</c:v>
                </c:pt>
                <c:pt idx="132">
                  <c:v>23.6</c:v>
                </c:pt>
                <c:pt idx="133">
                  <c:v>61.5</c:v>
                </c:pt>
                <c:pt idx="134">
                  <c:v>21.8</c:v>
                </c:pt>
                <c:pt idx="135">
                  <c:v>18.399999999999999</c:v>
                </c:pt>
                <c:pt idx="136">
                  <c:v>325.2</c:v>
                </c:pt>
                <c:pt idx="137">
                  <c:v>15</c:v>
                </c:pt>
                <c:pt idx="138">
                  <c:v>2.4</c:v>
                </c:pt>
                <c:pt idx="139">
                  <c:v>4.0999999999999996</c:v>
                </c:pt>
                <c:pt idx="140">
                  <c:v>25.7</c:v>
                </c:pt>
                <c:pt idx="141">
                  <c:v>14.2</c:v>
                </c:pt>
                <c:pt idx="142">
                  <c:v>24.4</c:v>
                </c:pt>
                <c:pt idx="143">
                  <c:v>3.8</c:v>
                </c:pt>
                <c:pt idx="144">
                  <c:v>27.1</c:v>
                </c:pt>
                <c:pt idx="145">
                  <c:v>52.8</c:v>
                </c:pt>
                <c:pt idx="146">
                  <c:v>8.4</c:v>
                </c:pt>
                <c:pt idx="147">
                  <c:v>16.2</c:v>
                </c:pt>
                <c:pt idx="148">
                  <c:v>11.3</c:v>
                </c:pt>
                <c:pt idx="149">
                  <c:v>3</c:v>
                </c:pt>
                <c:pt idx="150">
                  <c:v>2.2000000000000002</c:v>
                </c:pt>
                <c:pt idx="151">
                  <c:v>3.5</c:v>
                </c:pt>
                <c:pt idx="152">
                  <c:v>2.8</c:v>
                </c:pt>
                <c:pt idx="153">
                  <c:v>3.4</c:v>
                </c:pt>
                <c:pt idx="154">
                  <c:v>3.1</c:v>
                </c:pt>
                <c:pt idx="155">
                  <c:v>61.7</c:v>
                </c:pt>
                <c:pt idx="156">
                  <c:v>37.299999999999997</c:v>
                </c:pt>
                <c:pt idx="157">
                  <c:v>4</c:v>
                </c:pt>
                <c:pt idx="158">
                  <c:v>20.5</c:v>
                </c:pt>
                <c:pt idx="159">
                  <c:v>11.1</c:v>
                </c:pt>
                <c:pt idx="160">
                  <c:v>15.6</c:v>
                </c:pt>
                <c:pt idx="161">
                  <c:v>2.1</c:v>
                </c:pt>
                <c:pt idx="162">
                  <c:v>18.7</c:v>
                </c:pt>
                <c:pt idx="163">
                  <c:v>9</c:v>
                </c:pt>
                <c:pt idx="164">
                  <c:v>16</c:v>
                </c:pt>
                <c:pt idx="165">
                  <c:v>5.2</c:v>
                </c:pt>
                <c:pt idx="166">
                  <c:v>10</c:v>
                </c:pt>
                <c:pt idx="167">
                  <c:v>14.6</c:v>
                </c:pt>
                <c:pt idx="168">
                  <c:v>23.7</c:v>
                </c:pt>
                <c:pt idx="169">
                  <c:v>19.3</c:v>
                </c:pt>
                <c:pt idx="170">
                  <c:v>28.4</c:v>
                </c:pt>
              </c:numCache>
            </c:numRef>
          </c:xVal>
          <c:yVal>
            <c:numRef>
              <c:f>'App.A. Supplemental'!$B$33:$B$220</c:f>
              <c:numCache>
                <c:formatCode>General</c:formatCode>
                <c:ptCount val="188"/>
                <c:pt idx="0">
                  <c:v>2767008.7973924051</c:v>
                </c:pt>
                <c:pt idx="1">
                  <c:v>765706.76259493665</c:v>
                </c:pt>
                <c:pt idx="2">
                  <c:v>782266.67833500006</c:v>
                </c:pt>
                <c:pt idx="3">
                  <c:v>2501287.4445906268</c:v>
                </c:pt>
                <c:pt idx="4">
                  <c:v>730366.94050632906</c:v>
                </c:pt>
                <c:pt idx="5">
                  <c:v>184151.42263291139</c:v>
                </c:pt>
                <c:pt idx="6">
                  <c:v>575990.79113924049</c:v>
                </c:pt>
                <c:pt idx="7">
                  <c:v>26033100</c:v>
                </c:pt>
                <c:pt idx="8">
                  <c:v>4256492.3164556958</c:v>
                </c:pt>
                <c:pt idx="9">
                  <c:v>156745.14375000002</c:v>
                </c:pt>
                <c:pt idx="10">
                  <c:v>289853.43037974683</c:v>
                </c:pt>
                <c:pt idx="11">
                  <c:v>347143.54484810127</c:v>
                </c:pt>
                <c:pt idx="12">
                  <c:v>6566244.7263157899</c:v>
                </c:pt>
                <c:pt idx="13">
                  <c:v>3958406.1992658228</c:v>
                </c:pt>
                <c:pt idx="14">
                  <c:v>1704116.9961977187</c:v>
                </c:pt>
                <c:pt idx="15">
                  <c:v>353557.48101265822</c:v>
                </c:pt>
                <c:pt idx="16">
                  <c:v>671792.25298136647</c:v>
                </c:pt>
                <c:pt idx="17">
                  <c:v>368708.32580463012</c:v>
                </c:pt>
                <c:pt idx="18">
                  <c:v>3833761.7920632907</c:v>
                </c:pt>
                <c:pt idx="19">
                  <c:v>1144549.4430379746</c:v>
                </c:pt>
                <c:pt idx="20">
                  <c:v>66068.990253000011</c:v>
                </c:pt>
                <c:pt idx="21">
                  <c:v>143238.27317062503</c:v>
                </c:pt>
                <c:pt idx="22">
                  <c:v>3156292.5366462674</c:v>
                </c:pt>
                <c:pt idx="23">
                  <c:v>1318833.1082278481</c:v>
                </c:pt>
                <c:pt idx="24">
                  <c:v>892265.47651898733</c:v>
                </c:pt>
                <c:pt idx="25">
                  <c:v>546737.71346007613</c:v>
                </c:pt>
                <c:pt idx="26">
                  <c:v>427421.99477351917</c:v>
                </c:pt>
                <c:pt idx="27">
                  <c:v>2859532.2200489598</c:v>
                </c:pt>
                <c:pt idx="28">
                  <c:v>4217208.1518987343</c:v>
                </c:pt>
                <c:pt idx="29">
                  <c:v>6952375.5413164552</c:v>
                </c:pt>
                <c:pt idx="30">
                  <c:v>2146083.2924050633</c:v>
                </c:pt>
                <c:pt idx="31">
                  <c:v>627823.72881533101</c:v>
                </c:pt>
                <c:pt idx="32">
                  <c:v>491582.92405063286</c:v>
                </c:pt>
                <c:pt idx="33">
                  <c:v>1643463.9202875001</c:v>
                </c:pt>
                <c:pt idx="34">
                  <c:v>1122087.410379437</c:v>
                </c:pt>
                <c:pt idx="35">
                  <c:v>1545061.1006968643</c:v>
                </c:pt>
                <c:pt idx="36">
                  <c:v>786884.11249367089</c:v>
                </c:pt>
                <c:pt idx="37">
                  <c:v>972135.49173417711</c:v>
                </c:pt>
                <c:pt idx="38">
                  <c:v>776952.98252964427</c:v>
                </c:pt>
                <c:pt idx="39">
                  <c:v>2139535.9533047737</c:v>
                </c:pt>
                <c:pt idx="40">
                  <c:v>607991.21232558147</c:v>
                </c:pt>
                <c:pt idx="41">
                  <c:v>418323.2658227848</c:v>
                </c:pt>
                <c:pt idx="42">
                  <c:v>1351306.2480379746</c:v>
                </c:pt>
                <c:pt idx="43">
                  <c:v>783453.64936708857</c:v>
                </c:pt>
                <c:pt idx="44">
                  <c:v>145888.68152437502</c:v>
                </c:pt>
                <c:pt idx="45">
                  <c:v>1599667.8540146882</c:v>
                </c:pt>
                <c:pt idx="46">
                  <c:v>153760.34354430379</c:v>
                </c:pt>
                <c:pt idx="47">
                  <c:v>1488632.0082531644</c:v>
                </c:pt>
                <c:pt idx="48">
                  <c:v>2425637.9012658228</c:v>
                </c:pt>
                <c:pt idx="49">
                  <c:v>966166.42218987341</c:v>
                </c:pt>
                <c:pt idx="50">
                  <c:v>2611487.2954589967</c:v>
                </c:pt>
                <c:pt idx="51">
                  <c:v>1953828.9900367199</c:v>
                </c:pt>
                <c:pt idx="52">
                  <c:v>875153.5067848101</c:v>
                </c:pt>
                <c:pt idx="53">
                  <c:v>1895990.1517870724</c:v>
                </c:pt>
                <c:pt idx="54">
                  <c:v>2609821.2514624507</c:v>
                </c:pt>
                <c:pt idx="55">
                  <c:v>10886431.928962024</c:v>
                </c:pt>
                <c:pt idx="56">
                  <c:v>2358936.1931620552</c:v>
                </c:pt>
                <c:pt idx="57">
                  <c:v>1683421.335889328</c:v>
                </c:pt>
                <c:pt idx="58">
                  <c:v>847733.15992405056</c:v>
                </c:pt>
                <c:pt idx="59">
                  <c:v>767633.81012658228</c:v>
                </c:pt>
                <c:pt idx="60">
                  <c:v>498484.19620253163</c:v>
                </c:pt>
                <c:pt idx="61">
                  <c:v>131400.92152091255</c:v>
                </c:pt>
                <c:pt idx="62">
                  <c:v>119445.09493670885</c:v>
                </c:pt>
                <c:pt idx="63">
                  <c:v>1212500.4303797467</c:v>
                </c:pt>
                <c:pt idx="64">
                  <c:v>918723.73720199999</c:v>
                </c:pt>
                <c:pt idx="65">
                  <c:v>754217.73706329113</c:v>
                </c:pt>
                <c:pt idx="66">
                  <c:v>119531.09540506329</c:v>
                </c:pt>
                <c:pt idx="67">
                  <c:v>562900.77946768061</c:v>
                </c:pt>
                <c:pt idx="68">
                  <c:v>12523295.5053642</c:v>
                </c:pt>
                <c:pt idx="69">
                  <c:v>5435158.7614075895</c:v>
                </c:pt>
                <c:pt idx="70">
                  <c:v>5295415.1348734172</c:v>
                </c:pt>
                <c:pt idx="71">
                  <c:v>2651734.1943037971</c:v>
                </c:pt>
                <c:pt idx="72">
                  <c:v>3572387.2623150763</c:v>
                </c:pt>
                <c:pt idx="73">
                  <c:v>530965.45827911387</c:v>
                </c:pt>
                <c:pt idx="74">
                  <c:v>533143.18125000002</c:v>
                </c:pt>
                <c:pt idx="75">
                  <c:v>535470.76799999992</c:v>
                </c:pt>
                <c:pt idx="76">
                  <c:v>2539451.2427837378</c:v>
                </c:pt>
                <c:pt idx="77">
                  <c:v>47665.494151898733</c:v>
                </c:pt>
                <c:pt idx="78">
                  <c:v>548931.33253365976</c:v>
                </c:pt>
                <c:pt idx="79">
                  <c:v>1331635.4989367088</c:v>
                </c:pt>
                <c:pt idx="80">
                  <c:v>203038.22642574814</c:v>
                </c:pt>
                <c:pt idx="81">
                  <c:v>53178.017999999996</c:v>
                </c:pt>
                <c:pt idx="82">
                  <c:v>5068301.9128405061</c:v>
                </c:pt>
                <c:pt idx="83">
                  <c:v>1898195.0288372096</c:v>
                </c:pt>
                <c:pt idx="84">
                  <c:v>699806.24126071006</c:v>
                </c:pt>
                <c:pt idx="85">
                  <c:v>1711704.7344675644</c:v>
                </c:pt>
                <c:pt idx="86">
                  <c:v>736687.48175030609</c:v>
                </c:pt>
                <c:pt idx="87">
                  <c:v>149294.57001712502</c:v>
                </c:pt>
                <c:pt idx="88">
                  <c:v>1510205.385</c:v>
                </c:pt>
                <c:pt idx="89">
                  <c:v>7275871.080835443</c:v>
                </c:pt>
                <c:pt idx="90">
                  <c:v>90582.91306329114</c:v>
                </c:pt>
                <c:pt idx="91">
                  <c:v>252529.46948041618</c:v>
                </c:pt>
                <c:pt idx="92">
                  <c:v>241531.74144486693</c:v>
                </c:pt>
                <c:pt idx="93">
                  <c:v>213408.56962025314</c:v>
                </c:pt>
                <c:pt idx="94">
                  <c:v>2259514.7249620254</c:v>
                </c:pt>
                <c:pt idx="95">
                  <c:v>91329.48606271777</c:v>
                </c:pt>
                <c:pt idx="96">
                  <c:v>88404820.173600376</c:v>
                </c:pt>
                <c:pt idx="97">
                  <c:v>1503881.6962405061</c:v>
                </c:pt>
                <c:pt idx="98">
                  <c:v>4997698.501177215</c:v>
                </c:pt>
                <c:pt idx="99">
                  <c:v>347654.43806250003</c:v>
                </c:pt>
                <c:pt idx="100">
                  <c:v>2715352.0716279075</c:v>
                </c:pt>
                <c:pt idx="101">
                  <c:v>757972.02911392401</c:v>
                </c:pt>
                <c:pt idx="102">
                  <c:v>456243.04140684416</c:v>
                </c:pt>
                <c:pt idx="103">
                  <c:v>4223082.7271012655</c:v>
                </c:pt>
                <c:pt idx="104">
                  <c:v>791069.46862025314</c:v>
                </c:pt>
                <c:pt idx="105">
                  <c:v>855936.47651250008</c:v>
                </c:pt>
                <c:pt idx="106">
                  <c:v>1051240</c:v>
                </c:pt>
                <c:pt idx="107">
                  <c:v>699244.66575275408</c:v>
                </c:pt>
                <c:pt idx="108">
                  <c:v>3001101.062676454</c:v>
                </c:pt>
                <c:pt idx="109">
                  <c:v>1105460.6375696203</c:v>
                </c:pt>
                <c:pt idx="110">
                  <c:v>4327077.8860465121</c:v>
                </c:pt>
                <c:pt idx="111">
                  <c:v>2467026.6813307987</c:v>
                </c:pt>
                <c:pt idx="112">
                  <c:v>2582509.839367589</c:v>
                </c:pt>
                <c:pt idx="113">
                  <c:v>106098.0345949367</c:v>
                </c:pt>
                <c:pt idx="114">
                  <c:v>3737410.4772151895</c:v>
                </c:pt>
                <c:pt idx="115">
                  <c:v>17736269.430379745</c:v>
                </c:pt>
                <c:pt idx="116">
                  <c:v>189436.20450000002</c:v>
                </c:pt>
                <c:pt idx="117">
                  <c:v>1035243.9094936708</c:v>
                </c:pt>
                <c:pt idx="118">
                  <c:v>447385.99375494069</c:v>
                </c:pt>
                <c:pt idx="119">
                  <c:v>3636785.6823037975</c:v>
                </c:pt>
                <c:pt idx="120">
                  <c:v>1995185.3816034275</c:v>
                </c:pt>
                <c:pt idx="121">
                  <c:v>1939277.1300375001</c:v>
                </c:pt>
                <c:pt idx="122">
                  <c:v>1415205.912091255</c:v>
                </c:pt>
                <c:pt idx="123">
                  <c:v>445312.54860759492</c:v>
                </c:pt>
                <c:pt idx="124">
                  <c:v>373495.5750396573</c:v>
                </c:pt>
                <c:pt idx="125">
                  <c:v>1228933.0611406844</c:v>
                </c:pt>
                <c:pt idx="126">
                  <c:v>2575767.1139240507</c:v>
                </c:pt>
                <c:pt idx="127">
                  <c:v>305497.25589353614</c:v>
                </c:pt>
                <c:pt idx="128">
                  <c:v>77393.33975202532</c:v>
                </c:pt>
                <c:pt idx="129">
                  <c:v>370923.24768455693</c:v>
                </c:pt>
                <c:pt idx="130">
                  <c:v>418803.16967088607</c:v>
                </c:pt>
                <c:pt idx="131">
                  <c:v>35256726.769277848</c:v>
                </c:pt>
                <c:pt idx="132">
                  <c:v>4577600.1080783363</c:v>
                </c:pt>
                <c:pt idx="133">
                  <c:v>2054167.9285171104</c:v>
                </c:pt>
                <c:pt idx="134">
                  <c:v>1468000</c:v>
                </c:pt>
                <c:pt idx="135">
                  <c:v>3321750.21</c:v>
                </c:pt>
                <c:pt idx="136">
                  <c:v>76397499.007086918</c:v>
                </c:pt>
                <c:pt idx="137">
                  <c:v>615805.82278481009</c:v>
                </c:pt>
                <c:pt idx="138">
                  <c:v>408236.79113924049</c:v>
                </c:pt>
                <c:pt idx="139">
                  <c:v>434071.22565949365</c:v>
                </c:pt>
                <c:pt idx="140">
                  <c:v>1471263.0867708751</c:v>
                </c:pt>
                <c:pt idx="141">
                  <c:v>4167322.2920485931</c:v>
                </c:pt>
                <c:pt idx="142">
                  <c:v>1140690.8413004293</c:v>
                </c:pt>
                <c:pt idx="143">
                  <c:v>567200.69388607587</c:v>
                </c:pt>
                <c:pt idx="144">
                  <c:v>6201789.1281818179</c:v>
                </c:pt>
                <c:pt idx="145">
                  <c:v>3154598.0439873417</c:v>
                </c:pt>
                <c:pt idx="146">
                  <c:v>11273447.839101264</c:v>
                </c:pt>
                <c:pt idx="147">
                  <c:v>806808.44842105277</c:v>
                </c:pt>
                <c:pt idx="148">
                  <c:v>567910.28063241101</c:v>
                </c:pt>
                <c:pt idx="149">
                  <c:v>351860.82979746832</c:v>
                </c:pt>
                <c:pt idx="150">
                  <c:v>583422.93037974683</c:v>
                </c:pt>
                <c:pt idx="151">
                  <c:v>491332.37037943705</c:v>
                </c:pt>
                <c:pt idx="152">
                  <c:v>300927.23290936707</c:v>
                </c:pt>
                <c:pt idx="153">
                  <c:v>219778.97468354428</c:v>
                </c:pt>
                <c:pt idx="154">
                  <c:v>140235.61868435913</c:v>
                </c:pt>
                <c:pt idx="155">
                  <c:v>4952739.7339167688</c:v>
                </c:pt>
                <c:pt idx="156">
                  <c:v>1177814</c:v>
                </c:pt>
                <c:pt idx="157">
                  <c:v>349310.54430379748</c:v>
                </c:pt>
                <c:pt idx="158">
                  <c:v>2256186.1883164556</c:v>
                </c:pt>
                <c:pt idx="159">
                  <c:v>961416.55021456804</c:v>
                </c:pt>
                <c:pt idx="160">
                  <c:v>238263.83399239546</c:v>
                </c:pt>
                <c:pt idx="161">
                  <c:v>125744.45793337097</c:v>
                </c:pt>
                <c:pt idx="162">
                  <c:v>4489168.9052386787</c:v>
                </c:pt>
                <c:pt idx="163">
                  <c:v>192598.57974683543</c:v>
                </c:pt>
                <c:pt idx="164">
                  <c:v>1094671.2948607595</c:v>
                </c:pt>
                <c:pt idx="165">
                  <c:v>358914.99167088605</c:v>
                </c:pt>
                <c:pt idx="166">
                  <c:v>614513.87634105026</c:v>
                </c:pt>
                <c:pt idx="167">
                  <c:v>647657.84810126573</c:v>
                </c:pt>
                <c:pt idx="168">
                  <c:v>226102</c:v>
                </c:pt>
                <c:pt idx="169">
                  <c:v>566543.43127046863</c:v>
                </c:pt>
                <c:pt idx="170">
                  <c:v>265769.96197718632</c:v>
                </c:pt>
              </c:numCache>
            </c:numRef>
          </c:yVal>
          <c:smooth val="0"/>
          <c:extLst>
            <c:ext xmlns:c16="http://schemas.microsoft.com/office/drawing/2014/chart" uri="{C3380CC4-5D6E-409C-BE32-E72D297353CC}">
              <c16:uniqueId val="{00000001-A2B7-44C0-B8B9-3170BCBFFBB7}"/>
            </c:ext>
          </c:extLst>
        </c:ser>
        <c:dLbls>
          <c:showLegendKey val="0"/>
          <c:showVal val="0"/>
          <c:showCatName val="0"/>
          <c:showSerName val="0"/>
          <c:showPercent val="0"/>
          <c:showBubbleSize val="0"/>
        </c:dLbls>
        <c:axId val="128944015"/>
        <c:axId val="464775775"/>
      </c:scatterChart>
      <c:valAx>
        <c:axId val="1289440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a:t>City area, in square miles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64775775"/>
        <c:crosses val="autoZero"/>
        <c:crossBetween val="midCat"/>
      </c:valAx>
      <c:valAx>
        <c:axId val="464775775"/>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a:t>Expenditures, in millions of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28944015"/>
        <c:crosses val="autoZero"/>
        <c:crossBetween val="midCat"/>
        <c:dispUnits>
          <c:builtInUnit val="millions"/>
        </c:dispUnits>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sz="1200" b="1"/>
              <a:t>Expenditures versus Population for Cities, Outliers Removed</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scatterChart>
        <c:scatterStyle val="lineMarker"/>
        <c:varyColors val="0"/>
        <c:ser>
          <c:idx val="0"/>
          <c:order val="0"/>
          <c:spPr>
            <a:ln w="25400" cap="rnd">
              <a:noFill/>
              <a:round/>
            </a:ln>
            <a:effectLst/>
          </c:spPr>
          <c:marker>
            <c:symbol val="circle"/>
            <c:size val="4"/>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8.7680309492563432E-2"/>
                  <c:y val="-0.17082547523847214"/>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rendlineLbl>
          </c:trendline>
          <c:xVal>
            <c:numRef>
              <c:f>'App.A. Supplemental'!$I$33:$I$220</c:f>
              <c:numCache>
                <c:formatCode>0.00</c:formatCode>
                <c:ptCount val="188"/>
                <c:pt idx="0">
                  <c:v>20472</c:v>
                </c:pt>
                <c:pt idx="1">
                  <c:v>84649</c:v>
                </c:pt>
                <c:pt idx="2">
                  <c:v>51783</c:v>
                </c:pt>
                <c:pt idx="3">
                  <c:v>352005</c:v>
                </c:pt>
                <c:pt idx="4">
                  <c:v>58610</c:v>
                </c:pt>
                <c:pt idx="5">
                  <c:v>16750</c:v>
                </c:pt>
                <c:pt idx="6">
                  <c:v>49958</c:v>
                </c:pt>
                <c:pt idx="7">
                  <c:v>75813</c:v>
                </c:pt>
                <c:pt idx="8">
                  <c:v>49241</c:v>
                </c:pt>
                <c:pt idx="9">
                  <c:v>35728</c:v>
                </c:pt>
                <c:pt idx="10">
                  <c:v>77131</c:v>
                </c:pt>
                <c:pt idx="11">
                  <c:v>121643</c:v>
                </c:pt>
                <c:pt idx="12">
                  <c:v>34183</c:v>
                </c:pt>
                <c:pt idx="13">
                  <c:v>5281</c:v>
                </c:pt>
                <c:pt idx="14">
                  <c:v>1084</c:v>
                </c:pt>
                <c:pt idx="15">
                  <c:v>43601</c:v>
                </c:pt>
                <c:pt idx="16">
                  <c:v>82421</c:v>
                </c:pt>
                <c:pt idx="17">
                  <c:v>103695</c:v>
                </c:pt>
                <c:pt idx="18">
                  <c:v>23954</c:v>
                </c:pt>
                <c:pt idx="19">
                  <c:v>8937</c:v>
                </c:pt>
                <c:pt idx="20">
                  <c:v>11267</c:v>
                </c:pt>
                <c:pt idx="21">
                  <c:v>115877</c:v>
                </c:pt>
                <c:pt idx="22">
                  <c:v>91909</c:v>
                </c:pt>
                <c:pt idx="23">
                  <c:v>50462</c:v>
                </c:pt>
                <c:pt idx="24">
                  <c:v>91583</c:v>
                </c:pt>
                <c:pt idx="25">
                  <c:v>83447</c:v>
                </c:pt>
                <c:pt idx="26">
                  <c:v>271651</c:v>
                </c:pt>
                <c:pt idx="27">
                  <c:v>87910</c:v>
                </c:pt>
                <c:pt idx="28">
                  <c:v>36478</c:v>
                </c:pt>
                <c:pt idx="29">
                  <c:v>112022</c:v>
                </c:pt>
                <c:pt idx="30">
                  <c:v>54741</c:v>
                </c:pt>
                <c:pt idx="31">
                  <c:v>96617</c:v>
                </c:pt>
                <c:pt idx="32">
                  <c:v>168819</c:v>
                </c:pt>
                <c:pt idx="33">
                  <c:v>21390</c:v>
                </c:pt>
                <c:pt idx="34">
                  <c:v>113615</c:v>
                </c:pt>
                <c:pt idx="35">
                  <c:v>47963</c:v>
                </c:pt>
                <c:pt idx="36">
                  <c:v>39214</c:v>
                </c:pt>
                <c:pt idx="37">
                  <c:v>48958</c:v>
                </c:pt>
                <c:pt idx="38">
                  <c:v>33730</c:v>
                </c:pt>
                <c:pt idx="39">
                  <c:v>4347</c:v>
                </c:pt>
                <c:pt idx="40">
                  <c:v>56275</c:v>
                </c:pt>
                <c:pt idx="41">
                  <c:v>112269</c:v>
                </c:pt>
                <c:pt idx="42">
                  <c:v>21527</c:v>
                </c:pt>
                <c:pt idx="43">
                  <c:v>64822</c:v>
                </c:pt>
                <c:pt idx="44">
                  <c:v>103241</c:v>
                </c:pt>
                <c:pt idx="45">
                  <c:v>44120</c:v>
                </c:pt>
                <c:pt idx="46">
                  <c:v>115586</c:v>
                </c:pt>
                <c:pt idx="47">
                  <c:v>16719</c:v>
                </c:pt>
                <c:pt idx="48">
                  <c:v>172886</c:v>
                </c:pt>
                <c:pt idx="49">
                  <c:v>62904</c:v>
                </c:pt>
                <c:pt idx="50">
                  <c:v>152213</c:v>
                </c:pt>
                <c:pt idx="51">
                  <c:v>79022</c:v>
                </c:pt>
                <c:pt idx="52">
                  <c:v>213739</c:v>
                </c:pt>
                <c:pt idx="53">
                  <c:v>55814</c:v>
                </c:pt>
                <c:pt idx="54">
                  <c:v>139640</c:v>
                </c:pt>
                <c:pt idx="55">
                  <c:v>172646</c:v>
                </c:pt>
                <c:pt idx="56">
                  <c:v>59721</c:v>
                </c:pt>
                <c:pt idx="57">
                  <c:v>201361</c:v>
                </c:pt>
                <c:pt idx="58">
                  <c:v>52002</c:v>
                </c:pt>
                <c:pt idx="59">
                  <c:v>12584</c:v>
                </c:pt>
                <c:pt idx="60">
                  <c:v>14315</c:v>
                </c:pt>
                <c:pt idx="61">
                  <c:v>86965</c:v>
                </c:pt>
                <c:pt idx="62">
                  <c:v>85275</c:v>
                </c:pt>
                <c:pt idx="63">
                  <c:v>19465</c:v>
                </c:pt>
                <c:pt idx="64">
                  <c:v>1898</c:v>
                </c:pt>
                <c:pt idx="65">
                  <c:v>55406</c:v>
                </c:pt>
                <c:pt idx="66">
                  <c:v>200641</c:v>
                </c:pt>
                <c:pt idx="67">
                  <c:v>27447</c:v>
                </c:pt>
                <c:pt idx="68">
                  <c:v>202</c:v>
                </c:pt>
                <c:pt idx="69">
                  <c:v>109419</c:v>
                </c:pt>
                <c:pt idx="70">
                  <c:v>282572</c:v>
                </c:pt>
                <c:pt idx="71">
                  <c:v>1463</c:v>
                </c:pt>
                <c:pt idx="72">
                  <c:v>108393</c:v>
                </c:pt>
                <c:pt idx="73">
                  <c:v>20227</c:v>
                </c:pt>
                <c:pt idx="74">
                  <c:v>62183</c:v>
                </c:pt>
                <c:pt idx="75">
                  <c:v>5353</c:v>
                </c:pt>
                <c:pt idx="76">
                  <c:v>59556</c:v>
                </c:pt>
                <c:pt idx="77">
                  <c:v>48683</c:v>
                </c:pt>
                <c:pt idx="78">
                  <c:v>15568</c:v>
                </c:pt>
                <c:pt idx="79">
                  <c:v>39908</c:v>
                </c:pt>
                <c:pt idx="80">
                  <c:v>32206</c:v>
                </c:pt>
                <c:pt idx="81">
                  <c:v>22991</c:v>
                </c:pt>
                <c:pt idx="82">
                  <c:v>31024</c:v>
                </c:pt>
                <c:pt idx="83">
                  <c:v>66266</c:v>
                </c:pt>
                <c:pt idx="84">
                  <c:v>16046</c:v>
                </c:pt>
                <c:pt idx="85">
                  <c:v>68183</c:v>
                </c:pt>
                <c:pt idx="86">
                  <c:v>85623</c:v>
                </c:pt>
                <c:pt idx="87">
                  <c:v>80140</c:v>
                </c:pt>
                <c:pt idx="88">
                  <c:v>32754</c:v>
                </c:pt>
                <c:pt idx="89">
                  <c:v>26969</c:v>
                </c:pt>
                <c:pt idx="90">
                  <c:v>24382</c:v>
                </c:pt>
                <c:pt idx="91">
                  <c:v>20521</c:v>
                </c:pt>
                <c:pt idx="92">
                  <c:v>11529</c:v>
                </c:pt>
                <c:pt idx="93">
                  <c:v>12777</c:v>
                </c:pt>
                <c:pt idx="94">
                  <c:v>35532</c:v>
                </c:pt>
                <c:pt idx="95">
                  <c:v>92595</c:v>
                </c:pt>
                <c:pt idx="96">
                  <c:v>95202</c:v>
                </c:pt>
                <c:pt idx="97">
                  <c:v>36715</c:v>
                </c:pt>
                <c:pt idx="98">
                  <c:v>39437</c:v>
                </c:pt>
                <c:pt idx="99">
                  <c:v>62632</c:v>
                </c:pt>
                <c:pt idx="100">
                  <c:v>60401</c:v>
                </c:pt>
                <c:pt idx="101">
                  <c:v>209050</c:v>
                </c:pt>
                <c:pt idx="102">
                  <c:v>114985</c:v>
                </c:pt>
                <c:pt idx="103">
                  <c:v>61431</c:v>
                </c:pt>
                <c:pt idx="104">
                  <c:v>85326</c:v>
                </c:pt>
                <c:pt idx="105">
                  <c:v>105120</c:v>
                </c:pt>
                <c:pt idx="106">
                  <c:v>176080</c:v>
                </c:pt>
                <c:pt idx="107">
                  <c:v>181107</c:v>
                </c:pt>
                <c:pt idx="108">
                  <c:v>139484</c:v>
                </c:pt>
                <c:pt idx="109">
                  <c:v>13404</c:v>
                </c:pt>
                <c:pt idx="110">
                  <c:v>53682</c:v>
                </c:pt>
                <c:pt idx="111">
                  <c:v>141371</c:v>
                </c:pt>
                <c:pt idx="112">
                  <c:v>79133</c:v>
                </c:pt>
                <c:pt idx="113">
                  <c:v>62888</c:v>
                </c:pt>
                <c:pt idx="114">
                  <c:v>51671</c:v>
                </c:pt>
                <c:pt idx="115">
                  <c:v>152361</c:v>
                </c:pt>
                <c:pt idx="116">
                  <c:v>49704</c:v>
                </c:pt>
                <c:pt idx="117">
                  <c:v>74585</c:v>
                </c:pt>
                <c:pt idx="118">
                  <c:v>177751</c:v>
                </c:pt>
                <c:pt idx="119">
                  <c:v>41928</c:v>
                </c:pt>
                <c:pt idx="120">
                  <c:v>48325</c:v>
                </c:pt>
                <c:pt idx="121">
                  <c:v>71586</c:v>
                </c:pt>
                <c:pt idx="122">
                  <c:v>67412</c:v>
                </c:pt>
                <c:pt idx="123">
                  <c:v>103440</c:v>
                </c:pt>
                <c:pt idx="124">
                  <c:v>1867</c:v>
                </c:pt>
                <c:pt idx="125">
                  <c:v>8141</c:v>
                </c:pt>
                <c:pt idx="126">
                  <c:v>54412</c:v>
                </c:pt>
                <c:pt idx="127">
                  <c:v>156259</c:v>
                </c:pt>
                <c:pt idx="128">
                  <c:v>215941</c:v>
                </c:pt>
                <c:pt idx="129">
                  <c:v>111128</c:v>
                </c:pt>
                <c:pt idx="130">
                  <c:v>64857</c:v>
                </c:pt>
                <c:pt idx="131">
                  <c:v>33982</c:v>
                </c:pt>
                <c:pt idx="132">
                  <c:v>24510</c:v>
                </c:pt>
                <c:pt idx="133">
                  <c:v>40335</c:v>
                </c:pt>
                <c:pt idx="134">
                  <c:v>48867</c:v>
                </c:pt>
                <c:pt idx="135">
                  <c:v>36013</c:v>
                </c:pt>
                <c:pt idx="136">
                  <c:v>96847</c:v>
                </c:pt>
                <c:pt idx="137">
                  <c:v>13186</c:v>
                </c:pt>
                <c:pt idx="138">
                  <c:v>332725</c:v>
                </c:pt>
                <c:pt idx="139">
                  <c:v>210089</c:v>
                </c:pt>
                <c:pt idx="140">
                  <c:v>91411</c:v>
                </c:pt>
                <c:pt idx="141">
                  <c:v>58115</c:v>
                </c:pt>
                <c:pt idx="142">
                  <c:v>24119</c:v>
                </c:pt>
                <c:pt idx="143">
                  <c:v>10917</c:v>
                </c:pt>
                <c:pt idx="144">
                  <c:v>11555</c:v>
                </c:pt>
                <c:pt idx="145">
                  <c:v>13379</c:v>
                </c:pt>
                <c:pt idx="146">
                  <c:v>20767</c:v>
                </c:pt>
                <c:pt idx="147">
                  <c:v>25611</c:v>
                </c:pt>
                <c:pt idx="148">
                  <c:v>38234</c:v>
                </c:pt>
                <c:pt idx="149">
                  <c:v>311178</c:v>
                </c:pt>
                <c:pt idx="150">
                  <c:v>114742</c:v>
                </c:pt>
                <c:pt idx="151">
                  <c:v>36120</c:v>
                </c:pt>
                <c:pt idx="152">
                  <c:v>145182</c:v>
                </c:pt>
                <c:pt idx="153">
                  <c:v>79795</c:v>
                </c:pt>
                <c:pt idx="154">
                  <c:v>77000</c:v>
                </c:pt>
                <c:pt idx="155">
                  <c:v>5839</c:v>
                </c:pt>
                <c:pt idx="156">
                  <c:v>101224</c:v>
                </c:pt>
                <c:pt idx="157">
                  <c:v>30006</c:v>
                </c:pt>
                <c:pt idx="158">
                  <c:v>106311</c:v>
                </c:pt>
                <c:pt idx="159">
                  <c:v>8352</c:v>
                </c:pt>
                <c:pt idx="160">
                  <c:v>90938</c:v>
                </c:pt>
                <c:pt idx="161">
                  <c:v>86064</c:v>
                </c:pt>
                <c:pt idx="162">
                  <c:v>37280</c:v>
                </c:pt>
                <c:pt idx="163">
                  <c:v>67787</c:v>
                </c:pt>
                <c:pt idx="164">
                  <c:v>53682</c:v>
                </c:pt>
                <c:pt idx="165">
                  <c:v>#N/A</c:v>
                </c:pt>
                <c:pt idx="166">
                  <c:v>#N/A</c:v>
                </c:pt>
                <c:pt idx="167">
                  <c:v>#N/A</c:v>
                </c:pt>
                <c:pt idx="168">
                  <c:v>#N/A</c:v>
                </c:pt>
                <c:pt idx="169">
                  <c:v>#N/A</c:v>
                </c:pt>
                <c:pt idx="170">
                  <c:v>#N/A</c:v>
                </c:pt>
              </c:numCache>
            </c:numRef>
          </c:xVal>
          <c:yVal>
            <c:numRef>
              <c:f>'App.A. Supplemental'!$G$33:$G$220</c:f>
              <c:numCache>
                <c:formatCode>General</c:formatCode>
                <c:ptCount val="188"/>
                <c:pt idx="0">
                  <c:v>2767008.7973924051</c:v>
                </c:pt>
                <c:pt idx="1">
                  <c:v>765706.76259493665</c:v>
                </c:pt>
                <c:pt idx="2">
                  <c:v>782266.67833500006</c:v>
                </c:pt>
                <c:pt idx="3">
                  <c:v>2501287.4445906268</c:v>
                </c:pt>
                <c:pt idx="4">
                  <c:v>730366.94050632906</c:v>
                </c:pt>
                <c:pt idx="5">
                  <c:v>184151.42263291139</c:v>
                </c:pt>
                <c:pt idx="6">
                  <c:v>575990.79113924049</c:v>
                </c:pt>
                <c:pt idx="7">
                  <c:v>4256492.3164556958</c:v>
                </c:pt>
                <c:pt idx="8">
                  <c:v>156745.14375000002</c:v>
                </c:pt>
                <c:pt idx="9">
                  <c:v>289853.43037974683</c:v>
                </c:pt>
                <c:pt idx="10">
                  <c:v>347143.54484810127</c:v>
                </c:pt>
                <c:pt idx="11">
                  <c:v>6566244.7263157899</c:v>
                </c:pt>
                <c:pt idx="12">
                  <c:v>3958406.1992658228</c:v>
                </c:pt>
                <c:pt idx="13">
                  <c:v>1704116.9961977187</c:v>
                </c:pt>
                <c:pt idx="14">
                  <c:v>353557.48101265822</c:v>
                </c:pt>
                <c:pt idx="15">
                  <c:v>671792.25298136647</c:v>
                </c:pt>
                <c:pt idx="16">
                  <c:v>368708.32580463012</c:v>
                </c:pt>
                <c:pt idx="17">
                  <c:v>3833761.7920632907</c:v>
                </c:pt>
                <c:pt idx="18">
                  <c:v>1144549.4430379746</c:v>
                </c:pt>
                <c:pt idx="19">
                  <c:v>66068.990253000011</c:v>
                </c:pt>
                <c:pt idx="20">
                  <c:v>143238.27317062503</c:v>
                </c:pt>
                <c:pt idx="21">
                  <c:v>3156292.5366462674</c:v>
                </c:pt>
                <c:pt idx="22">
                  <c:v>1318833.1082278481</c:v>
                </c:pt>
                <c:pt idx="23">
                  <c:v>892265.47651898733</c:v>
                </c:pt>
                <c:pt idx="24">
                  <c:v>546737.71346007613</c:v>
                </c:pt>
                <c:pt idx="25">
                  <c:v>427421.99477351917</c:v>
                </c:pt>
                <c:pt idx="26">
                  <c:v>2859532.2200489598</c:v>
                </c:pt>
                <c:pt idx="27">
                  <c:v>4217208.1518987343</c:v>
                </c:pt>
                <c:pt idx="28">
                  <c:v>6952375.5413164552</c:v>
                </c:pt>
                <c:pt idx="29">
                  <c:v>2146083.2924050633</c:v>
                </c:pt>
                <c:pt idx="30">
                  <c:v>627823.72881533101</c:v>
                </c:pt>
                <c:pt idx="31">
                  <c:v>491582.92405063286</c:v>
                </c:pt>
                <c:pt idx="32">
                  <c:v>1643463.9202875001</c:v>
                </c:pt>
                <c:pt idx="33">
                  <c:v>1122087.410379437</c:v>
                </c:pt>
                <c:pt idx="34">
                  <c:v>1545061.1006968643</c:v>
                </c:pt>
                <c:pt idx="35">
                  <c:v>786884.11249367089</c:v>
                </c:pt>
                <c:pt idx="36">
                  <c:v>972135.49173417711</c:v>
                </c:pt>
                <c:pt idx="37">
                  <c:v>776952.98252964427</c:v>
                </c:pt>
                <c:pt idx="38">
                  <c:v>2139535.9533047737</c:v>
                </c:pt>
                <c:pt idx="39">
                  <c:v>607991.21232558147</c:v>
                </c:pt>
                <c:pt idx="40">
                  <c:v>418323.2658227848</c:v>
                </c:pt>
                <c:pt idx="41">
                  <c:v>1351306.2480379746</c:v>
                </c:pt>
                <c:pt idx="42">
                  <c:v>783453.64936708857</c:v>
                </c:pt>
                <c:pt idx="43">
                  <c:v>145888.68152437502</c:v>
                </c:pt>
                <c:pt idx="44">
                  <c:v>1599667.8540146882</c:v>
                </c:pt>
                <c:pt idx="45">
                  <c:v>153760.34354430379</c:v>
                </c:pt>
                <c:pt idx="46">
                  <c:v>1488632.0082531644</c:v>
                </c:pt>
                <c:pt idx="47">
                  <c:v>2425637.9012658228</c:v>
                </c:pt>
                <c:pt idx="48">
                  <c:v>966166.42218987341</c:v>
                </c:pt>
                <c:pt idx="49">
                  <c:v>2611487.2954589967</c:v>
                </c:pt>
                <c:pt idx="50">
                  <c:v>1953828.9900367199</c:v>
                </c:pt>
                <c:pt idx="51">
                  <c:v>875153.5067848101</c:v>
                </c:pt>
                <c:pt idx="52">
                  <c:v>1895990.1517870724</c:v>
                </c:pt>
                <c:pt idx="53">
                  <c:v>2609821.2514624507</c:v>
                </c:pt>
                <c:pt idx="54">
                  <c:v>2358936.1931620552</c:v>
                </c:pt>
                <c:pt idx="55">
                  <c:v>1683421.335889328</c:v>
                </c:pt>
                <c:pt idx="56">
                  <c:v>847733.15992405056</c:v>
                </c:pt>
                <c:pt idx="57">
                  <c:v>767633.81012658228</c:v>
                </c:pt>
                <c:pt idx="58">
                  <c:v>498484.19620253163</c:v>
                </c:pt>
                <c:pt idx="59">
                  <c:v>131400.92152091255</c:v>
                </c:pt>
                <c:pt idx="60">
                  <c:v>119445.09493670885</c:v>
                </c:pt>
                <c:pt idx="61">
                  <c:v>1212500.4303797467</c:v>
                </c:pt>
                <c:pt idx="62">
                  <c:v>918723.73720199999</c:v>
                </c:pt>
                <c:pt idx="63">
                  <c:v>754217.73706329113</c:v>
                </c:pt>
                <c:pt idx="64">
                  <c:v>119531.09540506329</c:v>
                </c:pt>
                <c:pt idx="65">
                  <c:v>562900.77946768061</c:v>
                </c:pt>
                <c:pt idx="66">
                  <c:v>12523295.5053642</c:v>
                </c:pt>
                <c:pt idx="67">
                  <c:v>5435158.7614075895</c:v>
                </c:pt>
                <c:pt idx="68">
                  <c:v>5295415.1348734172</c:v>
                </c:pt>
                <c:pt idx="69">
                  <c:v>2651734.1943037971</c:v>
                </c:pt>
                <c:pt idx="70">
                  <c:v>3572387.2623150763</c:v>
                </c:pt>
                <c:pt idx="71">
                  <c:v>530965.45827911387</c:v>
                </c:pt>
                <c:pt idx="72">
                  <c:v>533143.18125000002</c:v>
                </c:pt>
                <c:pt idx="73">
                  <c:v>535470.76799999992</c:v>
                </c:pt>
                <c:pt idx="74">
                  <c:v>2539451.2427837378</c:v>
                </c:pt>
                <c:pt idx="75">
                  <c:v>47665.494151898733</c:v>
                </c:pt>
                <c:pt idx="76">
                  <c:v>548931.33253365976</c:v>
                </c:pt>
                <c:pt idx="77">
                  <c:v>1331635.4989367088</c:v>
                </c:pt>
                <c:pt idx="78">
                  <c:v>203038.22642574814</c:v>
                </c:pt>
                <c:pt idx="79">
                  <c:v>53178.017999999996</c:v>
                </c:pt>
                <c:pt idx="80">
                  <c:v>5068301.9128405061</c:v>
                </c:pt>
                <c:pt idx="81">
                  <c:v>1898195.0288372096</c:v>
                </c:pt>
                <c:pt idx="82">
                  <c:v>699806.24126071006</c:v>
                </c:pt>
                <c:pt idx="83">
                  <c:v>1711704.7344675644</c:v>
                </c:pt>
                <c:pt idx="84">
                  <c:v>736687.48175030609</c:v>
                </c:pt>
                <c:pt idx="85">
                  <c:v>149294.57001712502</c:v>
                </c:pt>
                <c:pt idx="86">
                  <c:v>1510205.385</c:v>
                </c:pt>
                <c:pt idx="87">
                  <c:v>7275871.080835443</c:v>
                </c:pt>
                <c:pt idx="88">
                  <c:v>90582.91306329114</c:v>
                </c:pt>
                <c:pt idx="89">
                  <c:v>252529.46948041618</c:v>
                </c:pt>
                <c:pt idx="90">
                  <c:v>241531.74144486693</c:v>
                </c:pt>
                <c:pt idx="91">
                  <c:v>213408.56962025314</c:v>
                </c:pt>
                <c:pt idx="92">
                  <c:v>91329.48606271777</c:v>
                </c:pt>
                <c:pt idx="93">
                  <c:v>1503881.6962405061</c:v>
                </c:pt>
                <c:pt idx="94">
                  <c:v>4997698.501177215</c:v>
                </c:pt>
                <c:pt idx="95">
                  <c:v>347654.43806250003</c:v>
                </c:pt>
                <c:pt idx="96">
                  <c:v>2715352.0716279075</c:v>
                </c:pt>
                <c:pt idx="97">
                  <c:v>757972.02911392401</c:v>
                </c:pt>
                <c:pt idx="98">
                  <c:v>456243.04140684416</c:v>
                </c:pt>
                <c:pt idx="99">
                  <c:v>4223082.7271012655</c:v>
                </c:pt>
                <c:pt idx="100">
                  <c:v>791069.46862025314</c:v>
                </c:pt>
                <c:pt idx="101">
                  <c:v>855936.47651250008</c:v>
                </c:pt>
                <c:pt idx="102">
                  <c:v>1051240</c:v>
                </c:pt>
                <c:pt idx="103">
                  <c:v>699244.66575275408</c:v>
                </c:pt>
                <c:pt idx="104">
                  <c:v>3001101.062676454</c:v>
                </c:pt>
                <c:pt idx="105">
                  <c:v>1105460.6375696203</c:v>
                </c:pt>
                <c:pt idx="106">
                  <c:v>4327077.8860465121</c:v>
                </c:pt>
                <c:pt idx="107">
                  <c:v>2467026.6813307987</c:v>
                </c:pt>
                <c:pt idx="108">
                  <c:v>2582509.839367589</c:v>
                </c:pt>
                <c:pt idx="109">
                  <c:v>106098.0345949367</c:v>
                </c:pt>
                <c:pt idx="110">
                  <c:v>3737410.4772151895</c:v>
                </c:pt>
                <c:pt idx="111">
                  <c:v>17736269.430379745</c:v>
                </c:pt>
                <c:pt idx="112">
                  <c:v>189436.20450000002</c:v>
                </c:pt>
                <c:pt idx="113">
                  <c:v>1035243.9094936708</c:v>
                </c:pt>
                <c:pt idx="114">
                  <c:v>447385.99375494069</c:v>
                </c:pt>
                <c:pt idx="115">
                  <c:v>3636785.6823037975</c:v>
                </c:pt>
                <c:pt idx="116">
                  <c:v>1995185.3816034275</c:v>
                </c:pt>
                <c:pt idx="117">
                  <c:v>1939277.1300375001</c:v>
                </c:pt>
                <c:pt idx="118">
                  <c:v>1415205.912091255</c:v>
                </c:pt>
                <c:pt idx="119">
                  <c:v>445312.54860759492</c:v>
                </c:pt>
                <c:pt idx="120">
                  <c:v>373495.5750396573</c:v>
                </c:pt>
                <c:pt idx="121">
                  <c:v>1228933.0611406844</c:v>
                </c:pt>
                <c:pt idx="122">
                  <c:v>2575767.1139240507</c:v>
                </c:pt>
                <c:pt idx="123">
                  <c:v>305497.25589353614</c:v>
                </c:pt>
                <c:pt idx="124">
                  <c:v>77393.33975202532</c:v>
                </c:pt>
                <c:pt idx="125">
                  <c:v>370923.24768455693</c:v>
                </c:pt>
                <c:pt idx="126">
                  <c:v>418803.16967088607</c:v>
                </c:pt>
                <c:pt idx="127">
                  <c:v>4577600.1080783363</c:v>
                </c:pt>
                <c:pt idx="128">
                  <c:v>2054167.9285171104</c:v>
                </c:pt>
                <c:pt idx="129">
                  <c:v>1468000</c:v>
                </c:pt>
                <c:pt idx="130">
                  <c:v>3321750.21</c:v>
                </c:pt>
                <c:pt idx="131">
                  <c:v>615805.82278481009</c:v>
                </c:pt>
                <c:pt idx="132">
                  <c:v>408236.79113924049</c:v>
                </c:pt>
                <c:pt idx="133">
                  <c:v>434071.22565949365</c:v>
                </c:pt>
                <c:pt idx="134">
                  <c:v>1471263.0867708751</c:v>
                </c:pt>
                <c:pt idx="135">
                  <c:v>4167322.2920485931</c:v>
                </c:pt>
                <c:pt idx="136">
                  <c:v>1140690.8413004293</c:v>
                </c:pt>
                <c:pt idx="137">
                  <c:v>567200.69388607587</c:v>
                </c:pt>
                <c:pt idx="138">
                  <c:v>6201789.1281818179</c:v>
                </c:pt>
                <c:pt idx="139">
                  <c:v>3154598.0439873417</c:v>
                </c:pt>
                <c:pt idx="140">
                  <c:v>11273447.839101264</c:v>
                </c:pt>
                <c:pt idx="141">
                  <c:v>806808.44842105277</c:v>
                </c:pt>
                <c:pt idx="142">
                  <c:v>567910.28063241101</c:v>
                </c:pt>
                <c:pt idx="143">
                  <c:v>351860.82979746832</c:v>
                </c:pt>
                <c:pt idx="144">
                  <c:v>583422.93037974683</c:v>
                </c:pt>
                <c:pt idx="145">
                  <c:v>491332.37037943705</c:v>
                </c:pt>
                <c:pt idx="146">
                  <c:v>300927.23290936707</c:v>
                </c:pt>
                <c:pt idx="147">
                  <c:v>219778.97468354428</c:v>
                </c:pt>
                <c:pt idx="148">
                  <c:v>140235.61868435913</c:v>
                </c:pt>
                <c:pt idx="149">
                  <c:v>4952739.7339167688</c:v>
                </c:pt>
                <c:pt idx="150">
                  <c:v>1177814</c:v>
                </c:pt>
                <c:pt idx="151">
                  <c:v>349310.54430379748</c:v>
                </c:pt>
                <c:pt idx="152">
                  <c:v>2256186.1883164556</c:v>
                </c:pt>
                <c:pt idx="153">
                  <c:v>961416.55021456804</c:v>
                </c:pt>
                <c:pt idx="154">
                  <c:v>238263.83399239546</c:v>
                </c:pt>
                <c:pt idx="155">
                  <c:v>125744.45793337097</c:v>
                </c:pt>
                <c:pt idx="156">
                  <c:v>4489168.9052386787</c:v>
                </c:pt>
                <c:pt idx="157">
                  <c:v>192598.57974683543</c:v>
                </c:pt>
                <c:pt idx="158">
                  <c:v>1094671.2948607595</c:v>
                </c:pt>
                <c:pt idx="159">
                  <c:v>358914.99167088605</c:v>
                </c:pt>
                <c:pt idx="160">
                  <c:v>614513.87634105026</c:v>
                </c:pt>
                <c:pt idx="161">
                  <c:v>647657.84810126573</c:v>
                </c:pt>
                <c:pt idx="162">
                  <c:v>226102</c:v>
                </c:pt>
                <c:pt idx="163">
                  <c:v>566543.43127046863</c:v>
                </c:pt>
                <c:pt idx="164">
                  <c:v>265769.96197718632</c:v>
                </c:pt>
              </c:numCache>
            </c:numRef>
          </c:yVal>
          <c:smooth val="0"/>
          <c:extLst>
            <c:ext xmlns:c16="http://schemas.microsoft.com/office/drawing/2014/chart" uri="{C3380CC4-5D6E-409C-BE32-E72D297353CC}">
              <c16:uniqueId val="{00000001-B7BA-4657-BED9-CB2F9FB17E3E}"/>
            </c:ext>
          </c:extLst>
        </c:ser>
        <c:dLbls>
          <c:showLegendKey val="0"/>
          <c:showVal val="0"/>
          <c:showCatName val="0"/>
          <c:showSerName val="0"/>
          <c:showPercent val="0"/>
          <c:showBubbleSize val="0"/>
        </c:dLbls>
        <c:axId val="128944015"/>
        <c:axId val="464775775"/>
      </c:scatterChart>
      <c:valAx>
        <c:axId val="1289440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900"/>
                  <a:t>City population, in hundreds of thousands</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0"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64775775"/>
        <c:crosses val="autoZero"/>
        <c:crossBetween val="midCat"/>
        <c:dispUnits>
          <c:builtInUnit val="hundredThousands"/>
        </c:dispUnits>
      </c:valAx>
      <c:valAx>
        <c:axId val="4647757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900"/>
                  <a:t>Expenditures, in millions of dollars</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28944015"/>
        <c:crosses val="autoZero"/>
        <c:crossBetween val="midCat"/>
        <c:dispUnits>
          <c:builtInUnit val="millions"/>
        </c:dispUnits>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Calibri" panose="020F0502020204030204" pitchFamily="34" charset="0"/>
              </a:defRPr>
            </a:pPr>
            <a:r>
              <a:rPr lang="en-US" sz="1200" b="1">
                <a:latin typeface="+mn-lt"/>
              </a:rPr>
              <a:t>Budgets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Calibri" panose="020F050202020403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dLbl>
          <c:idx val="0"/>
          <c:layout>
            <c:manualLayout>
              <c:x val="0"/>
              <c:y val="-4.366612870352665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5652364497060502E-17"/>
              <c:y val="-3.396254454718749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7.5409171649193228E-17"/>
              <c:y val="-6.24624742782103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dLbl>
          <c:idx val="0"/>
          <c:layout>
            <c:manualLayout>
              <c:x val="8.6378776277997796E-2"/>
              <c:y val="-4.8048057137084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dLbl>
          <c:idx val="0"/>
          <c:layout>
            <c:manualLayout>
              <c:x val="4.1132750608570377E-3"/>
              <c:y val="-7.687689141933581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1"/>
          </a:solidFill>
          <a:ln>
            <a:noFill/>
          </a:ln>
          <a:effectLst/>
        </c:spPr>
        <c:dLbl>
          <c:idx val="0"/>
          <c:layout>
            <c:manualLayout>
              <c:x val="8.2687351960341327E-3"/>
              <c:y val="-0.1585585885523801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pivotFmt>
    </c:pivotFmts>
    <c:plotArea>
      <c:layout/>
      <c:barChart>
        <c:barDir val="col"/>
        <c:grouping val="stacked"/>
        <c:varyColors val="0"/>
        <c:ser>
          <c:idx val="0"/>
          <c:order val="0"/>
          <c:tx>
            <c:v>Total</c:v>
          </c:tx>
          <c:spPr>
            <a:solidFill>
              <a:schemeClr val="accent1"/>
            </a:solidFill>
            <a:ln>
              <a:noFill/>
            </a:ln>
            <a:effectLst/>
          </c:spPr>
          <c:invertIfNegative val="0"/>
          <c:dPt>
            <c:idx val="4"/>
            <c:invertIfNegative val="0"/>
            <c:bubble3D val="0"/>
            <c:extLst>
              <c:ext xmlns:c16="http://schemas.microsoft.com/office/drawing/2014/chart" uri="{C3380CC4-5D6E-409C-BE32-E72D297353CC}">
                <c16:uniqueId val="{00000000-8C36-4EF6-87AA-34AA27887C02}"/>
              </c:ext>
            </c:extLst>
          </c:dPt>
          <c:dLbls>
            <c:delete val="1"/>
          </c:dLbls>
          <c:cat>
            <c:numRef>
              <c:f>'III. Data Availability'!$AA$40:$AA$49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'III. Data Availability'!$AB$40:$AB$49</c:f>
              <c:numCache>
                <c:formatCode>General</c:formatCode>
                <c:ptCount val="10"/>
                <c:pt idx="0">
                  <c:v>#N/A</c:v>
                </c:pt>
                <c:pt idx="1">
                  <c:v>2</c:v>
                </c:pt>
                <c:pt idx="2">
                  <c:v>2</c:v>
                </c:pt>
                <c:pt idx="3">
                  <c:v>#N/A</c:v>
                </c:pt>
                <c:pt idx="4">
                  <c:v>114</c:v>
                </c:pt>
                <c:pt idx="5">
                  <c:v>10</c:v>
                </c:pt>
                <c:pt idx="6">
                  <c:v>25</c:v>
                </c:pt>
                <c:pt idx="7">
                  <c:v>1</c:v>
                </c:pt>
                <c:pt idx="8">
                  <c:v>#N/A</c:v>
                </c:pt>
                <c:pt idx="9">
                  <c:v>1</c:v>
                </c:pt>
              </c:numCache>
            </c:numRef>
          </c:val>
          <c:extLst>
            <c:ext xmlns:c16="http://schemas.microsoft.com/office/drawing/2014/chart" uri="{C3380CC4-5D6E-409C-BE32-E72D297353CC}">
              <c16:uniqueId val="{00000001-8C36-4EF6-87AA-34AA27887C02}"/>
            </c:ext>
          </c:extLst>
        </c:ser>
        <c:dLbls>
          <c:dLblPos val="ctr"/>
          <c:showLegendKey val="0"/>
          <c:showVal val="1"/>
          <c:showCatName val="0"/>
          <c:showSerName val="0"/>
          <c:showPercent val="0"/>
          <c:showBubbleSize val="0"/>
        </c:dLbls>
        <c:gapWidth val="150"/>
        <c:overlap val="100"/>
        <c:axId val="233483231"/>
        <c:axId val="345184335"/>
      </c:barChart>
      <c:catAx>
        <c:axId val="2334832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Calibri" panose="020F0502020204030204" pitchFamily="34" charset="0"/>
              </a:defRPr>
            </a:pPr>
            <a:endParaRPr lang="en-US"/>
          </a:p>
        </c:txPr>
        <c:crossAx val="345184335"/>
        <c:crosses val="autoZero"/>
        <c:auto val="1"/>
        <c:lblAlgn val="ctr"/>
        <c:lblOffset val="100"/>
        <c:noMultiLvlLbl val="0"/>
      </c:catAx>
      <c:valAx>
        <c:axId val="3451843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Calibri" panose="020F0502020204030204" pitchFamily="34" charset="0"/>
              </a:defRPr>
            </a:pPr>
            <a:endParaRPr lang="en-US"/>
          </a:p>
        </c:txPr>
        <c:crossAx val="233483231"/>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Expenditures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s>
    <c:plotArea>
      <c:layout/>
      <c:barChart>
        <c:barDir val="col"/>
        <c:grouping val="stacked"/>
        <c:varyColors val="0"/>
        <c:ser>
          <c:idx val="0"/>
          <c:order val="0"/>
          <c:tx>
            <c:v>Total</c:v>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1791-4FF9-8D16-6C4D609C511E}"/>
              </c:ext>
            </c:extLst>
          </c:dPt>
          <c:dPt>
            <c:idx val="1"/>
            <c:invertIfNegative val="0"/>
            <c:bubble3D val="0"/>
            <c:extLst>
              <c:ext xmlns:c16="http://schemas.microsoft.com/office/drawing/2014/chart" uri="{C3380CC4-5D6E-409C-BE32-E72D297353CC}">
                <c16:uniqueId val="{00000001-1791-4FF9-8D16-6C4D609C511E}"/>
              </c:ext>
            </c:extLst>
          </c:dPt>
          <c:dLbls>
            <c:delete val="1"/>
          </c:dLbls>
          <c:cat>
            <c:numRef>
              <c:f>'III. Data Availability'!$AE$40:$AE$49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'III. Data Availability'!$AF$40:$AF$49</c:f>
              <c:numCache>
                <c:formatCode>General</c:formatCode>
                <c:ptCount val="10"/>
                <c:pt idx="0">
                  <c:v>2</c:v>
                </c:pt>
                <c:pt idx="1">
                  <c:v>2</c:v>
                </c:pt>
                <c:pt idx="2">
                  <c:v>16</c:v>
                </c:pt>
                <c:pt idx="3">
                  <c:v>85</c:v>
                </c:pt>
                <c:pt idx="4">
                  <c:v>15</c:v>
                </c:pt>
                <c:pt idx="5">
                  <c:v>35</c:v>
                </c:pt>
                <c:pt idx="6">
                  <c:v>8</c:v>
                </c:pt>
                <c:pt idx="7">
                  <c:v>#N/A</c:v>
                </c:pt>
                <c:pt idx="8">
                  <c:v>#N/A</c:v>
                </c:pt>
                <c:pt idx="9">
                  <c:v>#N/A</c:v>
                </c:pt>
              </c:numCache>
            </c:numRef>
          </c:val>
          <c:extLst>
            <c:ext xmlns:c16="http://schemas.microsoft.com/office/drawing/2014/chart" uri="{C3380CC4-5D6E-409C-BE32-E72D297353CC}">
              <c16:uniqueId val="{00000002-1791-4FF9-8D16-6C4D609C511E}"/>
            </c:ext>
          </c:extLst>
        </c:ser>
        <c:dLbls>
          <c:dLblPos val="ctr"/>
          <c:showLegendKey val="0"/>
          <c:showVal val="1"/>
          <c:showCatName val="0"/>
          <c:showSerName val="0"/>
          <c:showPercent val="0"/>
          <c:showBubbleSize val="0"/>
        </c:dLbls>
        <c:gapWidth val="150"/>
        <c:overlap val="100"/>
        <c:axId val="233483231"/>
        <c:axId val="345184335"/>
      </c:barChart>
      <c:catAx>
        <c:axId val="2334832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5184335"/>
        <c:crosses val="autoZero"/>
        <c:auto val="1"/>
        <c:lblAlgn val="ctr"/>
        <c:lblOffset val="100"/>
        <c:noMultiLvlLbl val="0"/>
      </c:catAx>
      <c:valAx>
        <c:axId val="345184335"/>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Calibri" panose="020F0502020204030204" pitchFamily="34" charset="0"/>
              </a:defRPr>
            </a:pPr>
            <a:endParaRPr lang="en-US"/>
          </a:p>
        </c:txPr>
        <c:crossAx val="233483231"/>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Average Annual Budget, </a:t>
            </a:r>
            <a:endParaRPr lang="en-US" sz="1200" b="1">
              <a:effectLst/>
            </a:endParaRPr>
          </a:p>
          <a:p>
            <a:pPr>
              <a:defRPr sz="1200" b="1"/>
            </a:pPr>
            <a:r>
              <a:rPr lang="en-US" sz="1200" b="1" i="0" baseline="0">
                <a:effectLst/>
              </a:rPr>
              <a:t>by Entity Type</a:t>
            </a:r>
            <a:endParaRPr lang="en-US" sz="1200" b="1">
              <a:effectLst/>
            </a:endParaRPr>
          </a:p>
        </c:rich>
      </c:tx>
      <c:layout>
        <c:manualLayout>
          <c:xMode val="edge"/>
          <c:yMode val="edge"/>
          <c:x val="0.2376418013172748"/>
          <c:y val="1.935904508751692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circle"/>
          <c:size val="5"/>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
        <c:spPr>
          <a:solidFill>
            <a:srgbClr val="33CCCC"/>
          </a:solidFill>
          <a:ln w="19050">
            <a:solidFill>
              <a:schemeClr val="lt1"/>
            </a:solidFill>
          </a:ln>
          <a:effectLst/>
        </c:spPr>
      </c:pivotFmt>
      <c:pivotFmt>
        <c:idx val="2"/>
        <c:spPr>
          <a:solidFill>
            <a:srgbClr val="0070C0"/>
          </a:solidFill>
          <a:ln w="19050">
            <a:solidFill>
              <a:schemeClr val="lt1"/>
            </a:solidFill>
          </a:ln>
          <a:effectLst/>
        </c:spPr>
      </c:pivotFmt>
      <c:pivotFmt>
        <c:idx val="3"/>
        <c:spPr>
          <a:solidFill>
            <a:srgbClr val="0099CC"/>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5"/>
        <c:spPr>
          <a:solidFill>
            <a:srgbClr val="0070C0"/>
          </a:solidFill>
          <a:ln w="19050">
            <a:solidFill>
              <a:schemeClr val="lt1"/>
            </a:solidFill>
          </a:ln>
          <a:effectLst/>
        </c:spPr>
      </c:pivotFmt>
      <c:pivotFmt>
        <c:idx val="6"/>
        <c:spPr>
          <a:solidFill>
            <a:srgbClr val="0099CC"/>
          </a:solidFill>
          <a:ln w="19050">
            <a:solidFill>
              <a:schemeClr val="lt1"/>
            </a:solidFill>
          </a:ln>
          <a:effectLst/>
        </c:spPr>
      </c:pivotFmt>
      <c:pivotFmt>
        <c:idx val="7"/>
        <c:spPr>
          <a:solidFill>
            <a:srgbClr val="33CCCC"/>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9"/>
        <c:spPr>
          <a:solidFill>
            <a:srgbClr val="0070C0"/>
          </a:solidFill>
          <a:ln w="19050">
            <a:solidFill>
              <a:schemeClr val="lt1"/>
            </a:solidFill>
          </a:ln>
          <a:effectLst/>
        </c:spPr>
        <c:dLbl>
          <c:idx val="0"/>
          <c:layout>
            <c:manualLayout>
              <c:x val="3.0071980532954276E-2"/>
              <c:y val="8.539378437567895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$2,900,000</a:t>
                </a:r>
                <a:r>
                  <a:rPr lang="en-US" baseline="0"/>
                  <a:t>, </a:t>
                </a:r>
                <a:fld id="{078EE4CA-5AF9-48A7-A6FE-D8FC4FA46C5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554617549245332"/>
                  <c:h val="0.11163339690880968"/>
                </c:manualLayout>
              </c15:layout>
              <c15:dlblFieldTable/>
              <c15:showDataLabelsRange val="0"/>
            </c:ext>
          </c:extLst>
        </c:dLbl>
      </c:pivotFmt>
      <c:pivotFmt>
        <c:idx val="10"/>
        <c:spPr>
          <a:solidFill>
            <a:srgbClr val="0099CC"/>
          </a:solidFill>
          <a:ln w="19050">
            <a:solidFill>
              <a:schemeClr val="lt1"/>
            </a:solidFill>
          </a:ln>
          <a:effectLst/>
        </c:spPr>
        <c:dLbl>
          <c:idx val="0"/>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1"/>
        <c:spPr>
          <a:solidFill>
            <a:srgbClr val="33CCCC"/>
          </a:solidFill>
          <a:ln w="19050">
            <a:solidFill>
              <a:schemeClr val="lt1"/>
            </a:solidFill>
          </a:ln>
          <a:effectLst/>
        </c:spPr>
        <c:dLbl>
          <c:idx val="0"/>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Lst>
        </c:dLbl>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3"/>
        <c:spPr>
          <a:solidFill>
            <a:srgbClr val="0070C0"/>
          </a:solidFill>
          <a:ln w="19050">
            <a:solidFill>
              <a:schemeClr val="lt1"/>
            </a:solidFill>
          </a:ln>
          <a:effectLst/>
        </c:spPr>
        <c:dLbl>
          <c:idx val="0"/>
          <c:layout>
            <c:manualLayout>
              <c:x val="3.0071980532954276E-2"/>
              <c:y val="8.539378437567895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$2,900,000</a:t>
                </a:r>
                <a:r>
                  <a:rPr lang="en-US" baseline="0"/>
                  <a:t>, </a:t>
                </a:r>
                <a:fld id="{078EE4CA-5AF9-48A7-A6FE-D8FC4FA46C57}" type="PERCENTAGE">
                  <a:rPr lang="en-US" baseline="0"/>
                  <a:pPr>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554617549245332"/>
                  <c:h val="0.11163339690880968"/>
                </c:manualLayout>
              </c15:layout>
              <c15:dlblFieldTable/>
              <c15:showDataLabelsRange val="0"/>
            </c:ext>
          </c:extLst>
        </c:dLbl>
      </c:pivotFmt>
      <c:pivotFmt>
        <c:idx val="14"/>
        <c:spPr>
          <a:solidFill>
            <a:srgbClr val="0099CC"/>
          </a:solidFill>
          <a:ln w="19050">
            <a:solidFill>
              <a:schemeClr val="lt1"/>
            </a:solidFill>
          </a:ln>
          <a:effectLst/>
        </c:spPr>
        <c:dLbl>
          <c:idx val="0"/>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5"/>
        <c:spPr>
          <a:solidFill>
            <a:srgbClr val="33CCCC"/>
          </a:solidFill>
          <a:ln w="19050">
            <a:solidFill>
              <a:schemeClr val="lt1"/>
            </a:solidFill>
          </a:ln>
          <a:effectLst/>
        </c:spPr>
        <c:dLbl>
          <c:idx val="0"/>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a:solidFill>
                        <a:schemeClr val="bg1"/>
                      </a:solidFill>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Lst>
        </c:dLbl>
      </c:pivotFmt>
    </c:pivotFmts>
    <c:plotArea>
      <c:layout/>
      <c:pieChart>
        <c:varyColors val="1"/>
        <c:ser>
          <c:idx val="0"/>
          <c:order val="0"/>
          <c:tx>
            <c:v>Total</c:v>
          </c:tx>
          <c:dPt>
            <c:idx val="0"/>
            <c:bubble3D val="0"/>
            <c:spPr>
              <a:solidFill>
                <a:srgbClr val="0070C0"/>
              </a:solidFill>
              <a:ln w="19050">
                <a:solidFill>
                  <a:schemeClr val="lt1"/>
                </a:solidFill>
              </a:ln>
              <a:effectLst/>
            </c:spPr>
            <c:extLst>
              <c:ext xmlns:c16="http://schemas.microsoft.com/office/drawing/2014/chart" uri="{C3380CC4-5D6E-409C-BE32-E72D297353CC}">
                <c16:uniqueId val="{00000001-1F43-4FE2-AB9B-DF8771BCBDAB}"/>
              </c:ext>
            </c:extLst>
          </c:dPt>
          <c:dPt>
            <c:idx val="1"/>
            <c:bubble3D val="0"/>
            <c:spPr>
              <a:solidFill>
                <a:srgbClr val="0099CC"/>
              </a:solidFill>
              <a:ln w="19050">
                <a:solidFill>
                  <a:schemeClr val="lt1"/>
                </a:solidFill>
              </a:ln>
              <a:effectLst/>
            </c:spPr>
            <c:extLst>
              <c:ext xmlns:c16="http://schemas.microsoft.com/office/drawing/2014/chart" uri="{C3380CC4-5D6E-409C-BE32-E72D297353CC}">
                <c16:uniqueId val="{00000003-1F43-4FE2-AB9B-DF8771BCBDAB}"/>
              </c:ext>
            </c:extLst>
          </c:dPt>
          <c:dPt>
            <c:idx val="2"/>
            <c:bubble3D val="0"/>
            <c:spPr>
              <a:solidFill>
                <a:srgbClr val="33CCCC"/>
              </a:solidFill>
              <a:ln w="19050">
                <a:solidFill>
                  <a:schemeClr val="lt1"/>
                </a:solidFill>
              </a:ln>
              <a:effectLst/>
            </c:spPr>
            <c:extLst>
              <c:ext xmlns:c16="http://schemas.microsoft.com/office/drawing/2014/chart" uri="{C3380CC4-5D6E-409C-BE32-E72D297353CC}">
                <c16:uniqueId val="{00000005-1F43-4FE2-AB9B-DF8771BCBDAB}"/>
              </c:ext>
            </c:extLst>
          </c:dPt>
          <c:dLbls>
            <c:dLbl>
              <c:idx val="0"/>
              <c:layout>
                <c:manualLayout>
                  <c:x val="3.0071980532954276E-2"/>
                  <c:y val="8.5393784375678954E-3"/>
                </c:manualLayout>
              </c:layout>
              <c:tx>
                <c:rich>
                  <a:bodyPr/>
                  <a:lstStyle/>
                  <a:p>
                    <a:r>
                      <a:rPr lang="en-US"/>
                      <a:t>$2,900,000</a:t>
                    </a:r>
                    <a:r>
                      <a:rPr lang="en-US" baseline="0"/>
                      <a:t>, </a:t>
                    </a:r>
                    <a:fld id="{078EE4CA-5AF9-48A7-A6FE-D8FC4FA46C57}" type="PERCENTAGE">
                      <a:rPr lang="en-US" baseline="0"/>
                      <a:pPr/>
                      <a:t>[PERCENTAGE]</a:t>
                    </a:fld>
                    <a:endParaRPr lang="en-US" baseline="0"/>
                  </a:p>
                </c:rich>
              </c:tx>
              <c:showLegendKey val="0"/>
              <c:showVal val="1"/>
              <c:showCatName val="0"/>
              <c:showSerName val="0"/>
              <c:showPercent val="1"/>
              <c:showBubbleSize val="0"/>
              <c:extLst>
                <c:ext xmlns:c15="http://schemas.microsoft.com/office/drawing/2012/chart" uri="{CE6537A1-D6FC-4f65-9D91-7224C49458BB}">
                  <c15:layout>
                    <c:manualLayout>
                      <c:w val="0.23554617549245332"/>
                      <c:h val="0.11163339690880968"/>
                    </c:manualLayout>
                  </c15:layout>
                  <c15:dlblFieldTable/>
                  <c15:showDataLabelsRange val="0"/>
                </c:ext>
                <c:ext xmlns:c16="http://schemas.microsoft.com/office/drawing/2014/chart" uri="{C3380CC4-5D6E-409C-BE32-E72D297353CC}">
                  <c16:uniqueId val="{00000001-1F43-4FE2-AB9B-DF8771BCBDAB}"/>
                </c:ext>
              </c:extLst>
            </c:dLbl>
            <c:dLbl>
              <c:idx val="1"/>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 xmlns:c16="http://schemas.microsoft.com/office/drawing/2014/chart" uri="{C3380CC4-5D6E-409C-BE32-E72D297353CC}">
                  <c16:uniqueId val="{00000003-1F43-4FE2-AB9B-DF8771BCBDAB}"/>
                </c:ext>
              </c:extLst>
            </c:dLbl>
            <c:dLbl>
              <c:idx val="2"/>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a:solidFill>
                            <a:schemeClr val="bg1"/>
                          </a:solidFill>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 xmlns:c16="http://schemas.microsoft.com/office/drawing/2014/chart" uri="{C3380CC4-5D6E-409C-BE32-E72D297353CC}">
                  <c16:uniqueId val="{00000005-1F43-4FE2-AB9B-DF8771BCBD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City</c:v>
              </c:pt>
              <c:pt idx="1">
                <c:v>County</c:v>
              </c:pt>
              <c:pt idx="2">
                <c:v>FCD</c:v>
              </c:pt>
            </c:strLit>
          </c:cat>
          <c:val>
            <c:numLit>
              <c:formatCode>General</c:formatCode>
              <c:ptCount val="3"/>
              <c:pt idx="0">
                <c:v>2925173.5252005579</c:v>
              </c:pt>
              <c:pt idx="1">
                <c:v>21648946.82574844</c:v>
              </c:pt>
              <c:pt idx="2">
                <c:v>26306085.168952089</c:v>
              </c:pt>
            </c:numLit>
          </c:val>
          <c:extLst>
            <c:ext xmlns:c16="http://schemas.microsoft.com/office/drawing/2014/chart" uri="{C3380CC4-5D6E-409C-BE32-E72D297353CC}">
              <c16:uniqueId val="{00000006-1F43-4FE2-AB9B-DF8771BCBDA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456721421580675"/>
          <c:y val="0.32251400103649458"/>
          <c:w val="0.22108496080862897"/>
          <c:h val="0.471995252185833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[Appendix_D-Data_and_Analyses.xlsx]PivotChartTable1</c15:name>
        <c15:fmtId val="18"/>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Total Annual Budget, </a:t>
            </a:r>
            <a:endParaRPr lang="en-US" sz="1200" b="1">
              <a:effectLst/>
            </a:endParaRPr>
          </a:p>
          <a:p>
            <a:pPr>
              <a:defRPr sz="1200" b="1"/>
            </a:pPr>
            <a:r>
              <a:rPr lang="en-US" sz="1200" b="1" i="0" baseline="0">
                <a:effectLst/>
              </a:rPr>
              <a:t>by Entity Type</a:t>
            </a:r>
            <a:endParaRPr lang="en-US" sz="1200" b="1">
              <a:effectLst/>
            </a:endParaRPr>
          </a:p>
        </c:rich>
      </c:tx>
      <c:layout>
        <c:manualLayout>
          <c:xMode val="edge"/>
          <c:yMode val="edge"/>
          <c:x val="0.26604759712209985"/>
          <c:y val="1.086647608539378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circle"/>
          <c:size val="5"/>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
        <c:spPr>
          <a:solidFill>
            <a:srgbClr val="33CCCC"/>
          </a:solidFill>
          <a:ln w="19050">
            <a:solidFill>
              <a:schemeClr val="lt1"/>
            </a:solidFill>
          </a:ln>
          <a:effectLst/>
        </c:spPr>
      </c:pivotFmt>
      <c:pivotFmt>
        <c:idx val="2"/>
        <c:spPr>
          <a:solidFill>
            <a:srgbClr val="0070C0"/>
          </a:solidFill>
          <a:ln w="19050">
            <a:solidFill>
              <a:schemeClr val="lt1"/>
            </a:solidFill>
          </a:ln>
          <a:effectLst/>
        </c:spPr>
      </c:pivotFmt>
      <c:pivotFmt>
        <c:idx val="3"/>
        <c:spPr>
          <a:solidFill>
            <a:srgbClr val="0099CC"/>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5"/>
        <c:spPr>
          <a:solidFill>
            <a:srgbClr val="0070C0"/>
          </a:solidFill>
          <a:ln w="19050">
            <a:solidFill>
              <a:schemeClr val="lt1"/>
            </a:solidFill>
          </a:ln>
          <a:effectLst/>
        </c:spPr>
      </c:pivotFmt>
      <c:pivotFmt>
        <c:idx val="6"/>
        <c:spPr>
          <a:solidFill>
            <a:srgbClr val="0099CC"/>
          </a:solidFill>
          <a:ln w="19050">
            <a:solidFill>
              <a:schemeClr val="lt1"/>
            </a:solidFill>
          </a:ln>
          <a:effectLst/>
        </c:spPr>
      </c:pivotFmt>
      <c:pivotFmt>
        <c:idx val="7"/>
        <c:spPr>
          <a:solidFill>
            <a:srgbClr val="33CCCC"/>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9"/>
        <c:spPr>
          <a:solidFill>
            <a:srgbClr val="0070C0"/>
          </a:solidFill>
          <a:ln w="19050">
            <a:solidFill>
              <a:schemeClr val="lt1"/>
            </a:solidFill>
          </a:ln>
          <a:effectLst/>
        </c:spPr>
        <c:dLbl>
          <c:idx val="0"/>
          <c:layout>
            <c:manualLayout>
              <c:x val="1.1134017522126326E-2"/>
              <c:y val="8.539378437567895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$2,900,000</a:t>
                </a:r>
                <a:r>
                  <a:rPr lang="en-US" baseline="0"/>
                  <a:t>, </a:t>
                </a:r>
                <a:fld id="{078EE4CA-5AF9-48A7-A6FE-D8FC4FA46C5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0"/>
        <c:spPr>
          <a:solidFill>
            <a:srgbClr val="0099CC"/>
          </a:solidFill>
          <a:ln w="19050">
            <a:solidFill>
              <a:schemeClr val="lt1"/>
            </a:solidFill>
          </a:ln>
          <a:effectLst/>
        </c:spPr>
        <c:dLbl>
          <c:idx val="0"/>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1"/>
        <c:spPr>
          <a:solidFill>
            <a:srgbClr val="33CCCC"/>
          </a:solidFill>
          <a:ln w="19050">
            <a:solidFill>
              <a:schemeClr val="lt1"/>
            </a:solidFill>
          </a:ln>
          <a:effectLst/>
        </c:spPr>
        <c:dLbl>
          <c:idx val="0"/>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Lst>
        </c:dLbl>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3"/>
        <c:spPr>
          <a:solidFill>
            <a:srgbClr val="0070C0"/>
          </a:solidFill>
          <a:ln w="19050">
            <a:solidFill>
              <a:schemeClr val="lt1"/>
            </a:solidFill>
          </a:ln>
          <a:effectLst/>
        </c:spPr>
        <c:dLbl>
          <c:idx val="0"/>
          <c:layout>
            <c:manualLayout>
              <c:x val="1.1134017522126326E-2"/>
              <c:y val="8.539378437567895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$2,900,000</a:t>
                </a:r>
                <a:r>
                  <a:rPr lang="en-US" baseline="0"/>
                  <a:t>, </a:t>
                </a:r>
                <a:fld id="{078EE4CA-5AF9-48A7-A6FE-D8FC4FA46C5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4"/>
        <c:spPr>
          <a:solidFill>
            <a:srgbClr val="0099CC"/>
          </a:solidFill>
          <a:ln w="19050">
            <a:solidFill>
              <a:schemeClr val="lt1"/>
            </a:solidFill>
          </a:ln>
          <a:effectLst/>
        </c:spPr>
        <c:dLbl>
          <c:idx val="0"/>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5"/>
        <c:spPr>
          <a:solidFill>
            <a:srgbClr val="33CCCC"/>
          </a:solidFill>
          <a:ln w="19050">
            <a:solidFill>
              <a:schemeClr val="lt1"/>
            </a:solidFill>
          </a:ln>
          <a:effectLst/>
        </c:spPr>
        <c:dLbl>
          <c:idx val="0"/>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Lst>
        </c:dLbl>
      </c:pivotFmt>
      <c:pivotFmt>
        <c:idx val="1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7"/>
        <c:spPr>
          <a:solidFill>
            <a:srgbClr val="0070C0"/>
          </a:solidFill>
          <a:ln w="19050">
            <a:solidFill>
              <a:schemeClr val="lt1"/>
            </a:solidFill>
          </a:ln>
          <a:effectLst/>
        </c:spPr>
        <c:dLbl>
          <c:idx val="0"/>
          <c:layout>
            <c:manualLayout>
              <c:x val="-0.26907487532779994"/>
              <c:y val="-4.182674547114616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solidFill>
                      <a:schemeClr val="bg1"/>
                    </a:solidFill>
                  </a:rPr>
                  <a:t>$480,000,000, </a:t>
                </a:r>
                <a:fld id="{82E1CF84-3726-41DF-83ED-4FB7A37825D6}"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4831510134271084"/>
                  <c:h val="0.13224944496225882"/>
                </c:manualLayout>
              </c15:layout>
              <c15:dlblFieldTable/>
              <c15:showDataLabelsRange val="0"/>
            </c:ext>
          </c:extLst>
        </c:dLbl>
      </c:pivotFmt>
      <c:pivotFmt>
        <c:idx val="18"/>
        <c:spPr>
          <a:solidFill>
            <a:srgbClr val="0099CC"/>
          </a:solidFill>
          <a:ln w="19050">
            <a:solidFill>
              <a:schemeClr val="lt1"/>
            </a:solidFill>
          </a:ln>
          <a:effectLst/>
        </c:spPr>
        <c:dLbl>
          <c:idx val="0"/>
          <c:layout>
            <c:manualLayout>
              <c:x val="9.7965449833193621E-2"/>
              <c:y val="-7.887707853657635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t>$170,000,000, </a:t>
                </a:r>
                <a:fld id="{65473A0A-1DF6-42AE-9F72-D223737D019A}"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9"/>
        <c:spPr>
          <a:solidFill>
            <a:srgbClr val="33CCCC"/>
          </a:solidFill>
          <a:ln w="19050">
            <a:solidFill>
              <a:schemeClr val="lt1"/>
            </a:solidFill>
          </a:ln>
          <a:effectLst/>
        </c:spPr>
        <c:dLbl>
          <c:idx val="0"/>
          <c:layout>
            <c:manualLayout>
              <c:x val="0.14585730715428022"/>
              <c:y val="0.18033435117857685"/>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solidFill>
                      <a:schemeClr val="bg1"/>
                    </a:solidFill>
                  </a:rPr>
                  <a:t>$160,000,000, </a:t>
                </a:r>
                <a:fld id="{ED4C562B-30AF-44FB-BAC9-6E51375534FF}"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6048995993794144"/>
                  <c:h val="0.12632718267480245"/>
                </c:manualLayout>
              </c15:layout>
              <c15:dlblFieldTable/>
              <c15:showDataLabelsRange val="0"/>
            </c:ext>
          </c:extLst>
        </c:dLbl>
      </c:pivotFmt>
      <c:pivotFmt>
        <c:idx val="2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21"/>
        <c:spPr>
          <a:solidFill>
            <a:srgbClr val="0070C0"/>
          </a:solidFill>
          <a:ln w="19050">
            <a:solidFill>
              <a:schemeClr val="lt1"/>
            </a:solidFill>
          </a:ln>
          <a:effectLst/>
        </c:spPr>
        <c:dLbl>
          <c:idx val="0"/>
          <c:layout>
            <c:manualLayout>
              <c:x val="-0.26907487532779994"/>
              <c:y val="-4.182674547114616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solidFill>
                      <a:schemeClr val="bg1"/>
                    </a:solidFill>
                  </a:rPr>
                  <a:t>$480,000,000, </a:t>
                </a:r>
                <a:fld id="{82E1CF84-3726-41DF-83ED-4FB7A37825D6}" type="PERCENTAGE">
                  <a:rPr lang="en-US" baseline="0">
                    <a:solidFill>
                      <a:schemeClr val="bg1"/>
                    </a:solidFill>
                  </a:rPr>
                  <a:pPr>
                    <a:defRPr>
                      <a:solidFill>
                        <a:schemeClr val="bg1"/>
                      </a:solidFill>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4831510134271084"/>
                  <c:h val="0.13224944496225882"/>
                </c:manualLayout>
              </c15:layout>
              <c15:dlblFieldTable/>
              <c15:showDataLabelsRange val="0"/>
            </c:ext>
          </c:extLst>
        </c:dLbl>
      </c:pivotFmt>
      <c:pivotFmt>
        <c:idx val="22"/>
        <c:spPr>
          <a:solidFill>
            <a:srgbClr val="0099CC"/>
          </a:solidFill>
          <a:ln w="19050">
            <a:solidFill>
              <a:schemeClr val="lt1"/>
            </a:solidFill>
          </a:ln>
          <a:effectLst/>
        </c:spPr>
        <c:dLbl>
          <c:idx val="0"/>
          <c:layout>
            <c:manualLayout>
              <c:x val="9.7965449833193621E-2"/>
              <c:y val="-7.887707853657635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t>$170,000,000, </a:t>
                </a:r>
                <a:fld id="{65473A0A-1DF6-42AE-9F72-D223737D019A}" type="PERCENTAGE">
                  <a:rPr lang="en-US" baseline="0"/>
                  <a:pPr>
                    <a:defRPr>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23"/>
        <c:spPr>
          <a:solidFill>
            <a:srgbClr val="33CCCC"/>
          </a:solidFill>
          <a:ln w="19050">
            <a:solidFill>
              <a:schemeClr val="lt1"/>
            </a:solidFill>
          </a:ln>
          <a:effectLst/>
        </c:spPr>
        <c:dLbl>
          <c:idx val="0"/>
          <c:layout>
            <c:manualLayout>
              <c:x val="0.14585730715428022"/>
              <c:y val="0.18033435117857685"/>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solidFill>
                      <a:schemeClr val="bg1"/>
                    </a:solidFill>
                  </a:rPr>
                  <a:t>$160,000,000, </a:t>
                </a:r>
                <a:fld id="{ED4C562B-30AF-44FB-BAC9-6E51375534FF}" type="PERCENTAGE">
                  <a:rPr lang="en-US" baseline="0">
                    <a:solidFill>
                      <a:schemeClr val="bg1"/>
                    </a:solidFill>
                  </a:rPr>
                  <a:pPr>
                    <a:defRPr>
                      <a:solidFill>
                        <a:schemeClr val="bg1"/>
                      </a:solidFill>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6048995993794144"/>
                  <c:h val="0.12632718267480245"/>
                </c:manualLayout>
              </c15:layout>
              <c15:dlblFieldTable/>
              <c15:showDataLabelsRange val="0"/>
            </c:ext>
          </c:extLst>
        </c:dLbl>
      </c:pivotFmt>
    </c:pivotFmts>
    <c:plotArea>
      <c:layout/>
      <c:pieChart>
        <c:varyColors val="1"/>
        <c:ser>
          <c:idx val="0"/>
          <c:order val="0"/>
          <c:tx>
            <c:v>Total</c:v>
          </c:tx>
          <c:dPt>
            <c:idx val="0"/>
            <c:bubble3D val="0"/>
            <c:spPr>
              <a:solidFill>
                <a:srgbClr val="0070C0"/>
              </a:solidFill>
              <a:ln w="19050">
                <a:solidFill>
                  <a:schemeClr val="lt1"/>
                </a:solidFill>
              </a:ln>
              <a:effectLst/>
            </c:spPr>
            <c:extLst>
              <c:ext xmlns:c16="http://schemas.microsoft.com/office/drawing/2014/chart" uri="{C3380CC4-5D6E-409C-BE32-E72D297353CC}">
                <c16:uniqueId val="{00000001-D88E-4EB5-A29F-058CEB659B52}"/>
              </c:ext>
            </c:extLst>
          </c:dPt>
          <c:dPt>
            <c:idx val="1"/>
            <c:bubble3D val="0"/>
            <c:spPr>
              <a:solidFill>
                <a:srgbClr val="0099CC"/>
              </a:solidFill>
              <a:ln w="19050">
                <a:solidFill>
                  <a:schemeClr val="lt1"/>
                </a:solidFill>
              </a:ln>
              <a:effectLst/>
            </c:spPr>
            <c:extLst>
              <c:ext xmlns:c16="http://schemas.microsoft.com/office/drawing/2014/chart" uri="{C3380CC4-5D6E-409C-BE32-E72D297353CC}">
                <c16:uniqueId val="{00000003-D88E-4EB5-A29F-058CEB659B52}"/>
              </c:ext>
            </c:extLst>
          </c:dPt>
          <c:dPt>
            <c:idx val="2"/>
            <c:bubble3D val="0"/>
            <c:spPr>
              <a:solidFill>
                <a:srgbClr val="33CCCC"/>
              </a:solidFill>
              <a:ln w="19050">
                <a:solidFill>
                  <a:schemeClr val="lt1"/>
                </a:solidFill>
              </a:ln>
              <a:effectLst/>
            </c:spPr>
            <c:extLst>
              <c:ext xmlns:c16="http://schemas.microsoft.com/office/drawing/2014/chart" uri="{C3380CC4-5D6E-409C-BE32-E72D297353CC}">
                <c16:uniqueId val="{00000005-D88E-4EB5-A29F-058CEB659B52}"/>
              </c:ext>
            </c:extLst>
          </c:dPt>
          <c:dLbls>
            <c:dLbl>
              <c:idx val="0"/>
              <c:layout>
                <c:manualLayout>
                  <c:x val="-0.26907487532779994"/>
                  <c:y val="-4.182674547114616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solidFill>
                          <a:schemeClr val="bg1"/>
                        </a:solidFill>
                      </a:rPr>
                      <a:t>$480,000,000, </a:t>
                    </a:r>
                    <a:fld id="{82E1CF84-3726-41DF-83ED-4FB7A37825D6}" type="PERCENTAGE">
                      <a:rPr lang="en-US" baseline="0">
                        <a:solidFill>
                          <a:schemeClr val="bg1"/>
                        </a:solidFill>
                      </a:rPr>
                      <a:pPr>
                        <a:defRPr>
                          <a:solidFill>
                            <a:schemeClr val="bg1"/>
                          </a:solidFill>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4831510134271084"/>
                      <c:h val="0.13224944496225882"/>
                    </c:manualLayout>
                  </c15:layout>
                  <c15:dlblFieldTable/>
                  <c15:showDataLabelsRange val="0"/>
                </c:ext>
                <c:ext xmlns:c16="http://schemas.microsoft.com/office/drawing/2014/chart" uri="{C3380CC4-5D6E-409C-BE32-E72D297353CC}">
                  <c16:uniqueId val="{00000001-D88E-4EB5-A29F-058CEB659B52}"/>
                </c:ext>
              </c:extLst>
            </c:dLbl>
            <c:dLbl>
              <c:idx val="1"/>
              <c:layout>
                <c:manualLayout>
                  <c:x val="9.7965449833193621E-2"/>
                  <c:y val="-7.887707853657635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t>$170,000,000, </a:t>
                    </a:r>
                    <a:fld id="{65473A0A-1DF6-42AE-9F72-D223737D019A}" type="PERCENTAGE">
                      <a:rPr lang="en-US" baseline="0"/>
                      <a:pPr>
                        <a:defRPr>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 xmlns:c16="http://schemas.microsoft.com/office/drawing/2014/chart" uri="{C3380CC4-5D6E-409C-BE32-E72D297353CC}">
                  <c16:uniqueId val="{00000003-D88E-4EB5-A29F-058CEB659B52}"/>
                </c:ext>
              </c:extLst>
            </c:dLbl>
            <c:dLbl>
              <c:idx val="2"/>
              <c:layout>
                <c:manualLayout>
                  <c:x val="0.14585730715428022"/>
                  <c:y val="0.18033435117857685"/>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solidFill>
                          <a:schemeClr val="bg1"/>
                        </a:solidFill>
                      </a:rPr>
                      <a:t>$160,000,000, </a:t>
                    </a:r>
                    <a:fld id="{ED4C562B-30AF-44FB-BAC9-6E51375534FF}" type="PERCENTAGE">
                      <a:rPr lang="en-US" baseline="0">
                        <a:solidFill>
                          <a:schemeClr val="bg1"/>
                        </a:solidFill>
                      </a:rPr>
                      <a:pPr>
                        <a:defRPr>
                          <a:solidFill>
                            <a:schemeClr val="bg1"/>
                          </a:solidFill>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6048995993794144"/>
                      <c:h val="0.12632718267480245"/>
                    </c:manualLayout>
                  </c15:layout>
                  <c15:dlblFieldTable/>
                  <c15:showDataLabelsRange val="0"/>
                </c:ext>
                <c:ext xmlns:c16="http://schemas.microsoft.com/office/drawing/2014/chart" uri="{C3380CC4-5D6E-409C-BE32-E72D297353CC}">
                  <c16:uniqueId val="{00000005-D88E-4EB5-A29F-058CEB659B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City</c:v>
              </c:pt>
              <c:pt idx="1">
                <c:v>County</c:v>
              </c:pt>
              <c:pt idx="2">
                <c:v>FCD</c:v>
              </c:pt>
            </c:strLit>
          </c:cat>
          <c:val>
            <c:numLit>
              <c:formatCode>General</c:formatCode>
              <c:ptCount val="3"/>
              <c:pt idx="0">
                <c:v>479728458.13289148</c:v>
              </c:pt>
              <c:pt idx="1">
                <c:v>173191574.60598752</c:v>
              </c:pt>
              <c:pt idx="2">
                <c:v>157836511.01371253</c:v>
              </c:pt>
            </c:numLit>
          </c:val>
          <c:extLst>
            <c:ext xmlns:c16="http://schemas.microsoft.com/office/drawing/2014/chart" uri="{C3380CC4-5D6E-409C-BE32-E72D297353CC}">
              <c16:uniqueId val="{00000006-D88E-4EB5-A29F-058CEB659B5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456721421580675"/>
          <c:y val="0.32251400103649458"/>
          <c:w val="0.22108496080862897"/>
          <c:h val="0.471995252185833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[Appendix_D-Data_and_Analyses.xlsx]PivotChartTable2</c15:name>
        <c15:fmtId val="23"/>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US" sz="1200" b="1" i="0" baseline="0">
                <a:effectLst/>
              </a:rPr>
              <a:t>Average Annual Expenditures, </a:t>
            </a:r>
            <a:endParaRPr lang="en-US" sz="1200" b="1">
              <a:effectLst/>
            </a:endParaRPr>
          </a:p>
          <a:p>
            <a:pPr algn="ctr">
              <a:defRPr sz="1200" b="1" i="0" u="none" strike="noStrike" kern="1200" spc="0" baseline="0">
                <a:solidFill>
                  <a:schemeClr val="tx1">
                    <a:lumMod val="65000"/>
                    <a:lumOff val="35000"/>
                  </a:schemeClr>
                </a:solidFill>
                <a:latin typeface="+mn-lt"/>
                <a:ea typeface="+mn-ea"/>
                <a:cs typeface="+mn-cs"/>
              </a:defRPr>
            </a:pPr>
            <a:r>
              <a:rPr lang="en-US" sz="1200" b="1" i="0" baseline="0">
                <a:effectLst/>
              </a:rPr>
              <a:t>by Entity Type</a:t>
            </a:r>
            <a:endParaRPr lang="en-US" sz="1200" b="1">
              <a:effectLst/>
            </a:endParaRPr>
          </a:p>
        </c:rich>
      </c:tx>
      <c:layout>
        <c:manualLayout>
          <c:xMode val="edge"/>
          <c:yMode val="edge"/>
          <c:x val="0.14825219794985986"/>
          <c:y val="1.9359007147568347E-2"/>
        </c:manualLayout>
      </c:layout>
      <c:overlay val="0"/>
      <c:spPr>
        <a:noFill/>
        <a:ln>
          <a:noFill/>
        </a:ln>
        <a:effectLst/>
      </c:spPr>
    </c:title>
    <c:autoTitleDeleted val="0"/>
    <c:pivotFmts>
      <c:pivotFmt>
        <c:idx val="0"/>
        <c:spPr>
          <a:solidFill>
            <a:schemeClr val="accent1"/>
          </a:solidFill>
          <a:ln w="19050">
            <a:solidFill>
              <a:schemeClr val="lt1"/>
            </a:solidFill>
          </a:ln>
          <a:effectLst/>
        </c:spPr>
        <c:marker>
          <c:symbol val="circle"/>
          <c:size val="5"/>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
        <c:spPr>
          <a:solidFill>
            <a:srgbClr val="33CCCC"/>
          </a:solidFill>
          <a:ln w="19050">
            <a:solidFill>
              <a:schemeClr val="lt1"/>
            </a:solidFill>
          </a:ln>
          <a:effectLst/>
        </c:spPr>
      </c:pivotFmt>
      <c:pivotFmt>
        <c:idx val="2"/>
        <c:spPr>
          <a:solidFill>
            <a:srgbClr val="0070C0"/>
          </a:solidFill>
          <a:ln w="19050">
            <a:solidFill>
              <a:schemeClr val="lt1"/>
            </a:solidFill>
          </a:ln>
          <a:effectLst/>
        </c:spPr>
      </c:pivotFmt>
      <c:pivotFmt>
        <c:idx val="3"/>
        <c:spPr>
          <a:solidFill>
            <a:srgbClr val="0099CC"/>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5"/>
        <c:spPr>
          <a:solidFill>
            <a:srgbClr val="0070C0"/>
          </a:solidFill>
          <a:ln w="19050">
            <a:solidFill>
              <a:schemeClr val="lt1"/>
            </a:solidFill>
          </a:ln>
          <a:effectLst/>
        </c:spPr>
      </c:pivotFmt>
      <c:pivotFmt>
        <c:idx val="6"/>
        <c:spPr>
          <a:solidFill>
            <a:srgbClr val="0099CC"/>
          </a:solidFill>
          <a:ln w="19050">
            <a:solidFill>
              <a:schemeClr val="lt1"/>
            </a:solidFill>
          </a:ln>
          <a:effectLst/>
        </c:spPr>
      </c:pivotFmt>
      <c:pivotFmt>
        <c:idx val="7"/>
        <c:spPr>
          <a:solidFill>
            <a:srgbClr val="33CCCC"/>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9"/>
        <c:spPr>
          <a:solidFill>
            <a:srgbClr val="0070C0"/>
          </a:solidFill>
          <a:ln w="19050">
            <a:solidFill>
              <a:schemeClr val="lt1"/>
            </a:solidFill>
          </a:ln>
          <a:effectLst/>
        </c:spPr>
        <c:dLbl>
          <c:idx val="0"/>
          <c:layout>
            <c:manualLayout>
              <c:x val="1.1134017522126326E-2"/>
              <c:y val="8.539378437567895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$2,900,000</a:t>
                </a:r>
                <a:r>
                  <a:rPr lang="en-US" baseline="0"/>
                  <a:t>, </a:t>
                </a:r>
                <a:fld id="{078EE4CA-5AF9-48A7-A6FE-D8FC4FA46C5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0"/>
        <c:spPr>
          <a:solidFill>
            <a:srgbClr val="0099CC"/>
          </a:solidFill>
          <a:ln w="19050">
            <a:solidFill>
              <a:schemeClr val="lt1"/>
            </a:solidFill>
          </a:ln>
          <a:effectLst/>
        </c:spPr>
        <c:dLbl>
          <c:idx val="0"/>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1"/>
        <c:spPr>
          <a:solidFill>
            <a:srgbClr val="33CCCC"/>
          </a:solidFill>
          <a:ln w="19050">
            <a:solidFill>
              <a:schemeClr val="lt1"/>
            </a:solidFill>
          </a:ln>
          <a:effectLst/>
        </c:spPr>
        <c:dLbl>
          <c:idx val="0"/>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Lst>
        </c:dLbl>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3"/>
        <c:spPr>
          <a:solidFill>
            <a:srgbClr val="0070C0"/>
          </a:solidFill>
          <a:ln w="19050">
            <a:solidFill>
              <a:schemeClr val="lt1"/>
            </a:solidFill>
          </a:ln>
          <a:effectLst/>
        </c:spPr>
        <c:dLbl>
          <c:idx val="0"/>
          <c:layout>
            <c:manualLayout>
              <c:x val="1.1134017522126326E-2"/>
              <c:y val="8.539378437567895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$2,900,000</a:t>
                </a:r>
                <a:r>
                  <a:rPr lang="en-US" baseline="0"/>
                  <a:t>, </a:t>
                </a:r>
                <a:fld id="{078EE4CA-5AF9-48A7-A6FE-D8FC4FA46C5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4"/>
        <c:spPr>
          <a:solidFill>
            <a:srgbClr val="0099CC"/>
          </a:solidFill>
          <a:ln w="19050">
            <a:solidFill>
              <a:schemeClr val="lt1"/>
            </a:solidFill>
          </a:ln>
          <a:effectLst/>
        </c:spPr>
        <c:dLbl>
          <c:idx val="0"/>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5"/>
        <c:spPr>
          <a:solidFill>
            <a:srgbClr val="33CCCC"/>
          </a:solidFill>
          <a:ln w="19050">
            <a:solidFill>
              <a:schemeClr val="lt1"/>
            </a:solidFill>
          </a:ln>
          <a:effectLst/>
        </c:spPr>
        <c:dLbl>
          <c:idx val="0"/>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Lst>
        </c:dLbl>
      </c:pivotFmt>
      <c:pivotFmt>
        <c:idx val="1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7"/>
        <c:spPr>
          <a:solidFill>
            <a:srgbClr val="0070C0"/>
          </a:solidFill>
          <a:ln w="19050">
            <a:solidFill>
              <a:schemeClr val="lt1"/>
            </a:solidFill>
          </a:ln>
          <a:effectLst/>
        </c:spPr>
        <c:dLbl>
          <c:idx val="0"/>
          <c:layout>
            <c:manualLayout>
              <c:x val="1.1134017522126326E-2"/>
              <c:y val="8.539378437567895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$2,900,000</a:t>
                </a:r>
                <a:r>
                  <a:rPr lang="en-US" baseline="0"/>
                  <a:t>, </a:t>
                </a:r>
                <a:fld id="{078EE4CA-5AF9-48A7-A6FE-D8FC4FA46C5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8"/>
        <c:spPr>
          <a:solidFill>
            <a:srgbClr val="0099CC"/>
          </a:solidFill>
          <a:ln w="19050">
            <a:solidFill>
              <a:schemeClr val="lt1"/>
            </a:solidFill>
          </a:ln>
          <a:effectLst/>
        </c:spPr>
        <c:dLbl>
          <c:idx val="0"/>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9"/>
        <c:spPr>
          <a:solidFill>
            <a:srgbClr val="33CCCC"/>
          </a:solidFill>
          <a:ln w="19050">
            <a:solidFill>
              <a:schemeClr val="lt1"/>
            </a:solidFill>
          </a:ln>
          <a:effectLst/>
        </c:spPr>
        <c:dLbl>
          <c:idx val="0"/>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Lst>
        </c:dLbl>
      </c:pivotFmt>
      <c:pivotFmt>
        <c:idx val="2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1"/>
        <c:spPr>
          <a:solidFill>
            <a:srgbClr val="33CCCC"/>
          </a:solidFill>
          <a:ln w="19050">
            <a:solidFill>
              <a:schemeClr val="lt1"/>
            </a:solidFill>
          </a:ln>
          <a:effectLst/>
        </c:spPr>
        <c:dLbl>
          <c:idx val="0"/>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$24,000,000</a:t>
                </a:r>
                <a:r>
                  <a:rPr lang="en-US" baseline="0">
                    <a:solidFill>
                      <a:schemeClr val="bg1"/>
                    </a:solidFill>
                  </a:rPr>
                  <a:t>, </a:t>
                </a:r>
                <a:fld id="{C9CE7F4E-7670-4675-A63C-E7CA92DA5D14}"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Lst>
        </c:dLbl>
      </c:pivotFmt>
      <c:pivotFmt>
        <c:idx val="22"/>
        <c:spPr>
          <a:solidFill>
            <a:srgbClr val="0099CC"/>
          </a:solidFill>
          <a:ln w="19050">
            <a:solidFill>
              <a:schemeClr val="lt1"/>
            </a:solidFill>
          </a:ln>
          <a:effectLst/>
        </c:spPr>
        <c:dLbl>
          <c:idx val="0"/>
          <c:layout>
            <c:manualLayout>
              <c:x val="-0.28848491828873446"/>
              <c:y val="5.3017862190574902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$24,000,000</a:t>
                </a:r>
                <a:r>
                  <a:rPr lang="en-US" baseline="0"/>
                  <a:t>, </a:t>
                </a:r>
                <a:fld id="{521E2D88-4595-4FE5-B97E-D246A04B6F39}"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layout>
                <c:manualLayout>
                  <c:w val="0.24785323965651834"/>
                  <c:h val="0.13569106621259641"/>
                </c:manualLayout>
              </c15:layout>
              <c15:dlblFieldTable/>
              <c15:showDataLabelsRange val="0"/>
            </c:ext>
          </c:extLst>
        </c:dLbl>
      </c:pivotFmt>
      <c:pivotFmt>
        <c:idx val="23"/>
        <c:spPr>
          <a:solidFill>
            <a:srgbClr val="0070C0"/>
          </a:solidFill>
          <a:ln w="19050">
            <a:solidFill>
              <a:schemeClr val="lt1"/>
            </a:solidFill>
          </a:ln>
          <a:effectLst/>
        </c:spPr>
        <c:dLbl>
          <c:idx val="0"/>
          <c:layout>
            <c:manualLayout>
              <c:x val="0.10044571748509686"/>
              <c:y val="3.187398204358536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$3,500,000</a:t>
                </a:r>
                <a:r>
                  <a:rPr lang="en-US" baseline="0"/>
                  <a:t>, </a:t>
                </a:r>
                <a:fld id="{293B58E8-FE73-4CE9-AB9C-DB14DBB5061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layout>
                <c:manualLayout>
                  <c:w val="0.21871250306934278"/>
                  <c:h val="0.11163339690880968"/>
                </c:manualLayout>
              </c15:layout>
              <c15:dlblFieldTable/>
              <c15:showDataLabelsRange val="0"/>
            </c:ext>
          </c:extLst>
        </c:dLbl>
      </c:pivotFmt>
      <c:pivotFmt>
        <c:idx val="24"/>
        <c:spPr>
          <a:solidFill>
            <a:srgbClr val="CCFFFF"/>
          </a:solidFill>
          <a:ln w="19050">
            <a:solidFill>
              <a:schemeClr val="lt1"/>
            </a:solidFill>
          </a:ln>
          <a:effectLst/>
        </c:spPr>
        <c:dLbl>
          <c:idx val="0"/>
          <c:layout>
            <c:manualLayout>
              <c:x val="-6.9073853674767427E-2"/>
              <c:y val="4.195124577674280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$3,500,000</a:t>
                </a:r>
                <a:r>
                  <a:rPr lang="en-US" baseline="0"/>
                  <a:t>, </a:t>
                </a:r>
                <a:fld id="{1FBAF488-56F6-41FB-8E1B-66ED223CB88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layout>
                <c:manualLayout>
                  <c:w val="0.20823735299010762"/>
                  <c:h val="0.12714359747479506"/>
                </c:manualLayout>
              </c15:layout>
              <c15:dlblFieldTable/>
              <c15:showDataLabelsRange val="0"/>
            </c:ext>
          </c:extLst>
        </c:dLbl>
      </c:pivotFmt>
      <c:pivotFmt>
        <c:idx val="2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6"/>
        <c:spPr>
          <a:solidFill>
            <a:srgbClr val="0070C0"/>
          </a:solidFill>
          <a:ln w="19050">
            <a:solidFill>
              <a:schemeClr val="lt1"/>
            </a:solidFill>
          </a:ln>
          <a:effectLst/>
        </c:spPr>
        <c:dLbl>
          <c:idx val="0"/>
          <c:layout>
            <c:manualLayout>
              <c:x val="0.10044571748509686"/>
              <c:y val="3.187398204358536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$3,500,000</a:t>
                </a:r>
                <a:r>
                  <a:rPr lang="en-US" baseline="0"/>
                  <a:t>, </a:t>
                </a:r>
                <a:fld id="{293B58E8-FE73-4CE9-AB9C-DB14DBB5061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layout>
                <c:manualLayout>
                  <c:w val="0.21871250306934278"/>
                  <c:h val="0.11163339690880968"/>
                </c:manualLayout>
              </c15:layout>
              <c15:dlblFieldTable/>
              <c15:showDataLabelsRange val="0"/>
            </c:ext>
          </c:extLst>
        </c:dLbl>
      </c:pivotFmt>
      <c:pivotFmt>
        <c:idx val="27"/>
        <c:spPr>
          <a:solidFill>
            <a:srgbClr val="0099CC"/>
          </a:solidFill>
          <a:ln w="19050">
            <a:solidFill>
              <a:schemeClr val="lt1"/>
            </a:solidFill>
          </a:ln>
          <a:effectLst/>
        </c:spPr>
        <c:dLbl>
          <c:idx val="0"/>
          <c:layout>
            <c:manualLayout>
              <c:x val="-0.28848491828873446"/>
              <c:y val="5.3017862190574902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$24,000,000</a:t>
                </a:r>
                <a:r>
                  <a:rPr lang="en-US" baseline="0"/>
                  <a:t>, </a:t>
                </a:r>
                <a:fld id="{521E2D88-4595-4FE5-B97E-D246A04B6F39}"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layout>
                <c:manualLayout>
                  <c:w val="0.24785323965651834"/>
                  <c:h val="0.13569106621259641"/>
                </c:manualLayout>
              </c15:layout>
              <c15:dlblFieldTable/>
              <c15:showDataLabelsRange val="0"/>
            </c:ext>
          </c:extLst>
        </c:dLbl>
      </c:pivotFmt>
      <c:pivotFmt>
        <c:idx val="28"/>
        <c:spPr>
          <a:solidFill>
            <a:srgbClr val="33CCCC"/>
          </a:solidFill>
          <a:ln w="19050">
            <a:solidFill>
              <a:schemeClr val="lt1"/>
            </a:solidFill>
          </a:ln>
          <a:effectLst/>
        </c:spPr>
        <c:dLbl>
          <c:idx val="0"/>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$24,000,000</a:t>
                </a:r>
                <a:r>
                  <a:rPr lang="en-US" baseline="0">
                    <a:solidFill>
                      <a:schemeClr val="bg1"/>
                    </a:solidFill>
                  </a:rPr>
                  <a:t>, </a:t>
                </a:r>
                <a:fld id="{C9CE7F4E-7670-4675-A63C-E7CA92DA5D14}"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Lst>
        </c:dLbl>
      </c:pivotFmt>
      <c:pivotFmt>
        <c:idx val="29"/>
        <c:spPr>
          <a:solidFill>
            <a:srgbClr val="CCFFFF"/>
          </a:solidFill>
          <a:ln w="19050">
            <a:solidFill>
              <a:schemeClr val="lt1"/>
            </a:solidFill>
          </a:ln>
          <a:effectLst/>
        </c:spPr>
        <c:dLbl>
          <c:idx val="0"/>
          <c:layout>
            <c:manualLayout>
              <c:x val="-6.9073853674767427E-2"/>
              <c:y val="4.195124577674280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$3,500,000</a:t>
                </a:r>
                <a:r>
                  <a:rPr lang="en-US" baseline="0"/>
                  <a:t>, </a:t>
                </a:r>
                <a:fld id="{1FBAF488-56F6-41FB-8E1B-66ED223CB88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layout>
                <c:manualLayout>
                  <c:w val="0.20823735299010762"/>
                  <c:h val="0.12714359747479506"/>
                </c:manualLayout>
              </c15:layout>
              <c15:dlblFieldTable/>
              <c15:showDataLabelsRange val="0"/>
            </c:ext>
          </c:extLst>
        </c:dLbl>
      </c:pivotFmt>
    </c:pivotFmts>
    <c:plotArea>
      <c:layout/>
      <c:pieChart>
        <c:varyColors val="1"/>
        <c:ser>
          <c:idx val="0"/>
          <c:order val="0"/>
          <c:tx>
            <c:v>Total</c:v>
          </c:tx>
          <c:dPt>
            <c:idx val="0"/>
            <c:bubble3D val="0"/>
            <c:spPr>
              <a:solidFill>
                <a:srgbClr val="0070C0"/>
              </a:solidFill>
              <a:ln w="19050">
                <a:solidFill>
                  <a:schemeClr val="lt1"/>
                </a:solidFill>
              </a:ln>
              <a:effectLst/>
            </c:spPr>
            <c:extLst>
              <c:ext xmlns:c16="http://schemas.microsoft.com/office/drawing/2014/chart" uri="{C3380CC4-5D6E-409C-BE32-E72D297353CC}">
                <c16:uniqueId val="{00000001-E61B-4CE9-AA49-A68A5870CFEE}"/>
              </c:ext>
            </c:extLst>
          </c:dPt>
          <c:dPt>
            <c:idx val="1"/>
            <c:bubble3D val="0"/>
            <c:spPr>
              <a:solidFill>
                <a:srgbClr val="0099CC"/>
              </a:solidFill>
              <a:ln w="19050">
                <a:solidFill>
                  <a:schemeClr val="lt1"/>
                </a:solidFill>
              </a:ln>
              <a:effectLst/>
            </c:spPr>
            <c:extLst>
              <c:ext xmlns:c16="http://schemas.microsoft.com/office/drawing/2014/chart" uri="{C3380CC4-5D6E-409C-BE32-E72D297353CC}">
                <c16:uniqueId val="{00000003-E61B-4CE9-AA49-A68A5870CFEE}"/>
              </c:ext>
            </c:extLst>
          </c:dPt>
          <c:dPt>
            <c:idx val="2"/>
            <c:bubble3D val="0"/>
            <c:spPr>
              <a:solidFill>
                <a:srgbClr val="33CCCC"/>
              </a:solidFill>
              <a:ln w="19050">
                <a:solidFill>
                  <a:schemeClr val="lt1"/>
                </a:solidFill>
              </a:ln>
              <a:effectLst/>
            </c:spPr>
            <c:extLst>
              <c:ext xmlns:c16="http://schemas.microsoft.com/office/drawing/2014/chart" uri="{C3380CC4-5D6E-409C-BE32-E72D297353CC}">
                <c16:uniqueId val="{00000005-E61B-4CE9-AA49-A68A5870CFEE}"/>
              </c:ext>
            </c:extLst>
          </c:dPt>
          <c:dPt>
            <c:idx val="3"/>
            <c:bubble3D val="0"/>
            <c:spPr>
              <a:solidFill>
                <a:srgbClr val="CCFFFF"/>
              </a:solidFill>
              <a:ln w="19050">
                <a:solidFill>
                  <a:schemeClr val="lt1"/>
                </a:solidFill>
              </a:ln>
              <a:effectLst/>
            </c:spPr>
            <c:extLst>
              <c:ext xmlns:c16="http://schemas.microsoft.com/office/drawing/2014/chart" uri="{C3380CC4-5D6E-409C-BE32-E72D297353CC}">
                <c16:uniqueId val="{00000007-E61B-4CE9-AA49-A68A5870CFEE}"/>
              </c:ext>
            </c:extLst>
          </c:dPt>
          <c:dLbls>
            <c:dLbl>
              <c:idx val="0"/>
              <c:layout>
                <c:manualLayout>
                  <c:x val="0.10044571748509686"/>
                  <c:y val="3.187398204358536E-2"/>
                </c:manualLayout>
              </c:layout>
              <c:tx>
                <c:rich>
                  <a:bodyPr/>
                  <a:lstStyle/>
                  <a:p>
                    <a:r>
                      <a:rPr lang="en-US"/>
                      <a:t>$3,500,000</a:t>
                    </a:r>
                    <a:r>
                      <a:rPr lang="en-US" baseline="0"/>
                      <a:t>, </a:t>
                    </a:r>
                    <a:fld id="{293B58E8-FE73-4CE9-AB9C-DB14DBB50617}" type="PERCENTAGE">
                      <a:rPr lang="en-US" baseline="0"/>
                      <a:pPr/>
                      <a:t>[PERCENTAGE]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layout>
                    <c:manualLayout>
                      <c:w val="0.21871250306934278"/>
                      <c:h val="0.11163339690880968"/>
                    </c:manualLayout>
                  </c15:layout>
                  <c15:dlblFieldTable/>
                  <c15:showDataLabelsRange val="0"/>
                </c:ext>
                <c:ext xmlns:c16="http://schemas.microsoft.com/office/drawing/2014/chart" uri="{C3380CC4-5D6E-409C-BE32-E72D297353CC}">
                  <c16:uniqueId val="{00000001-E61B-4CE9-AA49-A68A5870CFEE}"/>
                </c:ext>
              </c:extLst>
            </c:dLbl>
            <c:dLbl>
              <c:idx val="1"/>
              <c:layout>
                <c:manualLayout>
                  <c:x val="-0.28848491828873446"/>
                  <c:y val="5.3017862190574902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$24,000,000</a:t>
                    </a:r>
                    <a:r>
                      <a:rPr lang="en-US" baseline="0"/>
                      <a:t>, </a:t>
                    </a:r>
                    <a:fld id="{521E2D88-4595-4FE5-B97E-D246A04B6F39}"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layout>
                    <c:manualLayout>
                      <c:w val="0.24785323965651834"/>
                      <c:h val="0.13569106621259641"/>
                    </c:manualLayout>
                  </c15:layout>
                  <c15:dlblFieldTable/>
                  <c15:showDataLabelsRange val="0"/>
                </c:ext>
                <c:ext xmlns:c16="http://schemas.microsoft.com/office/drawing/2014/chart" uri="{C3380CC4-5D6E-409C-BE32-E72D297353CC}">
                  <c16:uniqueId val="{00000003-E61B-4CE9-AA49-A68A5870CFEE}"/>
                </c:ext>
              </c:extLst>
            </c:dLbl>
            <c:dLbl>
              <c:idx val="2"/>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$24,000,000</a:t>
                    </a:r>
                    <a:r>
                      <a:rPr lang="en-US" baseline="0">
                        <a:solidFill>
                          <a:schemeClr val="bg1"/>
                        </a:solidFill>
                      </a:rPr>
                      <a:t>, </a:t>
                    </a:r>
                    <a:fld id="{C9CE7F4E-7670-4675-A63C-E7CA92DA5D14}"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5-E61B-4CE9-AA49-A68A5870CFEE}"/>
                </c:ext>
              </c:extLst>
            </c:dLbl>
            <c:dLbl>
              <c:idx val="3"/>
              <c:layout>
                <c:manualLayout>
                  <c:x val="-6.9073853674767427E-2"/>
                  <c:y val="4.195124577674280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$3,500,000</a:t>
                    </a:r>
                    <a:r>
                      <a:rPr lang="en-US" baseline="0"/>
                      <a:t>, </a:t>
                    </a:r>
                    <a:fld id="{1FBAF488-56F6-41FB-8E1B-66ED223CB880}"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dLblPos val="bestFit"/>
              <c:showLegendKey val="0"/>
              <c:showVal val="1"/>
              <c:showCatName val="0"/>
              <c:showSerName val="0"/>
              <c:showPercent val="1"/>
              <c:showBubbleSize val="0"/>
              <c:extLst>
                <c:ext xmlns:c15="http://schemas.microsoft.com/office/drawing/2012/chart" uri="{CE6537A1-D6FC-4f65-9D91-7224C49458BB}">
                  <c15:layout>
                    <c:manualLayout>
                      <c:w val="0.20823735299010762"/>
                      <c:h val="0.12714359747479506"/>
                    </c:manualLayout>
                  </c15:layout>
                  <c15:dlblFieldTable/>
                  <c15:showDataLabelsRange val="0"/>
                </c:ext>
                <c:ext xmlns:c16="http://schemas.microsoft.com/office/drawing/2014/chart" uri="{C3380CC4-5D6E-409C-BE32-E72D297353CC}">
                  <c16:uniqueId val="{00000007-E61B-4CE9-AA49-A68A5870CF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4"/>
              <c:pt idx="0">
                <c:v>City</c:v>
              </c:pt>
              <c:pt idx="1">
                <c:v>County</c:v>
              </c:pt>
              <c:pt idx="2">
                <c:v>FCD</c:v>
              </c:pt>
              <c:pt idx="3">
                <c:v>Other</c:v>
              </c:pt>
            </c:strLit>
          </c:cat>
          <c:val>
            <c:numLit>
              <c:formatCode>General</c:formatCode>
              <c:ptCount val="4"/>
              <c:pt idx="0">
                <c:v>3546164.0528536392</c:v>
              </c:pt>
              <c:pt idx="1">
                <c:v>24347551.517439526</c:v>
              </c:pt>
              <c:pt idx="2">
                <c:v>24285771.611810651</c:v>
              </c:pt>
              <c:pt idx="3">
                <c:v>3452508.8005341007</c:v>
              </c:pt>
            </c:numLit>
          </c:val>
          <c:extLst>
            <c:ext xmlns:c16="http://schemas.microsoft.com/office/drawing/2014/chart" uri="{C3380CC4-5D6E-409C-BE32-E72D297353CC}">
              <c16:uniqueId val="{00000008-E61B-4CE9-AA49-A68A5870CFE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5456721421580675"/>
          <c:y val="0.32251400103649458"/>
          <c:w val="0.20316935864116933"/>
          <c:h val="0.3277396057976829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[Appendix_D-Data_and_Analyses.xlsx]PivotChartTable3</c15:name>
        <c15:fmtId val="26"/>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Total Annual Expenditures, </a:t>
            </a:r>
            <a:endParaRPr lang="en-US" sz="1200" b="1">
              <a:effectLst/>
            </a:endParaRPr>
          </a:p>
          <a:p>
            <a:pPr>
              <a:defRPr sz="1200" b="1"/>
            </a:pPr>
            <a:r>
              <a:rPr lang="en-US" sz="1200" b="1" i="0" baseline="0">
                <a:effectLst/>
              </a:rPr>
              <a:t>by Entity Type</a:t>
            </a:r>
            <a:endParaRPr lang="en-US" sz="1200" b="1">
              <a:effectLst/>
            </a:endParaRPr>
          </a:p>
        </c:rich>
      </c:tx>
      <c:layout>
        <c:manualLayout>
          <c:xMode val="edge"/>
          <c:yMode val="edge"/>
          <c:x val="0.16446839687232054"/>
          <c:y val="1.086651450898779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circle"/>
          <c:size val="5"/>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
        <c:spPr>
          <a:solidFill>
            <a:srgbClr val="33CCCC"/>
          </a:solidFill>
          <a:ln w="19050">
            <a:solidFill>
              <a:schemeClr val="lt1"/>
            </a:solidFill>
          </a:ln>
          <a:effectLst/>
        </c:spPr>
      </c:pivotFmt>
      <c:pivotFmt>
        <c:idx val="2"/>
        <c:spPr>
          <a:solidFill>
            <a:srgbClr val="0070C0"/>
          </a:solidFill>
          <a:ln w="19050">
            <a:solidFill>
              <a:schemeClr val="lt1"/>
            </a:solidFill>
          </a:ln>
          <a:effectLst/>
        </c:spPr>
      </c:pivotFmt>
      <c:pivotFmt>
        <c:idx val="3"/>
        <c:spPr>
          <a:solidFill>
            <a:srgbClr val="0099CC"/>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5"/>
        <c:spPr>
          <a:solidFill>
            <a:srgbClr val="0070C0"/>
          </a:solidFill>
          <a:ln w="19050">
            <a:solidFill>
              <a:schemeClr val="lt1"/>
            </a:solidFill>
          </a:ln>
          <a:effectLst/>
        </c:spPr>
      </c:pivotFmt>
      <c:pivotFmt>
        <c:idx val="6"/>
        <c:spPr>
          <a:solidFill>
            <a:srgbClr val="0099CC"/>
          </a:solidFill>
          <a:ln w="19050">
            <a:solidFill>
              <a:schemeClr val="lt1"/>
            </a:solidFill>
          </a:ln>
          <a:effectLst/>
        </c:spPr>
      </c:pivotFmt>
      <c:pivotFmt>
        <c:idx val="7"/>
        <c:spPr>
          <a:solidFill>
            <a:srgbClr val="33CCCC"/>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9"/>
        <c:spPr>
          <a:solidFill>
            <a:srgbClr val="0070C0"/>
          </a:solidFill>
          <a:ln w="19050">
            <a:solidFill>
              <a:schemeClr val="lt1"/>
            </a:solidFill>
          </a:ln>
          <a:effectLst/>
        </c:spPr>
        <c:dLbl>
          <c:idx val="0"/>
          <c:layout>
            <c:manualLayout>
              <c:x val="1.1134017522126326E-2"/>
              <c:y val="8.539378437567895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$2,900,000</a:t>
                </a:r>
                <a:r>
                  <a:rPr lang="en-US" baseline="0"/>
                  <a:t>, </a:t>
                </a:r>
                <a:fld id="{078EE4CA-5AF9-48A7-A6FE-D8FC4FA46C5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0"/>
        <c:spPr>
          <a:solidFill>
            <a:srgbClr val="0099CC"/>
          </a:solidFill>
          <a:ln w="19050">
            <a:solidFill>
              <a:schemeClr val="lt1"/>
            </a:solidFill>
          </a:ln>
          <a:effectLst/>
        </c:spPr>
        <c:dLbl>
          <c:idx val="0"/>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1"/>
        <c:spPr>
          <a:solidFill>
            <a:srgbClr val="33CCCC"/>
          </a:solidFill>
          <a:ln w="19050">
            <a:solidFill>
              <a:schemeClr val="lt1"/>
            </a:solidFill>
          </a:ln>
          <a:effectLst/>
        </c:spPr>
        <c:dLbl>
          <c:idx val="0"/>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Lst>
        </c:dLbl>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3"/>
        <c:spPr>
          <a:solidFill>
            <a:srgbClr val="0070C0"/>
          </a:solidFill>
          <a:ln w="19050">
            <a:solidFill>
              <a:schemeClr val="lt1"/>
            </a:solidFill>
          </a:ln>
          <a:effectLst/>
        </c:spPr>
        <c:dLbl>
          <c:idx val="0"/>
          <c:layout>
            <c:manualLayout>
              <c:x val="1.1134017522126326E-2"/>
              <c:y val="8.5393784375678954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$2,900,000</a:t>
                </a:r>
                <a:r>
                  <a:rPr lang="en-US" baseline="0"/>
                  <a:t>, </a:t>
                </a:r>
                <a:fld id="{078EE4CA-5AF9-48A7-A6FE-D8FC4FA46C57}"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14"/>
        <c:spPr>
          <a:solidFill>
            <a:srgbClr val="0099CC"/>
          </a:solidFill>
          <a:ln w="19050">
            <a:solidFill>
              <a:schemeClr val="lt1"/>
            </a:solidFill>
          </a:ln>
          <a:effectLst/>
        </c:spPr>
        <c:dLbl>
          <c:idx val="0"/>
          <c:layout>
            <c:manualLayout>
              <c:x val="-0.27999982745635843"/>
              <c:y val="-4.49701589849039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$22,000,000</a:t>
                </a:r>
                <a:r>
                  <a:rPr lang="en-US" baseline="0"/>
                  <a:t>, </a:t>
                </a:r>
                <a:fld id="{EEC35986-C3B3-41B9-828B-77DBCD0DE998}"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5"/>
        <c:spPr>
          <a:solidFill>
            <a:srgbClr val="33CCCC"/>
          </a:solidFill>
          <a:ln w="19050">
            <a:solidFill>
              <a:schemeClr val="lt1"/>
            </a:solidFill>
          </a:ln>
          <a:effectLst/>
        </c:spPr>
        <c:dLbl>
          <c:idx val="0"/>
          <c:layout>
            <c:manualLayout>
              <c:x val="0.13391303736560367"/>
              <c:y val="-1.11128943276994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solidFill>
                      <a:schemeClr val="bg1"/>
                    </a:solidFill>
                  </a:rPr>
                  <a:t>$26,000,000</a:t>
                </a:r>
                <a:r>
                  <a:rPr lang="en-US" baseline="0">
                    <a:solidFill>
                      <a:schemeClr val="bg1"/>
                    </a:solidFill>
                  </a:rPr>
                  <a:t>, </a:t>
                </a:r>
                <a:fld id="{7EC35499-D31C-44E2-BA88-9B437BA4A8AB}"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536230809712161"/>
                  <c:h val="0.12632696390658174"/>
                </c:manualLayout>
              </c15:layout>
              <c15:dlblFieldTable/>
              <c15:showDataLabelsRange val="0"/>
            </c:ext>
          </c:extLst>
        </c:dLbl>
      </c:pivotFmt>
      <c:pivotFmt>
        <c:idx val="1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17"/>
        <c:spPr>
          <a:solidFill>
            <a:srgbClr val="0070C0"/>
          </a:solidFill>
          <a:ln w="19050">
            <a:solidFill>
              <a:schemeClr val="lt1"/>
            </a:solidFill>
          </a:ln>
          <a:effectLst/>
        </c:spPr>
        <c:dLbl>
          <c:idx val="0"/>
          <c:layout>
            <c:manualLayout>
              <c:x val="-0.27328771067685337"/>
              <c:y val="-5.5035737253345873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r>
                  <a:rPr lang="en-US" baseline="0">
                    <a:solidFill>
                      <a:schemeClr val="bg1"/>
                    </a:solidFill>
                  </a:rPr>
                  <a:t>$480,000,000, </a:t>
                </a:r>
                <a:fld id="{82E1CF84-3726-41DF-83ED-4FB7A37825D6}"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9889430644604"/>
                  <c:h val="0.1058314613978594"/>
                </c:manualLayout>
              </c15:layout>
              <c15:dlblFieldTable/>
              <c15:showDataLabelsRange val="0"/>
            </c:ext>
          </c:extLst>
        </c:dLbl>
      </c:pivotFmt>
      <c:pivotFmt>
        <c:idx val="18"/>
        <c:spPr>
          <a:solidFill>
            <a:srgbClr val="0099CC"/>
          </a:solidFill>
          <a:ln w="19050">
            <a:solidFill>
              <a:schemeClr val="lt1"/>
            </a:solidFill>
          </a:ln>
          <a:effectLst/>
        </c:spPr>
        <c:dLbl>
          <c:idx val="0"/>
          <c:layout>
            <c:manualLayout>
              <c:x val="8.5326685094892565E-2"/>
              <c:y val="-7.887692548489831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t>$170,000,000, </a:t>
                </a:r>
                <a:fld id="{65473A0A-1DF6-42AE-9F72-D223737D019A}"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19"/>
        <c:spPr>
          <a:solidFill>
            <a:srgbClr val="33CCCC"/>
          </a:solidFill>
          <a:ln w="19050">
            <a:solidFill>
              <a:schemeClr val="lt1"/>
            </a:solidFill>
          </a:ln>
          <a:effectLst/>
        </c:spPr>
        <c:dLbl>
          <c:idx val="0"/>
          <c:layout>
            <c:manualLayout>
              <c:x val="0.15217652946025895"/>
              <c:y val="0.17147737092564239"/>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solidFill>
                      <a:schemeClr val="bg1"/>
                    </a:solidFill>
                  </a:rPr>
                  <a:t>$160,000,000, </a:t>
                </a:r>
                <a:fld id="{ED4C562B-30AF-44FB-BAC9-6E51375534FF}"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94255256523464"/>
                  <c:h val="0.12632702732197035"/>
                </c:manualLayout>
              </c15:layout>
              <c15:dlblFieldTable/>
              <c15:showDataLabelsRange val="0"/>
            </c:ext>
          </c:extLst>
        </c:dLbl>
      </c:pivotFmt>
      <c:pivotFmt>
        <c:idx val="2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21"/>
        <c:spPr>
          <a:solidFill>
            <a:srgbClr val="0070C0"/>
          </a:solidFill>
          <a:ln w="19050">
            <a:solidFill>
              <a:schemeClr val="lt1"/>
            </a:solidFill>
          </a:ln>
          <a:effectLst/>
        </c:spPr>
        <c:dLbl>
          <c:idx val="0"/>
          <c:layout>
            <c:manualLayout>
              <c:x val="-0.27328771067685337"/>
              <c:y val="-5.5035737253345873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r>
                  <a:rPr lang="en-US" baseline="0">
                    <a:solidFill>
                      <a:schemeClr val="bg1"/>
                    </a:solidFill>
                  </a:rPr>
                  <a:t>$480,000,000, </a:t>
                </a:r>
                <a:fld id="{82E1CF84-3726-41DF-83ED-4FB7A37825D6}"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9889430644604"/>
                  <c:h val="0.1058314613978594"/>
                </c:manualLayout>
              </c15:layout>
              <c15:dlblFieldTable/>
              <c15:showDataLabelsRange val="0"/>
            </c:ext>
          </c:extLst>
        </c:dLbl>
      </c:pivotFmt>
      <c:pivotFmt>
        <c:idx val="22"/>
        <c:spPr>
          <a:solidFill>
            <a:srgbClr val="0099CC"/>
          </a:solidFill>
          <a:ln w="19050">
            <a:solidFill>
              <a:schemeClr val="lt1"/>
            </a:solidFill>
          </a:ln>
          <a:effectLst/>
        </c:spPr>
        <c:dLbl>
          <c:idx val="0"/>
          <c:layout>
            <c:manualLayout>
              <c:x val="8.5326685094892565E-2"/>
              <c:y val="-7.887692548489831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t>$170,000,000, </a:t>
                </a:r>
                <a:fld id="{65473A0A-1DF6-42AE-9F72-D223737D019A}"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23"/>
        <c:spPr>
          <a:solidFill>
            <a:srgbClr val="33CCCC"/>
          </a:solidFill>
          <a:ln w="19050">
            <a:solidFill>
              <a:schemeClr val="lt1"/>
            </a:solidFill>
          </a:ln>
          <a:effectLst/>
        </c:spPr>
        <c:dLbl>
          <c:idx val="0"/>
          <c:layout>
            <c:manualLayout>
              <c:x val="0.15217652946025895"/>
              <c:y val="0.17147737092564239"/>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solidFill>
                      <a:schemeClr val="bg1"/>
                    </a:solidFill>
                  </a:rPr>
                  <a:t>$160,000,000, </a:t>
                </a:r>
                <a:fld id="{ED4C562B-30AF-44FB-BAC9-6E51375534FF}"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94255256523464"/>
                  <c:h val="0.12632702732197035"/>
                </c:manualLayout>
              </c15:layout>
              <c15:dlblFieldTable/>
              <c15:showDataLabelsRange val="0"/>
            </c:ext>
          </c:extLst>
        </c:dLbl>
      </c:pivotFmt>
      <c:pivotFmt>
        <c:idx val="2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25"/>
        <c:spPr>
          <a:solidFill>
            <a:srgbClr val="0070C0"/>
          </a:solidFill>
          <a:ln w="19050">
            <a:solidFill>
              <a:schemeClr val="lt1"/>
            </a:solidFill>
          </a:ln>
          <a:effectLst/>
        </c:spPr>
        <c:dLbl>
          <c:idx val="0"/>
          <c:layout>
            <c:manualLayout>
              <c:x val="-0.27328771067685337"/>
              <c:y val="-5.5035737253345873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r>
                  <a:rPr lang="en-US" baseline="0">
                    <a:solidFill>
                      <a:schemeClr val="bg1"/>
                    </a:solidFill>
                  </a:rPr>
                  <a:t>$480,000,000, </a:t>
                </a:r>
                <a:fld id="{82E1CF84-3726-41DF-83ED-4FB7A37825D6}"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9889430644604"/>
                  <c:h val="0.1058314613978594"/>
                </c:manualLayout>
              </c15:layout>
              <c15:dlblFieldTable/>
              <c15:showDataLabelsRange val="0"/>
            </c:ext>
          </c:extLst>
        </c:dLbl>
      </c:pivotFmt>
      <c:pivotFmt>
        <c:idx val="26"/>
        <c:spPr>
          <a:solidFill>
            <a:srgbClr val="0099CC"/>
          </a:solidFill>
          <a:ln w="19050">
            <a:solidFill>
              <a:schemeClr val="lt1"/>
            </a:solidFill>
          </a:ln>
          <a:effectLst/>
        </c:spPr>
        <c:dLbl>
          <c:idx val="0"/>
          <c:layout>
            <c:manualLayout>
              <c:x val="8.5326685094892565E-2"/>
              <c:y val="-7.887692548489831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t>$170,000,000, </a:t>
                </a:r>
                <a:fld id="{65473A0A-1DF6-42AE-9F72-D223737D019A}"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65216224342519"/>
                  <c:h val="0.11677282377919321"/>
                </c:manualLayout>
              </c15:layout>
              <c15:dlblFieldTable/>
              <c15:showDataLabelsRange val="0"/>
            </c:ext>
          </c:extLst>
        </c:dLbl>
      </c:pivotFmt>
      <c:pivotFmt>
        <c:idx val="27"/>
        <c:spPr>
          <a:solidFill>
            <a:srgbClr val="33CCCC"/>
          </a:solidFill>
          <a:ln w="19050">
            <a:solidFill>
              <a:schemeClr val="lt1"/>
            </a:solidFill>
          </a:ln>
          <a:effectLst/>
        </c:spPr>
        <c:dLbl>
          <c:idx val="0"/>
          <c:layout>
            <c:manualLayout>
              <c:x val="0.15217652946025895"/>
              <c:y val="0.17147737092564239"/>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baseline="0">
                    <a:solidFill>
                      <a:schemeClr val="bg1"/>
                    </a:solidFill>
                  </a:rPr>
                  <a:t>$160,000,000, </a:t>
                </a:r>
                <a:fld id="{ED4C562B-30AF-44FB-BAC9-6E51375534FF}" type="PERCENTAGE">
                  <a:rPr lang="en-US" baseline="0">
                    <a:solidFill>
                      <a:schemeClr val="bg1"/>
                    </a:solidFill>
                  </a:rPr>
                  <a:pPr>
                    <a:defRPr sz="900" b="0" i="0" u="none" strike="noStrike" kern="1200" baseline="0">
                      <a:solidFill>
                        <a:schemeClr val="bg1"/>
                      </a:solidFill>
                      <a:latin typeface="+mn-lt"/>
                      <a:ea typeface="+mn-ea"/>
                      <a:cs typeface="+mn-cs"/>
                    </a:defRPr>
                  </a:pPr>
                  <a:t>[PERCENTAGE]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394255256523464"/>
                  <c:h val="0.12632702732197035"/>
                </c:manualLayout>
              </c15:layout>
              <c15:dlblFieldTable/>
              <c15:showDataLabelsRange val="0"/>
            </c:ext>
          </c:extLst>
        </c:dLbl>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29"/>
        <c:spPr>
          <a:solidFill>
            <a:srgbClr val="0070C0"/>
          </a:solidFill>
          <a:ln w="19050">
            <a:solidFill>
              <a:schemeClr val="lt1"/>
            </a:solidFill>
          </a:ln>
          <a:effectLst/>
        </c:spPr>
        <c:dLbl>
          <c:idx val="0"/>
          <c:layout>
            <c:manualLayout>
              <c:x val="-0.26410591110940479"/>
              <c:y val="-0.13536154246370627"/>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$520,000,000</a:t>
                </a:r>
                <a:r>
                  <a:rPr lang="en-US" baseline="0"/>
                  <a:t>, </a:t>
                </a:r>
                <a:fld id="{9A41CBF9-CFB7-41AC-83A4-69C294DAEF92}"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6004274324618321"/>
                  <c:h val="0.15575915924594844"/>
                </c:manualLayout>
              </c15:layout>
              <c15:dlblFieldTable/>
              <c15:showDataLabelsRange val="0"/>
            </c:ext>
          </c:extLst>
        </c:dLbl>
      </c:pivotFmt>
      <c:pivotFmt>
        <c:idx val="30"/>
        <c:spPr>
          <a:solidFill>
            <a:srgbClr val="0099CC"/>
          </a:solidFill>
          <a:ln w="19050">
            <a:solidFill>
              <a:schemeClr val="lt1"/>
            </a:solidFill>
          </a:ln>
          <a:effectLst/>
        </c:spPr>
        <c:dLbl>
          <c:idx val="0"/>
          <c:layout>
            <c:manualLayout>
              <c:x val="9.7516028717318695E-2"/>
              <c:y val="6.106086095793927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$160,000,000</a:t>
                </a:r>
                <a:r>
                  <a:rPr lang="en-US" baseline="0"/>
                  <a:t>, </a:t>
                </a:r>
                <a:fld id="{96794A38-2358-4E81-AAB0-9783A7C213D4}" type="PERCENTAGE">
                  <a:rPr lang="en-US" baseline="0"/>
                  <a:pPr>
                    <a:defRPr sz="900" b="0" i="0" u="none" strike="noStrike" kern="1200" baseline="0">
                      <a:solidFill>
                        <a:schemeClr val="bg1"/>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97957538296157"/>
                  <c:h val="0.1303290924302834"/>
                </c:manualLayout>
              </c15:layout>
              <c15:dlblFieldTable/>
              <c15:showDataLabelsRange val="0"/>
            </c:ext>
          </c:extLst>
        </c:dLbl>
      </c:pivotFmt>
      <c:pivotFmt>
        <c:idx val="31"/>
        <c:spPr>
          <a:solidFill>
            <a:srgbClr val="33CCCC"/>
          </a:solidFill>
          <a:ln w="19050">
            <a:solidFill>
              <a:schemeClr val="lt1"/>
            </a:solidFill>
          </a:ln>
          <a:effectLst/>
        </c:spPr>
        <c:dLbl>
          <c:idx val="0"/>
          <c:layout>
            <c:manualLayout>
              <c:x val="-8.9389692990875472E-2"/>
              <c:y val="2.848467838474356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$69,000,000</a:t>
                </a:r>
                <a:r>
                  <a:rPr lang="en-US" baseline="0"/>
                  <a:t>, </a:t>
                </a:r>
                <a:fld id="{4B8400DE-A12C-4163-AF0B-425AB708F483}"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4785323965651834"/>
                  <c:h val="0.13456743689956091"/>
                </c:manualLayout>
              </c15:layout>
              <c15:dlblFieldTable/>
              <c15:showDataLabelsRange val="0"/>
            </c:ext>
          </c:extLst>
        </c:dLbl>
      </c:pivotFmt>
      <c:pivotFmt>
        <c:idx val="32"/>
        <c:spPr>
          <a:solidFill>
            <a:srgbClr val="CCFFFF"/>
          </a:solidFill>
          <a:ln w="19050">
            <a:solidFill>
              <a:schemeClr val="lt1"/>
            </a:solidFill>
          </a:ln>
          <a:effectLst/>
        </c:spPr>
        <c:dLbl>
          <c:idx val="0"/>
          <c:layout>
            <c:manualLayout>
              <c:x val="0.27251154963463481"/>
              <c:y val="3.1526942021116298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$8,000,000</a:t>
                </a:r>
                <a:r>
                  <a:rPr lang="en-US" baseline="0"/>
                  <a:t>, </a:t>
                </a:r>
                <a:fld id="{2EDCC32F-CF88-4C3B-9857-6EEE097A54A5}"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Lst>
        </c:dLbl>
      </c:pivotFmt>
      <c:pivotFmt>
        <c:idx val="34"/>
        <c:spPr>
          <a:solidFill>
            <a:srgbClr val="0070C0"/>
          </a:solidFill>
          <a:ln w="19050">
            <a:solidFill>
              <a:schemeClr val="lt1"/>
            </a:solidFill>
          </a:ln>
          <a:effectLst/>
        </c:spPr>
        <c:dLbl>
          <c:idx val="0"/>
          <c:layout>
            <c:manualLayout>
              <c:x val="-0.26410591110940479"/>
              <c:y val="-0.13536154246370627"/>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$520,000,000</a:t>
                </a:r>
                <a:r>
                  <a:rPr lang="en-US" baseline="0"/>
                  <a:t>, </a:t>
                </a:r>
                <a:fld id="{9A41CBF9-CFB7-41AC-83A4-69C294DAEF92}" type="PERCENTAGE">
                  <a:rPr lang="en-US" baseline="0"/>
                  <a:pPr>
                    <a:defRPr>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6004274324618321"/>
                  <c:h val="0.15575915924594844"/>
                </c:manualLayout>
              </c15:layout>
              <c15:dlblFieldTable/>
              <c15:showDataLabelsRange val="0"/>
            </c:ext>
          </c:extLst>
        </c:dLbl>
      </c:pivotFmt>
      <c:pivotFmt>
        <c:idx val="35"/>
        <c:spPr>
          <a:solidFill>
            <a:srgbClr val="0099CC"/>
          </a:solidFill>
          <a:ln w="19050">
            <a:solidFill>
              <a:schemeClr val="lt1"/>
            </a:solidFill>
          </a:ln>
          <a:effectLst/>
        </c:spPr>
        <c:dLbl>
          <c:idx val="0"/>
          <c:layout>
            <c:manualLayout>
              <c:x val="9.7516028717318695E-2"/>
              <c:y val="6.106086095793927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$160,000,000</a:t>
                </a:r>
                <a:r>
                  <a:rPr lang="en-US" baseline="0"/>
                  <a:t>, </a:t>
                </a:r>
                <a:fld id="{96794A38-2358-4E81-AAB0-9783A7C213D4}" type="PERCENTAGE">
                  <a:rPr lang="en-US" baseline="0"/>
                  <a:pPr>
                    <a:defRPr>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97957538296157"/>
                  <c:h val="0.1303290924302834"/>
                </c:manualLayout>
              </c15:layout>
              <c15:dlblFieldTable/>
              <c15:showDataLabelsRange val="0"/>
            </c:ext>
          </c:extLst>
        </c:dLbl>
      </c:pivotFmt>
      <c:pivotFmt>
        <c:idx val="36"/>
        <c:spPr>
          <a:solidFill>
            <a:srgbClr val="33CCCC"/>
          </a:solidFill>
          <a:ln w="19050">
            <a:solidFill>
              <a:schemeClr val="lt1"/>
            </a:solidFill>
          </a:ln>
          <a:effectLst/>
        </c:spPr>
        <c:dLbl>
          <c:idx val="0"/>
          <c:layout>
            <c:manualLayout>
              <c:x val="-8.9389692990875472E-2"/>
              <c:y val="2.848467838474356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$69,000,000</a:t>
                </a:r>
                <a:r>
                  <a:rPr lang="en-US" baseline="0"/>
                  <a:t>, </a:t>
                </a:r>
                <a:fld id="{4B8400DE-A12C-4163-AF0B-425AB708F483}" type="PERCENTAGE">
                  <a:rPr lang="en-US" baseline="0"/>
                  <a:pPr>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4785323965651834"/>
                  <c:h val="0.13456743689956091"/>
                </c:manualLayout>
              </c15:layout>
              <c15:dlblFieldTable/>
              <c15:showDataLabelsRange val="0"/>
            </c:ext>
          </c:extLst>
        </c:dLbl>
      </c:pivotFmt>
      <c:pivotFmt>
        <c:idx val="37"/>
        <c:spPr>
          <a:solidFill>
            <a:srgbClr val="CCFFFF"/>
          </a:solidFill>
          <a:ln w="19050">
            <a:solidFill>
              <a:schemeClr val="lt1"/>
            </a:solidFill>
          </a:ln>
          <a:effectLst/>
        </c:spPr>
        <c:dLbl>
          <c:idx val="0"/>
          <c:layout>
            <c:manualLayout>
              <c:x val="0.27251154963463481"/>
              <c:y val="3.1526942021116298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$8,000,000</a:t>
                </a:r>
                <a:r>
                  <a:rPr lang="en-US" baseline="0"/>
                  <a:t>, </a:t>
                </a:r>
                <a:fld id="{2EDCC32F-CF88-4C3B-9857-6EEE097A54A5}" type="PERCENTAGE">
                  <a:rPr lang="en-US" baseline="0"/>
                  <a:pPr>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s>
    <c:plotArea>
      <c:layout/>
      <c:pieChart>
        <c:varyColors val="1"/>
        <c:ser>
          <c:idx val="0"/>
          <c:order val="0"/>
          <c:tx>
            <c:v>Total</c:v>
          </c:tx>
          <c:dPt>
            <c:idx val="0"/>
            <c:bubble3D val="0"/>
            <c:spPr>
              <a:solidFill>
                <a:srgbClr val="0070C0"/>
              </a:solidFill>
              <a:ln w="19050">
                <a:solidFill>
                  <a:schemeClr val="lt1"/>
                </a:solidFill>
              </a:ln>
              <a:effectLst/>
            </c:spPr>
            <c:extLst>
              <c:ext xmlns:c16="http://schemas.microsoft.com/office/drawing/2014/chart" uri="{C3380CC4-5D6E-409C-BE32-E72D297353CC}">
                <c16:uniqueId val="{00000001-F19C-40BB-8266-27703965395C}"/>
              </c:ext>
            </c:extLst>
          </c:dPt>
          <c:dPt>
            <c:idx val="1"/>
            <c:bubble3D val="0"/>
            <c:spPr>
              <a:solidFill>
                <a:srgbClr val="0099CC"/>
              </a:solidFill>
              <a:ln w="19050">
                <a:solidFill>
                  <a:schemeClr val="lt1"/>
                </a:solidFill>
              </a:ln>
              <a:effectLst/>
            </c:spPr>
            <c:extLst>
              <c:ext xmlns:c16="http://schemas.microsoft.com/office/drawing/2014/chart" uri="{C3380CC4-5D6E-409C-BE32-E72D297353CC}">
                <c16:uniqueId val="{00000003-F19C-40BB-8266-27703965395C}"/>
              </c:ext>
            </c:extLst>
          </c:dPt>
          <c:dPt>
            <c:idx val="2"/>
            <c:bubble3D val="0"/>
            <c:spPr>
              <a:solidFill>
                <a:srgbClr val="33CCCC"/>
              </a:solidFill>
              <a:ln w="19050">
                <a:solidFill>
                  <a:schemeClr val="lt1"/>
                </a:solidFill>
              </a:ln>
              <a:effectLst/>
            </c:spPr>
            <c:extLst>
              <c:ext xmlns:c16="http://schemas.microsoft.com/office/drawing/2014/chart" uri="{C3380CC4-5D6E-409C-BE32-E72D297353CC}">
                <c16:uniqueId val="{00000005-F19C-40BB-8266-27703965395C}"/>
              </c:ext>
            </c:extLst>
          </c:dPt>
          <c:dPt>
            <c:idx val="3"/>
            <c:bubble3D val="0"/>
            <c:spPr>
              <a:solidFill>
                <a:srgbClr val="CCFFFF"/>
              </a:solidFill>
              <a:ln w="19050">
                <a:solidFill>
                  <a:schemeClr val="lt1"/>
                </a:solidFill>
              </a:ln>
              <a:effectLst/>
            </c:spPr>
            <c:extLst>
              <c:ext xmlns:c16="http://schemas.microsoft.com/office/drawing/2014/chart" uri="{C3380CC4-5D6E-409C-BE32-E72D297353CC}">
                <c16:uniqueId val="{00000007-F19C-40BB-8266-27703965395C}"/>
              </c:ext>
            </c:extLst>
          </c:dPt>
          <c:dLbls>
            <c:dLbl>
              <c:idx val="0"/>
              <c:layout>
                <c:manualLayout>
                  <c:x val="-0.26410591110940479"/>
                  <c:y val="-0.13536154246370627"/>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$520,000,000</a:t>
                    </a:r>
                    <a:r>
                      <a:rPr lang="en-US" baseline="0"/>
                      <a:t>, </a:t>
                    </a:r>
                    <a:fld id="{9A41CBF9-CFB7-41AC-83A4-69C294DAEF92}" type="PERCENTAGE">
                      <a:rPr lang="en-US" baseline="0"/>
                      <a:pPr>
                        <a:defRPr>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6004274324618321"/>
                      <c:h val="0.15575915924594844"/>
                    </c:manualLayout>
                  </c15:layout>
                  <c15:dlblFieldTable/>
                  <c15:showDataLabelsRange val="0"/>
                </c:ext>
                <c:ext xmlns:c16="http://schemas.microsoft.com/office/drawing/2014/chart" uri="{C3380CC4-5D6E-409C-BE32-E72D297353CC}">
                  <c16:uniqueId val="{00000001-F19C-40BB-8266-27703965395C}"/>
                </c:ext>
              </c:extLst>
            </c:dLbl>
            <c:dLbl>
              <c:idx val="1"/>
              <c:layout>
                <c:manualLayout>
                  <c:x val="9.7516028717318695E-2"/>
                  <c:y val="6.106086095793927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r>
                      <a:rPr lang="en-US"/>
                      <a:t>$160,000,000</a:t>
                    </a:r>
                    <a:r>
                      <a:rPr lang="en-US" baseline="0"/>
                      <a:t>, </a:t>
                    </a:r>
                    <a:fld id="{96794A38-2358-4E81-AAB0-9783A7C213D4}" type="PERCENTAGE">
                      <a:rPr lang="en-US" baseline="0"/>
                      <a:pPr>
                        <a:defRPr>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5597957538296157"/>
                      <c:h val="0.1303290924302834"/>
                    </c:manualLayout>
                  </c15:layout>
                  <c15:dlblFieldTable/>
                  <c15:showDataLabelsRange val="0"/>
                </c:ext>
                <c:ext xmlns:c16="http://schemas.microsoft.com/office/drawing/2014/chart" uri="{C3380CC4-5D6E-409C-BE32-E72D297353CC}">
                  <c16:uniqueId val="{00000003-F19C-40BB-8266-27703965395C}"/>
                </c:ext>
              </c:extLst>
            </c:dLbl>
            <c:dLbl>
              <c:idx val="2"/>
              <c:layout>
                <c:manualLayout>
                  <c:x val="-8.9389692990875472E-2"/>
                  <c:y val="2.848467838474356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$69,000,000</a:t>
                    </a:r>
                    <a:r>
                      <a:rPr lang="en-US" baseline="0"/>
                      <a:t>, </a:t>
                    </a:r>
                    <a:fld id="{4B8400DE-A12C-4163-AF0B-425AB708F483}" type="PERCENTAGE">
                      <a:rPr lang="en-US" baseline="0"/>
                      <a:pPr>
                        <a:defRPr/>
                      </a:pPr>
                      <a:t>[PERCENTAGE]</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0.24785323965651834"/>
                      <c:h val="0.13456743689956091"/>
                    </c:manualLayout>
                  </c15:layout>
                  <c15:dlblFieldTable/>
                  <c15:showDataLabelsRange val="0"/>
                </c:ext>
                <c:ext xmlns:c16="http://schemas.microsoft.com/office/drawing/2014/chart" uri="{C3380CC4-5D6E-409C-BE32-E72D297353CC}">
                  <c16:uniqueId val="{00000005-F19C-40BB-8266-27703965395C}"/>
                </c:ext>
              </c:extLst>
            </c:dLbl>
            <c:dLbl>
              <c:idx val="3"/>
              <c:layout>
                <c:manualLayout>
                  <c:x val="0.27251154963463481"/>
                  <c:y val="3.1526942021116298E-2"/>
                </c:manualLayout>
              </c:layout>
              <c:tx>
                <c:rich>
                  <a:bodyPr/>
                  <a:lstStyle/>
                  <a:p>
                    <a:r>
                      <a:rPr lang="en-US"/>
                      <a:t>$8,000,000</a:t>
                    </a:r>
                    <a:r>
                      <a:rPr lang="en-US" baseline="0"/>
                      <a:t>, </a:t>
                    </a:r>
                    <a:fld id="{2EDCC32F-CF88-4C3B-9857-6EEE097A54A5}" type="PERCENTAGE">
                      <a:rPr lang="en-US" baseline="0"/>
                      <a:pPr/>
                      <a:t>[PERCENTAGE]</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F19C-40BB-8266-277039653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4"/>
              <c:pt idx="0">
                <c:v>City</c:v>
              </c:pt>
              <c:pt idx="1">
                <c:v>County</c:v>
              </c:pt>
              <c:pt idx="2">
                <c:v>FCD</c:v>
              </c:pt>
              <c:pt idx="3">
                <c:v>Other</c:v>
              </c:pt>
            </c:strLit>
          </c:cat>
          <c:val>
            <c:numLit>
              <c:formatCode>General</c:formatCode>
              <c:ptCount val="4"/>
              <c:pt idx="0">
                <c:v>522383395.56818736</c:v>
              </c:pt>
              <c:pt idx="1">
                <c:v>166397314.69490203</c:v>
              </c:pt>
              <c:pt idx="2">
                <c:v>68703061.168698922</c:v>
              </c:pt>
              <c:pt idx="3">
                <c:v>8253298.6572705023</c:v>
              </c:pt>
            </c:numLit>
          </c:val>
          <c:extLst>
            <c:ext xmlns:c16="http://schemas.microsoft.com/office/drawing/2014/chart" uri="{C3380CC4-5D6E-409C-BE32-E72D297353CC}">
              <c16:uniqueId val="{00000008-F19C-40BB-8266-27703965395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456721421580675"/>
          <c:y val="0.32251400103649458"/>
          <c:w val="0.20316935864116933"/>
          <c:h val="0.340118799733378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[Appendix_D-Data_and_Analyses.xlsx]PivotChartTable4</c15:name>
        <c15:fmtId val="26"/>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Expenditures in Cities and Counties</a:t>
            </a:r>
            <a:r>
              <a:rPr lang="en-US" sz="1200" b="1" baseline="30000"/>
              <a: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'IV.A. Jurisdictional Type'!$AI$45</c:f>
              <c:strCache>
                <c:ptCount val="1"/>
                <c:pt idx="0">
                  <c:v>Bottom</c:v>
                </c:pt>
              </c:strCache>
            </c:strRef>
          </c:tx>
          <c:spPr>
            <a:noFill/>
            <a:ln>
              <a:noFill/>
            </a:ln>
            <a:effectLst/>
          </c:spPr>
          <c:invertIfNegative val="0"/>
          <c:errBars>
            <c:errBarType val="minus"/>
            <c:errValType val="cust"/>
            <c:noEndCap val="0"/>
            <c:plus>
              <c:numLit>
                <c:formatCode>General</c:formatCode>
                <c:ptCount val="1"/>
                <c:pt idx="0">
                  <c:v>1</c:v>
                </c:pt>
              </c:numLit>
            </c:plus>
            <c:minus>
              <c:numRef>
                <c:f>'IV.A. Jurisdictional Type'!$AJ$48:$AK$48</c:f>
                <c:numCache>
                  <c:formatCode>General</c:formatCode>
                  <c:ptCount val="2"/>
                  <c:pt idx="0">
                    <c:v>375447.0880703039</c:v>
                  </c:pt>
                  <c:pt idx="1">
                    <c:v>5059641.0044431314</c:v>
                  </c:pt>
                </c:numCache>
              </c:numRef>
            </c:minus>
            <c:spPr>
              <a:noFill/>
              <a:ln w="9525" cap="flat" cmpd="sng" algn="ctr">
                <a:solidFill>
                  <a:schemeClr val="accent1"/>
                </a:solidFill>
                <a:round/>
              </a:ln>
              <a:effectLst/>
            </c:spPr>
          </c:errBars>
          <c:cat>
            <c:strRef>
              <c:f>'IV.A. Jurisdictional Type'!$AJ$44:$AK$44</c:f>
              <c:strCache>
                <c:ptCount val="2"/>
                <c:pt idx="0">
                  <c:v>Cities</c:v>
                </c:pt>
                <c:pt idx="1">
                  <c:v>Counties</c:v>
                </c:pt>
              </c:strCache>
            </c:strRef>
          </c:cat>
          <c:val>
            <c:numRef>
              <c:f>'IV.A. Jurisdictional Type'!$AJ$45:$AK$45</c:f>
              <c:numCache>
                <c:formatCode>_("$"* #,##0_);_("$"* \(#,##0\);_("$"* "-"??_);_(@_)</c:formatCode>
                <c:ptCount val="2"/>
                <c:pt idx="0">
                  <c:v>423112.58222220262</c:v>
                </c:pt>
                <c:pt idx="1">
                  <c:v>5461042.2417870723</c:v>
                </c:pt>
              </c:numCache>
            </c:numRef>
          </c:val>
          <c:extLst>
            <c:ext xmlns:c16="http://schemas.microsoft.com/office/drawing/2014/chart" uri="{C3380CC4-5D6E-409C-BE32-E72D297353CC}">
              <c16:uniqueId val="{00000000-2BA0-41ED-BA16-64D4F61FB9FD}"/>
            </c:ext>
          </c:extLst>
        </c:ser>
        <c:ser>
          <c:idx val="1"/>
          <c:order val="1"/>
          <c:tx>
            <c:strRef>
              <c:f>'IV.A. Jurisdictional Type'!$AI$46</c:f>
              <c:strCache>
                <c:ptCount val="1"/>
                <c:pt idx="0">
                  <c:v>2Q Box</c:v>
                </c:pt>
              </c:strCache>
            </c:strRef>
          </c:tx>
          <c:spPr>
            <a:solidFill>
              <a:schemeClr val="accent5"/>
            </a:solidFill>
            <a:ln>
              <a:solidFill>
                <a:schemeClr val="accent1"/>
              </a:solidFill>
            </a:ln>
            <a:effectLst/>
          </c:spPr>
          <c:invertIfNegative val="0"/>
          <c:cat>
            <c:strRef>
              <c:f>'IV.A. Jurisdictional Type'!$AJ$44:$AK$44</c:f>
              <c:strCache>
                <c:ptCount val="2"/>
                <c:pt idx="0">
                  <c:v>Cities</c:v>
                </c:pt>
                <c:pt idx="1">
                  <c:v>Counties</c:v>
                </c:pt>
              </c:strCache>
            </c:strRef>
          </c:cat>
          <c:val>
            <c:numRef>
              <c:f>'IV.A. Jurisdictional Type'!$AJ$46:$AK$46</c:f>
              <c:numCache>
                <c:formatCode>_("$"* #,##0_);_("$"* \(#,##0\);_("$"* "-"??_);_(@_)</c:formatCode>
                <c:ptCount val="2"/>
                <c:pt idx="0">
                  <c:v>469152.89429678471</c:v>
                </c:pt>
                <c:pt idx="1">
                  <c:v>7080783.7582129277</c:v>
                </c:pt>
              </c:numCache>
            </c:numRef>
          </c:val>
          <c:extLst>
            <c:ext xmlns:c16="http://schemas.microsoft.com/office/drawing/2014/chart" uri="{C3380CC4-5D6E-409C-BE32-E72D297353CC}">
              <c16:uniqueId val="{00000001-2BA0-41ED-BA16-64D4F61FB9FD}"/>
            </c:ext>
          </c:extLst>
        </c:ser>
        <c:ser>
          <c:idx val="2"/>
          <c:order val="2"/>
          <c:tx>
            <c:strRef>
              <c:f>'IV.A. Jurisdictional Type'!$AI$47</c:f>
              <c:strCache>
                <c:ptCount val="1"/>
                <c:pt idx="0">
                  <c:v>3Q Box</c:v>
                </c:pt>
              </c:strCache>
            </c:strRef>
          </c:tx>
          <c:spPr>
            <a:solidFill>
              <a:schemeClr val="accent5"/>
            </a:solidFill>
            <a:ln>
              <a:solidFill>
                <a:schemeClr val="accent1"/>
              </a:solidFill>
            </a:ln>
            <a:effectLst/>
          </c:spPr>
          <c:invertIfNegative val="0"/>
          <c:errBars>
            <c:errBarType val="plus"/>
            <c:errValType val="cust"/>
            <c:noEndCap val="0"/>
            <c:plus>
              <c:numRef>
                <c:f>'IV.A. Jurisdictional Type'!$AJ$49:$AK$49</c:f>
                <c:numCache>
                  <c:formatCode>General</c:formatCode>
                  <c:ptCount val="2"/>
                  <c:pt idx="0">
                    <c:v>85920663.110639662</c:v>
                  </c:pt>
                  <c:pt idx="1">
                    <c:v>22981916.659391716</c:v>
                  </c:pt>
                </c:numCache>
              </c:numRef>
            </c:plus>
            <c:minus>
              <c:numLit>
                <c:formatCode>General</c:formatCode>
                <c:ptCount val="1"/>
                <c:pt idx="0">
                  <c:v>1</c:v>
                </c:pt>
              </c:numLit>
            </c:minus>
            <c:spPr>
              <a:noFill/>
              <a:ln w="9525" cap="flat" cmpd="sng" algn="ctr">
                <a:solidFill>
                  <a:schemeClr val="accent1"/>
                </a:solidFill>
                <a:round/>
              </a:ln>
              <a:effectLst/>
            </c:spPr>
          </c:errBars>
          <c:cat>
            <c:strRef>
              <c:f>'IV.A. Jurisdictional Type'!$AJ$44:$AK$44</c:f>
              <c:strCache>
                <c:ptCount val="2"/>
                <c:pt idx="0">
                  <c:v>Cities</c:v>
                </c:pt>
                <c:pt idx="1">
                  <c:v>Counties</c:v>
                </c:pt>
              </c:strCache>
            </c:strRef>
          </c:cat>
          <c:val>
            <c:numRef>
              <c:f>'IV.A. Jurisdictional Type'!$AJ$47:$AK$47</c:f>
              <c:numCache>
                <c:formatCode>_("$"* #,##0_);_("$"* \(#,##0\);_("$"* "-"??_);_(@_)</c:formatCode>
                <c:ptCount val="2"/>
                <c:pt idx="0">
                  <c:v>1591891.5864417255</c:v>
                </c:pt>
                <c:pt idx="1">
                  <c:v>15596634.505165242</c:v>
                </c:pt>
              </c:numCache>
            </c:numRef>
          </c:val>
          <c:extLst>
            <c:ext xmlns:c16="http://schemas.microsoft.com/office/drawing/2014/chart" uri="{C3380CC4-5D6E-409C-BE32-E72D297353CC}">
              <c16:uniqueId val="{00000002-2BA0-41ED-BA16-64D4F61FB9FD}"/>
            </c:ext>
          </c:extLst>
        </c:ser>
        <c:ser>
          <c:idx val="4"/>
          <c:order val="4"/>
          <c:tx>
            <c:strRef>
              <c:f>'IV.A. Jurisdictional Type'!$AI$50</c:f>
              <c:strCache>
                <c:ptCount val="1"/>
                <c:pt idx="0">
                  <c:v>Offset</c:v>
                </c:pt>
              </c:strCache>
            </c:strRef>
          </c:tx>
          <c:spPr>
            <a:solidFill>
              <a:schemeClr val="accent5"/>
            </a:solidFill>
            <a:ln>
              <a:noFill/>
            </a:ln>
            <a:effectLst/>
          </c:spPr>
          <c:invertIfNegative val="0"/>
          <c:cat>
            <c:strRef>
              <c:f>'IV.A. Jurisdictional Type'!$AJ$44:$AK$44</c:f>
              <c:strCache>
                <c:ptCount val="2"/>
                <c:pt idx="0">
                  <c:v>Cities</c:v>
                </c:pt>
                <c:pt idx="1">
                  <c:v>Counties</c:v>
                </c:pt>
              </c:strCache>
            </c:strRef>
          </c:cat>
          <c:val>
            <c:numRef>
              <c:f>'IV.A. Jurisdictional Type'!$AJ$50:$AK$50</c:f>
              <c:numCache>
                <c:formatCode>General</c:formatCode>
                <c:ptCount val="2"/>
                <c:pt idx="0">
                  <c:v>0.5</c:v>
                </c:pt>
                <c:pt idx="1">
                  <c:v>1.5</c:v>
                </c:pt>
              </c:numCache>
            </c:numRef>
          </c:val>
          <c:extLst>
            <c:ext xmlns:c16="http://schemas.microsoft.com/office/drawing/2014/chart" uri="{C3380CC4-5D6E-409C-BE32-E72D297353CC}">
              <c16:uniqueId val="{00000003-2BA0-41ED-BA16-64D4F61FB9FD}"/>
            </c:ext>
          </c:extLst>
        </c:ser>
        <c:dLbls>
          <c:showLegendKey val="0"/>
          <c:showVal val="0"/>
          <c:showCatName val="0"/>
          <c:showSerName val="0"/>
          <c:showPercent val="0"/>
          <c:showBubbleSize val="0"/>
        </c:dLbls>
        <c:gapWidth val="150"/>
        <c:overlap val="100"/>
        <c:axId val="1049086816"/>
        <c:axId val="1035069296"/>
      </c:barChart>
      <c:lineChart>
        <c:grouping val="standard"/>
        <c:varyColors val="0"/>
        <c:ser>
          <c:idx val="3"/>
          <c:order val="3"/>
          <c:tx>
            <c:strRef>
              <c:f>'IV.A. Jurisdictional Type'!$AI$41</c:f>
              <c:strCache>
                <c:ptCount val="1"/>
                <c:pt idx="0">
                  <c:v>Mean</c:v>
                </c:pt>
              </c:strCache>
            </c:strRef>
          </c:tx>
          <c:spPr>
            <a:ln w="28575" cap="rnd">
              <a:noFill/>
              <a:round/>
            </a:ln>
            <a:effectLst/>
          </c:spPr>
          <c:marker>
            <c:symbol val="x"/>
            <c:size val="10"/>
            <c:spPr>
              <a:noFill/>
              <a:ln w="19050">
                <a:solidFill>
                  <a:schemeClr val="accent1"/>
                </a:solidFill>
              </a:ln>
              <a:effectLst/>
            </c:spPr>
          </c:marker>
          <c:cat>
            <c:strRef>
              <c:f>'IV.A. Jurisdictional Type'!$AJ$44:$AK$44</c:f>
              <c:strCache>
                <c:ptCount val="2"/>
                <c:pt idx="0">
                  <c:v>Cities</c:v>
                </c:pt>
                <c:pt idx="1">
                  <c:v>Counties</c:v>
                </c:pt>
              </c:strCache>
            </c:strRef>
          </c:cat>
          <c:val>
            <c:numRef>
              <c:f>'IV.A. Jurisdictional Type'!$AJ$41:$AK$41</c:f>
              <c:numCache>
                <c:formatCode>_("$"* #,##0_);_("$"* \(#,##0\);_("$"* "-"??_);_(@_)</c:formatCode>
                <c:ptCount val="2"/>
                <c:pt idx="0">
                  <c:v>3054873.6582934931</c:v>
                </c:pt>
                <c:pt idx="1">
                  <c:v>18488590.521655783</c:v>
                </c:pt>
              </c:numCache>
            </c:numRef>
          </c:val>
          <c:smooth val="0"/>
          <c:extLst>
            <c:ext xmlns:c16="http://schemas.microsoft.com/office/drawing/2014/chart" uri="{C3380CC4-5D6E-409C-BE32-E72D297353CC}">
              <c16:uniqueId val="{00000004-2BA0-41ED-BA16-64D4F61FB9FD}"/>
            </c:ext>
          </c:extLst>
        </c:ser>
        <c:dLbls>
          <c:showLegendKey val="0"/>
          <c:showVal val="0"/>
          <c:showCatName val="0"/>
          <c:showSerName val="0"/>
          <c:showPercent val="0"/>
          <c:showBubbleSize val="0"/>
        </c:dLbls>
        <c:marker val="1"/>
        <c:smooth val="0"/>
        <c:axId val="1049086816"/>
        <c:axId val="1035069296"/>
      </c:lineChart>
      <c:catAx>
        <c:axId val="104908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5069296"/>
        <c:crosses val="autoZero"/>
        <c:auto val="1"/>
        <c:lblAlgn val="ctr"/>
        <c:lblOffset val="100"/>
        <c:noMultiLvlLbl val="0"/>
      </c:catAx>
      <c:valAx>
        <c:axId val="1035069296"/>
        <c:scaling>
          <c:orientation val="minMax"/>
          <c:max val="9000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086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6</xdr:col>
      <xdr:colOff>0</xdr:colOff>
      <xdr:row>2</xdr:row>
      <xdr:rowOff>3174</xdr:rowOff>
    </xdr:from>
    <xdr:to>
      <xdr:col>12</xdr:col>
      <xdr:colOff>391451</xdr:colOff>
      <xdr:row>19</xdr:row>
      <xdr:rowOff>95031</xdr:rowOff>
    </xdr:to>
    <xdr:graphicFrame macro="">
      <xdr:nvGraphicFramePr>
        <xdr:cNvPr id="2" name="Chart 1">
          <a:extLst>
            <a:ext uri="{FF2B5EF4-FFF2-40B4-BE49-F238E27FC236}">
              <a16:creationId xmlns:a16="http://schemas.microsoft.com/office/drawing/2014/main" id="{1223074E-6491-4BA5-861C-2D3E2E9B4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xdr:row>
      <xdr:rowOff>3174</xdr:rowOff>
    </xdr:from>
    <xdr:to>
      <xdr:col>21</xdr:col>
      <xdr:colOff>445879</xdr:colOff>
      <xdr:row>19</xdr:row>
      <xdr:rowOff>95031</xdr:rowOff>
    </xdr:to>
    <xdr:graphicFrame macro="">
      <xdr:nvGraphicFramePr>
        <xdr:cNvPr id="3" name="Chart 2">
          <a:extLst>
            <a:ext uri="{FF2B5EF4-FFF2-40B4-BE49-F238E27FC236}">
              <a16:creationId xmlns:a16="http://schemas.microsoft.com/office/drawing/2014/main" id="{E79D7760-5FDC-4C54-8893-BD98221E7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40822</xdr:colOff>
      <xdr:row>2</xdr:row>
      <xdr:rowOff>0</xdr:rowOff>
    </xdr:from>
    <xdr:to>
      <xdr:col>27</xdr:col>
      <xdr:colOff>1578973</xdr:colOff>
      <xdr:row>11</xdr:row>
      <xdr:rowOff>28847</xdr:rowOff>
    </xdr:to>
    <xdr:graphicFrame macro="">
      <xdr:nvGraphicFramePr>
        <xdr:cNvPr id="4" name="Chart 3">
          <a:extLst>
            <a:ext uri="{FF2B5EF4-FFF2-40B4-BE49-F238E27FC236}">
              <a16:creationId xmlns:a16="http://schemas.microsoft.com/office/drawing/2014/main" id="{00351443-1386-42DF-8336-D19FFD32A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2</xdr:row>
      <xdr:rowOff>0</xdr:rowOff>
    </xdr:from>
    <xdr:to>
      <xdr:col>31</xdr:col>
      <xdr:colOff>1538152</xdr:colOff>
      <xdr:row>11</xdr:row>
      <xdr:rowOff>25672</xdr:rowOff>
    </xdr:to>
    <xdr:graphicFrame macro="">
      <xdr:nvGraphicFramePr>
        <xdr:cNvPr id="5" name="Chart 4">
          <a:extLst>
            <a:ext uri="{FF2B5EF4-FFF2-40B4-BE49-F238E27FC236}">
              <a16:creationId xmlns:a16="http://schemas.microsoft.com/office/drawing/2014/main" id="{286E5A39-55A6-412F-8804-7DFB19044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568642</xdr:colOff>
      <xdr:row>15</xdr:row>
      <xdr:rowOff>30843</xdr:rowOff>
    </xdr:to>
    <xdr:graphicFrame macro="">
      <xdr:nvGraphicFramePr>
        <xdr:cNvPr id="2" name="Chart 1">
          <a:extLst>
            <a:ext uri="{FF2B5EF4-FFF2-40B4-BE49-F238E27FC236}">
              <a16:creationId xmlns:a16="http://schemas.microsoft.com/office/drawing/2014/main" id="{18D4D9B3-CDA2-46D3-B0CF-A83C38BCF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16</xdr:row>
      <xdr:rowOff>1473</xdr:rowOff>
    </xdr:from>
    <xdr:to>
      <xdr:col>10</xdr:col>
      <xdr:colOff>568642</xdr:colOff>
      <xdr:row>31</xdr:row>
      <xdr:rowOff>190390</xdr:rowOff>
    </xdr:to>
    <xdr:graphicFrame macro="">
      <xdr:nvGraphicFramePr>
        <xdr:cNvPr id="3" name="Chart 2">
          <a:extLst>
            <a:ext uri="{FF2B5EF4-FFF2-40B4-BE49-F238E27FC236}">
              <a16:creationId xmlns:a16="http://schemas.microsoft.com/office/drawing/2014/main" id="{9A9C2B04-DEE5-4E85-B78D-48B1A5C66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2</xdr:row>
      <xdr:rowOff>0</xdr:rowOff>
    </xdr:from>
    <xdr:to>
      <xdr:col>14</xdr:col>
      <xdr:colOff>663892</xdr:colOff>
      <xdr:row>15</xdr:row>
      <xdr:rowOff>30843</xdr:rowOff>
    </xdr:to>
    <xdr:graphicFrame macro="">
      <xdr:nvGraphicFramePr>
        <xdr:cNvPr id="4" name="Chart 3">
          <a:extLst>
            <a:ext uri="{FF2B5EF4-FFF2-40B4-BE49-F238E27FC236}">
              <a16:creationId xmlns:a16="http://schemas.microsoft.com/office/drawing/2014/main" id="{0DBD80A2-599D-46A3-8D07-3563EF0EA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3172</xdr:colOff>
      <xdr:row>16</xdr:row>
      <xdr:rowOff>1473</xdr:rowOff>
    </xdr:from>
    <xdr:to>
      <xdr:col>14</xdr:col>
      <xdr:colOff>667064</xdr:colOff>
      <xdr:row>31</xdr:row>
      <xdr:rowOff>190390</xdr:rowOff>
    </xdr:to>
    <xdr:graphicFrame macro="">
      <xdr:nvGraphicFramePr>
        <xdr:cNvPr id="5" name="Chart 4">
          <a:extLst>
            <a:ext uri="{FF2B5EF4-FFF2-40B4-BE49-F238E27FC236}">
              <a16:creationId xmlns:a16="http://schemas.microsoft.com/office/drawing/2014/main" id="{518AFFD7-E5D7-40FE-844A-774C1A140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0</xdr:colOff>
      <xdr:row>2</xdr:row>
      <xdr:rowOff>0</xdr:rowOff>
    </xdr:from>
    <xdr:to>
      <xdr:col>38</xdr:col>
      <xdr:colOff>1143000</xdr:colOff>
      <xdr:row>29</xdr:row>
      <xdr:rowOff>176212</xdr:rowOff>
    </xdr:to>
    <xdr:graphicFrame macro="">
      <xdr:nvGraphicFramePr>
        <xdr:cNvPr id="6" name="Chart 5">
          <a:extLst>
            <a:ext uri="{FF2B5EF4-FFF2-40B4-BE49-F238E27FC236}">
              <a16:creationId xmlns:a16="http://schemas.microsoft.com/office/drawing/2014/main" id="{63471373-29E9-4DED-A634-CCDD09CB0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2</xdr:row>
      <xdr:rowOff>-1</xdr:rowOff>
    </xdr:from>
    <xdr:to>
      <xdr:col>10</xdr:col>
      <xdr:colOff>838200</xdr:colOff>
      <xdr:row>33</xdr:row>
      <xdr:rowOff>2721</xdr:rowOff>
    </xdr:to>
    <xdr:graphicFrame macro="">
      <xdr:nvGraphicFramePr>
        <xdr:cNvPr id="2" name="Chart 1">
          <a:extLst>
            <a:ext uri="{FF2B5EF4-FFF2-40B4-BE49-F238E27FC236}">
              <a16:creationId xmlns:a16="http://schemas.microsoft.com/office/drawing/2014/main" id="{2C01CB28-62BE-4B21-ADF9-04A2B8424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81643</xdr:colOff>
      <xdr:row>2</xdr:row>
      <xdr:rowOff>0</xdr:rowOff>
    </xdr:from>
    <xdr:to>
      <xdr:col>10</xdr:col>
      <xdr:colOff>530679</xdr:colOff>
      <xdr:row>30</xdr:row>
      <xdr:rowOff>176893</xdr:rowOff>
    </xdr:to>
    <xdr:graphicFrame macro="">
      <xdr:nvGraphicFramePr>
        <xdr:cNvPr id="2" name="Chart 1">
          <a:extLst>
            <a:ext uri="{FF2B5EF4-FFF2-40B4-BE49-F238E27FC236}">
              <a16:creationId xmlns:a16="http://schemas.microsoft.com/office/drawing/2014/main" id="{EBF06DA6-4351-4EB7-98BF-6E78264FD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625928</xdr:colOff>
      <xdr:row>2</xdr:row>
      <xdr:rowOff>0</xdr:rowOff>
    </xdr:from>
    <xdr:to>
      <xdr:col>16</xdr:col>
      <xdr:colOff>218168</xdr:colOff>
      <xdr:row>37</xdr:row>
      <xdr:rowOff>170905</xdr:rowOff>
    </xdr:to>
    <xdr:graphicFrame macro="">
      <xdr:nvGraphicFramePr>
        <xdr:cNvPr id="3" name="Chart 2">
          <a:extLst>
            <a:ext uri="{FF2B5EF4-FFF2-40B4-BE49-F238E27FC236}">
              <a16:creationId xmlns:a16="http://schemas.microsoft.com/office/drawing/2014/main" id="{4C927E45-A2E2-475B-BEDA-17A16D874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334736</xdr:colOff>
      <xdr:row>67</xdr:row>
      <xdr:rowOff>1360</xdr:rowOff>
    </xdr:from>
    <xdr:to>
      <xdr:col>17</xdr:col>
      <xdr:colOff>200933</xdr:colOff>
      <xdr:row>70</xdr:row>
      <xdr:rowOff>236310</xdr:rowOff>
    </xdr:to>
    <mc:AlternateContent xmlns:mc="http://schemas.openxmlformats.org/markup-compatibility/2006" xmlns:a14="http://schemas.microsoft.com/office/drawing/2010/main">
      <mc:Choice Requires="a14">
        <xdr:graphicFrame macro="">
          <xdr:nvGraphicFramePr>
            <xdr:cNvPr id="4" name="Category">
              <a:extLst>
                <a:ext uri="{FF2B5EF4-FFF2-40B4-BE49-F238E27FC236}">
                  <a16:creationId xmlns:a16="http://schemas.microsoft.com/office/drawing/2014/main" id="{1F98250C-A273-4186-B6DC-A4D3850BC7B7}"/>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21684343" y="14384110"/>
              <a:ext cx="1825626" cy="2520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9</xdr:col>
      <xdr:colOff>2</xdr:colOff>
      <xdr:row>2</xdr:row>
      <xdr:rowOff>0</xdr:rowOff>
    </xdr:from>
    <xdr:to>
      <xdr:col>12</xdr:col>
      <xdr:colOff>10888</xdr:colOff>
      <xdr:row>9</xdr:row>
      <xdr:rowOff>171450</xdr:rowOff>
    </xdr:to>
    <xdr:graphicFrame macro="">
      <xdr:nvGraphicFramePr>
        <xdr:cNvPr id="2" name="Chart 1">
          <a:extLst>
            <a:ext uri="{FF2B5EF4-FFF2-40B4-BE49-F238E27FC236}">
              <a16:creationId xmlns:a16="http://schemas.microsoft.com/office/drawing/2014/main" id="{2B980DF5-215F-4D54-9BC4-6A002523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xdr:row>
      <xdr:rowOff>3174</xdr:rowOff>
    </xdr:from>
    <xdr:to>
      <xdr:col>19</xdr:col>
      <xdr:colOff>786493</xdr:colOff>
      <xdr:row>9</xdr:row>
      <xdr:rowOff>171449</xdr:rowOff>
    </xdr:to>
    <xdr:graphicFrame macro="">
      <xdr:nvGraphicFramePr>
        <xdr:cNvPr id="3" name="Chart 2">
          <a:extLst>
            <a:ext uri="{FF2B5EF4-FFF2-40B4-BE49-F238E27FC236}">
              <a16:creationId xmlns:a16="http://schemas.microsoft.com/office/drawing/2014/main" id="{648B1488-FD9A-4C97-8AEB-89F9471C7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2</xdr:row>
      <xdr:rowOff>3174</xdr:rowOff>
    </xdr:from>
    <xdr:to>
      <xdr:col>30</xdr:col>
      <xdr:colOff>1426029</xdr:colOff>
      <xdr:row>19</xdr:row>
      <xdr:rowOff>106588</xdr:rowOff>
    </xdr:to>
    <xdr:graphicFrame macro="">
      <xdr:nvGraphicFramePr>
        <xdr:cNvPr id="4" name="Chart 3">
          <a:extLst>
            <a:ext uri="{FF2B5EF4-FFF2-40B4-BE49-F238E27FC236}">
              <a16:creationId xmlns:a16="http://schemas.microsoft.com/office/drawing/2014/main" id="{000CAE75-2FC6-43ED-858F-4C6410CF9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0</xdr:colOff>
      <xdr:row>2</xdr:row>
      <xdr:rowOff>0</xdr:rowOff>
    </xdr:from>
    <xdr:to>
      <xdr:col>38</xdr:col>
      <xdr:colOff>993775</xdr:colOff>
      <xdr:row>19</xdr:row>
      <xdr:rowOff>103414</xdr:rowOff>
    </xdr:to>
    <xdr:graphicFrame macro="">
      <xdr:nvGraphicFramePr>
        <xdr:cNvPr id="5" name="Chart 4">
          <a:extLst>
            <a:ext uri="{FF2B5EF4-FFF2-40B4-BE49-F238E27FC236}">
              <a16:creationId xmlns:a16="http://schemas.microsoft.com/office/drawing/2014/main" id="{88E7B3C4-E948-4C08-8D31-18C837ABF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2</xdr:row>
      <xdr:rowOff>0</xdr:rowOff>
    </xdr:from>
    <xdr:to>
      <xdr:col>14</xdr:col>
      <xdr:colOff>527957</xdr:colOff>
      <xdr:row>17</xdr:row>
      <xdr:rowOff>86632</xdr:rowOff>
    </xdr:to>
    <xdr:graphicFrame macro="">
      <xdr:nvGraphicFramePr>
        <xdr:cNvPr id="2" name="Chart 1">
          <a:extLst>
            <a:ext uri="{FF2B5EF4-FFF2-40B4-BE49-F238E27FC236}">
              <a16:creationId xmlns:a16="http://schemas.microsoft.com/office/drawing/2014/main" id="{8087627A-C327-47C3-A012-E828D7FF0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0</xdr:rowOff>
    </xdr:from>
    <xdr:to>
      <xdr:col>5</xdr:col>
      <xdr:colOff>258989</xdr:colOff>
      <xdr:row>17</xdr:row>
      <xdr:rowOff>89807</xdr:rowOff>
    </xdr:to>
    <xdr:graphicFrame macro="">
      <xdr:nvGraphicFramePr>
        <xdr:cNvPr id="3" name="Chart 2">
          <a:extLst>
            <a:ext uri="{FF2B5EF4-FFF2-40B4-BE49-F238E27FC236}">
              <a16:creationId xmlns:a16="http://schemas.microsoft.com/office/drawing/2014/main" id="{B9530FD0-29A0-438A-A54E-BD69FA915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6350</xdr:colOff>
      <xdr:row>2</xdr:row>
      <xdr:rowOff>0</xdr:rowOff>
    </xdr:from>
    <xdr:to>
      <xdr:col>3</xdr:col>
      <xdr:colOff>65314</xdr:colOff>
      <xdr:row>16</xdr:row>
      <xdr:rowOff>83820</xdr:rowOff>
    </xdr:to>
    <xdr:graphicFrame macro="">
      <xdr:nvGraphicFramePr>
        <xdr:cNvPr id="2" name="Chart 1">
          <a:extLst>
            <a:ext uri="{FF2B5EF4-FFF2-40B4-BE49-F238E27FC236}">
              <a16:creationId xmlns:a16="http://schemas.microsoft.com/office/drawing/2014/main" id="{0E012DFE-F68B-4C25-84BB-1243B1A07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33</xdr:col>
      <xdr:colOff>432707</xdr:colOff>
      <xdr:row>16</xdr:row>
      <xdr:rowOff>86995</xdr:rowOff>
    </xdr:to>
    <xdr:graphicFrame macro="">
      <xdr:nvGraphicFramePr>
        <xdr:cNvPr id="3" name="Chart 2">
          <a:extLst>
            <a:ext uri="{FF2B5EF4-FFF2-40B4-BE49-F238E27FC236}">
              <a16:creationId xmlns:a16="http://schemas.microsoft.com/office/drawing/2014/main" id="{AF1E4E0C-7FA8-4440-A77E-D1C974489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2</xdr:row>
      <xdr:rowOff>0</xdr:rowOff>
    </xdr:from>
    <xdr:to>
      <xdr:col>7</xdr:col>
      <xdr:colOff>1742168</xdr:colOff>
      <xdr:row>16</xdr:row>
      <xdr:rowOff>83820</xdr:rowOff>
    </xdr:to>
    <xdr:graphicFrame macro="">
      <xdr:nvGraphicFramePr>
        <xdr:cNvPr id="4" name="Chart 3">
          <a:extLst>
            <a:ext uri="{FF2B5EF4-FFF2-40B4-BE49-F238E27FC236}">
              <a16:creationId xmlns:a16="http://schemas.microsoft.com/office/drawing/2014/main" id="{DDC80A38-F1E2-4A58-B1E5-C8EB10711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2</xdr:row>
      <xdr:rowOff>0</xdr:rowOff>
    </xdr:from>
    <xdr:to>
      <xdr:col>20</xdr:col>
      <xdr:colOff>432707</xdr:colOff>
      <xdr:row>16</xdr:row>
      <xdr:rowOff>86995</xdr:rowOff>
    </xdr:to>
    <xdr:graphicFrame macro="">
      <xdr:nvGraphicFramePr>
        <xdr:cNvPr id="5" name="Chart 4">
          <a:extLst>
            <a:ext uri="{FF2B5EF4-FFF2-40B4-BE49-F238E27FC236}">
              <a16:creationId xmlns:a16="http://schemas.microsoft.com/office/drawing/2014/main" id="{8687873B-BFF4-459E-A399-98582DA57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lt, Danielle" refreshedDate="43969.675518055556" createdVersion="6" refreshedVersion="6" minRefreshableVersion="3" recordCount="550" xr:uid="{33E239B9-AAB7-4364-A6C3-0C1DC1C5912C}">
  <cacheSource type="worksheet">
    <worksheetSource name="Expenditures"/>
  </cacheSource>
  <cacheFields count="15">
    <cacheField name="Jurisdiction" numFmtId="0">
      <sharedItems count="186">
        <s v="Agoura Hills"/>
        <s v="Alhambra"/>
        <s v="Aliso Viejo"/>
        <s v="Anaheim"/>
        <s v="Arcadia"/>
        <s v="Artesia"/>
        <s v="Azusa"/>
        <s v="Bakersfield"/>
        <s v="Baldwin Park"/>
        <s v="Beaumont"/>
        <s v="Bell"/>
        <s v="Bellflower"/>
        <s v="Berkeley"/>
        <s v="Beverly Hills"/>
        <s v="Big Bear Lake"/>
        <s v="Bradbury"/>
        <s v="Brea"/>
        <s v="Buena Park"/>
        <s v="Burbank"/>
        <s v="Calabasas"/>
        <s v="Calimesa"/>
        <s v="Canyon Lake"/>
        <s v="Carlsbad"/>
        <s v="Carson"/>
        <s v="Cerritos"/>
        <s v="Chino"/>
        <s v="Chino Hills"/>
        <s v="Chula Vista"/>
        <s v="Citrus Heights"/>
        <s v="Claremont"/>
        <s v="Clovis"/>
        <s v="Colton"/>
        <s v="Compton"/>
        <s v="Corona"/>
        <s v="Coronado"/>
        <s v="Costa Mesa"/>
        <s v="Covina"/>
        <s v="Culver City"/>
        <s v="Cypress"/>
        <s v="Dana Point"/>
        <s v="Del Mar"/>
        <s v="Diamond Bar"/>
        <s v="Downey"/>
        <s v="Duarte"/>
        <s v="Eastvale"/>
        <s v="El Cajon"/>
        <s v="El Centro"/>
        <s v="El Monte"/>
        <s v="El Segundo"/>
        <s v="Elk Grove"/>
        <s v="Encinitas"/>
        <s v="Escondido"/>
        <s v="Folsom"/>
        <s v="Fontana"/>
        <s v="Fountain Valley"/>
        <s v="Fresno"/>
        <s v="Fresno FCD"/>
        <s v="Fullerton"/>
        <s v="Garden Grove"/>
        <s v="Gardena"/>
        <s v="Glendale"/>
        <s v="Glendora"/>
        <s v="Grand Terrace"/>
        <s v="Hawaiian Gardens"/>
        <s v="Hawthorne"/>
        <s v="Hemet"/>
        <s v="Hermosa Beach"/>
        <s v="Hidden Hills"/>
        <s v="Highland"/>
        <s v="Huntington Beach"/>
        <s v="Imperial Beach"/>
        <s v="Industry"/>
        <s v="Inglewood"/>
        <s v="Irvine"/>
        <s v="Irwindale"/>
        <s v="Jurupa Valley"/>
        <s v="Kern County"/>
        <s v="La Canada Flintridge"/>
        <s v="La Habra"/>
        <s v="La Habra Heights"/>
        <s v="La Mesa"/>
        <s v="La Mirada"/>
        <s v="La Palma"/>
        <s v="La Puente"/>
        <s v="La Verne"/>
        <s v="Laguna Beach"/>
        <s v="Laguna Hills"/>
        <s v="Laguna Niguel"/>
        <s v="Laguna Woods"/>
        <s v="Lake Elsinore"/>
        <s v="Lake Forest"/>
        <s v="Lakewood"/>
        <s v="Lawndale"/>
        <s v="Lemon Grove"/>
        <s v="Loma Linda"/>
        <s v="Lomita"/>
        <s v="Long Beach"/>
        <s v="Los Alamitos"/>
        <s v="Los Angeles"/>
        <s v="Los Angeles County"/>
        <s v="Los Angeles FCD"/>
        <s v="Malibu"/>
        <s v="Manhattan Beach"/>
        <s v="Menifee"/>
        <s v="Mission Viejo"/>
        <s v="Monrovia"/>
        <s v="Montclair"/>
        <s v="Montebello"/>
        <s v="Monterey Park"/>
        <s v="Moreno Valley"/>
        <s v="Murrieta"/>
        <s v="National City"/>
        <s v="Newport Beach"/>
        <s v="Norwalk"/>
        <s v="Oceanside"/>
        <s v="Ontario"/>
        <s v="Orange"/>
        <s v="Orange County"/>
        <s v="Palos Verdes Estates"/>
        <s v="Paramount"/>
        <s v="Pasadena"/>
        <s v="Perris"/>
        <s v="Pico Rivera"/>
        <s v="Placentia"/>
        <s v="Pomona"/>
        <s v="Poway"/>
        <s v="Rancho Cordova"/>
        <s v="Rancho Cucamonga"/>
        <s v="Rancho Palos Verdes"/>
        <s v="Rancho Santa Margarita"/>
        <s v="Redlands"/>
        <s v="Redondo Beach"/>
        <s v="Rialto"/>
        <s v="Riverside County"/>
        <s v="Riverside FCD"/>
        <s v="Rolling Hills"/>
        <s v="Rolling Hills Estates"/>
        <s v="Rosemead"/>
        <s v="Sacramento"/>
        <s v="Sacramento County"/>
        <s v="Salinas"/>
        <s v="San Bernardino"/>
        <s v="San Bernardino County"/>
        <s v="San Bernardino FCD"/>
        <s v="San Buenaventura (Ventura)"/>
        <s v="San Clemente"/>
        <s v="San Diego"/>
        <s v="San Diego County"/>
        <s v="San Diego County Regional Airport Authority"/>
        <s v="San Diego Unified Port District"/>
        <s v="San Dimas"/>
        <s v="San Fernando"/>
        <s v="San Gabriel"/>
        <s v="San Jacinto"/>
        <s v="San Joaquin County"/>
        <s v="San Juan Capistrano"/>
        <s v="San Marcos"/>
        <s v="San Marino"/>
        <s v="Santa Ana"/>
        <s v="Santa Clarita"/>
        <s v="Santa Monica"/>
        <s v="Santee"/>
        <s v="Seal Beach"/>
        <s v="Sierra Madre"/>
        <s v="Signal Hill"/>
        <s v="Solana Beach"/>
        <s v="Sonoma County"/>
        <s v="South El Monte"/>
        <s v="South Pasadena"/>
        <s v="Stanton"/>
        <s v="Stockton"/>
        <s v="Temecula"/>
        <s v="Temple City"/>
        <s v="Torrance"/>
        <s v="Tustin"/>
        <s v="Upland"/>
        <s v="Villa Park"/>
        <s v="Vista"/>
        <s v="Walnut"/>
        <s v="West Covina"/>
        <s v="Westlake Village"/>
        <s v="Westminster"/>
        <s v="Whittier"/>
        <s v="Wildomar"/>
        <s v="Yorba Linda"/>
        <s v="Yucaipa"/>
      </sharedItems>
    </cacheField>
    <cacheField name="Type" numFmtId="0">
      <sharedItems count="4">
        <s v="City"/>
        <s v="FCD"/>
        <s v="County"/>
        <s v="Other"/>
      </sharedItems>
    </cacheField>
    <cacheField name="County" numFmtId="0">
      <sharedItems/>
    </cacheField>
    <cacheField name="Regional Board" numFmtId="0">
      <sharedItems count="8">
        <s v="Los Angeles"/>
        <s v="San Diego"/>
        <s v="Santa Ana"/>
        <s v="Central Valley"/>
        <s v="San Francisco Bay"/>
        <s v="Colorado River Basin"/>
        <s v="Central Coast"/>
        <s v="North Coast"/>
      </sharedItems>
    </cacheField>
    <cacheField name="Regional Board #" numFmtId="0">
      <sharedItems containsSemiMixedTypes="0" containsString="0" containsNumber="1" containsInteger="1" minValue="1" maxValue="9" count="8">
        <n v="4"/>
        <n v="9"/>
        <n v="8"/>
        <n v="5"/>
        <n v="2"/>
        <n v="7"/>
        <n v="3"/>
        <n v="1"/>
      </sharedItems>
    </cacheField>
    <cacheField name="Phase I/II" numFmtId="0">
      <sharedItems/>
    </cacheField>
    <cacheField name="Notes" numFmtId="0">
      <sharedItems containsBlank="1"/>
    </cacheField>
    <cacheField name="Fiscal Year" numFmtId="0">
      <sharedItems/>
    </cacheField>
    <cacheField name="Reference Year" numFmtId="0">
      <sharedItems containsSemiMixedTypes="0" containsString="0" containsNumber="1" containsInteger="1" minValue="2000" maxValue="2018"/>
    </cacheField>
    <cacheField name="Value" numFmtId="44">
      <sharedItems containsSemiMixedTypes="0" containsString="0" containsNumber="1" minValue="1550" maxValue="83264551.590000004"/>
    </cacheField>
    <cacheField name="2018 $ Value" numFmtId="44">
      <sharedItems containsSemiMixedTypes="0" containsString="0" containsNumber="1" minValue="1734.2287683414852" maxValue="88404820.173600376"/>
    </cacheField>
    <cacheField name="$ By Population" numFmtId="44">
      <sharedItems containsMixedTypes="1" containsNumber="1" minValue="0.32397324273145622" maxValue="26214.926410264441"/>
    </cacheField>
    <cacheField name="$ By Square Mile" numFmtId="44">
      <sharedItems containsMixedTypes="1" containsNumber="1" minValue="279.71431747443307" maxValue="5793306.2607312016"/>
    </cacheField>
    <cacheField name="Categorized Activities Data Available" numFmtId="44">
      <sharedItems/>
    </cacheField>
    <cacheField name="Representative Year" numFmtId="44">
      <sharedItems containsBlank="1" count="3">
        <s v=""/>
        <s v="YES"/>
        <m/>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14699076" backgroundQuery="1" createdVersion="6" refreshedVersion="6" minRefreshableVersion="3" recordCount="0" supportSubquery="1" supportAdvancedDrill="1" xr:uid="{725157D2-5DA2-49C6-8F7E-A6B1E45DBFFD}">
  <cacheSource type="external" connectionId="7"/>
  <cacheFields count="5">
    <cacheField name="[Activities].[Category].[Category]" caption="Category" numFmtId="0" hierarchy="9" level="1">
      <sharedItems count="12">
        <s v="Capital Costs"/>
        <s v="Construction Site Controls"/>
        <s v="Illicit Discharge"/>
        <s v="Industrial and Commercial"/>
        <s v="Operations and Maintenance"/>
        <s v="Pollution Prevention"/>
        <s v="Post-Construction"/>
        <s v="Public Education and Involvement"/>
        <s v="Stormwater Program Management"/>
        <s v="Unable to Decipher"/>
        <s v="Water Quality Monitoring"/>
        <s v="Watershed/TMDL Collaboration"/>
      </sharedItems>
    </cacheField>
    <cacheField name="[Measures].[Sum of 2018 $ Value 6]" caption="Sum of 2018 $ Value 6" numFmtId="0" hierarchy="138" level="32767"/>
    <cacheField name="[Measures].[StdDev of 2018 $ Value]" caption="StdDev of 2018 $ Value" numFmtId="0" hierarchy="140" level="32767"/>
    <cacheField name="[Measures].[Count of Category]" caption="Count of Category" numFmtId="0" hierarchy="137" level="32767"/>
    <cacheField name="[Measures].[Average of 2018 $ Value 6]" caption="Average of 2018 $ Value 6" numFmtId="0" hierarchy="139"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2" memberValueDatatype="130" unbalanced="0">
      <fieldsUsage count="2">
        <fieldUsage x="-1"/>
        <fieldUsage x="0"/>
      </fieldsUsage>
    </cacheHierarchy>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oneField="1" hidden="1">
      <fieldsUsage count="1">
        <fieldUsage x="3"/>
      </fieldsUsage>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oneField="1" hidden="1">
      <fieldsUsage count="1">
        <fieldUsage x="1"/>
      </fieldsUsage>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oneField="1" hidden="1">
      <fieldsUsage count="1">
        <fieldUsage x="4"/>
      </fieldsUsage>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oneField="1" hidden="1">
      <fieldsUsage count="1">
        <fieldUsage x="2"/>
      </fieldsUsage>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15625" backgroundQuery="1" createdVersion="6" refreshedVersion="6" minRefreshableVersion="3" recordCount="0" supportSubquery="1" supportAdvancedDrill="1" xr:uid="{B7B492CC-CE3F-4388-B056-35F419EB0E7C}">
  <cacheSource type="external" connectionId="7"/>
  <cacheFields count="2">
    <cacheField name="[Activities].[Category].[Category]" caption="Category" numFmtId="0" hierarchy="9" level="1">
      <sharedItems count="12">
        <s v="Capital Costs"/>
        <s v="Construction Site Controls"/>
        <s v="Illicit Discharge"/>
        <s v="Industrial and Commercial"/>
        <s v="Operations and Maintenance"/>
        <s v="Pollution Prevention"/>
        <s v="Post-Construction"/>
        <s v="Public Education and Involvement"/>
        <s v="Stormwater Program Management"/>
        <s v="Unable to Decipher"/>
        <s v="Water Quality Monitoring"/>
        <s v="Watershed/TMDL Collaboration"/>
      </sharedItems>
    </cacheField>
    <cacheField name="[Measures].[Sum of 2018 $ Value 6]" caption="Sum of 2018 $ Value 6" numFmtId="0" hierarchy="138"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2" memberValueDatatype="130" unbalanced="0">
      <fieldsUsage count="2">
        <fieldUsage x="-1"/>
        <fieldUsage x="0"/>
      </fieldsUsage>
    </cacheHierarchy>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oneField="1" hidden="1">
      <fieldsUsage count="1">
        <fieldUsage x="1"/>
      </fieldsUsage>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16203701" backgroundQuery="1" createdVersion="3" refreshedVersion="6" minRefreshableVersion="3" recordCount="0" supportSubquery="1" supportAdvancedDrill="1" xr:uid="{E64A1660-336E-4403-9964-183EDA377D7E}">
  <cacheSource type="external" connectionId="7">
    <extLst>
      <ext xmlns:x14="http://schemas.microsoft.com/office/spreadsheetml/2009/9/main" uri="{F057638F-6D5F-4e77-A914-E7F072B9BCA8}">
        <x14:sourceConnection name="ThisWorkbookDataModel"/>
      </ext>
    </extLst>
  </cacheSource>
  <cacheFields count="0"/>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licerData="1" pivotCacheId="2012259941"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494791663" backgroundQuery="1" createdVersion="6" refreshedVersion="6" minRefreshableVersion="3" recordCount="0" supportSubquery="1" supportAdvancedDrill="1" xr:uid="{FCB4CDB7-0ADB-4668-8271-1183CBFD3564}">
  <cacheSource type="external" connectionId="7">
    <extLst>
      <ext xmlns:x14="http://schemas.microsoft.com/office/spreadsheetml/2009/9/main" uri="{F057638F-6D5F-4e77-A914-E7F072B9BCA8}">
        <x14:sourceConnection name="ThisWorkbookDataModel"/>
      </ext>
    </extLst>
  </cacheSource>
  <cacheFields count="3">
    <cacheField name="[Expenditures 1].[Representative Year].[Representative Year]" caption="Representative Year" numFmtId="0" hierarchy="74" level="1">
      <sharedItems containsSemiMixedTypes="0" containsNonDate="0" containsString="0"/>
    </cacheField>
    <cacheField name="[Expenditures 1].[Type].[Type]" caption="Type" numFmtId="0" hierarchy="61" level="1">
      <sharedItems count="4">
        <s v="City"/>
        <s v="County"/>
        <s v="FCD"/>
        <s v="Other"/>
      </sharedItems>
    </cacheField>
    <cacheField name="[Measures].[Sum of 2018 $ Value 4]" caption="Sum of 2018 $ Value 4" numFmtId="0" hierarchy="125"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2" memberValueDatatype="130" unbalanced="0">
      <fieldsUsage count="2">
        <fieldUsage x="-1"/>
        <fieldUsage x="1"/>
      </fieldsUsage>
    </cacheHierarchy>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2" memberValueDatatype="130" unbalanced="0">
      <fieldsUsage count="2">
        <fieldUsage x="-1"/>
        <fieldUsage x="0"/>
      </fieldsUsage>
    </cacheHierarchy>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oneField="1" hidden="1">
      <fieldsUsage count="1">
        <fieldUsage x="2"/>
      </fieldsUsage>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pivotCacheId="148001251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493981478" backgroundQuery="1" createdVersion="6" refreshedVersion="6" minRefreshableVersion="3" recordCount="0" supportSubquery="1" supportAdvancedDrill="1" xr:uid="{02F9F46B-DDB6-4A51-974A-66E485C4A02C}">
  <cacheSource type="external" connectionId="7">
    <extLst>
      <ext xmlns:x14="http://schemas.microsoft.com/office/spreadsheetml/2009/9/main" uri="{F057638F-6D5F-4e77-A914-E7F072B9BCA8}">
        <x14:sourceConnection name="ThisWorkbookDataModel"/>
      </ext>
    </extLst>
  </cacheSource>
  <cacheFields count="3">
    <cacheField name="[Expenditures 1].[Representative Year].[Representative Year]" caption="Representative Year" numFmtId="0" hierarchy="74" level="1">
      <sharedItems containsSemiMixedTypes="0" containsNonDate="0" containsString="0"/>
    </cacheField>
    <cacheField name="[Expenditures 1].[Type].[Type]" caption="Type" numFmtId="0" hierarchy="61" level="1">
      <sharedItems count="4">
        <s v="City"/>
        <s v="County"/>
        <s v="FCD"/>
        <s v="Other"/>
      </sharedItems>
    </cacheField>
    <cacheField name="[Measures].[Average of 2018 $ Value 4]" caption="Average of 2018 $ Value 4" numFmtId="0" hierarchy="126"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2" memberValueDatatype="130" unbalanced="0">
      <fieldsUsage count="2">
        <fieldUsage x="-1"/>
        <fieldUsage x="1"/>
      </fieldsUsage>
    </cacheHierarchy>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2" memberValueDatatype="130" unbalanced="0">
      <fieldsUsage count="2">
        <fieldUsage x="-1"/>
        <fieldUsage x="0"/>
      </fieldsUsage>
    </cacheHierarchy>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oneField="1" hidden="1">
      <fieldsUsage count="1">
        <fieldUsage x="2"/>
      </fieldsUsage>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pivotCacheId="843156313"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05208332" backgroundQuery="1" createdVersion="6" refreshedVersion="6" minRefreshableVersion="3" recordCount="0" supportSubquery="1" supportAdvancedDrill="1" xr:uid="{9D716DAE-6FC6-46D2-A90C-9538D079121C}">
  <cacheSource type="external" connectionId="7">
    <extLst>
      <ext xmlns:x14="http://schemas.microsoft.com/office/spreadsheetml/2009/9/main" uri="{F057638F-6D5F-4e77-A914-E7F072B9BCA8}">
        <x14:sourceConnection name="ThisWorkbookDataModel"/>
      </ext>
    </extLst>
  </cacheSource>
  <cacheFields count="3">
    <cacheField name="[Budgets 1].[Type].[Type]" caption="Type" numFmtId="0" hierarchy="31" level="1">
      <sharedItems count="3">
        <s v="City"/>
        <s v="County"/>
        <s v="FCD"/>
      </sharedItems>
    </cacheField>
    <cacheField name="[Budgets 1].[Representative Year].[Representative Year]" caption="Representative Year" numFmtId="0" hierarchy="44" level="1">
      <sharedItems containsSemiMixedTypes="0" containsNonDate="0" containsString="0"/>
    </cacheField>
    <cacheField name="[Measures].[Sum of 2018 $ Value 3]" caption="Sum of 2018 $ Value 3" numFmtId="0" hierarchy="121"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2" memberValueDatatype="130" unbalanced="0">
      <fieldsUsage count="2">
        <fieldUsage x="-1"/>
        <fieldUsage x="0"/>
      </fieldsUsage>
    </cacheHierarchy>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2" memberValueDatatype="130" unbalanced="0">
      <fieldsUsage count="2">
        <fieldUsage x="-1"/>
        <fieldUsage x="1"/>
      </fieldsUsage>
    </cacheHierarchy>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oneField="1" hidden="1">
      <fieldsUsage count="1">
        <fieldUsage x="2"/>
      </fieldsUsage>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pivotCacheId="130188907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04282408" backgroundQuery="1" createdVersion="6" refreshedVersion="6" minRefreshableVersion="3" recordCount="0" supportSubquery="1" supportAdvancedDrill="1" xr:uid="{B2539631-1301-4B3B-A81E-DA7E78D7D37E}">
  <cacheSource type="external" connectionId="7">
    <extLst>
      <ext xmlns:x14="http://schemas.microsoft.com/office/spreadsheetml/2009/9/main" uri="{F057638F-6D5F-4e77-A914-E7F072B9BCA8}">
        <x14:sourceConnection name="ThisWorkbookDataModel"/>
      </ext>
    </extLst>
  </cacheSource>
  <cacheFields count="3">
    <cacheField name="[Budgets 1].[Type].[Type]" caption="Type" numFmtId="0" hierarchy="31" level="1">
      <sharedItems count="3">
        <s v="City"/>
        <s v="County"/>
        <s v="FCD"/>
      </sharedItems>
    </cacheField>
    <cacheField name="[Measures].[Average of 2018 $ Value 3]" caption="Average of 2018 $ Value 3" numFmtId="0" hierarchy="122" level="32767"/>
    <cacheField name="[Budgets 1].[Representative Year].[Representative Year]" caption="Representative Year" numFmtId="0" hierarchy="44" level="1">
      <sharedItems containsSemiMixedTypes="0" containsNonDate="0" containsString="0"/>
    </cacheField>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2" memberValueDatatype="130" unbalanced="0">
      <fieldsUsage count="2">
        <fieldUsage x="-1"/>
        <fieldUsage x="0"/>
      </fieldsUsage>
    </cacheHierarchy>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2" memberValueDatatype="130" unbalanced="0">
      <fieldsUsage count="2">
        <fieldUsage x="-1"/>
        <fieldUsage x="2"/>
      </fieldsUsage>
    </cacheHierarchy>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oneField="1" hidden="1">
      <fieldsUsage count="1">
        <fieldUsage x="1"/>
      </fieldsUsage>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pivotCacheId="166837329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498495373" backgroundQuery="1" createdVersion="6" refreshedVersion="6" minRefreshableVersion="3" recordCount="0" supportSubquery="1" supportAdvancedDrill="1" xr:uid="{95B1BCAB-F8B3-444F-B7B6-9BB9D004DB14}">
  <cacheSource type="external" connectionId="7"/>
  <cacheFields count="3">
    <cacheField name="[Expenditures].[Fiscal Year].[Fiscal Year]" caption="Fiscal Year" numFmtId="0" hierarchy="52" level="1">
      <sharedItems count="19">
        <s v="2000–2001"/>
        <s v="2001–2002"/>
        <s v="2002–2003"/>
        <s v="2003–2004"/>
        <s v="2004–2005"/>
        <s v="2005–2006"/>
        <s v="2006–2007"/>
        <s v="2007–2008"/>
        <s v="2008–2009"/>
        <s v="2009–2010"/>
        <s v="2010–2011"/>
        <s v="2011–2012"/>
        <s v="2012–2013"/>
        <s v="2013–2014"/>
        <s v="2014–2015"/>
        <s v="2015–2016"/>
        <s v="2016–2017"/>
        <s v="2017–2018"/>
        <s v="2018–2019"/>
      </sharedItems>
    </cacheField>
    <cacheField name="[Expenditures].[Type].[Type]" caption="Type" numFmtId="0" hierarchy="46" level="1">
      <sharedItems count="4">
        <s v="City"/>
        <s v="County"/>
        <s v="FCD"/>
        <s v="Other"/>
      </sharedItems>
    </cacheField>
    <cacheField name="[Measures].[Count of Type 2]" caption="Count of Type 2" numFmtId="0" hierarchy="100"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2" memberValueDatatype="130" unbalanced="0">
      <fieldsUsage count="2">
        <fieldUsage x="-1"/>
        <fieldUsage x="1"/>
      </fieldsUsage>
    </cacheHierarchy>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2" memberValueDatatype="130" unbalanced="0">
      <fieldsUsage count="2">
        <fieldUsage x="-1"/>
        <fieldUsage x="0"/>
      </fieldsUsage>
    </cacheHierarchy>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oneField="1" hidden="1">
      <fieldsUsage count="1">
        <fieldUsage x="2"/>
      </fieldsUsage>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09606481" backgroundQuery="1" createdVersion="6" refreshedVersion="6" minRefreshableVersion="3" recordCount="0" supportSubquery="1" supportAdvancedDrill="1" xr:uid="{169A353B-62A9-4F73-9792-91A4E75E0D3B}">
  <cacheSource type="external" connectionId="7"/>
  <cacheFields count="2">
    <cacheField name="[Budgets].[Regional Board].[Regional Board]" caption="Regional Board" numFmtId="0" hierarchy="18" level="1">
      <sharedItems count="7">
        <s v="Central Coast"/>
        <s v="Central Valley"/>
        <s v="Colorado River Basin"/>
        <s v="Los Angeles"/>
        <s v="San Diego"/>
        <s v="San Francisco Bay"/>
        <s v="Santa Ana"/>
      </sharedItems>
    </cacheField>
    <cacheField name="[Measures].[Distinct Count of Jurisdiction]" caption="Distinct Count of Jurisdiction" numFmtId="0" hierarchy="98"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2" memberValueDatatype="130" unbalanced="0">
      <fieldsUsage count="2">
        <fieldUsage x="-1"/>
        <fieldUsage x="0"/>
      </fieldsUsage>
    </cacheHierarchy>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oneField="1" hidden="1">
      <fieldsUsage count="1">
        <fieldUsage x="1"/>
      </fieldsUsage>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10532405" backgroundQuery="1" createdVersion="6" refreshedVersion="6" minRefreshableVersion="3" recordCount="0" supportSubquery="1" supportAdvancedDrill="1" xr:uid="{4103DD2E-F90C-40A0-83A1-11EAC2C24666}">
  <cacheSource type="external" connectionId="7"/>
  <cacheFields count="4">
    <cacheField name="[Budgets].[Representative Year].[Representative Year]" caption="Representative Year" numFmtId="0" hierarchy="29" level="1">
      <sharedItems containsSemiMixedTypes="0" containsNonDate="0" containsString="0"/>
    </cacheField>
    <cacheField name="[Budgets].[Reference Year].[Reference Year]" caption="Reference Year" numFmtId="0" hierarchy="23" level="1">
      <sharedItems containsSemiMixedTypes="0" containsString="0" containsNumber="1" containsInteger="1" minValue="2013" maxValue="2021" count="7">
        <n v="2013"/>
        <n v="2014"/>
        <n v="2016"/>
        <n v="2017"/>
        <n v="2018"/>
        <n v="2019"/>
        <n v="2021"/>
      </sharedItems>
      <extLst>
        <ext xmlns:x15="http://schemas.microsoft.com/office/spreadsheetml/2010/11/main" uri="{4F2E5C28-24EA-4eb8-9CBF-B6C8F9C3D259}">
          <x15:cachedUniqueNames>
            <x15:cachedUniqueName index="0" name="[Budgets].[Reference Year].&amp;[2013]"/>
            <x15:cachedUniqueName index="1" name="[Budgets].[Reference Year].&amp;[2014]"/>
            <x15:cachedUniqueName index="2" name="[Budgets].[Reference Year].&amp;[2016]"/>
            <x15:cachedUniqueName index="3" name="[Budgets].[Reference Year].&amp;[2017]"/>
            <x15:cachedUniqueName index="4" name="[Budgets].[Reference Year].&amp;[2018]"/>
            <x15:cachedUniqueName index="5" name="[Budgets].[Reference Year].&amp;[2019]"/>
            <x15:cachedUniqueName index="6" name="[Budgets].[Reference Year].&amp;[2021]"/>
          </x15:cachedUniqueNames>
        </ext>
      </extLst>
    </cacheField>
    <cacheField name="[Budgets].[Fiscal Year].[Fiscal Year]" caption="Fiscal Year" numFmtId="0" hierarchy="22" level="1">
      <sharedItems containsSemiMixedTypes="0" containsNonDate="0" containsString="0"/>
    </cacheField>
    <cacheField name="[Measures].[Distinct Count of Jurisdiction]" caption="Distinct Count of Jurisdiction" numFmtId="0" hierarchy="98"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2" memberValueDatatype="130" unbalanced="0">
      <fieldsUsage count="2">
        <fieldUsage x="-1"/>
        <fieldUsage x="2"/>
      </fieldsUsage>
    </cacheHierarchy>
    <cacheHierarchy uniqueName="[Budgets].[Reference Year]" caption="Reference Year" attribute="1" defaultMemberUniqueName="[Budgets].[Reference Year].[All]" allUniqueName="[Budgets].[Reference Year].[All]" dimensionUniqueName="[Budgets]" displayFolder="" count="2" memberValueDatatype="20" unbalanced="0">
      <fieldsUsage count="2">
        <fieldUsage x="-1"/>
        <fieldUsage x="1"/>
      </fieldsUsage>
    </cacheHierarchy>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2" memberValueDatatype="130" unbalanced="0">
      <fieldsUsage count="2">
        <fieldUsage x="-1"/>
        <fieldUsage x="0"/>
      </fieldsUsage>
    </cacheHierarchy>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oneField="1" hidden="1">
      <fieldsUsage count="1">
        <fieldUsage x="3"/>
      </fieldsUsage>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00347221" backgroundQuery="1" createdVersion="6" refreshedVersion="6" minRefreshableVersion="3" recordCount="0" supportSubquery="1" supportAdvancedDrill="1" xr:uid="{DF0AC279-CD26-4891-9229-BA63C147995E}">
  <cacheSource type="external" connectionId="7"/>
  <cacheFields count="2">
    <cacheField name="[Expenditures].[Regional Board].[Regional Board]" caption="Regional Board" numFmtId="0" hierarchy="48" level="1">
      <sharedItems count="8">
        <s v="Central Coast"/>
        <s v="Central Valley"/>
        <s v="Colorado River Basin"/>
        <s v="Los Angeles"/>
        <s v="North Coast"/>
        <s v="San Diego"/>
        <s v="San Francisco Bay"/>
        <s v="Santa Ana"/>
      </sharedItems>
    </cacheField>
    <cacheField name="[Measures].[Distinct Count of Jurisdiction 2]" caption="Distinct Count of Jurisdiction 2" numFmtId="0" hierarchy="102"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2" memberValueDatatype="130" unbalanced="0">
      <fieldsUsage count="2">
        <fieldUsage x="-1"/>
        <fieldUsage x="0"/>
      </fieldsUsage>
    </cacheHierarchy>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oneField="1" hidden="1">
      <fieldsUsage count="1">
        <fieldUsage x="1"/>
      </fieldsUsage>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499537036" backgroundQuery="1" createdVersion="6" refreshedVersion="6" minRefreshableVersion="3" recordCount="0" supportSubquery="1" supportAdvancedDrill="1" xr:uid="{6E16E6DE-B3AE-4F2A-8C3F-4C78A39A8F65}">
  <cacheSource type="external" connectionId="7"/>
  <cacheFields count="4">
    <cacheField name="[Expenditures].[Representative Year].[Representative Year]" caption="Representative Year" numFmtId="0" hierarchy="59" level="1">
      <sharedItems containsSemiMixedTypes="0" containsNonDate="0" containsString="0"/>
    </cacheField>
    <cacheField name="[Expenditures].[Fiscal Year].[Fiscal Year]" caption="Fiscal Year" numFmtId="0" hierarchy="52" level="1">
      <sharedItems containsSemiMixedTypes="0" containsNonDate="0" containsString="0"/>
    </cacheField>
    <cacheField name="[Expenditures].[Reference Year].[Reference Year]" caption="Reference Year" numFmtId="0" hierarchy="53" level="1">
      <sharedItems containsSemiMixedTypes="0" containsString="0" containsNumber="1" containsInteger="1" minValue="2012" maxValue="2018" count="7">
        <n v="2012"/>
        <n v="2013"/>
        <n v="2014"/>
        <n v="2015"/>
        <n v="2016"/>
        <n v="2017"/>
        <n v="2018"/>
      </sharedItems>
      <extLst>
        <ext xmlns:x15="http://schemas.microsoft.com/office/spreadsheetml/2010/11/main" uri="{4F2E5C28-24EA-4eb8-9CBF-B6C8F9C3D259}">
          <x15:cachedUniqueNames>
            <x15:cachedUniqueName index="0" name="[Expenditures].[Reference Year].&amp;[2012]"/>
            <x15:cachedUniqueName index="1" name="[Expenditures].[Reference Year].&amp;[2013]"/>
            <x15:cachedUniqueName index="2" name="[Expenditures].[Reference Year].&amp;[2014]"/>
            <x15:cachedUniqueName index="3" name="[Expenditures].[Reference Year].&amp;[2015]"/>
            <x15:cachedUniqueName index="4" name="[Expenditures].[Reference Year].&amp;[2016]"/>
            <x15:cachedUniqueName index="5" name="[Expenditures].[Reference Year].&amp;[2017]"/>
            <x15:cachedUniqueName index="6" name="[Expenditures].[Reference Year].&amp;[2018]"/>
          </x15:cachedUniqueNames>
        </ext>
      </extLst>
    </cacheField>
    <cacheField name="[Measures].[Distinct Count of Jurisdiction 2]" caption="Distinct Count of Jurisdiction 2" numFmtId="0" hierarchy="102"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2" memberValueDatatype="130" unbalanced="0">
      <fieldsUsage count="2">
        <fieldUsage x="-1"/>
        <fieldUsage x="1"/>
      </fieldsUsage>
    </cacheHierarchy>
    <cacheHierarchy uniqueName="[Expenditures].[Reference Year]" caption="Reference Year" attribute="1" defaultMemberUniqueName="[Expenditures].[Reference Year].[All]" allUniqueName="[Expenditures].[Reference Year].[All]" dimensionUniqueName="[Expenditures]" displayFolder="" count="2" memberValueDatatype="20" unbalanced="0">
      <fieldsUsage count="2">
        <fieldUsage x="-1"/>
        <fieldUsage x="2"/>
      </fieldsUsage>
    </cacheHierarchy>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2" memberValueDatatype="130" unbalanced="0">
      <fieldsUsage count="2">
        <fieldUsage x="-1"/>
        <fieldUsage x="0"/>
      </fieldsUsage>
    </cacheHierarchy>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oneField="1" hidden="1">
      <fieldsUsage count="1">
        <fieldUsage x="3"/>
      </fieldsUsage>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08796296" backgroundQuery="1" createdVersion="6" refreshedVersion="6" minRefreshableVersion="3" recordCount="0" supportSubquery="1" supportAdvancedDrill="1" xr:uid="{EEF7B1B1-BA44-47A7-B821-C7E24F60B840}">
  <cacheSource type="external" connectionId="7"/>
  <cacheFields count="3">
    <cacheField name="[Budgets].[Fiscal Year].[Fiscal Year]" caption="Fiscal Year" numFmtId="0" hierarchy="22" level="1">
      <sharedItems count="23">
        <s v="1999–2000"/>
        <s v="2000–2001"/>
        <s v="2001–2002"/>
        <s v="2002–2003"/>
        <s v="2003–2004"/>
        <s v="2004–2005"/>
        <s v="2005–2006"/>
        <s v="2006–2007"/>
        <s v="2007–2008"/>
        <s v="2008–2009"/>
        <s v="2009–2010"/>
        <s v="2010–2011"/>
        <s v="2011–2012"/>
        <s v="2012–2013"/>
        <s v="2013–2014"/>
        <s v="2014–2015"/>
        <s v="2015–2016"/>
        <s v="2016–2017"/>
        <s v="2017–2018"/>
        <s v="2018–2019"/>
        <s v="2019–2020"/>
        <s v="2020–2021"/>
        <s v="2021–2022"/>
      </sharedItems>
    </cacheField>
    <cacheField name="[Budgets].[Type].[Type]" caption="Type" numFmtId="0" hierarchy="16" level="1">
      <sharedItems count="3">
        <s v="City"/>
        <s v="County"/>
        <s v="FCD"/>
      </sharedItems>
    </cacheField>
    <cacheField name="[Measures].[Count of Type]" caption="Count of Type" numFmtId="0" hierarchy="99" level="32767"/>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2" memberValueDatatype="130" unbalanced="0">
      <fieldsUsage count="2">
        <fieldUsage x="-1"/>
        <fieldUsage x="1"/>
      </fieldsUsage>
    </cacheHierarchy>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2" memberValueDatatype="130" unbalanced="0">
      <fieldsUsage count="2">
        <fieldUsage x="-1"/>
        <fieldUsage x="0"/>
      </fieldsUsage>
    </cacheHierarchy>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oneField="1" hidden="1">
      <fieldsUsage count="1">
        <fieldUsage x="2"/>
      </fieldsUsage>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49050926" backgroundQuery="1" createdVersion="6" refreshedVersion="6" minRefreshableVersion="3" recordCount="0" supportSubquery="1" supportAdvancedDrill="1" xr:uid="{B8509FD7-640D-4D5C-B79A-5FF04A8B5E77}">
  <cacheSource type="external" connectionId="7"/>
  <cacheFields count="3">
    <cacheField name="[Expenditures 2].[Regional Board].[Regional Board]" caption="Regional Board" numFmtId="0" hierarchy="78" level="1">
      <sharedItems count="8">
        <s v="Central Coast"/>
        <s v="Central Valley"/>
        <s v="Colorado River Basin"/>
        <s v="Los Angeles"/>
        <s v="North Coast"/>
        <s v="San Diego"/>
        <s v="San Francisco Bay"/>
        <s v="Santa Ana"/>
      </sharedItems>
    </cacheField>
    <cacheField name="[Measures].[Sum of 2018 $ Value 5]" caption="Sum of 2018 $ Value 5" numFmtId="0" hierarchy="133" level="32767"/>
    <cacheField name="[Expenditures 2].[Representative Year].[Representative Year]" caption="Representative Year" numFmtId="0" hierarchy="89" level="1">
      <sharedItems containsSemiMixedTypes="0" containsNonDate="0" containsString="0"/>
    </cacheField>
  </cacheFields>
  <cacheHierarchies count="141">
    <cacheHierarchy uniqueName="[Activities].[Jurisdiction]" caption="Jurisdiction" attribute="1" defaultMemberUniqueName="[Activities].[Jurisdiction].[All]" allUniqueName="[Activities].[Jurisdiction].[All]" dimensionUniqueName="[Activities]" displayFolder="" count="0" memberValueDatatype="130" unbalanced="0"/>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0" memberValueDatatype="130" unbalanced="0"/>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2" memberValueDatatype="130" unbalanced="0">
      <fieldsUsage count="2">
        <fieldUsage x="-1"/>
        <fieldUsage x="0"/>
      </fieldsUsage>
    </cacheHierarchy>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2" memberValueDatatype="130" unbalanced="0">
      <fieldsUsage count="2">
        <fieldUsage x="-1"/>
        <fieldUsage x="2"/>
      </fieldsUsage>
    </cacheHierarchy>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oneField="1" hidden="1">
      <fieldsUsage count="1">
        <fieldUsage x="1"/>
      </fieldsUsage>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lt, Danielle" refreshedDate="43969.675516782409" backgroundQuery="1" createdVersion="6" refreshedVersion="6" minRefreshableVersion="3" recordCount="0" supportSubquery="1" supportAdvancedDrill="1" xr:uid="{D3E7F0A8-7C98-4644-BC0A-EF7E5BE6A75A}">
  <cacheSource type="external" connectionId="7"/>
  <cacheFields count="3">
    <cacheField name="[Measures].[Sum of 2018 $ Value 6]" caption="Sum of 2018 $ Value 6" numFmtId="0" hierarchy="138" level="32767"/>
    <cacheField name="[Activities].[Jurisdiction].[Jurisdiction]" caption="Jurisdiction" numFmtId="0" level="1">
      <sharedItems count="38">
        <s v="Camarillo"/>
        <s v="Carlsbad"/>
        <s v="Chula Vista"/>
        <s v="Citrus Heights"/>
        <s v="Contra Costa County"/>
        <s v="Del Mar"/>
        <s v="Duarte"/>
        <s v="Encinitas"/>
        <s v="Escondido"/>
        <s v="Fillmore"/>
        <s v="Hermosa Beach"/>
        <s v="Imperial Beach"/>
        <s v="Kern County"/>
        <s v="La Mesa"/>
        <s v="Lemon Grove"/>
        <s v="Moorpark"/>
        <s v="National City"/>
        <s v="Oceanside"/>
        <s v="Ojai"/>
        <s v="Oxnard"/>
        <s v="Palos Verdes Estates"/>
        <s v="Poway"/>
        <s v="Rolling Hills"/>
        <s v="Rolling Hills Estates"/>
        <s v="Salinas"/>
        <s v="San Buenaventura (Ventura)"/>
        <s v="San Diego"/>
        <s v="San Diego County"/>
        <s v="San Diego County Regional Airport Authority"/>
        <s v="San Diego Unified Port District"/>
        <s v="Santa Paula"/>
        <s v="Simi Valley"/>
        <s v="Solana Beach"/>
        <s v="Thousand Oaks"/>
        <s v="Ventura County"/>
        <s v="Ventura County Watershed Protection District"/>
        <s v="Vista"/>
        <s v="Wildomar"/>
      </sharedItems>
    </cacheField>
    <cacheField name="[Activities].[Category].[Category]" caption="Category" numFmtId="0" hierarchy="9" level="1">
      <sharedItems containsSemiMixedTypes="0" containsNonDate="0" containsString="0"/>
    </cacheField>
  </cacheFields>
  <cacheHierarchies count="141">
    <cacheHierarchy uniqueName="[Activities].[Jurisdiction]" caption="Jurisdiction" attribute="1" defaultMemberUniqueName="[Activities].[Jurisdiction].[All]" allUniqueName="[Activities].[Jurisdiction].[All]" dimensionUniqueName="[Activities]" displayFolder="" count="2" memberValueDatatype="130" unbalanced="0">
      <fieldsUsage count="2">
        <fieldUsage x="-1"/>
        <fieldUsage x="1"/>
      </fieldsUsage>
    </cacheHierarchy>
    <cacheHierarchy uniqueName="[Activities].[Type]" caption="Type" attribute="1" defaultMemberUniqueName="[Activities].[Type].[All]" allUniqueName="[Activities].[Type].[All]" dimensionUniqueName="[Activities]" displayFolder="" count="0" memberValueDatatype="130" unbalanced="0"/>
    <cacheHierarchy uniqueName="[Activities].[County]" caption="County" attribute="1" defaultMemberUniqueName="[Activities].[County].[All]" allUniqueName="[Activities].[County].[All]" dimensionUniqueName="[Activities]" displayFolder="" count="0" memberValueDatatype="130" unbalanced="0"/>
    <cacheHierarchy uniqueName="[Activities].[Regional Board]" caption="Regional Board" attribute="1" defaultMemberUniqueName="[Activities].[Regional Board].[All]" allUniqueName="[Activities].[Regional Board].[All]" dimensionUniqueName="[Activities]" displayFolder="" count="0" memberValueDatatype="130" unbalanced="0"/>
    <cacheHierarchy uniqueName="[Activities].[Regional Board #]" caption="Regional Board #" attribute="1" defaultMemberUniqueName="[Activities].[Regional Board #].[All]" allUniqueName="[Activities].[Regional Board #].[All]" dimensionUniqueName="[Activities]" displayFolder="" count="0" memberValueDatatype="20" unbalanced="0"/>
    <cacheHierarchy uniqueName="[Activities].[Phase I/II]" caption="Phase I/II" attribute="1" defaultMemberUniqueName="[Activities].[Phase I/II].[All]" allUniqueName="[Activities].[Phase I/II].[All]" dimensionUniqueName="[Activities]" displayFolder="" count="0" memberValueDatatype="130" unbalanced="0"/>
    <cacheHierarchy uniqueName="[Activities].[Activity]" caption="Activity" attribute="1" defaultMemberUniqueName="[Activities].[Activity].[All]" allUniqueName="[Activities].[Activity].[All]" dimensionUniqueName="[Activities]" displayFolder="" count="0" memberValueDatatype="130" unbalanced="0"/>
    <cacheHierarchy uniqueName="[Activities].[Notes]" caption="Notes" attribute="1" defaultMemberUniqueName="[Activities].[Notes].[All]" allUniqueName="[Activities].[Notes].[All]" dimensionUniqueName="[Activities]" displayFolder="" count="0" memberValueDatatype="130" unbalanced="0"/>
    <cacheHierarchy uniqueName="[Activities].[Note Source]" caption="Note Source" attribute="1" defaultMemberUniqueName="[Activities].[Note Source].[All]" allUniqueName="[Activities].[Note Source].[All]" dimensionUniqueName="[Activities]" displayFolder="" count="0" memberValueDatatype="130" unbalanced="0"/>
    <cacheHierarchy uniqueName="[Activities].[Category]" caption="Category" attribute="1" defaultMemberUniqueName="[Activities].[Category].[All]" allUniqueName="[Activities].[Category].[All]" dimensionUniqueName="[Activities]" displayFolder="" count="2" memberValueDatatype="130" unbalanced="0">
      <fieldsUsage count="2">
        <fieldUsage x="-1"/>
        <fieldUsage x="2"/>
      </fieldsUsage>
    </cacheHierarchy>
    <cacheHierarchy uniqueName="[Activities].[Fiscal Year]" caption="Fiscal Year" attribute="1" defaultMemberUniqueName="[Activities].[Fiscal Year].[All]" allUniqueName="[Activities].[Fiscal Year].[All]" dimensionUniqueName="[Activities]" displayFolder="" count="0" memberValueDatatype="130" unbalanced="0"/>
    <cacheHierarchy uniqueName="[Activities].[Reference Year]" caption="Reference Year" attribute="1" defaultMemberUniqueName="[Activities].[Reference Year].[All]" allUniqueName="[Activities].[Reference Year].[All]" dimensionUniqueName="[Activities]" displayFolder="" count="0" memberValueDatatype="20" unbalanced="0"/>
    <cacheHierarchy uniqueName="[Activities].[Data Type]" caption="Data Type" attribute="1" defaultMemberUniqueName="[Activities].[Data Type].[All]" allUniqueName="[Activities].[Data Type].[All]" dimensionUniqueName="[Activities]" displayFolder="" count="0" memberValueDatatype="130" unbalanced="0"/>
    <cacheHierarchy uniqueName="[Activities].[Value]" caption="Value" attribute="1" defaultMemberUniqueName="[Activities].[Value].[All]" allUniqueName="[Activities].[Value].[All]" dimensionUniqueName="[Activities]" displayFolder="" count="0" memberValueDatatype="5" unbalanced="0"/>
    <cacheHierarchy uniqueName="[Activities].[2018 $ Value]" caption="2018 $ Value" attribute="1" defaultMemberUniqueName="[Activities].[2018 $ Value].[All]" allUniqueName="[Activities].[2018 $ Value].[All]" dimensionUniqueName="[Activities]" displayFolder="" count="0" memberValueDatatype="5" unbalanced="0"/>
    <cacheHierarchy uniqueName="[Budgets].[Jurisdiction]" caption="Jurisdiction" attribute="1" defaultMemberUniqueName="[Budgets].[Jurisdiction].[All]" allUniqueName="[Budgets].[Jurisdiction].[All]" dimensionUniqueName="[Budgets]" displayFolder="" count="0" memberValueDatatype="130" unbalanced="0"/>
    <cacheHierarchy uniqueName="[Budgets].[Type]" caption="Type" attribute="1" defaultMemberUniqueName="[Budgets].[Type].[All]" allUniqueName="[Budgets].[Type].[All]" dimensionUniqueName="[Budgets]" displayFolder="" count="0" memberValueDatatype="130" unbalanced="0"/>
    <cacheHierarchy uniqueName="[Budgets].[County]" caption="County" attribute="1" defaultMemberUniqueName="[Budgets].[County].[All]" allUniqueName="[Budgets].[County].[All]" dimensionUniqueName="[Budgets]" displayFolder="" count="0" memberValueDatatype="130" unbalanced="0"/>
    <cacheHierarchy uniqueName="[Budgets].[Regional Board]" caption="Regional Board" attribute="1" defaultMemberUniqueName="[Budgets].[Regional Board].[All]" allUniqueName="[Budgets].[Regional Board].[All]" dimensionUniqueName="[Budgets]" displayFolder="" count="0" memberValueDatatype="130" unbalanced="0"/>
    <cacheHierarchy uniqueName="[Budgets].[Regional Board #]" caption="Regional Board #" attribute="1" defaultMemberUniqueName="[Budgets].[Regional Board #].[All]" allUniqueName="[Budgets].[Regional Board #].[All]" dimensionUniqueName="[Budgets]" displayFolder="" count="0" memberValueDatatype="20" unbalanced="0"/>
    <cacheHierarchy uniqueName="[Budgets].[Phase I/II]" caption="Phase I/II" attribute="1" defaultMemberUniqueName="[Budgets].[Phase I/II].[All]" allUniqueName="[Budgets].[Phase I/II].[All]" dimensionUniqueName="[Budgets]" displayFolder="" count="0" memberValueDatatype="130" unbalanced="0"/>
    <cacheHierarchy uniqueName="[Budgets].[Notes]" caption="Notes" attribute="1" defaultMemberUniqueName="[Budgets].[Notes].[All]" allUniqueName="[Budgets].[Notes].[All]" dimensionUniqueName="[Budgets]" displayFolder="" count="0" memberValueDatatype="130" unbalanced="0"/>
    <cacheHierarchy uniqueName="[Budgets].[Fiscal Year]" caption="Fiscal Year" attribute="1" defaultMemberUniqueName="[Budgets].[Fiscal Year].[All]" allUniqueName="[Budgets].[Fiscal Year].[All]" dimensionUniqueName="[Budgets]" displayFolder="" count="0" memberValueDatatype="130" unbalanced="0"/>
    <cacheHierarchy uniqueName="[Budgets].[Reference Year]" caption="Reference Year" attribute="1" defaultMemberUniqueName="[Budgets].[Reference Year].[All]" allUniqueName="[Budgets].[Reference Year].[All]" dimensionUniqueName="[Budgets]" displayFolder="" count="0" memberValueDatatype="20" unbalanced="0"/>
    <cacheHierarchy uniqueName="[Budgets].[Value]" caption="Value" attribute="1" defaultMemberUniqueName="[Budgets].[Value].[All]" allUniqueName="[Budgets].[Value].[All]" dimensionUniqueName="[Budgets]" displayFolder="" count="0" memberValueDatatype="5" unbalanced="0"/>
    <cacheHierarchy uniqueName="[Budgets].[2018 $ Value]" caption="2018 $ Value" attribute="1" defaultMemberUniqueName="[Budgets].[2018 $ Value].[All]" allUniqueName="[Budgets].[2018 $ Value].[All]" dimensionUniqueName="[Budgets]" displayFolder="" count="0" memberValueDatatype="5" unbalanced="0"/>
    <cacheHierarchy uniqueName="[Budgets].[$ By Population]" caption="$ By Population" attribute="1" defaultMemberUniqueName="[Budgets].[$ By Population].[All]" allUniqueName="[Budgets].[$ By Population].[All]" dimensionUniqueName="[Budgets]" displayFolder="" count="0" memberValueDatatype="130" unbalanced="0"/>
    <cacheHierarchy uniqueName="[Budgets].[$ By Square Mile]" caption="$ By Square Mile" attribute="1" defaultMemberUniqueName="[Budgets].[$ By Square Mile].[All]" allUniqueName="[Budgets].[$ By Square Mile].[All]" dimensionUniqueName="[Budgets]" displayFolder="" count="0" memberValueDatatype="130" unbalanced="0"/>
    <cacheHierarchy uniqueName="[Budgets].[Categorized Activities Data Available]" caption="Categorized Activities Data Available" attribute="1" defaultMemberUniqueName="[Budgets].[Categorized Activities Data Available].[All]" allUniqueName="[Budgets].[Categorized Activities Data Available].[All]" dimensionUniqueName="[Budgets]" displayFolder="" count="0" memberValueDatatype="130" unbalanced="0"/>
    <cacheHierarchy uniqueName="[Budgets].[Representative Year]" caption="Representative Year" attribute="1" defaultMemberUniqueName="[Budgets].[Representative Year].[All]" allUniqueName="[Budgets].[Representative Year].[All]" dimensionUniqueName="[Budgets]" displayFolder="" count="0" memberValueDatatype="130" unbalanced="0"/>
    <cacheHierarchy uniqueName="[Budgets 1].[Jurisdiction]" caption="Jurisdiction" attribute="1" defaultMemberUniqueName="[Budgets 1].[Jurisdiction].[All]" allUniqueName="[Budgets 1].[Jurisdiction].[All]" dimensionUniqueName="[Budgets 1]" displayFolder="" count="0" memberValueDatatype="130" unbalanced="0"/>
    <cacheHierarchy uniqueName="[Budgets 1].[Type]" caption="Type" attribute="1" defaultMemberUniqueName="[Budgets 1].[Type].[All]" allUniqueName="[Budgets 1].[Type].[All]" dimensionUniqueName="[Budgets 1]" displayFolder="" count="0" memberValueDatatype="130" unbalanced="0"/>
    <cacheHierarchy uniqueName="[Budgets 1].[County]" caption="County" attribute="1" defaultMemberUniqueName="[Budgets 1].[County].[All]" allUniqueName="[Budgets 1].[County].[All]" dimensionUniqueName="[Budgets 1]" displayFolder="" count="0" memberValueDatatype="130" unbalanced="0"/>
    <cacheHierarchy uniqueName="[Budgets 1].[Regional Board]" caption="Regional Board" attribute="1" defaultMemberUniqueName="[Budgets 1].[Regional Board].[All]" allUniqueName="[Budgets 1].[Regional Board].[All]" dimensionUniqueName="[Budgets 1]" displayFolder="" count="0" memberValueDatatype="130" unbalanced="0"/>
    <cacheHierarchy uniqueName="[Budgets 1].[Regional Board #]" caption="Regional Board #" attribute="1" defaultMemberUniqueName="[Budgets 1].[Regional Board #].[All]" allUniqueName="[Budgets 1].[Regional Board #].[All]" dimensionUniqueName="[Budgets 1]" displayFolder="" count="0" memberValueDatatype="20" unbalanced="0"/>
    <cacheHierarchy uniqueName="[Budgets 1].[Phase I/II]" caption="Phase I/II" attribute="1" defaultMemberUniqueName="[Budgets 1].[Phase I/II].[All]" allUniqueName="[Budgets 1].[Phase I/II].[All]" dimensionUniqueName="[Budgets 1]" displayFolder="" count="0" memberValueDatatype="130" unbalanced="0"/>
    <cacheHierarchy uniqueName="[Budgets 1].[Notes]" caption="Notes" attribute="1" defaultMemberUniqueName="[Budgets 1].[Notes].[All]" allUniqueName="[Budgets 1].[Notes].[All]" dimensionUniqueName="[Budgets 1]" displayFolder="" count="0" memberValueDatatype="130" unbalanced="0"/>
    <cacheHierarchy uniqueName="[Budgets 1].[Fiscal Year]" caption="Fiscal Year" attribute="1" defaultMemberUniqueName="[Budgets 1].[Fiscal Year].[All]" allUniqueName="[Budgets 1].[Fiscal Year].[All]" dimensionUniqueName="[Budgets 1]" displayFolder="" count="0" memberValueDatatype="130" unbalanced="0"/>
    <cacheHierarchy uniqueName="[Budgets 1].[Reference Year]" caption="Reference Year" attribute="1" defaultMemberUniqueName="[Budgets 1].[Reference Year].[All]" allUniqueName="[Budgets 1].[Reference Year].[All]" dimensionUniqueName="[Budgets 1]" displayFolder="" count="0" memberValueDatatype="20" unbalanced="0"/>
    <cacheHierarchy uniqueName="[Budgets 1].[Value]" caption="Value" attribute="1" defaultMemberUniqueName="[Budgets 1].[Value].[All]" allUniqueName="[Budgets 1].[Value].[All]" dimensionUniqueName="[Budgets 1]" displayFolder="" count="0" memberValueDatatype="5" unbalanced="0"/>
    <cacheHierarchy uniqueName="[Budgets 1].[2018 $ Value]" caption="2018 $ Value" attribute="1" defaultMemberUniqueName="[Budgets 1].[2018 $ Value].[All]" allUniqueName="[Budgets 1].[2018 $ Value].[All]" dimensionUniqueName="[Budgets 1]" displayFolder="" count="0" memberValueDatatype="5" unbalanced="0"/>
    <cacheHierarchy uniqueName="[Budgets 1].[$ By Population]" caption="$ By Population" attribute="1" defaultMemberUniqueName="[Budgets 1].[$ By Population].[All]" allUniqueName="[Budgets 1].[$ By Population].[All]" dimensionUniqueName="[Budgets 1]" displayFolder="" count="0" memberValueDatatype="130" unbalanced="0"/>
    <cacheHierarchy uniqueName="[Budgets 1].[$ By Square Mile]" caption="$ By Square Mile" attribute="1" defaultMemberUniqueName="[Budgets 1].[$ By Square Mile].[All]" allUniqueName="[Budgets 1].[$ By Square Mile].[All]" dimensionUniqueName="[Budgets 1]" displayFolder="" count="0" memberValueDatatype="130" unbalanced="0"/>
    <cacheHierarchy uniqueName="[Budgets 1].[Categorized Activities Data Available]" caption="Categorized Activities Data Available" attribute="1" defaultMemberUniqueName="[Budgets 1].[Categorized Activities Data Available].[All]" allUniqueName="[Budgets 1].[Categorized Activities Data Available].[All]" dimensionUniqueName="[Budgets 1]" displayFolder="" count="0" memberValueDatatype="130" unbalanced="0"/>
    <cacheHierarchy uniqueName="[Budgets 1].[Representative Year]" caption="Representative Year" attribute="1" defaultMemberUniqueName="[Budgets 1].[Representative Year].[All]" allUniqueName="[Budgets 1].[Representative Year].[All]" dimensionUniqueName="[Budgets 1]" displayFolder="" count="0" memberValueDatatype="130" unbalanced="0"/>
    <cacheHierarchy uniqueName="[Expenditures].[Jurisdiction]" caption="Jurisdiction" attribute="1" defaultMemberUniqueName="[Expenditures].[Jurisdiction].[All]" allUniqueName="[Expenditures].[Jurisdiction].[All]" dimensionUniqueName="[Expenditures]" displayFolder="" count="0" memberValueDatatype="130" unbalanced="0"/>
    <cacheHierarchy uniqueName="[Expenditures].[Type]" caption="Type" attribute="1" defaultMemberUniqueName="[Expenditures].[Type].[All]" allUniqueName="[Expenditures].[Type].[All]" dimensionUniqueName="[Expenditures]" displayFolder="" count="0" memberValueDatatype="130" unbalanced="0"/>
    <cacheHierarchy uniqueName="[Expenditures].[County]" caption="County" attribute="1" defaultMemberUniqueName="[Expenditures].[County].[All]" allUniqueName="[Expenditures].[County].[All]" dimensionUniqueName="[Expenditures]" displayFolder="" count="0" memberValueDatatype="130" unbalanced="0"/>
    <cacheHierarchy uniqueName="[Expenditures].[Regional Board]" caption="Regional Board" attribute="1" defaultMemberUniqueName="[Expenditures].[Regional Board].[All]" allUniqueName="[Expenditures].[Regional Board].[All]" dimensionUniqueName="[Expenditures]" displayFolder="" count="0" memberValueDatatype="130" unbalanced="0"/>
    <cacheHierarchy uniqueName="[Expenditures].[Regional Board #]" caption="Regional Board #" attribute="1" defaultMemberUniqueName="[Expenditures].[Regional Board #].[All]" allUniqueName="[Expenditures].[Regional Board #].[All]" dimensionUniqueName="[Expenditures]" displayFolder="" count="0" memberValueDatatype="20" unbalanced="0"/>
    <cacheHierarchy uniqueName="[Expenditures].[Phase I/II]" caption="Phase I/II" attribute="1" defaultMemberUniqueName="[Expenditures].[Phase I/II].[All]" allUniqueName="[Expenditures].[Phase I/II].[All]" dimensionUniqueName="[Expenditures]" displayFolder="" count="0" memberValueDatatype="130" unbalanced="0"/>
    <cacheHierarchy uniqueName="[Expenditures].[Notes]" caption="Notes" attribute="1" defaultMemberUniqueName="[Expenditures].[Notes].[All]" allUniqueName="[Expenditures].[Notes].[All]" dimensionUniqueName="[Expenditures]" displayFolder="" count="0" memberValueDatatype="130" unbalanced="0"/>
    <cacheHierarchy uniqueName="[Expenditures].[Fiscal Year]" caption="Fiscal Year" attribute="1" defaultMemberUniqueName="[Expenditures].[Fiscal Year].[All]" allUniqueName="[Expenditures].[Fiscal Year].[All]" dimensionUniqueName="[Expenditures]" displayFolder="" count="0" memberValueDatatype="130" unbalanced="0"/>
    <cacheHierarchy uniqueName="[Expenditures].[Reference Year]" caption="Reference Year" attribute="1" defaultMemberUniqueName="[Expenditures].[Reference Year].[All]" allUniqueName="[Expenditures].[Reference Year].[All]" dimensionUniqueName="[Expenditures]" displayFolder="" count="0" memberValueDatatype="20" unbalanced="0"/>
    <cacheHierarchy uniqueName="[Expenditures].[Value]" caption="Value" attribute="1" defaultMemberUniqueName="[Expenditures].[Value].[All]" allUniqueName="[Expenditures].[Value].[All]" dimensionUniqueName="[Expenditures]" displayFolder="" count="0" memberValueDatatype="5" unbalanced="0"/>
    <cacheHierarchy uniqueName="[Expenditures].[2018 $ Value]" caption="2018 $ Value" attribute="1" defaultMemberUniqueName="[Expenditures].[2018 $ Value].[All]" allUniqueName="[Expenditures].[2018 $ Value].[All]" dimensionUniqueName="[Expenditures]" displayFolder="" count="0" memberValueDatatype="5" unbalanced="0"/>
    <cacheHierarchy uniqueName="[Expenditures].[$ By Population]" caption="$ By Population" attribute="1" defaultMemberUniqueName="[Expenditures].[$ By Population].[All]" allUniqueName="[Expenditures].[$ By Population].[All]" dimensionUniqueName="[Expenditures]" displayFolder="" count="0" memberValueDatatype="130" unbalanced="0"/>
    <cacheHierarchy uniqueName="[Expenditures].[$ By Square Mile]" caption="$ By Square Mile" attribute="1" defaultMemberUniqueName="[Expenditures].[$ By Square Mile].[All]" allUniqueName="[Expenditures].[$ By Square Mile].[All]" dimensionUniqueName="[Expenditures]" displayFolder="" count="0" memberValueDatatype="130" unbalanced="0"/>
    <cacheHierarchy uniqueName="[Expenditures].[Categorized Activities Data Available]" caption="Categorized Activities Data Available" attribute="1" defaultMemberUniqueName="[Expenditures].[Categorized Activities Data Available].[All]" allUniqueName="[Expenditures].[Categorized Activities Data Available].[All]" dimensionUniqueName="[Expenditures]" displayFolder="" count="0" memberValueDatatype="130" unbalanced="0"/>
    <cacheHierarchy uniqueName="[Expenditures].[Representative Year]" caption="Representative Year" attribute="1" defaultMemberUniqueName="[Expenditures].[Representative Year].[All]" allUniqueName="[Expenditures].[Representative Year].[All]" dimensionUniqueName="[Expenditures]" displayFolder="" count="0" memberValueDatatype="130" unbalanced="0"/>
    <cacheHierarchy uniqueName="[Expenditures 1].[Jurisdiction]" caption="Jurisdiction" attribute="1" defaultMemberUniqueName="[Expenditures 1].[Jurisdiction].[All]" allUniqueName="[Expenditures 1].[Jurisdiction].[All]" dimensionUniqueName="[Expenditures 1]" displayFolder="" count="0" memberValueDatatype="130" unbalanced="0"/>
    <cacheHierarchy uniqueName="[Expenditures 1].[Type]" caption="Type" attribute="1" defaultMemberUniqueName="[Expenditures 1].[Type].[All]" allUniqueName="[Expenditures 1].[Type].[All]" dimensionUniqueName="[Expenditures 1]" displayFolder="" count="0" memberValueDatatype="130" unbalanced="0"/>
    <cacheHierarchy uniqueName="[Expenditures 1].[County]" caption="County" attribute="1" defaultMemberUniqueName="[Expenditures 1].[County].[All]" allUniqueName="[Expenditures 1].[County].[All]" dimensionUniqueName="[Expenditures 1]" displayFolder="" count="0" memberValueDatatype="130" unbalanced="0"/>
    <cacheHierarchy uniqueName="[Expenditures 1].[Regional Board]" caption="Regional Board" attribute="1" defaultMemberUniqueName="[Expenditures 1].[Regional Board].[All]" allUniqueName="[Expenditures 1].[Regional Board].[All]" dimensionUniqueName="[Expenditures 1]" displayFolder="" count="0" memberValueDatatype="130" unbalanced="0"/>
    <cacheHierarchy uniqueName="[Expenditures 1].[Regional Board #]" caption="Regional Board #" attribute="1" defaultMemberUniqueName="[Expenditures 1].[Regional Board #].[All]" allUniqueName="[Expenditures 1].[Regional Board #].[All]" dimensionUniqueName="[Expenditures 1]" displayFolder="" count="0" memberValueDatatype="20" unbalanced="0"/>
    <cacheHierarchy uniqueName="[Expenditures 1].[Phase I/II]" caption="Phase I/II" attribute="1" defaultMemberUniqueName="[Expenditures 1].[Phase I/II].[All]" allUniqueName="[Expenditures 1].[Phase I/II].[All]" dimensionUniqueName="[Expenditures 1]" displayFolder="" count="0" memberValueDatatype="130" unbalanced="0"/>
    <cacheHierarchy uniqueName="[Expenditures 1].[Notes]" caption="Notes" attribute="1" defaultMemberUniqueName="[Expenditures 1].[Notes].[All]" allUniqueName="[Expenditures 1].[Notes].[All]" dimensionUniqueName="[Expenditures 1]" displayFolder="" count="0" memberValueDatatype="130" unbalanced="0"/>
    <cacheHierarchy uniqueName="[Expenditures 1].[Fiscal Year]" caption="Fiscal Year" attribute="1" defaultMemberUniqueName="[Expenditures 1].[Fiscal Year].[All]" allUniqueName="[Expenditures 1].[Fiscal Year].[All]" dimensionUniqueName="[Expenditures 1]" displayFolder="" count="0" memberValueDatatype="130" unbalanced="0"/>
    <cacheHierarchy uniqueName="[Expenditures 1].[Reference Year]" caption="Reference Year" attribute="1" defaultMemberUniqueName="[Expenditures 1].[Reference Year].[All]" allUniqueName="[Expenditures 1].[Reference Year].[All]" dimensionUniqueName="[Expenditures 1]" displayFolder="" count="0" memberValueDatatype="20" unbalanced="0"/>
    <cacheHierarchy uniqueName="[Expenditures 1].[Value]" caption="Value" attribute="1" defaultMemberUniqueName="[Expenditures 1].[Value].[All]" allUniqueName="[Expenditures 1].[Value].[All]" dimensionUniqueName="[Expenditures 1]" displayFolder="" count="0" memberValueDatatype="5" unbalanced="0"/>
    <cacheHierarchy uniqueName="[Expenditures 1].[2018 $ Value]" caption="2018 $ Value" attribute="1" defaultMemberUniqueName="[Expenditures 1].[2018 $ Value].[All]" allUniqueName="[Expenditures 1].[2018 $ Value].[All]" dimensionUniqueName="[Expenditures 1]" displayFolder="" count="0" memberValueDatatype="5" unbalanced="0"/>
    <cacheHierarchy uniqueName="[Expenditures 1].[$ By Population]" caption="$ By Population" attribute="1" defaultMemberUniqueName="[Expenditures 1].[$ By Population].[All]" allUniqueName="[Expenditures 1].[$ By Population].[All]" dimensionUniqueName="[Expenditures 1]" displayFolder="" count="0" memberValueDatatype="130" unbalanced="0"/>
    <cacheHierarchy uniqueName="[Expenditures 1].[$ By Square Mile]" caption="$ By Square Mile" attribute="1" defaultMemberUniqueName="[Expenditures 1].[$ By Square Mile].[All]" allUniqueName="[Expenditures 1].[$ By Square Mile].[All]" dimensionUniqueName="[Expenditures 1]" displayFolder="" count="0" memberValueDatatype="130" unbalanced="0"/>
    <cacheHierarchy uniqueName="[Expenditures 1].[Categorized Activities Data Available]" caption="Categorized Activities Data Available" attribute="1" defaultMemberUniqueName="[Expenditures 1].[Categorized Activities Data Available].[All]" allUniqueName="[Expenditures 1].[Categorized Activities Data Available].[All]" dimensionUniqueName="[Expenditures 1]" displayFolder="" count="0" memberValueDatatype="130" unbalanced="0"/>
    <cacheHierarchy uniqueName="[Expenditures 1].[Representative Year]" caption="Representative Year" attribute="1" defaultMemberUniqueName="[Expenditures 1].[Representative Year].[All]" allUniqueName="[Expenditures 1].[Representative Year].[All]" dimensionUniqueName="[Expenditures 1]" displayFolder="" count="0" memberValueDatatype="130" unbalanced="0"/>
    <cacheHierarchy uniqueName="[Expenditures 2].[Jurisdiction]" caption="Jurisdiction" attribute="1" defaultMemberUniqueName="[Expenditures 2].[Jurisdiction].[All]" allUniqueName="[Expenditures 2].[Jurisdiction].[All]" dimensionUniqueName="[Expenditures 2]" displayFolder="" count="0" memberValueDatatype="130" unbalanced="0"/>
    <cacheHierarchy uniqueName="[Expenditures 2].[Type]" caption="Type" attribute="1" defaultMemberUniqueName="[Expenditures 2].[Type].[All]" allUniqueName="[Expenditures 2].[Type].[All]" dimensionUniqueName="[Expenditures 2]" displayFolder="" count="0" memberValueDatatype="130" unbalanced="0"/>
    <cacheHierarchy uniqueName="[Expenditures 2].[County]" caption="County" attribute="1" defaultMemberUniqueName="[Expenditures 2].[County].[All]" allUniqueName="[Expenditures 2].[County].[All]" dimensionUniqueName="[Expenditures 2]" displayFolder="" count="0" memberValueDatatype="130" unbalanced="0"/>
    <cacheHierarchy uniqueName="[Expenditures 2].[Regional Board]" caption="Regional Board" attribute="1" defaultMemberUniqueName="[Expenditures 2].[Regional Board].[All]" allUniqueName="[Expenditures 2].[Regional Board].[All]" dimensionUniqueName="[Expenditures 2]" displayFolder="" count="0" memberValueDatatype="130" unbalanced="0"/>
    <cacheHierarchy uniqueName="[Expenditures 2].[Regional Board #]" caption="Regional Board #" attribute="1" defaultMemberUniqueName="[Expenditures 2].[Regional Board #].[All]" allUniqueName="[Expenditures 2].[Regional Board #].[All]" dimensionUniqueName="[Expenditures 2]" displayFolder="" count="0" memberValueDatatype="20" unbalanced="0"/>
    <cacheHierarchy uniqueName="[Expenditures 2].[Phase I/II]" caption="Phase I/II" attribute="1" defaultMemberUniqueName="[Expenditures 2].[Phase I/II].[All]" allUniqueName="[Expenditures 2].[Phase I/II].[All]" dimensionUniqueName="[Expenditures 2]" displayFolder="" count="0" memberValueDatatype="130" unbalanced="0"/>
    <cacheHierarchy uniqueName="[Expenditures 2].[Notes]" caption="Notes" attribute="1" defaultMemberUniqueName="[Expenditures 2].[Notes].[All]" allUniqueName="[Expenditures 2].[Notes].[All]" dimensionUniqueName="[Expenditures 2]" displayFolder="" count="0" memberValueDatatype="130" unbalanced="0"/>
    <cacheHierarchy uniqueName="[Expenditures 2].[Fiscal Year]" caption="Fiscal Year" attribute="1" defaultMemberUniqueName="[Expenditures 2].[Fiscal Year].[All]" allUniqueName="[Expenditures 2].[Fiscal Year].[All]" dimensionUniqueName="[Expenditures 2]" displayFolder="" count="0" memberValueDatatype="130" unbalanced="0"/>
    <cacheHierarchy uniqueName="[Expenditures 2].[Reference Year]" caption="Reference Year" attribute="1" defaultMemberUniqueName="[Expenditures 2].[Reference Year].[All]" allUniqueName="[Expenditures 2].[Reference Year].[All]" dimensionUniqueName="[Expenditures 2]" displayFolder="" count="0" memberValueDatatype="20" unbalanced="0"/>
    <cacheHierarchy uniqueName="[Expenditures 2].[Value]" caption="Value" attribute="1" defaultMemberUniqueName="[Expenditures 2].[Value].[All]" allUniqueName="[Expenditures 2].[Value].[All]" dimensionUniqueName="[Expenditures 2]" displayFolder="" count="0" memberValueDatatype="5" unbalanced="0"/>
    <cacheHierarchy uniqueName="[Expenditures 2].[2018 $ Value]" caption="2018 $ Value" attribute="1" defaultMemberUniqueName="[Expenditures 2].[2018 $ Value].[All]" allUniqueName="[Expenditures 2].[2018 $ Value].[All]" dimensionUniqueName="[Expenditures 2]" displayFolder="" count="0" memberValueDatatype="5" unbalanced="0"/>
    <cacheHierarchy uniqueName="[Expenditures 2].[$ By Population]" caption="$ By Population" attribute="1" defaultMemberUniqueName="[Expenditures 2].[$ By Population].[All]" allUniqueName="[Expenditures 2].[$ By Population].[All]" dimensionUniqueName="[Expenditures 2]" displayFolder="" count="0" memberValueDatatype="130" unbalanced="0"/>
    <cacheHierarchy uniqueName="[Expenditures 2].[$ By Square Mile]" caption="$ By Square Mile" attribute="1" defaultMemberUniqueName="[Expenditures 2].[$ By Square Mile].[All]" allUniqueName="[Expenditures 2].[$ By Square Mile].[All]" dimensionUniqueName="[Expenditures 2]" displayFolder="" count="0" memberValueDatatype="130" unbalanced="0"/>
    <cacheHierarchy uniqueName="[Expenditures 2].[Categorized Activities Data Available]" caption="Categorized Activities Data Available" attribute="1" defaultMemberUniqueName="[Expenditures 2].[Categorized Activities Data Available].[All]" allUniqueName="[Expenditures 2].[Categorized Activities Data Available].[All]" dimensionUniqueName="[Expenditures 2]" displayFolder="" count="0" memberValueDatatype="130" unbalanced="0"/>
    <cacheHierarchy uniqueName="[Expenditures 2].[Representative Year]" caption="Representative Year" attribute="1" defaultMemberUniqueName="[Expenditures 2].[Representative Year].[All]" allUniqueName="[Expenditures 2].[Representative Year].[All]" dimensionUniqueName="[Expenditures 2]" displayFolder="" count="0" memberValueDatatype="130" unbalanced="0"/>
    <cacheHierarchy uniqueName="[Measures].[__XL_Count Expenditures]" caption="__XL_Count Expenditures" measure="1" displayFolder="" measureGroup="Expenditures" count="0" hidden="1"/>
    <cacheHierarchy uniqueName="[Measures].[__XL_Count Budgets]" caption="__XL_Count Budgets" measure="1" displayFolder="" measureGroup="Budgets" count="0" hidden="1"/>
    <cacheHierarchy uniqueName="[Measures].[__XL_Count Budgets 1]" caption="__XL_Count Budgets 1" measure="1" displayFolder="" measureGroup="Budgets 1" count="0" hidden="1"/>
    <cacheHierarchy uniqueName="[Measures].[__XL_Count Expenditures 1]" caption="__XL_Count Expenditures 1" measure="1" displayFolder="" measureGroup="Expenditures 1" count="0" hidden="1"/>
    <cacheHierarchy uniqueName="[Measures].[__XL_Count Expenditures 2]" caption="__XL_Count Expenditures 2" measure="1" displayFolder="" measureGroup="Expenditures 2" count="0" hidden="1"/>
    <cacheHierarchy uniqueName="[Measures].[__XL_Count Activities]" caption="__XL_Count Activities" measure="1" displayFolder="" measureGroup="Activities" count="0" hidden="1"/>
    <cacheHierarchy uniqueName="[Measures].[__No measures defined]" caption="__No measures defined" measure="1" displayFolder="" count="0" hidden="1"/>
    <cacheHierarchy uniqueName="[Measures].[Count of Jurisdiction]" caption="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Distinct Count of Jurisdiction]" caption="Distinct Count of Jurisdiction" measure="1" displayFolder="" measureGroup="Budgets" count="0" hidden="1">
      <extLst>
        <ext xmlns:x15="http://schemas.microsoft.com/office/spreadsheetml/2010/11/main" uri="{B97F6D7D-B522-45F9-BDA1-12C45D357490}">
          <x15:cacheHierarchy aggregatedColumn="15"/>
        </ext>
      </extLst>
    </cacheHierarchy>
    <cacheHierarchy uniqueName="[Measures].[Count of Type]" caption="Count of Type" measure="1" displayFolder="" measureGroup="Budgets" count="0" hidden="1">
      <extLst>
        <ext xmlns:x15="http://schemas.microsoft.com/office/spreadsheetml/2010/11/main" uri="{B97F6D7D-B522-45F9-BDA1-12C45D357490}">
          <x15:cacheHierarchy aggregatedColumn="16"/>
        </ext>
      </extLst>
    </cacheHierarchy>
    <cacheHierarchy uniqueName="[Measures].[Count of Type 2]" caption="Count of Type 2" measure="1" displayFolder="" measureGroup="Expenditures" count="0" hidden="1">
      <extLst>
        <ext xmlns:x15="http://schemas.microsoft.com/office/spreadsheetml/2010/11/main" uri="{B97F6D7D-B522-45F9-BDA1-12C45D357490}">
          <x15:cacheHierarchy aggregatedColumn="46"/>
        </ext>
      </extLst>
    </cacheHierarchy>
    <cacheHierarchy uniqueName="[Measures].[Count of Jurisdiction 2]" caption="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Distinct Count of Jurisdiction 2]" caption="Distinct Count of Jurisdiction 2" measure="1" displayFolder="" measureGroup="Expenditures" count="0" hidden="1">
      <extLst>
        <ext xmlns:x15="http://schemas.microsoft.com/office/spreadsheetml/2010/11/main" uri="{B97F6D7D-B522-45F9-BDA1-12C45D357490}">
          <x15:cacheHierarchy aggregatedColumn="45"/>
        </ext>
      </extLst>
    </cacheHierarchy>
    <cacheHierarchy uniqueName="[Measures].[Sum of Reference Year]" caption="Sum of Reference Year" measure="1" displayFolder="" measureGroup="Budgets" count="0" hidden="1">
      <extLst>
        <ext xmlns:x15="http://schemas.microsoft.com/office/spreadsheetml/2010/11/main" uri="{B97F6D7D-B522-45F9-BDA1-12C45D357490}">
          <x15:cacheHierarchy aggregatedColumn="23"/>
        </ext>
      </extLst>
    </cacheHierarchy>
    <cacheHierarchy uniqueName="[Measures].[Sum of Reference Year 2]" caption="Sum of Reference Year 2" measure="1" displayFolder="" measureGroup="Expenditures" count="0" hidden="1">
      <extLst>
        <ext xmlns:x15="http://schemas.microsoft.com/office/spreadsheetml/2010/11/main" uri="{B97F6D7D-B522-45F9-BDA1-12C45D357490}">
          <x15:cacheHierarchy aggregatedColumn="53"/>
        </ext>
      </extLst>
    </cacheHierarchy>
    <cacheHierarchy uniqueName="[Measures].[Sum of 2018 $ Value]" caption="Sum of 2018 $ Value" measure="1" displayFolder="" measureGroup="Budgets" count="0" hidden="1">
      <extLst>
        <ext xmlns:x15="http://schemas.microsoft.com/office/spreadsheetml/2010/11/main" uri="{B97F6D7D-B522-45F9-BDA1-12C45D357490}">
          <x15:cacheHierarchy aggregatedColumn="25"/>
        </ext>
      </extLst>
    </cacheHierarchy>
    <cacheHierarchy uniqueName="[Measures].[Average of 2018 $ Value]" caption="Average of 2018 $ Value" measure="1" displayFolder="" measureGroup="Budgets" count="0" hidden="1">
      <extLst>
        <ext xmlns:x15="http://schemas.microsoft.com/office/spreadsheetml/2010/11/main" uri="{B97F6D7D-B522-45F9-BDA1-12C45D357490}">
          <x15:cacheHierarchy aggregatedColumn="25"/>
        </ext>
      </extLst>
    </cacheHierarchy>
    <cacheHierarchy uniqueName="[Measures].[Max of 2018 $ Value]" caption="Max of 2018 $ Value" measure="1" displayFolder="" measureGroup="Budgets" count="0" hidden="1">
      <extLst>
        <ext xmlns:x15="http://schemas.microsoft.com/office/spreadsheetml/2010/11/main" uri="{B97F6D7D-B522-45F9-BDA1-12C45D357490}">
          <x15:cacheHierarchy aggregatedColumn="25"/>
        </ext>
      </extLst>
    </cacheHierarchy>
    <cacheHierarchy uniqueName="[Measures].[Min of 2018 $ Value]" caption="Min of 2018 $ Value" measure="1" displayFolder="" measureGroup="Budgets" count="0" hidden="1">
      <extLst>
        <ext xmlns:x15="http://schemas.microsoft.com/office/spreadsheetml/2010/11/main" uri="{B97F6D7D-B522-45F9-BDA1-12C45D357490}">
          <x15:cacheHierarchy aggregatedColumn="25"/>
        </ext>
      </extLst>
    </cacheHierarchy>
    <cacheHierarchy uniqueName="[Measures].[Sum of 2018 $ Value 2]" caption="Sum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Average of 2018 $ Value 2]" caption="Average of 2018 $ Value 2" measure="1" displayFolder="" measureGroup="Expenditures" count="0" hidden="1">
      <extLst>
        <ext xmlns:x15="http://schemas.microsoft.com/office/spreadsheetml/2010/11/main" uri="{B97F6D7D-B522-45F9-BDA1-12C45D357490}">
          <x15:cacheHierarchy aggregatedColumn="55"/>
        </ext>
      </extLst>
    </cacheHierarchy>
    <cacheHierarchy uniqueName="[Measures].[Count of $ By Population]" caption="Count of $ By Population" measure="1" displayFolder="" measureGroup="Expenditures" count="0" hidden="1">
      <extLst>
        <ext xmlns:x15="http://schemas.microsoft.com/office/spreadsheetml/2010/11/main" uri="{B97F6D7D-B522-45F9-BDA1-12C45D357490}">
          <x15:cacheHierarchy aggregatedColumn="56"/>
        </ext>
      </extLst>
    </cacheHierarchy>
    <cacheHierarchy uniqueName="[Measures].[Count of $ By Square Mile]" caption="Count of $ By Square Mile" measure="1" displayFolder="" measureGroup="Expenditures" count="0" hidden="1">
      <extLst>
        <ext xmlns:x15="http://schemas.microsoft.com/office/spreadsheetml/2010/11/main" uri="{B97F6D7D-B522-45F9-BDA1-12C45D357490}">
          <x15:cacheHierarchy aggregatedColumn="57"/>
        </ext>
      </extLst>
    </cacheHierarchy>
    <cacheHierarchy uniqueName="[Measures].[Count of Jurisdiction 3]" caption="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Distinct Count of Jurisdiction 3]" caption="Distinct Count of Jurisdiction 3" measure="1" displayFolder="" measureGroup="Budgets 1" count="0" hidden="1">
      <extLst>
        <ext xmlns:x15="http://schemas.microsoft.com/office/spreadsheetml/2010/11/main" uri="{B97F6D7D-B522-45F9-BDA1-12C45D357490}">
          <x15:cacheHierarchy aggregatedColumn="30"/>
        </ext>
      </extLst>
    </cacheHierarchy>
    <cacheHierarchy uniqueName="[Measures].[Count of Type 3]" caption="Count of Type 3" measure="1" displayFolder="" measureGroup="Budgets 1" count="0" hidden="1">
      <extLst>
        <ext xmlns:x15="http://schemas.microsoft.com/office/spreadsheetml/2010/11/main" uri="{B97F6D7D-B522-45F9-BDA1-12C45D357490}">
          <x15:cacheHierarchy aggregatedColumn="31"/>
        </ext>
      </extLst>
    </cacheHierarchy>
    <cacheHierarchy uniqueName="[Measures].[Count of Type 4]" caption="Count of Type 4" measure="1" displayFolder="" measureGroup="Expenditures 1" count="0" hidden="1">
      <extLst>
        <ext xmlns:x15="http://schemas.microsoft.com/office/spreadsheetml/2010/11/main" uri="{B97F6D7D-B522-45F9-BDA1-12C45D357490}">
          <x15:cacheHierarchy aggregatedColumn="61"/>
        </ext>
      </extLst>
    </cacheHierarchy>
    <cacheHierarchy uniqueName="[Measures].[Count of Jurisdiction 4]" caption="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Distinct Count of Jurisdiction 4]" caption="Distinct Count of Jurisdiction 4" measure="1" displayFolder="" measureGroup="Expenditures 1" count="0" hidden="1">
      <extLst>
        <ext xmlns:x15="http://schemas.microsoft.com/office/spreadsheetml/2010/11/main" uri="{B97F6D7D-B522-45F9-BDA1-12C45D357490}">
          <x15:cacheHierarchy aggregatedColumn="60"/>
        </ext>
      </extLst>
    </cacheHierarchy>
    <cacheHierarchy uniqueName="[Measures].[Sum of Reference Year 3]" caption="Sum of Reference Year 3" measure="1" displayFolder="" measureGroup="Budgets 1" count="0" hidden="1">
      <extLst>
        <ext xmlns:x15="http://schemas.microsoft.com/office/spreadsheetml/2010/11/main" uri="{B97F6D7D-B522-45F9-BDA1-12C45D357490}">
          <x15:cacheHierarchy aggregatedColumn="38"/>
        </ext>
      </extLst>
    </cacheHierarchy>
    <cacheHierarchy uniqueName="[Measures].[Sum of Reference Year 4]" caption="Sum of Reference Year 4" measure="1" displayFolder="" measureGroup="Expenditures 1" count="0" hidden="1">
      <extLst>
        <ext xmlns:x15="http://schemas.microsoft.com/office/spreadsheetml/2010/11/main" uri="{B97F6D7D-B522-45F9-BDA1-12C45D357490}">
          <x15:cacheHierarchy aggregatedColumn="68"/>
        </ext>
      </extLst>
    </cacheHierarchy>
    <cacheHierarchy uniqueName="[Measures].[Sum of 2018 $ Value 3]" caption="Sum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Average of 2018 $ Value 3]" caption="Average of 2018 $ Value 3" measure="1" displayFolder="" measureGroup="Budgets 1" count="0" hidden="1">
      <extLst>
        <ext xmlns:x15="http://schemas.microsoft.com/office/spreadsheetml/2010/11/main" uri="{B97F6D7D-B522-45F9-BDA1-12C45D357490}">
          <x15:cacheHierarchy aggregatedColumn="40"/>
        </ext>
      </extLst>
    </cacheHierarchy>
    <cacheHierarchy uniqueName="[Measures].[Max of 2018 $ Value 2]" caption="Max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Min of 2018 $ Value 2]" caption="Min of 2018 $ Value 2" measure="1" displayFolder="" measureGroup="Budgets 1" count="0" hidden="1">
      <extLst>
        <ext xmlns:x15="http://schemas.microsoft.com/office/spreadsheetml/2010/11/main" uri="{B97F6D7D-B522-45F9-BDA1-12C45D357490}">
          <x15:cacheHierarchy aggregatedColumn="40"/>
        </ext>
      </extLst>
    </cacheHierarchy>
    <cacheHierarchy uniqueName="[Measures].[Sum of 2018 $ Value 4]" caption="Sum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Average of 2018 $ Value 4]" caption="Average of 2018 $ Value 4" measure="1" displayFolder="" measureGroup="Expenditures 1" count="0" hidden="1">
      <extLst>
        <ext xmlns:x15="http://schemas.microsoft.com/office/spreadsheetml/2010/11/main" uri="{B97F6D7D-B522-45F9-BDA1-12C45D357490}">
          <x15:cacheHierarchy aggregatedColumn="70"/>
        </ext>
      </extLst>
    </cacheHierarchy>
    <cacheHierarchy uniqueName="[Measures].[Count of $ By Population 2]" caption="Count of $ By Population 2" measure="1" displayFolder="" measureGroup="Expenditures 1" count="0" hidden="1">
      <extLst>
        <ext xmlns:x15="http://schemas.microsoft.com/office/spreadsheetml/2010/11/main" uri="{B97F6D7D-B522-45F9-BDA1-12C45D357490}">
          <x15:cacheHierarchy aggregatedColumn="71"/>
        </ext>
      </extLst>
    </cacheHierarchy>
    <cacheHierarchy uniqueName="[Measures].[Count of $ By Square Mile 2]" caption="Count of $ By Square Mile 2" measure="1" displayFolder="" measureGroup="Expenditures 1" count="0" hidden="1">
      <extLst>
        <ext xmlns:x15="http://schemas.microsoft.com/office/spreadsheetml/2010/11/main" uri="{B97F6D7D-B522-45F9-BDA1-12C45D357490}">
          <x15:cacheHierarchy aggregatedColumn="72"/>
        </ext>
      </extLst>
    </cacheHierarchy>
    <cacheHierarchy uniqueName="[Measures].[Count of Type 5]" caption="Count of Type 5" measure="1" displayFolder="" measureGroup="Expenditures 2" count="0" hidden="1">
      <extLst>
        <ext xmlns:x15="http://schemas.microsoft.com/office/spreadsheetml/2010/11/main" uri="{B97F6D7D-B522-45F9-BDA1-12C45D357490}">
          <x15:cacheHierarchy aggregatedColumn="76"/>
        </ext>
      </extLst>
    </cacheHierarchy>
    <cacheHierarchy uniqueName="[Measures].[Count of Jurisdiction 5]" caption="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Distinct Count of Jurisdiction 5]" caption="Distinct Count of Jurisdiction 5" measure="1" displayFolder="" measureGroup="Expenditures 2" count="0" hidden="1">
      <extLst>
        <ext xmlns:x15="http://schemas.microsoft.com/office/spreadsheetml/2010/11/main" uri="{B97F6D7D-B522-45F9-BDA1-12C45D357490}">
          <x15:cacheHierarchy aggregatedColumn="75"/>
        </ext>
      </extLst>
    </cacheHierarchy>
    <cacheHierarchy uniqueName="[Measures].[Sum of Reference Year 5]" caption="Sum of Reference Year 5" measure="1" displayFolder="" measureGroup="Expenditures 2" count="0" hidden="1">
      <extLst>
        <ext xmlns:x15="http://schemas.microsoft.com/office/spreadsheetml/2010/11/main" uri="{B97F6D7D-B522-45F9-BDA1-12C45D357490}">
          <x15:cacheHierarchy aggregatedColumn="83"/>
        </ext>
      </extLst>
    </cacheHierarchy>
    <cacheHierarchy uniqueName="[Measures].[Sum of 2018 $ Value 5]" caption="Sum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Average of 2018 $ Value 5]" caption="Average of 2018 $ Value 5" measure="1" displayFolder="" measureGroup="Expenditures 2" count="0" hidden="1">
      <extLst>
        <ext xmlns:x15="http://schemas.microsoft.com/office/spreadsheetml/2010/11/main" uri="{B97F6D7D-B522-45F9-BDA1-12C45D357490}">
          <x15:cacheHierarchy aggregatedColumn="85"/>
        </ext>
      </extLst>
    </cacheHierarchy>
    <cacheHierarchy uniqueName="[Measures].[Count of $ By Population 3]" caption="Count of $ By Population 3" measure="1" displayFolder="" measureGroup="Expenditures 2" count="0" hidden="1">
      <extLst>
        <ext xmlns:x15="http://schemas.microsoft.com/office/spreadsheetml/2010/11/main" uri="{B97F6D7D-B522-45F9-BDA1-12C45D357490}">
          <x15:cacheHierarchy aggregatedColumn="86"/>
        </ext>
      </extLst>
    </cacheHierarchy>
    <cacheHierarchy uniqueName="[Measures].[Count of $ By Square Mile 3]" caption="Count of $ By Square Mile 3" measure="1" displayFolder="" measureGroup="Expenditures 2" count="0" hidden="1">
      <extLst>
        <ext xmlns:x15="http://schemas.microsoft.com/office/spreadsheetml/2010/11/main" uri="{B97F6D7D-B522-45F9-BDA1-12C45D357490}">
          <x15:cacheHierarchy aggregatedColumn="87"/>
        </ext>
      </extLst>
    </cacheHierarchy>
    <cacheHierarchy uniqueName="[Measures].[Count of Category]" caption="Count of Category" measure="1" displayFolder="" measureGroup="Activities" count="0" hidden="1">
      <extLst>
        <ext xmlns:x15="http://schemas.microsoft.com/office/spreadsheetml/2010/11/main" uri="{B97F6D7D-B522-45F9-BDA1-12C45D357490}">
          <x15:cacheHierarchy aggregatedColumn="9"/>
        </ext>
      </extLst>
    </cacheHierarchy>
    <cacheHierarchy uniqueName="[Measures].[Sum of 2018 $ Value 6]" caption="Sum of 2018 $ Value 6" measure="1" displayFolder="" measureGroup="Activities" count="0" oneField="1" hidden="1">
      <fieldsUsage count="1">
        <fieldUsage x="0"/>
      </fieldsUsage>
      <extLst>
        <ext xmlns:x15="http://schemas.microsoft.com/office/spreadsheetml/2010/11/main" uri="{B97F6D7D-B522-45F9-BDA1-12C45D357490}">
          <x15:cacheHierarchy aggregatedColumn="14"/>
        </ext>
      </extLst>
    </cacheHierarchy>
    <cacheHierarchy uniqueName="[Measures].[Average of 2018 $ Value 6]" caption="Average of 2018 $ Value 6" measure="1" displayFolder="" measureGroup="Activities" count="0" hidden="1">
      <extLst>
        <ext xmlns:x15="http://schemas.microsoft.com/office/spreadsheetml/2010/11/main" uri="{B97F6D7D-B522-45F9-BDA1-12C45D357490}">
          <x15:cacheHierarchy aggregatedColumn="14"/>
        </ext>
      </extLst>
    </cacheHierarchy>
    <cacheHierarchy uniqueName="[Measures].[StdDev of 2018 $ Value]" caption="StdDev of 2018 $ Value" measure="1" displayFolder="" measureGroup="Activities" count="0" hidden="1">
      <extLst>
        <ext xmlns:x15="http://schemas.microsoft.com/office/spreadsheetml/2010/11/main" uri="{B97F6D7D-B522-45F9-BDA1-12C45D357490}">
          <x15:cacheHierarchy aggregatedColumn="14"/>
        </ext>
      </extLst>
    </cacheHierarchy>
  </cacheHierarchies>
  <kpis count="0"/>
  <dimensions count="7">
    <dimension name="Activities" uniqueName="[Activities]" caption="Activities"/>
    <dimension name="Budgets" uniqueName="[Budgets]" caption="Budgets"/>
    <dimension name="Budgets 1" uniqueName="[Budgets 1]" caption="Budgets 1"/>
    <dimension name="Expenditures" uniqueName="[Expenditures]" caption="Expenditures"/>
    <dimension name="Expenditures 1" uniqueName="[Expenditures 1]" caption="Expenditures 1"/>
    <dimension name="Expenditures 2" uniqueName="[Expenditures 2]" caption="Expenditures 2"/>
    <dimension measure="1" name="Measures" uniqueName="[Measures]" caption="Measures"/>
  </dimensions>
  <measureGroups count="6">
    <measureGroup name="Activities" caption="Activities"/>
    <measureGroup name="Budgets" caption="Budgets"/>
    <measureGroup name="Budgets 1" caption="Budgets 1"/>
    <measureGroup name="Expenditures" caption="Expenditures"/>
    <measureGroup name="Expenditures 1" caption="Expenditures 1"/>
    <measureGroup name="Expenditures 2" caption="Expenditures 2"/>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0">
  <r>
    <x v="0"/>
    <x v="0"/>
    <s v="Los Angeles"/>
    <x v="0"/>
    <x v="0"/>
    <s v="Phase I MS4"/>
    <m/>
    <s v="2011–2012"/>
    <n v="2011"/>
    <n v="277629"/>
    <n v="310627.22498443752"/>
    <n v="15.173272029329695"/>
    <n v="39824.003203133019"/>
    <s v=""/>
    <x v="0"/>
  </r>
  <r>
    <x v="0"/>
    <x v="0"/>
    <s v="Los Angeles"/>
    <x v="0"/>
    <x v="0"/>
    <s v="Phase I MS4"/>
    <m/>
    <s v="2015–2016"/>
    <n v="2015"/>
    <n v="2606122"/>
    <n v="2767008.7973924051"/>
    <n v="135.16064856352116"/>
    <n v="354744.71761441091"/>
    <s v="YES"/>
    <x v="1"/>
  </r>
  <r>
    <x v="1"/>
    <x v="0"/>
    <s v="Los Angeles"/>
    <x v="0"/>
    <x v="0"/>
    <s v="Phase I MS4"/>
    <m/>
    <s v="2011–2012"/>
    <n v="2011"/>
    <n v="7397257"/>
    <n v="8276474.77175189"/>
    <n v="97.774040706350817"/>
    <n v="1089009.8383884067"/>
    <s v=""/>
    <x v="0"/>
  </r>
  <r>
    <x v="1"/>
    <x v="0"/>
    <s v="Los Angeles"/>
    <x v="0"/>
    <x v="0"/>
    <s v="Phase I MS4"/>
    <m/>
    <s v="2015–2016"/>
    <n v="2015"/>
    <n v="721185"/>
    <n v="765706.76259493665"/>
    <n v="9.0456681425053649"/>
    <n v="100750.88981512324"/>
    <s v="YES"/>
    <x v="1"/>
  </r>
  <r>
    <x v="2"/>
    <x v="0"/>
    <s v="Orange"/>
    <x v="1"/>
    <x v="1"/>
    <s v="Phase I MS4"/>
    <m/>
    <s v="2001–2002"/>
    <n v="2001"/>
    <n v="214823"/>
    <n v="305229.39758893277"/>
    <n v="5.894393866499291"/>
    <n v="44236.144578106199"/>
    <s v=""/>
    <x v="0"/>
  </r>
  <r>
    <x v="2"/>
    <x v="0"/>
    <s v="Orange"/>
    <x v="1"/>
    <x v="1"/>
    <s v="Phase I MS4"/>
    <m/>
    <s v="2014–2015"/>
    <n v="2014"/>
    <n v="674076"/>
    <n v="716596.61155893537"/>
    <n v="13.838452997295162"/>
    <n v="103854.58138535295"/>
    <s v=""/>
    <x v="0"/>
  </r>
  <r>
    <x v="2"/>
    <x v="0"/>
    <s v="Orange"/>
    <x v="1"/>
    <x v="1"/>
    <s v="Phase I MS4"/>
    <m/>
    <s v="2015–2016"/>
    <n v="2015"/>
    <n v="831159"/>
    <n v="882469.9169999999"/>
    <n v="17.041691616939922"/>
    <n v="127894.19086956519"/>
    <s v=""/>
    <x v="0"/>
  </r>
  <r>
    <x v="2"/>
    <x v="0"/>
    <s v="Orange"/>
    <x v="1"/>
    <x v="1"/>
    <s v="Phase I MS4"/>
    <m/>
    <s v="2016–2017"/>
    <n v="2016"/>
    <n v="746108.4"/>
    <n v="782266.67833500006"/>
    <n v="15.106631101616362"/>
    <n v="113371.98236739131"/>
    <s v=""/>
    <x v="1"/>
  </r>
  <r>
    <x v="2"/>
    <x v="0"/>
    <s v="Orange"/>
    <x v="1"/>
    <x v="1"/>
    <s v="Phase I MS4"/>
    <m/>
    <s v="2017–2018"/>
    <n v="2017"/>
    <n v="38936306"/>
    <n v="39973813.199045293"/>
    <n v="771.94857770011959"/>
    <n v="5793306.2607312016"/>
    <s v="YES"/>
    <x v="2"/>
  </r>
  <r>
    <x v="3"/>
    <x v="0"/>
    <s v="Orange"/>
    <x v="2"/>
    <x v="2"/>
    <s v="Phase I MS4"/>
    <m/>
    <s v="2000–2001"/>
    <n v="2000"/>
    <n v="19278348"/>
    <n v="28170905.83965157"/>
    <n v="80.029845711429019"/>
    <n v="563418.11679303134"/>
    <s v=""/>
    <x v="0"/>
  </r>
  <r>
    <x v="3"/>
    <x v="0"/>
    <s v="Orange"/>
    <x v="2"/>
    <x v="2"/>
    <s v="Phase I MS4"/>
    <m/>
    <s v="2001–2002"/>
    <n v="2001"/>
    <n v="1760427"/>
    <n v="2501287.4445906268"/>
    <n v="7.1058293052389221"/>
    <n v="50025.748891812538"/>
    <s v="YES"/>
    <x v="1"/>
  </r>
  <r>
    <x v="4"/>
    <x v="0"/>
    <s v="Los Angeles"/>
    <x v="0"/>
    <x v="0"/>
    <s v="Phase I MS4"/>
    <m/>
    <s v="2011–2012"/>
    <n v="2011"/>
    <n v="494578"/>
    <n v="553362.19083148066"/>
    <n v="9.441429633705523"/>
    <n v="50767.173470778042"/>
    <s v=""/>
    <x v="0"/>
  </r>
  <r>
    <x v="4"/>
    <x v="0"/>
    <s v="Los Angeles"/>
    <x v="0"/>
    <x v="0"/>
    <s v="Phase I MS4"/>
    <m/>
    <s v="2015–2016"/>
    <n v="2015"/>
    <n v="687900"/>
    <n v="730366.94050632906"/>
    <n v="12.461473136091607"/>
    <n v="67006.141330855869"/>
    <s v="YES"/>
    <x v="1"/>
  </r>
  <r>
    <x v="5"/>
    <x v="0"/>
    <s v="Los Angeles"/>
    <x v="0"/>
    <x v="0"/>
    <s v="Phase I MS4"/>
    <m/>
    <s v="2011–2012"/>
    <n v="2011"/>
    <n v="1009302"/>
    <n v="1129264.880222321"/>
    <n v="67.418798819243051"/>
    <n v="705790.55013895058"/>
    <s v=""/>
    <x v="0"/>
  </r>
  <r>
    <x v="5"/>
    <x v="0"/>
    <s v="Los Angeles"/>
    <x v="0"/>
    <x v="0"/>
    <s v="Phase I MS4"/>
    <m/>
    <s v="2015–2016"/>
    <n v="2015"/>
    <n v="173444"/>
    <n v="184151.42263291139"/>
    <n v="10.99411478405441"/>
    <n v="115094.63914556961"/>
    <s v="YES"/>
    <x v="1"/>
  </r>
  <r>
    <x v="6"/>
    <x v="0"/>
    <s v="Los Angeles"/>
    <x v="0"/>
    <x v="0"/>
    <s v="Phase I MS4"/>
    <m/>
    <s v="2011–2012"/>
    <n v="2011"/>
    <n v="316050"/>
    <n v="353614.8401511783"/>
    <n v="7.0782425267460329"/>
    <n v="36455.138159915288"/>
    <s v=""/>
    <x v="0"/>
  </r>
  <r>
    <x v="6"/>
    <x v="0"/>
    <s v="Los Angeles"/>
    <x v="0"/>
    <x v="0"/>
    <s v="Phase I MS4"/>
    <m/>
    <s v="2015–2016"/>
    <n v="2015"/>
    <n v="542500"/>
    <n v="575990.79113924049"/>
    <n v="11.529500603291575"/>
    <n v="59380.493931880468"/>
    <s v="YES"/>
    <x v="1"/>
  </r>
  <r>
    <x v="7"/>
    <x v="0"/>
    <s v="Kern"/>
    <x v="3"/>
    <x v="3"/>
    <s v="Phase I MS4"/>
    <m/>
    <s v="2003–2004"/>
    <n v="2003"/>
    <n v="7510500"/>
    <n v="10271057.747282607"/>
    <n v="26.776903186260476"/>
    <n v="69025.925720985266"/>
    <s v=""/>
    <x v="0"/>
  </r>
  <r>
    <x v="7"/>
    <x v="0"/>
    <s v="Kern"/>
    <x v="3"/>
    <x v="3"/>
    <s v="Phase I MS4"/>
    <m/>
    <s v="2004–2005"/>
    <n v="2004"/>
    <n v="13567100"/>
    <n v="18072540.709899418"/>
    <n v="47.11556344299197"/>
    <n v="121455.24670631328"/>
    <s v=""/>
    <x v="0"/>
  </r>
  <r>
    <x v="7"/>
    <x v="0"/>
    <s v="Kern"/>
    <x v="3"/>
    <x v="3"/>
    <s v="Phase I MS4"/>
    <m/>
    <s v="2005–2006"/>
    <n v="2005"/>
    <n v="11818400"/>
    <n v="15227218.691244239"/>
    <n v="39.697738122379583"/>
    <n v="102333.45894653385"/>
    <s v=""/>
    <x v="0"/>
  </r>
  <r>
    <x v="7"/>
    <x v="0"/>
    <s v="Kern"/>
    <x v="3"/>
    <x v="3"/>
    <s v="Phase I MS4"/>
    <m/>
    <s v="2006–2007"/>
    <n v="2006"/>
    <n v="12227700"/>
    <n v="15262243.941964287"/>
    <n v="39.789049822759551"/>
    <n v="102568.84369599655"/>
    <s v=""/>
    <x v="0"/>
  </r>
  <r>
    <x v="7"/>
    <x v="0"/>
    <s v="Kern"/>
    <x v="3"/>
    <x v="3"/>
    <s v="Phase I MS4"/>
    <m/>
    <s v="2007–2008"/>
    <n v="2007"/>
    <n v="12484300"/>
    <n v="15154061.231548479"/>
    <n v="39.507014804117219"/>
    <n v="101841.80935180429"/>
    <s v=""/>
    <x v="0"/>
  </r>
  <r>
    <x v="7"/>
    <x v="0"/>
    <s v="Kern"/>
    <x v="3"/>
    <x v="3"/>
    <s v="Phase I MS4"/>
    <m/>
    <s v="2008–2009"/>
    <n v="2008"/>
    <n v="12858900"/>
    <n v="15028787.115188109"/>
    <n v="39.18042206478485"/>
    <n v="100999.91340852223"/>
    <s v=""/>
    <x v="0"/>
  </r>
  <r>
    <x v="7"/>
    <x v="0"/>
    <s v="Kern"/>
    <x v="3"/>
    <x v="3"/>
    <s v="Phase I MS4"/>
    <m/>
    <s v="2009–2010"/>
    <n v="2009"/>
    <n v="12858900"/>
    <n v="15084838.535664335"/>
    <n v="39.326549513045123"/>
    <n v="101376.60306226031"/>
    <s v=""/>
    <x v="0"/>
  </r>
  <r>
    <x v="7"/>
    <x v="0"/>
    <s v="Kern"/>
    <x v="3"/>
    <x v="3"/>
    <s v="Phase I MS4"/>
    <m/>
    <s v="2010–2011"/>
    <n v="2010"/>
    <n v="12858900"/>
    <n v="14835845.327372765"/>
    <n v="38.677418021770656"/>
    <n v="99703.261608687928"/>
    <s v=""/>
    <x v="0"/>
  </r>
  <r>
    <x v="7"/>
    <x v="0"/>
    <s v="Kern"/>
    <x v="3"/>
    <x v="3"/>
    <s v="Phase I MS4"/>
    <m/>
    <s v="2011–2012"/>
    <n v="2011"/>
    <n v="12860700"/>
    <n v="14389287.690973766"/>
    <n v="37.513231149186389"/>
    <n v="96702.202224286055"/>
    <s v=""/>
    <x v="0"/>
  </r>
  <r>
    <x v="7"/>
    <x v="0"/>
    <s v="Kern"/>
    <x v="3"/>
    <x v="3"/>
    <s v="Phase I MS4"/>
    <m/>
    <s v="2012–2013"/>
    <n v="2012"/>
    <n v="13433500"/>
    <n v="14722495.812282231"/>
    <n v="38.381913014743326"/>
    <n v="98941.504114799929"/>
    <s v=""/>
    <x v="0"/>
  </r>
  <r>
    <x v="7"/>
    <x v="0"/>
    <s v="Kern"/>
    <x v="3"/>
    <x v="3"/>
    <s v="Phase I MS4"/>
    <m/>
    <s v="2013–2014"/>
    <n v="2013"/>
    <n v="15269000"/>
    <n v="16489930.210300431"/>
    <n v="42.989658480522735"/>
    <n v="110819.42345632009"/>
    <s v=""/>
    <x v="0"/>
  </r>
  <r>
    <x v="7"/>
    <x v="0"/>
    <s v="Kern"/>
    <x v="3"/>
    <x v="3"/>
    <s v="Phase I MS4"/>
    <m/>
    <s v="2014–2015"/>
    <n v="2014"/>
    <n v="26218300"/>
    <n v="27872146.376425859"/>
    <n v="72.663379320624585"/>
    <n v="187312.8116695286"/>
    <s v=""/>
    <x v="0"/>
  </r>
  <r>
    <x v="7"/>
    <x v="0"/>
    <s v="Kern"/>
    <x v="3"/>
    <x v="3"/>
    <s v="Phase I MS4"/>
    <m/>
    <s v="2015–2016"/>
    <n v="2015"/>
    <n v="26243700"/>
    <n v="27863833.226582278"/>
    <n v="72.641706732074169"/>
    <n v="187256.94372703141"/>
    <s v=""/>
    <x v="0"/>
  </r>
  <r>
    <x v="7"/>
    <x v="0"/>
    <s v="Kern"/>
    <x v="3"/>
    <x v="3"/>
    <s v="Phase I MS4"/>
    <m/>
    <s v="2016–2017"/>
    <n v="2016"/>
    <n v="26243700"/>
    <n v="27515535.311250001"/>
    <n v="71.733685397923253"/>
    <n v="184916.23193044355"/>
    <s v=""/>
    <x v="0"/>
  </r>
  <r>
    <x v="7"/>
    <x v="0"/>
    <s v="Kern"/>
    <x v="3"/>
    <x v="3"/>
    <s v="Phase I MS4"/>
    <m/>
    <s v="2017–2018"/>
    <n v="2017"/>
    <n v="26243700"/>
    <n v="26942996.632802941"/>
    <n v="70.241062813143941"/>
    <n v="181068.52575808426"/>
    <s v=""/>
    <x v="0"/>
  </r>
  <r>
    <x v="7"/>
    <x v="0"/>
    <s v="Kern"/>
    <x v="3"/>
    <x v="3"/>
    <s v="Phase I MS4"/>
    <m/>
    <s v="2018–2019"/>
    <n v="2018"/>
    <n v="26033100"/>
    <n v="26033100"/>
    <n v="67.868939644766783"/>
    <n v="174953.62903225806"/>
    <s v="YES"/>
    <x v="1"/>
  </r>
  <r>
    <x v="8"/>
    <x v="0"/>
    <s v="Los Angeles"/>
    <x v="0"/>
    <x v="0"/>
    <s v="Phase I MS4"/>
    <m/>
    <s v="2011–2012"/>
    <n v="2011"/>
    <n v="607400"/>
    <n v="679593.9057358827"/>
    <n v="8.9640814337367303"/>
    <n v="102968.77359634587"/>
    <s v=""/>
    <x v="0"/>
  </r>
  <r>
    <x v="8"/>
    <x v="0"/>
    <s v="Los Angeles"/>
    <x v="0"/>
    <x v="0"/>
    <s v="Phase I MS4"/>
    <m/>
    <s v="2015–2016"/>
    <n v="2015"/>
    <n v="4009000"/>
    <n v="4256492.3164556958"/>
    <n v="56.144623170903351"/>
    <n v="644923.07825086301"/>
    <s v="YES"/>
    <x v="1"/>
  </r>
  <r>
    <x v="9"/>
    <x v="0"/>
    <s v="Riverside"/>
    <x v="2"/>
    <x v="2"/>
    <s v="Phase I MS4"/>
    <m/>
    <s v="2016–2017"/>
    <n v="2016"/>
    <n v="149500"/>
    <n v="156745.14375000002"/>
    <n v="3.1832242186389395"/>
    <n v="5105.7050081433235"/>
    <s v=""/>
    <x v="1"/>
  </r>
  <r>
    <x v="10"/>
    <x v="0"/>
    <s v="Los Angeles"/>
    <x v="0"/>
    <x v="0"/>
    <s v="Phase I MS4"/>
    <m/>
    <s v="2011–2012"/>
    <n v="2011"/>
    <n v="625448"/>
    <n v="699787.04174299689"/>
    <n v="19.58651594668039"/>
    <n v="279914.81669719878"/>
    <s v=""/>
    <x v="0"/>
  </r>
  <r>
    <x v="10"/>
    <x v="0"/>
    <s v="Los Angeles"/>
    <x v="0"/>
    <x v="0"/>
    <s v="Phase I MS4"/>
    <m/>
    <s v="2015–2016"/>
    <n v="2015"/>
    <n v="273000"/>
    <n v="289853.43037974683"/>
    <n v="8.112780742827665"/>
    <n v="115941.37215189873"/>
    <s v="YES"/>
    <x v="1"/>
  </r>
  <r>
    <x v="11"/>
    <x v="0"/>
    <s v="Los Angeles"/>
    <x v="0"/>
    <x v="0"/>
    <s v="Phase I MS4"/>
    <m/>
    <s v="2011–2012"/>
    <n v="2011"/>
    <n v="390300"/>
    <n v="436689.99244108493"/>
    <n v="5.6616664174078508"/>
    <n v="71588.523350997537"/>
    <s v=""/>
    <x v="0"/>
  </r>
  <r>
    <x v="11"/>
    <x v="0"/>
    <s v="Los Angeles"/>
    <x v="0"/>
    <x v="0"/>
    <s v="Phase I MS4"/>
    <m/>
    <s v="2015–2016"/>
    <n v="2015"/>
    <n v="326959"/>
    <n v="347143.54484810127"/>
    <n v="4.5007006890627794"/>
    <n v="56908.777843951029"/>
    <s v="YES"/>
    <x v="1"/>
  </r>
  <r>
    <x v="12"/>
    <x v="0"/>
    <s v="Alameda"/>
    <x v="4"/>
    <x v="4"/>
    <s v="Phase I MS4"/>
    <m/>
    <s v="2016–2017"/>
    <n v="2016"/>
    <n v="2614710"/>
    <n v="2741425.3833750002"/>
    <n v="22.536647265975027"/>
    <n v="261088.13175000003"/>
    <s v=""/>
    <x v="0"/>
  </r>
  <r>
    <x v="12"/>
    <x v="0"/>
    <s v="Alameda"/>
    <x v="4"/>
    <x v="4"/>
    <s v="Phase I MS4"/>
    <m/>
    <s v="2017–2018"/>
    <n v="2017"/>
    <n v="6395820"/>
    <n v="6566244.7263157899"/>
    <n v="53.979634884997822"/>
    <n v="625356.64060150378"/>
    <s v="YES"/>
    <x v="1"/>
  </r>
  <r>
    <x v="13"/>
    <x v="0"/>
    <s v="Los Angeles"/>
    <x v="0"/>
    <x v="0"/>
    <s v="Phase I MS4"/>
    <m/>
    <s v="2011–2012"/>
    <n v="2011"/>
    <n v="4771732"/>
    <n v="5338887.0382036464"/>
    <n v="156.1854441741113"/>
    <n v="936646.84880765725"/>
    <s v=""/>
    <x v="0"/>
  </r>
  <r>
    <x v="13"/>
    <x v="0"/>
    <s v="Los Angeles"/>
    <x v="0"/>
    <x v="0"/>
    <s v="Phase I MS4"/>
    <m/>
    <s v="2015–2016"/>
    <n v="2015"/>
    <n v="3728246"/>
    <n v="3958406.1992658228"/>
    <n v="115.80043294227606"/>
    <n v="694457.22794137243"/>
    <s v="YES"/>
    <x v="1"/>
  </r>
  <r>
    <x v="14"/>
    <x v="0"/>
    <s v="San Bernardino"/>
    <x v="2"/>
    <x v="2"/>
    <s v="Phase I MS4"/>
    <m/>
    <s v="2011–2012"/>
    <n v="2011"/>
    <n v="1606000"/>
    <n v="1796884.7754557582"/>
    <n v="340.25464409311837"/>
    <n v="285219.80562789814"/>
    <s v=""/>
    <x v="0"/>
  </r>
  <r>
    <x v="14"/>
    <x v="0"/>
    <s v="San Bernardino"/>
    <x v="2"/>
    <x v="2"/>
    <s v="Phase I MS4"/>
    <m/>
    <s v="2012–2013"/>
    <n v="2012"/>
    <n v="1628000"/>
    <n v="1784212.8397212543"/>
    <n v="337.8551107216918"/>
    <n v="283208.38725734194"/>
    <s v=""/>
    <x v="0"/>
  </r>
  <r>
    <x v="14"/>
    <x v="0"/>
    <s v="San Bernardino"/>
    <x v="2"/>
    <x v="2"/>
    <s v="Phase I MS4"/>
    <m/>
    <s v="2013–2014"/>
    <n v="2013"/>
    <n v="1626000"/>
    <n v="1756017.1931330473"/>
    <n v="332.51603732873457"/>
    <n v="278732.88779889641"/>
    <s v=""/>
    <x v="0"/>
  </r>
  <r>
    <x v="14"/>
    <x v="0"/>
    <s v="San Bernardino"/>
    <x v="2"/>
    <x v="2"/>
    <s v="Phase I MS4"/>
    <m/>
    <s v="2014–2015"/>
    <n v="2014"/>
    <n v="1603000"/>
    <n v="1704116.9961977187"/>
    <n v="322.6883158867106"/>
    <n v="270494.76130122517"/>
    <s v=""/>
    <x v="1"/>
  </r>
  <r>
    <x v="15"/>
    <x v="0"/>
    <s v="Los Angeles"/>
    <x v="0"/>
    <x v="0"/>
    <s v="Phase I MS4"/>
    <m/>
    <s v="2011–2012"/>
    <n v="2011"/>
    <n v="29927"/>
    <n v="33484.041516229438"/>
    <n v="30.889337192093578"/>
    <n v="16742.020758114719"/>
    <s v=""/>
    <x v="0"/>
  </r>
  <r>
    <x v="15"/>
    <x v="0"/>
    <s v="Los Angeles"/>
    <x v="0"/>
    <x v="0"/>
    <s v="Phase I MS4"/>
    <m/>
    <s v="2015–2016"/>
    <n v="2015"/>
    <n v="333000"/>
    <n v="353557.48101265822"/>
    <n v="326.16003783455557"/>
    <n v="176778.74050632911"/>
    <s v="YES"/>
    <x v="1"/>
  </r>
  <r>
    <x v="16"/>
    <x v="0"/>
    <s v="Orange"/>
    <x v="2"/>
    <x v="2"/>
    <s v="Phase I MS4"/>
    <m/>
    <s v="2000–2001"/>
    <n v="2000"/>
    <n v="594575"/>
    <n v="868835.66681184678"/>
    <n v="19.926966510214143"/>
    <n v="71216.038263266135"/>
    <s v=""/>
    <x v="0"/>
  </r>
  <r>
    <x v="16"/>
    <x v="0"/>
    <s v="Orange"/>
    <x v="2"/>
    <x v="2"/>
    <s v="Phase I MS4"/>
    <m/>
    <s v="2001–2002"/>
    <n v="2001"/>
    <n v="472813"/>
    <n v="671792.25298136647"/>
    <n v="15.407725808613712"/>
    <n v="55064.938768964472"/>
    <s v="YES"/>
    <x v="1"/>
  </r>
  <r>
    <x v="17"/>
    <x v="0"/>
    <s v="Orange"/>
    <x v="2"/>
    <x v="2"/>
    <s v="Phase I MS4"/>
    <m/>
    <s v="2000–2001"/>
    <n v="2000"/>
    <n v="229615"/>
    <n v="335529.91907665506"/>
    <n v="4.0709275436679375"/>
    <n v="31955.230388252861"/>
    <s v=""/>
    <x v="0"/>
  </r>
  <r>
    <x v="17"/>
    <x v="0"/>
    <s v="Orange"/>
    <x v="2"/>
    <x v="2"/>
    <s v="Phase I MS4"/>
    <m/>
    <s v="2001–2002"/>
    <n v="2001"/>
    <n v="259500"/>
    <n v="368708.32580463012"/>
    <n v="4.473475519644631"/>
    <n v="35115.078648060015"/>
    <s v="YES"/>
    <x v="1"/>
  </r>
  <r>
    <x v="18"/>
    <x v="0"/>
    <s v="Los Angeles"/>
    <x v="0"/>
    <x v="0"/>
    <s v="Phase I MS4"/>
    <m/>
    <s v="2011–2012"/>
    <n v="2011"/>
    <n v="3728900"/>
    <n v="4172106.8737216541"/>
    <n v="40.234407384364282"/>
    <n v="239776.25711043991"/>
    <s v=""/>
    <x v="0"/>
  </r>
  <r>
    <x v="18"/>
    <x v="0"/>
    <s v="Los Angeles"/>
    <x v="0"/>
    <x v="0"/>
    <s v="Phase I MS4"/>
    <m/>
    <s v="2015–2016"/>
    <n v="2015"/>
    <n v="3610849"/>
    <n v="3833761.7920632907"/>
    <n v="36.971520247488215"/>
    <n v="220331.13747490177"/>
    <s v="YES"/>
    <x v="1"/>
  </r>
  <r>
    <x v="19"/>
    <x v="0"/>
    <s v="Los Angeles"/>
    <x v="0"/>
    <x v="0"/>
    <s v="Phase I MS4"/>
    <m/>
    <s v="2011–2012"/>
    <n v="2011"/>
    <n v="517600"/>
    <n v="579120.52289906633"/>
    <n v="24.176359810431091"/>
    <n v="42271.571014530389"/>
    <s v=""/>
    <x v="0"/>
  </r>
  <r>
    <x v="19"/>
    <x v="0"/>
    <s v="Los Angeles"/>
    <x v="0"/>
    <x v="0"/>
    <s v="Phase I MS4"/>
    <m/>
    <s v="2015–2016"/>
    <n v="2015"/>
    <n v="1078000"/>
    <n v="1144549.4430379746"/>
    <n v="47.781140646154071"/>
    <n v="83543.754966275519"/>
    <s v="YES"/>
    <x v="1"/>
  </r>
  <r>
    <x v="20"/>
    <x v="0"/>
    <s v="Riverside"/>
    <x v="2"/>
    <x v="2"/>
    <s v="Phase I MS4"/>
    <m/>
    <s v="2016–2017"/>
    <n v="2016"/>
    <n v="63015.12"/>
    <n v="66068.990253000011"/>
    <n v="7.3927481540785509"/>
    <n v="4434.1604196644303"/>
    <s v=""/>
    <x v="1"/>
  </r>
  <r>
    <x v="21"/>
    <x v="0"/>
    <s v="Riverside"/>
    <x v="2"/>
    <x v="2"/>
    <s v="Phase I MS4"/>
    <m/>
    <s v="2016–2017"/>
    <n v="2016"/>
    <n v="136617.45000000001"/>
    <n v="143238.27317062503"/>
    <n v="12.713080071946839"/>
    <n v="36727.762351442318"/>
    <s v=""/>
    <x v="1"/>
  </r>
  <r>
    <x v="22"/>
    <x v="0"/>
    <s v="San Diego"/>
    <x v="1"/>
    <x v="1"/>
    <s v="Phase I MS4"/>
    <m/>
    <s v="2016–2017"/>
    <n v="2016"/>
    <n v="3172207"/>
    <n v="3325940.0817375001"/>
    <n v="28.702331625236244"/>
    <n v="88221.22232725464"/>
    <s v=""/>
    <x v="0"/>
  </r>
  <r>
    <x v="22"/>
    <x v="0"/>
    <s v="San Diego"/>
    <x v="1"/>
    <x v="1"/>
    <s v="Phase I MS4"/>
    <m/>
    <s v="2017–2018"/>
    <n v="2017"/>
    <n v="3074372"/>
    <n v="3156292.5366462674"/>
    <n v="27.238300410316693"/>
    <n v="83721.287444198068"/>
    <s v="YES"/>
    <x v="1"/>
  </r>
  <r>
    <x v="23"/>
    <x v="0"/>
    <s v="Los Angeles"/>
    <x v="0"/>
    <x v="0"/>
    <s v="Phase I MS4"/>
    <m/>
    <s v="2011–2012"/>
    <n v="2011"/>
    <n v="1399990"/>
    <n v="1566388.9892841263"/>
    <n v="17.042824851582829"/>
    <n v="83764.117074017457"/>
    <s v=""/>
    <x v="0"/>
  </r>
  <r>
    <x v="23"/>
    <x v="0"/>
    <s v="Los Angeles"/>
    <x v="0"/>
    <x v="0"/>
    <s v="Phase I MS4"/>
    <m/>
    <s v="2015–2016"/>
    <n v="2015"/>
    <n v="1242150"/>
    <n v="1318833.1082278481"/>
    <n v="14.349335845541221"/>
    <n v="70525.834664590802"/>
    <s v="YES"/>
    <x v="1"/>
  </r>
  <r>
    <x v="24"/>
    <x v="0"/>
    <s v="Los Angeles"/>
    <x v="0"/>
    <x v="0"/>
    <s v="Phase I MS4"/>
    <m/>
    <s v="2011–2012"/>
    <n v="2011"/>
    <n v="866763"/>
    <n v="969784.08382836822"/>
    <n v="19.218106373674612"/>
    <n v="111469.43492280095"/>
    <s v=""/>
    <x v="0"/>
  </r>
  <r>
    <x v="24"/>
    <x v="0"/>
    <s v="Los Angeles"/>
    <x v="0"/>
    <x v="0"/>
    <s v="Phase I MS4"/>
    <m/>
    <s v="2015–2016"/>
    <n v="2015"/>
    <n v="840385"/>
    <n v="892265.47651898733"/>
    <n v="17.681928510938672"/>
    <n v="102559.25017459625"/>
    <s v="YES"/>
    <x v="1"/>
  </r>
  <r>
    <x v="25"/>
    <x v="0"/>
    <s v="San Bernardino"/>
    <x v="2"/>
    <x v="2"/>
    <s v="Phase I MS4"/>
    <m/>
    <s v="2011–2012"/>
    <n v="2011"/>
    <n v="718921"/>
    <n v="804369.98733214766"/>
    <n v="8.7829617650890199"/>
    <n v="27083.16455663797"/>
    <s v=""/>
    <x v="0"/>
  </r>
  <r>
    <x v="25"/>
    <x v="0"/>
    <s v="San Bernardino"/>
    <x v="2"/>
    <x v="2"/>
    <s v="Phase I MS4"/>
    <m/>
    <s v="2012–2013"/>
    <n v="2012"/>
    <n v="427368"/>
    <n v="468375.59759581881"/>
    <n v="5.114219861719083"/>
    <n v="15770.222141273362"/>
    <s v=""/>
    <x v="0"/>
  </r>
  <r>
    <x v="25"/>
    <x v="0"/>
    <s v="San Bernardino"/>
    <x v="2"/>
    <x v="2"/>
    <s v="Phase I MS4"/>
    <m/>
    <s v="2013–2014"/>
    <n v="2013"/>
    <n v="427368"/>
    <n v="461540.932223176"/>
    <n v="5.039591760732625"/>
    <n v="15540.098728053064"/>
    <s v=""/>
    <x v="0"/>
  </r>
  <r>
    <x v="25"/>
    <x v="0"/>
    <s v="San Bernardino"/>
    <x v="2"/>
    <x v="2"/>
    <s v="Phase I MS4"/>
    <m/>
    <s v="2014–2015"/>
    <n v="2014"/>
    <n v="514296"/>
    <n v="546737.71346007613"/>
    <n v="5.9698602738507818"/>
    <n v="18408.677220877984"/>
    <s v=""/>
    <x v="1"/>
  </r>
  <r>
    <x v="26"/>
    <x v="0"/>
    <s v="San Bernardino"/>
    <x v="2"/>
    <x v="2"/>
    <s v="Phase I MS4"/>
    <m/>
    <s v="2011–2012"/>
    <n v="2011"/>
    <n v="474600"/>
    <n v="531009.66029346373"/>
    <n v="6.363436196549471"/>
    <n v="11879.410744820218"/>
    <s v=""/>
    <x v="0"/>
  </r>
  <r>
    <x v="26"/>
    <x v="0"/>
    <s v="San Bernardino"/>
    <x v="2"/>
    <x v="2"/>
    <s v="Phase I MS4"/>
    <m/>
    <s v="2012–2013"/>
    <n v="2012"/>
    <n v="390000"/>
    <n v="427421.99477351917"/>
    <n v="5.1220774236763358"/>
    <n v="9562.0133058952833"/>
    <s v=""/>
    <x v="1"/>
  </r>
  <r>
    <x v="27"/>
    <x v="0"/>
    <s v="San Diego"/>
    <x v="1"/>
    <x v="1"/>
    <s v="Phase I MS4"/>
    <m/>
    <s v="2015–2016"/>
    <n v="2015"/>
    <n v="2082466.82"/>
    <n v="2211026.195710633"/>
    <n v="8.1392161107841794"/>
    <n v="44577.141042553085"/>
    <s v=""/>
    <x v="0"/>
  </r>
  <r>
    <x v="27"/>
    <x v="0"/>
    <s v="San Diego"/>
    <x v="1"/>
    <x v="1"/>
    <s v="Phase I MS4"/>
    <m/>
    <s v="2016–2017"/>
    <n v="2016"/>
    <n v="2004501.15"/>
    <n v="2101644.2869818751"/>
    <n v="7.7365600972640447"/>
    <n v="42371.860624634573"/>
    <s v=""/>
    <x v="0"/>
  </r>
  <r>
    <x v="27"/>
    <x v="0"/>
    <s v="San Diego"/>
    <x v="1"/>
    <x v="1"/>
    <s v="Phase I MS4"/>
    <m/>
    <s v="2017–2018"/>
    <n v="2017"/>
    <n v="2785314"/>
    <n v="2859532.2200489598"/>
    <n v="10.526492521834854"/>
    <n v="57651.859275180643"/>
    <s v="YES"/>
    <x v="1"/>
  </r>
  <r>
    <x v="28"/>
    <x v="0"/>
    <s v="Sacramento"/>
    <x v="3"/>
    <x v="3"/>
    <s v="Phase I MS4"/>
    <m/>
    <s v="2015–2016"/>
    <n v="2015"/>
    <n v="3972000"/>
    <n v="4217208.1518987343"/>
    <n v="47.971882060047029"/>
    <n v="296986.48957033339"/>
    <s v="YES"/>
    <x v="1"/>
  </r>
  <r>
    <x v="29"/>
    <x v="0"/>
    <s v="Los Angeles"/>
    <x v="0"/>
    <x v="0"/>
    <s v="Phase I MS4"/>
    <m/>
    <s v="2011–2012"/>
    <n v="2011"/>
    <n v="316429"/>
    <n v="354038.88705646957"/>
    <n v="9.7055454536013368"/>
    <n v="26420.812466900712"/>
    <s v=""/>
    <x v="0"/>
  </r>
  <r>
    <x v="29"/>
    <x v="0"/>
    <s v="Los Angeles"/>
    <x v="0"/>
    <x v="0"/>
    <s v="Phase I MS4"/>
    <m/>
    <s v="2015–2016"/>
    <n v="2015"/>
    <n v="6548132"/>
    <n v="6952375.5413164552"/>
    <n v="190.59091894611697"/>
    <n v="518833.99562063097"/>
    <s v="YES"/>
    <x v="1"/>
  </r>
  <r>
    <x v="30"/>
    <x v="0"/>
    <s v="Fresno"/>
    <x v="3"/>
    <x v="3"/>
    <s v="Phase I MS4"/>
    <m/>
    <s v="2013–2014"/>
    <n v="2013"/>
    <n v="1450700"/>
    <n v="1566699.9643776824"/>
    <n v="13.985645358748124"/>
    <n v="64739.667949491013"/>
    <s v=""/>
    <x v="0"/>
  </r>
  <r>
    <x v="30"/>
    <x v="0"/>
    <s v="Fresno"/>
    <x v="3"/>
    <x v="3"/>
    <s v="Phase I MS4"/>
    <m/>
    <s v="2014–2015"/>
    <n v="2014"/>
    <n v="1564900"/>
    <n v="1663613.6539923956"/>
    <n v="14.850776222459835"/>
    <n v="68744.365867454369"/>
    <s v=""/>
    <x v="0"/>
  </r>
  <r>
    <x v="30"/>
    <x v="0"/>
    <s v="Fresno"/>
    <x v="3"/>
    <x v="3"/>
    <s v="Phase I MS4"/>
    <m/>
    <s v="2015–2016"/>
    <n v="2015"/>
    <n v="2021300"/>
    <n v="2146083.2924050633"/>
    <n v="19.157694849271245"/>
    <n v="88681.127785333199"/>
    <s v="YES"/>
    <x v="1"/>
  </r>
  <r>
    <x v="31"/>
    <x v="0"/>
    <s v="San Bernardino"/>
    <x v="2"/>
    <x v="2"/>
    <s v="Phase I MS4"/>
    <m/>
    <s v="2011–2012"/>
    <n v="2011"/>
    <n v="572856"/>
    <n v="640944.10020453541"/>
    <n v="11.708666268510539"/>
    <n v="41891.771255198393"/>
    <s v=""/>
    <x v="0"/>
  </r>
  <r>
    <x v="31"/>
    <x v="0"/>
    <s v="San Bernardino"/>
    <x v="2"/>
    <x v="2"/>
    <s v="Phase I MS4"/>
    <m/>
    <s v="2012–2013"/>
    <n v="2012"/>
    <n v="572856"/>
    <n v="627823.72881533101"/>
    <n v="11.468985382352002"/>
    <n v="41034.230641524904"/>
    <s v=""/>
    <x v="1"/>
  </r>
  <r>
    <x v="32"/>
    <x v="0"/>
    <s v="Los Angeles"/>
    <x v="0"/>
    <x v="0"/>
    <s v="Phase I MS4"/>
    <m/>
    <s v="2011–2012"/>
    <n v="2011"/>
    <n v="1317115"/>
    <n v="1473663.6930413519"/>
    <n v="15.252633522478982"/>
    <n v="147366.36930413518"/>
    <s v=""/>
    <x v="0"/>
  </r>
  <r>
    <x v="32"/>
    <x v="0"/>
    <s v="Los Angeles"/>
    <x v="0"/>
    <x v="0"/>
    <s v="Phase I MS4"/>
    <m/>
    <s v="2015–2016"/>
    <n v="2015"/>
    <n v="463000"/>
    <n v="491582.92405063286"/>
    <n v="5.0879547496882829"/>
    <n v="49158.292405063286"/>
    <s v="YES"/>
    <x v="1"/>
  </r>
  <r>
    <x v="33"/>
    <x v="0"/>
    <s v="Riverside"/>
    <x v="2"/>
    <x v="2"/>
    <s v="Phase I MS4"/>
    <m/>
    <s v="2016–2017"/>
    <n v="2016"/>
    <n v="1567499"/>
    <n v="1643463.9202875001"/>
    <n v="9.7350648936879143"/>
    <n v="41606.681526265827"/>
    <s v=""/>
    <x v="1"/>
  </r>
  <r>
    <x v="34"/>
    <x v="0"/>
    <s v="San Diego"/>
    <x v="1"/>
    <x v="1"/>
    <s v="Phase I MS4"/>
    <m/>
    <s v="2015–2016"/>
    <n v="2015"/>
    <n v="1079696"/>
    <n v="1146350.1442025315"/>
    <n v="53.592807115592876"/>
    <n v="145107.61319019386"/>
    <s v=""/>
    <x v="0"/>
  </r>
  <r>
    <x v="34"/>
    <x v="0"/>
    <s v="San Diego"/>
    <x v="1"/>
    <x v="1"/>
    <s v="Phase I MS4"/>
    <m/>
    <s v="2016–2017"/>
    <n v="2016"/>
    <n v="1733915.05"/>
    <n v="1817944.9081106251"/>
    <n v="84.99041178637799"/>
    <n v="230119.6086215981"/>
    <s v=""/>
    <x v="0"/>
  </r>
  <r>
    <x v="34"/>
    <x v="0"/>
    <s v="San Diego"/>
    <x v="1"/>
    <x v="1"/>
    <s v="Phase I MS4"/>
    <m/>
    <s v="2017–2018"/>
    <n v="2017"/>
    <n v="1092964"/>
    <n v="1122087.410379437"/>
    <n v="52.458504459066717"/>
    <n v="142036.38106068823"/>
    <s v="YES"/>
    <x v="1"/>
  </r>
  <r>
    <x v="35"/>
    <x v="0"/>
    <s v="Orange"/>
    <x v="2"/>
    <x v="2"/>
    <s v="Phase I MS4"/>
    <m/>
    <s v="2000–2001"/>
    <n v="2000"/>
    <n v="1057340"/>
    <n v="1545061.1006968643"/>
    <n v="13.599094315863788"/>
    <n v="98411.535076233398"/>
    <s v=""/>
    <x v="1"/>
  </r>
  <r>
    <x v="36"/>
    <x v="0"/>
    <s v="Los Angeles"/>
    <x v="0"/>
    <x v="0"/>
    <s v="Phase I MS4"/>
    <m/>
    <s v="2011–2012"/>
    <n v="2011"/>
    <n v="2584375"/>
    <n v="2891546.7568919519"/>
    <n v="60.287028686528195"/>
    <n v="413078.1081274217"/>
    <s v=""/>
    <x v="0"/>
  </r>
  <r>
    <x v="36"/>
    <x v="0"/>
    <s v="Los Angeles"/>
    <x v="0"/>
    <x v="0"/>
    <s v="Phase I MS4"/>
    <m/>
    <s v="2015–2016"/>
    <n v="2015"/>
    <n v="741131"/>
    <n v="786884.11249367089"/>
    <n v="16.406065352327229"/>
    <n v="112412.01607052442"/>
    <s v="YES"/>
    <x v="1"/>
  </r>
  <r>
    <x v="37"/>
    <x v="0"/>
    <s v="Los Angeles"/>
    <x v="0"/>
    <x v="0"/>
    <s v="Phase I MS4"/>
    <m/>
    <s v="2011–2012"/>
    <n v="2011"/>
    <n v="11809000"/>
    <n v="13212585.500222322"/>
    <n v="336.93541847866379"/>
    <n v="2590703.0392592791"/>
    <s v=""/>
    <x v="0"/>
  </r>
  <r>
    <x v="37"/>
    <x v="0"/>
    <s v="Los Angeles"/>
    <x v="0"/>
    <x v="0"/>
    <s v="Phase I MS4"/>
    <m/>
    <s v="2015–2016"/>
    <n v="2015"/>
    <n v="915611"/>
    <n v="972135.49173417711"/>
    <n v="24.790521031625875"/>
    <n v="190614.80230081905"/>
    <s v="YES"/>
    <x v="1"/>
  </r>
  <r>
    <x v="38"/>
    <x v="0"/>
    <s v="Orange"/>
    <x v="2"/>
    <x v="2"/>
    <s v="Phase I MS4"/>
    <m/>
    <s v="2000–2001"/>
    <n v="2000"/>
    <n v="415397"/>
    <n v="607007.91235191643"/>
    <n v="12.398543901955072"/>
    <n v="91970.895810896429"/>
    <s v=""/>
    <x v="0"/>
  </r>
  <r>
    <x v="38"/>
    <x v="0"/>
    <s v="Orange"/>
    <x v="2"/>
    <x v="2"/>
    <s v="Phase I MS4"/>
    <m/>
    <s v="2001–2002"/>
    <n v="2001"/>
    <n v="546826"/>
    <n v="776952.98252964427"/>
    <n v="15.869785990637777"/>
    <n v="117720.14886812793"/>
    <s v=""/>
    <x v="1"/>
  </r>
  <r>
    <x v="39"/>
    <x v="0"/>
    <s v="Orange"/>
    <x v="1"/>
    <x v="1"/>
    <s v="Phase I MS4"/>
    <m/>
    <s v="2000–2001"/>
    <n v="2000"/>
    <n v="425616"/>
    <n v="621940.64864111505"/>
    <n v="18.43879776582019"/>
    <n v="95683.176714017696"/>
    <s v=""/>
    <x v="0"/>
  </r>
  <r>
    <x v="39"/>
    <x v="0"/>
    <s v="Orange"/>
    <x v="1"/>
    <x v="1"/>
    <s v="Phase I MS4"/>
    <m/>
    <s v="2001–2002"/>
    <n v="2001"/>
    <n v="580058"/>
    <n v="824170.38169395819"/>
    <n v="24.434342771833922"/>
    <n v="126795.44333753202"/>
    <s v=""/>
    <x v="0"/>
  </r>
  <r>
    <x v="39"/>
    <x v="0"/>
    <s v="Orange"/>
    <x v="1"/>
    <x v="1"/>
    <s v="Phase I MS4"/>
    <m/>
    <s v="2013–2014"/>
    <n v="2013"/>
    <n v="1764049"/>
    <n v="1905104.7807682403"/>
    <n v="56.481019293455091"/>
    <n v="293093.04319511389"/>
    <s v=""/>
    <x v="0"/>
  </r>
  <r>
    <x v="39"/>
    <x v="0"/>
    <s v="Orange"/>
    <x v="1"/>
    <x v="1"/>
    <s v="Phase I MS4"/>
    <m/>
    <s v="2014–2015"/>
    <n v="2014"/>
    <n v="2011399"/>
    <n v="2138277.7430038024"/>
    <n v="63.393944352321448"/>
    <n v="328965.80661596957"/>
    <s v=""/>
    <x v="0"/>
  </r>
  <r>
    <x v="39"/>
    <x v="0"/>
    <s v="Orange"/>
    <x v="1"/>
    <x v="1"/>
    <s v="Phase I MS4"/>
    <m/>
    <s v="2015–2016"/>
    <n v="2015"/>
    <n v="2009836"/>
    <n v="2133911.5717974682"/>
    <n v="63.264499608581922"/>
    <n v="328294.08796884125"/>
    <s v=""/>
    <x v="0"/>
  </r>
  <r>
    <x v="39"/>
    <x v="0"/>
    <s v="Orange"/>
    <x v="1"/>
    <x v="1"/>
    <s v="Phase I MS4"/>
    <m/>
    <s v="2016–2017"/>
    <n v="2016"/>
    <n v="2048250"/>
    <n v="2147513.3156250003"/>
    <n v="63.667753205603326"/>
    <n v="330386.66394230776"/>
    <s v=""/>
    <x v="0"/>
  </r>
  <r>
    <x v="39"/>
    <x v="0"/>
    <s v="Orange"/>
    <x v="1"/>
    <x v="1"/>
    <s v="Phase I MS4"/>
    <m/>
    <s v="2017–2018"/>
    <n v="2017"/>
    <n v="2084005"/>
    <n v="2139535.9533047737"/>
    <n v="63.43124676266747"/>
    <n v="329159.37743150361"/>
    <s v="YES"/>
    <x v="1"/>
  </r>
  <r>
    <x v="40"/>
    <x v="0"/>
    <s v="San Diego"/>
    <x v="1"/>
    <x v="1"/>
    <s v="Phase I MS4"/>
    <m/>
    <s v="2015–2016"/>
    <n v="2015"/>
    <n v="550670"/>
    <n v="584665.15936708858"/>
    <n v="134.49854137729207"/>
    <n v="343920.68198064034"/>
    <s v=""/>
    <x v="0"/>
  </r>
  <r>
    <x v="40"/>
    <x v="0"/>
    <s v="San Diego"/>
    <x v="1"/>
    <x v="1"/>
    <s v="Phase I MS4"/>
    <m/>
    <s v="2016–2017"/>
    <n v="2016"/>
    <n v="573090"/>
    <n v="600863.37412500009"/>
    <n v="138.22483876811597"/>
    <n v="353449.04360294127"/>
    <s v=""/>
    <x v="0"/>
  </r>
  <r>
    <x v="40"/>
    <x v="0"/>
    <s v="San Diego"/>
    <x v="1"/>
    <x v="1"/>
    <s v="Phase I MS4"/>
    <m/>
    <s v="2017–2018"/>
    <n v="2017"/>
    <n v="592211"/>
    <n v="607991.21232558147"/>
    <n v="139.86455309997274"/>
    <n v="357641.8896032832"/>
    <s v="YES"/>
    <x v="1"/>
  </r>
  <r>
    <x v="41"/>
    <x v="0"/>
    <s v="Los Angeles"/>
    <x v="0"/>
    <x v="0"/>
    <s v="Phase I MS4"/>
    <m/>
    <s v="2011–2012"/>
    <n v="2011"/>
    <n v="561402"/>
    <n v="628128.70903512673"/>
    <n v="11.161771817594433"/>
    <n v="42156.289196988371"/>
    <s v=""/>
    <x v="0"/>
  </r>
  <r>
    <x v="41"/>
    <x v="0"/>
    <s v="Los Angeles"/>
    <x v="0"/>
    <x v="0"/>
    <s v="Phase I MS4"/>
    <m/>
    <s v="2015–2016"/>
    <n v="2015"/>
    <n v="394000"/>
    <n v="418323.2658227848"/>
    <n v="7.43355425717965"/>
    <n v="28075.386967972132"/>
    <s v="YES"/>
    <x v="1"/>
  </r>
  <r>
    <x v="42"/>
    <x v="0"/>
    <s v="Los Angeles"/>
    <x v="0"/>
    <x v="0"/>
    <s v="Phase I MS4"/>
    <m/>
    <s v="2011–2012"/>
    <n v="2011"/>
    <n v="1065783"/>
    <n v="1192459.057683415"/>
    <n v="10.621445436259474"/>
    <n v="96166.053038985076"/>
    <s v=""/>
    <x v="0"/>
  </r>
  <r>
    <x v="42"/>
    <x v="0"/>
    <s v="Los Angeles"/>
    <x v="0"/>
    <x v="0"/>
    <s v="Phase I MS4"/>
    <m/>
    <s v="2015–2016"/>
    <n v="2015"/>
    <n v="1272735"/>
    <n v="1351306.2480379746"/>
    <n v="12.036325682405424"/>
    <n v="108976.31032564311"/>
    <s v="YES"/>
    <x v="1"/>
  </r>
  <r>
    <x v="43"/>
    <x v="0"/>
    <s v="Los Angeles"/>
    <x v="0"/>
    <x v="0"/>
    <s v="Phase I MS4"/>
    <m/>
    <s v="2011–2012"/>
    <n v="2011"/>
    <n v="561210"/>
    <n v="627913.88843930641"/>
    <n v="29.168666718042758"/>
    <n v="93718.490811836775"/>
    <s v=""/>
    <x v="0"/>
  </r>
  <r>
    <x v="43"/>
    <x v="0"/>
    <s v="Los Angeles"/>
    <x v="0"/>
    <x v="0"/>
    <s v="Phase I MS4"/>
    <m/>
    <s v="2015–2016"/>
    <n v="2015"/>
    <n v="737900"/>
    <n v="783453.64936708857"/>
    <n v="36.394000528038674"/>
    <n v="116933.38050255053"/>
    <s v="YES"/>
    <x v="1"/>
  </r>
  <r>
    <x v="44"/>
    <x v="0"/>
    <s v="Riverside"/>
    <x v="2"/>
    <x v="2"/>
    <s v="Phase I MS4"/>
    <m/>
    <s v="2016–2017"/>
    <n v="2016"/>
    <n v="139145.35"/>
    <n v="145888.68152437502"/>
    <n v="2.2506044479401286"/>
    <n v="11487.297757824805"/>
    <s v=""/>
    <x v="1"/>
  </r>
  <r>
    <x v="45"/>
    <x v="0"/>
    <s v="San Diego"/>
    <x v="1"/>
    <x v="1"/>
    <s v="Phase I MS4"/>
    <m/>
    <s v="2010–2011"/>
    <n v="2010"/>
    <n v="1111853"/>
    <n v="1282790.840178817"/>
    <n v="12.425207429013833"/>
    <n v="88468.333805435657"/>
    <s v=""/>
    <x v="0"/>
  </r>
  <r>
    <x v="45"/>
    <x v="0"/>
    <s v="San Diego"/>
    <x v="1"/>
    <x v="1"/>
    <s v="Phase I MS4"/>
    <m/>
    <s v="2011–2012"/>
    <n v="2011"/>
    <n v="1110397"/>
    <n v="1242375.7559226323"/>
    <n v="12.03374391881745"/>
    <n v="85681.086615353954"/>
    <s v=""/>
    <x v="0"/>
  </r>
  <r>
    <x v="45"/>
    <x v="0"/>
    <s v="San Diego"/>
    <x v="1"/>
    <x v="1"/>
    <s v="Phase I MS4"/>
    <m/>
    <s v="2012–2013"/>
    <n v="2012"/>
    <n v="1096576"/>
    <n v="1201796.6701045297"/>
    <n v="11.640691877301942"/>
    <n v="82882.528972726184"/>
    <s v=""/>
    <x v="0"/>
  </r>
  <r>
    <x v="45"/>
    <x v="0"/>
    <s v="San Diego"/>
    <x v="1"/>
    <x v="1"/>
    <s v="Phase I MS4"/>
    <m/>
    <s v="2013–2014"/>
    <n v="2013"/>
    <n v="1115831"/>
    <n v="1205054.3792317598"/>
    <n v="11.672246290056856"/>
    <n v="83107.198567707572"/>
    <s v=""/>
    <x v="0"/>
  </r>
  <r>
    <x v="45"/>
    <x v="0"/>
    <s v="San Diego"/>
    <x v="1"/>
    <x v="1"/>
    <s v="Phase I MS4"/>
    <m/>
    <s v="2014–2015"/>
    <n v="2014"/>
    <n v="1067595"/>
    <n v="1134938.730228137"/>
    <n v="10.993100902046057"/>
    <n v="78271.636567457725"/>
    <s v=""/>
    <x v="0"/>
  </r>
  <r>
    <x v="45"/>
    <x v="0"/>
    <s v="San Diego"/>
    <x v="1"/>
    <x v="1"/>
    <s v="Phase I MS4"/>
    <m/>
    <s v="2015–2016"/>
    <n v="2015"/>
    <n v="1108438"/>
    <n v="1176866.5079240506"/>
    <n v="11.399216473339569"/>
    <n v="81163.207443037973"/>
    <s v=""/>
    <x v="0"/>
  </r>
  <r>
    <x v="45"/>
    <x v="0"/>
    <s v="San Diego"/>
    <x v="1"/>
    <x v="1"/>
    <s v="Phase I MS4"/>
    <m/>
    <s v="2016–2017"/>
    <n v="2016"/>
    <n v="1779885"/>
    <n v="1866142.6768125002"/>
    <n v="18.075596679734797"/>
    <n v="128699.49495258622"/>
    <s v="YES"/>
    <x v="0"/>
  </r>
  <r>
    <x v="45"/>
    <x v="0"/>
    <s v="San Diego"/>
    <x v="1"/>
    <x v="1"/>
    <s v="Phase I MS4"/>
    <m/>
    <s v="2017–2018"/>
    <n v="2017"/>
    <n v="1558149"/>
    <n v="1599667.8540146882"/>
    <n v="15.494501738792612"/>
    <n v="110321.92096653022"/>
    <s v=""/>
    <x v="1"/>
  </r>
  <r>
    <x v="46"/>
    <x v="0"/>
    <s v="Imperial"/>
    <x v="5"/>
    <x v="5"/>
    <s v="Phase II MS4"/>
    <m/>
    <s v="2013–2014"/>
    <n v="2013"/>
    <n v="19897"/>
    <n v="21487.991446351931"/>
    <n v="0.4870351642418842"/>
    <n v="1918.570664852851"/>
    <s v=""/>
    <x v="0"/>
  </r>
  <r>
    <x v="46"/>
    <x v="0"/>
    <s v="Imperial"/>
    <x v="5"/>
    <x v="5"/>
    <s v="Phase II MS4"/>
    <m/>
    <s v="2014–2015"/>
    <n v="2014"/>
    <n v="122649"/>
    <n v="130385.6802661597"/>
    <n v="2.9552511393055236"/>
    <n v="11641.578595192832"/>
    <s v=""/>
    <x v="0"/>
  </r>
  <r>
    <x v="46"/>
    <x v="0"/>
    <s v="Imperial"/>
    <x v="5"/>
    <x v="5"/>
    <s v="Phase II MS4"/>
    <m/>
    <s v="2015–2016"/>
    <n v="2015"/>
    <n v="144820"/>
    <n v="153760.34354430379"/>
    <n v="3.4850485844130503"/>
    <n v="13728.602102169982"/>
    <s v=""/>
    <x v="1"/>
  </r>
  <r>
    <x v="47"/>
    <x v="0"/>
    <s v="Los Angeles"/>
    <x v="0"/>
    <x v="0"/>
    <s v="Phase I MS4"/>
    <m/>
    <s v="2011–2012"/>
    <n v="2011"/>
    <n v="691143"/>
    <n v="773290.3700889285"/>
    <n v="6.69017329165235"/>
    <n v="80551.080217596726"/>
    <s v=""/>
    <x v="0"/>
  </r>
  <r>
    <x v="47"/>
    <x v="0"/>
    <s v="Los Angeles"/>
    <x v="0"/>
    <x v="0"/>
    <s v="Phase I MS4"/>
    <m/>
    <s v="2015–2016"/>
    <n v="2015"/>
    <n v="1402076"/>
    <n v="1488632.0082531644"/>
    <n v="12.878999258155524"/>
    <n v="155065.83419303797"/>
    <s v="YES"/>
    <x v="1"/>
  </r>
  <r>
    <x v="48"/>
    <x v="0"/>
    <s v="Los Angeles"/>
    <x v="0"/>
    <x v="0"/>
    <s v="Phase I MS4"/>
    <m/>
    <s v="2010–2011"/>
    <n v="2010"/>
    <n v="791300"/>
    <n v="912955.57221458049"/>
    <n v="54.605871895124139"/>
    <n v="165991.92222083281"/>
    <s v=""/>
    <x v="0"/>
  </r>
  <r>
    <x v="48"/>
    <x v="0"/>
    <s v="Los Angeles"/>
    <x v="0"/>
    <x v="0"/>
    <s v="Phase I MS4"/>
    <m/>
    <s v="2011–2012"/>
    <n v="2011"/>
    <n v="2000900"/>
    <n v="2238721.5113383727"/>
    <n v="133.90283577596583"/>
    <n v="407040.27478879504"/>
    <s v=""/>
    <x v="0"/>
  </r>
  <r>
    <x v="48"/>
    <x v="0"/>
    <s v="Los Angeles"/>
    <x v="0"/>
    <x v="0"/>
    <s v="Phase I MS4"/>
    <m/>
    <s v="2015–2016"/>
    <n v="2015"/>
    <n v="2284600"/>
    <n v="2425637.9012658228"/>
    <n v="145.08271435288131"/>
    <n v="441025.07295742235"/>
    <s v="YES"/>
    <x v="1"/>
  </r>
  <r>
    <x v="49"/>
    <x v="0"/>
    <s v="Sacramento"/>
    <x v="3"/>
    <x v="3"/>
    <s v="Phase I MS4"/>
    <m/>
    <s v="2011–2012"/>
    <n v="2011"/>
    <n v="637200"/>
    <n v="712935.85237883509"/>
    <n v="4.1237338614973744"/>
    <n v="16894.214511346803"/>
    <s v=""/>
    <x v="0"/>
  </r>
  <r>
    <x v="49"/>
    <x v="0"/>
    <s v="Sacramento"/>
    <x v="3"/>
    <x v="3"/>
    <s v="Phase I MS4"/>
    <m/>
    <s v="2012–2013"/>
    <n v="2012"/>
    <n v="686100"/>
    <n v="751933.92465156794"/>
    <n v="4.3493048867552488"/>
    <n v="17818.339446719619"/>
    <s v=""/>
    <x v="0"/>
  </r>
  <r>
    <x v="49"/>
    <x v="0"/>
    <s v="Sacramento"/>
    <x v="3"/>
    <x v="3"/>
    <s v="Phase I MS4"/>
    <m/>
    <s v="2013–2014"/>
    <n v="2013"/>
    <n v="769100"/>
    <n v="830598.29227467813"/>
    <n v="4.8043120453632921"/>
    <n v="19682.423987551614"/>
    <s v=""/>
    <x v="0"/>
  </r>
  <r>
    <x v="49"/>
    <x v="0"/>
    <s v="Sacramento"/>
    <x v="3"/>
    <x v="3"/>
    <s v="Phase I MS4"/>
    <m/>
    <s v="2014–2015"/>
    <n v="2014"/>
    <n v="822640"/>
    <n v="874532.00608365028"/>
    <n v="5.0584316028113916"/>
    <n v="20723.507253167067"/>
    <s v=""/>
    <x v="0"/>
  </r>
  <r>
    <x v="49"/>
    <x v="0"/>
    <s v="Sacramento"/>
    <x v="3"/>
    <x v="3"/>
    <s v="Phase I MS4"/>
    <m/>
    <s v="2015–2016"/>
    <n v="2015"/>
    <n v="909989"/>
    <n v="966166.42218987341"/>
    <n v="5.5884595756155697"/>
    <n v="22894.938914451974"/>
    <s v="YES"/>
    <x v="1"/>
  </r>
  <r>
    <x v="50"/>
    <x v="0"/>
    <s v="San Diego"/>
    <x v="1"/>
    <x v="1"/>
    <s v="Phase I MS4"/>
    <m/>
    <s v="2016–2017"/>
    <n v="2016"/>
    <n v="2861435"/>
    <n v="3000107.2936875001"/>
    <n v="47.693426390809805"/>
    <n v="159580.17519614362"/>
    <s v=""/>
    <x v="0"/>
  </r>
  <r>
    <x v="50"/>
    <x v="0"/>
    <s v="San Diego"/>
    <x v="1"/>
    <x v="1"/>
    <s v="Phase I MS4"/>
    <m/>
    <s v="2017–2018"/>
    <n v="2017"/>
    <n v="2543707"/>
    <n v="2611487.2954589967"/>
    <n v="41.515440917254814"/>
    <n v="138908.89869462748"/>
    <s v="YES"/>
    <x v="1"/>
  </r>
  <r>
    <x v="51"/>
    <x v="0"/>
    <s v="San Diego"/>
    <x v="1"/>
    <x v="1"/>
    <s v="Phase I MS4"/>
    <m/>
    <s v="2016–2017"/>
    <n v="2016"/>
    <n v="1605539"/>
    <n v="1683347.4337875"/>
    <n v="11.059156798614442"/>
    <n v="45373.246193733154"/>
    <s v=""/>
    <x v="0"/>
  </r>
  <r>
    <x v="51"/>
    <x v="0"/>
    <s v="San Diego"/>
    <x v="1"/>
    <x v="1"/>
    <s v="Phase I MS4"/>
    <m/>
    <s v="2017–2018"/>
    <n v="2017"/>
    <n v="1903118"/>
    <n v="1953828.9900367199"/>
    <n v="12.836150591846426"/>
    <n v="52663.854178887326"/>
    <s v="YES"/>
    <x v="1"/>
  </r>
  <r>
    <x v="52"/>
    <x v="0"/>
    <s v="Sacramento"/>
    <x v="3"/>
    <x v="3"/>
    <s v="Phase I MS4"/>
    <m/>
    <s v="2011–2012"/>
    <n v="2011"/>
    <n v="453718"/>
    <n v="507645.68278345931"/>
    <n v="6.4241057273096009"/>
    <n v="18326.558945251239"/>
    <s v=""/>
    <x v="0"/>
  </r>
  <r>
    <x v="52"/>
    <x v="0"/>
    <s v="Sacramento"/>
    <x v="3"/>
    <x v="3"/>
    <s v="Phase I MS4"/>
    <m/>
    <s v="2012–2013"/>
    <n v="2012"/>
    <n v="843291"/>
    <n v="924208.00357578404"/>
    <n v="11.695578491759054"/>
    <n v="33364.909876382095"/>
    <s v=""/>
    <x v="0"/>
  </r>
  <r>
    <x v="52"/>
    <x v="0"/>
    <s v="Sacramento"/>
    <x v="3"/>
    <x v="3"/>
    <s v="Phase I MS4"/>
    <m/>
    <s v="2013–2014"/>
    <n v="2013"/>
    <n v="725284"/>
    <n v="783278.7047381975"/>
    <n v="9.9121599647971141"/>
    <n v="28277.209557335649"/>
    <s v=""/>
    <x v="0"/>
  </r>
  <r>
    <x v="52"/>
    <x v="0"/>
    <s v="Sacramento"/>
    <x v="3"/>
    <x v="3"/>
    <s v="Phase I MS4"/>
    <m/>
    <s v="2014–2015"/>
    <n v="2014"/>
    <n v="838950"/>
    <n v="891870.83840304194"/>
    <n v="11.286361246273721"/>
    <n v="32197.503191445558"/>
    <s v=""/>
    <x v="0"/>
  </r>
  <r>
    <x v="52"/>
    <x v="0"/>
    <s v="Sacramento"/>
    <x v="3"/>
    <x v="3"/>
    <s v="Phase I MS4"/>
    <m/>
    <s v="2015–2016"/>
    <n v="2015"/>
    <n v="824268"/>
    <n v="875153.5067848101"/>
    <n v="11.074808367097898"/>
    <n v="31593.989414614083"/>
    <s v="YES"/>
    <x v="1"/>
  </r>
  <r>
    <x v="53"/>
    <x v="0"/>
    <s v="San Bernardino"/>
    <x v="2"/>
    <x v="2"/>
    <s v="Phase I MS4"/>
    <m/>
    <s v="2011–2012"/>
    <n v="2011"/>
    <n v="1895337"/>
    <n v="2120611.5813561585"/>
    <n v="9.9215004344371334"/>
    <n v="49316.54840363159"/>
    <s v=""/>
    <x v="0"/>
  </r>
  <r>
    <x v="53"/>
    <x v="0"/>
    <s v="San Bernardino"/>
    <x v="2"/>
    <x v="2"/>
    <s v="Phase I MS4"/>
    <m/>
    <s v="2012–2013"/>
    <n v="2012"/>
    <n v="1978411"/>
    <n v="2168247.1182099301"/>
    <n v="10.144368216422507"/>
    <n v="50424.351586277444"/>
    <s v=""/>
    <x v="0"/>
  </r>
  <r>
    <x v="53"/>
    <x v="0"/>
    <s v="San Bernardino"/>
    <x v="2"/>
    <x v="2"/>
    <s v="Phase I MS4"/>
    <m/>
    <s v="2013–2014"/>
    <n v="2013"/>
    <n v="1629644"/>
    <n v="1759952.5723776824"/>
    <n v="8.2341199892283701"/>
    <n v="40929.129590178658"/>
    <s v=""/>
    <x v="0"/>
  </r>
  <r>
    <x v="53"/>
    <x v="0"/>
    <s v="San Bernardino"/>
    <x v="2"/>
    <x v="2"/>
    <s v="Phase I MS4"/>
    <m/>
    <s v="2014–2015"/>
    <n v="2014"/>
    <n v="1783488"/>
    <n v="1895990.1517870724"/>
    <n v="8.8705858630716552"/>
    <n v="44092.794227606333"/>
    <s v=""/>
    <x v="1"/>
  </r>
  <r>
    <x v="54"/>
    <x v="0"/>
    <s v="Orange"/>
    <x v="2"/>
    <x v="2"/>
    <s v="Phase I MS4"/>
    <m/>
    <s v="2000–2001"/>
    <n v="2000"/>
    <n v="1377121"/>
    <n v="2012348.0508188156"/>
    <n v="36.054539198387779"/>
    <n v="221137.14844162809"/>
    <s v=""/>
    <x v="0"/>
  </r>
  <r>
    <x v="54"/>
    <x v="0"/>
    <s v="Orange"/>
    <x v="2"/>
    <x v="2"/>
    <s v="Phase I MS4"/>
    <m/>
    <s v="2001–2002"/>
    <n v="2001"/>
    <n v="1836814"/>
    <n v="2609821.2514624507"/>
    <n v="46.75925845598686"/>
    <n v="286793.54411675286"/>
    <s v="YES"/>
    <x v="1"/>
  </r>
  <r>
    <x v="55"/>
    <x v="0"/>
    <s v="Fresno"/>
    <x v="3"/>
    <x v="3"/>
    <s v="Phase I MS4"/>
    <m/>
    <s v="2013–2014"/>
    <n v="2013"/>
    <n v="4681124"/>
    <n v="5055433.1040515024"/>
    <n v="9.5368795740587071"/>
    <n v="44190.848811639007"/>
    <s v=""/>
    <x v="0"/>
  </r>
  <r>
    <x v="55"/>
    <x v="0"/>
    <s v="Fresno"/>
    <x v="3"/>
    <x v="3"/>
    <s v="Phase I MS4"/>
    <m/>
    <s v="2014–2015"/>
    <n v="2014"/>
    <n v="10085804"/>
    <n v="10722014.982357414"/>
    <n v="20.226667740108649"/>
    <n v="93723.907188438927"/>
    <s v=""/>
    <x v="0"/>
  </r>
  <r>
    <x v="55"/>
    <x v="0"/>
    <s v="Fresno"/>
    <x v="3"/>
    <x v="3"/>
    <s v="Phase I MS4"/>
    <m/>
    <s v="2015–2016"/>
    <n v="2015"/>
    <n v="10253444"/>
    <n v="10886431.928962024"/>
    <n v="20.536833968684785"/>
    <n v="95161.118260157542"/>
    <s v="YES"/>
    <x v="1"/>
  </r>
  <r>
    <x v="56"/>
    <x v="1"/>
    <s v="Fresno"/>
    <x v="3"/>
    <x v="3"/>
    <s v="Phase I MS4"/>
    <m/>
    <s v="2013–2014"/>
    <n v="2013"/>
    <n v="21668823"/>
    <n v="23401491.84683691"/>
    <e v="#N/A"/>
    <e v="#N/A"/>
    <s v=""/>
    <x v="0"/>
  </r>
  <r>
    <x v="56"/>
    <x v="1"/>
    <s v="Fresno"/>
    <x v="3"/>
    <x v="3"/>
    <s v="Phase I MS4"/>
    <m/>
    <s v="2014–2015"/>
    <n v="2014"/>
    <n v="17231265"/>
    <n v="18318210.575475287"/>
    <e v="#N/A"/>
    <e v="#N/A"/>
    <s v=""/>
    <x v="0"/>
  </r>
  <r>
    <x v="56"/>
    <x v="1"/>
    <s v="Fresno"/>
    <x v="3"/>
    <x v="3"/>
    <s v="Phase I MS4"/>
    <m/>
    <s v="2015–2016"/>
    <n v="2015"/>
    <n v="25691316"/>
    <n v="27277348.254835442"/>
    <e v="#N/A"/>
    <e v="#N/A"/>
    <s v="YES"/>
    <x v="1"/>
  </r>
  <r>
    <x v="57"/>
    <x v="0"/>
    <s v="Orange"/>
    <x v="2"/>
    <x v="2"/>
    <s v="Phase I MS4"/>
    <m/>
    <s v="2000–2001"/>
    <n v="2000"/>
    <n v="1180897"/>
    <n v="1725611.4576480838"/>
    <n v="12.357572741679203"/>
    <n v="77036.225787860894"/>
    <s v=""/>
    <x v="0"/>
  </r>
  <r>
    <x v="57"/>
    <x v="0"/>
    <s v="Orange"/>
    <x v="2"/>
    <x v="2"/>
    <s v="Phase I MS4"/>
    <m/>
    <s v="2001–2002"/>
    <n v="2001"/>
    <n v="1660239"/>
    <n v="2358936.1931620552"/>
    <n v="16.892983336880945"/>
    <n v="105309.6514804489"/>
    <s v="YES"/>
    <x v="1"/>
  </r>
  <r>
    <x v="58"/>
    <x v="0"/>
    <s v="Orange"/>
    <x v="2"/>
    <x v="2"/>
    <s v="Phase I MS4"/>
    <m/>
    <s v="2000–2001"/>
    <n v="2000"/>
    <n v="956449"/>
    <n v="1397631.9298432057"/>
    <n v="8.0953623590654047"/>
    <n v="77646.218324622547"/>
    <s v=""/>
    <x v="0"/>
  </r>
  <r>
    <x v="58"/>
    <x v="0"/>
    <s v="Orange"/>
    <x v="2"/>
    <x v="2"/>
    <s v="Phase I MS4"/>
    <m/>
    <s v="2001–2002"/>
    <n v="2001"/>
    <n v="1184806"/>
    <n v="1683421.335889328"/>
    <n v="9.7507114899234733"/>
    <n v="93523.407549407115"/>
    <s v="YES"/>
    <x v="1"/>
  </r>
  <r>
    <x v="59"/>
    <x v="0"/>
    <s v="Los Angeles"/>
    <x v="0"/>
    <x v="0"/>
    <s v="Phase I MS4"/>
    <m/>
    <s v="2011–2012"/>
    <n v="2011"/>
    <n v="737673"/>
    <n v="825350.79885726993"/>
    <n v="13.820110159864536"/>
    <n v="142301.86187194308"/>
    <s v=""/>
    <x v="0"/>
  </r>
  <r>
    <x v="59"/>
    <x v="0"/>
    <s v="Los Angeles"/>
    <x v="0"/>
    <x v="0"/>
    <s v="Phase I MS4"/>
    <m/>
    <s v="2015–2016"/>
    <n v="2015"/>
    <n v="798442"/>
    <n v="847733.15992405056"/>
    <n v="14.194892247685916"/>
    <n v="146160.88964207767"/>
    <s v="YES"/>
    <x v="1"/>
  </r>
  <r>
    <x v="60"/>
    <x v="0"/>
    <s v="Los Angeles"/>
    <x v="0"/>
    <x v="0"/>
    <s v="Phase I MS4"/>
    <m/>
    <s v="2011–2012"/>
    <n v="2011"/>
    <n v="17908618"/>
    <n v="20037187.443121389"/>
    <n v="99.508779967925207"/>
    <n v="659118.0079974141"/>
    <s v=""/>
    <x v="0"/>
  </r>
  <r>
    <x v="60"/>
    <x v="0"/>
    <s v="Los Angeles"/>
    <x v="0"/>
    <x v="0"/>
    <s v="Phase I MS4"/>
    <m/>
    <s v="2015–2016"/>
    <n v="2015"/>
    <n v="723000"/>
    <n v="767633.81012658228"/>
    <n v="3.8122268469394882"/>
    <n v="25251.112175216524"/>
    <s v="YES"/>
    <x v="1"/>
  </r>
  <r>
    <x v="61"/>
    <x v="0"/>
    <s v="Los Angeles"/>
    <x v="0"/>
    <x v="0"/>
    <s v="Phase I MS4"/>
    <m/>
    <s v="2011–2012"/>
    <n v="2011"/>
    <n v="440200"/>
    <n v="492520.97020898177"/>
    <n v="9.4711928427556966"/>
    <n v="25387.678876751641"/>
    <s v=""/>
    <x v="0"/>
  </r>
  <r>
    <x v="61"/>
    <x v="0"/>
    <s v="Los Angeles"/>
    <x v="0"/>
    <x v="0"/>
    <s v="Phase I MS4"/>
    <m/>
    <s v="2015–2016"/>
    <n v="2015"/>
    <n v="469500"/>
    <n v="498484.19620253163"/>
    <n v="9.5858658552081"/>
    <n v="25695.061659924311"/>
    <s v="YES"/>
    <x v="1"/>
  </r>
  <r>
    <x v="62"/>
    <x v="0"/>
    <s v="San Bernardino"/>
    <x v="2"/>
    <x v="2"/>
    <s v="Phase I MS4"/>
    <m/>
    <s v="2012–2013"/>
    <n v="2012"/>
    <n v="119145"/>
    <n v="130577.41940331011"/>
    <n v="10.376463716092665"/>
    <n v="37307.834115231461"/>
    <s v=""/>
    <x v="0"/>
  </r>
  <r>
    <x v="62"/>
    <x v="0"/>
    <s v="San Bernardino"/>
    <x v="2"/>
    <x v="2"/>
    <s v="Phase I MS4"/>
    <m/>
    <s v="2013–2014"/>
    <n v="2013"/>
    <n v="130059"/>
    <n v="140458.69626180257"/>
    <n v="11.161689149857166"/>
    <n v="40131.056074800734"/>
    <s v=""/>
    <x v="0"/>
  </r>
  <r>
    <x v="62"/>
    <x v="0"/>
    <s v="San Bernardino"/>
    <x v="2"/>
    <x v="2"/>
    <s v="Phase I MS4"/>
    <m/>
    <s v="2014–2015"/>
    <n v="2014"/>
    <n v="123604"/>
    <n v="131400.92152091255"/>
    <n v="10.441904125946643"/>
    <n v="37543.120434546443"/>
    <s v=""/>
    <x v="1"/>
  </r>
  <r>
    <x v="63"/>
    <x v="0"/>
    <s v="Los Angeles"/>
    <x v="0"/>
    <x v="0"/>
    <s v="Phase I MS4"/>
    <m/>
    <s v="2011–2012"/>
    <n v="2011"/>
    <n v="116783"/>
    <n v="130663.50855046688"/>
    <n v="9.1277337443567497"/>
    <n v="145181.67616718542"/>
    <s v=""/>
    <x v="0"/>
  </r>
  <r>
    <x v="63"/>
    <x v="0"/>
    <s v="Los Angeles"/>
    <x v="0"/>
    <x v="0"/>
    <s v="Phase I MS4"/>
    <m/>
    <s v="2015–2016"/>
    <n v="2015"/>
    <n v="112500"/>
    <n v="119445.09493670885"/>
    <n v="8.3440513403219594"/>
    <n v="132716.77215189871"/>
    <s v="YES"/>
    <x v="1"/>
  </r>
  <r>
    <x v="64"/>
    <x v="0"/>
    <s v="Los Angeles"/>
    <x v="0"/>
    <x v="0"/>
    <s v="Phase I MS4"/>
    <m/>
    <s v="2011–2012"/>
    <n v="2011"/>
    <n v="471785"/>
    <n v="527860.0770787017"/>
    <n v="6.0697990809946729"/>
    <n v="86534.438865360935"/>
    <s v=""/>
    <x v="0"/>
  </r>
  <r>
    <x v="64"/>
    <x v="0"/>
    <s v="Los Angeles"/>
    <x v="0"/>
    <x v="0"/>
    <s v="Phase I MS4"/>
    <m/>
    <s v="2015–2016"/>
    <n v="2015"/>
    <n v="1142000"/>
    <n v="1212500.4303797467"/>
    <n v="13.942395565799421"/>
    <n v="198770.56235733553"/>
    <s v="YES"/>
    <x v="1"/>
  </r>
  <r>
    <x v="65"/>
    <x v="0"/>
    <s v="Riverside"/>
    <x v="2"/>
    <x v="2"/>
    <s v="Phase I MS4"/>
    <m/>
    <s v="2016–2017"/>
    <n v="2016"/>
    <n v="876258.08"/>
    <n v="918723.73720199999"/>
    <n v="10.773658601020228"/>
    <n v="33166.921920649816"/>
    <s v=""/>
    <x v="1"/>
  </r>
  <r>
    <x v="66"/>
    <x v="0"/>
    <s v="Los Angeles"/>
    <x v="0"/>
    <x v="0"/>
    <s v="Phase I MS4"/>
    <m/>
    <s v="2011–2012"/>
    <n v="2011"/>
    <n v="741397"/>
    <n v="829517.42333036906"/>
    <n v="42.615845020825539"/>
    <n v="592512.44523597788"/>
    <s v=""/>
    <x v="0"/>
  </r>
  <r>
    <x v="66"/>
    <x v="0"/>
    <s v="Los Angeles"/>
    <x v="0"/>
    <x v="0"/>
    <s v="Phase I MS4"/>
    <m/>
    <s v="2014–2015"/>
    <n v="2014"/>
    <n v="1732797"/>
    <n v="1842101.5712167302"/>
    <n v="94.636607820022093"/>
    <n v="1315786.8365833787"/>
    <s v=""/>
    <x v="0"/>
  </r>
  <r>
    <x v="66"/>
    <x v="0"/>
    <s v="Los Angeles"/>
    <x v="0"/>
    <x v="0"/>
    <s v="Phase I MS4"/>
    <m/>
    <s v="2015–2016"/>
    <n v="2015"/>
    <n v="710364"/>
    <n v="754217.73706329113"/>
    <n v="38.747379248049889"/>
    <n v="538726.95504520799"/>
    <s v="YES"/>
    <x v="1"/>
  </r>
  <r>
    <x v="67"/>
    <x v="0"/>
    <s v="Los Angeles"/>
    <x v="0"/>
    <x v="0"/>
    <s v="Phase I MS4"/>
    <m/>
    <s v="2011–2012"/>
    <n v="2011"/>
    <n v="167179"/>
    <n v="187049.43952423299"/>
    <n v="98.550811129732878"/>
    <n v="110029.08207307823"/>
    <s v=""/>
    <x v="0"/>
  </r>
  <r>
    <x v="67"/>
    <x v="0"/>
    <s v="Los Angeles"/>
    <x v="0"/>
    <x v="0"/>
    <s v="Phase I MS4"/>
    <m/>
    <s v="2015–2016"/>
    <n v="2015"/>
    <n v="112581"/>
    <n v="119531.09540506329"/>
    <n v="62.977394839337876"/>
    <n v="70312.40906180194"/>
    <s v="YES"/>
    <x v="1"/>
  </r>
  <r>
    <x v="68"/>
    <x v="0"/>
    <s v="San Bernardino"/>
    <x v="2"/>
    <x v="2"/>
    <s v="Phase I MS4"/>
    <m/>
    <s v="2011–2012"/>
    <n v="2011"/>
    <n v="473320"/>
    <n v="529577.52298799471"/>
    <n v="9.558125888676221"/>
    <n v="28169.017180212482"/>
    <s v=""/>
    <x v="0"/>
  </r>
  <r>
    <x v="68"/>
    <x v="0"/>
    <s v="San Bernardino"/>
    <x v="2"/>
    <x v="2"/>
    <s v="Phase I MS4"/>
    <m/>
    <s v="2012–2013"/>
    <n v="2012"/>
    <n v="495500"/>
    <n v="543045.12412891991"/>
    <n v="9.8011970567974576"/>
    <n v="28885.378943027652"/>
    <s v=""/>
    <x v="0"/>
  </r>
  <r>
    <x v="68"/>
    <x v="0"/>
    <s v="San Bernardino"/>
    <x v="2"/>
    <x v="2"/>
    <s v="Phase I MS4"/>
    <m/>
    <s v="2013–2014"/>
    <n v="2013"/>
    <n v="516000"/>
    <n v="557260.06866952789"/>
    <n v="10.057756717134026"/>
    <n v="29641.493014336589"/>
    <s v=""/>
    <x v="0"/>
  </r>
  <r>
    <x v="68"/>
    <x v="0"/>
    <s v="San Bernardino"/>
    <x v="2"/>
    <x v="2"/>
    <s v="Phase I MS4"/>
    <m/>
    <s v="2014–2015"/>
    <n v="2014"/>
    <n v="529500"/>
    <n v="562900.77946768061"/>
    <n v="10.159563575563668"/>
    <n v="29941.530822748966"/>
    <s v=""/>
    <x v="1"/>
  </r>
  <r>
    <x v="69"/>
    <x v="0"/>
    <s v="Orange"/>
    <x v="2"/>
    <x v="2"/>
    <s v="Phase I MS4"/>
    <m/>
    <s v="2000–2001"/>
    <n v="2000"/>
    <n v="6397000"/>
    <n v="9347755.5574912895"/>
    <n v="46.589458572730848"/>
    <n v="347500.20659818919"/>
    <s v=""/>
    <x v="0"/>
  </r>
  <r>
    <x v="69"/>
    <x v="0"/>
    <s v="Orange"/>
    <x v="2"/>
    <x v="2"/>
    <s v="Phase I MS4"/>
    <m/>
    <s v="2001–2002"/>
    <n v="2001"/>
    <n v="8814000"/>
    <n v="12523295.5053642"/>
    <n v="62.41643285950628"/>
    <n v="465550.01878677326"/>
    <s v="YES"/>
    <x v="1"/>
  </r>
  <r>
    <x v="70"/>
    <x v="0"/>
    <s v="San Diego"/>
    <x v="1"/>
    <x v="1"/>
    <s v="Phase I MS4"/>
    <m/>
    <s v="2016–2017"/>
    <n v="2016"/>
    <n v="2909325"/>
    <n v="3050318.1628125003"/>
    <n v="111.13484762678982"/>
    <n v="726266.2292410715"/>
    <s v=""/>
    <x v="0"/>
  </r>
  <r>
    <x v="70"/>
    <x v="0"/>
    <s v="San Diego"/>
    <x v="1"/>
    <x v="1"/>
    <s v="Phase I MS4"/>
    <m/>
    <s v="2017–2018"/>
    <n v="2017"/>
    <n v="5294091"/>
    <n v="5435158.7614075895"/>
    <n v="198.02378261404124"/>
    <n v="1294085.4193827594"/>
    <s v="YES"/>
    <x v="1"/>
  </r>
  <r>
    <x v="71"/>
    <x v="0"/>
    <s v="Los Angeles"/>
    <x v="0"/>
    <x v="0"/>
    <s v="Phase I MS4"/>
    <m/>
    <s v="2011–2012"/>
    <n v="2011"/>
    <n v="983468"/>
    <n v="1100360.3215117832"/>
    <n v="5447.3283243157584"/>
    <n v="93250.874704388392"/>
    <s v=""/>
    <x v="0"/>
  </r>
  <r>
    <x v="71"/>
    <x v="0"/>
    <s v="Los Angeles"/>
    <x v="0"/>
    <x v="0"/>
    <s v="Phase I MS4"/>
    <m/>
    <s v="2015–2016"/>
    <n v="2015"/>
    <n v="4987515"/>
    <n v="5295415.1348734172"/>
    <n v="26214.926410264441"/>
    <n v="448763.99448079802"/>
    <s v="YES"/>
    <x v="1"/>
  </r>
  <r>
    <x v="72"/>
    <x v="0"/>
    <s v="Los Angeles"/>
    <x v="0"/>
    <x v="0"/>
    <s v="Phase I MS4"/>
    <m/>
    <s v="2011–2012"/>
    <n v="2011"/>
    <n v="14124742"/>
    <n v="15803570.272129836"/>
    <n v="144.43168254260993"/>
    <n v="1736656.0738604215"/>
    <s v=""/>
    <x v="0"/>
  </r>
  <r>
    <x v="72"/>
    <x v="0"/>
    <s v="Los Angeles"/>
    <x v="0"/>
    <x v="0"/>
    <s v="Phase I MS4"/>
    <m/>
    <s v="2015–2016"/>
    <n v="2015"/>
    <n v="2497550"/>
    <n v="2651734.1943037971"/>
    <n v="24.234677654738181"/>
    <n v="291399.36201140628"/>
    <s v="YES"/>
    <x v="1"/>
  </r>
  <r>
    <x v="73"/>
    <x v="0"/>
    <s v="Orange"/>
    <x v="2"/>
    <x v="2"/>
    <s v="Phase I MS4"/>
    <m/>
    <s v="2000–2001"/>
    <n v="2000"/>
    <n v="1249217"/>
    <n v="1825445.5454529617"/>
    <n v="6.4601076732760561"/>
    <n v="27826.913802636613"/>
    <s v=""/>
    <x v="0"/>
  </r>
  <r>
    <x v="73"/>
    <x v="0"/>
    <s v="Orange"/>
    <x v="2"/>
    <x v="2"/>
    <s v="Phase I MS4"/>
    <m/>
    <s v="2001–2002"/>
    <n v="2001"/>
    <n v="2514276"/>
    <n v="3572387.2623150763"/>
    <n v="12.642396494752051"/>
    <n v="54457.122901144459"/>
    <s v="YES"/>
    <x v="1"/>
  </r>
  <r>
    <x v="74"/>
    <x v="0"/>
    <s v="Los Angeles"/>
    <x v="0"/>
    <x v="0"/>
    <s v="Phase I MS4"/>
    <m/>
    <s v="2011–2012"/>
    <n v="2011"/>
    <n v="269271"/>
    <n v="301275.81592263229"/>
    <n v="205.93015442421893"/>
    <n v="34235.888173026397"/>
    <s v=""/>
    <x v="0"/>
  </r>
  <r>
    <x v="74"/>
    <x v="0"/>
    <s v="Los Angeles"/>
    <x v="0"/>
    <x v="0"/>
    <s v="Phase I MS4"/>
    <m/>
    <s v="2015–2016"/>
    <n v="2015"/>
    <n v="500092.65"/>
    <n v="530965.45827911387"/>
    <n v="362.92922643821862"/>
    <n v="60336.983895353842"/>
    <s v="YES"/>
    <x v="1"/>
  </r>
  <r>
    <x v="75"/>
    <x v="0"/>
    <s v="Riverside"/>
    <x v="2"/>
    <x v="2"/>
    <s v="Phase I MS4"/>
    <m/>
    <s v="2016–2017"/>
    <n v="2016"/>
    <n v="508500"/>
    <n v="533143.18125000002"/>
    <n v="4.9186126525698155"/>
    <n v="12427.579982517484"/>
    <s v=""/>
    <x v="1"/>
  </r>
  <r>
    <x v="76"/>
    <x v="2"/>
    <s v="Kern"/>
    <x v="3"/>
    <x v="3"/>
    <s v="Phase I MS4"/>
    <m/>
    <s v="2005–2006"/>
    <n v="2005"/>
    <n v="8763300"/>
    <n v="11290926.483870966"/>
    <e v="#N/A"/>
    <e v="#N/A"/>
    <s v=""/>
    <x v="0"/>
  </r>
  <r>
    <x v="76"/>
    <x v="2"/>
    <s v="Kern"/>
    <x v="3"/>
    <x v="3"/>
    <s v="Phase I MS4"/>
    <m/>
    <s v="2006–2007"/>
    <n v="2006"/>
    <n v="8519100"/>
    <n v="10633282.004464287"/>
    <e v="#N/A"/>
    <e v="#N/A"/>
    <s v=""/>
    <x v="0"/>
  </r>
  <r>
    <x v="76"/>
    <x v="2"/>
    <s v="Kern"/>
    <x v="3"/>
    <x v="3"/>
    <s v="Phase I MS4"/>
    <m/>
    <s v="2007–2008"/>
    <n v="2007"/>
    <n v="8525100"/>
    <n v="10348188.316931982"/>
    <e v="#N/A"/>
    <e v="#N/A"/>
    <s v=""/>
    <x v="0"/>
  </r>
  <r>
    <x v="76"/>
    <x v="2"/>
    <s v="Kern"/>
    <x v="3"/>
    <x v="3"/>
    <s v="Phase I MS4"/>
    <m/>
    <s v="2008–2009"/>
    <n v="2008"/>
    <n v="8951300"/>
    <n v="10461795.496052019"/>
    <e v="#N/A"/>
    <e v="#N/A"/>
    <s v=""/>
    <x v="0"/>
  </r>
  <r>
    <x v="76"/>
    <x v="2"/>
    <s v="Kern"/>
    <x v="3"/>
    <x v="3"/>
    <s v="Phase I MS4"/>
    <m/>
    <s v="2009–2010"/>
    <n v="2009"/>
    <n v="8286800"/>
    <n v="9721285.6447552443"/>
    <e v="#N/A"/>
    <e v="#N/A"/>
    <s v=""/>
    <x v="0"/>
  </r>
  <r>
    <x v="76"/>
    <x v="2"/>
    <s v="Kern"/>
    <x v="3"/>
    <x v="3"/>
    <s v="Phase I MS4"/>
    <m/>
    <s v="2010–2011"/>
    <n v="2010"/>
    <n v="8177000"/>
    <n v="9434143.4525447041"/>
    <e v="#N/A"/>
    <e v="#N/A"/>
    <s v=""/>
    <x v="0"/>
  </r>
  <r>
    <x v="76"/>
    <x v="2"/>
    <s v="Kern"/>
    <x v="3"/>
    <x v="3"/>
    <s v="Phase I MS4"/>
    <m/>
    <s v="2011–2012"/>
    <n v="2011"/>
    <n v="8240000"/>
    <n v="9219383.9039573148"/>
    <e v="#N/A"/>
    <e v="#N/A"/>
    <s v=""/>
    <x v="0"/>
  </r>
  <r>
    <x v="76"/>
    <x v="2"/>
    <s v="Kern"/>
    <x v="3"/>
    <x v="3"/>
    <s v="Phase I MS4"/>
    <m/>
    <s v="2012–2013"/>
    <n v="2012"/>
    <n v="8203000"/>
    <n v="8990109.2900696862"/>
    <e v="#N/A"/>
    <e v="#N/A"/>
    <s v=""/>
    <x v="0"/>
  </r>
  <r>
    <x v="76"/>
    <x v="2"/>
    <s v="Kern"/>
    <x v="3"/>
    <x v="3"/>
    <s v="Phase I MS4"/>
    <m/>
    <s v="2013–2014"/>
    <n v="2013"/>
    <n v="8203000"/>
    <n v="8858923.1459227465"/>
    <e v="#N/A"/>
    <e v="#N/A"/>
    <s v=""/>
    <x v="0"/>
  </r>
  <r>
    <x v="76"/>
    <x v="2"/>
    <s v="Kern"/>
    <x v="3"/>
    <x v="3"/>
    <s v="Phase I MS4"/>
    <m/>
    <s v="2014–2015"/>
    <n v="2014"/>
    <n v="8203000"/>
    <n v="8720443.9923954383"/>
    <e v="#N/A"/>
    <e v="#N/A"/>
    <s v=""/>
    <x v="0"/>
  </r>
  <r>
    <x v="76"/>
    <x v="2"/>
    <s v="Kern"/>
    <x v="3"/>
    <x v="3"/>
    <s v="Phase I MS4"/>
    <m/>
    <s v="2015–2016"/>
    <n v="2015"/>
    <n v="8203000"/>
    <n v="8709405.4556962028"/>
    <e v="#N/A"/>
    <e v="#N/A"/>
    <s v=""/>
    <x v="0"/>
  </r>
  <r>
    <x v="76"/>
    <x v="2"/>
    <s v="Kern"/>
    <x v="3"/>
    <x v="3"/>
    <s v="Phase I MS4"/>
    <m/>
    <s v="2016–2017"/>
    <n v="2016"/>
    <n v="8203000"/>
    <n v="8600537.8875000011"/>
    <e v="#N/A"/>
    <e v="#N/A"/>
    <s v=""/>
    <x v="0"/>
  </r>
  <r>
    <x v="76"/>
    <x v="2"/>
    <s v="Kern"/>
    <x v="3"/>
    <x v="3"/>
    <s v="Phase I MS4"/>
    <m/>
    <s v="2017–2018"/>
    <n v="2017"/>
    <n v="8203000"/>
    <n v="8421579.3268053867"/>
    <e v="#N/A"/>
    <e v="#N/A"/>
    <s v=""/>
    <x v="0"/>
  </r>
  <r>
    <x v="76"/>
    <x v="2"/>
    <s v="Kern"/>
    <x v="3"/>
    <x v="3"/>
    <s v="Phase I MS4"/>
    <m/>
    <s v="2018–2019"/>
    <n v="2018"/>
    <n v="8413600"/>
    <n v="8413600"/>
    <e v="#N/A"/>
    <e v="#N/A"/>
    <s v="YES"/>
    <x v="1"/>
  </r>
  <r>
    <x v="77"/>
    <x v="0"/>
    <s v="Los Angeles"/>
    <x v="0"/>
    <x v="0"/>
    <s v="Phase I MS4"/>
    <m/>
    <s v="2011–2012"/>
    <n v="2011"/>
    <n v="327832"/>
    <n v="366797.21650511341"/>
    <n v="18.134039477189567"/>
    <n v="42650.83912850156"/>
    <s v=""/>
    <x v="0"/>
  </r>
  <r>
    <x v="77"/>
    <x v="0"/>
    <s v="Los Angeles"/>
    <x v="0"/>
    <x v="0"/>
    <s v="Phase I MS4"/>
    <m/>
    <s v="2015–2016"/>
    <n v="2015"/>
    <n v="504336"/>
    <n v="535470.76799999992"/>
    <n v="26.473069066099765"/>
    <n v="62264.042790697669"/>
    <s v="YES"/>
    <x v="1"/>
  </r>
  <r>
    <x v="78"/>
    <x v="0"/>
    <s v="Orange"/>
    <x v="2"/>
    <x v="2"/>
    <s v="Phase I MS4"/>
    <m/>
    <s v="2000–2001"/>
    <n v="2000"/>
    <n v="481900"/>
    <n v="704186.86933797912"/>
    <n v="11.324427405206876"/>
    <n v="95160.38774837555"/>
    <s v=""/>
    <x v="0"/>
  </r>
  <r>
    <x v="78"/>
    <x v="0"/>
    <s v="Orange"/>
    <x v="2"/>
    <x v="2"/>
    <s v="Phase I MS4"/>
    <m/>
    <s v="2001–2002"/>
    <n v="2001"/>
    <n v="1787287"/>
    <n v="2539451.2427837378"/>
    <n v="40.838352005913798"/>
    <n v="343169.08686266723"/>
    <s v="YES"/>
    <x v="1"/>
  </r>
  <r>
    <x v="79"/>
    <x v="0"/>
    <s v="Los Angeles"/>
    <x v="0"/>
    <x v="0"/>
    <s v="Phase I MS4"/>
    <m/>
    <s v="2011–2012"/>
    <n v="2011"/>
    <n v="1550"/>
    <n v="1734.2287683414852"/>
    <n v="0.32397324273145622"/>
    <n v="279.71431747443307"/>
    <s v=""/>
    <x v="0"/>
  </r>
  <r>
    <x v="79"/>
    <x v="0"/>
    <s v="Los Angeles"/>
    <x v="0"/>
    <x v="0"/>
    <s v="Phase I MS4"/>
    <m/>
    <s v="2015–2016"/>
    <n v="2015"/>
    <n v="44894"/>
    <n v="47665.494151898733"/>
    <n v="8.9044450124974279"/>
    <n v="7687.9829277256022"/>
    <s v="YES"/>
    <x v="1"/>
  </r>
  <r>
    <x v="80"/>
    <x v="0"/>
    <s v="San Diego"/>
    <x v="1"/>
    <x v="1"/>
    <s v="Phase I MS4"/>
    <m/>
    <s v="2015–2016"/>
    <n v="2015"/>
    <n v="340438"/>
    <n v="361454.65982278477"/>
    <n v="6.0691560854117936"/>
    <n v="39720.292288218108"/>
    <s v=""/>
    <x v="0"/>
  </r>
  <r>
    <x v="80"/>
    <x v="0"/>
    <s v="San Diego"/>
    <x v="1"/>
    <x v="1"/>
    <s v="Phase I MS4"/>
    <m/>
    <s v="2016–2017"/>
    <n v="2016"/>
    <n v="371597"/>
    <n v="389605.51961250004"/>
    <n v="6.5418349051732827"/>
    <n v="42813.793364010991"/>
    <s v=""/>
    <x v="0"/>
  </r>
  <r>
    <x v="80"/>
    <x v="0"/>
    <s v="San Diego"/>
    <x v="1"/>
    <x v="1"/>
    <s v="Phase I MS4"/>
    <m/>
    <s v="2017–2018"/>
    <n v="2017"/>
    <n v="534684"/>
    <n v="548931.33253365976"/>
    <n v="9.2170617995442896"/>
    <n v="60322.124454248325"/>
    <s v="YES"/>
    <x v="1"/>
  </r>
  <r>
    <x v="81"/>
    <x v="0"/>
    <s v="Los Angeles"/>
    <x v="0"/>
    <x v="0"/>
    <s v="Phase I MS4"/>
    <m/>
    <s v="2011–2012"/>
    <n v="2011"/>
    <n v="1111595"/>
    <n v="1243716.1469319698"/>
    <n v="25.547237165580793"/>
    <n v="159450.78806820125"/>
    <s v=""/>
    <x v="0"/>
  </r>
  <r>
    <x v="81"/>
    <x v="0"/>
    <s v="Los Angeles"/>
    <x v="0"/>
    <x v="0"/>
    <s v="Phase I MS4"/>
    <m/>
    <s v="2015–2016"/>
    <n v="2015"/>
    <n v="1254208"/>
    <n v="1331635.4989367088"/>
    <n v="27.353193084582067"/>
    <n v="170722.49986368063"/>
    <s v="YES"/>
    <x v="1"/>
  </r>
  <r>
    <x v="82"/>
    <x v="0"/>
    <s v="Orange"/>
    <x v="2"/>
    <x v="2"/>
    <s v="Phase I MS4"/>
    <m/>
    <s v="2000–2001"/>
    <n v="2000"/>
    <n v="144600"/>
    <n v="211299.89895470385"/>
    <n v="13.57270676738848"/>
    <n v="117388.83275261325"/>
    <s v=""/>
    <x v="0"/>
  </r>
  <r>
    <x v="82"/>
    <x v="0"/>
    <s v="Orange"/>
    <x v="2"/>
    <x v="2"/>
    <s v="Phase I MS4"/>
    <m/>
    <s v="2001–2002"/>
    <n v="2001"/>
    <n v="142900"/>
    <n v="203038.22642574814"/>
    <n v="13.042023794048571"/>
    <n v="112799.01468097119"/>
    <s v="YES"/>
    <x v="1"/>
  </r>
  <r>
    <x v="83"/>
    <x v="0"/>
    <s v="Los Angeles"/>
    <x v="0"/>
    <x v="0"/>
    <s v="Phase I MS4"/>
    <m/>
    <s v="2011–2012"/>
    <n v="2011"/>
    <n v="308491"/>
    <n v="345157.39804802136"/>
    <n v="8.6488272538844679"/>
    <n v="98616.399442291819"/>
    <s v=""/>
    <x v="0"/>
  </r>
  <r>
    <x v="83"/>
    <x v="0"/>
    <s v="Los Angeles"/>
    <x v="0"/>
    <x v="0"/>
    <s v="Phase I MS4"/>
    <m/>
    <s v="2015–2016"/>
    <n v="2015"/>
    <n v="50086"/>
    <n v="53178.017999999996"/>
    <n v="1.3325152350405933"/>
    <n v="15193.719428571427"/>
    <s v="YES"/>
    <x v="1"/>
  </r>
  <r>
    <x v="84"/>
    <x v="0"/>
    <s v="Los Angeles"/>
    <x v="0"/>
    <x v="0"/>
    <s v="Phase I MS4"/>
    <m/>
    <s v="2011–2012"/>
    <n v="2011"/>
    <n v="3035000"/>
    <n v="3395731.8141396176"/>
    <n v="105.43786294912803"/>
    <n v="404253.78739757353"/>
    <s v=""/>
    <x v="0"/>
  </r>
  <r>
    <x v="84"/>
    <x v="0"/>
    <s v="Los Angeles"/>
    <x v="0"/>
    <x v="0"/>
    <s v="Phase I MS4"/>
    <m/>
    <s v="2015–2016"/>
    <n v="2015"/>
    <n v="4773607.2"/>
    <n v="5068301.9128405061"/>
    <n v="157.37135666771738"/>
    <n v="603369.27533815545"/>
    <s v="YES"/>
    <x v="1"/>
  </r>
  <r>
    <x v="85"/>
    <x v="0"/>
    <s v="Orange"/>
    <x v="1"/>
    <x v="1"/>
    <s v="Phase I MS4"/>
    <m/>
    <s v="2000–2001"/>
    <n v="2000"/>
    <n v="898487"/>
    <n v="1312933.6951045296"/>
    <n v="57.10641969051062"/>
    <n v="147520.63989938534"/>
    <s v=""/>
    <x v="0"/>
  </r>
  <r>
    <x v="85"/>
    <x v="0"/>
    <s v="Orange"/>
    <x v="1"/>
    <x v="1"/>
    <s v="Phase I MS4"/>
    <m/>
    <s v="2001–2002"/>
    <n v="2001"/>
    <n v="1879460"/>
    <n v="2670414.4509316771"/>
    <n v="116.15042629427502"/>
    <n v="300046.56752041314"/>
    <s v=""/>
    <x v="0"/>
  </r>
  <r>
    <x v="85"/>
    <x v="0"/>
    <s v="Orange"/>
    <x v="1"/>
    <x v="1"/>
    <s v="Phase I MS4"/>
    <m/>
    <s v="2013–2014"/>
    <n v="2013"/>
    <n v="762259"/>
    <n v="823210.27651931334"/>
    <n v="35.805762103401911"/>
    <n v="92495.53668756329"/>
    <s v=""/>
    <x v="0"/>
  </r>
  <r>
    <x v="85"/>
    <x v="0"/>
    <s v="Orange"/>
    <x v="1"/>
    <x v="1"/>
    <s v="Phase I MS4"/>
    <m/>
    <s v="2014–2015"/>
    <n v="2014"/>
    <n v="1007555"/>
    <n v="1071111.4161596959"/>
    <n v="46.58829177328937"/>
    <n v="120349.59732131414"/>
    <s v=""/>
    <x v="0"/>
  </r>
  <r>
    <x v="85"/>
    <x v="0"/>
    <s v="Orange"/>
    <x v="1"/>
    <x v="1"/>
    <s v="Phase I MS4"/>
    <m/>
    <s v="2015–2016"/>
    <n v="2015"/>
    <n v="1141980"/>
    <n v="1212479.1956962026"/>
    <n v="52.737123034935522"/>
    <n v="136233.61749395533"/>
    <s v=""/>
    <x v="0"/>
  </r>
  <r>
    <x v="85"/>
    <x v="0"/>
    <s v="Orange"/>
    <x v="1"/>
    <x v="1"/>
    <s v="Phase I MS4"/>
    <m/>
    <s v="2016–2017"/>
    <n v="2016"/>
    <n v="1267546.07"/>
    <n v="1328974.5214173752"/>
    <n v="57.804119934642912"/>
    <n v="149322.97993453653"/>
    <s v="YES"/>
    <x v="0"/>
  </r>
  <r>
    <x v="85"/>
    <x v="0"/>
    <s v="Orange"/>
    <x v="1"/>
    <x v="1"/>
    <s v="Phase I MS4"/>
    <m/>
    <s v="2017–2018"/>
    <n v="2017"/>
    <n v="1848928"/>
    <n v="1898195.0288372096"/>
    <n v="82.562525720377948"/>
    <n v="213280.34031878758"/>
    <s v=""/>
    <x v="1"/>
  </r>
  <r>
    <x v="86"/>
    <x v="0"/>
    <s v="Orange"/>
    <x v="1"/>
    <x v="1"/>
    <s v="Phase I MS4"/>
    <m/>
    <s v="2000–2001"/>
    <n v="2000"/>
    <n v="243334"/>
    <n v="355577.10658536589"/>
    <n v="11.461355936867132"/>
    <n v="53875.319179600898"/>
    <s v=""/>
    <x v="0"/>
  </r>
  <r>
    <x v="86"/>
    <x v="0"/>
    <s v="Orange"/>
    <x v="1"/>
    <x v="1"/>
    <s v="Phase I MS4"/>
    <m/>
    <s v="2001–2002"/>
    <n v="2001"/>
    <n v="138817"/>
    <n v="197236.93126482214"/>
    <n v="6.3575596720223739"/>
    <n v="29884.383524973055"/>
    <s v=""/>
    <x v="0"/>
  </r>
  <r>
    <x v="86"/>
    <x v="0"/>
    <s v="Orange"/>
    <x v="1"/>
    <x v="1"/>
    <s v="Phase I MS4"/>
    <m/>
    <s v="2013–2014"/>
    <n v="2013"/>
    <n v="804618.18"/>
    <n v="868956.55472781125"/>
    <n v="28.009172083800003"/>
    <n v="131660.08404966837"/>
    <s v=""/>
    <x v="0"/>
  </r>
  <r>
    <x v="86"/>
    <x v="0"/>
    <s v="Orange"/>
    <x v="1"/>
    <x v="1"/>
    <s v="Phase I MS4"/>
    <m/>
    <s v="2014–2015"/>
    <n v="2014"/>
    <n v="692348.41"/>
    <n v="736021.64240266173"/>
    <n v="23.724266451865063"/>
    <n v="111518.43066706996"/>
    <s v=""/>
    <x v="0"/>
  </r>
  <r>
    <x v="86"/>
    <x v="0"/>
    <s v="Orange"/>
    <x v="1"/>
    <x v="1"/>
    <s v="Phase I MS4"/>
    <m/>
    <s v="2015–2016"/>
    <n v="2015"/>
    <n v="697294.4"/>
    <n v="740341.29606075946"/>
    <n v="23.863502322742377"/>
    <n v="112172.92364556962"/>
    <s v=""/>
    <x v="0"/>
  </r>
  <r>
    <x v="86"/>
    <x v="0"/>
    <s v="Orange"/>
    <x v="1"/>
    <x v="1"/>
    <s v="Phase I MS4"/>
    <m/>
    <s v="2016–2017"/>
    <n v="2016"/>
    <n v="1005240"/>
    <n v="1053956.4435000001"/>
    <n v="33.972293820912846"/>
    <n v="159690.37022727274"/>
    <s v=""/>
    <x v="0"/>
  </r>
  <r>
    <x v="86"/>
    <x v="0"/>
    <s v="Orange"/>
    <x v="1"/>
    <x v="1"/>
    <s v="Phase I MS4"/>
    <m/>
    <s v="2017–2018"/>
    <n v="2017"/>
    <n v="681643"/>
    <n v="699806.24126071006"/>
    <n v="22.556931448578844"/>
    <n v="106031.24867586516"/>
    <s v="YES"/>
    <x v="1"/>
  </r>
  <r>
    <x v="87"/>
    <x v="0"/>
    <s v="Orange"/>
    <x v="1"/>
    <x v="1"/>
    <s v="Phase I MS4"/>
    <m/>
    <s v="2000–2001"/>
    <n v="2000"/>
    <n v="353655"/>
    <n v="516786.07029616728"/>
    <n v="7.7986610070951512"/>
    <n v="35155.514986133829"/>
    <s v=""/>
    <x v="0"/>
  </r>
  <r>
    <x v="87"/>
    <x v="0"/>
    <s v="Orange"/>
    <x v="1"/>
    <x v="1"/>
    <s v="Phase I MS4"/>
    <m/>
    <s v="2001–2002"/>
    <n v="2001"/>
    <n v="327336"/>
    <n v="465092.51844155841"/>
    <n v="7.018569378588694"/>
    <n v="31638.946832759077"/>
    <s v=""/>
    <x v="0"/>
  </r>
  <r>
    <x v="87"/>
    <x v="0"/>
    <s v="Orange"/>
    <x v="1"/>
    <x v="1"/>
    <s v="Phase I MS4"/>
    <m/>
    <s v="2013–2014"/>
    <n v="2013"/>
    <n v="1742456"/>
    <n v="1881785.1748326181"/>
    <n v="28.397446274599616"/>
    <n v="128012.59692738899"/>
    <s v=""/>
    <x v="0"/>
  </r>
  <r>
    <x v="87"/>
    <x v="0"/>
    <s v="Orange"/>
    <x v="1"/>
    <x v="1"/>
    <s v="Phase I MS4"/>
    <m/>
    <s v="2014–2015"/>
    <n v="2014"/>
    <n v="4801078"/>
    <n v="5103929.2700380236"/>
    <n v="77.021840310838499"/>
    <n v="347206.07279170229"/>
    <s v=""/>
    <x v="0"/>
  </r>
  <r>
    <x v="87"/>
    <x v="0"/>
    <s v="Orange"/>
    <x v="1"/>
    <x v="1"/>
    <s v="Phase I MS4"/>
    <m/>
    <s v="2015–2016"/>
    <n v="2015"/>
    <n v="6218072"/>
    <n v="6601939.5587848099"/>
    <n v="99.627856801147047"/>
    <n v="449111.53461121157"/>
    <s v=""/>
    <x v="0"/>
  </r>
  <r>
    <x v="87"/>
    <x v="0"/>
    <s v="Orange"/>
    <x v="1"/>
    <x v="1"/>
    <s v="Phase I MS4"/>
    <m/>
    <s v="2016–2017"/>
    <n v="2016"/>
    <n v="6516332"/>
    <n v="6832129.7395500001"/>
    <n v="103.10158662888962"/>
    <n v="464770.7305816327"/>
    <s v=""/>
    <x v="0"/>
  </r>
  <r>
    <x v="87"/>
    <x v="0"/>
    <s v="Orange"/>
    <x v="1"/>
    <x v="1"/>
    <s v="Phase I MS4"/>
    <m/>
    <s v="2017–2018"/>
    <n v="2017"/>
    <n v="1667278"/>
    <n v="1711704.7344675644"/>
    <n v="25.83081421041808"/>
    <n v="116442.49894337173"/>
    <s v="YES"/>
    <x v="1"/>
  </r>
  <r>
    <x v="88"/>
    <x v="0"/>
    <s v="Orange"/>
    <x v="2"/>
    <x v="2"/>
    <s v="Phase I MS4"/>
    <m/>
    <s v="2000–2001"/>
    <n v="2000"/>
    <n v="32178"/>
    <n v="47020.803240418121"/>
    <n v="2.9303753733278151"/>
    <n v="14248.728254672158"/>
    <s v=""/>
    <x v="0"/>
  </r>
  <r>
    <x v="88"/>
    <x v="0"/>
    <s v="Orange"/>
    <x v="2"/>
    <x v="2"/>
    <s v="Phase I MS4"/>
    <m/>
    <s v="2001–2002"/>
    <n v="2001"/>
    <n v="83155"/>
    <n v="118150.0610107284"/>
    <n v="7.3632095856118909"/>
    <n v="35803.048791129819"/>
    <s v=""/>
    <x v="0"/>
  </r>
  <r>
    <x v="88"/>
    <x v="0"/>
    <s v="Orange"/>
    <x v="2"/>
    <x v="2"/>
    <s v="Phase I MS4"/>
    <m/>
    <s v="2014–2015"/>
    <n v="2014"/>
    <n v="664455"/>
    <n v="706368.72034220537"/>
    <n v="44.021483257023895"/>
    <n v="214051.12737642589"/>
    <s v=""/>
    <x v="0"/>
  </r>
  <r>
    <x v="88"/>
    <x v="0"/>
    <s v="Orange"/>
    <x v="2"/>
    <x v="2"/>
    <s v="Phase I MS4"/>
    <m/>
    <s v="2015–2016"/>
    <n v="2015"/>
    <n v="520931"/>
    <n v="553090.24667088606"/>
    <n v="34.469041921406337"/>
    <n v="167603.10505178367"/>
    <s v=""/>
    <x v="0"/>
  </r>
  <r>
    <x v="88"/>
    <x v="0"/>
    <s v="Orange"/>
    <x v="2"/>
    <x v="2"/>
    <s v="Phase I MS4"/>
    <m/>
    <s v="2016–2017"/>
    <n v="2016"/>
    <n v="426852"/>
    <n v="447538.31505000003"/>
    <n v="27.890958185840709"/>
    <n v="135617.67122727275"/>
    <s v=""/>
    <x v="0"/>
  </r>
  <r>
    <x v="88"/>
    <x v="0"/>
    <s v="Orange"/>
    <x v="2"/>
    <x v="2"/>
    <s v="Phase I MS4"/>
    <m/>
    <s v="2017–2018"/>
    <n v="2017"/>
    <n v="717567"/>
    <n v="736687.48175030609"/>
    <n v="45.91097356040796"/>
    <n v="223238.63083342611"/>
    <s v="YES"/>
    <x v="1"/>
  </r>
  <r>
    <x v="89"/>
    <x v="0"/>
    <s v="Riverside"/>
    <x v="2"/>
    <x v="2"/>
    <s v="Phase I MS4"/>
    <m/>
    <s v="2016–2017"/>
    <n v="2016"/>
    <n v="142393.81"/>
    <n v="149294.57001712502"/>
    <n v="2.1896157402450029"/>
    <n v="3928.804474134869"/>
    <s v=""/>
    <x v="1"/>
  </r>
  <r>
    <x v="90"/>
    <x v="0"/>
    <s v="Orange"/>
    <x v="2"/>
    <x v="2"/>
    <s v="Phase I MS4"/>
    <m/>
    <s v="2000–2001"/>
    <n v="2000"/>
    <n v="485400"/>
    <n v="709301.32055749139"/>
    <n v="8.2840045380037068"/>
    <n v="42728.995214306706"/>
    <s v=""/>
    <x v="0"/>
  </r>
  <r>
    <x v="90"/>
    <x v="0"/>
    <s v="Orange"/>
    <x v="2"/>
    <x v="2"/>
    <s v="Phase I MS4"/>
    <m/>
    <s v="2001–2002"/>
    <n v="2001"/>
    <n v="445000"/>
    <n v="632274.39299830596"/>
    <n v="7.3843989698831622"/>
    <n v="38088.818855319631"/>
    <s v=""/>
    <x v="0"/>
  </r>
  <r>
    <x v="90"/>
    <x v="0"/>
    <s v="Orange"/>
    <x v="2"/>
    <x v="2"/>
    <s v="Phase I MS4"/>
    <m/>
    <s v="2013–2014"/>
    <n v="2013"/>
    <n v="1381029"/>
    <n v="1491457.9755321888"/>
    <n v="17.418894170166762"/>
    <n v="89846.865995914981"/>
    <s v=""/>
    <x v="0"/>
  </r>
  <r>
    <x v="90"/>
    <x v="0"/>
    <s v="Orange"/>
    <x v="2"/>
    <x v="2"/>
    <s v="Phase I MS4"/>
    <m/>
    <s v="2014–2015"/>
    <n v="2014"/>
    <n v="1359888"/>
    <n v="1445669.5282129277"/>
    <n v="16.88412609010345"/>
    <n v="87088.525795959489"/>
    <s v=""/>
    <x v="0"/>
  </r>
  <r>
    <x v="90"/>
    <x v="0"/>
    <s v="Orange"/>
    <x v="2"/>
    <x v="2"/>
    <s v="Phase I MS4"/>
    <m/>
    <s v="2015–2016"/>
    <n v="2015"/>
    <n v="1479554"/>
    <n v="1570893.0488354429"/>
    <n v="18.346624725079042"/>
    <n v="94632.111375629087"/>
    <s v=""/>
    <x v="0"/>
  </r>
  <r>
    <x v="90"/>
    <x v="0"/>
    <s v="Orange"/>
    <x v="2"/>
    <x v="2"/>
    <s v="Phase I MS4"/>
    <m/>
    <s v="2016–2017"/>
    <n v="2016"/>
    <n v="1440400"/>
    <n v="1510205.385"/>
    <n v="17.637847132195787"/>
    <n v="90976.228012048188"/>
    <s v=""/>
    <x v="1"/>
  </r>
  <r>
    <x v="90"/>
    <x v="0"/>
    <s v="Orange"/>
    <x v="2"/>
    <x v="2"/>
    <s v="Phase I MS4"/>
    <m/>
    <s v="2017–2018"/>
    <n v="2017"/>
    <n v="2109960"/>
    <n v="2166182.557160343"/>
    <n v="25.299073346651518"/>
    <n v="130492.92513014114"/>
    <s v="YES"/>
    <x v="2"/>
  </r>
  <r>
    <x v="91"/>
    <x v="0"/>
    <s v="Los Angeles"/>
    <x v="0"/>
    <x v="0"/>
    <s v="Phase I MS4"/>
    <m/>
    <s v="2011–2012"/>
    <n v="2011"/>
    <n v="6724501"/>
    <n v="7523756.8302845713"/>
    <n v="93.88266571355841"/>
    <n v="800399.66279623099"/>
    <s v=""/>
    <x v="0"/>
  </r>
  <r>
    <x v="91"/>
    <x v="0"/>
    <s v="Los Angeles"/>
    <x v="0"/>
    <x v="0"/>
    <s v="Phase I MS4"/>
    <m/>
    <s v="2015–2016"/>
    <n v="2015"/>
    <n v="6852818"/>
    <n v="7275871.080835443"/>
    <n v="90.789506873414567"/>
    <n v="774028.83838674927"/>
    <s v="YES"/>
    <x v="1"/>
  </r>
  <r>
    <x v="92"/>
    <x v="0"/>
    <s v="Los Angeles"/>
    <x v="0"/>
    <x v="0"/>
    <s v="Phase I MS4"/>
    <m/>
    <s v="2011–2012"/>
    <n v="2011"/>
    <n v="564000"/>
    <n v="631035.50022232102"/>
    <n v="19.265906460961133"/>
    <n v="315517.75011116051"/>
    <s v=""/>
    <x v="0"/>
  </r>
  <r>
    <x v="92"/>
    <x v="0"/>
    <s v="Los Angeles"/>
    <x v="0"/>
    <x v="0"/>
    <s v="Phase I MS4"/>
    <m/>
    <s v="2015–2016"/>
    <n v="2015"/>
    <n v="85316"/>
    <n v="90582.91306329114"/>
    <n v="2.7655526977862595"/>
    <n v="45291.45653164557"/>
    <s v="YES"/>
    <x v="1"/>
  </r>
  <r>
    <x v="93"/>
    <x v="0"/>
    <s v="San Diego"/>
    <x v="1"/>
    <x v="1"/>
    <s v="Phase I MS4"/>
    <m/>
    <s v="2015–2016"/>
    <n v="2015"/>
    <n v="445401"/>
    <n v="472897.46426582278"/>
    <n v="17.534853508317802"/>
    <n v="121255.7600681597"/>
    <s v=""/>
    <x v="0"/>
  </r>
  <r>
    <x v="93"/>
    <x v="0"/>
    <s v="San Diego"/>
    <x v="1"/>
    <x v="1"/>
    <s v="Phase I MS4"/>
    <m/>
    <s v="2016–2017"/>
    <n v="2016"/>
    <n v="356887.21"/>
    <n v="374182.85641462507"/>
    <n v="13.874554355542477"/>
    <n v="95944.32215759618"/>
    <s v=""/>
    <x v="0"/>
  </r>
  <r>
    <x v="93"/>
    <x v="0"/>
    <s v="San Diego"/>
    <x v="1"/>
    <x v="1"/>
    <s v="Phase I MS4"/>
    <m/>
    <s v="2017–2018"/>
    <n v="2017"/>
    <n v="245975.15"/>
    <n v="252529.46948041618"/>
    <n v="9.3636942222706132"/>
    <n v="64751.146020619533"/>
    <s v="YES"/>
    <x v="1"/>
  </r>
  <r>
    <x v="94"/>
    <x v="0"/>
    <s v="San Bernardino"/>
    <x v="2"/>
    <x v="2"/>
    <s v="Phase I MS4"/>
    <m/>
    <s v="2011–2012"/>
    <n v="2011"/>
    <n v="211000"/>
    <n v="236078.88394842154"/>
    <n v="9.6825069292273618"/>
    <n v="31477.184526456207"/>
    <s v=""/>
    <x v="0"/>
  </r>
  <r>
    <x v="94"/>
    <x v="0"/>
    <s v="San Bernardino"/>
    <x v="2"/>
    <x v="2"/>
    <s v="Phase I MS4"/>
    <m/>
    <s v="2012–2013"/>
    <n v="2012"/>
    <n v="219000"/>
    <n v="240013.8893728223"/>
    <n v="9.8438967013707774"/>
    <n v="32001.851916376309"/>
    <s v=""/>
    <x v="0"/>
  </r>
  <r>
    <x v="94"/>
    <x v="0"/>
    <s v="San Bernardino"/>
    <x v="2"/>
    <x v="2"/>
    <s v="Phase I MS4"/>
    <m/>
    <s v="2014–2015"/>
    <n v="2014"/>
    <n v="227200"/>
    <n v="241531.74144486693"/>
    <n v="9.9061496778306513"/>
    <n v="32204.232192648924"/>
    <s v=""/>
    <x v="1"/>
  </r>
  <r>
    <x v="95"/>
    <x v="0"/>
    <s v="Los Angeles"/>
    <x v="0"/>
    <x v="0"/>
    <s v="Phase I MS4"/>
    <m/>
    <s v="2011–2012"/>
    <n v="2011"/>
    <n v="399787"/>
    <n v="447304.59136060474"/>
    <n v="21.797407112743276"/>
    <n v="235423.4691371604"/>
    <s v=""/>
    <x v="0"/>
  </r>
  <r>
    <x v="95"/>
    <x v="0"/>
    <s v="Los Angeles"/>
    <x v="0"/>
    <x v="0"/>
    <s v="Phase I MS4"/>
    <m/>
    <s v="2015–2016"/>
    <n v="2015"/>
    <n v="201000"/>
    <n v="213408.56962025314"/>
    <n v="10.399520960004539"/>
    <n v="112320.29980013323"/>
    <s v="YES"/>
    <x v="1"/>
  </r>
  <r>
    <x v="96"/>
    <x v="0"/>
    <s v="Los Angeles"/>
    <x v="0"/>
    <x v="0"/>
    <s v="Phase I MS4"/>
    <m/>
    <s v="2015–2016"/>
    <n v="2015"/>
    <n v="2128136"/>
    <n v="2259514.7249620254"/>
    <n v="4.8346964505749934"/>
    <n v="44920.769879960746"/>
    <s v="YES"/>
    <x v="1"/>
  </r>
  <r>
    <x v="97"/>
    <x v="0"/>
    <s v="Orange"/>
    <x v="2"/>
    <x v="2"/>
    <s v="Phase I MS4"/>
    <m/>
    <s v="2000–2001"/>
    <n v="2000"/>
    <n v="62500"/>
    <n v="91329.48606271777"/>
    <n v="7.9217179341415358"/>
    <n v="22832.371515679442"/>
    <s v=""/>
    <x v="1"/>
  </r>
  <r>
    <x v="98"/>
    <x v="0"/>
    <s v="Los Angeles"/>
    <x v="0"/>
    <x v="0"/>
    <s v="Phase I MS4"/>
    <m/>
    <s v="2011–2012"/>
    <n v="2011"/>
    <n v="63528083"/>
    <n v="71078857.507216543"/>
    <n v="17.812214320172068"/>
    <n v="151651.0721297558"/>
    <s v=""/>
    <x v="0"/>
  </r>
  <r>
    <x v="98"/>
    <x v="0"/>
    <s v="Los Angeles"/>
    <x v="0"/>
    <x v="0"/>
    <s v="Phase I MS4"/>
    <m/>
    <s v="2015–2016"/>
    <n v="2015"/>
    <n v="83264551.590000004"/>
    <n v="88404820.173600376"/>
    <n v="22.154064641635035"/>
    <n v="188617.0688576923"/>
    <s v="YES"/>
    <x v="1"/>
  </r>
  <r>
    <x v="99"/>
    <x v="2"/>
    <s v="Los Angeles"/>
    <x v="0"/>
    <x v="0"/>
    <s v="Phase I MS4"/>
    <m/>
    <s v="2010–2011"/>
    <n v="2010"/>
    <n v="68436969"/>
    <n v="78958564.632916093"/>
    <e v="#N/A"/>
    <e v="#N/A"/>
    <s v=""/>
    <x v="0"/>
  </r>
  <r>
    <x v="99"/>
    <x v="2"/>
    <s v="Los Angeles"/>
    <x v="0"/>
    <x v="0"/>
    <s v="Phase I MS4"/>
    <m/>
    <s v="2011–2012"/>
    <n v="2011"/>
    <n v="69087546"/>
    <n v="77299103.101493999"/>
    <e v="#N/A"/>
    <e v="#N/A"/>
    <s v=""/>
    <x v="0"/>
  </r>
  <r>
    <x v="99"/>
    <x v="2"/>
    <s v="Los Angeles"/>
    <x v="0"/>
    <x v="0"/>
    <s v="Phase I MS4"/>
    <m/>
    <s v="2012–2013"/>
    <n v="2012"/>
    <n v="70786922"/>
    <n v="77579198.474660277"/>
    <e v="#N/A"/>
    <e v="#N/A"/>
    <s v=""/>
    <x v="0"/>
  </r>
  <r>
    <x v="99"/>
    <x v="2"/>
    <s v="Los Angeles"/>
    <x v="0"/>
    <x v="0"/>
    <s v="Phase I MS4"/>
    <m/>
    <s v="2013–2014"/>
    <n v="2013"/>
    <n v="77172000"/>
    <n v="83342779.107296139"/>
    <e v="#N/A"/>
    <e v="#N/A"/>
    <s v=""/>
    <x v="0"/>
  </r>
  <r>
    <x v="99"/>
    <x v="2"/>
    <s v="Los Angeles"/>
    <x v="0"/>
    <x v="0"/>
    <s v="Phase I MS4"/>
    <m/>
    <s v="2014–2015"/>
    <n v="2014"/>
    <n v="75612000"/>
    <n v="80381593.460076049"/>
    <e v="#N/A"/>
    <e v="#N/A"/>
    <s v=""/>
    <x v="0"/>
  </r>
  <r>
    <x v="99"/>
    <x v="2"/>
    <s v="Los Angeles"/>
    <x v="0"/>
    <x v="0"/>
    <s v="Phase I MS4"/>
    <m/>
    <s v="2015–2016"/>
    <n v="2015"/>
    <n v="48148000"/>
    <n v="51120377.164556958"/>
    <e v="#N/A"/>
    <e v="#N/A"/>
    <s v="YES"/>
    <x v="1"/>
  </r>
  <r>
    <x v="100"/>
    <x v="1"/>
    <s v="Los Angeles"/>
    <x v="0"/>
    <x v="0"/>
    <s v="Phase I MS4"/>
    <m/>
    <s v="2011–2012"/>
    <n v="2011"/>
    <n v="39690534"/>
    <n v="44408042.512023121"/>
    <e v="#N/A"/>
    <e v="#N/A"/>
    <s v=""/>
    <x v="0"/>
  </r>
  <r>
    <x v="100"/>
    <x v="1"/>
    <s v="Los Angeles"/>
    <x v="0"/>
    <x v="0"/>
    <s v="Phase I MS4"/>
    <m/>
    <s v="2012–2013"/>
    <n v="2012"/>
    <n v="38953676"/>
    <n v="42691430.512003489"/>
    <e v="#N/A"/>
    <e v="#N/A"/>
    <s v=""/>
    <x v="0"/>
  </r>
  <r>
    <x v="100"/>
    <x v="1"/>
    <s v="Los Angeles"/>
    <x v="0"/>
    <x v="0"/>
    <s v="Phase I MS4"/>
    <m/>
    <s v="2013–2014"/>
    <n v="2013"/>
    <n v="34264000"/>
    <n v="37003796.497854076"/>
    <e v="#N/A"/>
    <e v="#N/A"/>
    <s v=""/>
    <x v="0"/>
  </r>
  <r>
    <x v="100"/>
    <x v="1"/>
    <s v="Los Angeles"/>
    <x v="0"/>
    <x v="0"/>
    <s v="Phase I MS4"/>
    <m/>
    <s v="2014–2015"/>
    <n v="2014"/>
    <n v="31678000"/>
    <n v="33676243.422053233"/>
    <e v="#N/A"/>
    <e v="#N/A"/>
    <s v=""/>
    <x v="0"/>
  </r>
  <r>
    <x v="100"/>
    <x v="1"/>
    <s v="Los Angeles"/>
    <x v="0"/>
    <x v="0"/>
    <s v="Phase I MS4"/>
    <m/>
    <s v="2015–2016"/>
    <n v="2015"/>
    <n v="21725000"/>
    <n v="23066175"/>
    <e v="#N/A"/>
    <e v="#N/A"/>
    <s v="YES"/>
    <x v="1"/>
  </r>
  <r>
    <x v="101"/>
    <x v="0"/>
    <s v="Los Angeles"/>
    <x v="0"/>
    <x v="0"/>
    <s v="Phase I MS4"/>
    <m/>
    <s v="2011–2012"/>
    <n v="2011"/>
    <n v="1329555"/>
    <n v="1487582.2774788796"/>
    <n v="116.42656941996397"/>
    <n v="75130.418054488866"/>
    <s v=""/>
    <x v="0"/>
  </r>
  <r>
    <x v="101"/>
    <x v="0"/>
    <s v="Los Angeles"/>
    <x v="0"/>
    <x v="0"/>
    <s v="Phase I MS4"/>
    <m/>
    <s v="2015–2016"/>
    <n v="2015"/>
    <n v="1416439"/>
    <n v="1503881.6962405061"/>
    <n v="117.70225375600737"/>
    <n v="75953.621022247782"/>
    <s v="YES"/>
    <x v="1"/>
  </r>
  <r>
    <x v="102"/>
    <x v="0"/>
    <s v="Los Angeles"/>
    <x v="0"/>
    <x v="0"/>
    <s v="Phase I MS4"/>
    <m/>
    <s v="2011–2012"/>
    <n v="2011"/>
    <n v="3923240"/>
    <n v="4389545.5955535797"/>
    <n v="123.53781367650511"/>
    <n v="1125524.5116804051"/>
    <s v=""/>
    <x v="0"/>
  </r>
  <r>
    <x v="102"/>
    <x v="0"/>
    <s v="Los Angeles"/>
    <x v="0"/>
    <x v="0"/>
    <s v="Phase I MS4"/>
    <m/>
    <s v="2015–2016"/>
    <n v="2015"/>
    <n v="4707109"/>
    <n v="4997698.501177215"/>
    <n v="140.65345325839286"/>
    <n v="1281461.1541480038"/>
    <s v="YES"/>
    <x v="1"/>
  </r>
  <r>
    <x v="103"/>
    <x v="0"/>
    <s v="Riverside"/>
    <x v="2"/>
    <x v="2"/>
    <s v="Phase I MS4"/>
    <m/>
    <s v="2016–2017"/>
    <n v="2016"/>
    <n v="331585"/>
    <n v="347654.43806250003"/>
    <n v="3.7545703122468819"/>
    <n v="7476.4395282258074"/>
    <s v=""/>
    <x v="1"/>
  </r>
  <r>
    <x v="104"/>
    <x v="0"/>
    <s v="Orange"/>
    <x v="1"/>
    <x v="1"/>
    <s v="Phase I MS4"/>
    <m/>
    <s v="2000–2001"/>
    <n v="2000"/>
    <n v="948793"/>
    <n v="1386444.433118467"/>
    <n v="14.563185995236099"/>
    <n v="78330.193961495315"/>
    <s v=""/>
    <x v="0"/>
  </r>
  <r>
    <x v="104"/>
    <x v="0"/>
    <s v="Orange"/>
    <x v="1"/>
    <x v="1"/>
    <s v="Phase I MS4"/>
    <m/>
    <s v="2001–2002"/>
    <n v="2001"/>
    <n v="1412635"/>
    <n v="2007130.1958498023"/>
    <n v="21.082857459400039"/>
    <n v="113397.18620620352"/>
    <s v=""/>
    <x v="0"/>
  </r>
  <r>
    <x v="104"/>
    <x v="0"/>
    <s v="Orange"/>
    <x v="1"/>
    <x v="1"/>
    <s v="Phase I MS4"/>
    <m/>
    <s v="2013–2014"/>
    <n v="2013"/>
    <n v="1750717"/>
    <n v="1890706.7357381976"/>
    <n v="19.859947645408685"/>
    <n v="106819.58958972868"/>
    <s v=""/>
    <x v="0"/>
  </r>
  <r>
    <x v="104"/>
    <x v="0"/>
    <s v="Orange"/>
    <x v="1"/>
    <x v="1"/>
    <s v="Phase I MS4"/>
    <m/>
    <s v="2014–2015"/>
    <n v="2014"/>
    <n v="2244967"/>
    <n v="2386579.1769201523"/>
    <n v="25.068582350372392"/>
    <n v="134834.98174690126"/>
    <s v=""/>
    <x v="0"/>
  </r>
  <r>
    <x v="104"/>
    <x v="0"/>
    <s v="Orange"/>
    <x v="1"/>
    <x v="1"/>
    <s v="Phase I MS4"/>
    <m/>
    <s v="2015–2016"/>
    <n v="2015"/>
    <n v="2226430"/>
    <n v="2363876.8241772149"/>
    <n v="24.830117268305443"/>
    <n v="133552.36294786524"/>
    <s v=""/>
    <x v="0"/>
  </r>
  <r>
    <x v="104"/>
    <x v="0"/>
    <s v="Orange"/>
    <x v="1"/>
    <x v="1"/>
    <s v="Phase I MS4"/>
    <m/>
    <s v="2016–2017"/>
    <n v="2016"/>
    <n v="1509820"/>
    <n v="1582989.6517500002"/>
    <n v="16.627693239112627"/>
    <n v="89434.443601694933"/>
    <s v=""/>
    <x v="0"/>
  </r>
  <r>
    <x v="104"/>
    <x v="0"/>
    <s v="Orange"/>
    <x v="1"/>
    <x v="1"/>
    <s v="Phase I MS4"/>
    <m/>
    <s v="2017–2018"/>
    <n v="2017"/>
    <n v="2644876"/>
    <n v="2715352.0716279075"/>
    <n v="28.52200659259162"/>
    <n v="153409.72156089873"/>
    <s v="YES"/>
    <x v="1"/>
  </r>
  <r>
    <x v="105"/>
    <x v="0"/>
    <s v="Los Angeles"/>
    <x v="0"/>
    <x v="0"/>
    <s v="Phase I MS4"/>
    <m/>
    <s v="2011–2012"/>
    <n v="2011"/>
    <n v="687783"/>
    <n v="769531.00966207206"/>
    <n v="20.959580816071689"/>
    <n v="56583.162475152356"/>
    <s v=""/>
    <x v="0"/>
  </r>
  <r>
    <x v="105"/>
    <x v="0"/>
    <s v="Los Angeles"/>
    <x v="0"/>
    <x v="0"/>
    <s v="Phase I MS4"/>
    <m/>
    <s v="2015–2016"/>
    <n v="2015"/>
    <n v="713900"/>
    <n v="757972.02911392401"/>
    <n v="20.64475089510892"/>
    <n v="55733.237434847353"/>
    <s v="YES"/>
    <x v="1"/>
  </r>
  <r>
    <x v="106"/>
    <x v="0"/>
    <s v="San Bernardino"/>
    <x v="2"/>
    <x v="2"/>
    <s v="Phase I MS4"/>
    <m/>
    <s v="2011–2012"/>
    <n v="2011"/>
    <n v="453659"/>
    <n v="507579.67020453536"/>
    <n v="12.870646098956193"/>
    <n v="92287.212764460972"/>
    <s v=""/>
    <x v="0"/>
  </r>
  <r>
    <x v="106"/>
    <x v="0"/>
    <s v="San Bernardino"/>
    <x v="2"/>
    <x v="2"/>
    <s v="Phase I MS4"/>
    <m/>
    <s v="2012–2013"/>
    <n v="2012"/>
    <n v="459473"/>
    <n v="503561.1953963415"/>
    <n v="12.768750041746115"/>
    <n v="91556.580981153005"/>
    <s v=""/>
    <x v="0"/>
  </r>
  <r>
    <x v="106"/>
    <x v="0"/>
    <s v="San Bernardino"/>
    <x v="2"/>
    <x v="2"/>
    <s v="Phase I MS4"/>
    <m/>
    <s v="2013–2014"/>
    <n v="2013"/>
    <n v="419204"/>
    <n v="452724.12757081544"/>
    <n v="11.479679680777327"/>
    <n v="82313.477740148257"/>
    <s v=""/>
    <x v="0"/>
  </r>
  <r>
    <x v="106"/>
    <x v="0"/>
    <s v="San Bernardino"/>
    <x v="2"/>
    <x v="2"/>
    <s v="Phase I MS4"/>
    <m/>
    <s v="2014–2015"/>
    <n v="2014"/>
    <n v="429171"/>
    <n v="456243.04140684416"/>
    <n v="11.568908421199486"/>
    <n v="82953.280255789854"/>
    <s v=""/>
    <x v="1"/>
  </r>
  <r>
    <x v="107"/>
    <x v="0"/>
    <s v="Los Angeles"/>
    <x v="0"/>
    <x v="0"/>
    <s v="Phase I MS4"/>
    <m/>
    <s v="2011–2012"/>
    <n v="2011"/>
    <n v="385345"/>
    <n v="431146.05466874171"/>
    <n v="6.8837982927056727"/>
    <n v="51945.307791414656"/>
    <s v=""/>
    <x v="0"/>
  </r>
  <r>
    <x v="107"/>
    <x v="0"/>
    <s v="Los Angeles"/>
    <x v="0"/>
    <x v="0"/>
    <s v="Phase I MS4"/>
    <m/>
    <s v="2015–2016"/>
    <n v="2015"/>
    <n v="3977533"/>
    <n v="4223082.7271012655"/>
    <n v="67.426917982840493"/>
    <n v="508805.14784352592"/>
    <s v="YES"/>
    <x v="1"/>
  </r>
  <r>
    <x v="108"/>
    <x v="0"/>
    <s v="Los Angeles"/>
    <x v="0"/>
    <x v="0"/>
    <s v="Phase I MS4"/>
    <m/>
    <s v="2011–2012"/>
    <n v="2011"/>
    <n v="4765306"/>
    <n v="5331697.2613872839"/>
    <n v="88.271672015153456"/>
    <n v="692428.21576458227"/>
    <s v=""/>
    <x v="0"/>
  </r>
  <r>
    <x v="108"/>
    <x v="0"/>
    <s v="Los Angeles"/>
    <x v="0"/>
    <x v="0"/>
    <s v="Phase I MS4"/>
    <m/>
    <s v="2015–2016"/>
    <n v="2015"/>
    <n v="745073"/>
    <n v="791069.46862025314"/>
    <n v="13.096959795702938"/>
    <n v="102736.2946260069"/>
    <s v="YES"/>
    <x v="1"/>
  </r>
  <r>
    <x v="109"/>
    <x v="0"/>
    <s v="Riverside"/>
    <x v="2"/>
    <x v="2"/>
    <s v="Phase I MS4"/>
    <m/>
    <s v="2016–2017"/>
    <n v="2016"/>
    <n v="816373"/>
    <n v="855936.47651250008"/>
    <n v="4.0944103157737386"/>
    <n v="16684.921569444447"/>
    <s v=""/>
    <x v="1"/>
  </r>
  <r>
    <x v="110"/>
    <x v="0"/>
    <s v="Riverside"/>
    <x v="1"/>
    <x v="1"/>
    <s v="Phase I MS4"/>
    <m/>
    <s v="2015–2016"/>
    <n v="2015"/>
    <n v="968282"/>
    <n v="1028058.0925822784"/>
    <n v="8.9408017792084049"/>
    <n v="30596.967041139236"/>
    <s v=""/>
    <x v="0"/>
  </r>
  <r>
    <x v="110"/>
    <x v="0"/>
    <s v="Riverside"/>
    <x v="1"/>
    <x v="1"/>
    <s v="Phase I MS4"/>
    <m/>
    <s v="2016–2017"/>
    <n v="2016"/>
    <n v="685416.5"/>
    <n v="718633.4971312501"/>
    <n v="6.2498021231573695"/>
    <n v="21387.901700334824"/>
    <s v=""/>
    <x v="0"/>
  </r>
  <r>
    <x v="110"/>
    <x v="0"/>
    <s v="Riverside"/>
    <x v="1"/>
    <x v="1"/>
    <s v="Phase I MS4"/>
    <m/>
    <s v="2017–2018"/>
    <n v="2017"/>
    <n v="1102480"/>
    <n v="1131856.9762545901"/>
    <n v="9.8435185133242609"/>
    <n v="33686.21953138661"/>
    <s v="YES"/>
    <x v="0"/>
  </r>
  <r>
    <x v="110"/>
    <x v="0"/>
    <s v="Riverside"/>
    <x v="1"/>
    <x v="1"/>
    <s v="Phase I MS4"/>
    <m/>
    <s v="2018–2019"/>
    <n v="2018"/>
    <n v="1051240"/>
    <n v="1051240"/>
    <n v="9.1424098795495059"/>
    <n v="31286.90476190476"/>
    <s v=""/>
    <x v="1"/>
  </r>
  <r>
    <x v="111"/>
    <x v="0"/>
    <s v="San Diego"/>
    <x v="1"/>
    <x v="1"/>
    <s v="Phase I MS4"/>
    <m/>
    <s v="2015–2016"/>
    <n v="2015"/>
    <n v="2980557"/>
    <n v="3164559.2340379744"/>
    <n v="51.514043952368908"/>
    <n v="433501.26493670885"/>
    <s v=""/>
    <x v="0"/>
  </r>
  <r>
    <x v="111"/>
    <x v="0"/>
    <s v="San Diego"/>
    <x v="1"/>
    <x v="1"/>
    <s v="Phase I MS4"/>
    <m/>
    <s v="2016–2017"/>
    <n v="2016"/>
    <n v="2132428"/>
    <n v="2235770.79195"/>
    <n v="36.394829840796994"/>
    <n v="306269.97149999999"/>
    <s v=""/>
    <x v="0"/>
  </r>
  <r>
    <x v="111"/>
    <x v="0"/>
    <s v="San Diego"/>
    <x v="1"/>
    <x v="1"/>
    <s v="Phase I MS4"/>
    <m/>
    <s v="2017–2018"/>
    <n v="2017"/>
    <n v="681096"/>
    <n v="699244.66575275408"/>
    <n v="11.382602688426919"/>
    <n v="95786.940514075905"/>
    <s v="YES"/>
    <x v="1"/>
  </r>
  <r>
    <x v="112"/>
    <x v="0"/>
    <s v="Orange"/>
    <x v="2"/>
    <x v="2"/>
    <s v="Phase I MS4"/>
    <m/>
    <s v="2001–2002"/>
    <n v="2001"/>
    <n v="2112200"/>
    <n v="3001101.062676454"/>
    <n v="35.172175687087801"/>
    <n v="126096.68330573336"/>
    <s v="YES"/>
    <x v="1"/>
  </r>
  <r>
    <x v="113"/>
    <x v="0"/>
    <s v="Los Angeles"/>
    <x v="0"/>
    <x v="0"/>
    <s v="Phase I MS4"/>
    <m/>
    <s v="2011–2012"/>
    <n v="2011"/>
    <n v="731332"/>
    <n v="818256.12490884843"/>
    <n v="7.7840194530902629"/>
    <n v="84356.301536994695"/>
    <s v=""/>
    <x v="0"/>
  </r>
  <r>
    <x v="113"/>
    <x v="0"/>
    <s v="Los Angeles"/>
    <x v="0"/>
    <x v="0"/>
    <s v="Phase I MS4"/>
    <m/>
    <s v="2015–2016"/>
    <n v="2015"/>
    <n v="1041184"/>
    <n v="1105460.6375696203"/>
    <n v="10.516178059071731"/>
    <n v="113965.01418243509"/>
    <s v="YES"/>
    <x v="1"/>
  </r>
  <r>
    <x v="114"/>
    <x v="0"/>
    <s v="San Diego"/>
    <x v="1"/>
    <x v="1"/>
    <s v="Phase I MS4"/>
    <m/>
    <s v="2015–2016"/>
    <n v="2015"/>
    <n v="2298842"/>
    <n v="2440759.1194177214"/>
    <n v="13.86164879269492"/>
    <n v="59098.283763140957"/>
    <s v=""/>
    <x v="0"/>
  </r>
  <r>
    <x v="114"/>
    <x v="0"/>
    <s v="San Diego"/>
    <x v="1"/>
    <x v="1"/>
    <s v="Phase I MS4"/>
    <m/>
    <s v="2016–2017"/>
    <n v="2016"/>
    <n v="4426225"/>
    <n v="4640730.9290625006"/>
    <n v="26.355809456284078"/>
    <n v="112366.36632112593"/>
    <s v=""/>
    <x v="0"/>
  </r>
  <r>
    <x v="114"/>
    <x v="0"/>
    <s v="San Diego"/>
    <x v="1"/>
    <x v="1"/>
    <s v="Phase I MS4"/>
    <m/>
    <s v="2017–2018"/>
    <n v="2017"/>
    <n v="4214770"/>
    <n v="4327077.8860465121"/>
    <n v="24.574499580000637"/>
    <n v="104771.86164761531"/>
    <s v="YES"/>
    <x v="1"/>
  </r>
  <r>
    <x v="115"/>
    <x v="0"/>
    <s v="San Bernardino"/>
    <x v="2"/>
    <x v="2"/>
    <s v="Phase I MS4"/>
    <m/>
    <s v="2011–2012"/>
    <n v="2011"/>
    <n v="2149181"/>
    <n v="2404626.7861760785"/>
    <n v="13.277381802890437"/>
    <n v="48188.913550622819"/>
    <s v=""/>
    <x v="0"/>
  </r>
  <r>
    <x v="115"/>
    <x v="0"/>
    <s v="San Bernardino"/>
    <x v="2"/>
    <x v="2"/>
    <s v="Phase I MS4"/>
    <m/>
    <s v="2012–2013"/>
    <n v="2012"/>
    <n v="2359343"/>
    <n v="2585731.003628049"/>
    <n v="14.277366438779556"/>
    <n v="51818.256585732444"/>
    <s v=""/>
    <x v="0"/>
  </r>
  <r>
    <x v="115"/>
    <x v="0"/>
    <s v="San Bernardino"/>
    <x v="2"/>
    <x v="2"/>
    <s v="Phase I MS4"/>
    <m/>
    <s v="2013–2014"/>
    <n v="2013"/>
    <n v="2156014"/>
    <n v="2328411.8404892706"/>
    <n v="12.856553531830745"/>
    <n v="46661.559929644704"/>
    <s v=""/>
    <x v="0"/>
  </r>
  <r>
    <x v="115"/>
    <x v="0"/>
    <s v="San Bernardino"/>
    <x v="2"/>
    <x v="2"/>
    <s v="Phase I MS4"/>
    <m/>
    <s v="2014–2015"/>
    <n v="2014"/>
    <n v="2320641"/>
    <n v="2467026.6813307987"/>
    <n v="13.621928922298965"/>
    <n v="49439.412451519012"/>
    <s v=""/>
    <x v="1"/>
  </r>
  <r>
    <x v="116"/>
    <x v="0"/>
    <s v="Orange"/>
    <x v="2"/>
    <x v="2"/>
    <s v="Phase I MS4"/>
    <m/>
    <s v="2000–2001"/>
    <n v="2000"/>
    <n v="3875965"/>
    <n v="5663838.2631533109"/>
    <n v="40.605648412386444"/>
    <n v="222985.75839186265"/>
    <s v=""/>
    <x v="0"/>
  </r>
  <r>
    <x v="116"/>
    <x v="0"/>
    <s v="Orange"/>
    <x v="2"/>
    <x v="2"/>
    <s v="Phase I MS4"/>
    <m/>
    <s v="2001–2002"/>
    <n v="2001"/>
    <n v="1817592"/>
    <n v="2582509.839367589"/>
    <n v="18.514738890249699"/>
    <n v="101673.61572313344"/>
    <s v="YES"/>
    <x v="1"/>
  </r>
  <r>
    <x v="117"/>
    <x v="2"/>
    <s v="Orange"/>
    <x v="2"/>
    <x v="2"/>
    <s v="Phase I MS4"/>
    <m/>
    <s v="2002–2003"/>
    <n v="2002"/>
    <n v="5923409"/>
    <n v="8285232.5185047239"/>
    <e v="#N/A"/>
    <e v="#N/A"/>
    <s v=""/>
    <x v="0"/>
  </r>
  <r>
    <x v="117"/>
    <x v="2"/>
    <s v="Orange"/>
    <x v="2"/>
    <x v="2"/>
    <s v="Phase I MS4"/>
    <m/>
    <s v="2003–2004"/>
    <n v="2003"/>
    <n v="13281617"/>
    <n v="18163405.257211957"/>
    <e v="#N/A"/>
    <e v="#N/A"/>
    <s v=""/>
    <x v="0"/>
  </r>
  <r>
    <x v="117"/>
    <x v="2"/>
    <s v="Orange"/>
    <x v="2"/>
    <x v="2"/>
    <s v="Phase I MS4"/>
    <m/>
    <s v="2004–2005"/>
    <n v="2004"/>
    <n v="8931869"/>
    <n v="11898015.50205929"/>
    <e v="#N/A"/>
    <e v="#N/A"/>
    <s v=""/>
    <x v="0"/>
  </r>
  <r>
    <x v="117"/>
    <x v="2"/>
    <s v="Orange"/>
    <x v="2"/>
    <x v="2"/>
    <s v="Phase I MS4"/>
    <m/>
    <s v="2005–2006"/>
    <n v="2005"/>
    <n v="13747891"/>
    <n v="17713238.915622119"/>
    <e v="#N/A"/>
    <e v="#N/A"/>
    <s v=""/>
    <x v="0"/>
  </r>
  <r>
    <x v="117"/>
    <x v="2"/>
    <s v="Orange"/>
    <x v="2"/>
    <x v="2"/>
    <s v="Phase I MS4"/>
    <m/>
    <s v="2006–2007"/>
    <n v="2006"/>
    <n v="19587565"/>
    <n v="24448604.010491073"/>
    <e v="#N/A"/>
    <e v="#N/A"/>
    <s v=""/>
    <x v="0"/>
  </r>
  <r>
    <x v="117"/>
    <x v="2"/>
    <s v="Orange"/>
    <x v="2"/>
    <x v="2"/>
    <s v="Phase I MS4"/>
    <m/>
    <s v="2007–2008"/>
    <n v="2007"/>
    <n v="22342626"/>
    <n v="27120585.253285091"/>
    <e v="#N/A"/>
    <e v="#N/A"/>
    <s v=""/>
    <x v="0"/>
  </r>
  <r>
    <x v="117"/>
    <x v="2"/>
    <s v="Orange"/>
    <x v="2"/>
    <x v="2"/>
    <s v="Phase I MS4"/>
    <m/>
    <s v="2008–2009"/>
    <n v="2008"/>
    <n v="22145712"/>
    <n v="25882710.897686947"/>
    <e v="#N/A"/>
    <e v="#N/A"/>
    <s v=""/>
    <x v="0"/>
  </r>
  <r>
    <x v="117"/>
    <x v="2"/>
    <s v="Orange"/>
    <x v="2"/>
    <x v="2"/>
    <s v="Phase I MS4"/>
    <m/>
    <s v="2009–2010"/>
    <n v="2009"/>
    <n v="23464440"/>
    <n v="27526249.424895104"/>
    <e v="#N/A"/>
    <e v="#N/A"/>
    <s v=""/>
    <x v="0"/>
  </r>
  <r>
    <x v="117"/>
    <x v="2"/>
    <s v="Orange"/>
    <x v="2"/>
    <x v="2"/>
    <s v="Phase I MS4"/>
    <m/>
    <s v="2010–2011"/>
    <n v="2010"/>
    <n v="29146920"/>
    <n v="33628008.37469051"/>
    <e v="#N/A"/>
    <e v="#N/A"/>
    <s v=""/>
    <x v="0"/>
  </r>
  <r>
    <x v="117"/>
    <x v="2"/>
    <s v="Orange"/>
    <x v="2"/>
    <x v="2"/>
    <s v="Phase I MS4"/>
    <m/>
    <s v="2011–2012"/>
    <n v="2011"/>
    <n v="31772770"/>
    <n v="35549194.699288577"/>
    <e v="#N/A"/>
    <e v="#N/A"/>
    <s v=""/>
    <x v="0"/>
  </r>
  <r>
    <x v="117"/>
    <x v="2"/>
    <s v="Orange"/>
    <x v="2"/>
    <x v="2"/>
    <s v="Phase I MS4"/>
    <m/>
    <s v="2012–2013"/>
    <n v="2012"/>
    <n v="20564212"/>
    <n v="22537426.958937284"/>
    <e v="#N/A"/>
    <e v="#N/A"/>
    <s v=""/>
    <x v="0"/>
  </r>
  <r>
    <x v="117"/>
    <x v="2"/>
    <s v="Orange"/>
    <x v="2"/>
    <x v="2"/>
    <s v="Phase I MS4"/>
    <m/>
    <s v="2013–2014"/>
    <n v="2013"/>
    <n v="25890615"/>
    <n v="27960864.13332618"/>
    <e v="#N/A"/>
    <e v="#N/A"/>
    <s v=""/>
    <x v="0"/>
  </r>
  <r>
    <x v="117"/>
    <x v="2"/>
    <s v="Orange"/>
    <x v="2"/>
    <x v="2"/>
    <s v="Phase I MS4"/>
    <m/>
    <s v="2014–2015"/>
    <n v="2014"/>
    <n v="32213141"/>
    <n v="34245141.03494297"/>
    <e v="#N/A"/>
    <e v="#N/A"/>
    <s v=""/>
    <x v="0"/>
  </r>
  <r>
    <x v="117"/>
    <x v="2"/>
    <s v="Orange"/>
    <x v="2"/>
    <x v="2"/>
    <s v="Phase I MS4"/>
    <m/>
    <s v="2015–2016"/>
    <n v="2015"/>
    <n v="34536779"/>
    <n v="36668878.635227844"/>
    <e v="#N/A"/>
    <e v="#N/A"/>
    <s v=""/>
    <x v="0"/>
  </r>
  <r>
    <x v="117"/>
    <x v="2"/>
    <s v="Orange"/>
    <x v="2"/>
    <x v="2"/>
    <s v="Phase I MS4"/>
    <m/>
    <s v="2016–2017"/>
    <n v="2016"/>
    <n v="33495584"/>
    <n v="35118863.739600003"/>
    <e v="#N/A"/>
    <e v="#N/A"/>
    <s v=""/>
    <x v="0"/>
  </r>
  <r>
    <x v="117"/>
    <x v="2"/>
    <s v="Orange"/>
    <x v="2"/>
    <x v="2"/>
    <s v="Phase I MS4"/>
    <m/>
    <s v="2017–2018"/>
    <n v="2017"/>
    <n v="27408136"/>
    <n v="28138460.505165242"/>
    <e v="#N/A"/>
    <e v="#N/A"/>
    <s v="YES"/>
    <x v="1"/>
  </r>
  <r>
    <x v="118"/>
    <x v="0"/>
    <s v="Los Angeles"/>
    <x v="0"/>
    <x v="0"/>
    <s v="Phase I MS4"/>
    <m/>
    <s v="2011–2012"/>
    <n v="2011"/>
    <n v="195900"/>
    <n v="219184.13917296578"/>
    <n v="16.352144074378227"/>
    <n v="45663.362327701208"/>
    <s v=""/>
    <x v="0"/>
  </r>
  <r>
    <x v="118"/>
    <x v="0"/>
    <s v="Los Angeles"/>
    <x v="0"/>
    <x v="0"/>
    <s v="Phase I MS4"/>
    <m/>
    <s v="2015–2016"/>
    <n v="2015"/>
    <n v="99929"/>
    <n v="106098.0345949367"/>
    <n v="7.9154009694819978"/>
    <n v="22103.757207278482"/>
    <s v="YES"/>
    <x v="1"/>
  </r>
  <r>
    <x v="119"/>
    <x v="0"/>
    <s v="Los Angeles"/>
    <x v="0"/>
    <x v="0"/>
    <s v="Phase I MS4"/>
    <m/>
    <s v="2015–2016"/>
    <n v="2015"/>
    <n v="3520100"/>
    <n v="3737410.4772151895"/>
    <n v="69.62129721722718"/>
    <n v="795193.71855642332"/>
    <s v="YES"/>
    <x v="1"/>
  </r>
  <r>
    <x v="120"/>
    <x v="0"/>
    <s v="Los Angeles"/>
    <x v="0"/>
    <x v="0"/>
    <s v="Phase I MS4"/>
    <m/>
    <s v="2011–2012"/>
    <n v="2011"/>
    <n v="22063000"/>
    <n v="24685347.945753671"/>
    <n v="174.61394448475056"/>
    <n v="1073275.997641464"/>
    <s v=""/>
    <x v="0"/>
  </r>
  <r>
    <x v="120"/>
    <x v="0"/>
    <s v="Los Angeles"/>
    <x v="0"/>
    <x v="0"/>
    <s v="Phase I MS4"/>
    <m/>
    <s v="2015–2016"/>
    <n v="2015"/>
    <n v="16705000"/>
    <n v="17736269.430379745"/>
    <n v="125.45903636799446"/>
    <n v="771142.14914694545"/>
    <s v="YES"/>
    <x v="1"/>
  </r>
  <r>
    <x v="121"/>
    <x v="0"/>
    <s v="Riverside"/>
    <x v="2"/>
    <x v="2"/>
    <s v="Phase I MS4"/>
    <m/>
    <s v="2016–2017"/>
    <n v="2016"/>
    <n v="180680"/>
    <n v="189436.20450000002"/>
    <n v="2.3938964085779642"/>
    <n v="5994.8165981012662"/>
    <s v=""/>
    <x v="1"/>
  </r>
  <r>
    <x v="122"/>
    <x v="0"/>
    <s v="Los Angeles"/>
    <x v="0"/>
    <x v="0"/>
    <s v="Phase I MS4"/>
    <m/>
    <s v="2011–2012"/>
    <n v="2011"/>
    <n v="3904488"/>
    <n v="4368564.7840284575"/>
    <n v="69.465792902118963"/>
    <n v="526333.10650945269"/>
    <s v=""/>
    <x v="0"/>
  </r>
  <r>
    <x v="122"/>
    <x v="0"/>
    <s v="Los Angeles"/>
    <x v="0"/>
    <x v="0"/>
    <s v="Phase I MS4"/>
    <m/>
    <s v="2015–2016"/>
    <n v="2015"/>
    <n v="975050"/>
    <n v="1035243.9094936708"/>
    <n v="16.461708266977336"/>
    <n v="124728.18186670731"/>
    <s v="YES"/>
    <x v="1"/>
  </r>
  <r>
    <x v="123"/>
    <x v="0"/>
    <s v="Orange"/>
    <x v="2"/>
    <x v="2"/>
    <s v="Phase I MS4"/>
    <m/>
    <s v="2000–2001"/>
    <n v="2000"/>
    <n v="305704"/>
    <n v="446716.62731707323"/>
    <n v="8.6454031723224478"/>
    <n v="67684.33747228382"/>
    <s v=""/>
    <x v="0"/>
  </r>
  <r>
    <x v="123"/>
    <x v="0"/>
    <s v="Orange"/>
    <x v="2"/>
    <x v="2"/>
    <s v="Phase I MS4"/>
    <m/>
    <s v="2001–2002"/>
    <n v="2001"/>
    <n v="314874"/>
    <n v="447385.99375494069"/>
    <n v="8.6583575652675719"/>
    <n v="67785.756629536467"/>
    <s v="YES"/>
    <x v="1"/>
  </r>
  <r>
    <x v="124"/>
    <x v="0"/>
    <s v="Los Angeles"/>
    <x v="0"/>
    <x v="0"/>
    <s v="Phase I MS4"/>
    <m/>
    <s v="2010–2011"/>
    <n v="2010"/>
    <n v="3397293"/>
    <n v="3919597.5923108668"/>
    <n v="25.725727662005806"/>
    <n v="170417.2866222116"/>
    <s v=""/>
    <x v="0"/>
  </r>
  <r>
    <x v="124"/>
    <x v="0"/>
    <s v="Los Angeles"/>
    <x v="0"/>
    <x v="0"/>
    <s v="Phase I MS4"/>
    <m/>
    <s v="2011–2012"/>
    <n v="2011"/>
    <n v="3407918"/>
    <n v="3812973.8295153403"/>
    <n v="25.025917587278506"/>
    <n v="165781.47084849305"/>
    <s v=""/>
    <x v="0"/>
  </r>
  <r>
    <x v="124"/>
    <x v="0"/>
    <s v="Los Angeles"/>
    <x v="0"/>
    <x v="0"/>
    <s v="Phase I MS4"/>
    <m/>
    <s v="2015–2016"/>
    <n v="2015"/>
    <n v="3425326"/>
    <n v="3636785.6823037975"/>
    <n v="23.869531456893807"/>
    <n v="158121.11662190425"/>
    <s v="YES"/>
    <x v="1"/>
  </r>
  <r>
    <x v="125"/>
    <x v="0"/>
    <s v="San Diego"/>
    <x v="1"/>
    <x v="1"/>
    <s v="Phase I MS4"/>
    <m/>
    <s v="2015–2016"/>
    <n v="2015"/>
    <n v="1810760"/>
    <n v="1922545.7787341771"/>
    <n v="38.679900586153572"/>
    <n v="49169.968765579979"/>
    <s v=""/>
    <x v="0"/>
  </r>
  <r>
    <x v="125"/>
    <x v="0"/>
    <s v="San Diego"/>
    <x v="1"/>
    <x v="1"/>
    <s v="Phase I MS4"/>
    <m/>
    <s v="2016–2017"/>
    <n v="2016"/>
    <n v="1899286"/>
    <n v="1991330.1477750002"/>
    <n v="40.063780536274749"/>
    <n v="50929.159789641948"/>
    <s v=""/>
    <x v="0"/>
  </r>
  <r>
    <x v="125"/>
    <x v="0"/>
    <s v="San Diego"/>
    <x v="1"/>
    <x v="1"/>
    <s v="Phase I MS4"/>
    <m/>
    <s v="2017–2018"/>
    <n v="2017"/>
    <n v="1943401"/>
    <n v="1995185.3816034275"/>
    <n v="40.141344390862457"/>
    <n v="51027.759120292263"/>
    <s v=""/>
    <x v="1"/>
  </r>
  <r>
    <x v="126"/>
    <x v="0"/>
    <s v="Sacramento"/>
    <x v="3"/>
    <x v="3"/>
    <s v="Phase I MS4"/>
    <m/>
    <s v="2010–2011"/>
    <n v="2010"/>
    <n v="2890693"/>
    <n v="3335112.1975378268"/>
    <n v="44.7155888923755"/>
    <n v="95561.954084178418"/>
    <s v=""/>
    <x v="0"/>
  </r>
  <r>
    <x v="126"/>
    <x v="0"/>
    <s v="Sacramento"/>
    <x v="3"/>
    <x v="3"/>
    <s v="Phase I MS4"/>
    <m/>
    <s v="2012–2013"/>
    <n v="2012"/>
    <n v="2991187"/>
    <n v="3278202.8571297908"/>
    <n v="43.952575680495954"/>
    <n v="93931.313957873659"/>
    <s v=""/>
    <x v="0"/>
  </r>
  <r>
    <x v="126"/>
    <x v="0"/>
    <s v="Sacramento"/>
    <x v="3"/>
    <x v="3"/>
    <s v="Phase I MS4"/>
    <m/>
    <s v="2013–2014"/>
    <n v="2013"/>
    <n v="3126357"/>
    <n v="3376344.7994291848"/>
    <n v="45.268415893667424"/>
    <n v="96743.403995105589"/>
    <s v=""/>
    <x v="0"/>
  </r>
  <r>
    <x v="126"/>
    <x v="0"/>
    <s v="Sacramento"/>
    <x v="3"/>
    <x v="3"/>
    <s v="Phase I MS4"/>
    <m/>
    <s v="2014–2015"/>
    <n v="2014"/>
    <n v="1668876"/>
    <n v="1774148.4442585553"/>
    <n v="23.786933622827046"/>
    <n v="50835.198975889842"/>
    <s v="YES"/>
    <x v="0"/>
  </r>
  <r>
    <x v="126"/>
    <x v="0"/>
    <s v="Sacramento"/>
    <x v="3"/>
    <x v="3"/>
    <s v="Phase I MS4"/>
    <s v="This budget/expenditure does not reflect all monies used by the City to perform activities that enhance stormwater quality via other Programs (e.g. street sweeping, solid waste collection and trash cleanup evets, etc.)."/>
    <s v="2016–2017"/>
    <n v="2016"/>
    <n v="1849639"/>
    <n v="1939277.1300375001"/>
    <n v="26.000900047429109"/>
    <n v="55566.679943767915"/>
    <s v=""/>
    <x v="1"/>
  </r>
  <r>
    <x v="127"/>
    <x v="0"/>
    <s v="San Bernardino"/>
    <x v="2"/>
    <x v="2"/>
    <s v="Phase I MS4"/>
    <m/>
    <s v="2011–2012"/>
    <n v="2011"/>
    <n v="1098580"/>
    <n v="1229154.2195642509"/>
    <n v="6.9150340620545085"/>
    <n v="30728.855489106274"/>
    <s v=""/>
    <x v="0"/>
  </r>
  <r>
    <x v="127"/>
    <x v="0"/>
    <s v="San Bernardino"/>
    <x v="2"/>
    <x v="2"/>
    <s v="Phase I MS4"/>
    <m/>
    <s v="2012–2013"/>
    <n v="2012"/>
    <n v="1160058"/>
    <n v="1271370.0113153311"/>
    <n v="7.152533664031882"/>
    <n v="31784.250282883277"/>
    <s v=""/>
    <x v="0"/>
  </r>
  <r>
    <x v="127"/>
    <x v="0"/>
    <s v="San Bernardino"/>
    <x v="2"/>
    <x v="2"/>
    <s v="Phase I MS4"/>
    <m/>
    <s v="2013–2014"/>
    <n v="2013"/>
    <n v="1290428"/>
    <n v="1393612.3951416309"/>
    <n v="7.8402506604274009"/>
    <n v="34840.309878540771"/>
    <s v=""/>
    <x v="0"/>
  </r>
  <r>
    <x v="127"/>
    <x v="0"/>
    <s v="San Bernardino"/>
    <x v="2"/>
    <x v="2"/>
    <s v="Phase I MS4"/>
    <m/>
    <s v="2014–2015"/>
    <n v="2014"/>
    <n v="1331232"/>
    <n v="1415205.912091255"/>
    <n v="7.9617324914698369"/>
    <n v="35380.147802281375"/>
    <s v=""/>
    <x v="1"/>
  </r>
  <r>
    <x v="128"/>
    <x v="0"/>
    <s v="Los Angeles"/>
    <x v="0"/>
    <x v="0"/>
    <s v="Phase I MS4"/>
    <m/>
    <s v="2011–2012"/>
    <n v="2011"/>
    <n v="361981"/>
    <n v="405005.07341485104"/>
    <n v="9.6595371449830907"/>
    <n v="30000.375808507484"/>
    <s v=""/>
    <x v="0"/>
  </r>
  <r>
    <x v="128"/>
    <x v="0"/>
    <s v="Los Angeles"/>
    <x v="0"/>
    <x v="0"/>
    <s v="Phase I MS4"/>
    <m/>
    <s v="2015–2016"/>
    <n v="2015"/>
    <n v="419420"/>
    <n v="445312.54860759492"/>
    <n v="10.620886963546912"/>
    <n v="32986.114711673697"/>
    <s v="YES"/>
    <x v="1"/>
  </r>
  <r>
    <x v="129"/>
    <x v="0"/>
    <s v="Orange"/>
    <x v="1"/>
    <x v="1"/>
    <s v="Phase I MS4"/>
    <m/>
    <s v="2000–2001"/>
    <n v="2000"/>
    <n v="121342"/>
    <n v="177313.63996515682"/>
    <n v="3.669190687328646"/>
    <n v="13745.243408151691"/>
    <s v=""/>
    <x v="0"/>
  </r>
  <r>
    <x v="129"/>
    <x v="0"/>
    <s v="Orange"/>
    <x v="1"/>
    <x v="1"/>
    <s v="Phase I MS4"/>
    <m/>
    <s v="2001–2002"/>
    <n v="2001"/>
    <n v="62200"/>
    <n v="88376.330886504802"/>
    <n v="1.8287911202587646"/>
    <n v="6850.8783632949453"/>
    <s v=""/>
    <x v="0"/>
  </r>
  <r>
    <x v="129"/>
    <x v="0"/>
    <s v="Orange"/>
    <x v="1"/>
    <x v="1"/>
    <s v="Phase I MS4"/>
    <m/>
    <s v="2014–2015"/>
    <n v="2014"/>
    <n v="321288"/>
    <n v="341554.79817490495"/>
    <n v="7.0678695949281938"/>
    <n v="26477.116137589532"/>
    <s v=""/>
    <x v="0"/>
  </r>
  <r>
    <x v="129"/>
    <x v="0"/>
    <s v="Orange"/>
    <x v="1"/>
    <x v="1"/>
    <s v="Phase I MS4"/>
    <m/>
    <s v="2015–2016"/>
    <n v="2015"/>
    <n v="381180"/>
    <n v="404711.83367088606"/>
    <n v="8.3747922125377361"/>
    <n v="31373.010362084191"/>
    <s v=""/>
    <x v="0"/>
  </r>
  <r>
    <x v="129"/>
    <x v="0"/>
    <s v="Orange"/>
    <x v="1"/>
    <x v="1"/>
    <s v="Phase I MS4"/>
    <m/>
    <s v="2016–2017"/>
    <n v="2016"/>
    <n v="427244.93"/>
    <n v="447950.28742012504"/>
    <n v="9.269535176826178"/>
    <n v="34724.828482180237"/>
    <s v="YES"/>
    <x v="0"/>
  </r>
  <r>
    <x v="129"/>
    <x v="0"/>
    <s v="Orange"/>
    <x v="1"/>
    <x v="1"/>
    <s v="Phase I MS4"/>
    <m/>
    <s v="2017–2018"/>
    <n v="2017"/>
    <n v="363801.62"/>
    <n v="373495.5750396573"/>
    <n v="7.7288272124088424"/>
    <n v="28953.145351911418"/>
    <s v=""/>
    <x v="1"/>
  </r>
  <r>
    <x v="130"/>
    <x v="0"/>
    <s v="San Bernardino"/>
    <x v="2"/>
    <x v="2"/>
    <s v="Phase I MS4"/>
    <m/>
    <s v="2011–2012"/>
    <n v="2011"/>
    <n v="423500"/>
    <n v="473836.05380168965"/>
    <n v="6.619116221072411"/>
    <n v="13162.11260560249"/>
    <s v=""/>
    <x v="0"/>
  </r>
  <r>
    <x v="130"/>
    <x v="0"/>
    <s v="San Bernardino"/>
    <x v="2"/>
    <x v="2"/>
    <s v="Phase I MS4"/>
    <m/>
    <s v="2012–2013"/>
    <n v="2012"/>
    <n v="431400"/>
    <n v="472794.48344947735"/>
    <n v="6.6045663041583182"/>
    <n v="13133.180095818816"/>
    <s v=""/>
    <x v="0"/>
  </r>
  <r>
    <x v="130"/>
    <x v="0"/>
    <s v="San Bernardino"/>
    <x v="2"/>
    <x v="2"/>
    <s v="Phase I MS4"/>
    <m/>
    <s v="2013–2014"/>
    <n v="2013"/>
    <n v="1290000"/>
    <n v="1393150.1716738199"/>
    <n v="19.461209896820886"/>
    <n v="38698.615879828329"/>
    <s v=""/>
    <x v="0"/>
  </r>
  <r>
    <x v="130"/>
    <x v="0"/>
    <s v="San Bernardino"/>
    <x v="2"/>
    <x v="2"/>
    <s v="Phase I MS4"/>
    <m/>
    <s v="2014–2015"/>
    <n v="2014"/>
    <n v="1156012"/>
    <n v="1228933.0611406844"/>
    <n v="17.167226289228122"/>
    <n v="34137.029476130119"/>
    <s v=""/>
    <x v="1"/>
  </r>
  <r>
    <x v="131"/>
    <x v="0"/>
    <s v="Los Angeles"/>
    <x v="0"/>
    <x v="0"/>
    <s v="Phase I MS4"/>
    <m/>
    <s v="2011–2012"/>
    <n v="2011"/>
    <n v="1782000"/>
    <n v="1993803.6549577592"/>
    <n v="29.576390775496339"/>
    <n v="321581.23467060633"/>
    <s v=""/>
    <x v="0"/>
  </r>
  <r>
    <x v="131"/>
    <x v="0"/>
    <s v="Los Angeles"/>
    <x v="0"/>
    <x v="0"/>
    <s v="Phase I MS4"/>
    <m/>
    <s v="2015–2016"/>
    <n v="2015"/>
    <n v="2426000"/>
    <n v="2575767.1139240507"/>
    <n v="38.209326439269724"/>
    <n v="415446.30869742751"/>
    <s v="YES"/>
    <x v="1"/>
  </r>
  <r>
    <x v="132"/>
    <x v="0"/>
    <s v="San Bernardino"/>
    <x v="2"/>
    <x v="2"/>
    <s v="Phase I MS4"/>
    <m/>
    <s v="2011–2012"/>
    <n v="2011"/>
    <n v="456495"/>
    <n v="510752.74942196533"/>
    <n v="4.9376715914729825"/>
    <n v="22903.710736411002"/>
    <s v=""/>
    <x v="0"/>
  </r>
  <r>
    <x v="132"/>
    <x v="0"/>
    <s v="San Bernardino"/>
    <x v="2"/>
    <x v="2"/>
    <s v="Phase I MS4"/>
    <m/>
    <s v="2012–2013"/>
    <n v="2012"/>
    <n v="506863"/>
    <n v="555498.44753048779"/>
    <n v="5.370247945963726"/>
    <n v="24910.244283878375"/>
    <s v=""/>
    <x v="0"/>
  </r>
  <r>
    <x v="132"/>
    <x v="0"/>
    <s v="San Bernardino"/>
    <x v="2"/>
    <x v="2"/>
    <s v="Phase I MS4"/>
    <m/>
    <s v="2013–2014"/>
    <n v="2013"/>
    <n v="246283"/>
    <n v="265976.12692274677"/>
    <n v="2.5713082649144119"/>
    <n v="11927.180579495371"/>
    <s v=""/>
    <x v="0"/>
  </r>
  <r>
    <x v="132"/>
    <x v="0"/>
    <s v="San Bernardino"/>
    <x v="2"/>
    <x v="2"/>
    <s v="Phase I MS4"/>
    <m/>
    <s v="2014–2015"/>
    <n v="2014"/>
    <n v="287370"/>
    <n v="305497.25589353614"/>
    <n v="2.9533764104170159"/>
    <n v="13699.428515405209"/>
    <s v=""/>
    <x v="1"/>
  </r>
  <r>
    <x v="133"/>
    <x v="2"/>
    <s v="Riverside"/>
    <x v="2"/>
    <x v="2"/>
    <s v="Phase I MS4"/>
    <m/>
    <s v="2015–2016"/>
    <n v="2015"/>
    <n v="7219087"/>
    <n v="7664751.3961898731"/>
    <e v="#N/A"/>
    <e v="#N/A"/>
    <s v=""/>
    <x v="0"/>
  </r>
  <r>
    <x v="133"/>
    <x v="2"/>
    <s v="Riverside"/>
    <x v="2"/>
    <x v="2"/>
    <s v="Phase I MS4"/>
    <m/>
    <s v="2016–2017"/>
    <n v="2016"/>
    <n v="4513223"/>
    <n v="4731945.0696375007"/>
    <e v="#N/A"/>
    <e v="#N/A"/>
    <s v=""/>
    <x v="0"/>
  </r>
  <r>
    <x v="133"/>
    <x v="2"/>
    <s v="Riverside"/>
    <x v="2"/>
    <x v="2"/>
    <s v="Phase I MS4"/>
    <m/>
    <s v="2016–2017"/>
    <n v="2016"/>
    <n v="9812043"/>
    <n v="10287559.133887501"/>
    <e v="#N/A"/>
    <e v="#N/A"/>
    <s v=""/>
    <x v="0"/>
  </r>
  <r>
    <x v="133"/>
    <x v="2"/>
    <s v="Riverside"/>
    <x v="2"/>
    <x v="2"/>
    <s v="Phase I MS4"/>
    <m/>
    <s v="2017–2018"/>
    <n v="2017"/>
    <n v="10662136"/>
    <n v="10946242.120832315"/>
    <e v="#N/A"/>
    <e v="#N/A"/>
    <s v="YES"/>
    <x v="0"/>
  </r>
  <r>
    <x v="133"/>
    <x v="2"/>
    <s v="Riverside"/>
    <x v="2"/>
    <x v="2"/>
    <s v="Phase I MS4"/>
    <m/>
    <s v="2018–2019"/>
    <n v="2018"/>
    <n v="12541826"/>
    <n v="12541826"/>
    <e v="#N/A"/>
    <e v="#N/A"/>
    <s v=""/>
    <x v="1"/>
  </r>
  <r>
    <x v="134"/>
    <x v="1"/>
    <s v="Riverside"/>
    <x v="2"/>
    <x v="2"/>
    <s v="Phase I MS4"/>
    <m/>
    <s v="2015–2016"/>
    <n v="2015"/>
    <n v="1732925"/>
    <n v="1839905.6990506328"/>
    <e v="#N/A"/>
    <e v="#N/A"/>
    <s v=""/>
    <x v="0"/>
  </r>
  <r>
    <x v="134"/>
    <x v="1"/>
    <s v="Riverside"/>
    <x v="2"/>
    <x v="2"/>
    <s v="Phase I MS4"/>
    <m/>
    <s v="2016–2017"/>
    <n v="2016"/>
    <n v="2204145"/>
    <n v="2310963.3770625"/>
    <e v="#N/A"/>
    <e v="#N/A"/>
    <s v=""/>
    <x v="0"/>
  </r>
  <r>
    <x v="134"/>
    <x v="1"/>
    <s v="Riverside"/>
    <x v="2"/>
    <x v="2"/>
    <s v="Phase I MS4"/>
    <m/>
    <s v="2017–2018"/>
    <n v="2017"/>
    <n v="1855404"/>
    <n v="1904843.5900611999"/>
    <e v="#N/A"/>
    <e v="#N/A"/>
    <s v="YES"/>
    <x v="1"/>
  </r>
  <r>
    <x v="135"/>
    <x v="0"/>
    <s v="Los Angeles"/>
    <x v="0"/>
    <x v="0"/>
    <s v="Phase I MS4"/>
    <m/>
    <s v="2011–2012"/>
    <n v="2011"/>
    <n v="55643"/>
    <n v="62256.575068919519"/>
    <n v="33.345782040128292"/>
    <n v="20752.19168963984"/>
    <s v=""/>
    <x v="0"/>
  </r>
  <r>
    <x v="135"/>
    <x v="0"/>
    <s v="Los Angeles"/>
    <x v="0"/>
    <x v="0"/>
    <s v="Phase I MS4"/>
    <m/>
    <s v="2015–2016"/>
    <n v="2015"/>
    <n v="72893.33"/>
    <n v="77393.33975202532"/>
    <n v="41.453315346558824"/>
    <n v="25797.779917341773"/>
    <s v="YES"/>
    <x v="1"/>
  </r>
  <r>
    <x v="136"/>
    <x v="0"/>
    <s v="Los Angeles"/>
    <x v="0"/>
    <x v="0"/>
    <s v="Phase I MS4"/>
    <m/>
    <s v="2011–2012"/>
    <n v="2011"/>
    <n v="303329"/>
    <n v="339381.85682080925"/>
    <n v="41.687981429899182"/>
    <n v="94272.738005780338"/>
    <s v=""/>
    <x v="0"/>
  </r>
  <r>
    <x v="136"/>
    <x v="0"/>
    <s v="Los Angeles"/>
    <x v="0"/>
    <x v="0"/>
    <s v="Phase I MS4"/>
    <m/>
    <s v="2015–2016"/>
    <n v="2015"/>
    <n v="349356.04"/>
    <n v="370923.24768455693"/>
    <n v="45.56236920336039"/>
    <n v="103034.23546793248"/>
    <s v="YES"/>
    <x v="1"/>
  </r>
  <r>
    <x v="137"/>
    <x v="0"/>
    <s v="Los Angeles"/>
    <x v="0"/>
    <x v="0"/>
    <s v="Phase I MS4"/>
    <m/>
    <s v="2011–2012"/>
    <n v="2011"/>
    <n v="258084"/>
    <n v="288759.15964428638"/>
    <n v="5.3069021473992208"/>
    <n v="55530.607623901225"/>
    <s v=""/>
    <x v="0"/>
  </r>
  <r>
    <x v="137"/>
    <x v="0"/>
    <s v="Los Angeles"/>
    <x v="0"/>
    <x v="0"/>
    <s v="Phase I MS4"/>
    <m/>
    <s v="2015–2016"/>
    <n v="2015"/>
    <n v="394452"/>
    <n v="418803.16967088607"/>
    <n v="7.6968898344278109"/>
    <n v="80539.071090555008"/>
    <s v="YES"/>
    <x v="1"/>
  </r>
  <r>
    <x v="138"/>
    <x v="0"/>
    <s v="Sacramento"/>
    <x v="3"/>
    <x v="3"/>
    <s v="Phase I MS4"/>
    <m/>
    <s v="2011–2012"/>
    <n v="2011"/>
    <n v="2208965"/>
    <n v="2471516.5491996445"/>
    <n v="4.8601290176167815"/>
    <n v="25245.317152192485"/>
    <s v=""/>
    <x v="0"/>
  </r>
  <r>
    <x v="138"/>
    <x v="0"/>
    <s v="Sacramento"/>
    <x v="3"/>
    <x v="3"/>
    <s v="Phase I MS4"/>
    <m/>
    <s v="2012–2013"/>
    <n v="2012"/>
    <n v="2118312"/>
    <n v="2321572.1553658536"/>
    <n v="4.5652699361606786"/>
    <n v="23713.709452153762"/>
    <s v=""/>
    <x v="0"/>
  </r>
  <r>
    <x v="138"/>
    <x v="0"/>
    <s v="Sacramento"/>
    <x v="3"/>
    <x v="3"/>
    <s v="Phase I MS4"/>
    <m/>
    <s v="2013–2014"/>
    <n v="2013"/>
    <n v="1896229"/>
    <n v="2047854.0751030045"/>
    <n v="4.0270153228291887"/>
    <n v="20917.814863156327"/>
    <s v=""/>
    <x v="0"/>
  </r>
  <r>
    <x v="138"/>
    <x v="0"/>
    <s v="Sacramento"/>
    <x v="3"/>
    <x v="3"/>
    <s v="Phase I MS4"/>
    <m/>
    <s v="2014–2015"/>
    <n v="2014"/>
    <n v="1742565"/>
    <n v="1852485.7351711027"/>
    <n v="3.6428320413803394"/>
    <n v="18922.224056906052"/>
    <s v=""/>
    <x v="0"/>
  </r>
  <r>
    <x v="138"/>
    <x v="0"/>
    <s v="Sacramento"/>
    <x v="3"/>
    <x v="3"/>
    <s v="Phase I MS4"/>
    <m/>
    <s v="2015–2016"/>
    <n v="2015"/>
    <n v="1726809"/>
    <n v="1833412.1328227846"/>
    <n v="3.6053246379710591"/>
    <n v="18727.39665804683"/>
    <s v="YES"/>
    <x v="0"/>
  </r>
  <r>
    <x v="138"/>
    <x v="0"/>
    <s v="Sacramento"/>
    <x v="3"/>
    <x v="3"/>
    <s v="Phase I MS4"/>
    <m/>
    <s v="2017–2018"/>
    <n v="2017"/>
    <n v="34341650"/>
    <n v="35256726.769277848"/>
    <n v="69.330808605365377"/>
    <n v="360129.99764328753"/>
    <s v=""/>
    <x v="1"/>
  </r>
  <r>
    <x v="139"/>
    <x v="2"/>
    <s v="Sacramento"/>
    <x v="3"/>
    <x v="3"/>
    <s v="Phase I MS4"/>
    <m/>
    <s v="2011–2012"/>
    <n v="2011"/>
    <n v="23033614"/>
    <n v="25771326.475918189"/>
    <e v="#N/A"/>
    <e v="#N/A"/>
    <s v=""/>
    <x v="0"/>
  </r>
  <r>
    <x v="139"/>
    <x v="2"/>
    <s v="Sacramento"/>
    <x v="3"/>
    <x v="3"/>
    <s v="Phase I MS4"/>
    <m/>
    <s v="2012–2013"/>
    <n v="2012"/>
    <n v="21990610"/>
    <n v="24100693.314067945"/>
    <e v="#N/A"/>
    <e v="#N/A"/>
    <s v=""/>
    <x v="0"/>
  </r>
  <r>
    <x v="139"/>
    <x v="2"/>
    <s v="Sacramento"/>
    <x v="3"/>
    <x v="3"/>
    <s v="Phase I MS4"/>
    <m/>
    <s v="2013–2014"/>
    <n v="2013"/>
    <n v="21507078"/>
    <n v="23226813.494497854"/>
    <e v="#N/A"/>
    <e v="#N/A"/>
    <s v=""/>
    <x v="0"/>
  </r>
  <r>
    <x v="139"/>
    <x v="2"/>
    <s v="Sacramento"/>
    <x v="3"/>
    <x v="3"/>
    <s v="Phase I MS4"/>
    <m/>
    <s v="2014–2015"/>
    <n v="2014"/>
    <n v="17491899"/>
    <n v="18595285.328555133"/>
    <e v="#N/A"/>
    <e v="#N/A"/>
    <s v=""/>
    <x v="0"/>
  </r>
  <r>
    <x v="139"/>
    <x v="2"/>
    <s v="Sacramento"/>
    <x v="3"/>
    <x v="3"/>
    <s v="Phase I MS4"/>
    <m/>
    <s v="2015–2016"/>
    <n v="2015"/>
    <n v="18237879"/>
    <n v="19363779.454215188"/>
    <e v="#N/A"/>
    <e v="#N/A"/>
    <s v="YES"/>
    <x v="1"/>
  </r>
  <r>
    <x v="140"/>
    <x v="0"/>
    <s v="Monterey"/>
    <x v="6"/>
    <x v="6"/>
    <s v="Phase I MS4"/>
    <m/>
    <s v="2017–2018"/>
    <n v="2017"/>
    <n v="4458790"/>
    <n v="4577600.1080783363"/>
    <n v="29.294953302391136"/>
    <n v="193966.10627450576"/>
    <s v="YES"/>
    <x v="1"/>
  </r>
  <r>
    <x v="141"/>
    <x v="0"/>
    <s v="San Bernardino"/>
    <x v="2"/>
    <x v="2"/>
    <s v="Phase I MS4"/>
    <m/>
    <s v="2011–2012"/>
    <n v="2011"/>
    <n v="2338260"/>
    <n v="2616179.1999110719"/>
    <n v="12.11524999843046"/>
    <n v="42539.499185545887"/>
    <s v=""/>
    <x v="0"/>
  </r>
  <r>
    <x v="141"/>
    <x v="0"/>
    <s v="San Bernardino"/>
    <x v="2"/>
    <x v="2"/>
    <s v="Phase I MS4"/>
    <m/>
    <s v="2013–2014"/>
    <n v="2013"/>
    <n v="1921849"/>
    <n v="2075522.6854892704"/>
    <n v="9.6115266924264979"/>
    <n v="33748.336349419027"/>
    <s v=""/>
    <x v="0"/>
  </r>
  <r>
    <x v="141"/>
    <x v="0"/>
    <s v="San Bernardino"/>
    <x v="2"/>
    <x v="2"/>
    <s v="Phase I MS4"/>
    <m/>
    <s v="2014–2015"/>
    <n v="2014"/>
    <n v="1932280"/>
    <n v="2054167.9285171104"/>
    <n v="9.5126350647496789"/>
    <n v="33401.1045287335"/>
    <s v=""/>
    <x v="1"/>
  </r>
  <r>
    <x v="142"/>
    <x v="2"/>
    <s v="San Bernardino"/>
    <x v="2"/>
    <x v="2"/>
    <s v="Phase I MS4"/>
    <m/>
    <s v="2011–2012"/>
    <n v="2011"/>
    <n v="2481243"/>
    <n v="2776156.7689328589"/>
    <e v="#N/A"/>
    <e v="#N/A"/>
    <s v=""/>
    <x v="0"/>
  </r>
  <r>
    <x v="142"/>
    <x v="2"/>
    <s v="San Bernardino"/>
    <x v="2"/>
    <x v="2"/>
    <s v="Phase I MS4"/>
    <m/>
    <s v="2012–2013"/>
    <n v="2012"/>
    <n v="2671930"/>
    <n v="2928311.9243466901"/>
    <e v="#N/A"/>
    <e v="#N/A"/>
    <s v=""/>
    <x v="0"/>
  </r>
  <r>
    <x v="142"/>
    <x v="2"/>
    <s v="San Bernardino"/>
    <x v="2"/>
    <x v="2"/>
    <s v="Phase I MS4"/>
    <m/>
    <s v="2013–2014"/>
    <n v="2013"/>
    <n v="2575246"/>
    <n v="2781166.2069785409"/>
    <e v="#N/A"/>
    <e v="#N/A"/>
    <s v=""/>
    <x v="0"/>
  </r>
  <r>
    <x v="142"/>
    <x v="2"/>
    <s v="San Bernardino"/>
    <x v="2"/>
    <x v="2"/>
    <s v="Phase I MS4"/>
    <m/>
    <s v="2014–2015"/>
    <n v="2014"/>
    <n v="5137001"/>
    <n v="5461042.2417870723"/>
    <e v="#N/A"/>
    <e v="#N/A"/>
    <s v=""/>
    <x v="1"/>
  </r>
  <r>
    <x v="143"/>
    <x v="1"/>
    <s v="San Bernardino"/>
    <x v="2"/>
    <x v="2"/>
    <s v="Phase I MS4"/>
    <m/>
    <s v="2011–2012"/>
    <n v="2011"/>
    <n v="25904104"/>
    <n v="28982995.080586929"/>
    <e v="#N/A"/>
    <e v="#N/A"/>
    <s v=""/>
    <x v="0"/>
  </r>
  <r>
    <x v="143"/>
    <x v="1"/>
    <s v="San Bernardino"/>
    <x v="2"/>
    <x v="2"/>
    <s v="Phase I MS4"/>
    <m/>
    <s v="2012–2013"/>
    <n v="2012"/>
    <n v="13536619"/>
    <n v="14835509.475561848"/>
    <e v="#N/A"/>
    <e v="#N/A"/>
    <s v=""/>
    <x v="0"/>
  </r>
  <r>
    <x v="143"/>
    <x v="1"/>
    <s v="San Bernardino"/>
    <x v="2"/>
    <x v="2"/>
    <s v="Phase I MS4"/>
    <m/>
    <s v="2013–2014"/>
    <n v="2013"/>
    <n v="44552449"/>
    <n v="48114924.009952791"/>
    <e v="#N/A"/>
    <e v="#N/A"/>
    <s v=""/>
    <x v="0"/>
  </r>
  <r>
    <x v="143"/>
    <x v="1"/>
    <s v="San Bernardino"/>
    <x v="2"/>
    <x v="2"/>
    <s v="Phase I MS4"/>
    <m/>
    <s v="2014–2015"/>
    <n v="2014"/>
    <n v="15478324"/>
    <n v="16454694.323802283"/>
    <e v="#N/A"/>
    <e v="#N/A"/>
    <s v=""/>
    <x v="1"/>
  </r>
  <r>
    <x v="144"/>
    <x v="0"/>
    <s v="Ventura"/>
    <x v="0"/>
    <x v="0"/>
    <s v="Phase I MS4"/>
    <m/>
    <s v="2018–2019"/>
    <n v="2018"/>
    <n v="1468000"/>
    <n v="1468000"/>
    <n v="13.209992081203657"/>
    <n v="67339.449541284397"/>
    <s v="YES"/>
    <x v="1"/>
  </r>
  <r>
    <x v="145"/>
    <x v="0"/>
    <s v="Orange"/>
    <x v="1"/>
    <x v="1"/>
    <s v="Phase I MS4"/>
    <m/>
    <s v="2000–2001"/>
    <n v="2000"/>
    <n v="684728"/>
    <n v="1000573.7013240419"/>
    <n v="15.427381798788749"/>
    <n v="54379.005506741414"/>
    <s v=""/>
    <x v="0"/>
  </r>
  <r>
    <x v="145"/>
    <x v="0"/>
    <s v="Orange"/>
    <x v="1"/>
    <x v="1"/>
    <s v="Phase I MS4"/>
    <m/>
    <s v="2001–2002"/>
    <n v="2001"/>
    <n v="612710"/>
    <n v="870563.69288537547"/>
    <n v="13.422817781972268"/>
    <n v="47313.244178553017"/>
    <s v=""/>
    <x v="0"/>
  </r>
  <r>
    <x v="145"/>
    <x v="0"/>
    <s v="Orange"/>
    <x v="1"/>
    <x v="1"/>
    <s v="Phase I MS4"/>
    <m/>
    <s v="2014–2015"/>
    <n v="2014"/>
    <n v="2092255.71"/>
    <n v="2224234.881973004"/>
    <n v="34.294445965323774"/>
    <n v="120882.3305420111"/>
    <s v=""/>
    <x v="0"/>
  </r>
  <r>
    <x v="145"/>
    <x v="0"/>
    <s v="Orange"/>
    <x v="1"/>
    <x v="1"/>
    <s v="Phase I MS4"/>
    <m/>
    <s v="2015–2016"/>
    <n v="2015"/>
    <n v="2355674.69"/>
    <n v="2501100.3287737975"/>
    <n v="38.56330586943271"/>
    <n v="135929.36569422812"/>
    <s v=""/>
    <x v="0"/>
  </r>
  <r>
    <x v="145"/>
    <x v="0"/>
    <s v="Orange"/>
    <x v="1"/>
    <x v="1"/>
    <s v="Phase I MS4"/>
    <m/>
    <s v="2016–2017"/>
    <n v="2016"/>
    <n v="2448033.2599999998"/>
    <n v="2566671.0718627498"/>
    <n v="39.574310743061652"/>
    <n v="139492.99303601903"/>
    <s v=""/>
    <x v="0"/>
  </r>
  <r>
    <x v="145"/>
    <x v="0"/>
    <s v="Orange"/>
    <x v="1"/>
    <x v="1"/>
    <s v="Phase I MS4"/>
    <m/>
    <s v="2017–2018"/>
    <n v="2017"/>
    <n v="2263930.41"/>
    <n v="2324255.703789107"/>
    <n v="35.836620623666022"/>
    <n v="126318.24477114713"/>
    <s v=""/>
    <x v="0"/>
  </r>
  <r>
    <x v="145"/>
    <x v="0"/>
    <s v="Orange"/>
    <x v="1"/>
    <x v="1"/>
    <s v="Phase I MS4"/>
    <m/>
    <s v="2018–2019"/>
    <n v="2018"/>
    <n v="3321750.21"/>
    <n v="3321750.21"/>
    <n v="51.216525741246123"/>
    <n v="180529.90271739132"/>
    <s v=""/>
    <x v="1"/>
  </r>
  <r>
    <x v="146"/>
    <x v="0"/>
    <s v="San Diego"/>
    <x v="1"/>
    <x v="1"/>
    <s v="Phase I MS4"/>
    <m/>
    <s v="2015–2016"/>
    <n v="2015"/>
    <n v="75228179"/>
    <n v="79872328.733962014"/>
    <n v="56.012393430157317"/>
    <n v="245609.86695560275"/>
    <s v=""/>
    <x v="0"/>
  </r>
  <r>
    <x v="146"/>
    <x v="0"/>
    <s v="San Diego"/>
    <x v="1"/>
    <x v="1"/>
    <s v="Phase I MS4"/>
    <m/>
    <s v="2016–2017"/>
    <n v="2016"/>
    <n v="80339838"/>
    <n v="84233307.399075001"/>
    <n v="59.070634708490886"/>
    <n v="259020.01045226015"/>
    <s v=""/>
    <x v="0"/>
  </r>
  <r>
    <x v="146"/>
    <x v="0"/>
    <s v="San Diego"/>
    <x v="1"/>
    <x v="1"/>
    <s v="Phase I MS4"/>
    <m/>
    <s v="2017–2018"/>
    <n v="2017"/>
    <n v="74414627"/>
    <n v="76397499.007086918"/>
    <n v="53.575585428567464"/>
    <n v="234924.65869337923"/>
    <s v="YES"/>
    <x v="1"/>
  </r>
  <r>
    <x v="147"/>
    <x v="2"/>
    <s v="San Diego"/>
    <x v="1"/>
    <x v="1"/>
    <s v="Phase I MS4"/>
    <m/>
    <s v="2003–2004"/>
    <n v="2003"/>
    <n v="26879340"/>
    <n v="36759104.367065214"/>
    <e v="#DIV/0!"/>
    <e v="#N/A"/>
    <s v=""/>
    <x v="0"/>
  </r>
  <r>
    <x v="147"/>
    <x v="2"/>
    <s v="San Diego"/>
    <x v="1"/>
    <x v="1"/>
    <s v="Phase I MS4"/>
    <m/>
    <s v="2004–2005"/>
    <n v="2004"/>
    <n v="27656709"/>
    <n v="36841108.217993647"/>
    <e v="#DIV/0!"/>
    <e v="#N/A"/>
    <s v=""/>
    <x v="0"/>
  </r>
  <r>
    <x v="147"/>
    <x v="2"/>
    <s v="San Diego"/>
    <x v="1"/>
    <x v="1"/>
    <s v="Phase I MS4"/>
    <m/>
    <s v="2005–2006"/>
    <n v="2005"/>
    <n v="28204830"/>
    <n v="36340038.80046083"/>
    <e v="#DIV/0!"/>
    <e v="#N/A"/>
    <s v=""/>
    <x v="0"/>
  </r>
  <r>
    <x v="147"/>
    <x v="2"/>
    <s v="San Diego"/>
    <x v="1"/>
    <x v="1"/>
    <s v="Phase I MS4"/>
    <m/>
    <s v="2006–2007"/>
    <n v="2006"/>
    <n v="29536909"/>
    <n v="36867073.15763393"/>
    <e v="#DIV/0!"/>
    <e v="#N/A"/>
    <s v=""/>
    <x v="0"/>
  </r>
  <r>
    <x v="147"/>
    <x v="2"/>
    <s v="San Diego"/>
    <x v="1"/>
    <x v="1"/>
    <s v="Phase I MS4"/>
    <m/>
    <s v="2007–2008"/>
    <n v="2007"/>
    <n v="31517738"/>
    <n v="38257790.307177998"/>
    <e v="#DIV/0!"/>
    <e v="#N/A"/>
    <s v=""/>
    <x v="0"/>
  </r>
  <r>
    <x v="147"/>
    <x v="2"/>
    <s v="San Diego"/>
    <x v="1"/>
    <x v="1"/>
    <s v="Phase I MS4"/>
    <m/>
    <s v="2008–2009"/>
    <n v="2008"/>
    <n v="34575288"/>
    <n v="40409727.332689263"/>
    <e v="#DIV/0!"/>
    <e v="#N/A"/>
    <s v=""/>
    <x v="0"/>
  </r>
  <r>
    <x v="147"/>
    <x v="2"/>
    <s v="San Diego"/>
    <x v="1"/>
    <x v="1"/>
    <s v="Phase I MS4"/>
    <m/>
    <s v="2009–2010"/>
    <n v="2009"/>
    <n v="34605056"/>
    <n v="40595360.588979021"/>
    <e v="#DIV/0!"/>
    <e v="#N/A"/>
    <s v=""/>
    <x v="0"/>
  </r>
  <r>
    <x v="147"/>
    <x v="2"/>
    <s v="San Diego"/>
    <x v="1"/>
    <x v="1"/>
    <s v="Phase I MS4"/>
    <m/>
    <s v="2010–2011"/>
    <n v="2010"/>
    <n v="31498284"/>
    <n v="36340874.375075653"/>
    <e v="#DIV/0!"/>
    <e v="#N/A"/>
    <s v=""/>
    <x v="0"/>
  </r>
  <r>
    <x v="147"/>
    <x v="2"/>
    <s v="San Diego"/>
    <x v="1"/>
    <x v="1"/>
    <s v="Phase I MS4"/>
    <m/>
    <s v="2011–2012"/>
    <n v="2011"/>
    <n v="32842855"/>
    <n v="36746467.080947086"/>
    <e v="#DIV/0!"/>
    <e v="#N/A"/>
    <s v=""/>
    <x v="0"/>
  </r>
  <r>
    <x v="147"/>
    <x v="2"/>
    <s v="San Diego"/>
    <x v="1"/>
    <x v="1"/>
    <s v="Phase I MS4"/>
    <m/>
    <s v="2012–2013"/>
    <n v="2012"/>
    <n v="32221539"/>
    <n v="35313319.164237805"/>
    <e v="#DIV/0!"/>
    <e v="#N/A"/>
    <s v=""/>
    <x v="0"/>
  </r>
  <r>
    <x v="147"/>
    <x v="2"/>
    <s v="San Diego"/>
    <x v="1"/>
    <x v="1"/>
    <s v="Phase I MS4"/>
    <m/>
    <s v="2014–2015"/>
    <n v="2014"/>
    <n v="28867398"/>
    <n v="30688349.075361218"/>
    <e v="#DIV/0!"/>
    <e v="#N/A"/>
    <s v=""/>
    <x v="0"/>
  </r>
  <r>
    <x v="147"/>
    <x v="2"/>
    <s v="San Diego"/>
    <x v="1"/>
    <x v="1"/>
    <s v="Phase I MS4"/>
    <m/>
    <s v="2015–2016"/>
    <n v="2015"/>
    <n v="27414216"/>
    <n v="29106610.068759494"/>
    <e v="#DIV/0!"/>
    <e v="#N/A"/>
    <s v=""/>
    <x v="0"/>
  </r>
  <r>
    <x v="147"/>
    <x v="2"/>
    <s v="San Diego"/>
    <x v="1"/>
    <x v="1"/>
    <s v="Phase I MS4"/>
    <m/>
    <s v="2016–2017"/>
    <n v="2016"/>
    <n v="34398753"/>
    <n v="36065802.567262501"/>
    <e v="#DIV/0!"/>
    <e v="#N/A"/>
    <s v=""/>
    <x v="0"/>
  </r>
  <r>
    <x v="147"/>
    <x v="2"/>
    <s v="San Diego"/>
    <x v="1"/>
    <x v="1"/>
    <s v="Phase I MS4"/>
    <m/>
    <s v="2017–2018"/>
    <n v="2017"/>
    <n v="39077562"/>
    <n v="40118833.144112609"/>
    <e v="#DIV/0!"/>
    <e v="#N/A"/>
    <s v="YES"/>
    <x v="1"/>
  </r>
  <r>
    <x v="148"/>
    <x v="3"/>
    <s v="San Diego"/>
    <x v="1"/>
    <x v="1"/>
    <s v="Phase I MS4"/>
    <m/>
    <s v="2016–2017"/>
    <n v="2016"/>
    <n v="2630590"/>
    <n v="2758074.9678750001"/>
    <e v="#N/A"/>
    <e v="#N/A"/>
    <s v="YES"/>
    <x v="0"/>
  </r>
  <r>
    <x v="148"/>
    <x v="3"/>
    <s v="San Diego"/>
    <x v="1"/>
    <x v="1"/>
    <s v="Phase I MS4"/>
    <m/>
    <s v="2017–2018"/>
    <n v="2017"/>
    <n v="2944235"/>
    <n v="3022687.8714198289"/>
    <e v="#N/A"/>
    <e v="#N/A"/>
    <s v=""/>
    <x v="1"/>
  </r>
  <r>
    <x v="149"/>
    <x v="3"/>
    <s v="San Diego"/>
    <x v="1"/>
    <x v="1"/>
    <s v="Phase I MS4"/>
    <m/>
    <s v="2015–2016"/>
    <n v="2015"/>
    <n v="2959024"/>
    <n v="3141696.912"/>
    <e v="#N/A"/>
    <e v="#N/A"/>
    <s v=""/>
    <x v="0"/>
  </r>
  <r>
    <x v="149"/>
    <x v="3"/>
    <s v="San Diego"/>
    <x v="1"/>
    <x v="1"/>
    <s v="Phase I MS4"/>
    <m/>
    <s v="2016–2017"/>
    <n v="2016"/>
    <n v="2965746"/>
    <n v="3109473.4655250004"/>
    <e v="#N/A"/>
    <e v="#N/A"/>
    <s v=""/>
    <x v="0"/>
  </r>
  <r>
    <x v="149"/>
    <x v="3"/>
    <s v="San Diego"/>
    <x v="1"/>
    <x v="1"/>
    <s v="Phase I MS4"/>
    <m/>
    <s v="2017–2018"/>
    <n v="2017"/>
    <n v="5094852"/>
    <n v="5230610.7858506739"/>
    <e v="#N/A"/>
    <e v="#N/A"/>
    <s v="YES"/>
    <x v="1"/>
  </r>
  <r>
    <x v="150"/>
    <x v="0"/>
    <s v="Los Angeles"/>
    <x v="0"/>
    <x v="0"/>
    <s v="Phase I MS4"/>
    <m/>
    <s v="2011–2012"/>
    <n v="2011"/>
    <n v="474314"/>
    <n v="530689.66711427306"/>
    <n v="15.616787331948474"/>
    <n v="35379.31114095154"/>
    <s v=""/>
    <x v="0"/>
  </r>
  <r>
    <x v="150"/>
    <x v="0"/>
    <s v="Los Angeles"/>
    <x v="0"/>
    <x v="0"/>
    <s v="Phase I MS4"/>
    <m/>
    <s v="2015–2016"/>
    <n v="2015"/>
    <n v="580000"/>
    <n v="615805.82278481009"/>
    <n v="18.121529715284858"/>
    <n v="41053.721518987339"/>
    <s v="YES"/>
    <x v="1"/>
  </r>
  <r>
    <x v="151"/>
    <x v="0"/>
    <s v="Los Angeles"/>
    <x v="0"/>
    <x v="0"/>
    <s v="Phase I MS4"/>
    <m/>
    <s v="2011–2012"/>
    <n v="2011"/>
    <n v="1253519"/>
    <n v="1402508.8461049355"/>
    <n v="57.221903145856203"/>
    <n v="584378.68587705644"/>
    <s v=""/>
    <x v="0"/>
  </r>
  <r>
    <x v="151"/>
    <x v="0"/>
    <s v="Los Angeles"/>
    <x v="0"/>
    <x v="0"/>
    <s v="Phase I MS4"/>
    <m/>
    <s v="2015–2016"/>
    <n v="2015"/>
    <n v="384500"/>
    <n v="408236.79113924049"/>
    <n v="16.655927831058364"/>
    <n v="170098.66297468354"/>
    <s v="YES"/>
    <x v="1"/>
  </r>
  <r>
    <x v="152"/>
    <x v="0"/>
    <s v="Los Angeles"/>
    <x v="0"/>
    <x v="0"/>
    <s v="Phase I MS4"/>
    <m/>
    <s v="2011–2012"/>
    <n v="2011"/>
    <n v="184265"/>
    <n v="206166.23483770565"/>
    <n v="5.1113483286898633"/>
    <n v="50284.447521391623"/>
    <s v=""/>
    <x v="0"/>
  </r>
  <r>
    <x v="152"/>
    <x v="0"/>
    <s v="Los Angeles"/>
    <x v="0"/>
    <x v="0"/>
    <s v="Phase I MS4"/>
    <m/>
    <s v="2015–2016"/>
    <n v="2015"/>
    <n v="408832.3"/>
    <n v="434071.22565949365"/>
    <n v="10.761651807598701"/>
    <n v="105871.03064865699"/>
    <s v="YES"/>
    <x v="1"/>
  </r>
  <r>
    <x v="153"/>
    <x v="0"/>
    <s v="Riverside"/>
    <x v="2"/>
    <x v="2"/>
    <s v="Phase I MS4"/>
    <m/>
    <s v="2016–2017"/>
    <n v="2016"/>
    <n v="1403257.71"/>
    <n v="1471263.0867708751"/>
    <n v="30.107497631753027"/>
    <n v="57247.590924936776"/>
    <s v=""/>
    <x v="1"/>
  </r>
  <r>
    <x v="154"/>
    <x v="2"/>
    <s v="San Joaquin"/>
    <x v="3"/>
    <x v="3"/>
    <s v="Phase I MS4"/>
    <m/>
    <s v="2011–2012"/>
    <n v="2011"/>
    <n v="577660"/>
    <n v="646319.09052912414"/>
    <e v="#N/A"/>
    <e v="#N/A"/>
    <s v=""/>
    <x v="0"/>
  </r>
  <r>
    <x v="154"/>
    <x v="2"/>
    <s v="San Joaquin"/>
    <x v="3"/>
    <x v="3"/>
    <s v="Phase I MS4"/>
    <m/>
    <s v="2012–2013"/>
    <n v="2012"/>
    <n v="541430"/>
    <n v="593382.28366724739"/>
    <e v="#N/A"/>
    <e v="#N/A"/>
    <s v=""/>
    <x v="0"/>
  </r>
  <r>
    <x v="154"/>
    <x v="2"/>
    <s v="San Joaquin"/>
    <x v="3"/>
    <x v="3"/>
    <s v="Phase I MS4"/>
    <m/>
    <s v="2016–2017"/>
    <n v="2016"/>
    <n v="462105"/>
    <n v="484499.76356250001"/>
    <e v="#N/A"/>
    <e v="#N/A"/>
    <s v=""/>
    <x v="0"/>
  </r>
  <r>
    <x v="154"/>
    <x v="2"/>
    <s v="San Joaquin"/>
    <x v="3"/>
    <x v="3"/>
    <s v="Phase I MS4"/>
    <m/>
    <s v="2017–2018"/>
    <n v="2017"/>
    <n v="390983"/>
    <n v="401401.23734394129"/>
    <e v="#N/A"/>
    <e v="#N/A"/>
    <s v="YES"/>
    <x v="1"/>
  </r>
  <r>
    <x v="155"/>
    <x v="0"/>
    <s v="Orange"/>
    <x v="1"/>
    <x v="1"/>
    <s v="Phase I MS4"/>
    <m/>
    <s v="2000–2001"/>
    <n v="2000"/>
    <n v="325300"/>
    <n v="475351.70905923349"/>
    <n v="13.199447673318899"/>
    <n v="33475.472468960106"/>
    <s v=""/>
    <x v="0"/>
  </r>
  <r>
    <x v="155"/>
    <x v="0"/>
    <s v="Orange"/>
    <x v="1"/>
    <x v="1"/>
    <s v="Phase I MS4"/>
    <m/>
    <s v="2001–2002"/>
    <n v="2001"/>
    <n v="614260"/>
    <n v="872765.99695087515"/>
    <n v="24.234748478351573"/>
    <n v="61462.394151470085"/>
    <s v=""/>
    <x v="0"/>
  </r>
  <r>
    <x v="155"/>
    <x v="0"/>
    <s v="Orange"/>
    <x v="1"/>
    <x v="1"/>
    <s v="Phase I MS4"/>
    <m/>
    <s v="2013–2014"/>
    <n v="2013"/>
    <n v="1428300"/>
    <n v="1542508.829613734"/>
    <n v="42.832000378022769"/>
    <n v="108627.38236716438"/>
    <s v=""/>
    <x v="0"/>
  </r>
  <r>
    <x v="155"/>
    <x v="0"/>
    <s v="Orange"/>
    <x v="1"/>
    <x v="1"/>
    <s v="Phase I MS4"/>
    <m/>
    <s v="2014–2015"/>
    <n v="2014"/>
    <n v="1409973.71"/>
    <n v="1498914.6371821293"/>
    <n v="41.621487717827712"/>
    <n v="105557.36881564291"/>
    <s v=""/>
    <x v="0"/>
  </r>
  <r>
    <x v="155"/>
    <x v="0"/>
    <s v="Orange"/>
    <x v="1"/>
    <x v="1"/>
    <s v="Phase I MS4"/>
    <m/>
    <s v="2015–2016"/>
    <n v="2015"/>
    <n v="3297324.48"/>
    <n v="3500882.0937843034"/>
    <n v="97.211620631002788"/>
    <n v="246540.99252002139"/>
    <s v=""/>
    <x v="0"/>
  </r>
  <r>
    <x v="155"/>
    <x v="0"/>
    <s v="Orange"/>
    <x v="1"/>
    <x v="1"/>
    <s v="Phase I MS4"/>
    <m/>
    <s v="2016–2017"/>
    <n v="2016"/>
    <n v="3374050.09"/>
    <n v="3537564.992486625"/>
    <n v="98.230222211052265"/>
    <n v="249124.29524553698"/>
    <s v=""/>
    <x v="0"/>
  </r>
  <r>
    <x v="155"/>
    <x v="0"/>
    <s v="Orange"/>
    <x v="1"/>
    <x v="1"/>
    <s v="Phase I MS4"/>
    <m/>
    <s v="2017–2018"/>
    <n v="2017"/>
    <n v="4059160.81"/>
    <n v="4167322.2920485931"/>
    <n v="115.71716580258776"/>
    <n v="293473.40084849246"/>
    <s v="YES"/>
    <x v="1"/>
  </r>
  <r>
    <x v="156"/>
    <x v="0"/>
    <s v="San Diego"/>
    <x v="1"/>
    <x v="1"/>
    <s v="Phase I MS4"/>
    <m/>
    <s v="2013–2014"/>
    <n v="2013"/>
    <n v="1056233"/>
    <n v="1140690.8413004293"/>
    <n v="11.778277502663267"/>
    <n v="46749.624643460222"/>
    <s v=""/>
    <x v="1"/>
  </r>
  <r>
    <x v="157"/>
    <x v="0"/>
    <s v="Los Angeles"/>
    <x v="0"/>
    <x v="0"/>
    <s v="Phase I MS4"/>
    <m/>
    <s v="2011–2012"/>
    <n v="2011"/>
    <n v="428160"/>
    <n v="479049.9286794131"/>
    <n v="36.330193286774843"/>
    <n v="126065.77070510872"/>
    <s v=""/>
    <x v="0"/>
  </r>
  <r>
    <x v="157"/>
    <x v="0"/>
    <s v="Los Angeles"/>
    <x v="0"/>
    <x v="0"/>
    <s v="Phase I MS4"/>
    <m/>
    <s v="2015–2016"/>
    <n v="2015"/>
    <n v="534221"/>
    <n v="567200.69388607587"/>
    <n v="43.015371900961313"/>
    <n v="149263.34049633576"/>
    <s v="YES"/>
    <x v="1"/>
  </r>
  <r>
    <x v="158"/>
    <x v="0"/>
    <s v="Orange"/>
    <x v="2"/>
    <x v="2"/>
    <s v="Phase I MS4"/>
    <m/>
    <s v="2000–2001"/>
    <n v="2000"/>
    <n v="5874986"/>
    <n v="8584951.2320905924"/>
    <n v="25.801942240861351"/>
    <n v="316787.86834282626"/>
    <s v=""/>
    <x v="0"/>
  </r>
  <r>
    <x v="158"/>
    <x v="0"/>
    <s v="Orange"/>
    <x v="2"/>
    <x v="2"/>
    <s v="Phase I MS4"/>
    <m/>
    <s v="2001–2002"/>
    <n v="2001"/>
    <n v="4364871"/>
    <n v="6201789.1281818179"/>
    <n v="18.639384260821451"/>
    <n v="228848.30731298219"/>
    <s v="YES"/>
    <x v="1"/>
  </r>
  <r>
    <x v="159"/>
    <x v="0"/>
    <s v="Los Angeles"/>
    <x v="0"/>
    <x v="0"/>
    <s v="Phase I MS4"/>
    <m/>
    <s v="2011–2012"/>
    <n v="2011"/>
    <n v="2725516"/>
    <n v="3049463.390822588"/>
    <n v="14.515102603289977"/>
    <n v="57754.988462549016"/>
    <s v=""/>
    <x v="0"/>
  </r>
  <r>
    <x v="159"/>
    <x v="0"/>
    <s v="Los Angeles"/>
    <x v="0"/>
    <x v="0"/>
    <s v="Phase I MS4"/>
    <m/>
    <s v="2015–2016"/>
    <n v="2015"/>
    <n v="2971175"/>
    <n v="3154598.0439873417"/>
    <n v="15.015531722209833"/>
    <n v="59746.175075517836"/>
    <s v="YES"/>
    <x v="1"/>
  </r>
  <r>
    <x v="160"/>
    <x v="0"/>
    <s v="Los Angeles"/>
    <x v="0"/>
    <x v="0"/>
    <s v="Phase I MS4"/>
    <m/>
    <s v="2011–2012"/>
    <n v="2011"/>
    <n v="8002395"/>
    <n v="8953537.8223432638"/>
    <n v="97.948144340869959"/>
    <n v="1065897.3598027695"/>
    <s v=""/>
    <x v="0"/>
  </r>
  <r>
    <x v="160"/>
    <x v="0"/>
    <s v="Los Angeles"/>
    <x v="0"/>
    <x v="0"/>
    <s v="Phase I MS4"/>
    <m/>
    <s v="2015–2016"/>
    <n v="2015"/>
    <n v="10617957"/>
    <n v="11273447.839101264"/>
    <n v="123.32703765521944"/>
    <n v="1342077.1237025314"/>
    <s v="YES"/>
    <x v="1"/>
  </r>
  <r>
    <x v="161"/>
    <x v="0"/>
    <s v="San Diego"/>
    <x v="1"/>
    <x v="1"/>
    <s v="Phase I MS4"/>
    <m/>
    <s v="2016–2017"/>
    <n v="2016"/>
    <n v="775825"/>
    <n v="813423.4190625"/>
    <n v="13.996789453024176"/>
    <n v="50211.322164351855"/>
    <s v=""/>
    <x v="0"/>
  </r>
  <r>
    <x v="161"/>
    <x v="0"/>
    <s v="San Diego"/>
    <x v="1"/>
    <x v="1"/>
    <s v="Phase I MS4"/>
    <m/>
    <s v="2017–2018"/>
    <n v="2017"/>
    <n v="785868"/>
    <n v="806808.44842105277"/>
    <n v="13.882963923617874"/>
    <n v="49802.990643274861"/>
    <s v="YES"/>
    <x v="1"/>
  </r>
  <r>
    <x v="162"/>
    <x v="0"/>
    <s v="Orange"/>
    <x v="2"/>
    <x v="2"/>
    <s v="Phase I MS4"/>
    <m/>
    <s v="2000–2001"/>
    <n v="2000"/>
    <n v="336338"/>
    <n v="491481.22693379794"/>
    <n v="20.377346777801648"/>
    <n v="43493.913887946721"/>
    <s v=""/>
    <x v="0"/>
  </r>
  <r>
    <x v="162"/>
    <x v="0"/>
    <s v="Orange"/>
    <x v="2"/>
    <x v="2"/>
    <s v="Phase I MS4"/>
    <m/>
    <s v="2001–2002"/>
    <n v="2001"/>
    <n v="399700"/>
    <n v="567910.28063241101"/>
    <n v="23.546178557668686"/>
    <n v="50257.546958620442"/>
    <s v="YES"/>
    <x v="1"/>
  </r>
  <r>
    <x v="163"/>
    <x v="0"/>
    <s v="Los Angeles"/>
    <x v="0"/>
    <x v="0"/>
    <s v="Phase I MS4"/>
    <m/>
    <s v="2011–2012"/>
    <n v="2011"/>
    <n v="371559"/>
    <n v="415721.48834593152"/>
    <n v="38.080194957033207"/>
    <n v="138573.82944864384"/>
    <s v=""/>
    <x v="0"/>
  </r>
  <r>
    <x v="163"/>
    <x v="0"/>
    <s v="Los Angeles"/>
    <x v="0"/>
    <x v="0"/>
    <s v="Phase I MS4"/>
    <m/>
    <s v="2015–2016"/>
    <n v="2015"/>
    <n v="331402"/>
    <n v="351860.82979746832"/>
    <n v="32.230542254966416"/>
    <n v="117286.94326582277"/>
    <s v="YES"/>
    <x v="1"/>
  </r>
  <r>
    <x v="164"/>
    <x v="0"/>
    <s v="Los Angeles"/>
    <x v="0"/>
    <x v="0"/>
    <s v="Phase I MS4"/>
    <m/>
    <s v="2011–2012"/>
    <n v="2011"/>
    <n v="490615"/>
    <n v="548928.15947087598"/>
    <n v="47.505682342784596"/>
    <n v="249512.79975948905"/>
    <s v=""/>
    <x v="0"/>
  </r>
  <r>
    <x v="164"/>
    <x v="0"/>
    <s v="Los Angeles"/>
    <x v="0"/>
    <x v="0"/>
    <s v="Phase I MS4"/>
    <m/>
    <s v="2015–2016"/>
    <n v="2015"/>
    <n v="549500"/>
    <n v="583422.93037974683"/>
    <n v="50.490950270856494"/>
    <n v="265192.24108170311"/>
    <s v="YES"/>
    <x v="1"/>
  </r>
  <r>
    <x v="165"/>
    <x v="0"/>
    <s v="San Diego"/>
    <x v="1"/>
    <x v="1"/>
    <s v="Phase I MS4"/>
    <m/>
    <s v="2015–2016"/>
    <n v="2015"/>
    <n v="412740"/>
    <n v="438220.16430379747"/>
    <n v="32.754328746826928"/>
    <n v="125205.76122965642"/>
    <s v=""/>
    <x v="0"/>
  </r>
  <r>
    <x v="165"/>
    <x v="0"/>
    <s v="San Diego"/>
    <x v="1"/>
    <x v="1"/>
    <s v="Phase I MS4"/>
    <m/>
    <s v="2016–2017"/>
    <n v="2016"/>
    <n v="418153"/>
    <n v="438417.73976250004"/>
    <n v="32.769096327266617"/>
    <n v="125262.2113607143"/>
    <s v=""/>
    <x v="0"/>
  </r>
  <r>
    <x v="165"/>
    <x v="0"/>
    <s v="San Diego"/>
    <x v="1"/>
    <x v="1"/>
    <s v="Phase I MS4"/>
    <m/>
    <s v="2017–2018"/>
    <n v="2017"/>
    <n v="478580"/>
    <n v="491332.37037943705"/>
    <n v="36.724147573020183"/>
    <n v="140380.67725126774"/>
    <s v="YES"/>
    <x v="1"/>
  </r>
  <r>
    <x v="166"/>
    <x v="2"/>
    <s v="Sonoma"/>
    <x v="7"/>
    <x v="7"/>
    <s v="Phase I MS4"/>
    <m/>
    <s v="2013–2014"/>
    <n v="2013"/>
    <n v="775949"/>
    <n v="837994.9477210301"/>
    <e v="#N/A"/>
    <e v="#N/A"/>
    <s v="YES"/>
    <x v="1"/>
  </r>
  <r>
    <x v="167"/>
    <x v="0"/>
    <s v="Los Angeles"/>
    <x v="0"/>
    <x v="0"/>
    <s v="Phase I MS4"/>
    <m/>
    <s v="2011–2012"/>
    <n v="2011"/>
    <n v="277000"/>
    <n v="309923.46376167185"/>
    <n v="14.923843779153072"/>
    <n v="110686.95134345425"/>
    <s v=""/>
    <x v="0"/>
  </r>
  <r>
    <x v="167"/>
    <x v="0"/>
    <s v="Los Angeles"/>
    <x v="0"/>
    <x v="0"/>
    <s v="Phase I MS4"/>
    <s v="Value calculated, not given in original table"/>
    <s v="2015–2016"/>
    <n v="2015"/>
    <n v="283429.92"/>
    <n v="300927.23290936707"/>
    <n v="14.490645394585981"/>
    <n v="107474.01175334539"/>
    <s v="YES"/>
    <x v="1"/>
  </r>
  <r>
    <x v="168"/>
    <x v="0"/>
    <s v="Los Angeles"/>
    <x v="0"/>
    <x v="0"/>
    <s v="Phase I MS4"/>
    <m/>
    <s v="2011–2012"/>
    <n v="2011"/>
    <n v="4047680"/>
    <n v="4528776.1942196535"/>
    <n v="176.82933873021958"/>
    <n v="1331992.9982998981"/>
    <s v=""/>
    <x v="0"/>
  </r>
  <r>
    <x v="168"/>
    <x v="0"/>
    <s v="Los Angeles"/>
    <x v="0"/>
    <x v="0"/>
    <s v="Phase I MS4"/>
    <m/>
    <s v="2015–2016"/>
    <n v="2015"/>
    <n v="207000"/>
    <n v="219778.97468354428"/>
    <n v="8.5814288658601487"/>
    <n v="64640.874906924786"/>
    <s v="YES"/>
    <x v="1"/>
  </r>
  <r>
    <x v="169"/>
    <x v="0"/>
    <s v="Orange"/>
    <x v="2"/>
    <x v="2"/>
    <s v="Phase I MS4"/>
    <m/>
    <s v="2000–2001"/>
    <n v="2000"/>
    <n v="204600"/>
    <n v="298976.20557491289"/>
    <n v="7.8196423490849218"/>
    <n v="96443.937282229963"/>
    <s v=""/>
    <x v="0"/>
  </r>
  <r>
    <x v="169"/>
    <x v="0"/>
    <s v="Orange"/>
    <x v="2"/>
    <x v="2"/>
    <s v="Phase I MS4"/>
    <m/>
    <s v="2001–2002"/>
    <n v="2001"/>
    <n v="98699"/>
    <n v="140235.61868435913"/>
    <n v="3.6678249381272985"/>
    <n v="45237.296349793265"/>
    <s v="YES"/>
    <x v="1"/>
  </r>
  <r>
    <x v="170"/>
    <x v="0"/>
    <s v="San Joaquin"/>
    <x v="3"/>
    <x v="3"/>
    <s v="Phase I MS4"/>
    <m/>
    <s v="2003–2004"/>
    <n v="2003"/>
    <n v="3791142"/>
    <n v="5184613.3293586951"/>
    <n v="16.661246390678951"/>
    <n v="84029.38945476005"/>
    <s v=""/>
    <x v="0"/>
  </r>
  <r>
    <x v="170"/>
    <x v="0"/>
    <s v="San Joaquin"/>
    <x v="3"/>
    <x v="3"/>
    <s v="Phase I MS4"/>
    <m/>
    <s v="2004–2005"/>
    <n v="2004"/>
    <n v="4544999"/>
    <n v="6054328.4455743777"/>
    <n v="19.456158358156355"/>
    <n v="98125.258437186014"/>
    <s v=""/>
    <x v="0"/>
  </r>
  <r>
    <x v="170"/>
    <x v="0"/>
    <s v="San Joaquin"/>
    <x v="3"/>
    <x v="3"/>
    <s v="Phase I MS4"/>
    <m/>
    <s v="2005–2006"/>
    <n v="2005"/>
    <n v="6261512"/>
    <n v="8067539.816036866"/>
    <n v="25.925803932273059"/>
    <n v="130754.29199411452"/>
    <s v=""/>
    <x v="0"/>
  </r>
  <r>
    <x v="170"/>
    <x v="0"/>
    <s v="San Joaquin"/>
    <x v="3"/>
    <x v="3"/>
    <s v="Phase I MS4"/>
    <m/>
    <s v="2007–2008"/>
    <n v="2007"/>
    <n v="3673637"/>
    <n v="4459242.4117076695"/>
    <n v="14.330198187878544"/>
    <n v="72272.972637077299"/>
    <s v=""/>
    <x v="0"/>
  </r>
  <r>
    <x v="170"/>
    <x v="0"/>
    <s v="San Joaquin"/>
    <x v="3"/>
    <x v="3"/>
    <s v="Phase I MS4"/>
    <m/>
    <s v="2008–2009"/>
    <n v="2008"/>
    <n v="6479230"/>
    <n v="7572573.7302833246"/>
    <n v="24.33518349717308"/>
    <n v="122732.15122015112"/>
    <s v=""/>
    <x v="0"/>
  </r>
  <r>
    <x v="170"/>
    <x v="0"/>
    <s v="San Joaquin"/>
    <x v="3"/>
    <x v="3"/>
    <s v="Phase I MS4"/>
    <m/>
    <s v="2009–2010"/>
    <n v="2009"/>
    <n v="4538543"/>
    <n v="5324187.0099440552"/>
    <n v="17.10977964362537"/>
    <n v="86291.523661978194"/>
    <s v=""/>
    <x v="0"/>
  </r>
  <r>
    <x v="170"/>
    <x v="0"/>
    <s v="San Joaquin"/>
    <x v="3"/>
    <x v="3"/>
    <s v="Phase I MS4"/>
    <m/>
    <s v="2010–2011"/>
    <n v="2010"/>
    <n v="5207600"/>
    <n v="6008223.7303988999"/>
    <n v="19.307996485609202"/>
    <n v="97378.01832088978"/>
    <s v=""/>
    <x v="0"/>
  </r>
  <r>
    <x v="170"/>
    <x v="0"/>
    <s v="San Joaquin"/>
    <x v="3"/>
    <x v="3"/>
    <s v="Phase I MS4"/>
    <m/>
    <s v="2013–2014"/>
    <n v="2013"/>
    <n v="3604445"/>
    <n v="3892661.3725107298"/>
    <n v="12.509436311406107"/>
    <n v="63090.135697094483"/>
    <s v=""/>
    <x v="0"/>
  </r>
  <r>
    <x v="170"/>
    <x v="0"/>
    <s v="San Joaquin"/>
    <x v="3"/>
    <x v="3"/>
    <s v="Phase I MS4"/>
    <m/>
    <s v="2014–2015"/>
    <n v="2014"/>
    <n v="4938291"/>
    <n v="5249797.6452091262"/>
    <n v="16.870722368577233"/>
    <n v="85085.861348608203"/>
    <s v=""/>
    <x v="0"/>
  </r>
  <r>
    <x v="170"/>
    <x v="0"/>
    <s v="San Joaquin"/>
    <x v="3"/>
    <x v="3"/>
    <s v="Phase I MS4"/>
    <m/>
    <s v="2015–2016"/>
    <n v="2015"/>
    <n v="4246352"/>
    <n v="4508497.0468860753"/>
    <n v="14.488482626940449"/>
    <n v="73071.264941427478"/>
    <s v=""/>
    <x v="0"/>
  </r>
  <r>
    <x v="170"/>
    <x v="0"/>
    <s v="San Joaquin"/>
    <x v="3"/>
    <x v="3"/>
    <s v="Phase I MS4"/>
    <m/>
    <s v="2016–2017"/>
    <n v="2016"/>
    <n v="5328118"/>
    <n v="5586331.918575"/>
    <n v="17.952207156595261"/>
    <n v="90540.225584683954"/>
    <s v=""/>
    <x v="0"/>
  </r>
  <r>
    <x v="170"/>
    <x v="0"/>
    <s v="San Joaquin"/>
    <x v="3"/>
    <x v="3"/>
    <s v="Phase I MS4"/>
    <m/>
    <s v="2017–2018"/>
    <n v="2017"/>
    <n v="4824193"/>
    <n v="4952739.7339167688"/>
    <n v="15.916098612102298"/>
    <n v="80271.308491357675"/>
    <s v="YES"/>
    <x v="1"/>
  </r>
  <r>
    <x v="171"/>
    <x v="0"/>
    <s v="Riverside"/>
    <x v="1"/>
    <x v="1"/>
    <s v="Phase I MS4"/>
    <m/>
    <s v="2015–2016"/>
    <n v="2015"/>
    <n v="798836"/>
    <n v="848151.4831898734"/>
    <n v="7.391813661866391"/>
    <n v="22738.645661926901"/>
    <s v=""/>
    <x v="0"/>
  </r>
  <r>
    <x v="171"/>
    <x v="0"/>
    <s v="Riverside"/>
    <x v="1"/>
    <x v="1"/>
    <s v="Phase I MS4"/>
    <m/>
    <s v="2016–2017"/>
    <n v="2016"/>
    <n v="1083034"/>
    <n v="1135520.535225"/>
    <n v="9.89629373049973"/>
    <n v="30442.909791554961"/>
    <s v=""/>
    <x v="0"/>
  </r>
  <r>
    <x v="171"/>
    <x v="0"/>
    <s v="Riverside"/>
    <x v="1"/>
    <x v="1"/>
    <s v="Phase I MS4"/>
    <m/>
    <s v="2017–2018"/>
    <n v="2017"/>
    <n v="866586"/>
    <n v="889677.28178702586"/>
    <n v="7.7537194905703739"/>
    <n v="23851.937849518123"/>
    <s v="YES"/>
    <x v="0"/>
  </r>
  <r>
    <x v="171"/>
    <x v="0"/>
    <s v="Riverside"/>
    <x v="1"/>
    <x v="1"/>
    <s v="Phase I MS4"/>
    <m/>
    <s v="2018–2019"/>
    <n v="2018"/>
    <n v="1177814"/>
    <n v="1177814"/>
    <n v="10.264889926966585"/>
    <n v="31576.78284182306"/>
    <s v=""/>
    <x v="1"/>
  </r>
  <r>
    <x v="172"/>
    <x v="0"/>
    <s v="Los Angeles"/>
    <x v="0"/>
    <x v="0"/>
    <s v="Phase I MS4"/>
    <m/>
    <s v="2011–2012"/>
    <n v="2011"/>
    <n v="147651"/>
    <n v="165200.39475767009"/>
    <n v="4.5736543399133467"/>
    <n v="41300.098689417522"/>
    <s v=""/>
    <x v="0"/>
  </r>
  <r>
    <x v="172"/>
    <x v="0"/>
    <s v="Los Angeles"/>
    <x v="0"/>
    <x v="0"/>
    <s v="Phase I MS4"/>
    <m/>
    <s v="2015–2016"/>
    <n v="2015"/>
    <n v="329000"/>
    <n v="349310.54430379748"/>
    <n v="9.6708345599057992"/>
    <n v="87327.636075949369"/>
    <s v="YES"/>
    <x v="1"/>
  </r>
  <r>
    <x v="173"/>
    <x v="0"/>
    <s v="Los Angeles"/>
    <x v="0"/>
    <x v="0"/>
    <s v="Phase I MS4"/>
    <m/>
    <s v="2011–2012"/>
    <n v="2011"/>
    <n v="11964624"/>
    <n v="13386706.543992886"/>
    <n v="92.206379192963908"/>
    <n v="653010.07531672611"/>
    <s v=""/>
    <x v="0"/>
  </r>
  <r>
    <x v="173"/>
    <x v="0"/>
    <s v="Los Angeles"/>
    <x v="0"/>
    <x v="0"/>
    <s v="Phase I MS4"/>
    <m/>
    <s v="2015–2016"/>
    <n v="2015"/>
    <n v="2125001"/>
    <n v="2256186.1883164556"/>
    <n v="15.540398867052772"/>
    <n v="110057.86284470515"/>
    <s v="YES"/>
    <x v="1"/>
  </r>
  <r>
    <x v="174"/>
    <x v="0"/>
    <s v="Orange"/>
    <x v="2"/>
    <x v="2"/>
    <s v="Phase I MS4"/>
    <m/>
    <s v="2000–2001"/>
    <n v="2000"/>
    <n v="882200"/>
    <n v="1289133.9616724739"/>
    <n v="16.155573177172428"/>
    <n v="116138.19474526793"/>
    <s v=""/>
    <x v="0"/>
  </r>
  <r>
    <x v="174"/>
    <x v="0"/>
    <s v="Orange"/>
    <x v="2"/>
    <x v="2"/>
    <s v="Phase I MS4"/>
    <m/>
    <s v="2001–2002"/>
    <n v="2001"/>
    <n v="676653"/>
    <n v="961416.55021456804"/>
    <n v="12.048581367436155"/>
    <n v="86614.103622934053"/>
    <s v="YES"/>
    <x v="1"/>
  </r>
  <r>
    <x v="175"/>
    <x v="0"/>
    <s v="San Bernardino"/>
    <x v="2"/>
    <x v="2"/>
    <s v="Phase I MS4"/>
    <m/>
    <s v="2011–2012"/>
    <n v="2011"/>
    <n v="264750"/>
    <n v="296217.46220542467"/>
    <n v="3.8469800286418789"/>
    <n v="18988.298859322094"/>
    <s v=""/>
    <x v="0"/>
  </r>
  <r>
    <x v="175"/>
    <x v="0"/>
    <s v="San Bernardino"/>
    <x v="2"/>
    <x v="2"/>
    <s v="Phase I MS4"/>
    <m/>
    <s v="2012–2013"/>
    <n v="2012"/>
    <n v="341970"/>
    <n v="374783.33218641113"/>
    <n v="4.8673160024209237"/>
    <n v="24024.572576051996"/>
    <s v=""/>
    <x v="0"/>
  </r>
  <r>
    <x v="175"/>
    <x v="0"/>
    <s v="San Bernardino"/>
    <x v="2"/>
    <x v="2"/>
    <s v="Phase I MS4"/>
    <m/>
    <s v="2013–2014"/>
    <n v="2013"/>
    <n v="345500"/>
    <n v="373126.65450643777"/>
    <n v="4.8458007078758154"/>
    <n v="23918.375288874216"/>
    <s v=""/>
    <x v="0"/>
  </r>
  <r>
    <x v="175"/>
    <x v="0"/>
    <s v="San Bernardino"/>
    <x v="2"/>
    <x v="2"/>
    <s v="Phase I MS4"/>
    <m/>
    <s v="2014–2015"/>
    <n v="2014"/>
    <n v="224126"/>
    <n v="238263.83399239546"/>
    <n v="3.0943355063947462"/>
    <n v="15273.322691820222"/>
    <s v=""/>
    <x v="1"/>
  </r>
  <r>
    <x v="176"/>
    <x v="0"/>
    <s v="Orange"/>
    <x v="2"/>
    <x v="2"/>
    <s v="Phase I MS4"/>
    <m/>
    <s v="2001–2002"/>
    <n v="2001"/>
    <n v="88500"/>
    <n v="125744.45793337097"/>
    <n v="21.535272809277441"/>
    <n v="59878.313301605223"/>
    <s v="YES"/>
    <x v="1"/>
  </r>
  <r>
    <x v="177"/>
    <x v="0"/>
    <s v="San Diego"/>
    <x v="1"/>
    <x v="1"/>
    <s v="Phase I MS4"/>
    <m/>
    <s v="2015–2016"/>
    <n v="2015"/>
    <n v="4636388"/>
    <n v="4922611.5984303793"/>
    <n v="48.630874085497304"/>
    <n v="263241.26194814866"/>
    <s v=""/>
    <x v="0"/>
  </r>
  <r>
    <x v="177"/>
    <x v="0"/>
    <s v="San Diego"/>
    <x v="1"/>
    <x v="1"/>
    <s v="Phase I MS4"/>
    <m/>
    <s v="2017–2018"/>
    <n v="2017"/>
    <n v="4372654"/>
    <n v="4489168.9052386787"/>
    <n v="44.348859018006387"/>
    <n v="240062.50830153364"/>
    <s v="YES"/>
    <x v="1"/>
  </r>
  <r>
    <x v="178"/>
    <x v="0"/>
    <s v="Los Angeles"/>
    <x v="0"/>
    <x v="0"/>
    <s v="Phase I MS4"/>
    <m/>
    <s v="2011–2012"/>
    <n v="2011"/>
    <n v="29000"/>
    <n v="32446.860827034237"/>
    <n v="1.0813457584161248"/>
    <n v="3605.2067585593595"/>
    <s v=""/>
    <x v="0"/>
  </r>
  <r>
    <x v="178"/>
    <x v="0"/>
    <s v="Los Angeles"/>
    <x v="0"/>
    <x v="0"/>
    <s v="Phase I MS4"/>
    <m/>
    <s v="2015–2016"/>
    <n v="2015"/>
    <n v="181400"/>
    <n v="192598.57974683543"/>
    <n v="6.4186689244429589"/>
    <n v="21399.842194092824"/>
    <s v="YES"/>
    <x v="1"/>
  </r>
  <r>
    <x v="179"/>
    <x v="0"/>
    <s v="Los Angeles"/>
    <x v="0"/>
    <x v="0"/>
    <s v="Phase I MS4"/>
    <m/>
    <s v="2011–2012"/>
    <n v="2011"/>
    <n v="940340"/>
    <n v="1052106.2451756336"/>
    <n v="9.8964946729466714"/>
    <n v="65756.640323477099"/>
    <s v=""/>
    <x v="0"/>
  </r>
  <r>
    <x v="179"/>
    <x v="0"/>
    <s v="Los Angeles"/>
    <x v="0"/>
    <x v="0"/>
    <s v="Phase I MS4"/>
    <m/>
    <s v="2015–2016"/>
    <n v="2015"/>
    <n v="1031022"/>
    <n v="1094671.2948607595"/>
    <n v="10.296877038695522"/>
    <n v="68416.95592879747"/>
    <s v="YES"/>
    <x v="1"/>
  </r>
  <r>
    <x v="180"/>
    <x v="0"/>
    <s v="Los Angeles"/>
    <x v="0"/>
    <x v="0"/>
    <s v="Phase I MS4"/>
    <m/>
    <s v="2011–2012"/>
    <n v="2011"/>
    <n v="249395"/>
    <n v="279037.40882614499"/>
    <n v="33.409651439911997"/>
    <n v="53661.040158874035"/>
    <s v=""/>
    <x v="0"/>
  </r>
  <r>
    <x v="180"/>
    <x v="0"/>
    <s v="Los Angeles"/>
    <x v="0"/>
    <x v="0"/>
    <s v="Phase I MS4"/>
    <m/>
    <s v="2015–2016"/>
    <n v="2015"/>
    <n v="338046"/>
    <n v="358914.99167088605"/>
    <n v="42.973538274770839"/>
    <n v="69022.113782862696"/>
    <s v="YES"/>
    <x v="1"/>
  </r>
  <r>
    <x v="181"/>
    <x v="0"/>
    <s v="Orange"/>
    <x v="2"/>
    <x v="2"/>
    <s v="Phase I MS4"/>
    <m/>
    <s v="2000–2001"/>
    <n v="2000"/>
    <n v="408462"/>
    <n v="596873.99257839727"/>
    <n v="6.5635267168664067"/>
    <n v="59687.39925783973"/>
    <s v=""/>
    <x v="0"/>
  </r>
  <r>
    <x v="181"/>
    <x v="0"/>
    <s v="Orange"/>
    <x v="2"/>
    <x v="2"/>
    <s v="Phase I MS4"/>
    <m/>
    <s v="2001–2002"/>
    <n v="2001"/>
    <n v="432500"/>
    <n v="614513.87634105026"/>
    <n v="6.7575037535579217"/>
    <n v="61451.387634105027"/>
    <s v="YES"/>
    <x v="1"/>
  </r>
  <r>
    <x v="182"/>
    <x v="0"/>
    <s v="Los Angeles"/>
    <x v="0"/>
    <x v="0"/>
    <s v="Phase I MS4"/>
    <m/>
    <s v="2011–2012"/>
    <n v="2011"/>
    <n v="450250"/>
    <n v="503765.485771454"/>
    <n v="5.8533822012857177"/>
    <n v="34504.485326811919"/>
    <s v=""/>
    <x v="0"/>
  </r>
  <r>
    <x v="182"/>
    <x v="0"/>
    <s v="Los Angeles"/>
    <x v="0"/>
    <x v="0"/>
    <s v="Phase I MS4"/>
    <m/>
    <s v="2015–2016"/>
    <n v="2015"/>
    <n v="610000"/>
    <n v="647657.84810126573"/>
    <n v="7.5253049835153574"/>
    <n v="44360.126582278477"/>
    <s v="YES"/>
    <x v="1"/>
  </r>
  <r>
    <x v="183"/>
    <x v="0"/>
    <s v="Riverside"/>
    <x v="1"/>
    <x v="1"/>
    <s v="Phase I MS4"/>
    <m/>
    <s v="2015–2016"/>
    <n v="2015"/>
    <n v="271000"/>
    <n v="287729.96202531643"/>
    <n v="7.7180783805074151"/>
    <n v="12140.504726806601"/>
    <s v=""/>
    <x v="0"/>
  </r>
  <r>
    <x v="183"/>
    <x v="0"/>
    <s v="Riverside"/>
    <x v="1"/>
    <x v="1"/>
    <s v="Phase I MS4"/>
    <m/>
    <s v="2016–2017"/>
    <n v="2016"/>
    <n v="222491.17"/>
    <n v="233273.64832612503"/>
    <n v="6.2573403520956283"/>
    <n v="9842.7699715664567"/>
    <s v=""/>
    <x v="0"/>
  </r>
  <r>
    <x v="183"/>
    <x v="0"/>
    <s v="Riverside"/>
    <x v="1"/>
    <x v="1"/>
    <s v="Phase I MS4"/>
    <m/>
    <s v="2017–2018"/>
    <n v="2017"/>
    <n v="179354.3"/>
    <n v="184133.42253488372"/>
    <n v="4.939201248253319"/>
    <n v="7769.3427229908748"/>
    <s v="YES"/>
    <x v="0"/>
  </r>
  <r>
    <x v="183"/>
    <x v="0"/>
    <s v="Riverside"/>
    <x v="1"/>
    <x v="1"/>
    <s v="Phase I MS4"/>
    <m/>
    <s v="2018–2019"/>
    <n v="2018"/>
    <n v="226102"/>
    <n v="226102"/>
    <n v="6.0649678111587981"/>
    <n v="9540.1687763713089"/>
    <s v=""/>
    <x v="1"/>
  </r>
  <r>
    <x v="184"/>
    <x v="0"/>
    <s v="Orange"/>
    <x v="2"/>
    <x v="2"/>
    <s v="Phase I MS4"/>
    <m/>
    <s v="2000–2001"/>
    <n v="2000"/>
    <n v="238600"/>
    <n v="348659.44599303138"/>
    <n v="5.143455913272919"/>
    <n v="18065.256269068981"/>
    <s v=""/>
    <x v="0"/>
  </r>
  <r>
    <x v="184"/>
    <x v="0"/>
    <s v="Orange"/>
    <x v="2"/>
    <x v="2"/>
    <s v="Phase I MS4"/>
    <m/>
    <s v="2001–2002"/>
    <n v="2001"/>
    <n v="398738"/>
    <n v="566543.43127046863"/>
    <n v="8.3577003152591001"/>
    <n v="29354.581931112363"/>
    <s v="YES"/>
    <x v="1"/>
  </r>
  <r>
    <x v="185"/>
    <x v="0"/>
    <s v="San Bernardino"/>
    <x v="2"/>
    <x v="2"/>
    <s v="Phase I MS4"/>
    <m/>
    <s v="2011–2012"/>
    <n v="2011"/>
    <n v="259000"/>
    <n v="289784.03290351271"/>
    <n v="5.3981601449929721"/>
    <n v="10203.663130405377"/>
    <s v=""/>
    <x v="0"/>
  </r>
  <r>
    <x v="185"/>
    <x v="0"/>
    <s v="San Bernardino"/>
    <x v="2"/>
    <x v="2"/>
    <s v="Phase I MS4"/>
    <m/>
    <s v="2012–2013"/>
    <n v="2012"/>
    <n v="250000"/>
    <n v="273988.45818815334"/>
    <n v="5.1039167353703911"/>
    <n v="9647.4809221180749"/>
    <s v=""/>
    <x v="0"/>
  </r>
  <r>
    <x v="185"/>
    <x v="0"/>
    <s v="San Bernardino"/>
    <x v="2"/>
    <x v="2"/>
    <s v="Phase I MS4"/>
    <m/>
    <s v="2013–2014"/>
    <n v="2013"/>
    <n v="238000"/>
    <n v="257030.8068669528"/>
    <n v="4.7880259093728403"/>
    <n v="9050.3805234842548"/>
    <s v=""/>
    <x v="0"/>
  </r>
  <r>
    <x v="185"/>
    <x v="0"/>
    <s v="San Bernardino"/>
    <x v="2"/>
    <x v="2"/>
    <s v="Phase I MS4"/>
    <m/>
    <s v="2014–2015"/>
    <n v="2014"/>
    <n v="250000"/>
    <n v="265769.96197718632"/>
    <n v="4.9508207961176245"/>
    <n v="9358.0972527178292"/>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1A11A7-C3C4-4562-9F94-43F45F75B616}" name="PivotChartTable1" cacheId="15"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chartFormat="19">
  <location ref="A3:B7" firstHeaderRow="1" firstDataRow="1" firstDataCol="1" rowPageCount="1" colPageCount="1"/>
  <pivotFields count="3">
    <pivotField axis="axisRow" allDrilled="1" subtotalTop="0" showAll="0" dataSourceSort="1" defaultSubtotal="0" defaultAttributeDrillState="1">
      <items count="3">
        <item x="0"/>
        <item x="1"/>
        <item x="2"/>
      </items>
    </pivotField>
    <pivotField dataField="1" subtotalTop="0" showAll="0" defaultSubtotal="0"/>
    <pivotField axis="axisPage" allDrilled="1" subtotalTop="0" showAll="0" dataSourceSort="1" defaultSubtotal="0" defaultAttributeDrillState="1"/>
  </pivotFields>
  <rowFields count="1">
    <field x="0"/>
  </rowFields>
  <rowItems count="4">
    <i>
      <x/>
    </i>
    <i>
      <x v="1"/>
    </i>
    <i>
      <x v="2"/>
    </i>
    <i t="grand">
      <x/>
    </i>
  </rowItems>
  <colItems count="1">
    <i/>
  </colItems>
  <pageFields count="1">
    <pageField fld="2" hier="44" name="[Budgets 1].[Representative Year].&amp;[YES]" cap="YES"/>
  </pageFields>
  <dataFields count="1">
    <dataField name="Average of 2018 $ Value" fld="1" subtotal="average" baseField="0" baseItem="1228198897"/>
  </dataFields>
  <chartFormats count="1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2"/>
          </reference>
        </references>
      </pivotArea>
    </chartFormat>
    <chartFormat chart="0" format="2">
      <pivotArea type="data" outline="0" fieldPosition="0">
        <references count="2">
          <reference field="4294967294" count="1" selected="0">
            <x v="0"/>
          </reference>
          <reference field="0" count="1" selected="0">
            <x v="0"/>
          </reference>
        </references>
      </pivotArea>
    </chartFormat>
    <chartFormat chart="0" format="3">
      <pivotArea type="data" outline="0" fieldPosition="0">
        <references count="2">
          <reference field="4294967294" count="1" selected="0">
            <x v="0"/>
          </reference>
          <reference field="0" count="1" selected="0">
            <x v="1"/>
          </reference>
        </references>
      </pivotArea>
    </chartFormat>
    <chartFormat chart="1" format="4" series="1">
      <pivotArea type="data" outline="0" fieldPosition="0">
        <references count="1">
          <reference field="4294967294" count="1" selected="0">
            <x v="0"/>
          </reference>
        </references>
      </pivotArea>
    </chartFormat>
    <chartFormat chart="1" format="5">
      <pivotArea type="data" outline="0" fieldPosition="0">
        <references count="2">
          <reference field="4294967294" count="1" selected="0">
            <x v="0"/>
          </reference>
          <reference field="0" count="1" selected="0">
            <x v="0"/>
          </reference>
        </references>
      </pivotArea>
    </chartFormat>
    <chartFormat chart="1" format="6">
      <pivotArea type="data" outline="0" fieldPosition="0">
        <references count="2">
          <reference field="4294967294" count="1" selected="0">
            <x v="0"/>
          </reference>
          <reference field="0" count="1" selected="0">
            <x v="1"/>
          </reference>
        </references>
      </pivotArea>
    </chartFormat>
    <chartFormat chart="1" format="7">
      <pivotArea type="data" outline="0" fieldPosition="0">
        <references count="2">
          <reference field="4294967294" count="1" selected="0">
            <x v="0"/>
          </reference>
          <reference field="0" count="1" selected="0">
            <x v="2"/>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0" count="1" selected="0">
            <x v="0"/>
          </reference>
        </references>
      </pivotArea>
    </chartFormat>
    <chartFormat chart="2" format="10">
      <pivotArea type="data" outline="0" fieldPosition="0">
        <references count="2">
          <reference field="4294967294" count="1" selected="0">
            <x v="0"/>
          </reference>
          <reference field="0" count="1" selected="0">
            <x v="1"/>
          </reference>
        </references>
      </pivotArea>
    </chartFormat>
    <chartFormat chart="2" format="11">
      <pivotArea type="data" outline="0" fieldPosition="0">
        <references count="2">
          <reference field="4294967294" count="1" selected="0">
            <x v="0"/>
          </reference>
          <reference field="0" count="1" selected="0">
            <x v="2"/>
          </reference>
        </references>
      </pivotArea>
    </chartFormat>
    <chartFormat chart="18" format="12" series="1">
      <pivotArea type="data" outline="0" fieldPosition="0">
        <references count="1">
          <reference field="4294967294" count="1" selected="0">
            <x v="0"/>
          </reference>
        </references>
      </pivotArea>
    </chartFormat>
    <chartFormat chart="18" format="13">
      <pivotArea type="data" outline="0" fieldPosition="0">
        <references count="2">
          <reference field="4294967294" count="1" selected="0">
            <x v="0"/>
          </reference>
          <reference field="0" count="1" selected="0">
            <x v="0"/>
          </reference>
        </references>
      </pivotArea>
    </chartFormat>
    <chartFormat chart="18" format="14">
      <pivotArea type="data" outline="0" fieldPosition="0">
        <references count="2">
          <reference field="4294967294" count="1" selected="0">
            <x v="0"/>
          </reference>
          <reference field="0" count="1" selected="0">
            <x v="1"/>
          </reference>
        </references>
      </pivotArea>
    </chartFormat>
    <chartFormat chart="18" format="15">
      <pivotArea type="data" outline="0" fieldPosition="0">
        <references count="2">
          <reference field="4294967294" count="1" selected="0">
            <x v="0"/>
          </reference>
          <reference field="0" count="1" selected="0">
            <x v="2"/>
          </reference>
        </references>
      </pivotArea>
    </chartFormat>
  </chart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2018 $ Valu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3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4" columnCount="1" cacheId="1668373291">
        <x15:pivotRow count="1">
          <x15:c>
            <x15:v>2925173.5252005579</x15:v>
          </x15:c>
        </x15:pivotRow>
        <x15:pivotRow count="1">
          <x15:c>
            <x15:v>21648946.82574844</x15:v>
          </x15:c>
        </x15:pivotRow>
        <x15:pivotRow count="1">
          <x15:c>
            <x15:v>26306085.168952089</x15:v>
          </x15:c>
        </x15:pivotRow>
        <x15:pivotRow count="1">
          <x15:c>
            <x15:v>4554812.0435538851</x15:v>
          </x15:c>
        </x15:pivotRow>
      </x15:pivotTableData>
    </ext>
    <ext xmlns:x15="http://schemas.microsoft.com/office/spreadsheetml/2010/11/main" uri="{E67621CE-5B39-4880-91FE-76760E9C1902}">
      <x15:pivotTableUISettings>
        <x15:activeTabTopLevelEntity name="[Budgets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1DCFEFC-C852-4076-B3B1-0F208D85E0A1}" name="PivotTable3" cacheId="3" applyNumberFormats="0" applyBorderFormats="0" applyFontFormats="0" applyPatternFormats="0" applyAlignmentFormats="0" applyWidthHeightFormats="1" dataCaption="Values" tag="9319f416-1c92-4c40-96f1-71be7ac2bfda" updatedVersion="6" minRefreshableVersion="3" useAutoFormatting="1" subtotalHiddenItems="1" itemPrintTitles="1" createdVersion="6" indent="0" outline="1" outlineData="1" multipleFieldFilters="0">
  <location ref="AA29:AB37" firstHeaderRow="1" firstDataRow="1" firstDataCol="1" rowPageCount="2"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7">
        <item x="0"/>
        <item x="1"/>
        <item x="2"/>
        <item x="3"/>
        <item x="4"/>
        <item x="5"/>
        <item x="6"/>
      </items>
    </pivotField>
    <pivotField axis="axisPage" allDrilled="1" subtotalTop="0" showAll="0" dataSourceSort="1" defaultSubtotal="0" defaultAttributeDrillState="1"/>
    <pivotField dataField="1" subtotalTop="0" showAll="0" defaultSubtotal="0"/>
  </pivotFields>
  <rowFields count="1">
    <field x="1"/>
  </rowFields>
  <rowItems count="8">
    <i>
      <x/>
    </i>
    <i>
      <x v="1"/>
    </i>
    <i>
      <x v="2"/>
    </i>
    <i>
      <x v="3"/>
    </i>
    <i>
      <x v="4"/>
    </i>
    <i>
      <x v="5"/>
    </i>
    <i>
      <x v="6"/>
    </i>
    <i t="grand">
      <x/>
    </i>
  </rowItems>
  <colItems count="1">
    <i/>
  </colItems>
  <pageFields count="2">
    <pageField fld="0" hier="29" name="[Budgets].[Representative Year].&amp;[YES]" cap="YES"/>
    <pageField fld="2" hier="22" name="[Budgets].[Fiscal Year].&amp;[2012–2013]" cap="2012–2013"/>
  </pageFields>
  <dataFields count="1">
    <dataField name="Distinct Count of Jurisdiction" fld="3" subtotal="count" baseField="1" baseItem="0">
      <extLst>
        <ext xmlns:x15="http://schemas.microsoft.com/office/spreadsheetml/2010/11/main" uri="{FABC7310-3BB5-11E1-824E-6D434824019B}">
          <x15:dataField isCountDistinct="1"/>
        </ext>
      </extLst>
    </dataField>
  </dataField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Budgets].[Fiscal Year].&amp;[2012–2013]"/>
        <member name="[Budgets].[Fiscal Year].&amp;[2013–2014]"/>
        <member name="[Budgets].[Fiscal Year].&amp;[2014–2015]"/>
        <member name="[Budgets].[Fiscal Year].&amp;[2015–2016]"/>
        <member name="[Budgets].[Fiscal Year].&amp;[2016–2017]"/>
        <member name="[Budgets].[Fiscal Year].&amp;[2017–2018]"/>
        <member name="[Budgets].[Fiscal Year].&amp;[2018–2019]"/>
        <member name="[Budgets].[Fiscal Year].&amp;[2019–2020]"/>
        <member name="[Budgets].[Fiscal Year].&amp;[2020–2021]"/>
        <member name="[Budgets].[Fiscal Year].&amp;[2021–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Distinct Count of Jurisdic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Budgets[#All]">
        <x15:activeTabTopLevelEntity name="[Budget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6EB3A14-F890-4B75-8740-2A3610D7E2CB}" name="PivotTable7" cacheId="7" applyNumberFormats="0" applyBorderFormats="0" applyFontFormats="0" applyPatternFormats="0" applyAlignmentFormats="0" applyWidthHeightFormats="1" dataCaption="Values" tag="3b7d724d-083a-4a09-89fb-4a7c02f5dfa1" updatedVersion="6" minRefreshableVersion="3" useAutoFormatting="1" subtotalHiddenItems="1" colGrandTotals="0" itemPrintTitles="1" createdVersion="6" indent="0" outline="1" outlineData="1" multipleFieldFilters="0">
  <location ref="H44:I53" firstHeaderRow="1" firstDataRow="1" firstDataCol="1" rowPageCount="1" colPageCount="1"/>
  <pivotFields count="3">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axis="axisPage" allDrilled="1" subtotalTop="0" showAll="0" dataSourceSort="1" defaultSubtotal="0" defaultAttributeDrillState="1"/>
  </pivotFields>
  <rowFields count="1">
    <field x="0"/>
  </rowFields>
  <rowItems count="9">
    <i>
      <x/>
    </i>
    <i>
      <x v="1"/>
    </i>
    <i>
      <x v="2"/>
    </i>
    <i>
      <x v="3"/>
    </i>
    <i>
      <x v="4"/>
    </i>
    <i>
      <x v="5"/>
    </i>
    <i>
      <x v="6"/>
    </i>
    <i>
      <x v="7"/>
    </i>
    <i t="grand">
      <x/>
    </i>
  </rowItems>
  <colItems count="1">
    <i/>
  </colItems>
  <pageFields count="1">
    <pageField fld="2" hier="89" name="[Expenditures 2].[Representative Year].&amp;[YES]" cap="YES"/>
  </pageFields>
  <dataFields count="1">
    <dataField name="Sum of 2018 $ Value" fld="1" baseField="0" baseItem="0"/>
  </dataFields>
  <formats count="1">
    <format dxfId="60">
      <pivotArea collapsedLevelsAreSubtotals="1" fieldPosition="0">
        <references count="1">
          <reference field="0" count="0"/>
        </references>
      </pivotArea>
    </format>
  </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Jurisdiction"/>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Expenditures[#All]_3">
        <x15:activeTabTopLevelEntity name="[Expenditures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7521550-8C48-43CA-95FC-CFEAF288200D}" name="PivotTable3" cacheId="8" applyNumberFormats="0" applyBorderFormats="0" applyFontFormats="0" applyPatternFormats="0" applyAlignmentFormats="0" applyWidthHeightFormats="1" dataCaption="Values" updatedVersion="6" minRefreshableVersion="3" useAutoFormatting="1" subtotalHiddenItems="1" rowGrandTotals="0" itemPrintTitles="1" createdVersion="6" indent="0" outline="1" outlineData="1" multipleFieldFilters="0">
  <location ref="N68:O106" firstHeaderRow="1" firstDataRow="1" firstDataCol="1"/>
  <pivotFields count="3">
    <pivotField dataField="1" subtotalTop="0" showAll="0" defaultSubtotal="0"/>
    <pivotField axis="axisRow" allDrilled="1" subtotalTop="0"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llDrilled="1" subtotalTop="0" showAll="0" dataSourceSort="1" defaultSubtotal="0" defaultAttributeDrillState="1"/>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rowItems>
  <colItems count="1">
    <i/>
  </colItems>
  <dataFields count="1">
    <dataField name="Sum of 2018 $ Value" fld="0" baseField="0" baseItem="0"/>
  </dataFields>
  <formats count="1">
    <format dxfId="57">
      <pivotArea collapsedLevelsAreSubtotals="1" fieldPosition="0">
        <references count="1">
          <reference field="1" count="0"/>
        </references>
      </pivotArea>
    </format>
  </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ctivities].[Category].&amp;[Watershed/TMDL Collaboratio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um of 2018 $ Value"/>
    <pivotHierarchy dragToData="1" caption="Average of 2018 $ Value2"/>
    <pivotHierarchy dragToData="1" caption="StdDev of 2018 $ Value2"/>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Activities[#Data]">
        <x15:activeTabTopLevelEntity name="[Activiti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1C8FB13-E0E0-4ACF-A992-F72711237AAA}" name="PivotTable1" cacheId="9"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A50:E63" firstHeaderRow="0" firstDataRow="1" firstDataCol="1"/>
  <pivotFields count="5">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13">
    <i>
      <x/>
    </i>
    <i>
      <x v="1"/>
    </i>
    <i>
      <x v="2"/>
    </i>
    <i>
      <x v="3"/>
    </i>
    <i>
      <x v="4"/>
    </i>
    <i>
      <x v="5"/>
    </i>
    <i>
      <x v="6"/>
    </i>
    <i>
      <x v="7"/>
    </i>
    <i>
      <x v="8"/>
    </i>
    <i>
      <x v="9"/>
    </i>
    <i>
      <x v="10"/>
    </i>
    <i>
      <x v="11"/>
    </i>
    <i t="grand">
      <x/>
    </i>
  </rowItems>
  <colFields count="1">
    <field x="-2"/>
  </colFields>
  <colItems count="4">
    <i>
      <x/>
    </i>
    <i i="1">
      <x v="1"/>
    </i>
    <i i="2">
      <x v="2"/>
    </i>
    <i i="3">
      <x v="3"/>
    </i>
  </colItems>
  <dataFields count="4">
    <dataField name="Average of 2018 $ Value2" fld="4" subtotal="average" baseField="0" baseItem="0"/>
    <dataField name="StdDev of 2018 $ Value2" fld="2" subtotal="stdDev" baseField="0" baseItem="0"/>
    <dataField name="Sum of 2018 $ Value" fld="1" baseField="0" baseItem="0"/>
    <dataField name="Count of Category" fld="3" subtotal="count" baseField="0" baseItem="0"/>
  </dataFields>
  <formats count="1">
    <format dxfId="58">
      <pivotArea collapsedLevelsAreSubtotals="1" fieldPosition="0">
        <references count="1">
          <reference field="0" count="0"/>
        </references>
      </pivotArea>
    </format>
  </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um of 2018 $ Value"/>
    <pivotHierarchy dragToData="1" caption="Average of 2018 $ Value2"/>
    <pivotHierarchy dragToData="1" caption="StdDev of 2018 $ Value2"/>
  </pivotHierarchies>
  <pivotTableStyleInfo name="PivotStyleLight16" showRowHeaders="1" showColHeaders="1" showRowStripes="0" showColStripes="0" showLastColumn="1"/>
  <rowHierarchiesUsage count="1">
    <rowHierarchyUsage hierarchyUsage="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Activities[#Data]">
        <x15:activeTabTopLevelEntity name="[Activiti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3ACB48B-D9A6-4F56-9C58-A702D4DD319B}" name="PivotTable2" cacheId="10"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H50:I63" firstHeaderRow="1" firstDataRow="1" firstDataCol="1"/>
  <pivotFields count="2">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 of 2018 $ Value" fld="1" baseField="0" baseItem="0"/>
  </dataFields>
  <formats count="1">
    <format dxfId="59">
      <pivotArea collapsedLevelsAreSubtotals="1" fieldPosition="0">
        <references count="1">
          <reference field="0" count="0"/>
        </references>
      </pivotArea>
    </format>
  </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um of 2018 $ Value"/>
    <pivotHierarchy dragToData="1" caption="Average of 2018 $ Value2"/>
    <pivotHierarchy dragToData="1" caption="StdDev of 2018 $ Value2"/>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Activities[#Data]">
        <x15:activeTabTopLevelEntity name="[Activiti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DB54806D-0EA4-4DD9-98A7-C170318BF670}" name="PivotTable6"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X27:AE196" firstHeaderRow="1" firstDataRow="2" firstDataCol="1" rowPageCount="2" colPageCount="1"/>
  <pivotFields count="15">
    <pivotField axis="axisRow" multipleItemSelectionAllowed="1" showAll="0">
      <items count="1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h="1" x="71"/>
        <item x="72"/>
        <item x="73"/>
        <item x="74"/>
        <item x="75"/>
        <item x="76"/>
        <item x="77"/>
        <item x="78"/>
        <item x="79"/>
        <item x="80"/>
        <item x="81"/>
        <item x="82"/>
        <item x="83"/>
        <item x="84"/>
        <item x="85"/>
        <item x="86"/>
        <item x="87"/>
        <item x="88"/>
        <item x="89"/>
        <item x="90"/>
        <item x="91"/>
        <item x="92"/>
        <item x="93"/>
        <item x="94"/>
        <item x="95"/>
        <item x="96"/>
        <item x="97"/>
        <item h="1"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h="1"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axis="axisPage" multipleItemSelectionAllowed="1" showAll="0">
      <items count="5">
        <item x="0"/>
        <item h="1" x="2"/>
        <item h="1" x="1"/>
        <item h="1" x="3"/>
        <item t="default"/>
      </items>
    </pivotField>
    <pivotField showAll="0"/>
    <pivotField showAll="0"/>
    <pivotField axis="axisCol" showAll="0">
      <items count="9">
        <item x="7"/>
        <item x="4"/>
        <item x="6"/>
        <item x="0"/>
        <item x="3"/>
        <item x="5"/>
        <item x="2"/>
        <item x="1"/>
        <item t="default"/>
      </items>
    </pivotField>
    <pivotField showAll="0"/>
    <pivotField showAll="0"/>
    <pivotField showAll="0"/>
    <pivotField showAll="0"/>
    <pivotField numFmtId="44" showAll="0"/>
    <pivotField dataField="1" numFmtId="44" showAll="0"/>
    <pivotField showAll="0"/>
    <pivotField showAll="0"/>
    <pivotField showAll="0"/>
    <pivotField axis="axisPage" showAll="0">
      <items count="4">
        <item x="0"/>
        <item x="1"/>
        <item x="2"/>
        <item t="default"/>
      </items>
    </pivotField>
  </pivotFields>
  <rowFields count="1">
    <field x="0"/>
  </rowFields>
  <rowItems count="1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7"/>
    </i>
    <i>
      <x v="58"/>
    </i>
    <i>
      <x v="59"/>
    </i>
    <i>
      <x v="60"/>
    </i>
    <i>
      <x v="61"/>
    </i>
    <i>
      <x v="62"/>
    </i>
    <i>
      <x v="63"/>
    </i>
    <i>
      <x v="64"/>
    </i>
    <i>
      <x v="65"/>
    </i>
    <i>
      <x v="66"/>
    </i>
    <i>
      <x v="67"/>
    </i>
    <i>
      <x v="68"/>
    </i>
    <i>
      <x v="69"/>
    </i>
    <i>
      <x v="70"/>
    </i>
    <i>
      <x v="72"/>
    </i>
    <i>
      <x v="73"/>
    </i>
    <i>
      <x v="74"/>
    </i>
    <i>
      <x v="75"/>
    </i>
    <i>
      <x v="77"/>
    </i>
    <i>
      <x v="78"/>
    </i>
    <i>
      <x v="79"/>
    </i>
    <i>
      <x v="80"/>
    </i>
    <i>
      <x v="81"/>
    </i>
    <i>
      <x v="82"/>
    </i>
    <i>
      <x v="83"/>
    </i>
    <i>
      <x v="84"/>
    </i>
    <i>
      <x v="85"/>
    </i>
    <i>
      <x v="86"/>
    </i>
    <i>
      <x v="87"/>
    </i>
    <i>
      <x v="88"/>
    </i>
    <i>
      <x v="89"/>
    </i>
    <i>
      <x v="90"/>
    </i>
    <i>
      <x v="91"/>
    </i>
    <i>
      <x v="92"/>
    </i>
    <i>
      <x v="93"/>
    </i>
    <i>
      <x v="94"/>
    </i>
    <i>
      <x v="95"/>
    </i>
    <i>
      <x v="96"/>
    </i>
    <i>
      <x v="97"/>
    </i>
    <i>
      <x v="101"/>
    </i>
    <i>
      <x v="102"/>
    </i>
    <i>
      <x v="103"/>
    </i>
    <i>
      <x v="104"/>
    </i>
    <i>
      <x v="105"/>
    </i>
    <i>
      <x v="106"/>
    </i>
    <i>
      <x v="107"/>
    </i>
    <i>
      <x v="108"/>
    </i>
    <i>
      <x v="109"/>
    </i>
    <i>
      <x v="110"/>
    </i>
    <i>
      <x v="111"/>
    </i>
    <i>
      <x v="112"/>
    </i>
    <i>
      <x v="113"/>
    </i>
    <i>
      <x v="114"/>
    </i>
    <i>
      <x v="115"/>
    </i>
    <i>
      <x v="116"/>
    </i>
    <i>
      <x v="118"/>
    </i>
    <i>
      <x v="119"/>
    </i>
    <i>
      <x v="120"/>
    </i>
    <i>
      <x v="121"/>
    </i>
    <i>
      <x v="122"/>
    </i>
    <i>
      <x v="123"/>
    </i>
    <i>
      <x v="124"/>
    </i>
    <i>
      <x v="125"/>
    </i>
    <i>
      <x v="126"/>
    </i>
    <i>
      <x v="127"/>
    </i>
    <i>
      <x v="128"/>
    </i>
    <i>
      <x v="129"/>
    </i>
    <i>
      <x v="130"/>
    </i>
    <i>
      <x v="131"/>
    </i>
    <i>
      <x v="132"/>
    </i>
    <i>
      <x v="135"/>
    </i>
    <i>
      <x v="136"/>
    </i>
    <i>
      <x v="137"/>
    </i>
    <i>
      <x v="138"/>
    </i>
    <i>
      <x v="140"/>
    </i>
    <i>
      <x v="141"/>
    </i>
    <i>
      <x v="144"/>
    </i>
    <i>
      <x v="145"/>
    </i>
    <i>
      <x v="150"/>
    </i>
    <i>
      <x v="151"/>
    </i>
    <i>
      <x v="152"/>
    </i>
    <i>
      <x v="153"/>
    </i>
    <i>
      <x v="155"/>
    </i>
    <i>
      <x v="156"/>
    </i>
    <i>
      <x v="157"/>
    </i>
    <i>
      <x v="158"/>
    </i>
    <i>
      <x v="159"/>
    </i>
    <i>
      <x v="160"/>
    </i>
    <i>
      <x v="161"/>
    </i>
    <i>
      <x v="162"/>
    </i>
    <i>
      <x v="163"/>
    </i>
    <i>
      <x v="164"/>
    </i>
    <i>
      <x v="165"/>
    </i>
    <i>
      <x v="167"/>
    </i>
    <i>
      <x v="168"/>
    </i>
    <i>
      <x v="169"/>
    </i>
    <i>
      <x v="170"/>
    </i>
    <i>
      <x v="171"/>
    </i>
    <i>
      <x v="172"/>
    </i>
    <i>
      <x v="173"/>
    </i>
    <i>
      <x v="174"/>
    </i>
    <i>
      <x v="175"/>
    </i>
    <i>
      <x v="176"/>
    </i>
    <i>
      <x v="177"/>
    </i>
    <i>
      <x v="178"/>
    </i>
    <i>
      <x v="179"/>
    </i>
    <i>
      <x v="180"/>
    </i>
    <i>
      <x v="181"/>
    </i>
    <i>
      <x v="182"/>
    </i>
    <i>
      <x v="183"/>
    </i>
    <i>
      <x v="184"/>
    </i>
    <i>
      <x v="185"/>
    </i>
  </rowItems>
  <colFields count="1">
    <field x="4"/>
  </colFields>
  <colItems count="7">
    <i>
      <x v="1"/>
    </i>
    <i>
      <x v="2"/>
    </i>
    <i>
      <x v="3"/>
    </i>
    <i>
      <x v="4"/>
    </i>
    <i>
      <x v="5"/>
    </i>
    <i>
      <x v="6"/>
    </i>
    <i>
      <x v="7"/>
    </i>
  </colItems>
  <pageFields count="2">
    <pageField fld="1" hier="-1"/>
    <pageField fld="14" item="1" hier="-1"/>
  </pageFields>
  <dataFields count="1">
    <dataField name="Sum of 2018 $ Value" fld="10" baseField="0" baseItem="0" numFmtId="1"/>
  </dataFields>
  <formats count="1">
    <format dxfId="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D1F59406-1021-4A49-97CC-E5C15F9C15CF}"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7:F35" firstHeaderRow="0" firstDataRow="1" firstDataCol="1" rowPageCount="3" colPageCount="1"/>
  <pivotFields count="15">
    <pivotField axis="axisPage" multipleItemSelectionAllowed="1" showAll="0">
      <items count="1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h="1"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axis="axisPage" multipleItemSelectionAllowed="1" showAll="0">
      <items count="5">
        <item x="0"/>
        <item h="1" x="2"/>
        <item h="1" x="1"/>
        <item h="1" x="3"/>
        <item t="default"/>
      </items>
    </pivotField>
    <pivotField showAll="0"/>
    <pivotField axis="axisRow" showAll="0">
      <items count="9">
        <item x="6"/>
        <item x="3"/>
        <item x="5"/>
        <item x="0"/>
        <item x="7"/>
        <item x="1"/>
        <item x="4"/>
        <item x="2"/>
        <item t="default"/>
      </items>
    </pivotField>
    <pivotField showAll="0"/>
    <pivotField showAll="0"/>
    <pivotField showAll="0"/>
    <pivotField showAll="0"/>
    <pivotField showAll="0"/>
    <pivotField numFmtId="44" showAll="0"/>
    <pivotField numFmtId="44" showAll="0"/>
    <pivotField dataField="1" showAll="0"/>
    <pivotField dataField="1" showAll="0"/>
    <pivotField showAll="0"/>
    <pivotField axis="axisPage" showAll="0">
      <items count="4">
        <item x="0"/>
        <item x="1"/>
        <item x="2"/>
        <item t="default"/>
      </items>
    </pivotField>
  </pivotFields>
  <rowFields count="1">
    <field x="3"/>
  </rowFields>
  <rowItems count="8">
    <i>
      <x/>
    </i>
    <i>
      <x v="1"/>
    </i>
    <i>
      <x v="2"/>
    </i>
    <i>
      <x v="3"/>
    </i>
    <i>
      <x v="5"/>
    </i>
    <i>
      <x v="6"/>
    </i>
    <i>
      <x v="7"/>
    </i>
    <i t="grand">
      <x/>
    </i>
  </rowItems>
  <colFields count="1">
    <field x="-2"/>
  </colFields>
  <colItems count="5">
    <i>
      <x/>
    </i>
    <i i="1">
      <x v="1"/>
    </i>
    <i i="2">
      <x v="2"/>
    </i>
    <i i="3">
      <x v="3"/>
    </i>
    <i i="4">
      <x v="4"/>
    </i>
  </colItems>
  <pageFields count="3">
    <pageField fld="1" hier="-1"/>
    <pageField fld="14" item="1" hier="-1"/>
    <pageField fld="0" hier="-1"/>
  </pageFields>
  <dataFields count="5">
    <dataField name="Average of $ By Population" fld="11" subtotal="average" baseField="3" baseItem="0"/>
    <dataField name="StdDev of $ By Population2" fld="11" subtotal="stdDev" baseField="3" baseItem="0"/>
    <dataField name="Average of $ By Square Mile" fld="12" subtotal="average" baseField="3" baseItem="0"/>
    <dataField name="StdDev of $ By Square Mile2" fld="12" subtotal="stdDev" baseField="3" baseItem="0"/>
    <dataField name="Count of $ By Square Mile" fld="12" subtotal="count" baseField="0" baseItem="0"/>
  </dataFields>
  <formats count="2">
    <format dxfId="56">
      <pivotArea outline="0" collapsedLevelsAreSubtotals="1" fieldPosition="0">
        <references count="1">
          <reference field="4294967294" count="1" selected="0">
            <x v="4"/>
          </reference>
        </references>
      </pivotArea>
    </format>
    <format dxfId="55">
      <pivotArea dataOnly="0" labelOnly="1" outline="0" fieldPosition="0">
        <references count="1">
          <reference field="4294967294"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895AE5C-83A5-46BE-827F-BF7A941675F2}"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J27:M35" firstHeaderRow="0" firstDataRow="1" firstDataCol="1" rowPageCount="3" colPageCount="1"/>
  <pivotFields count="15">
    <pivotField axis="axisPage" multipleItemSelectionAllowed="1" showAll="0">
      <items count="1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h="1"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axis="axisPage" multipleItemSelectionAllowed="1" showAll="0">
      <items count="5">
        <item x="0"/>
        <item h="1" x="2"/>
        <item h="1" x="1"/>
        <item h="1" x="3"/>
        <item t="default"/>
      </items>
    </pivotField>
    <pivotField showAll="0"/>
    <pivotField axis="axisRow" showAll="0">
      <items count="9">
        <item x="6"/>
        <item x="3"/>
        <item x="5"/>
        <item x="0"/>
        <item x="7"/>
        <item x="1"/>
        <item x="4"/>
        <item x="2"/>
        <item t="default"/>
      </items>
    </pivotField>
    <pivotField dataField="1" showAll="0"/>
    <pivotField showAll="0"/>
    <pivotField showAll="0"/>
    <pivotField showAll="0"/>
    <pivotField showAll="0"/>
    <pivotField numFmtId="44" showAll="0"/>
    <pivotField numFmtId="44" showAll="0"/>
    <pivotField dataField="1" showAll="0"/>
    <pivotField dataField="1" showAll="0"/>
    <pivotField showAll="0"/>
    <pivotField axis="axisPage" showAll="0">
      <items count="4">
        <item x="0"/>
        <item x="1"/>
        <item x="2"/>
        <item t="default"/>
      </items>
    </pivotField>
  </pivotFields>
  <rowFields count="1">
    <field x="3"/>
  </rowFields>
  <rowItems count="8">
    <i>
      <x/>
    </i>
    <i>
      <x v="1"/>
    </i>
    <i>
      <x v="2"/>
    </i>
    <i>
      <x v="3"/>
    </i>
    <i>
      <x v="5"/>
    </i>
    <i>
      <x v="6"/>
    </i>
    <i>
      <x v="7"/>
    </i>
    <i t="grand">
      <x/>
    </i>
  </rowItems>
  <colFields count="1">
    <field x="-2"/>
  </colFields>
  <colItems count="3">
    <i>
      <x/>
    </i>
    <i i="1">
      <x v="1"/>
    </i>
    <i i="2">
      <x v="2"/>
    </i>
  </colItems>
  <pageFields count="3">
    <pageField fld="1" hier="-1"/>
    <pageField fld="14" item="1" hier="-1"/>
    <pageField fld="0" hier="-1"/>
  </pageFields>
  <dataFields count="3">
    <dataField name="Average of Regional Board #" fld="4" subtotal="average" baseField="3" baseItem="0"/>
    <dataField name="Average of $ By Population" fld="11" subtotal="average" baseField="3" baseItem="0"/>
    <dataField name="Average of $ By Square Mile" fld="12" subtotal="average"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9E847E7-59A9-4A8D-B6A9-CEB45888EDDA}" name="PivotTable1"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32:B203" firstHeaderRow="1" firstDataRow="1" firstDataCol="1" rowPageCount="2" colPageCount="1"/>
  <pivotFields count="15">
    <pivotField axis="axisRow" multipleItemSelectionAllowed="1" showAll="0">
      <items count="1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axis="axisPage" multipleItemSelectionAllowed="1" showAll="0">
      <items count="5">
        <item x="0"/>
        <item h="1" x="2"/>
        <item h="1" x="1"/>
        <item h="1" x="3"/>
        <item t="default"/>
      </items>
    </pivotField>
    <pivotField showAll="0"/>
    <pivotField showAll="0"/>
    <pivotField showAll="0"/>
    <pivotField showAll="0"/>
    <pivotField showAll="0"/>
    <pivotField showAll="0"/>
    <pivotField showAll="0"/>
    <pivotField numFmtId="44" showAll="0"/>
    <pivotField dataField="1" numFmtId="44" showAll="0"/>
    <pivotField showAll="0"/>
    <pivotField showAll="0"/>
    <pivotField showAll="0"/>
    <pivotField axis="axisPage" showAll="0">
      <items count="4">
        <item x="0"/>
        <item x="1"/>
        <item x="2"/>
        <item t="default"/>
      </items>
    </pivotField>
  </pivotFields>
  <rowFields count="1">
    <field x="0"/>
  </rowFields>
  <rowItems count="17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7"/>
    </i>
    <i>
      <x v="58"/>
    </i>
    <i>
      <x v="59"/>
    </i>
    <i>
      <x v="60"/>
    </i>
    <i>
      <x v="61"/>
    </i>
    <i>
      <x v="62"/>
    </i>
    <i>
      <x v="63"/>
    </i>
    <i>
      <x v="64"/>
    </i>
    <i>
      <x v="65"/>
    </i>
    <i>
      <x v="66"/>
    </i>
    <i>
      <x v="67"/>
    </i>
    <i>
      <x v="68"/>
    </i>
    <i>
      <x v="69"/>
    </i>
    <i>
      <x v="70"/>
    </i>
    <i>
      <x v="71"/>
    </i>
    <i>
      <x v="72"/>
    </i>
    <i>
      <x v="73"/>
    </i>
    <i>
      <x v="74"/>
    </i>
    <i>
      <x v="75"/>
    </i>
    <i>
      <x v="77"/>
    </i>
    <i>
      <x v="78"/>
    </i>
    <i>
      <x v="79"/>
    </i>
    <i>
      <x v="80"/>
    </i>
    <i>
      <x v="81"/>
    </i>
    <i>
      <x v="82"/>
    </i>
    <i>
      <x v="83"/>
    </i>
    <i>
      <x v="84"/>
    </i>
    <i>
      <x v="85"/>
    </i>
    <i>
      <x v="86"/>
    </i>
    <i>
      <x v="87"/>
    </i>
    <i>
      <x v="88"/>
    </i>
    <i>
      <x v="89"/>
    </i>
    <i>
      <x v="90"/>
    </i>
    <i>
      <x v="91"/>
    </i>
    <i>
      <x v="92"/>
    </i>
    <i>
      <x v="93"/>
    </i>
    <i>
      <x v="94"/>
    </i>
    <i>
      <x v="95"/>
    </i>
    <i>
      <x v="96"/>
    </i>
    <i>
      <x v="97"/>
    </i>
    <i>
      <x v="98"/>
    </i>
    <i>
      <x v="101"/>
    </i>
    <i>
      <x v="102"/>
    </i>
    <i>
      <x v="103"/>
    </i>
    <i>
      <x v="104"/>
    </i>
    <i>
      <x v="105"/>
    </i>
    <i>
      <x v="106"/>
    </i>
    <i>
      <x v="107"/>
    </i>
    <i>
      <x v="108"/>
    </i>
    <i>
      <x v="109"/>
    </i>
    <i>
      <x v="110"/>
    </i>
    <i>
      <x v="111"/>
    </i>
    <i>
      <x v="112"/>
    </i>
    <i>
      <x v="113"/>
    </i>
    <i>
      <x v="114"/>
    </i>
    <i>
      <x v="115"/>
    </i>
    <i>
      <x v="116"/>
    </i>
    <i>
      <x v="118"/>
    </i>
    <i>
      <x v="119"/>
    </i>
    <i>
      <x v="120"/>
    </i>
    <i>
      <x v="121"/>
    </i>
    <i>
      <x v="122"/>
    </i>
    <i>
      <x v="123"/>
    </i>
    <i>
      <x v="124"/>
    </i>
    <i>
      <x v="125"/>
    </i>
    <i>
      <x v="126"/>
    </i>
    <i>
      <x v="127"/>
    </i>
    <i>
      <x v="128"/>
    </i>
    <i>
      <x v="129"/>
    </i>
    <i>
      <x v="130"/>
    </i>
    <i>
      <x v="131"/>
    </i>
    <i>
      <x v="132"/>
    </i>
    <i>
      <x v="135"/>
    </i>
    <i>
      <x v="136"/>
    </i>
    <i>
      <x v="137"/>
    </i>
    <i>
      <x v="138"/>
    </i>
    <i>
      <x v="140"/>
    </i>
    <i>
      <x v="141"/>
    </i>
    <i>
      <x v="144"/>
    </i>
    <i>
      <x v="145"/>
    </i>
    <i>
      <x v="146"/>
    </i>
    <i>
      <x v="150"/>
    </i>
    <i>
      <x v="151"/>
    </i>
    <i>
      <x v="152"/>
    </i>
    <i>
      <x v="153"/>
    </i>
    <i>
      <x v="155"/>
    </i>
    <i>
      <x v="156"/>
    </i>
    <i>
      <x v="157"/>
    </i>
    <i>
      <x v="158"/>
    </i>
    <i>
      <x v="159"/>
    </i>
    <i>
      <x v="160"/>
    </i>
    <i>
      <x v="161"/>
    </i>
    <i>
      <x v="162"/>
    </i>
    <i>
      <x v="163"/>
    </i>
    <i>
      <x v="164"/>
    </i>
    <i>
      <x v="165"/>
    </i>
    <i>
      <x v="167"/>
    </i>
    <i>
      <x v="168"/>
    </i>
    <i>
      <x v="169"/>
    </i>
    <i>
      <x v="170"/>
    </i>
    <i>
      <x v="171"/>
    </i>
    <i>
      <x v="172"/>
    </i>
    <i>
      <x v="173"/>
    </i>
    <i>
      <x v="174"/>
    </i>
    <i>
      <x v="175"/>
    </i>
    <i>
      <x v="176"/>
    </i>
    <i>
      <x v="177"/>
    </i>
    <i>
      <x v="178"/>
    </i>
    <i>
      <x v="179"/>
    </i>
    <i>
      <x v="180"/>
    </i>
    <i>
      <x v="181"/>
    </i>
    <i>
      <x v="182"/>
    </i>
    <i>
      <x v="183"/>
    </i>
    <i>
      <x v="184"/>
    </i>
    <i>
      <x v="185"/>
    </i>
  </rowItems>
  <colItems count="1">
    <i/>
  </colItems>
  <pageFields count="2">
    <pageField fld="1" hier="-1"/>
    <pageField fld="14" item="1" hier="-1"/>
  </pageFields>
  <dataFields count="1">
    <dataField name="Sum of 2018 $ Value"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D3D5A97-1A47-4331-A4C5-505F7141A38B}" name="PivotTable2" cacheId="0"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F32:G197" firstHeaderRow="1" firstDataRow="1" firstDataCol="1" rowPageCount="2" colPageCount="1"/>
  <pivotFields count="15">
    <pivotField axis="axisRow" multipleItemSelectionAllowed="1" showAll="0">
      <items count="187">
        <item x="0"/>
        <item x="1"/>
        <item x="2"/>
        <item x="3"/>
        <item x="4"/>
        <item x="5"/>
        <item x="6"/>
        <item h="1"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h="1"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h="1" x="96"/>
        <item x="97"/>
        <item h="1"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h="1" x="138"/>
        <item x="139"/>
        <item x="140"/>
        <item x="141"/>
        <item x="142"/>
        <item x="143"/>
        <item x="144"/>
        <item x="145"/>
        <item h="1"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axis="axisPage" multipleItemSelectionAllowed="1" showAll="0">
      <items count="5">
        <item x="0"/>
        <item h="1" x="2"/>
        <item h="1" x="1"/>
        <item h="1" x="3"/>
        <item t="default"/>
      </items>
    </pivotField>
    <pivotField showAll="0"/>
    <pivotField showAll="0"/>
    <pivotField showAll="0"/>
    <pivotField showAll="0"/>
    <pivotField showAll="0"/>
    <pivotField showAll="0"/>
    <pivotField showAll="0"/>
    <pivotField numFmtId="44" showAll="0"/>
    <pivotField dataField="1" numFmtId="44" showAll="0"/>
    <pivotField showAll="0"/>
    <pivotField showAll="0"/>
    <pivotField showAll="0"/>
    <pivotField axis="axisPage" showAll="0">
      <items count="4">
        <item x="0"/>
        <item x="1"/>
        <item x="2"/>
        <item t="default"/>
      </items>
    </pivotField>
  </pivotFields>
  <rowFields count="1">
    <field x="0"/>
  </rowFields>
  <rowItems count="165">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7"/>
    </i>
    <i>
      <x v="58"/>
    </i>
    <i>
      <x v="59"/>
    </i>
    <i>
      <x v="60"/>
    </i>
    <i>
      <x v="61"/>
    </i>
    <i>
      <x v="62"/>
    </i>
    <i>
      <x v="63"/>
    </i>
    <i>
      <x v="64"/>
    </i>
    <i>
      <x v="65"/>
    </i>
    <i>
      <x v="66"/>
    </i>
    <i>
      <x v="67"/>
    </i>
    <i>
      <x v="68"/>
    </i>
    <i>
      <x v="69"/>
    </i>
    <i>
      <x v="70"/>
    </i>
    <i>
      <x v="71"/>
    </i>
    <i>
      <x v="72"/>
    </i>
    <i>
      <x v="73"/>
    </i>
    <i>
      <x v="74"/>
    </i>
    <i>
      <x v="75"/>
    </i>
    <i>
      <x v="77"/>
    </i>
    <i>
      <x v="78"/>
    </i>
    <i>
      <x v="79"/>
    </i>
    <i>
      <x v="80"/>
    </i>
    <i>
      <x v="81"/>
    </i>
    <i>
      <x v="82"/>
    </i>
    <i>
      <x v="83"/>
    </i>
    <i>
      <x v="84"/>
    </i>
    <i>
      <x v="85"/>
    </i>
    <i>
      <x v="86"/>
    </i>
    <i>
      <x v="87"/>
    </i>
    <i>
      <x v="88"/>
    </i>
    <i>
      <x v="89"/>
    </i>
    <i>
      <x v="90"/>
    </i>
    <i>
      <x v="91"/>
    </i>
    <i>
      <x v="92"/>
    </i>
    <i>
      <x v="93"/>
    </i>
    <i>
      <x v="94"/>
    </i>
    <i>
      <x v="95"/>
    </i>
    <i>
      <x v="97"/>
    </i>
    <i>
      <x v="101"/>
    </i>
    <i>
      <x v="102"/>
    </i>
    <i>
      <x v="103"/>
    </i>
    <i>
      <x v="104"/>
    </i>
    <i>
      <x v="105"/>
    </i>
    <i>
      <x v="106"/>
    </i>
    <i>
      <x v="107"/>
    </i>
    <i>
      <x v="108"/>
    </i>
    <i>
      <x v="109"/>
    </i>
    <i>
      <x v="110"/>
    </i>
    <i>
      <x v="111"/>
    </i>
    <i>
      <x v="112"/>
    </i>
    <i>
      <x v="113"/>
    </i>
    <i>
      <x v="114"/>
    </i>
    <i>
      <x v="115"/>
    </i>
    <i>
      <x v="116"/>
    </i>
    <i>
      <x v="118"/>
    </i>
    <i>
      <x v="119"/>
    </i>
    <i>
      <x v="120"/>
    </i>
    <i>
      <x v="121"/>
    </i>
    <i>
      <x v="122"/>
    </i>
    <i>
      <x v="123"/>
    </i>
    <i>
      <x v="124"/>
    </i>
    <i>
      <x v="125"/>
    </i>
    <i>
      <x v="126"/>
    </i>
    <i>
      <x v="127"/>
    </i>
    <i>
      <x v="128"/>
    </i>
    <i>
      <x v="129"/>
    </i>
    <i>
      <x v="130"/>
    </i>
    <i>
      <x v="131"/>
    </i>
    <i>
      <x v="132"/>
    </i>
    <i>
      <x v="135"/>
    </i>
    <i>
      <x v="136"/>
    </i>
    <i>
      <x v="137"/>
    </i>
    <i>
      <x v="140"/>
    </i>
    <i>
      <x v="141"/>
    </i>
    <i>
      <x v="144"/>
    </i>
    <i>
      <x v="145"/>
    </i>
    <i>
      <x v="150"/>
    </i>
    <i>
      <x v="151"/>
    </i>
    <i>
      <x v="152"/>
    </i>
    <i>
      <x v="153"/>
    </i>
    <i>
      <x v="155"/>
    </i>
    <i>
      <x v="156"/>
    </i>
    <i>
      <x v="157"/>
    </i>
    <i>
      <x v="158"/>
    </i>
    <i>
      <x v="159"/>
    </i>
    <i>
      <x v="160"/>
    </i>
    <i>
      <x v="161"/>
    </i>
    <i>
      <x v="162"/>
    </i>
    <i>
      <x v="163"/>
    </i>
    <i>
      <x v="164"/>
    </i>
    <i>
      <x v="165"/>
    </i>
    <i>
      <x v="167"/>
    </i>
    <i>
      <x v="168"/>
    </i>
    <i>
      <x v="169"/>
    </i>
    <i>
      <x v="170"/>
    </i>
    <i>
      <x v="171"/>
    </i>
    <i>
      <x v="172"/>
    </i>
    <i>
      <x v="173"/>
    </i>
    <i>
      <x v="174"/>
    </i>
    <i>
      <x v="175"/>
    </i>
    <i>
      <x v="176"/>
    </i>
    <i>
      <x v="177"/>
    </i>
    <i>
      <x v="178"/>
    </i>
    <i>
      <x v="179"/>
    </i>
    <i>
      <x v="180"/>
    </i>
    <i>
      <x v="181"/>
    </i>
    <i>
      <x v="182"/>
    </i>
    <i>
      <x v="183"/>
    </i>
    <i>
      <x v="184"/>
    </i>
    <i>
      <x v="185"/>
    </i>
  </rowItems>
  <colItems count="1">
    <i/>
  </colItems>
  <pageFields count="2">
    <pageField fld="1" hier="-1"/>
    <pageField fld="14" item="1" hier="-1"/>
  </pageFields>
  <dataFields count="1">
    <dataField name="Sum of 2018 $ Value"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21A11A7-C3C4-4562-9F94-43F45F75B616}" name="PivotChartTable2" cacheId="14"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chartFormat="24">
  <location ref="A3:B7" firstHeaderRow="1" firstDataRow="1" firstDataCol="1" rowPageCount="1" colPageCount="1"/>
  <pivotFields count="3">
    <pivotField axis="axisRow" allDrilled="1" subtotalTop="0" showAll="0" dataSourceSort="1" defaultSubtotal="0" defaultAttributeDrillState="1">
      <items count="3">
        <item x="0"/>
        <item x="1"/>
        <item x="2"/>
      </items>
    </pivotField>
    <pivotField axis="axisPage" allDrilled="1" subtotalTop="0" showAll="0" dataSourceSort="1" defaultSubtotal="0" defaultAttributeDrillState="1"/>
    <pivotField dataField="1" subtotalTop="0" showAll="0" defaultSubtotal="0"/>
  </pivotFields>
  <rowFields count="1">
    <field x="0"/>
  </rowFields>
  <rowItems count="4">
    <i>
      <x/>
    </i>
    <i>
      <x v="1"/>
    </i>
    <i>
      <x v="2"/>
    </i>
    <i t="grand">
      <x/>
    </i>
  </rowItems>
  <colItems count="1">
    <i/>
  </colItems>
  <pageFields count="1">
    <pageField fld="1" hier="44" name="[Budgets 1].[Representative Year].&amp;[YES]" cap="YES"/>
  </pageFields>
  <dataFields count="1">
    <dataField name="Sum of 2018 $ Value" fld="2" baseField="0" baseItem="1228198897"/>
  </dataFields>
  <chartFormats count="2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2"/>
          </reference>
        </references>
      </pivotArea>
    </chartFormat>
    <chartFormat chart="0" format="2">
      <pivotArea type="data" outline="0" fieldPosition="0">
        <references count="2">
          <reference field="4294967294" count="1" selected="0">
            <x v="0"/>
          </reference>
          <reference field="0" count="1" selected="0">
            <x v="0"/>
          </reference>
        </references>
      </pivotArea>
    </chartFormat>
    <chartFormat chart="0" format="3">
      <pivotArea type="data" outline="0" fieldPosition="0">
        <references count="2">
          <reference field="4294967294" count="1" selected="0">
            <x v="0"/>
          </reference>
          <reference field="0" count="1" selected="0">
            <x v="1"/>
          </reference>
        </references>
      </pivotArea>
    </chartFormat>
    <chartFormat chart="1" format="4" series="1">
      <pivotArea type="data" outline="0" fieldPosition="0">
        <references count="1">
          <reference field="4294967294" count="1" selected="0">
            <x v="0"/>
          </reference>
        </references>
      </pivotArea>
    </chartFormat>
    <chartFormat chart="1" format="5">
      <pivotArea type="data" outline="0" fieldPosition="0">
        <references count="2">
          <reference field="4294967294" count="1" selected="0">
            <x v="0"/>
          </reference>
          <reference field="0" count="1" selected="0">
            <x v="0"/>
          </reference>
        </references>
      </pivotArea>
    </chartFormat>
    <chartFormat chart="1" format="6">
      <pivotArea type="data" outline="0" fieldPosition="0">
        <references count="2">
          <reference field="4294967294" count="1" selected="0">
            <x v="0"/>
          </reference>
          <reference field="0" count="1" selected="0">
            <x v="1"/>
          </reference>
        </references>
      </pivotArea>
    </chartFormat>
    <chartFormat chart="1" format="7">
      <pivotArea type="data" outline="0" fieldPosition="0">
        <references count="2">
          <reference field="4294967294" count="1" selected="0">
            <x v="0"/>
          </reference>
          <reference field="0" count="1" selected="0">
            <x v="2"/>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0" count="1" selected="0">
            <x v="0"/>
          </reference>
        </references>
      </pivotArea>
    </chartFormat>
    <chartFormat chart="2" format="10">
      <pivotArea type="data" outline="0" fieldPosition="0">
        <references count="2">
          <reference field="4294967294" count="1" selected="0">
            <x v="0"/>
          </reference>
          <reference field="0" count="1" selected="0">
            <x v="1"/>
          </reference>
        </references>
      </pivotArea>
    </chartFormat>
    <chartFormat chart="2" format="11">
      <pivotArea type="data" outline="0" fieldPosition="0">
        <references count="2">
          <reference field="4294967294" count="1" selected="0">
            <x v="0"/>
          </reference>
          <reference field="0" count="1" selected="0">
            <x v="2"/>
          </reference>
        </references>
      </pivotArea>
    </chartFormat>
    <chartFormat chart="12" format="16" series="1">
      <pivotArea type="data" outline="0" fieldPosition="0">
        <references count="1">
          <reference field="4294967294" count="1" selected="0">
            <x v="0"/>
          </reference>
        </references>
      </pivotArea>
    </chartFormat>
    <chartFormat chart="12" format="17">
      <pivotArea type="data" outline="0" fieldPosition="0">
        <references count="2">
          <reference field="4294967294" count="1" selected="0">
            <x v="0"/>
          </reference>
          <reference field="0" count="1" selected="0">
            <x v="0"/>
          </reference>
        </references>
      </pivotArea>
    </chartFormat>
    <chartFormat chart="12" format="18">
      <pivotArea type="data" outline="0" fieldPosition="0">
        <references count="2">
          <reference field="4294967294" count="1" selected="0">
            <x v="0"/>
          </reference>
          <reference field="0" count="1" selected="0">
            <x v="1"/>
          </reference>
        </references>
      </pivotArea>
    </chartFormat>
    <chartFormat chart="12" format="19">
      <pivotArea type="data" outline="0" fieldPosition="0">
        <references count="2">
          <reference field="4294967294" count="1" selected="0">
            <x v="0"/>
          </reference>
          <reference field="0" count="1" selected="0">
            <x v="2"/>
          </reference>
        </references>
      </pivotArea>
    </chartFormat>
    <chartFormat chart="15" format="12" series="1">
      <pivotArea type="data" outline="0" fieldPosition="0">
        <references count="1">
          <reference field="4294967294" count="1" selected="0">
            <x v="0"/>
          </reference>
        </references>
      </pivotArea>
    </chartFormat>
    <chartFormat chart="15" format="13">
      <pivotArea type="data" outline="0" fieldPosition="0">
        <references count="2">
          <reference field="4294967294" count="1" selected="0">
            <x v="0"/>
          </reference>
          <reference field="0" count="1" selected="0">
            <x v="0"/>
          </reference>
        </references>
      </pivotArea>
    </chartFormat>
    <chartFormat chart="15" format="14">
      <pivotArea type="data" outline="0" fieldPosition="0">
        <references count="2">
          <reference field="4294967294" count="1" selected="0">
            <x v="0"/>
          </reference>
          <reference field="0" count="1" selected="0">
            <x v="1"/>
          </reference>
        </references>
      </pivotArea>
    </chartFormat>
    <chartFormat chart="15" format="15">
      <pivotArea type="data" outline="0" fieldPosition="0">
        <references count="2">
          <reference field="4294967294" count="1" selected="0">
            <x v="0"/>
          </reference>
          <reference field="0" count="1" selected="0">
            <x v="2"/>
          </reference>
        </references>
      </pivotArea>
    </chartFormat>
    <chartFormat chart="16" format="16" series="1">
      <pivotArea type="data" outline="0" fieldPosition="0">
        <references count="1">
          <reference field="4294967294" count="1" selected="0">
            <x v="0"/>
          </reference>
        </references>
      </pivotArea>
    </chartFormat>
    <chartFormat chart="16" format="17">
      <pivotArea type="data" outline="0" fieldPosition="0">
        <references count="2">
          <reference field="4294967294" count="1" selected="0">
            <x v="0"/>
          </reference>
          <reference field="0" count="1" selected="0">
            <x v="0"/>
          </reference>
        </references>
      </pivotArea>
    </chartFormat>
    <chartFormat chart="16" format="18">
      <pivotArea type="data" outline="0" fieldPosition="0">
        <references count="2">
          <reference field="4294967294" count="1" selected="0">
            <x v="0"/>
          </reference>
          <reference field="0" count="1" selected="0">
            <x v="1"/>
          </reference>
        </references>
      </pivotArea>
    </chartFormat>
    <chartFormat chart="16" format="19">
      <pivotArea type="data" outline="0" fieldPosition="0">
        <references count="2">
          <reference field="4294967294" count="1" selected="0">
            <x v="0"/>
          </reference>
          <reference field="0" count="1" selected="0">
            <x v="2"/>
          </reference>
        </references>
      </pivotArea>
    </chartFormat>
    <chartFormat chart="23" format="20" series="1">
      <pivotArea type="data" outline="0" fieldPosition="0">
        <references count="1">
          <reference field="4294967294" count="1" selected="0">
            <x v="0"/>
          </reference>
        </references>
      </pivotArea>
    </chartFormat>
    <chartFormat chart="23" format="21">
      <pivotArea type="data" outline="0" fieldPosition="0">
        <references count="2">
          <reference field="4294967294" count="1" selected="0">
            <x v="0"/>
          </reference>
          <reference field="0" count="1" selected="0">
            <x v="0"/>
          </reference>
        </references>
      </pivotArea>
    </chartFormat>
    <chartFormat chart="23" format="22">
      <pivotArea type="data" outline="0" fieldPosition="0">
        <references count="2">
          <reference field="4294967294" count="1" selected="0">
            <x v="0"/>
          </reference>
          <reference field="0" count="1" selected="0">
            <x v="1"/>
          </reference>
        </references>
      </pivotArea>
    </chartFormat>
    <chartFormat chart="23" format="23">
      <pivotArea type="data" outline="0" fieldPosition="0">
        <references count="2">
          <reference field="4294967294" count="1" selected="0">
            <x v="0"/>
          </reference>
          <reference field="0" count="1" selected="0">
            <x v="2"/>
          </reference>
        </references>
      </pivotArea>
    </chartFormat>
  </chart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um of 2018 $ Value"/>
    <pivotHierarchy dragToData="1" caption="Average of 2018 $ Value"/>
    <pivotHierarchy dragToData="1" caption="Max of 2018 $ Valu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3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4" columnCount="1" cacheId="1301889074">
        <x15:pivotRow count="1">
          <x15:c>
            <x15:v>479728458.13289148</x15:v>
          </x15:c>
        </x15:pivotRow>
        <x15:pivotRow count="1">
          <x15:c>
            <x15:v>173191574.60598752</x15:v>
          </x15:c>
        </x15:pivotRow>
        <x15:pivotRow count="1">
          <x15:c>
            <x15:v>157836511.01371253</x15:v>
          </x15:c>
        </x15:pivotRow>
        <x15:pivotRow count="1">
          <x15:c>
            <x15:v>810756543.75259161</x15:v>
          </x15:c>
        </x15:pivotRow>
      </x15:pivotTableData>
    </ext>
    <ext xmlns:x15="http://schemas.microsoft.com/office/spreadsheetml/2010/11/main" uri="{E67621CE-5B39-4880-91FE-76760E9C1902}">
      <x15:pivotTableUISettings>
        <x15:activeTabTopLevelEntity name="[Budgets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21A11A7-C3C4-4562-9F94-43F45F75B616}" name="PivotChartTable3" cacheId="13"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chartFormat="27">
  <location ref="A3:B8" firstHeaderRow="1" firstDataRow="1" firstDataCol="1" rowPageCount="1" colPageCount="1"/>
  <pivotFields count="3">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dataField="1" subtotalTop="0" showAll="0" defaultSubtotal="0"/>
  </pivotFields>
  <rowFields count="1">
    <field x="1"/>
  </rowFields>
  <rowItems count="5">
    <i>
      <x/>
    </i>
    <i>
      <x v="1"/>
    </i>
    <i>
      <x v="2"/>
    </i>
    <i>
      <x v="3"/>
    </i>
    <i t="grand">
      <x/>
    </i>
  </rowItems>
  <colItems count="1">
    <i/>
  </colItems>
  <pageFields count="1">
    <pageField fld="0" hier="74" name="[Expenditures 1].[Representative Year].[All]" cap="All"/>
  </pageFields>
  <dataFields count="1">
    <dataField name="Average of 2018 $ Value" fld="2" subtotal="average" baseField="1" baseItem="2"/>
  </dataFields>
  <chartFormats count="10">
    <chartFormat chart="16" format="20" series="1">
      <pivotArea type="data" outline="0" fieldPosition="0">
        <references count="1">
          <reference field="4294967294" count="1" selected="0">
            <x v="0"/>
          </reference>
        </references>
      </pivotArea>
    </chartFormat>
    <chartFormat chart="16" format="21">
      <pivotArea type="data" outline="0" fieldPosition="0">
        <references count="2">
          <reference field="4294967294" count="1" selected="0">
            <x v="0"/>
          </reference>
          <reference field="1" count="1" selected="0">
            <x v="2"/>
          </reference>
        </references>
      </pivotArea>
    </chartFormat>
    <chartFormat chart="16" format="22">
      <pivotArea type="data" outline="0" fieldPosition="0">
        <references count="2">
          <reference field="4294967294" count="1" selected="0">
            <x v="0"/>
          </reference>
          <reference field="1" count="1" selected="0">
            <x v="1"/>
          </reference>
        </references>
      </pivotArea>
    </chartFormat>
    <chartFormat chart="16" format="23">
      <pivotArea type="data" outline="0" fieldPosition="0">
        <references count="2">
          <reference field="4294967294" count="1" selected="0">
            <x v="0"/>
          </reference>
          <reference field="1" count="1" selected="0">
            <x v="0"/>
          </reference>
        </references>
      </pivotArea>
    </chartFormat>
    <chartFormat chart="16" format="24">
      <pivotArea type="data" outline="0" fieldPosition="0">
        <references count="2">
          <reference field="4294967294" count="1" selected="0">
            <x v="0"/>
          </reference>
          <reference field="1" count="1" selected="0">
            <x v="3"/>
          </reference>
        </references>
      </pivotArea>
    </chartFormat>
    <chartFormat chart="26" format="25" series="1">
      <pivotArea type="data" outline="0" fieldPosition="0">
        <references count="1">
          <reference field="4294967294" count="1" selected="0">
            <x v="0"/>
          </reference>
        </references>
      </pivotArea>
    </chartFormat>
    <chartFormat chart="26" format="26">
      <pivotArea type="data" outline="0" fieldPosition="0">
        <references count="2">
          <reference field="4294967294" count="1" selected="0">
            <x v="0"/>
          </reference>
          <reference field="1" count="1" selected="0">
            <x v="0"/>
          </reference>
        </references>
      </pivotArea>
    </chartFormat>
    <chartFormat chart="26" format="27">
      <pivotArea type="data" outline="0" fieldPosition="0">
        <references count="2">
          <reference field="4294967294" count="1" selected="0">
            <x v="0"/>
          </reference>
          <reference field="1" count="1" selected="0">
            <x v="1"/>
          </reference>
        </references>
      </pivotArea>
    </chartFormat>
    <chartFormat chart="26" format="28">
      <pivotArea type="data" outline="0" fieldPosition="0">
        <references count="2">
          <reference field="4294967294" count="1" selected="0">
            <x v="0"/>
          </reference>
          <reference field="1" count="1" selected="0">
            <x v="2"/>
          </reference>
        </references>
      </pivotArea>
    </chartFormat>
    <chartFormat chart="26" format="29">
      <pivotArea type="data" outline="0" fieldPosition="0">
        <references count="2">
          <reference field="4294967294" count="1" selected="0">
            <x v="0"/>
          </reference>
          <reference field="1" count="1" selected="0">
            <x v="3"/>
          </reference>
        </references>
      </pivotArea>
    </chartFormat>
  </chart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2018 $ Value"/>
    <pivotHierarchy dragToData="1"/>
    <pivotHierarchy dragToData="1"/>
    <pivotHierarchy dragToData="1"/>
    <pivotHierarchy dragToData="1" caption="Average of 2018 $ Valu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6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5" columnCount="1" cacheId="843156313">
        <x15:pivotRow count="1">
          <x15:c>
            <x15:v>3546164.0528536392</x15:v>
          </x15:c>
        </x15:pivotRow>
        <x15:pivotRow count="1">
          <x15:c>
            <x15:v>24347551.517439526</x15:v>
          </x15:c>
        </x15:pivotRow>
        <x15:pivotRow count="1">
          <x15:c>
            <x15:v>24285771.611810651</x15:v>
          </x15:c>
        </x15:pivotRow>
        <x15:pivotRow count="1">
          <x15:c>
            <x15:v>3452508.8005341007</x15:v>
          </x15:c>
        </x15:pivotRow>
        <x15:pivotRow count="1">
          <x15:c>
            <x15:v>6720566.911361251</x15:v>
          </x15:c>
        </x15:pivotRow>
      </x15:pivotTableData>
    </ext>
    <ext xmlns:x15="http://schemas.microsoft.com/office/spreadsheetml/2010/11/main" uri="{E67621CE-5B39-4880-91FE-76760E9C1902}">
      <x15:pivotTableUISettings>
        <x15:activeTabTopLevelEntity name="[Budgets 1]"/>
        <x15:activeTabTopLevelEntity name="[Expenditures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21A11A7-C3C4-4562-9F94-43F45F75B616}" name="PivotChartTable4" cacheId="12"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chartFormat="27">
  <location ref="A3:B8" firstHeaderRow="1" firstDataRow="1" firstDataCol="1" rowPageCount="1" colPageCount="1"/>
  <pivotFields count="3">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dataField="1" subtotalTop="0" showAll="0" defaultSubtotal="0"/>
  </pivotFields>
  <rowFields count="1">
    <field x="1"/>
  </rowFields>
  <rowItems count="5">
    <i>
      <x/>
    </i>
    <i>
      <x v="1"/>
    </i>
    <i>
      <x v="2"/>
    </i>
    <i>
      <x v="3"/>
    </i>
    <i t="grand">
      <x/>
    </i>
  </rowItems>
  <colItems count="1">
    <i/>
  </colItems>
  <pageFields count="1">
    <pageField fld="0" hier="74" name="[Expenditures 1].[Representative Year].&amp;[YES]" cap="YES"/>
  </pageFields>
  <dataFields count="1">
    <dataField name="Sum of 2018 $ Value" fld="2" baseField="0" baseItem="0"/>
  </dataFields>
  <chartFormats count="10">
    <chartFormat chart="21" format="28" series="1">
      <pivotArea type="data" outline="0" fieldPosition="0">
        <references count="1">
          <reference field="4294967294" count="1" selected="0">
            <x v="0"/>
          </reference>
        </references>
      </pivotArea>
    </chartFormat>
    <chartFormat chart="21" format="29">
      <pivotArea type="data" outline="0" fieldPosition="0">
        <references count="2">
          <reference field="4294967294" count="1" selected="0">
            <x v="0"/>
          </reference>
          <reference field="1" count="1" selected="0">
            <x v="0"/>
          </reference>
        </references>
      </pivotArea>
    </chartFormat>
    <chartFormat chart="21" format="30">
      <pivotArea type="data" outline="0" fieldPosition="0">
        <references count="2">
          <reference field="4294967294" count="1" selected="0">
            <x v="0"/>
          </reference>
          <reference field="1" count="1" selected="0">
            <x v="1"/>
          </reference>
        </references>
      </pivotArea>
    </chartFormat>
    <chartFormat chart="21" format="31">
      <pivotArea type="data" outline="0" fieldPosition="0">
        <references count="2">
          <reference field="4294967294" count="1" selected="0">
            <x v="0"/>
          </reference>
          <reference field="1" count="1" selected="0">
            <x v="2"/>
          </reference>
        </references>
      </pivotArea>
    </chartFormat>
    <chartFormat chart="21" format="32">
      <pivotArea type="data" outline="0" fieldPosition="0">
        <references count="2">
          <reference field="4294967294" count="1" selected="0">
            <x v="0"/>
          </reference>
          <reference field="1" count="1" selected="0">
            <x v="3"/>
          </reference>
        </references>
      </pivotArea>
    </chartFormat>
    <chartFormat chart="26" format="33" series="1">
      <pivotArea type="data" outline="0" fieldPosition="0">
        <references count="1">
          <reference field="4294967294" count="1" selected="0">
            <x v="0"/>
          </reference>
        </references>
      </pivotArea>
    </chartFormat>
    <chartFormat chart="26" format="34">
      <pivotArea type="data" outline="0" fieldPosition="0">
        <references count="2">
          <reference field="4294967294" count="1" selected="0">
            <x v="0"/>
          </reference>
          <reference field="1" count="1" selected="0">
            <x v="0"/>
          </reference>
        </references>
      </pivotArea>
    </chartFormat>
    <chartFormat chart="26" format="35">
      <pivotArea type="data" outline="0" fieldPosition="0">
        <references count="2">
          <reference field="4294967294" count="1" selected="0">
            <x v="0"/>
          </reference>
          <reference field="1" count="1" selected="0">
            <x v="1"/>
          </reference>
        </references>
      </pivotArea>
    </chartFormat>
    <chartFormat chart="26" format="36">
      <pivotArea type="data" outline="0" fieldPosition="0">
        <references count="2">
          <reference field="4294967294" count="1" selected="0">
            <x v="0"/>
          </reference>
          <reference field="1" count="1" selected="0">
            <x v="2"/>
          </reference>
        </references>
      </pivotArea>
    </chartFormat>
    <chartFormat chart="26" format="37">
      <pivotArea type="data" outline="0" fieldPosition="0">
        <references count="2">
          <reference field="4294967294" count="1" selected="0">
            <x v="0"/>
          </reference>
          <reference field="1" count="1" selected="0">
            <x v="3"/>
          </reference>
        </references>
      </pivotArea>
    </chartFormat>
  </chart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um of 2018 $ Value"/>
    <pivotHierarchy dragToData="1" caption="Average of 2018 $ Value"/>
    <pivotHierarchy dragToData="1" caption="Max of 2018 $ Valu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6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5" columnCount="1" cacheId="1480012518">
        <x15:pivotRow count="1">
          <x15:c>
            <x15:v>522383395.56818736</x15:v>
          </x15:c>
        </x15:pivotRow>
        <x15:pivotRow count="1">
          <x15:c>
            <x15:v>166397314.69490203</x15:v>
          </x15:c>
        </x15:pivotRow>
        <x15:pivotRow count="1">
          <x15:c>
            <x15:v>68703061.168698922</x15:v>
          </x15:c>
        </x15:pivotRow>
        <x15:pivotRow count="1">
          <x15:c>
            <x15:v>8253298.6572705023</x15:v>
          </x15:c>
        </x15:pivotRow>
        <x15:pivotRow count="1">
          <x15:c>
            <x15:v>765737070.08905852</x15:v>
          </x15:c>
        </x15:pivotRow>
      </x15:pivotTableData>
    </ext>
    <ext xmlns:x15="http://schemas.microsoft.com/office/spreadsheetml/2010/11/main" uri="{E67621CE-5B39-4880-91FE-76760E9C1902}">
      <x15:pivotTableUISettings>
        <x15:activeTabTopLevelEntity name="[Budgets 1]"/>
        <x15:activeTabTopLevelEntity name="[Expenditures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315D49C-45BF-4503-9671-BADC463607AD}" name="PivotTable2" cacheId="4" applyNumberFormats="0" applyBorderFormats="0" applyFontFormats="0" applyPatternFormats="0" applyAlignmentFormats="0" applyWidthHeightFormats="1" dataCaption="Values" tag="3b7d724d-083a-4a09-89fb-4a7c02f5dfa1" updatedVersion="6" minRefreshableVersion="3" useAutoFormatting="1" subtotalHiddenItems="1" colGrandTotals="0" itemPrintTitles="1" createdVersion="6" indent="0" outline="1" outlineData="1" multipleFieldFilters="0">
  <location ref="A37:B46" firstHeaderRow="1" firstDataRow="1" firstDataCol="1"/>
  <pivotFields count="2">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s>
  <rowFields count="1">
    <field x="0"/>
  </rowFields>
  <rowItems count="9">
    <i>
      <x/>
    </i>
    <i>
      <x v="1"/>
    </i>
    <i>
      <x v="2"/>
    </i>
    <i>
      <x v="3"/>
    </i>
    <i>
      <x v="4"/>
    </i>
    <i>
      <x v="5"/>
    </i>
    <i>
      <x v="6"/>
    </i>
    <i>
      <x v="7"/>
    </i>
    <i t="grand">
      <x/>
    </i>
  </rowItems>
  <colItems count="1">
    <i/>
  </colItems>
  <dataFields count="1">
    <dataField name="Distinct Count of Jurisdiction" fld="1" subtotal="count" baseField="0" baseItem="0">
      <extLst>
        <ext xmlns:x15="http://schemas.microsoft.com/office/spreadsheetml/2010/11/main" uri="{FABC7310-3BB5-11E1-824E-6D434824019B}">
          <x15:dataField isCountDistinct="1"/>
        </ext>
      </extLst>
    </dataField>
  </dataField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Distinct Count of Jurisdic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Expenditures[#All]">
        <x15:activeTabTopLevelEntity name="[Expendit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58E6DF7-065A-4E79-BA30-85E2EC9BFDCE}" name="PivotTable4" cacheId="5" applyNumberFormats="0" applyBorderFormats="0" applyFontFormats="0" applyPatternFormats="0" applyAlignmentFormats="0" applyWidthHeightFormats="1" dataCaption="Values" tag="3b7d724d-083a-4a09-89fb-4a7c02f5dfa1" updatedVersion="6" minRefreshableVersion="3" useAutoFormatting="1" subtotalHiddenItems="1" colGrandTotals="0" itemPrintTitles="1" createdVersion="6" indent="0" outline="1" outlineData="1" multipleFieldFilters="0">
  <location ref="AE29:AF37" firstHeaderRow="1" firstDataRow="1" firstDataCol="1" rowPageCount="2" colPageCount="1"/>
  <pivotFields count="4">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7">
        <item x="0"/>
        <item x="1"/>
        <item x="2"/>
        <item x="3"/>
        <item x="4"/>
        <item x="5"/>
        <item x="6"/>
      </items>
    </pivotField>
    <pivotField dataField="1" subtotalTop="0" showAll="0" defaultSubtotal="0"/>
  </pivotFields>
  <rowFields count="1">
    <field x="2"/>
  </rowFields>
  <rowItems count="8">
    <i>
      <x/>
    </i>
    <i>
      <x v="1"/>
    </i>
    <i>
      <x v="2"/>
    </i>
    <i>
      <x v="3"/>
    </i>
    <i>
      <x v="4"/>
    </i>
    <i>
      <x v="5"/>
    </i>
    <i>
      <x v="6"/>
    </i>
    <i t="grand">
      <x/>
    </i>
  </rowItems>
  <colItems count="1">
    <i/>
  </colItems>
  <pageFields count="2">
    <pageField fld="0" hier="59" name="[Expenditures].[Representative Year].&amp;[YES]" cap="YES"/>
    <pageField fld="1" hier="52" name="[Expenditures].[Fiscal Year].&amp;[2012–2013]" cap="2012–2013"/>
  </pageFields>
  <dataFields count="1">
    <dataField name="Distinct Count of Jurisdiction" fld="3" subtotal="count" baseField="2" baseItem="0">
      <extLst>
        <ext xmlns:x15="http://schemas.microsoft.com/office/spreadsheetml/2010/11/main" uri="{FABC7310-3BB5-11E1-824E-6D434824019B}">
          <x15:dataField isCountDistinct="1"/>
        </ext>
      </extLst>
    </dataField>
  </dataField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7" level="1">
        <member name="[Expenditures].[Fiscal Year].&amp;[2012–2013]"/>
        <member name="[Expenditures].[Fiscal Year].&amp;[2013–2014]"/>
        <member name="[Expenditures].[Fiscal Year].&amp;[2014–2015]"/>
        <member name="[Expenditures].[Fiscal Year].&amp;[2015–2016]"/>
        <member name="[Expenditures].[Fiscal Year].&amp;[2016–2017]"/>
        <member name="[Expenditures].[Fiscal Year].&amp;[2017–2018]"/>
        <member name="[Expenditures].[Fiscal Year].&amp;[2018–201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Distinct Count of Jurisdic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Expenditures[#All]">
        <x15:activeTabTopLevelEntity name="[Expendit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EF4BF90-7BA0-4880-B1E0-E33C1E26258E}" name="PivotTable15" cacheId="6" applyNumberFormats="0" applyBorderFormats="0" applyFontFormats="0" applyPatternFormats="0" applyAlignmentFormats="0" applyWidthHeightFormats="1" dataCaption="Values" tag="a372dc33-0cda-42b6-9627-caf1c2c0836a" updatedVersion="6" minRefreshableVersion="3" useAutoFormatting="1" subtotalHiddenItems="1" rowGrandTotals="0" colGrandTotals="0" itemPrintTitles="1" createdVersion="6" indent="0" outline="1" outlineData="1" multipleFieldFilters="0" chartFormat="1">
  <location ref="G26:J50" firstHeaderRow="1" firstDataRow="2" firstDataCol="1"/>
  <pivotFields count="3">
    <pivotField axis="axisRow" allDrilled="1" subtotalTop="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pivotField>
    <pivotField axis="axisCol" allDrilled="1" subtotalTop="0" showAll="0" dataSourceSort="1" defaultSubtotal="0" defaultAttributeDrillState="1">
      <items count="3">
        <item x="0"/>
        <item x="1"/>
        <item x="2"/>
      </items>
    </pivotField>
    <pivotField dataField="1" subtotalTop="0" showAll="0" defaultSubtotal="0"/>
  </pivotFields>
  <rowFields count="1">
    <field x="0"/>
  </rowFields>
  <rowItems count="23">
    <i>
      <x/>
    </i>
    <i>
      <x v="1"/>
    </i>
    <i>
      <x v="2"/>
    </i>
    <i>
      <x v="3"/>
    </i>
    <i>
      <x v="4"/>
    </i>
    <i>
      <x v="5"/>
    </i>
    <i>
      <x v="6"/>
    </i>
    <i>
      <x v="7"/>
    </i>
    <i>
      <x v="8"/>
    </i>
    <i>
      <x v="9"/>
    </i>
    <i>
      <x v="10"/>
    </i>
    <i>
      <x v="11"/>
    </i>
    <i>
      <x v="12"/>
    </i>
    <i>
      <x v="13"/>
    </i>
    <i>
      <x v="14"/>
    </i>
    <i>
      <x v="15"/>
    </i>
    <i>
      <x v="16"/>
    </i>
    <i>
      <x v="17"/>
    </i>
    <i>
      <x v="18"/>
    </i>
    <i>
      <x v="19"/>
    </i>
    <i>
      <x v="20"/>
    </i>
    <i>
      <x v="21"/>
    </i>
    <i>
      <x v="22"/>
    </i>
  </rowItems>
  <colFields count="1">
    <field x="1"/>
  </colFields>
  <colItems count="3">
    <i>
      <x/>
    </i>
    <i>
      <x v="1"/>
    </i>
    <i>
      <x v="2"/>
    </i>
  </colItems>
  <dataFields count="1">
    <dataField name="Count of Type" fld="2" subtotal="count" baseField="0" baseItem="0"/>
  </dataFields>
  <chartFormats count="3">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Budgets[#All]">
        <x15:activeTabTopLevelEntity name="[Budget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A7C3F6B-D197-42B7-8662-022B35074F54}" name="PivotTable16" cacheId="1" applyNumberFormats="0" applyBorderFormats="0" applyFontFormats="0" applyPatternFormats="0" applyAlignmentFormats="0" applyWidthHeightFormats="1" dataCaption="Values" tag="3b7d724d-083a-4a09-89fb-4a7c02f5dfa1" updatedVersion="6" minRefreshableVersion="3" useAutoFormatting="1" subtotalHiddenItems="1" rowGrandTotals="0" colGrandTotals="0" itemPrintTitles="1" createdVersion="6" indent="0" outline="1" outlineData="1" multipleFieldFilters="0">
  <location ref="O26:S46" firstHeaderRow="1" firstDataRow="2" firstDataCol="1"/>
  <pivotFields count="3">
    <pivotField axis="axisRow" allDrilled="1" subtotalTop="0" showAll="0" dataSourceSort="1" defaultSubtotal="0" defaultAttributeDrillState="1">
      <items count="19">
        <item x="0"/>
        <item x="1"/>
        <item x="2"/>
        <item x="3"/>
        <item x="4"/>
        <item x="5"/>
        <item x="6"/>
        <item x="7"/>
        <item x="8"/>
        <item x="9"/>
        <item x="10"/>
        <item x="11"/>
        <item x="12"/>
        <item x="13"/>
        <item x="14"/>
        <item x="15"/>
        <item x="16"/>
        <item x="17"/>
        <item x="18"/>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19">
    <i>
      <x/>
    </i>
    <i>
      <x v="1"/>
    </i>
    <i>
      <x v="2"/>
    </i>
    <i>
      <x v="3"/>
    </i>
    <i>
      <x v="4"/>
    </i>
    <i>
      <x v="5"/>
    </i>
    <i>
      <x v="6"/>
    </i>
    <i>
      <x v="7"/>
    </i>
    <i>
      <x v="8"/>
    </i>
    <i>
      <x v="9"/>
    </i>
    <i>
      <x v="10"/>
    </i>
    <i>
      <x v="11"/>
    </i>
    <i>
      <x v="12"/>
    </i>
    <i>
      <x v="13"/>
    </i>
    <i>
      <x v="14"/>
    </i>
    <i>
      <x v="15"/>
    </i>
    <i>
      <x v="16"/>
    </i>
    <i>
      <x v="17"/>
    </i>
    <i>
      <x v="18"/>
    </i>
  </rowItems>
  <colFields count="1">
    <field x="1"/>
  </colFields>
  <colItems count="4">
    <i>
      <x/>
    </i>
    <i>
      <x v="1"/>
    </i>
    <i>
      <x v="2"/>
    </i>
    <i>
      <x v="3"/>
    </i>
  </colItems>
  <dataFields count="1">
    <dataField name="Count of Type" fld="2" subtotal="count" baseField="0" baseItem="0"/>
  </dataField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4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Expenditures[#All]">
        <x15:activeTabTopLevelEntity name="[Expendit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6AD0A8A-F97F-48C2-8E18-3ADFE8B96EF1}" name="PivotTable12" cacheId="2" applyNumberFormats="0" applyBorderFormats="0" applyFontFormats="0" applyPatternFormats="0" applyAlignmentFormats="0" applyWidthHeightFormats="1" dataCaption="Values" tag="9319f416-1c92-4c40-96f1-71be7ac2bfda" updatedVersion="6" minRefreshableVersion="3" useAutoFormatting="1" subtotalHiddenItems="1" itemPrintTitles="1" createdVersion="6" indent="0" outline="1" outlineData="1" multipleFieldFilters="0">
  <location ref="A26:B34" firstHeaderRow="1" firstDataRow="1" firstDataCol="1"/>
  <pivotFields count="2">
    <pivotField axis="axisRow"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8">
    <i>
      <x/>
    </i>
    <i>
      <x v="1"/>
    </i>
    <i>
      <x v="2"/>
    </i>
    <i>
      <x v="3"/>
    </i>
    <i>
      <x v="4"/>
    </i>
    <i>
      <x v="5"/>
    </i>
    <i>
      <x v="6"/>
    </i>
    <i t="grand">
      <x/>
    </i>
  </rowItems>
  <colItems count="1">
    <i/>
  </colItems>
  <dataFields count="1">
    <dataField name="Distinct Count of Jurisdiction" fld="1" subtotal="count" baseField="0" baseItem="0">
      <extLst>
        <ext xmlns:x15="http://schemas.microsoft.com/office/spreadsheetml/2010/11/main" uri="{FABC7310-3BB5-11E1-824E-6D434824019B}">
          <x15:dataField isCountDistinct="1"/>
        </ext>
      </extLst>
    </dataField>
  </dataField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Distinct Count of Jurisdic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Budgets[#All]">
        <x15:activeTabTopLevelEntity name="[Budgets]"/>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2B608FFE-ADE5-4F1B-BA2E-EB6DDA27B70A}" sourceName="[Activities].[Category]">
  <pivotTables>
    <pivotTable tabId="62" name="PivotTable3"/>
  </pivotTables>
  <data>
    <olap pivotCacheId="2012259941">
      <levels count="2">
        <level uniqueName="[Activities].[Category].[(All)]" sourceCaption="(All)" count="0"/>
        <level uniqueName="[Activities].[Category].[Category]" sourceCaption="Category" count="12">
          <ranges>
            <range startItem="0">
              <i n="[Activities].[Category].&amp;[Capital Costs]" c="Capital Costs"/>
              <i n="[Activities].[Category].&amp;[Construction Site Controls]" c="Construction Site Controls"/>
              <i n="[Activities].[Category].&amp;[Illicit Discharge]" c="Illicit Discharge"/>
              <i n="[Activities].[Category].&amp;[Industrial and Commercial]" c="Industrial and Commercial"/>
              <i n="[Activities].[Category].&amp;[Operations and Maintenance]" c="Operations and Maintenance"/>
              <i n="[Activities].[Category].&amp;[Pollution Prevention]" c="Pollution Prevention"/>
              <i n="[Activities].[Category].&amp;[Post-Construction]" c="Post-Construction"/>
              <i n="[Activities].[Category].&amp;[Public Education and Involvement]" c="Public Education and Involvement"/>
              <i n="[Activities].[Category].&amp;[Stormwater Program Management]" c="Stormwater Program Management"/>
              <i n="[Activities].[Category].&amp;[Unable to Decipher]" c="Unable to Decipher"/>
              <i n="[Activities].[Category].&amp;[Water Quality Monitoring]" c="Water Quality Monitoring"/>
              <i n="[Activities].[Category].&amp;[Watershed/TMDL Collaboration]" c="Watershed/TMDL Collaboration"/>
            </range>
          </ranges>
        </level>
      </levels>
      <selections count="1">
        <selection n="[Activities].[Category].&amp;[Watershed/TMDL Collaboration]"/>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xr10:uid="{9CE5F59F-B7A8-454E-8CAF-0CC755BD74F0}" cache="Slicer_Category" caption="Category" startItem="5"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2B0E38D-7165-4A52-BA32-910283F30933}" name="Table613" displayName="Table613" ref="A2:O3211" totalsRowCount="1" headerRowDxfId="146" dataDxfId="145">
  <autoFilter ref="A2:O3210" xr:uid="{00000000-0009-0000-0100-000006000000}"/>
  <tableColumns count="15">
    <tableColumn id="1" xr3:uid="{49F3D6F4-418B-42EE-BADD-79E0E24D376E}" name="Region" dataDxfId="144" totalsRowDxfId="44"/>
    <tableColumn id="2" xr3:uid="{B1ACE478-6280-44CC-9555-BE7F0CACE3D0}" name="Jurisdiction" dataDxfId="143" totalsRowDxfId="43"/>
    <tableColumn id="9" xr3:uid="{D28A98C8-F7D9-42BE-95E4-6B0A451B0011}" name="County" dataDxfId="142" totalsRowDxfId="42"/>
    <tableColumn id="13" xr3:uid="{537E5919-C7F5-481C-9155-F35FE373F043}" name="Geo-Region" dataDxfId="141" totalsRowDxfId="41"/>
    <tableColumn id="4" xr3:uid="{206AD143-6385-4FA9-9267-F0DCCBC989C6}" name="Phase I/II" dataDxfId="140" totalsRowDxfId="40"/>
    <tableColumn id="8" xr3:uid="{754323AA-7491-4448-9614-5F0EAE69642C}" name="Type" dataDxfId="139" totalsRowDxfId="39"/>
    <tableColumn id="3" xr3:uid="{950D4FEB-F503-4D58-934E-1FCB4B7D9B7D}" name="Activity" dataDxfId="138" totalsRowDxfId="38"/>
    <tableColumn id="14" xr3:uid="{C5D5E176-4B12-4260-9E51-33AA89C95F5C}" name="Notes" dataDxfId="137" totalsRowDxfId="37"/>
    <tableColumn id="15" xr3:uid="{2BE6879D-EA5B-449E-B214-8507065FC9F0}" name="Note Source" dataDxfId="136" totalsRowDxfId="36"/>
    <tableColumn id="10" xr3:uid="{6EFD8265-280D-4CB1-A023-2D72A1B68E54}" name="Category" dataDxfId="135" totalsRowDxfId="35"/>
    <tableColumn id="5" xr3:uid="{8F30E8A3-48AA-483E-8085-B20781E0575D}" name="Value" dataDxfId="134" totalsRowDxfId="34"/>
    <tableColumn id="6" xr3:uid="{7A5853FA-BCC7-4897-8EC3-229988577941}" name="Fiscal Year" dataDxfId="133" totalsRowDxfId="33"/>
    <tableColumn id="7" xr3:uid="{ED75A633-CE37-48B6-A372-ECF362267740}" name="Reference Year" dataDxfId="132" totalsRowDxfId="32"/>
    <tableColumn id="11" xr3:uid="{220B9537-17ED-4565-AB1D-AA5546612D65}" name="2018 $ Value" totalsRowFunction="custom" dataDxfId="131" totalsRowDxfId="31">
      <calculatedColumnFormula>K3*(1+VLOOKUP(M3,$AF$8:$AH$31,3,0))</calculatedColumnFormula>
      <totalsRowFormula>SUM(N3:N3208)</totalsRowFormula>
    </tableColumn>
    <tableColumn id="12" xr3:uid="{99917E35-A242-4271-B6B6-FD2B5330085A}" name="List Item" dataDxfId="130" totalsRowDxfId="3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1B3804C-14C5-475B-B990-72B2970D82A9}" name="Table613612" displayName="Table613612" ref="A2:O3211" totalsRowCount="1" headerRowDxfId="129" dataDxfId="128">
  <autoFilter ref="A2:O3210" xr:uid="{00000000-0009-0000-0100-000006000000}"/>
  <tableColumns count="15">
    <tableColumn id="1" xr3:uid="{9A05CEBB-3587-450D-B33A-2C78F07526DC}" name="Region" dataDxfId="127" totalsRowDxfId="29"/>
    <tableColumn id="2" xr3:uid="{4950C0BC-781A-49F2-A32C-4C6E39ED9940}" name="Jurisdiction" dataDxfId="126" totalsRowDxfId="28"/>
    <tableColumn id="9" xr3:uid="{E2B33AA5-F776-4161-A259-75A64F770940}" name="County" dataDxfId="125" totalsRowDxfId="27"/>
    <tableColumn id="13" xr3:uid="{1FBE09A0-F10D-4429-BE3B-864F1CFFCD0D}" name="Geo-Region" dataDxfId="124" totalsRowDxfId="26"/>
    <tableColumn id="4" xr3:uid="{D3DC722B-FAA5-4BD4-B56E-87B219393965}" name="Phase I/II" dataDxfId="123" totalsRowDxfId="25"/>
    <tableColumn id="8" xr3:uid="{A81EBC94-4AEA-48D3-B820-0D5658F75D20}" name="Type" dataDxfId="122" totalsRowDxfId="24"/>
    <tableColumn id="3" xr3:uid="{88225445-2298-47AA-9152-72B223855B7D}" name="Activity" dataDxfId="121" totalsRowDxfId="23"/>
    <tableColumn id="14" xr3:uid="{AEE55F82-7C58-41E7-9073-BC18EC22A42B}" name="Notes" dataDxfId="120" totalsRowDxfId="22"/>
    <tableColumn id="15" xr3:uid="{78A2FC05-58F4-4BC7-8C4A-CC24A584B0A5}" name="Note Source" dataDxfId="119" totalsRowDxfId="21"/>
    <tableColumn id="10" xr3:uid="{C674360C-0E0B-4FA9-8B08-CBCF4B8F8CB6}" name="Category" dataDxfId="118" totalsRowDxfId="20"/>
    <tableColumn id="5" xr3:uid="{BB054432-3750-4597-AF63-901328013611}" name="Value" dataDxfId="117" totalsRowDxfId="19"/>
    <tableColumn id="6" xr3:uid="{76DB4B38-2B43-46CB-A8B5-1F6DA7255A50}" name="Fiscal Year" dataDxfId="116" totalsRowDxfId="18"/>
    <tableColumn id="7" xr3:uid="{1F48E173-4917-42FA-87C0-684A1B01C744}" name="Reference Year" dataDxfId="115" totalsRowDxfId="17"/>
    <tableColumn id="11" xr3:uid="{DBFF4DD1-23C6-4CE5-9F03-9C6D140396FC}" name="2018 $ Value" totalsRowFunction="custom" dataDxfId="114" totalsRowDxfId="16">
      <calculatedColumnFormula>K3*(1+VLOOKUP(M3,$AF$8:$AH$31,3,0))</calculatedColumnFormula>
      <totalsRowFormula>SUM(N3:N3208)</totalsRowFormula>
    </tableColumn>
    <tableColumn id="12" xr3:uid="{F9B12085-F7F2-4074-A29E-3420AFF156FF}" name="List Item" dataDxfId="113" totalsRowDxfId="1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704568D-AF54-408C-B476-CAC945F5F8C9}" name="Budgets" displayName="Budgets" ref="A2:O604" totalsRowShown="0" headerRowDxfId="112" dataDxfId="111">
  <autoFilter ref="A2:O604" xr:uid="{EA8B45E2-45BA-4887-9806-C28193D305ED}"/>
  <sortState ref="A3:O604">
    <sortCondition ref="A2:A604"/>
  </sortState>
  <tableColumns count="15">
    <tableColumn id="1" xr3:uid="{97B7FB69-BFAF-4C7E-A0ED-016565762692}" name="Jurisdiction" dataDxfId="110"/>
    <tableColumn id="2" xr3:uid="{D8B006AB-C24F-4F5A-9888-C26A9D2602C6}" name="Type" dataDxfId="109">
      <calculatedColumnFormula>INDEX(Places[Type],MATCH(Budgets[[#This Row],[Jurisdiction]],Places[Jurisdiction],0))</calculatedColumnFormula>
    </tableColumn>
    <tableColumn id="6" xr3:uid="{F4932C53-7E81-40B8-836E-7FE678CE49D6}" name="County" dataDxfId="108">
      <calculatedColumnFormula>INDEX(Places[County],MATCH(Budgets[[#This Row],[Jurisdiction]],Places[Jurisdiction],0))</calculatedColumnFormula>
    </tableColumn>
    <tableColumn id="7" xr3:uid="{8116EDFE-5788-46D9-8C8A-CB198CCC80FA}" name="Regional Board" dataDxfId="107">
      <calculatedColumnFormula>INDEX(Places[Majority RB],MATCH(Budgets[[#This Row],[Jurisdiction]],Places[Jurisdiction],0))</calculatedColumnFormula>
    </tableColumn>
    <tableColumn id="8" xr3:uid="{89A1E836-2288-40B8-87AE-54809EF53D30}" name="Regional Board #" dataDxfId="106"/>
    <tableColumn id="17" xr3:uid="{F577B942-AD07-42D2-B8E5-A74F9551EC19}" name="Phase I/II" dataDxfId="105">
      <calculatedColumnFormula>VLOOKUP(Budgets[[#This Row],[Jurisdiction]],Places[#All],8,FALSE)</calculatedColumnFormula>
    </tableColumn>
    <tableColumn id="15" xr3:uid="{F1F3929D-DA97-4040-BE05-1D2729F31499}" name="Notes" dataDxfId="104"/>
    <tableColumn id="4" xr3:uid="{96AD7F4F-7F87-4B10-A6FA-B958E07FAD61}" name="Fiscal Year" dataDxfId="103"/>
    <tableColumn id="10" xr3:uid="{8712509B-7097-4F03-8265-1B15695274C6}" name="Reference Year" dataDxfId="102"/>
    <tableColumn id="3" xr3:uid="{99FC3915-A33A-4C0F-AE15-63B617B65DFE}" name="Value" dataDxfId="101"/>
    <tableColumn id="9" xr3:uid="{A0F01DA5-7CC5-4491-B04A-36103D68074C}" name="2018 $ Value" dataDxfId="100">
      <calculatedColumnFormula>IF(Budgets[[#This Row],[Reference Year]]&gt;2018,Budgets[[#This Row],[Value]],Budgets[[#This Row],[Value]]*(1+VLOOKUP(Budgets[[#This Row],[Reference Year]],Inflation[#All],3,FALSE)))</calculatedColumnFormula>
    </tableColumn>
    <tableColumn id="13" xr3:uid="{066CEDAC-B45E-4DF6-9168-46A5350108C1}" name="$ By Population" dataDxfId="99">
      <calculatedColumnFormula>Budgets[[#This Row],[2018 $ Value]]/VLOOKUP(Budgets[[#This Row],[Jurisdiction]],Places[],6,FALSE)</calculatedColumnFormula>
    </tableColumn>
    <tableColumn id="12" xr3:uid="{081391A5-500D-4DD5-B83F-E3CF3B39C63B}" name="$ By Square Mile" dataDxfId="98">
      <calculatedColumnFormula>Budgets[[#This Row],[2018 $ Value]]/VLOOKUP(Budgets[[#This Row],[Jurisdiction]],Places[],7,FALSE)</calculatedColumnFormula>
    </tableColumn>
    <tableColumn id="5" xr3:uid="{969FD5F2-853C-4064-8B9E-75933FE0A1D4}" name="Categorized Activities Data Available" dataDxfId="97"/>
    <tableColumn id="14" xr3:uid="{A90E07CC-E994-4497-A682-31FBE2ECBF6B}" name="Representative Year" dataDxfId="9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2D5C8E8-C683-4528-8671-522126FDE5C3}" name="Expenditures" displayName="Expenditures" ref="A2:O552" totalsRowShown="0" headerRowDxfId="95" dataDxfId="94">
  <autoFilter ref="A2:O552" xr:uid="{00000000-0009-0000-0100-000002000000}"/>
  <sortState ref="A3:O552">
    <sortCondition ref="A2:A552"/>
  </sortState>
  <tableColumns count="15">
    <tableColumn id="1" xr3:uid="{D800FD4A-6690-46BE-81DA-BAFD59F3C9EB}" name="Jurisdiction" dataDxfId="93"/>
    <tableColumn id="2" xr3:uid="{4D943A35-AE0A-4060-92D1-56E02CC83138}" name="Type" dataDxfId="92">
      <calculatedColumnFormula>INDEX(Places[Type],MATCH(Expenditures[[#This Row],[Jurisdiction]],Places[Jurisdiction],0))</calculatedColumnFormula>
    </tableColumn>
    <tableColumn id="9" xr3:uid="{95E6D7D3-F914-4E53-8E8D-7399946DD107}" name="County" dataDxfId="91">
      <calculatedColumnFormula>INDEX(Places[County],MATCH(Expenditures[[#This Row],[Jurisdiction]],Places[Jurisdiction],0))</calculatedColumnFormula>
    </tableColumn>
    <tableColumn id="10" xr3:uid="{2DD5002A-3E33-44B3-86E6-1985F4BEFFBA}" name="Regional Board" dataDxfId="90">
      <calculatedColumnFormula>INDEX(Places[Majority RB],MATCH(Expenditures[[#This Row],[Jurisdiction]],Places[Jurisdiction],0))</calculatedColumnFormula>
    </tableColumn>
    <tableColumn id="6" xr3:uid="{19E2E8B7-DF9F-4A92-A6D4-DAEDE9D205B9}" name="Regional Board #" dataDxfId="89">
      <calculatedColumnFormula>INDEX(Places[Majority RB '#],MATCH(Expenditures[[#This Row],[Jurisdiction]],Places[Jurisdiction],0))</calculatedColumnFormula>
    </tableColumn>
    <tableColumn id="16" xr3:uid="{0B7480E1-26F2-49A4-98A4-2C6BB766D645}" name="Phase I/II" dataDxfId="88">
      <calculatedColumnFormula>VLOOKUP(Expenditures[[#This Row],[Jurisdiction]],Places[#All],8,FALSE)</calculatedColumnFormula>
    </tableColumn>
    <tableColumn id="15" xr3:uid="{6675A273-725E-4F82-9ED0-318C2FB4D722}" name="Notes" dataDxfId="87"/>
    <tableColumn id="4" xr3:uid="{47EF790F-892D-43FA-A5E6-CEC7F91C0CF5}" name="Fiscal Year" dataDxfId="86"/>
    <tableColumn id="8" xr3:uid="{FC5A77AD-B36D-4BD1-9B0E-2BA684AE5A18}" name="Reference Year" dataDxfId="85">
      <calculatedColumnFormula>VALUE(LEFT(Expenditures[[#This Row],[Fiscal Year]],4))</calculatedColumnFormula>
    </tableColumn>
    <tableColumn id="3" xr3:uid="{2F3EDEFE-1036-46CF-841F-946BF7BA20E8}" name="Value" dataDxfId="84"/>
    <tableColumn id="7" xr3:uid="{BA9E1A35-A49C-4B86-8237-608AB7CB414C}" name="2018 $ Value" dataDxfId="83">
      <calculatedColumnFormula>IF(Expenditures[[#This Row],[Reference Year]]&gt;2018,Expenditures[[#This Row],[Value]],Expenditures[[#This Row],[Value]]*(1+VLOOKUP(Expenditures[[#This Row],[Reference Year]],Inflation[#All],3,FALSE)))</calculatedColumnFormula>
    </tableColumn>
    <tableColumn id="13" xr3:uid="{1F90353E-CACC-4810-8B04-B0304F260F4C}" name="$ By Population" dataDxfId="82" dataCellStyle="Currency">
      <calculatedColumnFormula>VALUE(Expenditures[[#This Row],[2018 $ Value]]/VLOOKUP(Expenditures[[#This Row],[Jurisdiction]],Places[],6,FALSE))</calculatedColumnFormula>
    </tableColumn>
    <tableColumn id="12" xr3:uid="{EDA4D354-1B54-4B87-8D57-2807A614AC89}" name="$ By Square Mile" dataDxfId="81" dataCellStyle="Currency">
      <calculatedColumnFormula>VALUE(Expenditures[[#This Row],[2018 $ Value]]/VLOOKUP(Expenditures[[#This Row],[Jurisdiction]],Places[],7,FALSE))</calculatedColumnFormula>
    </tableColumn>
    <tableColumn id="5" xr3:uid="{1383B5A5-329C-4787-9FA7-3513A365BFB3}" name="Categorized Activities Data Available" dataDxfId="80"/>
    <tableColumn id="14" xr3:uid="{5F0B43D7-36EA-45A6-AA3B-1141A2C1CA83}" name="Representative Year" dataDxfId="7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Activities" displayName="Activities" ref="A2:O1889" totalsRowCount="1" headerRowDxfId="78" dataDxfId="77" totalsRowDxfId="76">
  <autoFilter ref="A2:O1888" xr:uid="{00000000-0009-0000-0100-000006000000}"/>
  <sortState ref="A3:O1888">
    <sortCondition ref="A2:A1888"/>
  </sortState>
  <tableColumns count="15">
    <tableColumn id="2" xr3:uid="{00000000-0010-0000-0400-000002000000}" name="Jurisdiction" dataDxfId="75" totalsRowDxfId="14"/>
    <tableColumn id="8" xr3:uid="{00000000-0010-0000-0400-000008000000}" name="Type" dataDxfId="74" totalsRowDxfId="13">
      <calculatedColumnFormula>INDEX(Places[Type],MATCH(Activities[[#This Row],[Jurisdiction]],Places[Jurisdiction],0))</calculatedColumnFormula>
    </tableColumn>
    <tableColumn id="9" xr3:uid="{00000000-0010-0000-0400-000009000000}" name="County" dataDxfId="73" totalsRowDxfId="12">
      <calculatedColumnFormula>INDEX(Places[County],MATCH(Activities[[#This Row],[Jurisdiction]],Places[Jurisdiction],0))</calculatedColumnFormula>
    </tableColumn>
    <tableColumn id="21" xr3:uid="{E32D6BDD-BD40-42F8-803A-4035B5A280FF}" name="Regional Board" dataDxfId="72" totalsRowDxfId="11">
      <calculatedColumnFormula>INDEX(Places[Majority RB],MATCH(Activities[[#This Row],[Jurisdiction]],Places[Jurisdiction],0))</calculatedColumnFormula>
    </tableColumn>
    <tableColumn id="1" xr3:uid="{00000000-0010-0000-0400-000001000000}" name="Regional Board #" dataDxfId="71" totalsRowDxfId="10">
      <calculatedColumnFormula>INDEX(Places[Majority RB '#],MATCH(Activities[[#This Row],[Jurisdiction]],Places[Jurisdiction],0))</calculatedColumnFormula>
    </tableColumn>
    <tableColumn id="4" xr3:uid="{00000000-0010-0000-0400-000004000000}" name="Phase I/II" dataDxfId="70" totalsRowDxfId="9">
      <calculatedColumnFormula>VLOOKUP(Activities[[#This Row],[Jurisdiction]],Places[#All],8,FALSE)</calculatedColumnFormula>
    </tableColumn>
    <tableColumn id="3" xr3:uid="{00000000-0010-0000-0400-000003000000}" name="Activity" dataDxfId="69" totalsRowDxfId="8"/>
    <tableColumn id="14" xr3:uid="{F1D481C5-A781-4C99-B2CF-F35C08F6D46A}" name="Notes" dataDxfId="68" totalsRowDxfId="7"/>
    <tableColumn id="15" xr3:uid="{FAE71C08-365B-4B1E-BD83-AF195BF80735}" name="Note Source" dataDxfId="67" totalsRowDxfId="6"/>
    <tableColumn id="10" xr3:uid="{00000000-0010-0000-0400-00000A000000}" name="Category" dataDxfId="66" totalsRowDxfId="5"/>
    <tableColumn id="6" xr3:uid="{00000000-0010-0000-0400-000006000000}" name="Fiscal Year" dataDxfId="65" totalsRowDxfId="4"/>
    <tableColumn id="7" xr3:uid="{00000000-0010-0000-0400-000007000000}" name="Reference Year" dataDxfId="64" totalsRowDxfId="3"/>
    <tableColumn id="12" xr3:uid="{03458B8A-6CD8-400D-B746-17962DADB228}" name="Data Type" dataDxfId="63" totalsRowDxfId="2"/>
    <tableColumn id="5" xr3:uid="{00000000-0010-0000-0400-000005000000}" name="Value" dataDxfId="62" totalsRowDxfId="1"/>
    <tableColumn id="11" xr3:uid="{00000000-0010-0000-0400-00000B000000}" name="2018 $ Value" totalsRowFunction="custom" dataDxfId="61" totalsRowDxfId="0">
      <calculatedColumnFormula>IF(Activities[[#This Row],[Reference Year]]&gt;2018,Activities[[#This Row],[Value]],Activities[[#This Row],[Value]]*(1+VLOOKUP(Activities[[#This Row],[Reference Year]],Inflation[#All],3,FALSE)))</calculatedColumnFormula>
      <totalsRowFormula>SUM(O3:O1888)</totalsRow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CD798CD-FEE2-42E0-BCA8-2429BFD1CC1F}" name="Places" displayName="Places" ref="A2:H550" totalsRowShown="0" headerRowDxfId="52" tableBorderDxfId="51">
  <autoFilter ref="A2:H550" xr:uid="{722F2747-9C02-4796-9C68-87B2ECFA9A73}"/>
  <sortState ref="A3:H550">
    <sortCondition ref="C2:C550"/>
  </sortState>
  <tableColumns count="8">
    <tableColumn id="1" xr3:uid="{8AB3FC9E-60C4-44F7-9F57-6596AA0B2DA1}" name="Jurisdiction"/>
    <tableColumn id="4" xr3:uid="{DD82BDF2-7B68-412C-B4C1-6D0089450E69}" name="Type"/>
    <tableColumn id="2" xr3:uid="{90ABA364-CBC4-4FC5-8861-FC60C6BEBE88}" name="Majority RB">
      <calculatedColumnFormula>INDEX($F$2:$G$2,0,MATCH(MAX(F3:G3),F3:G3,0))</calculatedColumnFormula>
    </tableColumn>
    <tableColumn id="3" xr3:uid="{A66A2E5F-68CE-4452-BB95-996519B4658E}" name="Majority RB #">
      <calculatedColumnFormula>MATCH(MAX(F3:G3),F3:G3,0)</calculatedColumnFormula>
    </tableColumn>
    <tableColumn id="14" xr3:uid="{0B4CE38F-112C-4E69-AD6A-DCD69B3B544C}" name="County" dataDxfId="50">
      <calculatedColumnFormula>LEFT(Places[[#This Row],[Jurisdiction]],LEN(Places[[#This Row],[Jurisdiction]])-7)</calculatedColumnFormula>
    </tableColumn>
    <tableColumn id="5" xr3:uid="{1A73536E-B407-42D1-8A79-FA75161445A8}" name="Population" dataDxfId="49"/>
    <tableColumn id="6" xr3:uid="{FE4DF6D8-FEEB-4D94-A7D2-DB1A468E7A1A}" name="Area (sq-mi)" dataDxfId="48"/>
    <tableColumn id="7" xr3:uid="{702C14CF-0D05-4A59-8A76-C11ADC35A0F3}" name="Phase I/II" dataDxfId="4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AF916-3431-4E5D-88B0-B5AF066EC50E}" name="Inflation" displayName="Inflation" ref="A2:C25" totalsRowShown="0" headerRowBorderDxfId="46" tableBorderDxfId="45" headerRowCellStyle="Normal" dataCellStyle="Normal">
  <autoFilter ref="A2:C25" xr:uid="{246DD057-4849-4AA7-8A5B-7D729CEE5ECB}"/>
  <tableColumns count="3">
    <tableColumn id="1" xr3:uid="{AFEAA1D4-14E4-4E29-AAC8-A25C3C1B49DE}" name="Year" dataCellStyle="Normal"/>
    <tableColumn id="2" xr3:uid="{9EC00567-E1BB-4406-ABB3-F110C689EFE7}" name="Annual Average CPI" dataCellStyle="Normal"/>
    <tableColumn id="3" xr3:uid="{424A545D-5BD7-4C86-BD41-D26B80D4F6A8}" name="% Change" dataCellStyle="Normal">
      <calculatedColumnFormula>($B$3/B3)-1</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4DEE108-EE2C-448D-A792-DD9BC7F3F90E}" name="Table14" displayName="Table14" ref="A1:M78" totalsRowShown="0">
  <autoFilter ref="A1:M78" xr:uid="{A5F58C81-CCFE-4D8E-9A52-B240644C7DF7}"/>
  <tableColumns count="13">
    <tableColumn id="1" xr3:uid="{863D2A66-57E0-4266-B01B-49A468B15DA0}" name="Region"/>
    <tableColumn id="2" xr3:uid="{11F3A253-336C-4B36-A304-430EF22D35A9}" name="Name"/>
    <tableColumn id="3" xr3:uid="{8A09B9EA-C1F4-418E-9807-329D11EFB3B6}" name="Type"/>
    <tableColumn id="4" xr3:uid="{61AC8B1C-8A81-4170-91DF-6D05362FF78B}" name="County"/>
    <tableColumn id="5" xr3:uid="{7724ED42-4968-4EBC-B50C-8EC6F7A9B370}" name="Geo-Region"/>
    <tableColumn id="6" xr3:uid="{CA602FB6-F86C-4C0A-84B7-8EAECEBF6093}" name="Phase Type"/>
    <tableColumn id="7" xr3:uid="{C463432A-DD3E-4EE9-8F06-6B5369BE9427}" name="Value"/>
    <tableColumn id="8" xr3:uid="{8EEA44B8-CE21-47E3-BEC4-B5E4FE521B32}" name="Fiscal Year"/>
    <tableColumn id="9" xr3:uid="{F31615FF-90D0-40F3-A2F9-2BFAC0A6D2A6}" name="Reference Year"/>
    <tableColumn id="10" xr3:uid="{0291D239-8AE5-467F-9EEB-5860D34E90C2}" name="2018 $ Value"/>
    <tableColumn id="11" xr3:uid="{A7E6DBE1-2DF7-4541-BD3E-F7FAD68C54E8}" name="$ By Population"/>
    <tableColumn id="12" xr3:uid="{8EF3AAA2-D25C-4228-BB5B-B3F8E16B634E}" name="$ By Square Mile"/>
    <tableColumn id="13" xr3:uid="{BB0C1EE5-8F43-4D00-BAF8-28DEE9997F77}" name="Line Item"/>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Segoe UI">
    <a:majorFont>
      <a:latin typeface="Segoe UI Light"/>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Segoe UI">
    <a:majorFont>
      <a:latin typeface="Segoe UI Light"/>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Segoe UI">
    <a:majorFont>
      <a:latin typeface="Segoe UI Light"/>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Segoe UI">
    <a:majorFont>
      <a:latin typeface="Segoe UI Light"/>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6" Type="http://schemas.openxmlformats.org/officeDocument/2006/relationships/hyperlink" Target="https://www.waterboards.ca.gov/losangeles/water_issues/programs/stormwater/municipal/ventura_ms4/AdoptedVenturaCountyms4/Order.pdf" TargetMode="External"/><Relationship Id="rId21" Type="http://schemas.openxmlformats.org/officeDocument/2006/relationships/hyperlink" Target="https://www.waterboards.ca.gov/losangeles/water_issues/programs/stormwater/municipal/ventura_ms4/AdoptedVenturaCountyms4/Order.pdf" TargetMode="External"/><Relationship Id="rId42" Type="http://schemas.openxmlformats.org/officeDocument/2006/relationships/hyperlink" Target="https://waterresources.saccounty.net/Documents/June2007-SQIP-DRAFT.pdf" TargetMode="External"/><Relationship Id="rId47" Type="http://schemas.openxmlformats.org/officeDocument/2006/relationships/hyperlink" Target="https://www.waterboards.ca.gov/sandiego/board_info/agendas/2006/dec/item10/suppdoc2.pdf" TargetMode="External"/><Relationship Id="rId63" Type="http://schemas.openxmlformats.org/officeDocument/2006/relationships/hyperlink" Target="https://www.ci.oceanside.ca.us/civicax/filebank/blobdload.aspx?blobid=40196" TargetMode="External"/><Relationship Id="rId68" Type="http://schemas.openxmlformats.org/officeDocument/2006/relationships/hyperlink" Target="https://www.escondido.org/Data/Sites/1/media/pdfs/Utilities/StormWaterPermit.pdf" TargetMode="External"/><Relationship Id="rId2" Type="http://schemas.openxmlformats.org/officeDocument/2006/relationships/hyperlink" Target="https://www.waterboards.ca.gov/centralvalley/board_decisions/adopted_orders/general_orders/r5-2016-0040_ms4.pdf" TargetMode="External"/><Relationship Id="rId16" Type="http://schemas.openxmlformats.org/officeDocument/2006/relationships/hyperlink" Target="https://www.waterboards.ca.gov/santaana/board_decisions/adopted_orders/orders/2010/10_036_SBC_MS4_Permit_01_29_10.pdf" TargetMode="External"/><Relationship Id="rId29" Type="http://schemas.openxmlformats.org/officeDocument/2006/relationships/hyperlink" Target="https://www.waterboards.ca.gov/losangeles/water_issues/programs/stormwater/municipal/ventura_ms4/AdoptedVenturaCountyms4/Order.pdf" TargetMode="External"/><Relationship Id="rId11" Type="http://schemas.openxmlformats.org/officeDocument/2006/relationships/hyperlink" Target="http://rcflood.org/downloads/NPDES/Documents/SA_SM_DAMP/SAR_DAMP.pdf" TargetMode="External"/><Relationship Id="rId24" Type="http://schemas.openxmlformats.org/officeDocument/2006/relationships/hyperlink" Target="https://www.waterboards.ca.gov/losangeles/water_issues/programs/stormwater/municipal/ventura_ms4/AdoptedVenturaCountyms4/Order.pdf" TargetMode="External"/><Relationship Id="rId32" Type="http://schemas.openxmlformats.org/officeDocument/2006/relationships/hyperlink" Target="https://www.waterboards.ca.gov/losangeles/water_issues/programs/stormwater/municipal/ventura_ms4/AdoptedVenturaCountyms4/Order.pdf" TargetMode="External"/><Relationship Id="rId37" Type="http://schemas.openxmlformats.org/officeDocument/2006/relationships/hyperlink" Target="https://www.danapoint.org/Home/ShowDocument/23955" TargetMode="External"/><Relationship Id="rId40" Type="http://schemas.openxmlformats.org/officeDocument/2006/relationships/hyperlink" Target="https://www.waterboards.ca.gov/water_issues/programs/stormwater/docs/bakersfield_permit_5_01_130.pdf" TargetMode="External"/><Relationship Id="rId45" Type="http://schemas.openxmlformats.org/officeDocument/2006/relationships/hyperlink" Target="http://murrietaca.gov/Archive/ViewFile/Item/74" TargetMode="External"/><Relationship Id="rId53" Type="http://schemas.openxmlformats.org/officeDocument/2006/relationships/hyperlink" Target="https://www.waterboards.ca.gov/sandiego/water_issues/programs/stormwater/docs/2015-1118_AmendedOrder_R9-2013-0001_COMPLETE.pdf" TargetMode="External"/><Relationship Id="rId58" Type="http://schemas.openxmlformats.org/officeDocument/2006/relationships/hyperlink" Target="https://www.waterboards.ca.gov/sandiego/water_issues/programs/stormwater/docs/2015-1118_AmendedOrder_R9-2013-0001_COMPLETE.pdf" TargetMode="External"/><Relationship Id="rId66" Type="http://schemas.openxmlformats.org/officeDocument/2006/relationships/hyperlink" Target="https://www.waterboards.ca.gov/sandiego/water_issues/programs/stormwater/docs/updates101912/2012-1012_Tentative_Order_Clean.pdf" TargetMode="External"/><Relationship Id="rId5" Type="http://schemas.openxmlformats.org/officeDocument/2006/relationships/hyperlink" Target="https://www.beriverfriendly.net/docs/files/File/2009_SQIP/SQIP_Apx3_SacCo.pdf" TargetMode="External"/><Relationship Id="rId61" Type="http://schemas.openxmlformats.org/officeDocument/2006/relationships/hyperlink" Target="https://www.waterboards.ca.gov/sandiego/water_issues/programs/stormwater/docs/2015-1118_AmendedOrder_R9-2013-0001_COMPLETE.pdf" TargetMode="External"/><Relationship Id="rId19" Type="http://schemas.openxmlformats.org/officeDocument/2006/relationships/hyperlink" Target="https://www.waterboards.ca.gov/sandiego/water_issues/programs/stormwater/docs/2018_ROWD.pdf" TargetMode="External"/><Relationship Id="rId14" Type="http://schemas.openxmlformats.org/officeDocument/2006/relationships/hyperlink" Target="http://rcflood.org/downloads/NPDES/Documents/SA_Other/SantaAna_MS4Permit_R8-2010-0033.pdf" TargetMode="External"/><Relationship Id="rId22" Type="http://schemas.openxmlformats.org/officeDocument/2006/relationships/hyperlink" Target="https://www.waterboards.ca.gov/losangeles/water_issues/programs/stormwater/municipal/ventura_ms4/AdoptedVenturaCountyms4/Order.pdf" TargetMode="External"/><Relationship Id="rId27" Type="http://schemas.openxmlformats.org/officeDocument/2006/relationships/hyperlink" Target="https://www.waterboards.ca.gov/losangeles/water_issues/programs/stormwater/municipal/ventura_ms4/AdoptedVenturaCountyms4/Order.pdf" TargetMode="External"/><Relationship Id="rId30" Type="http://schemas.openxmlformats.org/officeDocument/2006/relationships/hyperlink" Target="https://www.waterboards.ca.gov/losangeles/water_issues/programs/stormwater/municipal/ventura_ms4/AdoptedVenturaCountyms4/Order.pdf" TargetMode="External"/><Relationship Id="rId35" Type="http://schemas.openxmlformats.org/officeDocument/2006/relationships/hyperlink" Target="https://www.waterboards.ca.gov/santaana/board_decisions/adopted_orders/orders/2010/10_033_RC_MS4_Permit_01_29_10.pdf" TargetMode="External"/><Relationship Id="rId43" Type="http://schemas.openxmlformats.org/officeDocument/2006/relationships/hyperlink" Target="https://waterresources.saccounty.net/Documents/June2007-SQIP-DRAFT.pdf" TargetMode="External"/><Relationship Id="rId48" Type="http://schemas.openxmlformats.org/officeDocument/2006/relationships/hyperlink" Target="https://www.waterboards.ca.gov/losangeles/water_issues/programs/stormwater/municipal/los_angeles_ms4/2016/OrderR4-2012-0175_corrected_120216.pdf" TargetMode="External"/><Relationship Id="rId56" Type="http://schemas.openxmlformats.org/officeDocument/2006/relationships/hyperlink" Target="https://www.waterboards.ca.gov/sandiego/water_issues/programs/stormwater/docs/2015-1118_AmendedOrder_R9-2013-0001_COMPLETE.pdf" TargetMode="External"/><Relationship Id="rId64" Type="http://schemas.openxmlformats.org/officeDocument/2006/relationships/hyperlink" Target="https://www.waterboards.ca.gov/sandiego/water_issues/programs/stormwater/docs/updates101912/2012-1012_Tentative_Order_Clean.pdf" TargetMode="External"/><Relationship Id="rId69" Type="http://schemas.openxmlformats.org/officeDocument/2006/relationships/hyperlink" Target="https://www.escondido.org/Data/Sites/1/media/pdfs/Utilities/StormWaterPermit.pdf" TargetMode="External"/><Relationship Id="rId8" Type="http://schemas.openxmlformats.org/officeDocument/2006/relationships/hyperlink" Target="http://www.stocktongov.com/files/sw_npdes_rowd.pdf" TargetMode="External"/><Relationship Id="rId51" Type="http://schemas.openxmlformats.org/officeDocument/2006/relationships/hyperlink" Target="https://www.portofsandiego.org/development-services-department" TargetMode="External"/><Relationship Id="rId72" Type="http://schemas.openxmlformats.org/officeDocument/2006/relationships/table" Target="../tables/table1.xml"/><Relationship Id="rId3" Type="http://schemas.openxmlformats.org/officeDocument/2006/relationships/hyperlink" Target="https://www.waterboards.ca.gov/centralvalley/board_decisions/adopted_orders/sacramento/r5-2010-0017_2009sqip.pdf" TargetMode="External"/><Relationship Id="rId12" Type="http://schemas.openxmlformats.org/officeDocument/2006/relationships/hyperlink" Target="http://rcflood.org/downloads/NPDES/Documents/SM_Indiv_SWMP/Murrieta%20SWMP%20Final.pdf" TargetMode="External"/><Relationship Id="rId17" Type="http://schemas.openxmlformats.org/officeDocument/2006/relationships/hyperlink" Target="https://www.waterboards.ca.gov/santaana/board_decisions/adopted_orders/orders/2010/10_036_SBC_MS4_Permit_01_29_10.pdf" TargetMode="External"/><Relationship Id="rId25" Type="http://schemas.openxmlformats.org/officeDocument/2006/relationships/hyperlink" Target="https://www.waterboards.ca.gov/losangeles/water_issues/programs/stormwater/municipal/ventura_ms4/AdoptedVenturaCountyms4/Order.pdf" TargetMode="External"/><Relationship Id="rId33" Type="http://schemas.openxmlformats.org/officeDocument/2006/relationships/hyperlink" Target="http://prg.ocpublicworks.com/DocmgmtInternet/Download.aspx?id=1496" TargetMode="External"/><Relationship Id="rId38" Type="http://schemas.openxmlformats.org/officeDocument/2006/relationships/hyperlink" Target="https://www.waterboards.ca.gov/water_issues/programs/stormwater/docs/bakersfield_permit_5_01_130.pdf" TargetMode="External"/><Relationship Id="rId46" Type="http://schemas.openxmlformats.org/officeDocument/2006/relationships/hyperlink" Target="https://www.waterboards.ca.gov/sandiego/water_issues/programs/stormwater/docs/wqip/2013-0001/D_Adoption_R9-2013-0001/D077.pdf" TargetMode="External"/><Relationship Id="rId59" Type="http://schemas.openxmlformats.org/officeDocument/2006/relationships/hyperlink" Target="https://www.waterboards.ca.gov/sandiego/water_issues/programs/stormwater/docs/2015-1118_AmendedOrder_R9-2013-0001_COMPLETE.pdf" TargetMode="External"/><Relationship Id="rId67" Type="http://schemas.openxmlformats.org/officeDocument/2006/relationships/hyperlink" Target="https://www.escondido.org/Data/Sites/1/media/pdfs/Utilities/StormWaterPermit.pdf" TargetMode="External"/><Relationship Id="rId20" Type="http://schemas.openxmlformats.org/officeDocument/2006/relationships/hyperlink" Target="https://www.waterboards.ca.gov/losangeles/water_issues/programs/stormwater/municipal/los_angeles_ms4/2016/6948_R4-2012-0175_WDR_PKG_amd2.pdf" TargetMode="External"/><Relationship Id="rId41" Type="http://schemas.openxmlformats.org/officeDocument/2006/relationships/hyperlink" Target="https://waterresources.saccounty.net/Documents/June2007-SQIP-DRAFT.pdf" TargetMode="External"/><Relationship Id="rId54" Type="http://schemas.openxmlformats.org/officeDocument/2006/relationships/hyperlink" Target="https://www.waterboards.ca.gov/sandiego/water_issues/programs/stormwater/docs/2015-1118_AmendedOrder_R9-2013-0001_COMPLETE.pdf" TargetMode="External"/><Relationship Id="rId62" Type="http://schemas.openxmlformats.org/officeDocument/2006/relationships/hyperlink" Target="https://www.waterboards.ca.gov/sandiego/water_issues/programs/stormwater/docs/2015-1118_AmendedOrder_R9-2013-0001_COMPLETE.pdf" TargetMode="External"/><Relationship Id="rId70" Type="http://schemas.openxmlformats.org/officeDocument/2006/relationships/printerSettings" Target="../printerSettings/printerSettings1.bin"/><Relationship Id="rId1" Type="http://schemas.openxmlformats.org/officeDocument/2006/relationships/hyperlink" Target="https://www.waterboards.ca.gov/centralvalley/board_decisions/adopted_orders/kern/r5-2013-0153-01.pdf" TargetMode="External"/><Relationship Id="rId6" Type="http://schemas.openxmlformats.org/officeDocument/2006/relationships/hyperlink" Target="http://www.stocktongov.com/files/SW-2016NPDES-R5-2016-0040.pdf" TargetMode="External"/><Relationship Id="rId15" Type="http://schemas.openxmlformats.org/officeDocument/2006/relationships/hyperlink" Target="http://rcflood.org/downloads/NPDES/Documents/SA_Other/SantaAna_MS4Permit_R8-2010-0033.pdf" TargetMode="External"/><Relationship Id="rId23" Type="http://schemas.openxmlformats.org/officeDocument/2006/relationships/hyperlink" Target="https://www.waterboards.ca.gov/losangeles/water_issues/programs/stormwater/municipal/ventura_ms4/AdoptedVenturaCountyms4/Order.pdf" TargetMode="External"/><Relationship Id="rId28" Type="http://schemas.openxmlformats.org/officeDocument/2006/relationships/hyperlink" Target="https://www.waterboards.ca.gov/losangeles/water_issues/programs/stormwater/municipal/ventura_ms4/AdoptedVenturaCountyms4/Order.pdf" TargetMode="External"/><Relationship Id="rId36" Type="http://schemas.openxmlformats.org/officeDocument/2006/relationships/hyperlink" Target="https://www.waterboards.ca.gov/losangeles/water_issues/programs/stormwater/municipal/watershed_management/dominguez_channel/DCWMG_EWMP_2-25-15.pdf" TargetMode="External"/><Relationship Id="rId49" Type="http://schemas.openxmlformats.org/officeDocument/2006/relationships/hyperlink" Target="https://www.waterboards.ca.gov/losangeles/water_issues/programs/stormwater/municipal/watershed_management/beach_cities/BMPImplementationPlancompressed2.pdf" TargetMode="External"/><Relationship Id="rId57" Type="http://schemas.openxmlformats.org/officeDocument/2006/relationships/hyperlink" Target="https://www.waterboards.ca.gov/sandiego/water_issues/programs/stormwater/docs/2015-1118_AmendedOrder_R9-2013-0001_COMPLETE.pdf" TargetMode="External"/><Relationship Id="rId10" Type="http://schemas.openxmlformats.org/officeDocument/2006/relationships/hyperlink" Target="http://rcflood.org/downloads/NPDES/Documents/SA_SM_DAMP/SAR_DAMP.pdf" TargetMode="External"/><Relationship Id="rId31" Type="http://schemas.openxmlformats.org/officeDocument/2006/relationships/hyperlink" Target="https://www.waterboards.ca.gov/losangeles/water_issues/programs/stormwater/municipal/ventura_ms4/AdoptedVenturaCountyms4/Order.pdf" TargetMode="External"/><Relationship Id="rId44" Type="http://schemas.openxmlformats.org/officeDocument/2006/relationships/hyperlink" Target="http://rcflood.org/downloads/NPDES/Documents/SM_JRMP/RetrofitStudyProgram.pdf" TargetMode="External"/><Relationship Id="rId52" Type="http://schemas.openxmlformats.org/officeDocument/2006/relationships/hyperlink" Target="https://www.portofsandiego.org/stormwater-management" TargetMode="External"/><Relationship Id="rId60" Type="http://schemas.openxmlformats.org/officeDocument/2006/relationships/hyperlink" Target="https://www.waterboards.ca.gov/sandiego/water_issues/programs/stormwater/docs/2015-1118_AmendedOrder_R9-2013-0001_COMPLETE.pdf" TargetMode="External"/><Relationship Id="rId65" Type="http://schemas.openxmlformats.org/officeDocument/2006/relationships/hyperlink" Target="https://www.waterboards.ca.gov/sandiego/water_issues/programs/stormwater/docs/updates101912/2012-1012_Tentative_Order_Clean.pdf" TargetMode="External"/><Relationship Id="rId73" Type="http://schemas.openxmlformats.org/officeDocument/2006/relationships/comments" Target="../comments1.xml"/><Relationship Id="rId4" Type="http://schemas.openxmlformats.org/officeDocument/2006/relationships/hyperlink" Target="https://www.beriverfriendly.net/docs/files/File/2009_SQIP/SQIP_Apx4_SacCity.pdf" TargetMode="External"/><Relationship Id="rId9" Type="http://schemas.openxmlformats.org/officeDocument/2006/relationships/hyperlink" Target="https://www.waterboards.ca.gov/santaana/board_decisions/adopted_orders/orders/2010/10_033_RC_MS4_Permit_01_29_10.pdf" TargetMode="External"/><Relationship Id="rId13" Type="http://schemas.openxmlformats.org/officeDocument/2006/relationships/hyperlink" Target="https://temeculaca.gov/DocumentCenter/View/903/City-of-Temecula-Jurisdictional-Runoff-Management-Plan-2018JRMPPDF?bidId=" TargetMode="External"/><Relationship Id="rId18" Type="http://schemas.openxmlformats.org/officeDocument/2006/relationships/hyperlink" Target="https://www.waterboards.ca.gov/sandiego/water_issues/programs/stormwater/docs/2018_ROWD.pdf" TargetMode="External"/><Relationship Id="rId39" Type="http://schemas.openxmlformats.org/officeDocument/2006/relationships/hyperlink" Target="https://www.waterboards.ca.gov/water_issues/programs/stormwater/docs/bakersfield_permit_5_01_130.pdf" TargetMode="External"/><Relationship Id="rId34" Type="http://schemas.openxmlformats.org/officeDocument/2006/relationships/hyperlink" Target="https://www.waterboards.ca.gov/centralvalley/water_issues/storm_water/municipal_permits/2015_bkrsfld_swmp.pdf" TargetMode="External"/><Relationship Id="rId50" Type="http://schemas.openxmlformats.org/officeDocument/2006/relationships/hyperlink" Target="http://www.lastormwater.org/wp-content/files_mf/bcewmpworkplan2014.pdf" TargetMode="External"/><Relationship Id="rId55" Type="http://schemas.openxmlformats.org/officeDocument/2006/relationships/hyperlink" Target="https://www.waterboards.ca.gov/sandiego/water_issues/programs/stormwater/docs/2015-1118_AmendedOrder_R9-2013-0001_COMPLETE.pdf" TargetMode="External"/><Relationship Id="rId7" Type="http://schemas.openxmlformats.org/officeDocument/2006/relationships/hyperlink" Target="https://www.waterboards.ca.gov/centralvalley/water_issues/storm_water/municipal_permits/2009_1008_sjco_swmp.pdf" TargetMode="External"/><Relationship Id="rId7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microsoft.com/office/2007/relationships/slicer" Target="../slicers/slicer1.xml"/><Relationship Id="rId5" Type="http://schemas.openxmlformats.org/officeDocument/2006/relationships/drawing" Target="../drawings/drawing4.xml"/><Relationship Id="rId4"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 Id="rId5" Type="http://schemas.openxmlformats.org/officeDocument/2006/relationships/drawing" Target="../drawings/drawing5.xml"/><Relationship Id="rId4"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12.bin"/><Relationship Id="rId1" Type="http://schemas.openxmlformats.org/officeDocument/2006/relationships/hyperlink" Target="https://www.california-demographics.com/cities_by_population" TargetMode="External"/></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waterboards.ca.gov/losangeles/water_issues/programs/stormwater/municipal/ventura_ms4/AdoptedVenturaCountyms4/Order.pdf" TargetMode="External"/><Relationship Id="rId21" Type="http://schemas.openxmlformats.org/officeDocument/2006/relationships/hyperlink" Target="https://www.waterboards.ca.gov/losangeles/water_issues/programs/stormwater/municipal/ventura_ms4/AdoptedVenturaCountyms4/Order.pdf" TargetMode="External"/><Relationship Id="rId42" Type="http://schemas.openxmlformats.org/officeDocument/2006/relationships/hyperlink" Target="https://waterresources.saccounty.net/Documents/June2007-SQIP-DRAFT.pdf" TargetMode="External"/><Relationship Id="rId47" Type="http://schemas.openxmlformats.org/officeDocument/2006/relationships/hyperlink" Target="https://www.waterboards.ca.gov/sandiego/board_info/agendas/2006/dec/item10/suppdoc2.pdf" TargetMode="External"/><Relationship Id="rId63" Type="http://schemas.openxmlformats.org/officeDocument/2006/relationships/hyperlink" Target="https://www.ci.oceanside.ca.us/civicax/filebank/blobdload.aspx?blobid=40196" TargetMode="External"/><Relationship Id="rId68" Type="http://schemas.openxmlformats.org/officeDocument/2006/relationships/hyperlink" Target="https://www.escondido.org/Data/Sites/1/media/pdfs/Utilities/StormWaterPermit.pdf" TargetMode="External"/><Relationship Id="rId2" Type="http://schemas.openxmlformats.org/officeDocument/2006/relationships/hyperlink" Target="https://www.waterboards.ca.gov/centralvalley/board_decisions/adopted_orders/general_orders/r5-2016-0040_ms4.pdf" TargetMode="External"/><Relationship Id="rId16" Type="http://schemas.openxmlformats.org/officeDocument/2006/relationships/hyperlink" Target="https://www.waterboards.ca.gov/santaana/board_decisions/adopted_orders/orders/2010/10_036_SBC_MS4_Permit_01_29_10.pdf" TargetMode="External"/><Relationship Id="rId29" Type="http://schemas.openxmlformats.org/officeDocument/2006/relationships/hyperlink" Target="https://www.waterboards.ca.gov/losangeles/water_issues/programs/stormwater/municipal/ventura_ms4/AdoptedVenturaCountyms4/Order.pdf" TargetMode="External"/><Relationship Id="rId11" Type="http://schemas.openxmlformats.org/officeDocument/2006/relationships/hyperlink" Target="http://rcflood.org/downloads/NPDES/Documents/SA_SM_DAMP/SAR_DAMP.pdf" TargetMode="External"/><Relationship Id="rId24" Type="http://schemas.openxmlformats.org/officeDocument/2006/relationships/hyperlink" Target="https://www.waterboards.ca.gov/losangeles/water_issues/programs/stormwater/municipal/ventura_ms4/AdoptedVenturaCountyms4/Order.pdf" TargetMode="External"/><Relationship Id="rId32" Type="http://schemas.openxmlformats.org/officeDocument/2006/relationships/hyperlink" Target="https://www.waterboards.ca.gov/losangeles/water_issues/programs/stormwater/municipal/ventura_ms4/AdoptedVenturaCountyms4/Order.pdf" TargetMode="External"/><Relationship Id="rId37" Type="http://schemas.openxmlformats.org/officeDocument/2006/relationships/hyperlink" Target="https://www.danapoint.org/Home/ShowDocument/23955" TargetMode="External"/><Relationship Id="rId40" Type="http://schemas.openxmlformats.org/officeDocument/2006/relationships/hyperlink" Target="https://www.waterboards.ca.gov/water_issues/programs/stormwater/docs/bakersfield_permit_5_01_130.pdf" TargetMode="External"/><Relationship Id="rId45" Type="http://schemas.openxmlformats.org/officeDocument/2006/relationships/hyperlink" Target="http://murrietaca.gov/Archive/ViewFile/Item/74" TargetMode="External"/><Relationship Id="rId53" Type="http://schemas.openxmlformats.org/officeDocument/2006/relationships/hyperlink" Target="https://www.waterboards.ca.gov/sandiego/water_issues/programs/stormwater/docs/2015-1118_AmendedOrder_R9-2013-0001_COMPLETE.pdf" TargetMode="External"/><Relationship Id="rId58" Type="http://schemas.openxmlformats.org/officeDocument/2006/relationships/hyperlink" Target="https://www.waterboards.ca.gov/sandiego/water_issues/programs/stormwater/docs/2015-1118_AmendedOrder_R9-2013-0001_COMPLETE.pdf" TargetMode="External"/><Relationship Id="rId66" Type="http://schemas.openxmlformats.org/officeDocument/2006/relationships/hyperlink" Target="https://www.waterboards.ca.gov/sandiego/water_issues/programs/stormwater/docs/updates101912/2012-1012_Tentative_Order_Clean.pdf" TargetMode="External"/><Relationship Id="rId5" Type="http://schemas.openxmlformats.org/officeDocument/2006/relationships/hyperlink" Target="https://www.beriverfriendly.net/docs/files/File/2009_SQIP/SQIP_Apx3_SacCo.pdf" TargetMode="External"/><Relationship Id="rId61" Type="http://schemas.openxmlformats.org/officeDocument/2006/relationships/hyperlink" Target="https://www.waterboards.ca.gov/sandiego/water_issues/programs/stormwater/docs/2015-1118_AmendedOrder_R9-2013-0001_COMPLETE.pdf" TargetMode="External"/><Relationship Id="rId19" Type="http://schemas.openxmlformats.org/officeDocument/2006/relationships/hyperlink" Target="https://www.waterboards.ca.gov/sandiego/water_issues/programs/stormwater/docs/2018_ROWD.pdf" TargetMode="External"/><Relationship Id="rId14" Type="http://schemas.openxmlformats.org/officeDocument/2006/relationships/hyperlink" Target="http://rcflood.org/downloads/NPDES/Documents/SA_Other/SantaAna_MS4Permit_R8-2010-0033.pdf" TargetMode="External"/><Relationship Id="rId22" Type="http://schemas.openxmlformats.org/officeDocument/2006/relationships/hyperlink" Target="https://www.waterboards.ca.gov/losangeles/water_issues/programs/stormwater/municipal/ventura_ms4/AdoptedVenturaCountyms4/Order.pdf" TargetMode="External"/><Relationship Id="rId27" Type="http://schemas.openxmlformats.org/officeDocument/2006/relationships/hyperlink" Target="https://www.waterboards.ca.gov/losangeles/water_issues/programs/stormwater/municipal/ventura_ms4/AdoptedVenturaCountyms4/Order.pdf" TargetMode="External"/><Relationship Id="rId30" Type="http://schemas.openxmlformats.org/officeDocument/2006/relationships/hyperlink" Target="https://www.waterboards.ca.gov/losangeles/water_issues/programs/stormwater/municipal/ventura_ms4/AdoptedVenturaCountyms4/Order.pdf" TargetMode="External"/><Relationship Id="rId35" Type="http://schemas.openxmlformats.org/officeDocument/2006/relationships/hyperlink" Target="https://www.waterboards.ca.gov/santaana/board_decisions/adopted_orders/orders/2010/10_033_RC_MS4_Permit_01_29_10.pdf" TargetMode="External"/><Relationship Id="rId43" Type="http://schemas.openxmlformats.org/officeDocument/2006/relationships/hyperlink" Target="https://waterresources.saccounty.net/Documents/June2007-SQIP-DRAFT.pdf" TargetMode="External"/><Relationship Id="rId48" Type="http://schemas.openxmlformats.org/officeDocument/2006/relationships/hyperlink" Target="https://www.waterboards.ca.gov/losangeles/water_issues/programs/stormwater/municipal/los_angeles_ms4/2016/OrderR4-2012-0175_corrected_120216.pdf" TargetMode="External"/><Relationship Id="rId56" Type="http://schemas.openxmlformats.org/officeDocument/2006/relationships/hyperlink" Target="https://www.waterboards.ca.gov/sandiego/water_issues/programs/stormwater/docs/2015-1118_AmendedOrder_R9-2013-0001_COMPLETE.pdf" TargetMode="External"/><Relationship Id="rId64" Type="http://schemas.openxmlformats.org/officeDocument/2006/relationships/hyperlink" Target="https://www.waterboards.ca.gov/sandiego/water_issues/programs/stormwater/docs/updates101912/2012-1012_Tentative_Order_Clean.pdf" TargetMode="External"/><Relationship Id="rId69" Type="http://schemas.openxmlformats.org/officeDocument/2006/relationships/hyperlink" Target="https://www.escondido.org/Data/Sites/1/media/pdfs/Utilities/StormWaterPermit.pdf" TargetMode="External"/><Relationship Id="rId8" Type="http://schemas.openxmlformats.org/officeDocument/2006/relationships/hyperlink" Target="http://www.stocktongov.com/files/sw_npdes_rowd.pdf" TargetMode="External"/><Relationship Id="rId51" Type="http://schemas.openxmlformats.org/officeDocument/2006/relationships/hyperlink" Target="https://www.portofsandiego.org/development-services-department" TargetMode="External"/><Relationship Id="rId72" Type="http://schemas.openxmlformats.org/officeDocument/2006/relationships/table" Target="../tables/table2.xml"/><Relationship Id="rId3" Type="http://schemas.openxmlformats.org/officeDocument/2006/relationships/hyperlink" Target="https://www.waterboards.ca.gov/centralvalley/board_decisions/adopted_orders/sacramento/r5-2010-0017_2009sqip.pdf" TargetMode="External"/><Relationship Id="rId12" Type="http://schemas.openxmlformats.org/officeDocument/2006/relationships/hyperlink" Target="http://rcflood.org/downloads/NPDES/Documents/SM_Indiv_SWMP/Murrieta%20SWMP%20Final.pdf" TargetMode="External"/><Relationship Id="rId17" Type="http://schemas.openxmlformats.org/officeDocument/2006/relationships/hyperlink" Target="https://www.waterboards.ca.gov/santaana/board_decisions/adopted_orders/orders/2010/10_036_SBC_MS4_Permit_01_29_10.pdf" TargetMode="External"/><Relationship Id="rId25" Type="http://schemas.openxmlformats.org/officeDocument/2006/relationships/hyperlink" Target="https://www.waterboards.ca.gov/losangeles/water_issues/programs/stormwater/municipal/ventura_ms4/AdoptedVenturaCountyms4/Order.pdf" TargetMode="External"/><Relationship Id="rId33" Type="http://schemas.openxmlformats.org/officeDocument/2006/relationships/hyperlink" Target="http://prg.ocpublicworks.com/DocmgmtInternet/Download.aspx?id=1496" TargetMode="External"/><Relationship Id="rId38" Type="http://schemas.openxmlformats.org/officeDocument/2006/relationships/hyperlink" Target="https://www.waterboards.ca.gov/water_issues/programs/stormwater/docs/bakersfield_permit_5_01_130.pdf" TargetMode="External"/><Relationship Id="rId46" Type="http://schemas.openxmlformats.org/officeDocument/2006/relationships/hyperlink" Target="https://www.waterboards.ca.gov/sandiego/water_issues/programs/stormwater/docs/wqip/2013-0001/D_Adoption_R9-2013-0001/D077.pdf" TargetMode="External"/><Relationship Id="rId59" Type="http://schemas.openxmlformats.org/officeDocument/2006/relationships/hyperlink" Target="https://www.waterboards.ca.gov/sandiego/water_issues/programs/stormwater/docs/2015-1118_AmendedOrder_R9-2013-0001_COMPLETE.pdf" TargetMode="External"/><Relationship Id="rId67" Type="http://schemas.openxmlformats.org/officeDocument/2006/relationships/hyperlink" Target="https://www.escondido.org/Data/Sites/1/media/pdfs/Utilities/StormWaterPermit.pdf" TargetMode="External"/><Relationship Id="rId20" Type="http://schemas.openxmlformats.org/officeDocument/2006/relationships/hyperlink" Target="https://www.waterboards.ca.gov/losangeles/water_issues/programs/stormwater/municipal/los_angeles_ms4/2016/6948_R4-2012-0175_WDR_PKG_amd2.pdf" TargetMode="External"/><Relationship Id="rId41" Type="http://schemas.openxmlformats.org/officeDocument/2006/relationships/hyperlink" Target="https://waterresources.saccounty.net/Documents/June2007-SQIP-DRAFT.pdf" TargetMode="External"/><Relationship Id="rId54" Type="http://schemas.openxmlformats.org/officeDocument/2006/relationships/hyperlink" Target="https://www.waterboards.ca.gov/sandiego/water_issues/programs/stormwater/docs/2015-1118_AmendedOrder_R9-2013-0001_COMPLETE.pdf" TargetMode="External"/><Relationship Id="rId62" Type="http://schemas.openxmlformats.org/officeDocument/2006/relationships/hyperlink" Target="https://www.waterboards.ca.gov/sandiego/water_issues/programs/stormwater/docs/2015-1118_AmendedOrder_R9-2013-0001_COMPLETE.pdf" TargetMode="External"/><Relationship Id="rId70" Type="http://schemas.openxmlformats.org/officeDocument/2006/relationships/printerSettings" Target="../printerSettings/printerSettings2.bin"/><Relationship Id="rId1" Type="http://schemas.openxmlformats.org/officeDocument/2006/relationships/hyperlink" Target="https://www.waterboards.ca.gov/centralvalley/board_decisions/adopted_orders/kern/r5-2013-0153-01.pdf" TargetMode="External"/><Relationship Id="rId6" Type="http://schemas.openxmlformats.org/officeDocument/2006/relationships/hyperlink" Target="http://www.stocktongov.com/files/SW-2016NPDES-R5-2016-0040.pdf" TargetMode="External"/><Relationship Id="rId15" Type="http://schemas.openxmlformats.org/officeDocument/2006/relationships/hyperlink" Target="http://rcflood.org/downloads/NPDES/Documents/SA_Other/SantaAna_MS4Permit_R8-2010-0033.pdf" TargetMode="External"/><Relationship Id="rId23" Type="http://schemas.openxmlformats.org/officeDocument/2006/relationships/hyperlink" Target="https://www.waterboards.ca.gov/losangeles/water_issues/programs/stormwater/municipal/ventura_ms4/AdoptedVenturaCountyms4/Order.pdf" TargetMode="External"/><Relationship Id="rId28" Type="http://schemas.openxmlformats.org/officeDocument/2006/relationships/hyperlink" Target="https://www.waterboards.ca.gov/losangeles/water_issues/programs/stormwater/municipal/ventura_ms4/AdoptedVenturaCountyms4/Order.pdf" TargetMode="External"/><Relationship Id="rId36" Type="http://schemas.openxmlformats.org/officeDocument/2006/relationships/hyperlink" Target="https://www.waterboards.ca.gov/losangeles/water_issues/programs/stormwater/municipal/watershed_management/dominguez_channel/DCWMG_EWMP_2-25-15.pdf" TargetMode="External"/><Relationship Id="rId49" Type="http://schemas.openxmlformats.org/officeDocument/2006/relationships/hyperlink" Target="https://www.waterboards.ca.gov/losangeles/water_issues/programs/stormwater/municipal/watershed_management/beach_cities/BMPImplementationPlancompressed2.pdf" TargetMode="External"/><Relationship Id="rId57" Type="http://schemas.openxmlformats.org/officeDocument/2006/relationships/hyperlink" Target="https://www.waterboards.ca.gov/sandiego/water_issues/programs/stormwater/docs/2015-1118_AmendedOrder_R9-2013-0001_COMPLETE.pdf" TargetMode="External"/><Relationship Id="rId10" Type="http://schemas.openxmlformats.org/officeDocument/2006/relationships/hyperlink" Target="http://rcflood.org/downloads/NPDES/Documents/SA_SM_DAMP/SAR_DAMP.pdf" TargetMode="External"/><Relationship Id="rId31" Type="http://schemas.openxmlformats.org/officeDocument/2006/relationships/hyperlink" Target="https://www.waterboards.ca.gov/losangeles/water_issues/programs/stormwater/municipal/ventura_ms4/AdoptedVenturaCountyms4/Order.pdf" TargetMode="External"/><Relationship Id="rId44" Type="http://schemas.openxmlformats.org/officeDocument/2006/relationships/hyperlink" Target="http://rcflood.org/downloads/NPDES/Documents/SM_JRMP/RetrofitStudyProgram.pdf" TargetMode="External"/><Relationship Id="rId52" Type="http://schemas.openxmlformats.org/officeDocument/2006/relationships/hyperlink" Target="https://www.portofsandiego.org/stormwater-management" TargetMode="External"/><Relationship Id="rId60" Type="http://schemas.openxmlformats.org/officeDocument/2006/relationships/hyperlink" Target="https://www.waterboards.ca.gov/sandiego/water_issues/programs/stormwater/docs/2015-1118_AmendedOrder_R9-2013-0001_COMPLETE.pdf" TargetMode="External"/><Relationship Id="rId65" Type="http://schemas.openxmlformats.org/officeDocument/2006/relationships/hyperlink" Target="https://www.waterboards.ca.gov/sandiego/water_issues/programs/stormwater/docs/updates101912/2012-1012_Tentative_Order_Clean.pdf" TargetMode="External"/><Relationship Id="rId73" Type="http://schemas.openxmlformats.org/officeDocument/2006/relationships/comments" Target="../comments2.xml"/><Relationship Id="rId4" Type="http://schemas.openxmlformats.org/officeDocument/2006/relationships/hyperlink" Target="https://www.beriverfriendly.net/docs/files/File/2009_SQIP/SQIP_Apx4_SacCity.pdf" TargetMode="External"/><Relationship Id="rId9" Type="http://schemas.openxmlformats.org/officeDocument/2006/relationships/hyperlink" Target="https://www.waterboards.ca.gov/santaana/board_decisions/adopted_orders/orders/2010/10_033_RC_MS4_Permit_01_29_10.pdf" TargetMode="External"/><Relationship Id="rId13" Type="http://schemas.openxmlformats.org/officeDocument/2006/relationships/hyperlink" Target="https://temeculaca.gov/DocumentCenter/View/903/City-of-Temecula-Jurisdictional-Runoff-Management-Plan-2018JRMPPDF?bidId=" TargetMode="External"/><Relationship Id="rId18" Type="http://schemas.openxmlformats.org/officeDocument/2006/relationships/hyperlink" Target="https://www.waterboards.ca.gov/sandiego/water_issues/programs/stormwater/docs/2018_ROWD.pdf" TargetMode="External"/><Relationship Id="rId39" Type="http://schemas.openxmlformats.org/officeDocument/2006/relationships/hyperlink" Target="https://www.waterboards.ca.gov/water_issues/programs/stormwater/docs/bakersfield_permit_5_01_130.pdf" TargetMode="External"/><Relationship Id="rId34" Type="http://schemas.openxmlformats.org/officeDocument/2006/relationships/hyperlink" Target="https://www.waterboards.ca.gov/centralvalley/water_issues/storm_water/municipal_permits/2015_bkrsfld_swmp.pdf" TargetMode="External"/><Relationship Id="rId50" Type="http://schemas.openxmlformats.org/officeDocument/2006/relationships/hyperlink" Target="http://www.lastormwater.org/wp-content/files_mf/bcewmpworkplan2014.pdf" TargetMode="External"/><Relationship Id="rId55" Type="http://schemas.openxmlformats.org/officeDocument/2006/relationships/hyperlink" Target="https://www.waterboards.ca.gov/sandiego/water_issues/programs/stormwater/docs/2015-1118_AmendedOrder_R9-2013-0001_COMPLETE.pdf" TargetMode="External"/><Relationship Id="rId7" Type="http://schemas.openxmlformats.org/officeDocument/2006/relationships/hyperlink" Target="https://www.waterboards.ca.gov/centralvalley/water_issues/storm_water/municipal_permits/2009_1008_sjco_swmp.pdf" TargetMode="External"/><Relationship Id="rId7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6" Type="http://schemas.openxmlformats.org/officeDocument/2006/relationships/hyperlink" Target="https://www.waterboards.ca.gov/losangeles/water_issues/programs/stormwater/municipal/ventura_ms4/AdoptedVenturaCountyms4/Order.pdf" TargetMode="External"/><Relationship Id="rId21" Type="http://schemas.openxmlformats.org/officeDocument/2006/relationships/hyperlink" Target="https://www.waterboards.ca.gov/losangeles/water_issues/programs/stormwater/municipal/ventura_ms4/AdoptedVenturaCountyms4/Order.pdf" TargetMode="External"/><Relationship Id="rId42" Type="http://schemas.openxmlformats.org/officeDocument/2006/relationships/hyperlink" Target="https://www.waterboards.ca.gov/losangeles/water_issues/programs/stormwater/municipal/los_angeles_ms4/2016/OrderR4-2012-0175_corrected_120216.pdf" TargetMode="External"/><Relationship Id="rId47" Type="http://schemas.openxmlformats.org/officeDocument/2006/relationships/hyperlink" Target="https://www.waterboards.ca.gov/sandiego/water_issues/programs/stormwater/docs/2015-1118_AmendedOrder_R9-2013-0001_COMPLETE.pdf" TargetMode="External"/><Relationship Id="rId63" Type="http://schemas.openxmlformats.org/officeDocument/2006/relationships/hyperlink" Target="http://www.lastormwater.org/wp-content/files_mf/bcewmpworkplan2014.pdf" TargetMode="External"/><Relationship Id="rId68" Type="http://schemas.openxmlformats.org/officeDocument/2006/relationships/hyperlink" Target="http://rcflood.org/downloads/NPDES/Documents/SM_Indiv_SWMP/Murrieta%20SWMP%20Final.pdf" TargetMode="External"/><Relationship Id="rId7" Type="http://schemas.openxmlformats.org/officeDocument/2006/relationships/hyperlink" Target="https://www.waterboards.ca.gov/centralvalley/water_issues/storm_water/municipal_permits/2009_1008_sjco_swmp.pdf" TargetMode="External"/><Relationship Id="rId2" Type="http://schemas.openxmlformats.org/officeDocument/2006/relationships/hyperlink" Target="https://www.waterboards.ca.gov/centralvalley/board_decisions/adopted_orders/general_orders/r5-2016-0040_ms4.pdf" TargetMode="External"/><Relationship Id="rId16" Type="http://schemas.openxmlformats.org/officeDocument/2006/relationships/hyperlink" Target="https://www.waterboards.ca.gov/sandiego/water_issues/programs/stormwater/docs/2018_ROWD.pdf" TargetMode="External"/><Relationship Id="rId29" Type="http://schemas.openxmlformats.org/officeDocument/2006/relationships/hyperlink" Target="http://prg.ocpublicworks.com/DocmgmtInternet/Download.aspx?id=1496" TargetMode="External"/><Relationship Id="rId11" Type="http://schemas.openxmlformats.org/officeDocument/2006/relationships/hyperlink" Target="http://rcflood.org/downloads/NPDES/Documents/SA_SM_DAMP/SAR_DAMP.pdf" TargetMode="External"/><Relationship Id="rId24" Type="http://schemas.openxmlformats.org/officeDocument/2006/relationships/hyperlink" Target="https://www.waterboards.ca.gov/losangeles/water_issues/programs/stormwater/municipal/ventura_ms4/AdoptedVenturaCountyms4/Order.pdf" TargetMode="External"/><Relationship Id="rId32" Type="http://schemas.openxmlformats.org/officeDocument/2006/relationships/hyperlink" Target="https://www.waterboards.ca.gov/water_issues/programs/stormwater/docs/bakersfield_permit_5_01_130.pdf" TargetMode="External"/><Relationship Id="rId37" Type="http://schemas.openxmlformats.org/officeDocument/2006/relationships/hyperlink" Target="https://waterresources.saccounty.net/Documents/June2007-SQIP-DRAFT.pdf" TargetMode="External"/><Relationship Id="rId40" Type="http://schemas.openxmlformats.org/officeDocument/2006/relationships/hyperlink" Target="https://www.waterboards.ca.gov/sandiego/water_issues/programs/stormwater/docs/wqip/2013-0001/D_Adoption_R9-2013-0001/D077.pdf" TargetMode="External"/><Relationship Id="rId45" Type="http://schemas.openxmlformats.org/officeDocument/2006/relationships/hyperlink" Target="https://www.waterboards.ca.gov/sandiego/water_issues/programs/stormwater/docs/2015-1118_AmendedOrder_R9-2013-0001_COMPLETE.pdf" TargetMode="External"/><Relationship Id="rId53" Type="http://schemas.openxmlformats.org/officeDocument/2006/relationships/hyperlink" Target="https://www.waterboards.ca.gov/sandiego/water_issues/programs/stormwater/docs/updates101912/2012-1012_Tentative_Order_Clean.pdf" TargetMode="External"/><Relationship Id="rId58" Type="http://schemas.openxmlformats.org/officeDocument/2006/relationships/hyperlink" Target="https://www.waterboards.ca.gov/sandiego/water_issues/programs/stormwater/docs/2015-1118_AmendedOrder_R9-2013-0001_COMPLETE.pdf" TargetMode="External"/><Relationship Id="rId66" Type="http://schemas.openxmlformats.org/officeDocument/2006/relationships/hyperlink" Target="https://www.waterboards.ca.gov/centralvalley/water_issues/storm_water/municipal_permits/2015_bkrsfld_swmp.pdf" TargetMode="External"/><Relationship Id="rId5" Type="http://schemas.openxmlformats.org/officeDocument/2006/relationships/hyperlink" Target="https://www.beriverfriendly.net/docs/files/File/2009_SQIP/SQIP_Apx3_SacCo.pdf" TargetMode="External"/><Relationship Id="rId61" Type="http://schemas.openxmlformats.org/officeDocument/2006/relationships/hyperlink" Target="https://www.waterboards.ca.gov/sandiego/water_issues/programs/stormwater/docs/2015-1118_AmendedOrder_R9-2013-0001_COMPLETE.pdf" TargetMode="External"/><Relationship Id="rId19" Type="http://schemas.openxmlformats.org/officeDocument/2006/relationships/hyperlink" Target="https://www.waterboards.ca.gov/losangeles/water_issues/programs/stormwater/municipal/ventura_ms4/AdoptedVenturaCountyms4/Order.pdf" TargetMode="External"/><Relationship Id="rId14" Type="http://schemas.openxmlformats.org/officeDocument/2006/relationships/hyperlink" Target="http://rcflood.org/downloads/NPDES/Documents/SA_Other/SantaAna_MS4Permit_R8-2010-0033.pdf" TargetMode="External"/><Relationship Id="rId22" Type="http://schemas.openxmlformats.org/officeDocument/2006/relationships/hyperlink" Target="https://www.waterboards.ca.gov/losangeles/water_issues/programs/stormwater/municipal/ventura_ms4/AdoptedVenturaCountyms4/Order.pdf" TargetMode="External"/><Relationship Id="rId27" Type="http://schemas.openxmlformats.org/officeDocument/2006/relationships/hyperlink" Target="https://www.waterboards.ca.gov/losangeles/water_issues/programs/stormwater/municipal/ventura_ms4/AdoptedVenturaCountyms4/Order.pdf" TargetMode="External"/><Relationship Id="rId30" Type="http://schemas.openxmlformats.org/officeDocument/2006/relationships/hyperlink" Target="https://www.waterboards.ca.gov/santaana/board_decisions/adopted_orders/orders/2010/10_033_RC_MS4_Permit_01_29_10.pdf" TargetMode="External"/><Relationship Id="rId35" Type="http://schemas.openxmlformats.org/officeDocument/2006/relationships/hyperlink" Target="https://waterresources.saccounty.net/Documents/June2007-SQIP-DRAFT.pdf" TargetMode="External"/><Relationship Id="rId43" Type="http://schemas.openxmlformats.org/officeDocument/2006/relationships/hyperlink" Target="https://www.portofsandiego.org/development-services-department" TargetMode="External"/><Relationship Id="rId48" Type="http://schemas.openxmlformats.org/officeDocument/2006/relationships/hyperlink" Target="https://www.waterboards.ca.gov/sandiego/water_issues/programs/stormwater/docs/2015-1118_AmendedOrder_R9-2013-0001_COMPLETE.pdf" TargetMode="External"/><Relationship Id="rId56" Type="http://schemas.openxmlformats.org/officeDocument/2006/relationships/hyperlink" Target="https://www.escondido.org/Data/Sites/1/media/pdfs/Utilities/StormWaterPermit.pdf" TargetMode="External"/><Relationship Id="rId64" Type="http://schemas.openxmlformats.org/officeDocument/2006/relationships/hyperlink" Target="https://www.waterboards.ca.gov/losangeles/water_issues/programs/stormwater/municipal/watershed_management/beach_cities/BMPImplementationPlancompressed2.pdf" TargetMode="External"/><Relationship Id="rId69" Type="http://schemas.openxmlformats.org/officeDocument/2006/relationships/printerSettings" Target="../printerSettings/printerSettings5.bin"/><Relationship Id="rId8" Type="http://schemas.openxmlformats.org/officeDocument/2006/relationships/hyperlink" Target="http://www.stocktongov.com/files/sw_npdes_rowd.pdf" TargetMode="External"/><Relationship Id="rId51" Type="http://schemas.openxmlformats.org/officeDocument/2006/relationships/hyperlink" Target="https://www.waterboards.ca.gov/sandiego/water_issues/programs/stormwater/docs/updates101912/2012-1012_Tentative_Order_Clean.pdf" TargetMode="External"/><Relationship Id="rId3" Type="http://schemas.openxmlformats.org/officeDocument/2006/relationships/hyperlink" Target="https://www.waterboards.ca.gov/centralvalley/board_decisions/adopted_orders/sacramento/r5-2010-0017_2009sqip.pdf" TargetMode="External"/><Relationship Id="rId12" Type="http://schemas.openxmlformats.org/officeDocument/2006/relationships/hyperlink" Target="https://temeculaca.gov/DocumentCenter/View/903/City-of-Temecula-Jurisdictional-Runoff-Management-Plan-2018JRMPPDF?bidId=" TargetMode="External"/><Relationship Id="rId17" Type="http://schemas.openxmlformats.org/officeDocument/2006/relationships/hyperlink" Target="https://www.waterboards.ca.gov/losangeles/water_issues/programs/stormwater/municipal/los_angeles_ms4/2016/6948_R4-2012-0175_WDR_PKG_amd2.pdf" TargetMode="External"/><Relationship Id="rId25" Type="http://schemas.openxmlformats.org/officeDocument/2006/relationships/hyperlink" Target="https://www.waterboards.ca.gov/losangeles/water_issues/programs/stormwater/municipal/ventura_ms4/AdoptedVenturaCountyms4/Order.pdf" TargetMode="External"/><Relationship Id="rId33" Type="http://schemas.openxmlformats.org/officeDocument/2006/relationships/hyperlink" Target="https://www.waterboards.ca.gov/water_issues/programs/stormwater/docs/bakersfield_permit_5_01_130.pdf" TargetMode="External"/><Relationship Id="rId38" Type="http://schemas.openxmlformats.org/officeDocument/2006/relationships/hyperlink" Target="http://rcflood.org/downloads/NPDES/Documents/SM_JRMP/RetrofitStudyProgram.pdf" TargetMode="External"/><Relationship Id="rId46" Type="http://schemas.openxmlformats.org/officeDocument/2006/relationships/hyperlink" Target="https://www.waterboards.ca.gov/sandiego/water_issues/programs/stormwater/docs/2015-1118_AmendedOrder_R9-2013-0001_COMPLETE.pdf" TargetMode="External"/><Relationship Id="rId59" Type="http://schemas.openxmlformats.org/officeDocument/2006/relationships/hyperlink" Target="https://www.waterboards.ca.gov/sandiego/water_issues/programs/stormwater/docs/2015-1118_AmendedOrder_R9-2013-0001_COMPLETE.pdf" TargetMode="External"/><Relationship Id="rId67" Type="http://schemas.openxmlformats.org/officeDocument/2006/relationships/hyperlink" Target="https://www.waterboards.ca.gov/losangeles/water_issues/programs/stormwater/municipal/ventura_ms4/AdoptedVenturaCountyms4/Order.pdf" TargetMode="External"/><Relationship Id="rId20" Type="http://schemas.openxmlformats.org/officeDocument/2006/relationships/hyperlink" Target="https://www.waterboards.ca.gov/losangeles/water_issues/programs/stormwater/municipal/ventura_ms4/AdoptedVenturaCountyms4/Order.pdf" TargetMode="External"/><Relationship Id="rId41" Type="http://schemas.openxmlformats.org/officeDocument/2006/relationships/hyperlink" Target="https://www.waterboards.ca.gov/sandiego/board_info/agendas/2006/dec/item10/suppdoc2.pdf" TargetMode="External"/><Relationship Id="rId54" Type="http://schemas.openxmlformats.org/officeDocument/2006/relationships/hyperlink" Target="https://www.escondido.org/Data/Sites/1/media/pdfs/Utilities/StormWaterPermit.pdf" TargetMode="External"/><Relationship Id="rId62" Type="http://schemas.openxmlformats.org/officeDocument/2006/relationships/hyperlink" Target="https://www.waterboards.ca.gov/sandiego/water_issues/programs/stormwater/docs/2015-1118_AmendedOrder_R9-2013-0001_COMPLETE.pdf" TargetMode="External"/><Relationship Id="rId70" Type="http://schemas.openxmlformats.org/officeDocument/2006/relationships/table" Target="../tables/table5.xml"/><Relationship Id="rId1" Type="http://schemas.openxmlformats.org/officeDocument/2006/relationships/hyperlink" Target="https://www.waterboards.ca.gov/centralvalley/board_decisions/adopted_orders/kern/r5-2013-0153-01.pdf" TargetMode="External"/><Relationship Id="rId6" Type="http://schemas.openxmlformats.org/officeDocument/2006/relationships/hyperlink" Target="http://www.stocktongov.com/files/SW-2016NPDES-R5-2016-0040.pdf" TargetMode="External"/><Relationship Id="rId15" Type="http://schemas.openxmlformats.org/officeDocument/2006/relationships/hyperlink" Target="https://www.waterboards.ca.gov/sandiego/water_issues/programs/stormwater/docs/2018_ROWD.pdf" TargetMode="External"/><Relationship Id="rId23" Type="http://schemas.openxmlformats.org/officeDocument/2006/relationships/hyperlink" Target="https://www.waterboards.ca.gov/losangeles/water_issues/programs/stormwater/municipal/ventura_ms4/AdoptedVenturaCountyms4/Order.pdf" TargetMode="External"/><Relationship Id="rId28" Type="http://schemas.openxmlformats.org/officeDocument/2006/relationships/hyperlink" Target="https://www.waterboards.ca.gov/losangeles/water_issues/programs/stormwater/municipal/ventura_ms4/AdoptedVenturaCountyms4/Order.pdf" TargetMode="External"/><Relationship Id="rId36" Type="http://schemas.openxmlformats.org/officeDocument/2006/relationships/hyperlink" Target="https://waterresources.saccounty.net/Documents/June2007-SQIP-DRAFT.pdf" TargetMode="External"/><Relationship Id="rId49" Type="http://schemas.openxmlformats.org/officeDocument/2006/relationships/hyperlink" Target="https://www.waterboards.ca.gov/sandiego/water_issues/programs/stormwater/docs/2015-1118_AmendedOrder_R9-2013-0001_COMPLETE.pdf" TargetMode="External"/><Relationship Id="rId57" Type="http://schemas.openxmlformats.org/officeDocument/2006/relationships/hyperlink" Target="https://www.escondido.org/Data/Sites/1/media/pdfs/Utilities/StormWaterPermit.pdf" TargetMode="External"/><Relationship Id="rId10" Type="http://schemas.openxmlformats.org/officeDocument/2006/relationships/hyperlink" Target="http://rcflood.org/downloads/NPDES/Documents/SA_SM_DAMP/SAR_DAMP.pdf" TargetMode="External"/><Relationship Id="rId31" Type="http://schemas.openxmlformats.org/officeDocument/2006/relationships/hyperlink" Target="https://www.danapoint.org/Home/ShowDocument/23955" TargetMode="External"/><Relationship Id="rId44" Type="http://schemas.openxmlformats.org/officeDocument/2006/relationships/hyperlink" Target="https://www.portofsandiego.org/stormwater-management" TargetMode="External"/><Relationship Id="rId52" Type="http://schemas.openxmlformats.org/officeDocument/2006/relationships/hyperlink" Target="https://www.waterboards.ca.gov/sandiego/water_issues/programs/stormwater/docs/updates101912/2012-1012_Tentative_Order_Clean.pdf" TargetMode="External"/><Relationship Id="rId60" Type="http://schemas.openxmlformats.org/officeDocument/2006/relationships/hyperlink" Target="https://www.waterboards.ca.gov/sandiego/water_issues/programs/stormwater/docs/2015-1118_AmendedOrder_R9-2013-0001_COMPLETE.pdf" TargetMode="External"/><Relationship Id="rId65" Type="http://schemas.openxmlformats.org/officeDocument/2006/relationships/hyperlink" Target="https://www.waterboards.ca.gov/losangeles/water_issues/programs/stormwater/municipal/watershed_management/dominguez_channel/DCWMG_EWMP_2-25-15.pdf" TargetMode="External"/><Relationship Id="rId4" Type="http://schemas.openxmlformats.org/officeDocument/2006/relationships/hyperlink" Target="https://www.beriverfriendly.net/docs/files/File/2009_SQIP/SQIP_Apx4_SacCity.pdf" TargetMode="External"/><Relationship Id="rId9" Type="http://schemas.openxmlformats.org/officeDocument/2006/relationships/hyperlink" Target="https://www.waterboards.ca.gov/santaana/board_decisions/adopted_orders/orders/2010/10_033_RC_MS4_Permit_01_29_10.pdf" TargetMode="External"/><Relationship Id="rId13" Type="http://schemas.openxmlformats.org/officeDocument/2006/relationships/hyperlink" Target="http://rcflood.org/downloads/NPDES/Documents/SA_Other/SantaAna_MS4Permit_R8-2010-0033.pdf" TargetMode="External"/><Relationship Id="rId18" Type="http://schemas.openxmlformats.org/officeDocument/2006/relationships/hyperlink" Target="https://www.waterboards.ca.gov/losangeles/water_issues/programs/stormwater/municipal/ventura_ms4/AdoptedVenturaCountyms4/Order.pdf" TargetMode="External"/><Relationship Id="rId39" Type="http://schemas.openxmlformats.org/officeDocument/2006/relationships/hyperlink" Target="http://murrietaca.gov/Archive/ViewFile/Item/74" TargetMode="External"/><Relationship Id="rId34" Type="http://schemas.openxmlformats.org/officeDocument/2006/relationships/hyperlink" Target="https://www.waterboards.ca.gov/water_issues/programs/stormwater/docs/bakersfield_permit_5_01_130.pdf" TargetMode="External"/><Relationship Id="rId50" Type="http://schemas.openxmlformats.org/officeDocument/2006/relationships/hyperlink" Target="https://www.ci.oceanside.ca.us/civicax/filebank/blobdload.aspx?blobid=40196" TargetMode="External"/><Relationship Id="rId55" Type="http://schemas.openxmlformats.org/officeDocument/2006/relationships/hyperlink" Target="http://prg.ocpublicworks.com/DocmgmtInternet/Download.aspx?id=1496"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7.xml"/><Relationship Id="rId7"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5" Type="http://schemas.openxmlformats.org/officeDocument/2006/relationships/pivotTable" Target="../pivotTables/pivotTable9.xml"/><Relationship Id="rId4"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EF9B7-9DE9-4D67-AC5A-02DE931C1525}">
  <sheetPr codeName="Sheet4">
    <tabColor theme="5" tint="-0.499984740745262"/>
  </sheetPr>
  <dimension ref="A1:AH3246"/>
  <sheetViews>
    <sheetView workbookViewId="0">
      <selection sqref="A1:O1"/>
    </sheetView>
  </sheetViews>
  <sheetFormatPr defaultRowHeight="15" x14ac:dyDescent="0.25"/>
  <cols>
    <col min="1" max="1" width="18.85546875" style="3" bestFit="1" customWidth="1"/>
    <col min="2" max="2" width="34" style="3" customWidth="1"/>
    <col min="3" max="3" width="18.85546875" style="3" bestFit="1" customWidth="1"/>
    <col min="4" max="4" width="24.5703125" style="3" bestFit="1" customWidth="1"/>
    <col min="5" max="5" width="21.42578125" style="3" bestFit="1" customWidth="1"/>
    <col min="6" max="6" width="10.85546875" style="3" customWidth="1"/>
    <col min="7" max="7" width="90" style="3" customWidth="1"/>
    <col min="8" max="8" width="26" style="3" customWidth="1"/>
    <col min="9" max="9" width="25.5703125" style="3" customWidth="1"/>
    <col min="10" max="10" width="41.85546875" style="3" customWidth="1"/>
    <col min="11" max="11" width="19.140625" style="38" customWidth="1"/>
    <col min="12" max="12" width="19.42578125" style="3" customWidth="1"/>
    <col min="13" max="13" width="24.5703125" style="11" customWidth="1"/>
    <col min="14" max="14" width="21.7109375" style="42" customWidth="1"/>
    <col min="15" max="15" width="16.42578125" style="3" customWidth="1"/>
    <col min="16" max="16" width="13.140625" bestFit="1" customWidth="1"/>
    <col min="17" max="18" width="12.140625" bestFit="1" customWidth="1"/>
    <col min="28" max="28" width="26.85546875" customWidth="1"/>
    <col min="31" max="31" width="21" customWidth="1"/>
    <col min="32" max="32" width="11.7109375" bestFit="1" customWidth="1"/>
    <col min="33" max="33" width="20.42578125" bestFit="1" customWidth="1"/>
    <col min="34" max="34" width="14.85546875" bestFit="1" customWidth="1"/>
  </cols>
  <sheetData>
    <row r="1" spans="1:34" ht="21" x14ac:dyDescent="0.25">
      <c r="A1" s="237" t="s">
        <v>35</v>
      </c>
      <c r="B1" s="237"/>
      <c r="C1" s="237"/>
      <c r="D1" s="237"/>
      <c r="E1" s="237"/>
      <c r="F1" s="237"/>
      <c r="G1" s="237"/>
      <c r="H1" s="237"/>
      <c r="I1" s="237"/>
      <c r="J1" s="237"/>
      <c r="K1" s="237"/>
      <c r="L1" s="237"/>
      <c r="M1" s="237"/>
      <c r="N1" s="237"/>
      <c r="O1" s="237"/>
    </row>
    <row r="2" spans="1:34" x14ac:dyDescent="0.25">
      <c r="A2" s="3" t="s">
        <v>31</v>
      </c>
      <c r="B2" s="3" t="s">
        <v>36</v>
      </c>
      <c r="C2" s="3" t="s">
        <v>5</v>
      </c>
      <c r="D2" s="3" t="s">
        <v>441</v>
      </c>
      <c r="E2" s="3" t="s">
        <v>142</v>
      </c>
      <c r="F2" s="3" t="s">
        <v>1</v>
      </c>
      <c r="G2" s="3" t="s">
        <v>37</v>
      </c>
      <c r="H2" s="3" t="s">
        <v>456</v>
      </c>
      <c r="I2" s="3" t="s">
        <v>457</v>
      </c>
      <c r="J2" s="3" t="s">
        <v>103</v>
      </c>
      <c r="K2" s="37" t="s">
        <v>2</v>
      </c>
      <c r="L2" s="23" t="s">
        <v>114</v>
      </c>
      <c r="M2" s="26" t="s">
        <v>115</v>
      </c>
      <c r="N2" s="37" t="s">
        <v>440</v>
      </c>
      <c r="O2" s="3" t="s">
        <v>34</v>
      </c>
    </row>
    <row r="3" spans="1:34" x14ac:dyDescent="0.25">
      <c r="A3" s="3">
        <v>1</v>
      </c>
      <c r="B3" s="3" t="s">
        <v>4</v>
      </c>
      <c r="C3" s="1" t="s">
        <v>4</v>
      </c>
      <c r="D3" s="1" t="s">
        <v>442</v>
      </c>
      <c r="E3" s="3" t="s">
        <v>143</v>
      </c>
      <c r="F3" s="3" t="s">
        <v>5</v>
      </c>
      <c r="G3" s="48" t="s">
        <v>38</v>
      </c>
      <c r="H3" s="8"/>
      <c r="I3" s="9"/>
      <c r="J3" s="6" t="s">
        <v>110</v>
      </c>
      <c r="K3" s="38">
        <v>153193</v>
      </c>
      <c r="L3" s="11" t="s">
        <v>23</v>
      </c>
      <c r="M3" s="11">
        <f>_xlfn.NUMBERVALUE(LEFT(Table613[[#This Row],[Fiscal Year]], 4))</f>
        <v>2013</v>
      </c>
      <c r="N3" s="42">
        <f>K3*(1+VLOOKUP(M3,$AF$8:$AH$31,3,0))</f>
        <v>165442.52267381974</v>
      </c>
      <c r="O3" s="3">
        <v>1</v>
      </c>
      <c r="R3" t="s">
        <v>104</v>
      </c>
    </row>
    <row r="4" spans="1:34" x14ac:dyDescent="0.25">
      <c r="A4" s="3">
        <v>1</v>
      </c>
      <c r="B4" s="3" t="s">
        <v>4</v>
      </c>
      <c r="C4" s="1" t="s">
        <v>4</v>
      </c>
      <c r="D4" s="1" t="s">
        <v>442</v>
      </c>
      <c r="E4" s="3" t="s">
        <v>143</v>
      </c>
      <c r="F4" s="3" t="s">
        <v>5</v>
      </c>
      <c r="G4" s="48" t="s">
        <v>39</v>
      </c>
      <c r="H4" s="8"/>
      <c r="I4" s="8"/>
      <c r="J4" s="6" t="s">
        <v>107</v>
      </c>
      <c r="K4" s="38">
        <v>36000</v>
      </c>
      <c r="L4" s="11" t="s">
        <v>23</v>
      </c>
      <c r="M4" s="11">
        <f>_xlfn.NUMBERVALUE(LEFT(Table613[[#This Row],[Fiscal Year]], 4))</f>
        <v>2013</v>
      </c>
      <c r="N4" s="42">
        <f t="shared" ref="N4:N17" si="0">K4*(1+VLOOKUP(M4,$AF$8:$AH$31,3,0))</f>
        <v>38878.609442060086</v>
      </c>
      <c r="O4" s="3">
        <v>2</v>
      </c>
      <c r="R4" s="7">
        <v>1</v>
      </c>
      <c r="S4" t="s">
        <v>76</v>
      </c>
      <c r="AB4" t="s">
        <v>448</v>
      </c>
    </row>
    <row r="5" spans="1:34" x14ac:dyDescent="0.25">
      <c r="A5" s="3">
        <v>1</v>
      </c>
      <c r="B5" s="3" t="s">
        <v>4</v>
      </c>
      <c r="C5" s="1" t="s">
        <v>4</v>
      </c>
      <c r="D5" s="1" t="s">
        <v>442</v>
      </c>
      <c r="E5" s="3" t="s">
        <v>143</v>
      </c>
      <c r="F5" s="3" t="s">
        <v>5</v>
      </c>
      <c r="G5" s="48" t="s">
        <v>40</v>
      </c>
      <c r="H5" s="8"/>
      <c r="I5" s="8"/>
      <c r="J5" s="6" t="s">
        <v>109</v>
      </c>
      <c r="K5" s="38">
        <v>42538</v>
      </c>
      <c r="L5" s="11" t="s">
        <v>23</v>
      </c>
      <c r="M5" s="11">
        <f>_xlfn.NUMBERVALUE(LEFT(Table613[[#This Row],[Fiscal Year]], 4))</f>
        <v>2013</v>
      </c>
      <c r="N5" s="42">
        <f t="shared" si="0"/>
        <v>45939.396901287553</v>
      </c>
      <c r="O5" s="3">
        <v>3</v>
      </c>
      <c r="R5" s="7">
        <v>2</v>
      </c>
      <c r="S5" t="s">
        <v>107</v>
      </c>
    </row>
    <row r="6" spans="1:34" ht="15.75" thickBot="1" x14ac:dyDescent="0.3">
      <c r="A6" s="3">
        <v>1</v>
      </c>
      <c r="B6" s="3" t="s">
        <v>4</v>
      </c>
      <c r="C6" s="1" t="s">
        <v>4</v>
      </c>
      <c r="D6" s="1" t="s">
        <v>442</v>
      </c>
      <c r="E6" s="3" t="s">
        <v>143</v>
      </c>
      <c r="F6" s="3" t="s">
        <v>5</v>
      </c>
      <c r="G6" s="48" t="s">
        <v>127</v>
      </c>
      <c r="H6" s="8"/>
      <c r="I6" s="8"/>
      <c r="J6" s="6" t="s">
        <v>108</v>
      </c>
      <c r="K6" s="38">
        <v>458457</v>
      </c>
      <c r="L6" s="11" t="s">
        <v>23</v>
      </c>
      <c r="M6" s="11">
        <f>_xlfn.NUMBERVALUE(LEFT(Table613[[#This Row],[Fiscal Year]], 4))</f>
        <v>2013</v>
      </c>
      <c r="N6" s="42">
        <f t="shared" si="0"/>
        <v>495115.85136051505</v>
      </c>
      <c r="O6" s="3">
        <v>4</v>
      </c>
      <c r="R6" s="7">
        <v>3</v>
      </c>
      <c r="S6" t="s">
        <v>106</v>
      </c>
    </row>
    <row r="7" spans="1:34" ht="16.5" thickBot="1" x14ac:dyDescent="0.3">
      <c r="A7" s="3">
        <v>1</v>
      </c>
      <c r="B7" s="3" t="s">
        <v>4</v>
      </c>
      <c r="C7" s="1" t="s">
        <v>4</v>
      </c>
      <c r="D7" s="1" t="s">
        <v>442</v>
      </c>
      <c r="E7" s="3" t="s">
        <v>143</v>
      </c>
      <c r="F7" s="3" t="s">
        <v>5</v>
      </c>
      <c r="G7" s="66" t="s">
        <v>41</v>
      </c>
      <c r="H7" s="8"/>
      <c r="I7" s="8"/>
      <c r="J7" s="6" t="s">
        <v>106</v>
      </c>
      <c r="K7" s="38">
        <v>37846</v>
      </c>
      <c r="L7" s="11" t="s">
        <v>23</v>
      </c>
      <c r="M7" s="11">
        <f>_xlfn.NUMBERVALUE(LEFT(Table613[[#This Row],[Fiscal Year]], 4))</f>
        <v>2013</v>
      </c>
      <c r="N7" s="42">
        <f t="shared" si="0"/>
        <v>40872.218137339056</v>
      </c>
      <c r="O7" s="3">
        <v>5</v>
      </c>
      <c r="R7" s="7">
        <v>4</v>
      </c>
      <c r="S7" t="s">
        <v>109</v>
      </c>
      <c r="AF7" s="238" t="s">
        <v>117</v>
      </c>
      <c r="AG7" s="239"/>
      <c r="AH7" s="240"/>
    </row>
    <row r="8" spans="1:34" ht="16.5" thickBot="1" x14ac:dyDescent="0.3">
      <c r="A8" s="3">
        <v>1</v>
      </c>
      <c r="B8" s="3" t="s">
        <v>4</v>
      </c>
      <c r="C8" s="1" t="s">
        <v>4</v>
      </c>
      <c r="D8" s="1" t="s">
        <v>442</v>
      </c>
      <c r="E8" s="3" t="s">
        <v>143</v>
      </c>
      <c r="F8" s="3" t="s">
        <v>5</v>
      </c>
      <c r="G8" s="66" t="s">
        <v>42</v>
      </c>
      <c r="H8" s="8"/>
      <c r="I8" s="8"/>
      <c r="J8" s="6" t="s">
        <v>42</v>
      </c>
      <c r="K8" s="38">
        <v>32915</v>
      </c>
      <c r="L8" s="11" t="s">
        <v>23</v>
      </c>
      <c r="M8" s="11">
        <f>_xlfn.NUMBERVALUE(LEFT(Table613[[#This Row],[Fiscal Year]], 4))</f>
        <v>2013</v>
      </c>
      <c r="N8" s="42">
        <f t="shared" si="0"/>
        <v>35546.928605150213</v>
      </c>
      <c r="O8" s="3">
        <v>6</v>
      </c>
      <c r="R8" s="7">
        <v>5</v>
      </c>
      <c r="S8" s="12" t="s">
        <v>110</v>
      </c>
      <c r="T8" s="12"/>
      <c r="U8" s="12"/>
      <c r="V8" s="12"/>
      <c r="W8" s="12"/>
      <c r="X8" s="12"/>
      <c r="Y8" s="12"/>
      <c r="Z8" s="12"/>
      <c r="AB8" t="s">
        <v>450</v>
      </c>
      <c r="AF8" s="15" t="s">
        <v>3</v>
      </c>
      <c r="AG8" s="16" t="s">
        <v>118</v>
      </c>
      <c r="AH8" s="17" t="s">
        <v>119</v>
      </c>
    </row>
    <row r="9" spans="1:34" ht="15.75" thickBot="1" x14ac:dyDescent="0.3">
      <c r="A9" s="3">
        <v>1</v>
      </c>
      <c r="B9" s="3" t="s">
        <v>4</v>
      </c>
      <c r="C9" s="1" t="s">
        <v>4</v>
      </c>
      <c r="D9" s="1" t="s">
        <v>442</v>
      </c>
      <c r="E9" s="3" t="s">
        <v>143</v>
      </c>
      <c r="F9" s="3" t="s">
        <v>5</v>
      </c>
      <c r="G9" s="61" t="s">
        <v>43</v>
      </c>
      <c r="H9" s="45" t="s">
        <v>459</v>
      </c>
      <c r="I9" s="8" t="s">
        <v>458</v>
      </c>
      <c r="J9" s="8" t="s">
        <v>111</v>
      </c>
      <c r="K9" s="38">
        <v>2000</v>
      </c>
      <c r="L9" s="11" t="s">
        <v>23</v>
      </c>
      <c r="M9" s="11">
        <f>_xlfn.NUMBERVALUE(LEFT(Table613[[#This Row],[Fiscal Year]], 4))</f>
        <v>2013</v>
      </c>
      <c r="N9" s="42">
        <f t="shared" si="0"/>
        <v>2159.9227467811161</v>
      </c>
      <c r="O9" s="3">
        <v>7</v>
      </c>
      <c r="R9" s="7">
        <v>6</v>
      </c>
      <c r="S9" s="12" t="s">
        <v>108</v>
      </c>
      <c r="T9" s="12"/>
      <c r="U9" s="12"/>
      <c r="V9" s="12"/>
      <c r="W9" s="12"/>
      <c r="X9" s="12"/>
      <c r="Y9" s="12"/>
      <c r="Z9" s="12"/>
      <c r="AF9" s="30">
        <v>2018</v>
      </c>
      <c r="AG9" s="34">
        <v>251.631</v>
      </c>
      <c r="AH9" s="31"/>
    </row>
    <row r="10" spans="1:34" x14ac:dyDescent="0.25">
      <c r="A10" s="3">
        <v>1</v>
      </c>
      <c r="B10" s="3" t="s">
        <v>4</v>
      </c>
      <c r="C10" s="1" t="s">
        <v>4</v>
      </c>
      <c r="D10" s="1" t="s">
        <v>442</v>
      </c>
      <c r="E10" s="3" t="s">
        <v>143</v>
      </c>
      <c r="F10" s="3" t="s">
        <v>5</v>
      </c>
      <c r="G10" s="66" t="s">
        <v>33</v>
      </c>
      <c r="H10" s="8"/>
      <c r="I10" s="8"/>
      <c r="J10" s="6" t="s">
        <v>47</v>
      </c>
      <c r="K10" s="38">
        <v>3000</v>
      </c>
      <c r="L10" s="11" t="s">
        <v>23</v>
      </c>
      <c r="M10" s="11">
        <f>_xlfn.NUMBERVALUE(LEFT(Table613[[#This Row],[Fiscal Year]], 4))</f>
        <v>2013</v>
      </c>
      <c r="N10" s="42">
        <f t="shared" si="0"/>
        <v>3239.8841201716741</v>
      </c>
      <c r="O10" s="3">
        <v>8</v>
      </c>
      <c r="R10" s="7">
        <v>7</v>
      </c>
      <c r="S10" s="12" t="s">
        <v>111</v>
      </c>
      <c r="T10" s="12"/>
      <c r="U10" s="12"/>
      <c r="V10" s="12"/>
      <c r="W10" s="12"/>
      <c r="X10" s="12"/>
      <c r="Y10" s="12"/>
      <c r="Z10" s="12"/>
      <c r="AB10" t="s">
        <v>449</v>
      </c>
      <c r="AF10" s="32">
        <v>2017</v>
      </c>
      <c r="AG10" s="35">
        <v>245.1</v>
      </c>
      <c r="AH10" s="32">
        <f t="shared" ref="AH10:AH31" si="1">($AG$9/AG10)-1</f>
        <v>2.6646266829865484E-2</v>
      </c>
    </row>
    <row r="11" spans="1:34" x14ac:dyDescent="0.25">
      <c r="A11" s="3">
        <v>1</v>
      </c>
      <c r="B11" s="3" t="s">
        <v>4</v>
      </c>
      <c r="C11" s="1" t="s">
        <v>4</v>
      </c>
      <c r="D11" s="1" t="s">
        <v>442</v>
      </c>
      <c r="E11" s="3" t="s">
        <v>143</v>
      </c>
      <c r="F11" s="3" t="s">
        <v>5</v>
      </c>
      <c r="G11" s="48" t="s">
        <v>44</v>
      </c>
      <c r="H11" s="8"/>
      <c r="I11" s="8"/>
      <c r="J11" s="8" t="s">
        <v>110</v>
      </c>
      <c r="K11" s="38">
        <v>10000</v>
      </c>
      <c r="L11" s="11" t="s">
        <v>23</v>
      </c>
      <c r="M11" s="11">
        <f>_xlfn.NUMBERVALUE(LEFT(Table613[[#This Row],[Fiscal Year]], 4))</f>
        <v>2013</v>
      </c>
      <c r="N11" s="42">
        <f t="shared" si="0"/>
        <v>10799.61373390558</v>
      </c>
      <c r="O11" s="3">
        <v>9</v>
      </c>
      <c r="R11" s="7">
        <v>8</v>
      </c>
      <c r="S11" s="12" t="s">
        <v>42</v>
      </c>
      <c r="T11" s="12"/>
      <c r="U11" s="12"/>
      <c r="V11" s="12"/>
      <c r="W11" s="12"/>
      <c r="X11" s="12"/>
      <c r="Y11" s="12"/>
      <c r="Z11" s="12"/>
      <c r="AF11" s="32">
        <v>2016</v>
      </c>
      <c r="AG11" s="35">
        <v>240</v>
      </c>
      <c r="AH11" s="32">
        <f t="shared" si="1"/>
        <v>4.8462500000000075E-2</v>
      </c>
    </row>
    <row r="12" spans="1:34" x14ac:dyDescent="0.25">
      <c r="C12" s="1"/>
      <c r="D12" s="1"/>
      <c r="G12" s="66"/>
      <c r="H12" s="8"/>
      <c r="I12" s="8"/>
      <c r="J12" s="6"/>
      <c r="L12" s="4"/>
      <c r="O12" s="3">
        <v>10</v>
      </c>
      <c r="R12" s="7">
        <v>9</v>
      </c>
      <c r="S12" s="12" t="s">
        <v>105</v>
      </c>
      <c r="T12" s="12"/>
      <c r="U12" s="12"/>
      <c r="V12" s="12"/>
      <c r="W12" s="12"/>
      <c r="X12" s="12"/>
      <c r="Y12" s="12"/>
      <c r="Z12" s="12"/>
      <c r="AF12" s="32">
        <v>2015</v>
      </c>
      <c r="AG12" s="35">
        <v>237</v>
      </c>
      <c r="AH12" s="32">
        <f t="shared" si="1"/>
        <v>6.1734177215189812E-2</v>
      </c>
    </row>
    <row r="13" spans="1:34" x14ac:dyDescent="0.25">
      <c r="A13" s="9">
        <v>2</v>
      </c>
      <c r="B13" s="9" t="s">
        <v>428</v>
      </c>
      <c r="C13" s="1" t="s">
        <v>1452</v>
      </c>
      <c r="D13" s="1" t="s">
        <v>443</v>
      </c>
      <c r="E13" s="9" t="s">
        <v>144</v>
      </c>
      <c r="F13" s="9" t="s">
        <v>8</v>
      </c>
      <c r="G13" s="61" t="s">
        <v>705</v>
      </c>
      <c r="H13" s="50" t="s">
        <v>735</v>
      </c>
      <c r="I13" s="8" t="s">
        <v>429</v>
      </c>
      <c r="J13" s="6" t="s">
        <v>110</v>
      </c>
      <c r="K13" s="38">
        <f>160025*3</f>
        <v>480075</v>
      </c>
      <c r="L13" s="4" t="s">
        <v>25</v>
      </c>
      <c r="M13" s="11">
        <f>_xlfn.NUMBERVALUE(LEFT(Table613[[#This Row],[Fiscal Year]], 4))</f>
        <v>2017</v>
      </c>
      <c r="N13" s="42">
        <f t="shared" si="0"/>
        <v>492867.20654834766</v>
      </c>
      <c r="O13" s="3">
        <v>11</v>
      </c>
      <c r="R13" s="7">
        <v>10</v>
      </c>
      <c r="S13" s="12" t="s">
        <v>453</v>
      </c>
      <c r="T13" s="12"/>
      <c r="U13" s="12"/>
      <c r="V13" s="12"/>
      <c r="W13" s="12"/>
      <c r="X13" s="12"/>
      <c r="Y13" s="12"/>
      <c r="Z13" s="12"/>
      <c r="AF13" s="32">
        <v>2014</v>
      </c>
      <c r="AG13" s="35">
        <v>236.7</v>
      </c>
      <c r="AH13" s="32">
        <f t="shared" si="1"/>
        <v>6.3079847908745323E-2</v>
      </c>
    </row>
    <row r="14" spans="1:34" x14ac:dyDescent="0.25">
      <c r="A14" s="9">
        <v>2</v>
      </c>
      <c r="B14" s="9" t="s">
        <v>428</v>
      </c>
      <c r="C14" s="1" t="s">
        <v>1452</v>
      </c>
      <c r="D14" s="1" t="s">
        <v>443</v>
      </c>
      <c r="E14" s="9" t="s">
        <v>144</v>
      </c>
      <c r="F14" s="9" t="s">
        <v>8</v>
      </c>
      <c r="G14" s="48" t="s">
        <v>706</v>
      </c>
      <c r="H14" s="8" t="s">
        <v>620</v>
      </c>
      <c r="I14" s="8" t="s">
        <v>429</v>
      </c>
      <c r="J14" s="6" t="s">
        <v>455</v>
      </c>
      <c r="K14" s="38">
        <v>149531</v>
      </c>
      <c r="L14" s="4" t="s">
        <v>25</v>
      </c>
      <c r="M14" s="11">
        <f>_xlfn.NUMBERVALUE(LEFT(Table613[[#This Row],[Fiscal Year]], 4))</f>
        <v>2017</v>
      </c>
      <c r="N14" s="42">
        <f t="shared" si="0"/>
        <v>153515.44292533663</v>
      </c>
      <c r="O14" s="3">
        <v>12</v>
      </c>
      <c r="R14" s="7">
        <v>11</v>
      </c>
      <c r="S14" s="12" t="s">
        <v>47</v>
      </c>
      <c r="T14" s="12"/>
      <c r="U14" s="12"/>
      <c r="V14" s="12"/>
      <c r="W14" s="12"/>
      <c r="X14" s="12"/>
      <c r="Y14" s="12"/>
      <c r="Z14" s="12"/>
      <c r="AB14" t="s">
        <v>447</v>
      </c>
      <c r="AF14" s="32">
        <v>2013</v>
      </c>
      <c r="AG14" s="35">
        <v>233</v>
      </c>
      <c r="AH14" s="32">
        <f>($AG$9/AG14)-1</f>
        <v>7.9961373390557977E-2</v>
      </c>
    </row>
    <row r="15" spans="1:34" x14ac:dyDescent="0.25">
      <c r="A15" s="9">
        <v>2</v>
      </c>
      <c r="B15" s="9" t="s">
        <v>428</v>
      </c>
      <c r="C15" s="1" t="s">
        <v>1452</v>
      </c>
      <c r="D15" s="1" t="s">
        <v>443</v>
      </c>
      <c r="E15" s="9" t="s">
        <v>144</v>
      </c>
      <c r="F15" s="9" t="s">
        <v>8</v>
      </c>
      <c r="G15" s="48" t="s">
        <v>707</v>
      </c>
      <c r="H15" s="8" t="s">
        <v>619</v>
      </c>
      <c r="I15" s="8" t="s">
        <v>429</v>
      </c>
      <c r="J15" s="6" t="s">
        <v>455</v>
      </c>
      <c r="K15" s="38">
        <v>569607</v>
      </c>
      <c r="L15" s="4" t="s">
        <v>25</v>
      </c>
      <c r="M15" s="11">
        <f>_xlfn.NUMBERVALUE(LEFT(Table613[[#This Row],[Fiscal Year]], 4))</f>
        <v>2017</v>
      </c>
      <c r="N15" s="42">
        <f t="shared" si="0"/>
        <v>584784.90011015919</v>
      </c>
      <c r="O15" s="3">
        <v>13</v>
      </c>
      <c r="R15" s="7">
        <v>12</v>
      </c>
      <c r="S15" s="12" t="s">
        <v>605</v>
      </c>
      <c r="T15" s="12"/>
      <c r="U15" s="12"/>
      <c r="V15" s="12"/>
      <c r="W15" s="12"/>
      <c r="X15" s="12"/>
      <c r="Y15" s="12"/>
      <c r="Z15" s="12"/>
      <c r="AF15" s="32">
        <v>2012</v>
      </c>
      <c r="AG15" s="35">
        <v>229.6</v>
      </c>
      <c r="AH15" s="32">
        <f t="shared" si="1"/>
        <v>9.5953832752613266E-2</v>
      </c>
    </row>
    <row r="16" spans="1:34" x14ac:dyDescent="0.25">
      <c r="A16" s="9">
        <v>2</v>
      </c>
      <c r="B16" s="9" t="s">
        <v>428</v>
      </c>
      <c r="C16" s="1" t="s">
        <v>1452</v>
      </c>
      <c r="D16" s="1" t="s">
        <v>443</v>
      </c>
      <c r="E16" s="9" t="s">
        <v>144</v>
      </c>
      <c r="F16" s="9" t="s">
        <v>8</v>
      </c>
      <c r="G16" s="48" t="s">
        <v>708</v>
      </c>
      <c r="H16" s="8"/>
      <c r="I16" s="8"/>
      <c r="J16" s="6" t="s">
        <v>108</v>
      </c>
      <c r="K16" s="38">
        <v>141928</v>
      </c>
      <c r="L16" s="4" t="s">
        <v>25</v>
      </c>
      <c r="M16" s="11">
        <f>_xlfn.NUMBERVALUE(LEFT(Table613[[#This Row],[Fiscal Year]], 4))</f>
        <v>2017</v>
      </c>
      <c r="N16" s="42">
        <f t="shared" si="0"/>
        <v>145709.85135862915</v>
      </c>
      <c r="O16" s="3">
        <v>14</v>
      </c>
      <c r="R16" s="7">
        <v>13</v>
      </c>
      <c r="S16" s="12" t="s">
        <v>455</v>
      </c>
      <c r="T16" s="12"/>
      <c r="U16" s="12"/>
      <c r="V16" s="12"/>
      <c r="W16" s="12"/>
      <c r="X16" s="12"/>
      <c r="Y16" s="12"/>
      <c r="Z16" s="12"/>
      <c r="AB16" s="22" t="s">
        <v>451</v>
      </c>
      <c r="AF16" s="32">
        <v>2011</v>
      </c>
      <c r="AG16" s="35">
        <v>224.9</v>
      </c>
      <c r="AH16" s="32">
        <f t="shared" si="1"/>
        <v>0.11885726989773238</v>
      </c>
    </row>
    <row r="17" spans="1:34" x14ac:dyDescent="0.25">
      <c r="A17" s="9">
        <v>2</v>
      </c>
      <c r="B17" s="9" t="s">
        <v>428</v>
      </c>
      <c r="C17" s="1" t="s">
        <v>1452</v>
      </c>
      <c r="D17" s="1" t="s">
        <v>443</v>
      </c>
      <c r="E17" s="9" t="s">
        <v>144</v>
      </c>
      <c r="F17" s="9" t="s">
        <v>8</v>
      </c>
      <c r="G17" s="48" t="s">
        <v>709</v>
      </c>
      <c r="H17" s="8"/>
      <c r="I17" s="8"/>
      <c r="J17" s="6" t="s">
        <v>110</v>
      </c>
      <c r="K17" s="38">
        <v>30992</v>
      </c>
      <c r="L17" s="4" t="s">
        <v>25</v>
      </c>
      <c r="M17" s="11">
        <f>_xlfn.NUMBERVALUE(LEFT(Table613[[#This Row],[Fiscal Year]], 4))</f>
        <v>2017</v>
      </c>
      <c r="N17" s="42">
        <f t="shared" si="0"/>
        <v>31817.821101591191</v>
      </c>
      <c r="O17" s="3">
        <v>15</v>
      </c>
      <c r="R17" s="7"/>
      <c r="S17" s="12"/>
      <c r="T17" s="12"/>
      <c r="U17" s="12"/>
      <c r="V17" s="12"/>
      <c r="W17" s="12"/>
      <c r="X17" s="12"/>
      <c r="Y17" s="12"/>
      <c r="Z17" s="12"/>
      <c r="AF17" s="32">
        <v>2010</v>
      </c>
      <c r="AG17" s="35">
        <v>218.1</v>
      </c>
      <c r="AH17" s="32">
        <f t="shared" si="1"/>
        <v>0.15374140302613482</v>
      </c>
    </row>
    <row r="18" spans="1:34" x14ac:dyDescent="0.25">
      <c r="A18" s="9">
        <v>2</v>
      </c>
      <c r="B18" s="9" t="s">
        <v>428</v>
      </c>
      <c r="C18" s="1" t="s">
        <v>1452</v>
      </c>
      <c r="D18" s="1" t="s">
        <v>443</v>
      </c>
      <c r="E18" s="9" t="s">
        <v>144</v>
      </c>
      <c r="F18" s="9" t="s">
        <v>8</v>
      </c>
      <c r="G18" s="48" t="s">
        <v>710</v>
      </c>
      <c r="H18" s="8"/>
      <c r="I18" s="8"/>
      <c r="J18" s="6" t="s">
        <v>110</v>
      </c>
      <c r="K18" s="38">
        <v>0</v>
      </c>
      <c r="L18" s="4" t="s">
        <v>25</v>
      </c>
      <c r="M18" s="11">
        <f>_xlfn.NUMBERVALUE(LEFT(Table613[[#This Row],[Fiscal Year]], 4))</f>
        <v>2017</v>
      </c>
      <c r="N18" s="43">
        <f>K18*(1+VLOOKUP(M18,$AF$8:$AH$31,3,0))</f>
        <v>0</v>
      </c>
      <c r="O18" s="3">
        <v>16</v>
      </c>
      <c r="AF18" s="32">
        <v>2009</v>
      </c>
      <c r="AG18" s="35">
        <v>214.5</v>
      </c>
      <c r="AH18" s="32">
        <f t="shared" si="1"/>
        <v>0.17310489510489502</v>
      </c>
    </row>
    <row r="19" spans="1:34" x14ac:dyDescent="0.25">
      <c r="A19" s="9">
        <v>2</v>
      </c>
      <c r="B19" s="9" t="s">
        <v>428</v>
      </c>
      <c r="C19" s="1" t="s">
        <v>1452</v>
      </c>
      <c r="D19" s="1" t="s">
        <v>443</v>
      </c>
      <c r="E19" s="9" t="s">
        <v>144</v>
      </c>
      <c r="F19" s="9" t="s">
        <v>8</v>
      </c>
      <c r="G19" s="48" t="s">
        <v>711</v>
      </c>
      <c r="H19" s="8"/>
      <c r="I19" s="8"/>
      <c r="J19" s="75"/>
      <c r="K19" s="38">
        <v>0</v>
      </c>
      <c r="L19" s="4" t="s">
        <v>25</v>
      </c>
      <c r="M19" s="11">
        <f>_xlfn.NUMBERVALUE(LEFT(Table613[[#This Row],[Fiscal Year]], 4))</f>
        <v>2017</v>
      </c>
      <c r="N19" s="43">
        <f>K19*(1+VLOOKUP(M19,$AF$8:$AH$31,3,0))</f>
        <v>0</v>
      </c>
      <c r="O19" s="3">
        <v>17</v>
      </c>
      <c r="AF19" s="32">
        <v>2008</v>
      </c>
      <c r="AG19" s="35">
        <v>215.3</v>
      </c>
      <c r="AH19" s="32">
        <f t="shared" si="1"/>
        <v>0.16874593590339049</v>
      </c>
    </row>
    <row r="20" spans="1:34" x14ac:dyDescent="0.25">
      <c r="A20" s="9">
        <v>2</v>
      </c>
      <c r="B20" s="9" t="s">
        <v>428</v>
      </c>
      <c r="C20" s="1" t="s">
        <v>1452</v>
      </c>
      <c r="D20" s="1" t="s">
        <v>443</v>
      </c>
      <c r="E20" s="9" t="s">
        <v>144</v>
      </c>
      <c r="F20" s="9" t="s">
        <v>8</v>
      </c>
      <c r="G20" s="48" t="s">
        <v>712</v>
      </c>
      <c r="H20" s="8"/>
      <c r="I20" s="8"/>
      <c r="J20" s="75"/>
      <c r="K20" s="38">
        <v>0</v>
      </c>
      <c r="L20" s="4" t="s">
        <v>25</v>
      </c>
      <c r="M20" s="11">
        <f>_xlfn.NUMBERVALUE(LEFT(Table613[[#This Row],[Fiscal Year]], 4))</f>
        <v>2017</v>
      </c>
      <c r="N20" s="43">
        <f>K20*(1+VLOOKUP(M20,$AF$8:$AH$31,3,0))</f>
        <v>0</v>
      </c>
      <c r="O20" s="3">
        <v>18</v>
      </c>
      <c r="AF20" s="32">
        <v>2007</v>
      </c>
      <c r="AG20" s="35">
        <v>207.3</v>
      </c>
      <c r="AH20" s="32">
        <f t="shared" si="1"/>
        <v>0.21384949348769888</v>
      </c>
    </row>
    <row r="21" spans="1:34" x14ac:dyDescent="0.25">
      <c r="A21" s="9">
        <v>2</v>
      </c>
      <c r="B21" s="9" t="s">
        <v>428</v>
      </c>
      <c r="C21" s="1" t="s">
        <v>1452</v>
      </c>
      <c r="D21" s="1" t="s">
        <v>443</v>
      </c>
      <c r="E21" s="9" t="s">
        <v>144</v>
      </c>
      <c r="F21" s="9" t="s">
        <v>8</v>
      </c>
      <c r="G21" s="48" t="s">
        <v>713</v>
      </c>
      <c r="H21" s="8"/>
      <c r="I21" s="8"/>
      <c r="J21" s="75"/>
      <c r="K21" s="38">
        <v>0</v>
      </c>
      <c r="L21" s="4" t="s">
        <v>25</v>
      </c>
      <c r="M21" s="11">
        <f>_xlfn.NUMBERVALUE(LEFT(Table613[[#This Row],[Fiscal Year]], 4))</f>
        <v>2017</v>
      </c>
      <c r="N21" s="43">
        <f>K21*(1+VLOOKUP(M21,$AF$8:$AH$31,3,0))</f>
        <v>0</v>
      </c>
      <c r="O21" s="3">
        <v>19</v>
      </c>
      <c r="AF21" s="32">
        <v>2006</v>
      </c>
      <c r="AG21" s="35">
        <v>201.6</v>
      </c>
      <c r="AH21" s="32">
        <f t="shared" si="1"/>
        <v>0.24816964285714294</v>
      </c>
    </row>
    <row r="22" spans="1:34" x14ac:dyDescent="0.25">
      <c r="A22" s="9">
        <v>2</v>
      </c>
      <c r="B22" s="9" t="s">
        <v>428</v>
      </c>
      <c r="C22" s="1" t="s">
        <v>1452</v>
      </c>
      <c r="D22" s="1" t="s">
        <v>443</v>
      </c>
      <c r="E22" s="9" t="s">
        <v>144</v>
      </c>
      <c r="F22" s="9" t="s">
        <v>8</v>
      </c>
      <c r="G22" s="56" t="s">
        <v>714</v>
      </c>
      <c r="H22" s="50" t="s">
        <v>645</v>
      </c>
      <c r="I22" s="50" t="s">
        <v>429</v>
      </c>
      <c r="J22" s="75"/>
      <c r="K22" s="38">
        <v>1959543</v>
      </c>
      <c r="L22" s="4" t="s">
        <v>25</v>
      </c>
      <c r="M22" s="11">
        <f>_xlfn.NUMBERVALUE(LEFT(Table613[[#This Row],[Fiscal Year]], 4))</f>
        <v>2017</v>
      </c>
      <c r="N22" s="42">
        <f t="shared" ref="N22:N38" si="2">K22*(1+VLOOKUP(M22,$AF$8:$AH$31,3,0))</f>
        <v>2011757.505642595</v>
      </c>
      <c r="O22" s="3">
        <v>20</v>
      </c>
      <c r="S22" s="53" t="s">
        <v>824</v>
      </c>
      <c r="T22" s="53"/>
      <c r="AF22" s="32">
        <v>2005</v>
      </c>
      <c r="AG22" s="35">
        <v>195.3</v>
      </c>
      <c r="AH22" s="32">
        <f t="shared" si="1"/>
        <v>0.28843317972350224</v>
      </c>
    </row>
    <row r="23" spans="1:34" x14ac:dyDescent="0.25">
      <c r="A23" s="9">
        <v>2</v>
      </c>
      <c r="B23" s="9" t="s">
        <v>428</v>
      </c>
      <c r="C23" s="1" t="s">
        <v>1452</v>
      </c>
      <c r="D23" s="1" t="s">
        <v>443</v>
      </c>
      <c r="E23" s="9" t="s">
        <v>144</v>
      </c>
      <c r="F23" s="9" t="s">
        <v>8</v>
      </c>
      <c r="G23" s="56" t="s">
        <v>715</v>
      </c>
      <c r="H23" s="8"/>
      <c r="I23" s="8"/>
      <c r="J23" s="6" t="s">
        <v>76</v>
      </c>
      <c r="K23" s="38">
        <v>1300000</v>
      </c>
      <c r="L23" s="4" t="s">
        <v>25</v>
      </c>
      <c r="M23" s="11">
        <f>_xlfn.NUMBERVALUE(LEFT(Table613[[#This Row],[Fiscal Year]], 4))</f>
        <v>2017</v>
      </c>
      <c r="N23" s="42">
        <f t="shared" si="2"/>
        <v>1334640.146878825</v>
      </c>
      <c r="O23" s="3">
        <v>21</v>
      </c>
      <c r="S23" s="55" t="s">
        <v>825</v>
      </c>
      <c r="T23" t="s">
        <v>826</v>
      </c>
      <c r="AF23" s="32">
        <v>2004</v>
      </c>
      <c r="AG23" s="35">
        <v>188.9</v>
      </c>
      <c r="AH23" s="32">
        <f t="shared" si="1"/>
        <v>0.33208575966119636</v>
      </c>
    </row>
    <row r="24" spans="1:34" x14ac:dyDescent="0.25">
      <c r="A24" s="9">
        <v>2</v>
      </c>
      <c r="B24" s="9" t="s">
        <v>428</v>
      </c>
      <c r="C24" s="1" t="s">
        <v>1452</v>
      </c>
      <c r="D24" s="1" t="s">
        <v>443</v>
      </c>
      <c r="E24" s="9" t="s">
        <v>144</v>
      </c>
      <c r="F24" s="9" t="s">
        <v>8</v>
      </c>
      <c r="G24" s="56" t="s">
        <v>716</v>
      </c>
      <c r="H24" s="8"/>
      <c r="I24" s="8"/>
      <c r="J24" s="6" t="s">
        <v>76</v>
      </c>
      <c r="K24" s="38">
        <v>0</v>
      </c>
      <c r="L24" s="4" t="s">
        <v>25</v>
      </c>
      <c r="M24" s="11">
        <f>_xlfn.NUMBERVALUE(LEFT(Table613[[#This Row],[Fiscal Year]], 4))</f>
        <v>2017</v>
      </c>
      <c r="N24" s="43">
        <f t="shared" si="2"/>
        <v>0</v>
      </c>
      <c r="O24" s="3">
        <v>22</v>
      </c>
      <c r="S24" s="59" t="s">
        <v>262</v>
      </c>
      <c r="T24" s="60" t="s">
        <v>923</v>
      </c>
      <c r="AF24" s="32">
        <v>2003</v>
      </c>
      <c r="AG24" s="35">
        <v>184</v>
      </c>
      <c r="AH24" s="32">
        <f t="shared" si="1"/>
        <v>0.3675597826086956</v>
      </c>
    </row>
    <row r="25" spans="1:34" x14ac:dyDescent="0.25">
      <c r="A25" s="9">
        <v>2</v>
      </c>
      <c r="B25" s="9" t="s">
        <v>428</v>
      </c>
      <c r="C25" s="1" t="s">
        <v>1452</v>
      </c>
      <c r="D25" s="1" t="s">
        <v>443</v>
      </c>
      <c r="E25" s="9" t="s">
        <v>144</v>
      </c>
      <c r="F25" s="9" t="s">
        <v>8</v>
      </c>
      <c r="G25" s="56" t="s">
        <v>717</v>
      </c>
      <c r="H25" s="8"/>
      <c r="I25" s="8"/>
      <c r="J25" s="6" t="s">
        <v>76</v>
      </c>
      <c r="K25" s="38">
        <v>164000</v>
      </c>
      <c r="L25" s="4" t="s">
        <v>25</v>
      </c>
      <c r="M25" s="11">
        <f>_xlfn.NUMBERVALUE(LEFT(Table613[[#This Row],[Fiscal Year]], 4))</f>
        <v>2017</v>
      </c>
      <c r="N25" s="42">
        <f t="shared" si="2"/>
        <v>168369.98776009795</v>
      </c>
      <c r="O25" s="3">
        <v>23</v>
      </c>
      <c r="S25" s="76" t="s">
        <v>1430</v>
      </c>
      <c r="T25" s="77" t="s">
        <v>1431</v>
      </c>
      <c r="AF25" s="32">
        <v>2002</v>
      </c>
      <c r="AG25" s="35">
        <v>179.9</v>
      </c>
      <c r="AH25" s="32">
        <f t="shared" si="1"/>
        <v>0.39872707059477475</v>
      </c>
    </row>
    <row r="26" spans="1:34" x14ac:dyDescent="0.25">
      <c r="A26" s="9">
        <v>2</v>
      </c>
      <c r="B26" s="9" t="s">
        <v>428</v>
      </c>
      <c r="C26" s="1" t="s">
        <v>1452</v>
      </c>
      <c r="D26" s="1" t="s">
        <v>443</v>
      </c>
      <c r="E26" s="9" t="s">
        <v>144</v>
      </c>
      <c r="F26" s="9" t="s">
        <v>8</v>
      </c>
      <c r="G26" s="56" t="s">
        <v>718</v>
      </c>
      <c r="H26" s="6"/>
      <c r="I26" s="52"/>
      <c r="J26" s="75"/>
      <c r="K26" s="38">
        <v>10000</v>
      </c>
      <c r="L26" s="4" t="s">
        <v>25</v>
      </c>
      <c r="M26" s="11">
        <f>_xlfn.NUMBERVALUE(LEFT(Table613[[#This Row],[Fiscal Year]], 4))</f>
        <v>2017</v>
      </c>
      <c r="N26" s="42">
        <f t="shared" si="2"/>
        <v>10266.462668298655</v>
      </c>
      <c r="O26" s="3">
        <v>24</v>
      </c>
      <c r="S26" s="54"/>
      <c r="AF26" s="32">
        <v>2001</v>
      </c>
      <c r="AG26" s="35">
        <v>177.1</v>
      </c>
      <c r="AH26" s="32">
        <f t="shared" si="1"/>
        <v>0.42084133258046297</v>
      </c>
    </row>
    <row r="27" spans="1:34" x14ac:dyDescent="0.25">
      <c r="A27" s="9">
        <v>2</v>
      </c>
      <c r="B27" s="9" t="s">
        <v>428</v>
      </c>
      <c r="C27" s="1" t="s">
        <v>1452</v>
      </c>
      <c r="D27" s="1" t="s">
        <v>443</v>
      </c>
      <c r="E27" s="9" t="s">
        <v>144</v>
      </c>
      <c r="F27" s="9" t="s">
        <v>8</v>
      </c>
      <c r="G27" s="56" t="s">
        <v>719</v>
      </c>
      <c r="H27" s="8"/>
      <c r="I27" s="8"/>
      <c r="J27" s="6" t="s">
        <v>76</v>
      </c>
      <c r="K27" s="38">
        <v>164000</v>
      </c>
      <c r="L27" s="4" t="s">
        <v>25</v>
      </c>
      <c r="M27" s="11">
        <f>_xlfn.NUMBERVALUE(LEFT(Table613[[#This Row],[Fiscal Year]], 4))</f>
        <v>2017</v>
      </c>
      <c r="N27" s="42">
        <f t="shared" si="2"/>
        <v>168369.98776009795</v>
      </c>
      <c r="O27" s="3">
        <v>25</v>
      </c>
      <c r="S27" s="54"/>
      <c r="AF27" s="32">
        <v>2000</v>
      </c>
      <c r="AG27" s="35">
        <v>172.2</v>
      </c>
      <c r="AH27" s="32">
        <f t="shared" si="1"/>
        <v>0.46127177700348443</v>
      </c>
    </row>
    <row r="28" spans="1:34" x14ac:dyDescent="0.25">
      <c r="A28" s="9">
        <v>2</v>
      </c>
      <c r="B28" s="9" t="s">
        <v>428</v>
      </c>
      <c r="C28" s="1" t="s">
        <v>1452</v>
      </c>
      <c r="D28" s="1" t="s">
        <v>443</v>
      </c>
      <c r="E28" s="9" t="s">
        <v>144</v>
      </c>
      <c r="F28" s="9" t="s">
        <v>8</v>
      </c>
      <c r="G28" s="56" t="s">
        <v>720</v>
      </c>
      <c r="H28" s="8"/>
      <c r="I28" s="8"/>
      <c r="J28" s="6" t="s">
        <v>76</v>
      </c>
      <c r="K28" s="38">
        <v>326000</v>
      </c>
      <c r="L28" s="4" t="s">
        <v>25</v>
      </c>
      <c r="M28" s="11">
        <f>_xlfn.NUMBERVALUE(LEFT(Table613[[#This Row],[Fiscal Year]], 4))</f>
        <v>2017</v>
      </c>
      <c r="N28" s="42">
        <f t="shared" si="2"/>
        <v>334686.68298653612</v>
      </c>
      <c r="O28" s="3">
        <v>26</v>
      </c>
      <c r="S28" s="54"/>
      <c r="AF28" s="32">
        <v>1999</v>
      </c>
      <c r="AG28" s="35">
        <v>166.6</v>
      </c>
      <c r="AH28" s="32">
        <f t="shared" si="1"/>
        <v>0.5103901560624251</v>
      </c>
    </row>
    <row r="29" spans="1:34" x14ac:dyDescent="0.25">
      <c r="A29" s="9">
        <v>2</v>
      </c>
      <c r="B29" s="9" t="s">
        <v>428</v>
      </c>
      <c r="C29" s="1" t="s">
        <v>1452</v>
      </c>
      <c r="D29" s="1" t="s">
        <v>443</v>
      </c>
      <c r="E29" s="9" t="s">
        <v>144</v>
      </c>
      <c r="F29" s="9" t="s">
        <v>8</v>
      </c>
      <c r="G29" s="56" t="s">
        <v>721</v>
      </c>
      <c r="H29" s="8"/>
      <c r="I29" s="8"/>
      <c r="J29" s="6" t="s">
        <v>76</v>
      </c>
      <c r="K29" s="38">
        <v>30000</v>
      </c>
      <c r="L29" s="4" t="s">
        <v>25</v>
      </c>
      <c r="M29" s="11">
        <f>_xlfn.NUMBERVALUE(LEFT(Table613[[#This Row],[Fiscal Year]], 4))</f>
        <v>2017</v>
      </c>
      <c r="N29" s="42">
        <f t="shared" si="2"/>
        <v>30799.388004895965</v>
      </c>
      <c r="O29" s="3">
        <v>27</v>
      </c>
      <c r="AF29" s="32">
        <v>1998</v>
      </c>
      <c r="AG29" s="35">
        <v>163</v>
      </c>
      <c r="AH29" s="32">
        <f t="shared" si="1"/>
        <v>0.54374846625766882</v>
      </c>
    </row>
    <row r="30" spans="1:34" x14ac:dyDescent="0.25">
      <c r="A30" s="9">
        <v>2</v>
      </c>
      <c r="B30" s="9" t="s">
        <v>428</v>
      </c>
      <c r="C30" s="1" t="s">
        <v>1452</v>
      </c>
      <c r="D30" s="1" t="s">
        <v>443</v>
      </c>
      <c r="E30" s="9" t="s">
        <v>144</v>
      </c>
      <c r="F30" s="9" t="s">
        <v>8</v>
      </c>
      <c r="G30" s="56" t="s">
        <v>722</v>
      </c>
      <c r="H30" s="8"/>
      <c r="I30" s="8"/>
      <c r="J30" s="6" t="s">
        <v>110</v>
      </c>
      <c r="K30" s="38">
        <v>0</v>
      </c>
      <c r="L30" s="4" t="s">
        <v>25</v>
      </c>
      <c r="M30" s="11">
        <f>_xlfn.NUMBERVALUE(LEFT(Table613[[#This Row],[Fiscal Year]], 4))</f>
        <v>2017</v>
      </c>
      <c r="N30" s="43">
        <f t="shared" si="2"/>
        <v>0</v>
      </c>
      <c r="O30" s="3">
        <v>28</v>
      </c>
      <c r="AF30" s="32">
        <v>1997</v>
      </c>
      <c r="AG30" s="35">
        <v>160.5</v>
      </c>
      <c r="AH30" s="32">
        <f t="shared" si="1"/>
        <v>0.56779439252336439</v>
      </c>
    </row>
    <row r="31" spans="1:34" ht="15.75" thickBot="1" x14ac:dyDescent="0.3">
      <c r="A31" s="9">
        <v>2</v>
      </c>
      <c r="B31" s="9" t="s">
        <v>428</v>
      </c>
      <c r="C31" s="1" t="s">
        <v>1452</v>
      </c>
      <c r="D31" s="1" t="s">
        <v>443</v>
      </c>
      <c r="E31" s="9" t="s">
        <v>144</v>
      </c>
      <c r="F31" s="9" t="s">
        <v>8</v>
      </c>
      <c r="G31" s="56" t="s">
        <v>723</v>
      </c>
      <c r="H31" s="8"/>
      <c r="I31" s="8"/>
      <c r="J31" s="6" t="s">
        <v>455</v>
      </c>
      <c r="K31" s="38">
        <v>0</v>
      </c>
      <c r="L31" s="4" t="s">
        <v>25</v>
      </c>
      <c r="M31" s="11">
        <f>_xlfn.NUMBERVALUE(LEFT(Table613[[#This Row],[Fiscal Year]], 4))</f>
        <v>2017</v>
      </c>
      <c r="N31" s="43">
        <f t="shared" si="2"/>
        <v>0</v>
      </c>
      <c r="O31" s="3">
        <v>29</v>
      </c>
      <c r="AF31" s="33">
        <v>1996</v>
      </c>
      <c r="AG31" s="36">
        <v>156.9</v>
      </c>
      <c r="AH31" s="33">
        <f t="shared" si="1"/>
        <v>0.60376673040152951</v>
      </c>
    </row>
    <row r="32" spans="1:34" x14ac:dyDescent="0.25">
      <c r="A32" s="9">
        <v>2</v>
      </c>
      <c r="B32" s="9" t="s">
        <v>428</v>
      </c>
      <c r="C32" s="1" t="s">
        <v>1452</v>
      </c>
      <c r="D32" s="1" t="s">
        <v>443</v>
      </c>
      <c r="E32" s="9" t="s">
        <v>144</v>
      </c>
      <c r="F32" s="9" t="s">
        <v>8</v>
      </c>
      <c r="G32" s="48" t="s">
        <v>724</v>
      </c>
      <c r="H32" s="8" t="s">
        <v>460</v>
      </c>
      <c r="I32" s="8" t="s">
        <v>429</v>
      </c>
      <c r="J32" s="6" t="s">
        <v>108</v>
      </c>
      <c r="K32" s="38">
        <v>11178</v>
      </c>
      <c r="L32" s="4" t="s">
        <v>25</v>
      </c>
      <c r="M32" s="11">
        <f>_xlfn.NUMBERVALUE(LEFT(Table613[[#This Row],[Fiscal Year]], 4))</f>
        <v>2017</v>
      </c>
      <c r="N32" s="42">
        <f t="shared" si="2"/>
        <v>11475.851970624237</v>
      </c>
      <c r="O32" s="3">
        <v>30</v>
      </c>
    </row>
    <row r="33" spans="1:15" x14ac:dyDescent="0.25">
      <c r="A33" s="9">
        <v>2</v>
      </c>
      <c r="B33" s="9" t="s">
        <v>428</v>
      </c>
      <c r="C33" s="1" t="s">
        <v>1452</v>
      </c>
      <c r="D33" s="1" t="s">
        <v>443</v>
      </c>
      <c r="E33" s="9" t="s">
        <v>144</v>
      </c>
      <c r="F33" s="9" t="s">
        <v>8</v>
      </c>
      <c r="G33" s="48" t="s">
        <v>725</v>
      </c>
      <c r="H33" s="8"/>
      <c r="I33" s="8"/>
      <c r="J33" s="6" t="s">
        <v>108</v>
      </c>
      <c r="K33" s="38">
        <v>30284</v>
      </c>
      <c r="L33" s="4" t="s">
        <v>25</v>
      </c>
      <c r="M33" s="11">
        <f>_xlfn.NUMBERVALUE(LEFT(Table613[[#This Row],[Fiscal Year]], 4))</f>
        <v>2017</v>
      </c>
      <c r="N33" s="42">
        <f t="shared" si="2"/>
        <v>31090.955544675646</v>
      </c>
      <c r="O33" s="3">
        <v>31</v>
      </c>
    </row>
    <row r="34" spans="1:15" x14ac:dyDescent="0.25">
      <c r="A34" s="9">
        <v>2</v>
      </c>
      <c r="B34" s="9" t="s">
        <v>428</v>
      </c>
      <c r="C34" s="1" t="s">
        <v>1452</v>
      </c>
      <c r="D34" s="1" t="s">
        <v>443</v>
      </c>
      <c r="E34" s="9" t="s">
        <v>144</v>
      </c>
      <c r="F34" s="9" t="s">
        <v>8</v>
      </c>
      <c r="G34" s="48" t="s">
        <v>726</v>
      </c>
      <c r="H34" s="8"/>
      <c r="I34" s="8"/>
      <c r="J34" s="6" t="s">
        <v>110</v>
      </c>
      <c r="K34" s="38">
        <v>3347</v>
      </c>
      <c r="L34" s="4" t="s">
        <v>25</v>
      </c>
      <c r="M34" s="11">
        <f>_xlfn.NUMBERVALUE(LEFT(Table613[[#This Row],[Fiscal Year]], 4))</f>
        <v>2017</v>
      </c>
      <c r="N34" s="42">
        <f t="shared" si="2"/>
        <v>3436.1850550795598</v>
      </c>
      <c r="O34" s="3">
        <v>32</v>
      </c>
    </row>
    <row r="35" spans="1:15" x14ac:dyDescent="0.25">
      <c r="A35" s="9">
        <v>2</v>
      </c>
      <c r="B35" s="9" t="s">
        <v>428</v>
      </c>
      <c r="C35" s="1" t="s">
        <v>1452</v>
      </c>
      <c r="D35" s="1" t="s">
        <v>443</v>
      </c>
      <c r="E35" s="9" t="s">
        <v>144</v>
      </c>
      <c r="F35" s="9" t="s">
        <v>8</v>
      </c>
      <c r="G35" s="48" t="s">
        <v>727</v>
      </c>
      <c r="H35" s="8"/>
      <c r="I35" s="8"/>
      <c r="J35" s="6" t="s">
        <v>108</v>
      </c>
      <c r="K35" s="38">
        <v>1040</v>
      </c>
      <c r="L35" s="4" t="s">
        <v>25</v>
      </c>
      <c r="M35" s="11">
        <f>_xlfn.NUMBERVALUE(LEFT(Table613[[#This Row],[Fiscal Year]], 4))</f>
        <v>2017</v>
      </c>
      <c r="N35" s="42">
        <f t="shared" si="2"/>
        <v>1067.7121175030602</v>
      </c>
      <c r="O35" s="3">
        <v>33</v>
      </c>
    </row>
    <row r="36" spans="1:15" x14ac:dyDescent="0.25">
      <c r="A36" s="9">
        <v>2</v>
      </c>
      <c r="B36" s="9" t="s">
        <v>428</v>
      </c>
      <c r="C36" s="1" t="s">
        <v>1452</v>
      </c>
      <c r="D36" s="1" t="s">
        <v>443</v>
      </c>
      <c r="E36" s="9" t="s">
        <v>144</v>
      </c>
      <c r="F36" s="9" t="s">
        <v>8</v>
      </c>
      <c r="G36" s="48" t="s">
        <v>728</v>
      </c>
      <c r="H36" s="8"/>
      <c r="I36" s="8"/>
      <c r="J36" s="6" t="s">
        <v>455</v>
      </c>
      <c r="K36" s="38">
        <v>13635</v>
      </c>
      <c r="L36" s="4" t="s">
        <v>25</v>
      </c>
      <c r="M36" s="11">
        <f>_xlfn.NUMBERVALUE(LEFT(Table613[[#This Row],[Fiscal Year]], 4))</f>
        <v>2017</v>
      </c>
      <c r="N36" s="42">
        <f t="shared" si="2"/>
        <v>13998.321848225216</v>
      </c>
      <c r="O36" s="3">
        <v>34</v>
      </c>
    </row>
    <row r="37" spans="1:15" x14ac:dyDescent="0.25">
      <c r="A37" s="9">
        <v>2</v>
      </c>
      <c r="B37" s="9" t="s">
        <v>428</v>
      </c>
      <c r="C37" s="1" t="s">
        <v>1452</v>
      </c>
      <c r="D37" s="1" t="s">
        <v>443</v>
      </c>
      <c r="E37" s="9" t="s">
        <v>144</v>
      </c>
      <c r="F37" s="9" t="s">
        <v>8</v>
      </c>
      <c r="G37" s="48" t="s">
        <v>729</v>
      </c>
      <c r="H37" s="8"/>
      <c r="I37" s="8"/>
      <c r="J37" s="6" t="s">
        <v>108</v>
      </c>
      <c r="K37" s="38">
        <v>1010660</v>
      </c>
      <c r="L37" s="4" t="s">
        <v>25</v>
      </c>
      <c r="M37" s="11">
        <f>_xlfn.NUMBERVALUE(LEFT(Table613[[#This Row],[Fiscal Year]], 4))</f>
        <v>2017</v>
      </c>
      <c r="N37" s="42">
        <f t="shared" si="2"/>
        <v>1037590.3160342718</v>
      </c>
      <c r="O37" s="3">
        <v>35</v>
      </c>
    </row>
    <row r="38" spans="1:15" x14ac:dyDescent="0.25">
      <c r="A38" s="9">
        <v>2</v>
      </c>
      <c r="B38" s="9" t="s">
        <v>428</v>
      </c>
      <c r="C38" s="1" t="s">
        <v>1452</v>
      </c>
      <c r="D38" s="1" t="s">
        <v>443</v>
      </c>
      <c r="E38" s="9" t="s">
        <v>144</v>
      </c>
      <c r="F38" s="9" t="s">
        <v>8</v>
      </c>
      <c r="G38" s="48" t="s">
        <v>730</v>
      </c>
      <c r="H38" s="8"/>
      <c r="I38" s="8"/>
      <c r="J38" s="75" t="s">
        <v>108</v>
      </c>
      <c r="K38" s="38">
        <v>0</v>
      </c>
      <c r="L38" s="4" t="s">
        <v>25</v>
      </c>
      <c r="M38" s="11">
        <f>_xlfn.NUMBERVALUE(LEFT(Table613[[#This Row],[Fiscal Year]], 4))</f>
        <v>2017</v>
      </c>
      <c r="N38" s="43">
        <f t="shared" si="2"/>
        <v>0</v>
      </c>
      <c r="O38" s="3">
        <v>36</v>
      </c>
    </row>
    <row r="39" spans="1:15" x14ac:dyDescent="0.25">
      <c r="A39" s="9">
        <v>2</v>
      </c>
      <c r="B39" s="9" t="s">
        <v>428</v>
      </c>
      <c r="C39" s="1" t="s">
        <v>1452</v>
      </c>
      <c r="D39" s="1" t="s">
        <v>443</v>
      </c>
      <c r="E39" s="9" t="s">
        <v>144</v>
      </c>
      <c r="F39" s="9" t="s">
        <v>8</v>
      </c>
      <c r="G39" s="48" t="s">
        <v>731</v>
      </c>
      <c r="H39" s="8"/>
      <c r="I39" s="8"/>
      <c r="J39" s="75"/>
      <c r="K39" s="38">
        <v>0</v>
      </c>
      <c r="L39" s="4" t="s">
        <v>25</v>
      </c>
      <c r="M39" s="11">
        <f>_xlfn.NUMBERVALUE(LEFT(Table613[[#This Row],[Fiscal Year]], 4))</f>
        <v>2017</v>
      </c>
      <c r="N39" s="43">
        <f>K39*(1+VLOOKUP(M39,$AF$8:$AH$31,3,0))</f>
        <v>0</v>
      </c>
      <c r="O39" s="3">
        <v>37</v>
      </c>
    </row>
    <row r="40" spans="1:15" x14ac:dyDescent="0.25">
      <c r="A40" s="9">
        <v>2</v>
      </c>
      <c r="B40" s="9" t="s">
        <v>428</v>
      </c>
      <c r="C40" s="1" t="s">
        <v>1452</v>
      </c>
      <c r="D40" s="1" t="s">
        <v>443</v>
      </c>
      <c r="E40" s="9" t="s">
        <v>144</v>
      </c>
      <c r="F40" s="9" t="s">
        <v>8</v>
      </c>
      <c r="G40" s="48" t="s">
        <v>732</v>
      </c>
      <c r="H40" s="8"/>
      <c r="I40" s="8"/>
      <c r="J40" s="75"/>
      <c r="K40" s="38">
        <v>0</v>
      </c>
      <c r="L40" s="4" t="s">
        <v>25</v>
      </c>
      <c r="M40" s="11">
        <f>_xlfn.NUMBERVALUE(LEFT(Table613[[#This Row],[Fiscal Year]], 4))</f>
        <v>2017</v>
      </c>
      <c r="N40" s="43">
        <f>K40*(1+VLOOKUP(M40,$AF$8:$AH$31,3,0))</f>
        <v>0</v>
      </c>
      <c r="O40" s="3">
        <v>38</v>
      </c>
    </row>
    <row r="41" spans="1:15" x14ac:dyDescent="0.25">
      <c r="A41" s="9">
        <v>2</v>
      </c>
      <c r="B41" s="9" t="s">
        <v>428</v>
      </c>
      <c r="C41" s="1" t="s">
        <v>1452</v>
      </c>
      <c r="D41" s="1" t="s">
        <v>443</v>
      </c>
      <c r="E41" s="9" t="s">
        <v>144</v>
      </c>
      <c r="F41" s="9" t="s">
        <v>8</v>
      </c>
      <c r="G41" s="48" t="s">
        <v>733</v>
      </c>
      <c r="H41" s="8"/>
      <c r="I41" s="8"/>
      <c r="J41" s="75"/>
      <c r="K41" s="38">
        <v>0</v>
      </c>
      <c r="L41" s="4" t="s">
        <v>25</v>
      </c>
      <c r="M41" s="11">
        <f>_xlfn.NUMBERVALUE(LEFT(Table613[[#This Row],[Fiscal Year]], 4))</f>
        <v>2017</v>
      </c>
      <c r="N41" s="43">
        <f>K41*(1+VLOOKUP(M41,$AF$8:$AH$31,3,0))</f>
        <v>0</v>
      </c>
      <c r="O41" s="3">
        <v>39</v>
      </c>
    </row>
    <row r="42" spans="1:15" x14ac:dyDescent="0.25">
      <c r="A42" s="9">
        <v>2</v>
      </c>
      <c r="B42" s="9" t="s">
        <v>428</v>
      </c>
      <c r="C42" s="1" t="s">
        <v>1452</v>
      </c>
      <c r="D42" s="1" t="s">
        <v>443</v>
      </c>
      <c r="E42" s="9" t="s">
        <v>144</v>
      </c>
      <c r="F42" s="9" t="s">
        <v>8</v>
      </c>
      <c r="G42" s="48" t="s">
        <v>734</v>
      </c>
      <c r="H42" s="8"/>
      <c r="I42" s="8"/>
      <c r="J42" s="75"/>
      <c r="K42" s="38">
        <v>0</v>
      </c>
      <c r="L42" s="4" t="s">
        <v>25</v>
      </c>
      <c r="M42" s="11">
        <f>_xlfn.NUMBERVALUE(LEFT(Table613[[#This Row],[Fiscal Year]], 4))</f>
        <v>2017</v>
      </c>
      <c r="N42" s="43">
        <f>K42*(1+VLOOKUP(M42,$AF$8:$AH$31,3,0))</f>
        <v>0</v>
      </c>
      <c r="O42" s="3">
        <v>40</v>
      </c>
    </row>
    <row r="43" spans="1:15" x14ac:dyDescent="0.25">
      <c r="A43" s="9"/>
      <c r="B43" s="9"/>
      <c r="C43" s="1"/>
      <c r="D43" s="1"/>
      <c r="E43" s="9"/>
      <c r="F43" s="9"/>
      <c r="G43" s="48"/>
      <c r="H43" s="8"/>
      <c r="I43" s="8"/>
      <c r="J43" s="6"/>
      <c r="L43" s="4"/>
      <c r="O43" s="3">
        <v>41</v>
      </c>
    </row>
    <row r="44" spans="1:15" x14ac:dyDescent="0.25">
      <c r="A44" s="3">
        <v>2</v>
      </c>
      <c r="B44" s="3" t="s">
        <v>6</v>
      </c>
      <c r="C44" s="1" t="s">
        <v>6</v>
      </c>
      <c r="D44" s="1" t="s">
        <v>443</v>
      </c>
      <c r="E44" s="9" t="s">
        <v>144</v>
      </c>
      <c r="F44" s="3" t="s">
        <v>5</v>
      </c>
      <c r="G44" s="48" t="s">
        <v>736</v>
      </c>
      <c r="H44" s="8"/>
      <c r="I44" s="8"/>
      <c r="J44" s="6" t="s">
        <v>110</v>
      </c>
      <c r="K44" s="38">
        <v>1342357</v>
      </c>
      <c r="L44" s="4" t="s">
        <v>26</v>
      </c>
      <c r="M44" s="11">
        <f>_xlfn.NUMBERVALUE(LEFT(Table613[[#This Row],[Fiscal Year]], 4))</f>
        <v>2018</v>
      </c>
      <c r="N44" s="42">
        <f t="shared" ref="N44:N72" si="3">K44*(1+VLOOKUP(M44,$AF$8:$AH$31,3,0))</f>
        <v>1342357</v>
      </c>
      <c r="O44" s="3">
        <v>42</v>
      </c>
    </row>
    <row r="45" spans="1:15" x14ac:dyDescent="0.25">
      <c r="A45" s="3">
        <v>2</v>
      </c>
      <c r="B45" s="3" t="s">
        <v>6</v>
      </c>
      <c r="C45" s="1" t="s">
        <v>6</v>
      </c>
      <c r="D45" s="1" t="s">
        <v>443</v>
      </c>
      <c r="E45" s="9" t="s">
        <v>144</v>
      </c>
      <c r="F45" s="3" t="s">
        <v>5</v>
      </c>
      <c r="G45" s="48" t="s">
        <v>737</v>
      </c>
      <c r="H45" s="8"/>
      <c r="I45" s="8"/>
      <c r="J45" s="75"/>
      <c r="K45" s="38">
        <v>4000</v>
      </c>
      <c r="L45" s="4" t="s">
        <v>26</v>
      </c>
      <c r="M45" s="11">
        <f>_xlfn.NUMBERVALUE(LEFT(Table613[[#This Row],[Fiscal Year]], 4))</f>
        <v>2018</v>
      </c>
      <c r="N45" s="42">
        <f t="shared" si="3"/>
        <v>4000</v>
      </c>
      <c r="O45" s="3">
        <v>43</v>
      </c>
    </row>
    <row r="46" spans="1:15" x14ac:dyDescent="0.25">
      <c r="A46" s="3">
        <v>2</v>
      </c>
      <c r="B46" s="3" t="s">
        <v>6</v>
      </c>
      <c r="C46" s="1" t="s">
        <v>6</v>
      </c>
      <c r="D46" s="1" t="s">
        <v>443</v>
      </c>
      <c r="E46" s="9" t="s">
        <v>144</v>
      </c>
      <c r="F46" s="3" t="s">
        <v>5</v>
      </c>
      <c r="G46" s="48" t="s">
        <v>738</v>
      </c>
      <c r="H46" s="8"/>
      <c r="I46" s="8"/>
      <c r="J46" s="75"/>
      <c r="K46" s="38">
        <v>113957</v>
      </c>
      <c r="L46" s="4" t="s">
        <v>26</v>
      </c>
      <c r="M46" s="11">
        <f>_xlfn.NUMBERVALUE(LEFT(Table613[[#This Row],[Fiscal Year]], 4))</f>
        <v>2018</v>
      </c>
      <c r="N46" s="42">
        <f t="shared" si="3"/>
        <v>113957</v>
      </c>
      <c r="O46" s="3">
        <v>44</v>
      </c>
    </row>
    <row r="47" spans="1:15" x14ac:dyDescent="0.25">
      <c r="A47" s="3">
        <v>2</v>
      </c>
      <c r="B47" s="3" t="s">
        <v>6</v>
      </c>
      <c r="C47" s="1" t="s">
        <v>6</v>
      </c>
      <c r="D47" s="1" t="s">
        <v>443</v>
      </c>
      <c r="E47" s="9" t="s">
        <v>144</v>
      </c>
      <c r="F47" s="3" t="s">
        <v>5</v>
      </c>
      <c r="G47" s="48" t="s">
        <v>739</v>
      </c>
      <c r="H47" s="8"/>
      <c r="I47" s="8"/>
      <c r="J47" s="75"/>
      <c r="K47" s="38">
        <v>230000</v>
      </c>
      <c r="L47" s="4" t="s">
        <v>26</v>
      </c>
      <c r="M47" s="11">
        <f>_xlfn.NUMBERVALUE(LEFT(Table613[[#This Row],[Fiscal Year]], 4))</f>
        <v>2018</v>
      </c>
      <c r="N47" s="42">
        <f t="shared" si="3"/>
        <v>230000</v>
      </c>
      <c r="O47" s="3">
        <v>45</v>
      </c>
    </row>
    <row r="48" spans="1:15" x14ac:dyDescent="0.25">
      <c r="A48" s="3">
        <v>2</v>
      </c>
      <c r="B48" s="3" t="s">
        <v>6</v>
      </c>
      <c r="C48" s="1" t="s">
        <v>6</v>
      </c>
      <c r="D48" s="1" t="s">
        <v>443</v>
      </c>
      <c r="E48" s="9" t="s">
        <v>144</v>
      </c>
      <c r="F48" s="3" t="s">
        <v>5</v>
      </c>
      <c r="G48" s="66" t="s">
        <v>740</v>
      </c>
      <c r="H48" s="8"/>
      <c r="I48" s="8"/>
      <c r="J48" s="6" t="s">
        <v>110</v>
      </c>
      <c r="K48" s="38">
        <v>1000</v>
      </c>
      <c r="L48" s="4" t="s">
        <v>26</v>
      </c>
      <c r="M48" s="11">
        <f>_xlfn.NUMBERVALUE(LEFT(Table613[[#This Row],[Fiscal Year]], 4))</f>
        <v>2018</v>
      </c>
      <c r="N48" s="42">
        <f t="shared" si="3"/>
        <v>1000</v>
      </c>
      <c r="O48" s="3">
        <v>46</v>
      </c>
    </row>
    <row r="49" spans="1:15" x14ac:dyDescent="0.25">
      <c r="A49" s="3">
        <v>2</v>
      </c>
      <c r="B49" s="3" t="s">
        <v>6</v>
      </c>
      <c r="C49" s="1" t="s">
        <v>6</v>
      </c>
      <c r="D49" s="1" t="s">
        <v>443</v>
      </c>
      <c r="E49" s="9" t="s">
        <v>144</v>
      </c>
      <c r="F49" s="3" t="s">
        <v>5</v>
      </c>
      <c r="G49" s="66" t="s">
        <v>741</v>
      </c>
      <c r="H49" s="8"/>
      <c r="I49" s="8"/>
      <c r="J49" s="75"/>
      <c r="K49" s="38">
        <v>5100</v>
      </c>
      <c r="L49" s="4" t="s">
        <v>26</v>
      </c>
      <c r="M49" s="11">
        <f>_xlfn.NUMBERVALUE(LEFT(Table613[[#This Row],[Fiscal Year]], 4))</f>
        <v>2018</v>
      </c>
      <c r="N49" s="42">
        <f t="shared" si="3"/>
        <v>5100</v>
      </c>
      <c r="O49" s="3">
        <v>47</v>
      </c>
    </row>
    <row r="50" spans="1:15" x14ac:dyDescent="0.25">
      <c r="A50" s="3">
        <v>2</v>
      </c>
      <c r="B50" s="3" t="s">
        <v>6</v>
      </c>
      <c r="C50" s="1" t="s">
        <v>6</v>
      </c>
      <c r="D50" s="1" t="s">
        <v>443</v>
      </c>
      <c r="E50" s="9" t="s">
        <v>144</v>
      </c>
      <c r="F50" s="3" t="s">
        <v>5</v>
      </c>
      <c r="G50" s="66" t="s">
        <v>742</v>
      </c>
      <c r="H50" s="8"/>
      <c r="I50" s="8"/>
      <c r="J50" s="75"/>
      <c r="K50" s="38">
        <v>500</v>
      </c>
      <c r="L50" s="4" t="s">
        <v>26</v>
      </c>
      <c r="M50" s="11">
        <f>_xlfn.NUMBERVALUE(LEFT(Table613[[#This Row],[Fiscal Year]], 4))</f>
        <v>2018</v>
      </c>
      <c r="N50" s="42">
        <f t="shared" si="3"/>
        <v>500</v>
      </c>
      <c r="O50" s="3">
        <v>48</v>
      </c>
    </row>
    <row r="51" spans="1:15" x14ac:dyDescent="0.25">
      <c r="A51" s="3">
        <v>2</v>
      </c>
      <c r="B51" s="3" t="s">
        <v>6</v>
      </c>
      <c r="C51" s="1" t="s">
        <v>6</v>
      </c>
      <c r="D51" s="1" t="s">
        <v>443</v>
      </c>
      <c r="E51" s="9" t="s">
        <v>144</v>
      </c>
      <c r="F51" s="3" t="s">
        <v>5</v>
      </c>
      <c r="G51" s="63" t="s">
        <v>743</v>
      </c>
      <c r="H51" s="8"/>
      <c r="I51" s="8"/>
      <c r="J51" s="8" t="s">
        <v>110</v>
      </c>
      <c r="K51" s="38">
        <v>46260</v>
      </c>
      <c r="L51" s="4" t="s">
        <v>26</v>
      </c>
      <c r="M51" s="11">
        <f>_xlfn.NUMBERVALUE(LEFT(Table613[[#This Row],[Fiscal Year]], 4))</f>
        <v>2018</v>
      </c>
      <c r="N51" s="42">
        <f t="shared" si="3"/>
        <v>46260</v>
      </c>
      <c r="O51" s="3">
        <v>49</v>
      </c>
    </row>
    <row r="52" spans="1:15" x14ac:dyDescent="0.25">
      <c r="A52" s="3">
        <v>2</v>
      </c>
      <c r="B52" s="3" t="s">
        <v>6</v>
      </c>
      <c r="C52" s="1" t="s">
        <v>6</v>
      </c>
      <c r="D52" s="1" t="s">
        <v>443</v>
      </c>
      <c r="E52" s="9" t="s">
        <v>144</v>
      </c>
      <c r="F52" s="3" t="s">
        <v>5</v>
      </c>
      <c r="G52" s="63" t="s">
        <v>744</v>
      </c>
      <c r="H52" s="8"/>
      <c r="I52" s="8"/>
      <c r="J52" s="75"/>
      <c r="K52" s="38">
        <v>20790</v>
      </c>
      <c r="L52" s="4" t="s">
        <v>26</v>
      </c>
      <c r="M52" s="11">
        <f>_xlfn.NUMBERVALUE(LEFT(Table613[[#This Row],[Fiscal Year]], 4))</f>
        <v>2018</v>
      </c>
      <c r="N52" s="42">
        <f t="shared" si="3"/>
        <v>20790</v>
      </c>
      <c r="O52" s="3">
        <v>50</v>
      </c>
    </row>
    <row r="53" spans="1:15" x14ac:dyDescent="0.25">
      <c r="A53" s="3">
        <v>2</v>
      </c>
      <c r="B53" s="3" t="s">
        <v>6</v>
      </c>
      <c r="C53" s="1" t="s">
        <v>6</v>
      </c>
      <c r="D53" s="1" t="s">
        <v>443</v>
      </c>
      <c r="E53" s="9" t="s">
        <v>144</v>
      </c>
      <c r="F53" s="3" t="s">
        <v>5</v>
      </c>
      <c r="G53" s="63" t="s">
        <v>745</v>
      </c>
      <c r="H53" s="8"/>
      <c r="I53" s="8"/>
      <c r="J53" s="75"/>
      <c r="K53" s="38">
        <v>100</v>
      </c>
      <c r="L53" s="4" t="s">
        <v>26</v>
      </c>
      <c r="M53" s="11">
        <f>_xlfn.NUMBERVALUE(LEFT(Table613[[#This Row],[Fiscal Year]], 4))</f>
        <v>2018</v>
      </c>
      <c r="N53" s="42">
        <f t="shared" si="3"/>
        <v>100</v>
      </c>
      <c r="O53" s="3">
        <v>51</v>
      </c>
    </row>
    <row r="54" spans="1:15" x14ac:dyDescent="0.25">
      <c r="A54" s="3">
        <v>2</v>
      </c>
      <c r="B54" s="3" t="s">
        <v>6</v>
      </c>
      <c r="C54" s="1" t="s">
        <v>6</v>
      </c>
      <c r="D54" s="1" t="s">
        <v>443</v>
      </c>
      <c r="E54" s="9" t="s">
        <v>144</v>
      </c>
      <c r="F54" s="3" t="s">
        <v>5</v>
      </c>
      <c r="G54" s="63" t="s">
        <v>746</v>
      </c>
      <c r="H54" s="8"/>
      <c r="I54" s="8"/>
      <c r="J54" s="8" t="s">
        <v>110</v>
      </c>
      <c r="K54" s="38">
        <v>10000</v>
      </c>
      <c r="L54" s="4" t="s">
        <v>26</v>
      </c>
      <c r="M54" s="11">
        <f>_xlfn.NUMBERVALUE(LEFT(Table613[[#This Row],[Fiscal Year]], 4))</f>
        <v>2018</v>
      </c>
      <c r="N54" s="42">
        <f t="shared" si="3"/>
        <v>10000</v>
      </c>
      <c r="O54" s="3">
        <v>52</v>
      </c>
    </row>
    <row r="55" spans="1:15" x14ac:dyDescent="0.25">
      <c r="A55" s="3">
        <v>2</v>
      </c>
      <c r="B55" s="3" t="s">
        <v>6</v>
      </c>
      <c r="C55" s="1" t="s">
        <v>6</v>
      </c>
      <c r="D55" s="1" t="s">
        <v>443</v>
      </c>
      <c r="E55" s="9" t="s">
        <v>144</v>
      </c>
      <c r="F55" s="3" t="s">
        <v>5</v>
      </c>
      <c r="G55" s="63" t="s">
        <v>747</v>
      </c>
      <c r="H55" s="8"/>
      <c r="I55" s="8"/>
      <c r="J55" s="75"/>
      <c r="K55" s="38">
        <v>6000</v>
      </c>
      <c r="L55" s="4" t="s">
        <v>26</v>
      </c>
      <c r="M55" s="11">
        <f>_xlfn.NUMBERVALUE(LEFT(Table613[[#This Row],[Fiscal Year]], 4))</f>
        <v>2018</v>
      </c>
      <c r="N55" s="42">
        <f t="shared" si="3"/>
        <v>6000</v>
      </c>
      <c r="O55" s="3">
        <v>53</v>
      </c>
    </row>
    <row r="56" spans="1:15" x14ac:dyDescent="0.25">
      <c r="A56" s="3">
        <v>2</v>
      </c>
      <c r="B56" s="3" t="s">
        <v>6</v>
      </c>
      <c r="C56" s="1" t="s">
        <v>6</v>
      </c>
      <c r="D56" s="1" t="s">
        <v>443</v>
      </c>
      <c r="E56" s="9" t="s">
        <v>144</v>
      </c>
      <c r="F56" s="3" t="s">
        <v>5</v>
      </c>
      <c r="G56" s="63" t="s">
        <v>748</v>
      </c>
      <c r="H56" s="44" t="s">
        <v>462</v>
      </c>
      <c r="I56" s="8" t="s">
        <v>461</v>
      </c>
      <c r="J56" s="8" t="s">
        <v>110</v>
      </c>
      <c r="K56" s="38">
        <v>250000</v>
      </c>
      <c r="L56" s="4" t="s">
        <v>26</v>
      </c>
      <c r="M56" s="11">
        <f>_xlfn.NUMBERVALUE(LEFT(Table613[[#This Row],[Fiscal Year]], 4))</f>
        <v>2018</v>
      </c>
      <c r="N56" s="42">
        <f t="shared" si="3"/>
        <v>250000</v>
      </c>
      <c r="O56" s="3">
        <v>54</v>
      </c>
    </row>
    <row r="57" spans="1:15" x14ac:dyDescent="0.25">
      <c r="A57" s="3">
        <v>2</v>
      </c>
      <c r="B57" s="3" t="s">
        <v>6</v>
      </c>
      <c r="C57" s="1" t="s">
        <v>6</v>
      </c>
      <c r="D57" s="1" t="s">
        <v>443</v>
      </c>
      <c r="E57" s="9" t="s">
        <v>144</v>
      </c>
      <c r="F57" s="3" t="s">
        <v>5</v>
      </c>
      <c r="G57" s="63" t="s">
        <v>749</v>
      </c>
      <c r="H57" s="44"/>
      <c r="I57" s="8"/>
      <c r="J57" s="75"/>
      <c r="K57" s="38">
        <v>100000</v>
      </c>
      <c r="L57" s="4" t="s">
        <v>26</v>
      </c>
      <c r="M57" s="11">
        <f>_xlfn.NUMBERVALUE(LEFT(Table613[[#This Row],[Fiscal Year]], 4))</f>
        <v>2018</v>
      </c>
      <c r="N57" s="42">
        <f t="shared" si="3"/>
        <v>100000</v>
      </c>
      <c r="O57" s="3">
        <v>55</v>
      </c>
    </row>
    <row r="58" spans="1:15" x14ac:dyDescent="0.25">
      <c r="A58" s="3">
        <v>2</v>
      </c>
      <c r="B58" s="3" t="s">
        <v>6</v>
      </c>
      <c r="C58" s="1" t="s">
        <v>6</v>
      </c>
      <c r="D58" s="1" t="s">
        <v>443</v>
      </c>
      <c r="E58" s="9" t="s">
        <v>144</v>
      </c>
      <c r="F58" s="3" t="s">
        <v>5</v>
      </c>
      <c r="G58" s="63" t="s">
        <v>750</v>
      </c>
      <c r="H58" s="44"/>
      <c r="I58" s="8"/>
      <c r="J58" s="75"/>
      <c r="K58" s="38">
        <v>110000</v>
      </c>
      <c r="L58" s="4" t="s">
        <v>26</v>
      </c>
      <c r="M58" s="11">
        <f>_xlfn.NUMBERVALUE(LEFT(Table613[[#This Row],[Fiscal Year]], 4))</f>
        <v>2018</v>
      </c>
      <c r="N58" s="42">
        <f t="shared" si="3"/>
        <v>110000</v>
      </c>
      <c r="O58" s="3">
        <v>56</v>
      </c>
    </row>
    <row r="59" spans="1:15" x14ac:dyDescent="0.25">
      <c r="A59" s="3">
        <v>2</v>
      </c>
      <c r="B59" s="3" t="s">
        <v>6</v>
      </c>
      <c r="C59" s="1" t="s">
        <v>6</v>
      </c>
      <c r="D59" s="1" t="s">
        <v>443</v>
      </c>
      <c r="E59" s="9" t="s">
        <v>144</v>
      </c>
      <c r="F59" s="3" t="s">
        <v>5</v>
      </c>
      <c r="G59" s="48" t="s">
        <v>751</v>
      </c>
      <c r="H59" s="44" t="s">
        <v>463</v>
      </c>
      <c r="I59" s="8" t="s">
        <v>642</v>
      </c>
      <c r="J59" s="6" t="s">
        <v>108</v>
      </c>
      <c r="K59" s="38">
        <v>2500</v>
      </c>
      <c r="L59" s="4" t="s">
        <v>26</v>
      </c>
      <c r="M59" s="11">
        <f>_xlfn.NUMBERVALUE(LEFT(Table613[[#This Row],[Fiscal Year]], 4))</f>
        <v>2018</v>
      </c>
      <c r="N59" s="42">
        <f t="shared" si="3"/>
        <v>2500</v>
      </c>
      <c r="O59" s="3">
        <v>57</v>
      </c>
    </row>
    <row r="60" spans="1:15" x14ac:dyDescent="0.25">
      <c r="A60" s="3">
        <v>2</v>
      </c>
      <c r="B60" s="3" t="s">
        <v>6</v>
      </c>
      <c r="C60" s="1" t="s">
        <v>6</v>
      </c>
      <c r="D60" s="1" t="s">
        <v>443</v>
      </c>
      <c r="E60" s="9" t="s">
        <v>144</v>
      </c>
      <c r="F60" s="3" t="s">
        <v>5</v>
      </c>
      <c r="G60" s="66" t="s">
        <v>752</v>
      </c>
      <c r="H60" s="8"/>
      <c r="I60" s="8"/>
      <c r="J60" s="6" t="s">
        <v>111</v>
      </c>
      <c r="K60" s="38">
        <v>160000</v>
      </c>
      <c r="L60" s="4" t="s">
        <v>26</v>
      </c>
      <c r="M60" s="11">
        <f>_xlfn.NUMBERVALUE(LEFT(Table613[[#This Row],[Fiscal Year]], 4))</f>
        <v>2018</v>
      </c>
      <c r="N60" s="42">
        <f t="shared" si="3"/>
        <v>160000</v>
      </c>
      <c r="O60" s="3">
        <v>58</v>
      </c>
    </row>
    <row r="61" spans="1:15" x14ac:dyDescent="0.25">
      <c r="A61" s="3">
        <v>2</v>
      </c>
      <c r="B61" s="3" t="s">
        <v>6</v>
      </c>
      <c r="C61" s="1" t="s">
        <v>6</v>
      </c>
      <c r="D61" s="1" t="s">
        <v>443</v>
      </c>
      <c r="E61" s="9" t="s">
        <v>144</v>
      </c>
      <c r="F61" s="3" t="s">
        <v>5</v>
      </c>
      <c r="G61" s="66" t="s">
        <v>753</v>
      </c>
      <c r="H61" s="8"/>
      <c r="I61" s="8"/>
      <c r="J61" s="75"/>
      <c r="K61" s="38">
        <v>32004</v>
      </c>
      <c r="L61" s="4" t="s">
        <v>26</v>
      </c>
      <c r="M61" s="11">
        <f>_xlfn.NUMBERVALUE(LEFT(Table613[[#This Row],[Fiscal Year]], 4))</f>
        <v>2018</v>
      </c>
      <c r="N61" s="42">
        <f t="shared" si="3"/>
        <v>32004</v>
      </c>
      <c r="O61" s="3">
        <v>59</v>
      </c>
    </row>
    <row r="62" spans="1:15" x14ac:dyDescent="0.25">
      <c r="A62" s="3">
        <v>2</v>
      </c>
      <c r="B62" s="3" t="s">
        <v>6</v>
      </c>
      <c r="C62" s="1" t="s">
        <v>6</v>
      </c>
      <c r="D62" s="1" t="s">
        <v>443</v>
      </c>
      <c r="E62" s="9" t="s">
        <v>144</v>
      </c>
      <c r="F62" s="3" t="s">
        <v>5</v>
      </c>
      <c r="G62" s="66" t="s">
        <v>754</v>
      </c>
      <c r="H62" s="8"/>
      <c r="I62" s="8"/>
      <c r="J62" s="75"/>
      <c r="K62" s="38">
        <v>40000</v>
      </c>
      <c r="L62" s="4" t="s">
        <v>26</v>
      </c>
      <c r="M62" s="11">
        <f>_xlfn.NUMBERVALUE(LEFT(Table613[[#This Row],[Fiscal Year]], 4))</f>
        <v>2018</v>
      </c>
      <c r="N62" s="42">
        <f t="shared" si="3"/>
        <v>40000</v>
      </c>
      <c r="O62" s="3">
        <v>60</v>
      </c>
    </row>
    <row r="63" spans="1:15" x14ac:dyDescent="0.25">
      <c r="A63" s="3">
        <v>2</v>
      </c>
      <c r="B63" s="3" t="s">
        <v>6</v>
      </c>
      <c r="C63" s="1" t="s">
        <v>6</v>
      </c>
      <c r="D63" s="1" t="s">
        <v>443</v>
      </c>
      <c r="E63" s="9" t="s">
        <v>144</v>
      </c>
      <c r="F63" s="3" t="s">
        <v>5</v>
      </c>
      <c r="G63" s="66" t="s">
        <v>755</v>
      </c>
      <c r="H63" s="8"/>
      <c r="I63" s="8"/>
      <c r="J63" s="75"/>
      <c r="K63" s="38">
        <v>15000</v>
      </c>
      <c r="L63" s="4" t="s">
        <v>26</v>
      </c>
      <c r="M63" s="11">
        <f>_xlfn.NUMBERVALUE(LEFT(Table613[[#This Row],[Fiscal Year]], 4))</f>
        <v>2018</v>
      </c>
      <c r="N63" s="42">
        <f t="shared" si="3"/>
        <v>15000</v>
      </c>
      <c r="O63" s="3">
        <v>61</v>
      </c>
    </row>
    <row r="64" spans="1:15" x14ac:dyDescent="0.25">
      <c r="A64" s="3">
        <v>2</v>
      </c>
      <c r="B64" s="3" t="s">
        <v>6</v>
      </c>
      <c r="C64" s="1" t="s">
        <v>6</v>
      </c>
      <c r="D64" s="1" t="s">
        <v>443</v>
      </c>
      <c r="E64" s="9" t="s">
        <v>144</v>
      </c>
      <c r="F64" s="3" t="s">
        <v>5</v>
      </c>
      <c r="G64" s="66" t="s">
        <v>756</v>
      </c>
      <c r="H64" s="8"/>
      <c r="I64" s="8"/>
      <c r="J64" s="75"/>
      <c r="K64" s="38">
        <v>150000</v>
      </c>
      <c r="L64" s="4" t="s">
        <v>26</v>
      </c>
      <c r="M64" s="11">
        <f>_xlfn.NUMBERVALUE(LEFT(Table613[[#This Row],[Fiscal Year]], 4))</f>
        <v>2018</v>
      </c>
      <c r="N64" s="42">
        <f t="shared" si="3"/>
        <v>150000</v>
      </c>
      <c r="O64" s="3">
        <v>62</v>
      </c>
    </row>
    <row r="65" spans="1:15" x14ac:dyDescent="0.25">
      <c r="A65" s="3">
        <v>2</v>
      </c>
      <c r="B65" s="3" t="s">
        <v>6</v>
      </c>
      <c r="C65" s="1" t="s">
        <v>6</v>
      </c>
      <c r="D65" s="1" t="s">
        <v>443</v>
      </c>
      <c r="E65" s="9" t="s">
        <v>144</v>
      </c>
      <c r="F65" s="3" t="s">
        <v>5</v>
      </c>
      <c r="G65" s="66" t="s">
        <v>757</v>
      </c>
      <c r="H65" s="8"/>
      <c r="I65" s="8"/>
      <c r="J65" s="75"/>
      <c r="K65" s="38">
        <v>1500</v>
      </c>
      <c r="L65" s="4" t="s">
        <v>26</v>
      </c>
      <c r="M65" s="11">
        <f>_xlfn.NUMBERVALUE(LEFT(Table613[[#This Row],[Fiscal Year]], 4))</f>
        <v>2018</v>
      </c>
      <c r="N65" s="42">
        <f t="shared" si="3"/>
        <v>1500</v>
      </c>
      <c r="O65" s="3">
        <v>63</v>
      </c>
    </row>
    <row r="66" spans="1:15" x14ac:dyDescent="0.25">
      <c r="A66" s="3">
        <v>2</v>
      </c>
      <c r="B66" s="3" t="s">
        <v>6</v>
      </c>
      <c r="C66" s="1" t="s">
        <v>6</v>
      </c>
      <c r="D66" s="1" t="s">
        <v>443</v>
      </c>
      <c r="E66" s="9" t="s">
        <v>144</v>
      </c>
      <c r="F66" s="3" t="s">
        <v>5</v>
      </c>
      <c r="G66" s="66" t="s">
        <v>758</v>
      </c>
      <c r="H66" s="8"/>
      <c r="I66" s="8"/>
      <c r="J66" s="75"/>
      <c r="K66" s="38">
        <v>4500</v>
      </c>
      <c r="L66" s="4" t="s">
        <v>26</v>
      </c>
      <c r="M66" s="11">
        <f>_xlfn.NUMBERVALUE(LEFT(Table613[[#This Row],[Fiscal Year]], 4))</f>
        <v>2018</v>
      </c>
      <c r="N66" s="42">
        <f t="shared" si="3"/>
        <v>4500</v>
      </c>
      <c r="O66" s="3">
        <v>64</v>
      </c>
    </row>
    <row r="67" spans="1:15" x14ac:dyDescent="0.25">
      <c r="A67" s="3">
        <v>2</v>
      </c>
      <c r="B67" s="3" t="s">
        <v>6</v>
      </c>
      <c r="C67" s="1" t="s">
        <v>6</v>
      </c>
      <c r="D67" s="1" t="s">
        <v>443</v>
      </c>
      <c r="E67" s="9" t="s">
        <v>144</v>
      </c>
      <c r="F67" s="3" t="s">
        <v>5</v>
      </c>
      <c r="G67" s="66" t="s">
        <v>759</v>
      </c>
      <c r="H67" s="8"/>
      <c r="I67" s="8"/>
      <c r="J67" s="75"/>
      <c r="K67" s="38">
        <v>0</v>
      </c>
      <c r="L67" s="4" t="s">
        <v>26</v>
      </c>
      <c r="M67" s="11">
        <f>_xlfn.NUMBERVALUE(LEFT(Table613[[#This Row],[Fiscal Year]], 4))</f>
        <v>2018</v>
      </c>
      <c r="N67" s="43">
        <f t="shared" si="3"/>
        <v>0</v>
      </c>
      <c r="O67" s="3">
        <v>65</v>
      </c>
    </row>
    <row r="68" spans="1:15" x14ac:dyDescent="0.25">
      <c r="A68" s="3">
        <v>2</v>
      </c>
      <c r="B68" s="3" t="s">
        <v>6</v>
      </c>
      <c r="C68" s="1" t="s">
        <v>6</v>
      </c>
      <c r="D68" s="1" t="s">
        <v>443</v>
      </c>
      <c r="E68" s="9" t="s">
        <v>144</v>
      </c>
      <c r="F68" s="3" t="s">
        <v>5</v>
      </c>
      <c r="G68" s="66" t="s">
        <v>760</v>
      </c>
      <c r="H68" s="8"/>
      <c r="I68" s="8"/>
      <c r="J68" s="75"/>
      <c r="K68" s="38">
        <v>20000</v>
      </c>
      <c r="L68" s="4" t="s">
        <v>26</v>
      </c>
      <c r="M68" s="11">
        <f>_xlfn.NUMBERVALUE(LEFT(Table613[[#This Row],[Fiscal Year]], 4))</f>
        <v>2018</v>
      </c>
      <c r="N68" s="42">
        <f t="shared" si="3"/>
        <v>20000</v>
      </c>
      <c r="O68" s="3">
        <v>66</v>
      </c>
    </row>
    <row r="69" spans="1:15" x14ac:dyDescent="0.25">
      <c r="A69" s="3">
        <v>2</v>
      </c>
      <c r="B69" s="3" t="s">
        <v>6</v>
      </c>
      <c r="C69" s="1" t="s">
        <v>6</v>
      </c>
      <c r="D69" s="1" t="s">
        <v>443</v>
      </c>
      <c r="E69" s="9" t="s">
        <v>144</v>
      </c>
      <c r="F69" s="3" t="s">
        <v>5</v>
      </c>
      <c r="G69" s="66" t="s">
        <v>761</v>
      </c>
      <c r="H69" s="8"/>
      <c r="I69" s="8"/>
      <c r="J69" s="75"/>
      <c r="K69" s="38">
        <v>2500</v>
      </c>
      <c r="L69" s="4" t="s">
        <v>26</v>
      </c>
      <c r="M69" s="11">
        <f>_xlfn.NUMBERVALUE(LEFT(Table613[[#This Row],[Fiscal Year]], 4))</f>
        <v>2018</v>
      </c>
      <c r="N69" s="42">
        <f t="shared" si="3"/>
        <v>2500</v>
      </c>
      <c r="O69" s="3">
        <v>67</v>
      </c>
    </row>
    <row r="70" spans="1:15" x14ac:dyDescent="0.25">
      <c r="A70" s="3">
        <v>2</v>
      </c>
      <c r="B70" s="3" t="s">
        <v>6</v>
      </c>
      <c r="C70" s="1" t="s">
        <v>6</v>
      </c>
      <c r="D70" s="1" t="s">
        <v>443</v>
      </c>
      <c r="E70" s="9" t="s">
        <v>144</v>
      </c>
      <c r="F70" s="3" t="s">
        <v>5</v>
      </c>
      <c r="G70" s="66" t="s">
        <v>762</v>
      </c>
      <c r="H70" s="8"/>
      <c r="I70" s="8"/>
      <c r="J70" s="75"/>
      <c r="K70" s="38">
        <v>5550</v>
      </c>
      <c r="L70" s="4" t="s">
        <v>26</v>
      </c>
      <c r="M70" s="11">
        <f>_xlfn.NUMBERVALUE(LEFT(Table613[[#This Row],[Fiscal Year]], 4))</f>
        <v>2018</v>
      </c>
      <c r="N70" s="42">
        <f t="shared" si="3"/>
        <v>5550</v>
      </c>
      <c r="O70" s="3">
        <v>68</v>
      </c>
    </row>
    <row r="71" spans="1:15" x14ac:dyDescent="0.25">
      <c r="A71" s="3">
        <v>2</v>
      </c>
      <c r="B71" s="3" t="s">
        <v>6</v>
      </c>
      <c r="C71" s="1" t="s">
        <v>6</v>
      </c>
      <c r="D71" s="1" t="s">
        <v>443</v>
      </c>
      <c r="E71" s="9" t="s">
        <v>144</v>
      </c>
      <c r="F71" s="3" t="s">
        <v>5</v>
      </c>
      <c r="G71" s="48" t="s">
        <v>763</v>
      </c>
      <c r="H71" s="44" t="s">
        <v>464</v>
      </c>
      <c r="I71" s="8" t="s">
        <v>642</v>
      </c>
      <c r="J71" s="6" t="s">
        <v>109</v>
      </c>
      <c r="K71" s="38">
        <v>4000</v>
      </c>
      <c r="L71" s="4" t="s">
        <v>26</v>
      </c>
      <c r="M71" s="11">
        <f>_xlfn.NUMBERVALUE(LEFT(Table613[[#This Row],[Fiscal Year]], 4))</f>
        <v>2018</v>
      </c>
      <c r="N71" s="42">
        <f t="shared" si="3"/>
        <v>4000</v>
      </c>
      <c r="O71" s="3">
        <v>69</v>
      </c>
    </row>
    <row r="72" spans="1:15" x14ac:dyDescent="0.25">
      <c r="A72" s="3">
        <v>2</v>
      </c>
      <c r="B72" s="3" t="s">
        <v>6</v>
      </c>
      <c r="C72" s="1" t="s">
        <v>6</v>
      </c>
      <c r="D72" s="1" t="s">
        <v>443</v>
      </c>
      <c r="E72" s="9" t="s">
        <v>144</v>
      </c>
      <c r="F72" s="3" t="s">
        <v>5</v>
      </c>
      <c r="G72" s="66" t="s">
        <v>764</v>
      </c>
      <c r="H72" s="8"/>
      <c r="I72" s="8"/>
      <c r="J72" s="6" t="s">
        <v>106</v>
      </c>
      <c r="K72" s="38">
        <v>10000</v>
      </c>
      <c r="L72" s="4" t="s">
        <v>26</v>
      </c>
      <c r="M72" s="11">
        <f>_xlfn.NUMBERVALUE(LEFT(Table613[[#This Row],[Fiscal Year]], 4))</f>
        <v>2018</v>
      </c>
      <c r="N72" s="42">
        <f t="shared" si="3"/>
        <v>10000</v>
      </c>
      <c r="O72" s="3">
        <v>70</v>
      </c>
    </row>
    <row r="73" spans="1:15" x14ac:dyDescent="0.25">
      <c r="A73" s="3">
        <v>2</v>
      </c>
      <c r="B73" s="3" t="s">
        <v>6</v>
      </c>
      <c r="C73" s="1" t="s">
        <v>6</v>
      </c>
      <c r="D73" s="1" t="s">
        <v>443</v>
      </c>
      <c r="E73" s="9" t="s">
        <v>144</v>
      </c>
      <c r="F73" s="3" t="s">
        <v>5</v>
      </c>
      <c r="G73" s="63" t="s">
        <v>765</v>
      </c>
      <c r="H73" s="8"/>
      <c r="I73" s="8"/>
      <c r="J73" s="75"/>
      <c r="K73" s="38">
        <v>0</v>
      </c>
      <c r="L73" s="4" t="s">
        <v>26</v>
      </c>
      <c r="M73" s="11">
        <f>_xlfn.NUMBERVALUE(LEFT(Table613[[#This Row],[Fiscal Year]], 4))</f>
        <v>2018</v>
      </c>
      <c r="N73" s="43">
        <f>K73*(1+VLOOKUP(M73,$AF$8:$AH$31,3,0))</f>
        <v>0</v>
      </c>
      <c r="O73" s="3">
        <v>71</v>
      </c>
    </row>
    <row r="74" spans="1:15" x14ac:dyDescent="0.25">
      <c r="A74" s="3">
        <v>2</v>
      </c>
      <c r="B74" s="3" t="s">
        <v>6</v>
      </c>
      <c r="C74" s="1" t="s">
        <v>6</v>
      </c>
      <c r="D74" s="1" t="s">
        <v>443</v>
      </c>
      <c r="E74" s="9" t="s">
        <v>144</v>
      </c>
      <c r="F74" s="3" t="s">
        <v>5</v>
      </c>
      <c r="G74" s="63" t="s">
        <v>766</v>
      </c>
      <c r="H74" s="44" t="s">
        <v>465</v>
      </c>
      <c r="I74" s="8" t="s">
        <v>642</v>
      </c>
      <c r="J74" s="6" t="s">
        <v>107</v>
      </c>
      <c r="K74" s="38">
        <v>0</v>
      </c>
      <c r="L74" s="4" t="s">
        <v>26</v>
      </c>
      <c r="M74" s="11">
        <f>_xlfn.NUMBERVALUE(LEFT(Table613[[#This Row],[Fiscal Year]], 4))</f>
        <v>2018</v>
      </c>
      <c r="N74" s="43">
        <f t="shared" ref="N74:N162" si="4">K74*(1+VLOOKUP(M74,$AF$8:$AH$31,3,0))</f>
        <v>0</v>
      </c>
      <c r="O74" s="3">
        <v>72</v>
      </c>
    </row>
    <row r="75" spans="1:15" ht="15" customHeight="1" x14ac:dyDescent="0.25">
      <c r="A75" s="3">
        <v>2</v>
      </c>
      <c r="B75" s="3" t="s">
        <v>6</v>
      </c>
      <c r="C75" s="1" t="s">
        <v>6</v>
      </c>
      <c r="D75" s="1" t="s">
        <v>443</v>
      </c>
      <c r="E75" s="9" t="s">
        <v>144</v>
      </c>
      <c r="F75" s="3" t="s">
        <v>5</v>
      </c>
      <c r="G75" s="63" t="s">
        <v>767</v>
      </c>
      <c r="H75" s="44"/>
      <c r="I75" s="8"/>
      <c r="J75" s="75"/>
      <c r="K75" s="38">
        <v>150000</v>
      </c>
      <c r="L75" s="4" t="s">
        <v>26</v>
      </c>
      <c r="M75" s="11">
        <f>_xlfn.NUMBERVALUE(LEFT(Table613[[#This Row],[Fiscal Year]], 4))</f>
        <v>2018</v>
      </c>
      <c r="N75" s="42">
        <f t="shared" si="4"/>
        <v>150000</v>
      </c>
      <c r="O75" s="3">
        <v>73</v>
      </c>
    </row>
    <row r="76" spans="1:15" x14ac:dyDescent="0.25">
      <c r="A76" s="3">
        <v>2</v>
      </c>
      <c r="B76" s="3" t="s">
        <v>6</v>
      </c>
      <c r="C76" s="1" t="s">
        <v>6</v>
      </c>
      <c r="D76" s="1" t="s">
        <v>443</v>
      </c>
      <c r="E76" s="9" t="s">
        <v>144</v>
      </c>
      <c r="F76" s="3" t="s">
        <v>5</v>
      </c>
      <c r="G76" s="63" t="s">
        <v>768</v>
      </c>
      <c r="H76" s="44"/>
      <c r="I76" s="8"/>
      <c r="J76" s="75"/>
      <c r="K76" s="38">
        <v>2922</v>
      </c>
      <c r="L76" s="4" t="s">
        <v>26</v>
      </c>
      <c r="M76" s="11">
        <f>_xlfn.NUMBERVALUE(LEFT(Table613[[#This Row],[Fiscal Year]], 4))</f>
        <v>2018</v>
      </c>
      <c r="N76" s="42">
        <f t="shared" si="4"/>
        <v>2922</v>
      </c>
      <c r="O76" s="3">
        <v>74</v>
      </c>
    </row>
    <row r="77" spans="1:15" x14ac:dyDescent="0.25">
      <c r="A77" s="3">
        <v>2</v>
      </c>
      <c r="B77" s="3" t="s">
        <v>6</v>
      </c>
      <c r="C77" s="1" t="s">
        <v>6</v>
      </c>
      <c r="D77" s="1" t="s">
        <v>443</v>
      </c>
      <c r="E77" s="9" t="s">
        <v>144</v>
      </c>
      <c r="F77" s="3" t="s">
        <v>5</v>
      </c>
      <c r="G77" s="63" t="s">
        <v>769</v>
      </c>
      <c r="H77" s="46"/>
      <c r="I77" s="46"/>
      <c r="J77" s="6" t="s">
        <v>453</v>
      </c>
      <c r="K77" s="38">
        <v>2000</v>
      </c>
      <c r="L77" s="4" t="s">
        <v>26</v>
      </c>
      <c r="M77" s="11">
        <f>_xlfn.NUMBERVALUE(LEFT(Table613[[#This Row],[Fiscal Year]], 4))</f>
        <v>2018</v>
      </c>
      <c r="N77" s="42">
        <f t="shared" si="4"/>
        <v>2000</v>
      </c>
      <c r="O77" s="3">
        <v>75</v>
      </c>
    </row>
    <row r="78" spans="1:15" x14ac:dyDescent="0.25">
      <c r="A78" s="3">
        <v>2</v>
      </c>
      <c r="B78" s="3" t="s">
        <v>6</v>
      </c>
      <c r="C78" s="1" t="s">
        <v>6</v>
      </c>
      <c r="D78" s="1" t="s">
        <v>443</v>
      </c>
      <c r="E78" s="9" t="s">
        <v>144</v>
      </c>
      <c r="F78" s="3" t="s">
        <v>5</v>
      </c>
      <c r="G78" s="63" t="s">
        <v>770</v>
      </c>
      <c r="H78" s="46"/>
      <c r="I78" s="46"/>
      <c r="J78" s="75"/>
      <c r="K78" s="38">
        <v>15000</v>
      </c>
      <c r="L78" s="4" t="s">
        <v>26</v>
      </c>
      <c r="M78" s="11">
        <f>_xlfn.NUMBERVALUE(LEFT(Table613[[#This Row],[Fiscal Year]], 4))</f>
        <v>2018</v>
      </c>
      <c r="N78" s="42">
        <f t="shared" si="4"/>
        <v>15000</v>
      </c>
      <c r="O78" s="3">
        <v>76</v>
      </c>
    </row>
    <row r="79" spans="1:15" x14ac:dyDescent="0.25">
      <c r="A79" s="3">
        <v>2</v>
      </c>
      <c r="B79" s="3" t="s">
        <v>6</v>
      </c>
      <c r="C79" s="1" t="s">
        <v>6</v>
      </c>
      <c r="D79" s="1" t="s">
        <v>443</v>
      </c>
      <c r="E79" s="9" t="s">
        <v>144</v>
      </c>
      <c r="F79" s="3" t="s">
        <v>5</v>
      </c>
      <c r="G79" s="63" t="s">
        <v>771</v>
      </c>
      <c r="H79" s="46"/>
      <c r="I79" s="46"/>
      <c r="J79" s="75"/>
      <c r="K79" s="38">
        <v>6000</v>
      </c>
      <c r="L79" s="4" t="s">
        <v>26</v>
      </c>
      <c r="M79" s="11">
        <f>_xlfn.NUMBERVALUE(LEFT(Table613[[#This Row],[Fiscal Year]], 4))</f>
        <v>2018</v>
      </c>
      <c r="N79" s="42">
        <f t="shared" si="4"/>
        <v>6000</v>
      </c>
      <c r="O79" s="3">
        <v>77</v>
      </c>
    </row>
    <row r="80" spans="1:15" x14ac:dyDescent="0.25">
      <c r="A80" s="3">
        <v>2</v>
      </c>
      <c r="B80" s="3" t="s">
        <v>6</v>
      </c>
      <c r="C80" s="1" t="s">
        <v>6</v>
      </c>
      <c r="D80" s="1" t="s">
        <v>443</v>
      </c>
      <c r="E80" s="9" t="s">
        <v>144</v>
      </c>
      <c r="F80" s="3" t="s">
        <v>5</v>
      </c>
      <c r="G80" s="63" t="s">
        <v>772</v>
      </c>
      <c r="H80" s="46"/>
      <c r="I80" s="46"/>
      <c r="J80" s="75"/>
      <c r="K80" s="38">
        <v>20000</v>
      </c>
      <c r="L80" s="4" t="s">
        <v>26</v>
      </c>
      <c r="M80" s="11">
        <f>_xlfn.NUMBERVALUE(LEFT(Table613[[#This Row],[Fiscal Year]], 4))</f>
        <v>2018</v>
      </c>
      <c r="N80" s="42">
        <f t="shared" si="4"/>
        <v>20000</v>
      </c>
      <c r="O80" s="3">
        <v>78</v>
      </c>
    </row>
    <row r="81" spans="1:15" x14ac:dyDescent="0.25">
      <c r="A81" s="3">
        <v>2</v>
      </c>
      <c r="B81" s="3" t="s">
        <v>6</v>
      </c>
      <c r="C81" s="1" t="s">
        <v>6</v>
      </c>
      <c r="D81" s="1" t="s">
        <v>443</v>
      </c>
      <c r="E81" s="9" t="s">
        <v>144</v>
      </c>
      <c r="F81" s="3" t="s">
        <v>5</v>
      </c>
      <c r="G81" s="63" t="s">
        <v>773</v>
      </c>
      <c r="H81" s="46"/>
      <c r="I81" s="46"/>
      <c r="J81" s="75"/>
      <c r="K81" s="38">
        <v>2000</v>
      </c>
      <c r="L81" s="4" t="s">
        <v>26</v>
      </c>
      <c r="M81" s="11">
        <f>_xlfn.NUMBERVALUE(LEFT(Table613[[#This Row],[Fiscal Year]], 4))</f>
        <v>2018</v>
      </c>
      <c r="N81" s="42">
        <f t="shared" si="4"/>
        <v>2000</v>
      </c>
      <c r="O81" s="3">
        <v>79</v>
      </c>
    </row>
    <row r="82" spans="1:15" x14ac:dyDescent="0.25">
      <c r="A82" s="3">
        <v>2</v>
      </c>
      <c r="B82" s="3" t="s">
        <v>6</v>
      </c>
      <c r="C82" s="1" t="s">
        <v>6</v>
      </c>
      <c r="D82" s="1" t="s">
        <v>443</v>
      </c>
      <c r="E82" s="9" t="s">
        <v>144</v>
      </c>
      <c r="F82" s="3" t="s">
        <v>5</v>
      </c>
      <c r="G82" s="63" t="s">
        <v>774</v>
      </c>
      <c r="H82" s="46"/>
      <c r="I82" s="46"/>
      <c r="J82" s="75"/>
      <c r="K82" s="38">
        <v>5000</v>
      </c>
      <c r="L82" s="4" t="s">
        <v>26</v>
      </c>
      <c r="M82" s="11">
        <f>_xlfn.NUMBERVALUE(LEFT(Table613[[#This Row],[Fiscal Year]], 4))</f>
        <v>2018</v>
      </c>
      <c r="N82" s="42">
        <f t="shared" si="4"/>
        <v>5000</v>
      </c>
      <c r="O82" s="3">
        <v>80</v>
      </c>
    </row>
    <row r="83" spans="1:15" x14ac:dyDescent="0.25">
      <c r="A83" s="3">
        <v>2</v>
      </c>
      <c r="B83" s="3" t="s">
        <v>6</v>
      </c>
      <c r="C83" s="1" t="s">
        <v>6</v>
      </c>
      <c r="D83" s="1" t="s">
        <v>443</v>
      </c>
      <c r="E83" s="9" t="s">
        <v>144</v>
      </c>
      <c r="F83" s="3" t="s">
        <v>5</v>
      </c>
      <c r="G83" s="67" t="s">
        <v>775</v>
      </c>
      <c r="H83" s="46"/>
      <c r="I83" s="46"/>
      <c r="J83" s="75"/>
      <c r="K83" s="38">
        <v>163532</v>
      </c>
      <c r="L83" s="4" t="s">
        <v>26</v>
      </c>
      <c r="M83" s="11">
        <f>_xlfn.NUMBERVALUE(LEFT(Table613[[#This Row],[Fiscal Year]], 4))</f>
        <v>2018</v>
      </c>
      <c r="N83" s="42">
        <f t="shared" si="4"/>
        <v>163532</v>
      </c>
      <c r="O83" s="3">
        <v>81</v>
      </c>
    </row>
    <row r="84" spans="1:15" x14ac:dyDescent="0.25">
      <c r="A84" s="3">
        <v>2</v>
      </c>
      <c r="B84" s="3" t="s">
        <v>6</v>
      </c>
      <c r="C84" s="1" t="s">
        <v>6</v>
      </c>
      <c r="D84" s="1" t="s">
        <v>443</v>
      </c>
      <c r="E84" s="9" t="s">
        <v>144</v>
      </c>
      <c r="F84" s="3" t="s">
        <v>5</v>
      </c>
      <c r="G84" s="67" t="s">
        <v>776</v>
      </c>
      <c r="H84" s="46"/>
      <c r="I84" s="46"/>
      <c r="J84" s="75"/>
      <c r="K84" s="38">
        <v>240000</v>
      </c>
      <c r="L84" s="4" t="s">
        <v>26</v>
      </c>
      <c r="M84" s="11">
        <f>_xlfn.NUMBERVALUE(LEFT(Table613[[#This Row],[Fiscal Year]], 4))</f>
        <v>2018</v>
      </c>
      <c r="N84" s="42">
        <f t="shared" si="4"/>
        <v>240000</v>
      </c>
      <c r="O84" s="3">
        <v>82</v>
      </c>
    </row>
    <row r="85" spans="1:15" x14ac:dyDescent="0.25">
      <c r="A85" s="3">
        <v>2</v>
      </c>
      <c r="B85" s="3" t="s">
        <v>6</v>
      </c>
      <c r="C85" s="1" t="s">
        <v>6</v>
      </c>
      <c r="D85" s="1" t="s">
        <v>443</v>
      </c>
      <c r="E85" s="9" t="s">
        <v>144</v>
      </c>
      <c r="F85" s="3" t="s">
        <v>5</v>
      </c>
      <c r="G85" s="67" t="s">
        <v>777</v>
      </c>
      <c r="H85" s="46"/>
      <c r="I85" s="46"/>
      <c r="J85" s="75"/>
      <c r="K85" s="38">
        <v>0</v>
      </c>
      <c r="L85" s="4" t="s">
        <v>26</v>
      </c>
      <c r="M85" s="11">
        <f>_xlfn.NUMBERVALUE(LEFT(Table613[[#This Row],[Fiscal Year]], 4))</f>
        <v>2018</v>
      </c>
      <c r="N85" s="43">
        <f t="shared" si="4"/>
        <v>0</v>
      </c>
      <c r="O85" s="3">
        <v>83</v>
      </c>
    </row>
    <row r="86" spans="1:15" x14ac:dyDescent="0.25">
      <c r="A86" s="3">
        <v>2</v>
      </c>
      <c r="B86" s="3" t="s">
        <v>6</v>
      </c>
      <c r="C86" s="1" t="s">
        <v>6</v>
      </c>
      <c r="D86" s="1" t="s">
        <v>443</v>
      </c>
      <c r="E86" s="9" t="s">
        <v>144</v>
      </c>
      <c r="F86" s="3" t="s">
        <v>5</v>
      </c>
      <c r="G86" s="67" t="s">
        <v>778</v>
      </c>
      <c r="H86" s="6"/>
      <c r="I86" s="8"/>
      <c r="J86" s="6" t="s">
        <v>47</v>
      </c>
      <c r="K86" s="38">
        <v>110000</v>
      </c>
      <c r="L86" s="4" t="s">
        <v>26</v>
      </c>
      <c r="M86" s="11">
        <f>_xlfn.NUMBERVALUE(LEFT(Table613[[#This Row],[Fiscal Year]], 4))</f>
        <v>2018</v>
      </c>
      <c r="N86" s="42">
        <f>K86*(1+VLOOKUP(M86,$AF$8:$AH$31,3,0))</f>
        <v>110000</v>
      </c>
      <c r="O86" s="3">
        <v>84</v>
      </c>
    </row>
    <row r="87" spans="1:15" x14ac:dyDescent="0.25">
      <c r="A87" s="3">
        <v>2</v>
      </c>
      <c r="B87" s="3" t="s">
        <v>6</v>
      </c>
      <c r="C87" s="1" t="s">
        <v>6</v>
      </c>
      <c r="D87" s="1" t="s">
        <v>443</v>
      </c>
      <c r="E87" s="9" t="s">
        <v>144</v>
      </c>
      <c r="F87" s="3" t="s">
        <v>5</v>
      </c>
      <c r="G87" s="67" t="s">
        <v>779</v>
      </c>
      <c r="H87" s="6"/>
      <c r="I87" s="8"/>
      <c r="J87" s="75"/>
      <c r="K87" s="38">
        <v>0</v>
      </c>
      <c r="L87" s="4" t="s">
        <v>26</v>
      </c>
      <c r="M87" s="11">
        <f>_xlfn.NUMBERVALUE(LEFT(Table613[[#This Row],[Fiscal Year]], 4))</f>
        <v>2018</v>
      </c>
      <c r="N87" s="43">
        <f t="shared" ref="N87:N97" si="5">K87*(1+VLOOKUP(M87,$AF$8:$AH$31,3,0))</f>
        <v>0</v>
      </c>
      <c r="O87" s="3">
        <v>85</v>
      </c>
    </row>
    <row r="88" spans="1:15" x14ac:dyDescent="0.25">
      <c r="A88" s="3">
        <v>2</v>
      </c>
      <c r="B88" s="3" t="s">
        <v>6</v>
      </c>
      <c r="C88" s="1" t="s">
        <v>6</v>
      </c>
      <c r="D88" s="1" t="s">
        <v>443</v>
      </c>
      <c r="E88" s="9" t="s">
        <v>144</v>
      </c>
      <c r="F88" s="3" t="s">
        <v>5</v>
      </c>
      <c r="G88" s="67" t="s">
        <v>780</v>
      </c>
      <c r="H88" s="6"/>
      <c r="I88" s="8"/>
      <c r="J88" s="75"/>
      <c r="K88" s="38">
        <v>3700</v>
      </c>
      <c r="L88" s="4" t="s">
        <v>26</v>
      </c>
      <c r="M88" s="11">
        <f>_xlfn.NUMBERVALUE(LEFT(Table613[[#This Row],[Fiscal Year]], 4))</f>
        <v>2018</v>
      </c>
      <c r="N88" s="42">
        <f t="shared" si="5"/>
        <v>3700</v>
      </c>
      <c r="O88" s="3">
        <v>86</v>
      </c>
    </row>
    <row r="89" spans="1:15" x14ac:dyDescent="0.25">
      <c r="A89" s="3">
        <v>2</v>
      </c>
      <c r="B89" s="3" t="s">
        <v>6</v>
      </c>
      <c r="C89" s="1" t="s">
        <v>6</v>
      </c>
      <c r="D89" s="1" t="s">
        <v>443</v>
      </c>
      <c r="E89" s="9" t="s">
        <v>144</v>
      </c>
      <c r="F89" s="3" t="s">
        <v>5</v>
      </c>
      <c r="G89" s="67" t="s">
        <v>781</v>
      </c>
      <c r="H89" s="6"/>
      <c r="I89" s="8"/>
      <c r="J89" s="75"/>
      <c r="K89" s="38">
        <v>155000</v>
      </c>
      <c r="L89" s="4" t="s">
        <v>26</v>
      </c>
      <c r="M89" s="11">
        <f>_xlfn.NUMBERVALUE(LEFT(Table613[[#This Row],[Fiscal Year]], 4))</f>
        <v>2018</v>
      </c>
      <c r="N89" s="42">
        <f t="shared" si="5"/>
        <v>155000</v>
      </c>
      <c r="O89" s="3">
        <v>87</v>
      </c>
    </row>
    <row r="90" spans="1:15" x14ac:dyDescent="0.25">
      <c r="A90" s="3">
        <v>2</v>
      </c>
      <c r="B90" s="3" t="s">
        <v>6</v>
      </c>
      <c r="C90" s="1" t="s">
        <v>6</v>
      </c>
      <c r="D90" s="1" t="s">
        <v>443</v>
      </c>
      <c r="E90" s="9" t="s">
        <v>144</v>
      </c>
      <c r="F90" s="3" t="s">
        <v>5</v>
      </c>
      <c r="G90" s="67" t="s">
        <v>782</v>
      </c>
      <c r="H90" s="6"/>
      <c r="I90" s="8"/>
      <c r="J90" s="75"/>
      <c r="K90" s="38">
        <v>85000</v>
      </c>
      <c r="L90" s="4" t="s">
        <v>26</v>
      </c>
      <c r="M90" s="11">
        <f>_xlfn.NUMBERVALUE(LEFT(Table613[[#This Row],[Fiscal Year]], 4))</f>
        <v>2018</v>
      </c>
      <c r="N90" s="42">
        <f t="shared" si="5"/>
        <v>85000</v>
      </c>
      <c r="O90" s="3">
        <v>88</v>
      </c>
    </row>
    <row r="91" spans="1:15" x14ac:dyDescent="0.25">
      <c r="A91" s="3">
        <v>2</v>
      </c>
      <c r="B91" s="3" t="s">
        <v>6</v>
      </c>
      <c r="C91" s="1" t="s">
        <v>6</v>
      </c>
      <c r="D91" s="1" t="s">
        <v>443</v>
      </c>
      <c r="E91" s="9" t="s">
        <v>144</v>
      </c>
      <c r="F91" s="3" t="s">
        <v>5</v>
      </c>
      <c r="G91" s="67" t="s">
        <v>783</v>
      </c>
      <c r="H91" s="6"/>
      <c r="I91" s="8"/>
      <c r="J91" s="75"/>
      <c r="K91" s="38">
        <v>0</v>
      </c>
      <c r="L91" s="4" t="s">
        <v>26</v>
      </c>
      <c r="M91" s="11">
        <f>_xlfn.NUMBERVALUE(LEFT(Table613[[#This Row],[Fiscal Year]], 4))</f>
        <v>2018</v>
      </c>
      <c r="N91" s="43">
        <f t="shared" si="5"/>
        <v>0</v>
      </c>
      <c r="O91" s="3">
        <v>89</v>
      </c>
    </row>
    <row r="92" spans="1:15" x14ac:dyDescent="0.25">
      <c r="A92" s="3">
        <v>2</v>
      </c>
      <c r="B92" s="3" t="s">
        <v>6</v>
      </c>
      <c r="C92" s="1" t="s">
        <v>6</v>
      </c>
      <c r="D92" s="1" t="s">
        <v>443</v>
      </c>
      <c r="E92" s="9" t="s">
        <v>144</v>
      </c>
      <c r="F92" s="3" t="s">
        <v>5</v>
      </c>
      <c r="G92" s="67" t="s">
        <v>784</v>
      </c>
      <c r="H92" s="6"/>
      <c r="I92" s="8"/>
      <c r="J92" s="75"/>
      <c r="K92" s="38">
        <v>4995</v>
      </c>
      <c r="L92" s="4" t="s">
        <v>26</v>
      </c>
      <c r="M92" s="11">
        <f>_xlfn.NUMBERVALUE(LEFT(Table613[[#This Row],[Fiscal Year]], 4))</f>
        <v>2018</v>
      </c>
      <c r="N92" s="42">
        <f t="shared" si="5"/>
        <v>4995</v>
      </c>
      <c r="O92" s="3">
        <v>90</v>
      </c>
    </row>
    <row r="93" spans="1:15" x14ac:dyDescent="0.25">
      <c r="A93" s="3">
        <v>2</v>
      </c>
      <c r="B93" s="3" t="s">
        <v>6</v>
      </c>
      <c r="C93" s="1" t="s">
        <v>6</v>
      </c>
      <c r="D93" s="1" t="s">
        <v>443</v>
      </c>
      <c r="E93" s="9" t="s">
        <v>144</v>
      </c>
      <c r="F93" s="3" t="s">
        <v>5</v>
      </c>
      <c r="G93" s="67" t="s">
        <v>785</v>
      </c>
      <c r="H93" s="6"/>
      <c r="I93" s="8"/>
      <c r="J93" s="75"/>
      <c r="K93" s="38">
        <v>9250</v>
      </c>
      <c r="L93" s="4" t="s">
        <v>26</v>
      </c>
      <c r="M93" s="11">
        <f>_xlfn.NUMBERVALUE(LEFT(Table613[[#This Row],[Fiscal Year]], 4))</f>
        <v>2018</v>
      </c>
      <c r="N93" s="42">
        <f t="shared" si="5"/>
        <v>9250</v>
      </c>
      <c r="O93" s="3">
        <v>91</v>
      </c>
    </row>
    <row r="94" spans="1:15" x14ac:dyDescent="0.25">
      <c r="A94" s="3">
        <v>2</v>
      </c>
      <c r="B94" s="3" t="s">
        <v>6</v>
      </c>
      <c r="C94" s="1" t="s">
        <v>6</v>
      </c>
      <c r="D94" s="1" t="s">
        <v>443</v>
      </c>
      <c r="E94" s="9" t="s">
        <v>144</v>
      </c>
      <c r="F94" s="3" t="s">
        <v>5</v>
      </c>
      <c r="G94" s="66" t="s">
        <v>786</v>
      </c>
      <c r="H94" s="6"/>
      <c r="I94" s="8"/>
      <c r="J94" s="75"/>
      <c r="K94" s="38">
        <v>0</v>
      </c>
      <c r="L94" s="4" t="s">
        <v>26</v>
      </c>
      <c r="M94" s="11">
        <f>_xlfn.NUMBERVALUE(LEFT(Table613[[#This Row],[Fiscal Year]], 4))</f>
        <v>2018</v>
      </c>
      <c r="N94" s="43">
        <f t="shared" si="5"/>
        <v>0</v>
      </c>
      <c r="O94" s="3">
        <v>92</v>
      </c>
    </row>
    <row r="95" spans="1:15" x14ac:dyDescent="0.25">
      <c r="A95" s="3">
        <v>2</v>
      </c>
      <c r="B95" s="3" t="s">
        <v>6</v>
      </c>
      <c r="C95" s="1" t="s">
        <v>6</v>
      </c>
      <c r="D95" s="1" t="s">
        <v>443</v>
      </c>
      <c r="E95" s="9" t="s">
        <v>144</v>
      </c>
      <c r="F95" s="3" t="s">
        <v>5</v>
      </c>
      <c r="G95" s="66" t="s">
        <v>787</v>
      </c>
      <c r="H95" s="6"/>
      <c r="I95" s="8"/>
      <c r="J95" s="75"/>
      <c r="K95" s="38">
        <v>0</v>
      </c>
      <c r="L95" s="4" t="s">
        <v>26</v>
      </c>
      <c r="M95" s="11">
        <f>_xlfn.NUMBERVALUE(LEFT(Table613[[#This Row],[Fiscal Year]], 4))</f>
        <v>2018</v>
      </c>
      <c r="N95" s="43">
        <f t="shared" si="5"/>
        <v>0</v>
      </c>
      <c r="O95" s="3">
        <v>93</v>
      </c>
    </row>
    <row r="96" spans="1:15" x14ac:dyDescent="0.25">
      <c r="A96" s="3">
        <v>2</v>
      </c>
      <c r="B96" s="3" t="s">
        <v>6</v>
      </c>
      <c r="C96" s="1" t="s">
        <v>6</v>
      </c>
      <c r="D96" s="1" t="s">
        <v>443</v>
      </c>
      <c r="E96" s="9" t="s">
        <v>144</v>
      </c>
      <c r="F96" s="3" t="s">
        <v>5</v>
      </c>
      <c r="G96" s="66" t="s">
        <v>788</v>
      </c>
      <c r="H96" s="6"/>
      <c r="I96" s="8"/>
      <c r="J96" s="75"/>
      <c r="K96" s="38">
        <v>60770</v>
      </c>
      <c r="L96" s="4" t="s">
        <v>26</v>
      </c>
      <c r="M96" s="11">
        <f>_xlfn.NUMBERVALUE(LEFT(Table613[[#This Row],[Fiscal Year]], 4))</f>
        <v>2018</v>
      </c>
      <c r="N96" s="42">
        <f t="shared" si="5"/>
        <v>60770</v>
      </c>
      <c r="O96" s="3">
        <v>94</v>
      </c>
    </row>
    <row r="97" spans="1:15" x14ac:dyDescent="0.25">
      <c r="A97" s="3">
        <v>2</v>
      </c>
      <c r="B97" s="3" t="s">
        <v>6</v>
      </c>
      <c r="C97" s="1" t="s">
        <v>6</v>
      </c>
      <c r="D97" s="1" t="s">
        <v>443</v>
      </c>
      <c r="E97" s="9" t="s">
        <v>144</v>
      </c>
      <c r="F97" s="3" t="s">
        <v>5</v>
      </c>
      <c r="G97" s="66" t="s">
        <v>789</v>
      </c>
      <c r="H97" s="6"/>
      <c r="I97" s="8"/>
      <c r="J97" s="75"/>
      <c r="K97" s="38">
        <v>7400</v>
      </c>
      <c r="L97" s="4" t="s">
        <v>26</v>
      </c>
      <c r="M97" s="11">
        <f>_xlfn.NUMBERVALUE(LEFT(Table613[[#This Row],[Fiscal Year]], 4))</f>
        <v>2018</v>
      </c>
      <c r="N97" s="42">
        <f t="shared" si="5"/>
        <v>7400</v>
      </c>
      <c r="O97" s="3">
        <v>95</v>
      </c>
    </row>
    <row r="98" spans="1:15" x14ac:dyDescent="0.25">
      <c r="A98" s="3">
        <v>2</v>
      </c>
      <c r="B98" s="3" t="s">
        <v>6</v>
      </c>
      <c r="C98" s="1" t="s">
        <v>6</v>
      </c>
      <c r="D98" s="1" t="s">
        <v>443</v>
      </c>
      <c r="E98" s="9" t="s">
        <v>144</v>
      </c>
      <c r="F98" s="3" t="s">
        <v>5</v>
      </c>
      <c r="G98" s="66" t="s">
        <v>790</v>
      </c>
      <c r="H98" s="44" t="s">
        <v>466</v>
      </c>
      <c r="I98" s="8" t="s">
        <v>642</v>
      </c>
      <c r="J98" s="6" t="s">
        <v>108</v>
      </c>
      <c r="K98" s="38">
        <v>0</v>
      </c>
      <c r="L98" s="4" t="s">
        <v>26</v>
      </c>
      <c r="M98" s="11">
        <f>_xlfn.NUMBERVALUE(LEFT(Table613[[#This Row],[Fiscal Year]], 4))</f>
        <v>2018</v>
      </c>
      <c r="N98" s="43">
        <f t="shared" si="4"/>
        <v>0</v>
      </c>
      <c r="O98" s="3">
        <v>96</v>
      </c>
    </row>
    <row r="99" spans="1:15" x14ac:dyDescent="0.25">
      <c r="A99" s="3">
        <v>2</v>
      </c>
      <c r="B99" s="3" t="s">
        <v>6</v>
      </c>
      <c r="C99" s="1" t="s">
        <v>6</v>
      </c>
      <c r="D99" s="1" t="s">
        <v>443</v>
      </c>
      <c r="E99" s="9" t="s">
        <v>144</v>
      </c>
      <c r="F99" s="3" t="s">
        <v>5</v>
      </c>
      <c r="G99" s="66" t="s">
        <v>791</v>
      </c>
      <c r="H99" s="44"/>
      <c r="I99" s="8"/>
      <c r="J99" s="75"/>
      <c r="K99" s="38">
        <v>500</v>
      </c>
      <c r="L99" s="4" t="s">
        <v>26</v>
      </c>
      <c r="M99" s="11">
        <f>_xlfn.NUMBERVALUE(LEFT(Table613[[#This Row],[Fiscal Year]], 4))</f>
        <v>2018</v>
      </c>
      <c r="N99" s="42">
        <f t="shared" si="4"/>
        <v>500</v>
      </c>
      <c r="O99" s="3">
        <v>97</v>
      </c>
    </row>
    <row r="100" spans="1:15" x14ac:dyDescent="0.25">
      <c r="A100" s="3">
        <v>2</v>
      </c>
      <c r="B100" s="3" t="s">
        <v>6</v>
      </c>
      <c r="C100" s="1" t="s">
        <v>6</v>
      </c>
      <c r="D100" s="1" t="s">
        <v>443</v>
      </c>
      <c r="E100" s="9" t="s">
        <v>144</v>
      </c>
      <c r="F100" s="3" t="s">
        <v>5</v>
      </c>
      <c r="G100" s="66" t="s">
        <v>792</v>
      </c>
      <c r="H100" s="44"/>
      <c r="I100" s="8"/>
      <c r="J100" s="75"/>
      <c r="K100" s="38">
        <v>5920</v>
      </c>
      <c r="L100" s="4" t="s">
        <v>26</v>
      </c>
      <c r="M100" s="11">
        <f>_xlfn.NUMBERVALUE(LEFT(Table613[[#This Row],[Fiscal Year]], 4))</f>
        <v>2018</v>
      </c>
      <c r="N100" s="42">
        <f t="shared" si="4"/>
        <v>5920</v>
      </c>
      <c r="O100" s="3">
        <v>98</v>
      </c>
    </row>
    <row r="101" spans="1:15" x14ac:dyDescent="0.25">
      <c r="A101" s="3">
        <v>2</v>
      </c>
      <c r="B101" s="3" t="s">
        <v>6</v>
      </c>
      <c r="C101" s="1" t="s">
        <v>6</v>
      </c>
      <c r="D101" s="1" t="s">
        <v>443</v>
      </c>
      <c r="E101" s="9" t="s">
        <v>144</v>
      </c>
      <c r="F101" s="3" t="s">
        <v>5</v>
      </c>
      <c r="G101" s="66" t="s">
        <v>793</v>
      </c>
      <c r="H101" s="44"/>
      <c r="I101" s="8"/>
      <c r="J101" s="75"/>
      <c r="K101" s="38">
        <v>10000</v>
      </c>
      <c r="L101" s="4" t="s">
        <v>26</v>
      </c>
      <c r="M101" s="11">
        <f>_xlfn.NUMBERVALUE(LEFT(Table613[[#This Row],[Fiscal Year]], 4))</f>
        <v>2018</v>
      </c>
      <c r="N101" s="42">
        <f t="shared" si="4"/>
        <v>10000</v>
      </c>
      <c r="O101" s="3">
        <v>99</v>
      </c>
    </row>
    <row r="102" spans="1:15" x14ac:dyDescent="0.25">
      <c r="A102" s="3">
        <v>2</v>
      </c>
      <c r="B102" s="3" t="s">
        <v>6</v>
      </c>
      <c r="C102" s="1" t="s">
        <v>6</v>
      </c>
      <c r="D102" s="1" t="s">
        <v>443</v>
      </c>
      <c r="E102" s="9" t="s">
        <v>144</v>
      </c>
      <c r="F102" s="3" t="s">
        <v>5</v>
      </c>
      <c r="G102" s="66" t="s">
        <v>794</v>
      </c>
      <c r="H102" s="44"/>
      <c r="I102" s="8"/>
      <c r="J102" s="75"/>
      <c r="K102" s="38">
        <v>15000</v>
      </c>
      <c r="L102" s="4" t="s">
        <v>26</v>
      </c>
      <c r="M102" s="11">
        <f>_xlfn.NUMBERVALUE(LEFT(Table613[[#This Row],[Fiscal Year]], 4))</f>
        <v>2018</v>
      </c>
      <c r="N102" s="42">
        <f t="shared" si="4"/>
        <v>15000</v>
      </c>
      <c r="O102" s="3">
        <v>100</v>
      </c>
    </row>
    <row r="103" spans="1:15" x14ac:dyDescent="0.25">
      <c r="A103" s="3">
        <v>2</v>
      </c>
      <c r="B103" s="3" t="s">
        <v>6</v>
      </c>
      <c r="C103" s="1" t="s">
        <v>6</v>
      </c>
      <c r="D103" s="1" t="s">
        <v>443</v>
      </c>
      <c r="E103" s="9" t="s">
        <v>144</v>
      </c>
      <c r="F103" s="3" t="s">
        <v>5</v>
      </c>
      <c r="G103" s="66" t="s">
        <v>795</v>
      </c>
      <c r="H103" s="44" t="s">
        <v>467</v>
      </c>
      <c r="I103" s="8" t="s">
        <v>642</v>
      </c>
      <c r="J103" s="75"/>
      <c r="K103" s="38">
        <v>150000</v>
      </c>
      <c r="L103" s="4" t="s">
        <v>26</v>
      </c>
      <c r="M103" s="11">
        <f>_xlfn.NUMBERVALUE(LEFT(Table613[[#This Row],[Fiscal Year]], 4))</f>
        <v>2018</v>
      </c>
      <c r="N103" s="42">
        <f t="shared" si="4"/>
        <v>150000</v>
      </c>
      <c r="O103" s="3">
        <v>101</v>
      </c>
    </row>
    <row r="104" spans="1:15" x14ac:dyDescent="0.25">
      <c r="A104" s="3">
        <v>2</v>
      </c>
      <c r="B104" s="3" t="s">
        <v>6</v>
      </c>
      <c r="C104" s="1" t="s">
        <v>6</v>
      </c>
      <c r="D104" s="1" t="s">
        <v>443</v>
      </c>
      <c r="E104" s="9" t="s">
        <v>144</v>
      </c>
      <c r="F104" s="3" t="s">
        <v>5</v>
      </c>
      <c r="G104" s="66" t="s">
        <v>796</v>
      </c>
      <c r="H104" s="44"/>
      <c r="I104" s="8"/>
      <c r="J104" s="75"/>
      <c r="K104" s="38">
        <v>11100</v>
      </c>
      <c r="L104" s="4" t="s">
        <v>26</v>
      </c>
      <c r="M104" s="11">
        <f>_xlfn.NUMBERVALUE(LEFT(Table613[[#This Row],[Fiscal Year]], 4))</f>
        <v>2018</v>
      </c>
      <c r="N104" s="42">
        <f t="shared" si="4"/>
        <v>11100</v>
      </c>
      <c r="O104" s="3">
        <v>102</v>
      </c>
    </row>
    <row r="105" spans="1:15" x14ac:dyDescent="0.25">
      <c r="A105" s="3">
        <v>2</v>
      </c>
      <c r="B105" s="3" t="s">
        <v>6</v>
      </c>
      <c r="C105" s="1" t="s">
        <v>6</v>
      </c>
      <c r="D105" s="1" t="s">
        <v>443</v>
      </c>
      <c r="E105" s="9" t="s">
        <v>144</v>
      </c>
      <c r="F105" s="3" t="s">
        <v>5</v>
      </c>
      <c r="G105" s="66" t="s">
        <v>808</v>
      </c>
      <c r="H105" s="44" t="s">
        <v>468</v>
      </c>
      <c r="I105" s="8"/>
      <c r="J105" s="75"/>
      <c r="K105" s="38">
        <v>0</v>
      </c>
      <c r="L105" s="4" t="s">
        <v>26</v>
      </c>
      <c r="M105" s="11">
        <f>_xlfn.NUMBERVALUE(LEFT(Table613[[#This Row],[Fiscal Year]], 4))</f>
        <v>2018</v>
      </c>
      <c r="N105" s="43">
        <f t="shared" si="4"/>
        <v>0</v>
      </c>
      <c r="O105" s="3">
        <v>103</v>
      </c>
    </row>
    <row r="106" spans="1:15" x14ac:dyDescent="0.25">
      <c r="A106" s="3">
        <v>2</v>
      </c>
      <c r="B106" s="3" t="s">
        <v>6</v>
      </c>
      <c r="C106" s="1" t="s">
        <v>6</v>
      </c>
      <c r="D106" s="1" t="s">
        <v>443</v>
      </c>
      <c r="E106" s="9" t="s">
        <v>144</v>
      </c>
      <c r="F106" s="3" t="s">
        <v>5</v>
      </c>
      <c r="G106" s="66" t="s">
        <v>809</v>
      </c>
      <c r="H106" s="6"/>
      <c r="I106" s="8"/>
      <c r="J106" s="75"/>
      <c r="K106" s="38">
        <v>0</v>
      </c>
      <c r="L106" s="4" t="s">
        <v>26</v>
      </c>
      <c r="M106" s="11">
        <f>_xlfn.NUMBERVALUE(LEFT(Table613[[#This Row],[Fiscal Year]], 4))</f>
        <v>2018</v>
      </c>
      <c r="N106" s="43">
        <f t="shared" si="4"/>
        <v>0</v>
      </c>
      <c r="O106" s="3">
        <v>104</v>
      </c>
    </row>
    <row r="107" spans="1:15" x14ac:dyDescent="0.25">
      <c r="A107" s="3">
        <v>2</v>
      </c>
      <c r="B107" s="3" t="s">
        <v>6</v>
      </c>
      <c r="C107" s="1" t="s">
        <v>6</v>
      </c>
      <c r="D107" s="1" t="s">
        <v>443</v>
      </c>
      <c r="E107" s="9" t="s">
        <v>144</v>
      </c>
      <c r="F107" s="3" t="s">
        <v>5</v>
      </c>
      <c r="G107" s="66" t="s">
        <v>810</v>
      </c>
      <c r="H107" s="6"/>
      <c r="I107" s="8"/>
      <c r="J107" s="6" t="s">
        <v>108</v>
      </c>
      <c r="K107" s="38">
        <v>65000</v>
      </c>
      <c r="L107" s="4" t="s">
        <v>26</v>
      </c>
      <c r="M107" s="11">
        <f>_xlfn.NUMBERVALUE(LEFT(Table613[[#This Row],[Fiscal Year]], 4))</f>
        <v>2018</v>
      </c>
      <c r="N107" s="42">
        <f t="shared" si="4"/>
        <v>65000</v>
      </c>
      <c r="O107" s="3">
        <v>105</v>
      </c>
    </row>
    <row r="108" spans="1:15" x14ac:dyDescent="0.25">
      <c r="A108" s="3">
        <v>2</v>
      </c>
      <c r="B108" s="3" t="s">
        <v>6</v>
      </c>
      <c r="C108" s="1" t="s">
        <v>6</v>
      </c>
      <c r="D108" s="1" t="s">
        <v>443</v>
      </c>
      <c r="E108" s="9" t="s">
        <v>144</v>
      </c>
      <c r="F108" s="3" t="s">
        <v>5</v>
      </c>
      <c r="G108" s="66" t="s">
        <v>811</v>
      </c>
      <c r="H108" s="44"/>
      <c r="I108" s="8"/>
      <c r="J108" s="75"/>
      <c r="K108" s="38">
        <v>150000</v>
      </c>
      <c r="L108" s="4" t="s">
        <v>26</v>
      </c>
      <c r="M108" s="11">
        <f>_xlfn.NUMBERVALUE(LEFT(Table613[[#This Row],[Fiscal Year]], 4))</f>
        <v>2018</v>
      </c>
      <c r="N108" s="42">
        <f t="shared" si="4"/>
        <v>150000</v>
      </c>
      <c r="O108" s="3">
        <v>106</v>
      </c>
    </row>
    <row r="109" spans="1:15" x14ac:dyDescent="0.25">
      <c r="A109" s="3">
        <v>2</v>
      </c>
      <c r="B109" s="3" t="s">
        <v>6</v>
      </c>
      <c r="C109" s="1" t="s">
        <v>6</v>
      </c>
      <c r="D109" s="1" t="s">
        <v>443</v>
      </c>
      <c r="E109" s="9" t="s">
        <v>144</v>
      </c>
      <c r="F109" s="3" t="s">
        <v>5</v>
      </c>
      <c r="G109" s="66" t="s">
        <v>812</v>
      </c>
      <c r="H109" s="6"/>
      <c r="I109" s="8"/>
      <c r="J109" s="75"/>
      <c r="K109" s="38">
        <v>0</v>
      </c>
      <c r="L109" s="4" t="s">
        <v>26</v>
      </c>
      <c r="M109" s="11">
        <f>_xlfn.NUMBERVALUE(LEFT(Table613[[#This Row],[Fiscal Year]], 4))</f>
        <v>2018</v>
      </c>
      <c r="N109" s="43">
        <f>K109*(1+VLOOKUP(M109,$AF$8:$AH$31,3,0))</f>
        <v>0</v>
      </c>
      <c r="O109" s="3">
        <v>107</v>
      </c>
    </row>
    <row r="110" spans="1:15" x14ac:dyDescent="0.25">
      <c r="A110" s="3">
        <v>2</v>
      </c>
      <c r="B110" s="3" t="s">
        <v>6</v>
      </c>
      <c r="C110" s="1" t="s">
        <v>6</v>
      </c>
      <c r="D110" s="1" t="s">
        <v>443</v>
      </c>
      <c r="E110" s="9" t="s">
        <v>144</v>
      </c>
      <c r="F110" s="3" t="s">
        <v>5</v>
      </c>
      <c r="G110" s="66" t="s">
        <v>813</v>
      </c>
      <c r="H110" s="6"/>
      <c r="I110" s="8"/>
      <c r="J110" s="75"/>
      <c r="K110" s="38">
        <v>18500</v>
      </c>
      <c r="L110" s="4" t="s">
        <v>26</v>
      </c>
      <c r="M110" s="11">
        <f>_xlfn.NUMBERVALUE(LEFT(Table613[[#This Row],[Fiscal Year]], 4))</f>
        <v>2018</v>
      </c>
      <c r="N110" s="42">
        <f t="shared" ref="N110:N119" si="6">K110*(1+VLOOKUP(M110,$AF$8:$AH$31,3,0))</f>
        <v>18500</v>
      </c>
      <c r="O110" s="3">
        <v>108</v>
      </c>
    </row>
    <row r="111" spans="1:15" x14ac:dyDescent="0.25">
      <c r="A111" s="3">
        <v>2</v>
      </c>
      <c r="B111" s="3" t="s">
        <v>6</v>
      </c>
      <c r="C111" s="1" t="s">
        <v>6</v>
      </c>
      <c r="D111" s="1" t="s">
        <v>443</v>
      </c>
      <c r="E111" s="9" t="s">
        <v>144</v>
      </c>
      <c r="F111" s="3" t="s">
        <v>5</v>
      </c>
      <c r="G111" s="66" t="s">
        <v>814</v>
      </c>
      <c r="H111" s="6"/>
      <c r="I111" s="8"/>
      <c r="J111" s="6" t="s">
        <v>605</v>
      </c>
      <c r="K111" s="38">
        <v>2500</v>
      </c>
      <c r="L111" s="4" t="s">
        <v>26</v>
      </c>
      <c r="M111" s="11">
        <f>_xlfn.NUMBERVALUE(LEFT(Table613[[#This Row],[Fiscal Year]], 4))</f>
        <v>2018</v>
      </c>
      <c r="N111" s="42">
        <f t="shared" si="6"/>
        <v>2500</v>
      </c>
      <c r="O111" s="3">
        <v>109</v>
      </c>
    </row>
    <row r="112" spans="1:15" x14ac:dyDescent="0.25">
      <c r="A112" s="3">
        <v>2</v>
      </c>
      <c r="B112" s="3" t="s">
        <v>6</v>
      </c>
      <c r="C112" s="1" t="s">
        <v>6</v>
      </c>
      <c r="D112" s="1" t="s">
        <v>443</v>
      </c>
      <c r="E112" s="9" t="s">
        <v>144</v>
      </c>
      <c r="F112" s="3" t="s">
        <v>5</v>
      </c>
      <c r="G112" s="66" t="s">
        <v>797</v>
      </c>
      <c r="H112" s="44" t="s">
        <v>469</v>
      </c>
      <c r="I112" s="8"/>
      <c r="J112" s="75"/>
      <c r="K112" s="38">
        <v>0</v>
      </c>
      <c r="L112" s="4" t="s">
        <v>26</v>
      </c>
      <c r="M112" s="11">
        <f>_xlfn.NUMBERVALUE(LEFT(Table613[[#This Row],[Fiscal Year]], 4))</f>
        <v>2018</v>
      </c>
      <c r="N112" s="43">
        <f t="shared" si="6"/>
        <v>0</v>
      </c>
      <c r="O112" s="3">
        <v>110</v>
      </c>
    </row>
    <row r="113" spans="1:15" x14ac:dyDescent="0.25">
      <c r="A113" s="3">
        <v>2</v>
      </c>
      <c r="B113" s="3" t="s">
        <v>6</v>
      </c>
      <c r="C113" s="1" t="s">
        <v>6</v>
      </c>
      <c r="D113" s="1" t="s">
        <v>443</v>
      </c>
      <c r="E113" s="9" t="s">
        <v>144</v>
      </c>
      <c r="F113" s="3" t="s">
        <v>5</v>
      </c>
      <c r="G113" s="63" t="s">
        <v>798</v>
      </c>
      <c r="H113" s="44"/>
      <c r="I113" s="8"/>
      <c r="J113" s="75"/>
      <c r="K113" s="38">
        <v>0</v>
      </c>
      <c r="L113" s="4" t="s">
        <v>26</v>
      </c>
      <c r="M113" s="11">
        <f>_xlfn.NUMBERVALUE(LEFT(Table613[[#This Row],[Fiscal Year]], 4))</f>
        <v>2018</v>
      </c>
      <c r="N113" s="43">
        <f t="shared" si="6"/>
        <v>0</v>
      </c>
      <c r="O113" s="3">
        <v>111</v>
      </c>
    </row>
    <row r="114" spans="1:15" x14ac:dyDescent="0.25">
      <c r="A114" s="3">
        <v>2</v>
      </c>
      <c r="B114" s="3" t="s">
        <v>6</v>
      </c>
      <c r="C114" s="1" t="s">
        <v>6</v>
      </c>
      <c r="D114" s="1" t="s">
        <v>443</v>
      </c>
      <c r="E114" s="9" t="s">
        <v>144</v>
      </c>
      <c r="F114" s="3" t="s">
        <v>5</v>
      </c>
      <c r="G114" s="63" t="s">
        <v>799</v>
      </c>
      <c r="H114" s="44"/>
      <c r="I114" s="8"/>
      <c r="J114" s="75"/>
      <c r="K114" s="38">
        <v>0</v>
      </c>
      <c r="L114" s="4" t="s">
        <v>26</v>
      </c>
      <c r="M114" s="11">
        <f>_xlfn.NUMBERVALUE(LEFT(Table613[[#This Row],[Fiscal Year]], 4))</f>
        <v>2018</v>
      </c>
      <c r="N114" s="43">
        <f t="shared" si="6"/>
        <v>0</v>
      </c>
      <c r="O114" s="3">
        <v>112</v>
      </c>
    </row>
    <row r="115" spans="1:15" x14ac:dyDescent="0.25">
      <c r="A115" s="3">
        <v>2</v>
      </c>
      <c r="B115" s="3" t="s">
        <v>6</v>
      </c>
      <c r="C115" s="1" t="s">
        <v>6</v>
      </c>
      <c r="D115" s="1" t="s">
        <v>443</v>
      </c>
      <c r="E115" s="9" t="s">
        <v>144</v>
      </c>
      <c r="F115" s="3" t="s">
        <v>5</v>
      </c>
      <c r="G115" s="63" t="s">
        <v>800</v>
      </c>
      <c r="H115" s="44"/>
      <c r="I115" s="8"/>
      <c r="J115" s="75"/>
      <c r="K115" s="38">
        <v>0</v>
      </c>
      <c r="L115" s="4" t="s">
        <v>26</v>
      </c>
      <c r="M115" s="11">
        <f>_xlfn.NUMBERVALUE(LEFT(Table613[[#This Row],[Fiscal Year]], 4))</f>
        <v>2018</v>
      </c>
      <c r="N115" s="43">
        <f t="shared" si="6"/>
        <v>0</v>
      </c>
      <c r="O115" s="3">
        <v>113</v>
      </c>
    </row>
    <row r="116" spans="1:15" x14ac:dyDescent="0.25">
      <c r="A116" s="3">
        <v>2</v>
      </c>
      <c r="B116" s="3" t="s">
        <v>6</v>
      </c>
      <c r="C116" s="1" t="s">
        <v>6</v>
      </c>
      <c r="D116" s="1" t="s">
        <v>443</v>
      </c>
      <c r="E116" s="9" t="s">
        <v>144</v>
      </c>
      <c r="F116" s="3" t="s">
        <v>5</v>
      </c>
      <c r="G116" s="63" t="s">
        <v>801</v>
      </c>
      <c r="H116" s="44"/>
      <c r="I116" s="8"/>
      <c r="J116" s="75"/>
      <c r="K116" s="38">
        <v>7400</v>
      </c>
      <c r="L116" s="4" t="s">
        <v>26</v>
      </c>
      <c r="M116" s="11">
        <f>_xlfn.NUMBERVALUE(LEFT(Table613[[#This Row],[Fiscal Year]], 4))</f>
        <v>2018</v>
      </c>
      <c r="N116" s="42">
        <f t="shared" si="6"/>
        <v>7400</v>
      </c>
      <c r="O116" s="3">
        <v>114</v>
      </c>
    </row>
    <row r="117" spans="1:15" x14ac:dyDescent="0.25">
      <c r="A117" s="3">
        <v>2</v>
      </c>
      <c r="B117" s="3" t="s">
        <v>6</v>
      </c>
      <c r="C117" s="1" t="s">
        <v>6</v>
      </c>
      <c r="D117" s="1" t="s">
        <v>443</v>
      </c>
      <c r="E117" s="9" t="s">
        <v>144</v>
      </c>
      <c r="F117" s="3" t="s">
        <v>5</v>
      </c>
      <c r="G117" s="63" t="s">
        <v>802</v>
      </c>
      <c r="H117" s="44"/>
      <c r="I117" s="8"/>
      <c r="J117" s="75"/>
      <c r="K117" s="38">
        <v>7818</v>
      </c>
      <c r="L117" s="4" t="s">
        <v>26</v>
      </c>
      <c r="M117" s="11">
        <f>_xlfn.NUMBERVALUE(LEFT(Table613[[#This Row],[Fiscal Year]], 4))</f>
        <v>2018</v>
      </c>
      <c r="N117" s="42">
        <f t="shared" si="6"/>
        <v>7818</v>
      </c>
      <c r="O117" s="3">
        <v>115</v>
      </c>
    </row>
    <row r="118" spans="1:15" x14ac:dyDescent="0.25">
      <c r="A118" s="3">
        <v>2</v>
      </c>
      <c r="B118" s="3" t="s">
        <v>6</v>
      </c>
      <c r="C118" s="1" t="s">
        <v>6</v>
      </c>
      <c r="D118" s="1" t="s">
        <v>443</v>
      </c>
      <c r="E118" s="9" t="s">
        <v>144</v>
      </c>
      <c r="F118" s="3" t="s">
        <v>5</v>
      </c>
      <c r="G118" s="63" t="s">
        <v>803</v>
      </c>
      <c r="H118" s="44"/>
      <c r="I118" s="8"/>
      <c r="J118" s="75"/>
      <c r="K118" s="38">
        <v>15000</v>
      </c>
      <c r="L118" s="4" t="s">
        <v>26</v>
      </c>
      <c r="M118" s="11">
        <f>_xlfn.NUMBERVALUE(LEFT(Table613[[#This Row],[Fiscal Year]], 4))</f>
        <v>2018</v>
      </c>
      <c r="N118" s="42">
        <f t="shared" si="6"/>
        <v>15000</v>
      </c>
      <c r="O118" s="3">
        <v>116</v>
      </c>
    </row>
    <row r="119" spans="1:15" x14ac:dyDescent="0.25">
      <c r="A119" s="3">
        <v>2</v>
      </c>
      <c r="B119" s="3" t="s">
        <v>6</v>
      </c>
      <c r="C119" s="1" t="s">
        <v>6</v>
      </c>
      <c r="D119" s="1" t="s">
        <v>443</v>
      </c>
      <c r="E119" s="9" t="s">
        <v>144</v>
      </c>
      <c r="F119" s="3" t="s">
        <v>5</v>
      </c>
      <c r="G119" s="63" t="s">
        <v>804</v>
      </c>
      <c r="H119" s="6"/>
      <c r="I119" s="8" t="s">
        <v>642</v>
      </c>
      <c r="J119" s="75"/>
      <c r="K119" s="38">
        <v>0</v>
      </c>
      <c r="L119" s="4" t="s">
        <v>26</v>
      </c>
      <c r="M119" s="11">
        <f>_xlfn.NUMBERVALUE(LEFT(Table613[[#This Row],[Fiscal Year]], 4))</f>
        <v>2018</v>
      </c>
      <c r="N119" s="43">
        <f t="shared" si="6"/>
        <v>0</v>
      </c>
      <c r="O119" s="3">
        <v>117</v>
      </c>
    </row>
    <row r="120" spans="1:15" x14ac:dyDescent="0.25">
      <c r="A120" s="3">
        <v>2</v>
      </c>
      <c r="B120" s="3" t="s">
        <v>6</v>
      </c>
      <c r="C120" s="1" t="s">
        <v>6</v>
      </c>
      <c r="D120" s="1" t="s">
        <v>443</v>
      </c>
      <c r="E120" s="9" t="s">
        <v>144</v>
      </c>
      <c r="F120" s="3" t="s">
        <v>5</v>
      </c>
      <c r="G120" s="63" t="s">
        <v>805</v>
      </c>
      <c r="H120" s="6"/>
      <c r="I120" s="8" t="s">
        <v>642</v>
      </c>
      <c r="J120" s="6" t="s">
        <v>605</v>
      </c>
      <c r="K120" s="38">
        <v>0</v>
      </c>
      <c r="L120" s="4" t="s">
        <v>26</v>
      </c>
      <c r="M120" s="11">
        <f>_xlfn.NUMBERVALUE(LEFT(Table613[[#This Row],[Fiscal Year]], 4))</f>
        <v>2018</v>
      </c>
      <c r="N120" s="43">
        <f t="shared" si="4"/>
        <v>0</v>
      </c>
      <c r="O120" s="3">
        <v>118</v>
      </c>
    </row>
    <row r="121" spans="1:15" x14ac:dyDescent="0.25">
      <c r="A121" s="3">
        <v>2</v>
      </c>
      <c r="B121" s="3" t="s">
        <v>6</v>
      </c>
      <c r="C121" s="1" t="s">
        <v>6</v>
      </c>
      <c r="D121" s="1" t="s">
        <v>443</v>
      </c>
      <c r="E121" s="9" t="s">
        <v>144</v>
      </c>
      <c r="F121" s="3" t="s">
        <v>5</v>
      </c>
      <c r="G121" s="63" t="s">
        <v>806</v>
      </c>
      <c r="H121" s="44" t="s">
        <v>470</v>
      </c>
      <c r="I121" s="8" t="s">
        <v>642</v>
      </c>
      <c r="J121" s="75"/>
      <c r="K121" s="38">
        <v>0</v>
      </c>
      <c r="L121" s="4" t="s">
        <v>26</v>
      </c>
      <c r="M121" s="11">
        <f>_xlfn.NUMBERVALUE(LEFT(Table613[[#This Row],[Fiscal Year]], 4))</f>
        <v>2018</v>
      </c>
      <c r="N121" s="43">
        <f t="shared" si="4"/>
        <v>0</v>
      </c>
      <c r="O121" s="3">
        <v>119</v>
      </c>
    </row>
    <row r="122" spans="1:15" x14ac:dyDescent="0.25">
      <c r="A122" s="3">
        <v>2</v>
      </c>
      <c r="B122" s="3" t="s">
        <v>6</v>
      </c>
      <c r="C122" s="1" t="s">
        <v>6</v>
      </c>
      <c r="D122" s="1" t="s">
        <v>443</v>
      </c>
      <c r="E122" s="9" t="s">
        <v>144</v>
      </c>
      <c r="F122" s="3" t="s">
        <v>5</v>
      </c>
      <c r="G122" s="63" t="s">
        <v>807</v>
      </c>
      <c r="H122" s="44" t="s">
        <v>471</v>
      </c>
      <c r="I122" s="8" t="s">
        <v>642</v>
      </c>
      <c r="J122" s="75"/>
      <c r="K122" s="38">
        <v>0</v>
      </c>
      <c r="L122" s="4" t="s">
        <v>26</v>
      </c>
      <c r="M122" s="11">
        <f>_xlfn.NUMBERVALUE(LEFT(Table613[[#This Row],[Fiscal Year]], 4))</f>
        <v>2018</v>
      </c>
      <c r="N122" s="43">
        <f t="shared" si="4"/>
        <v>0</v>
      </c>
      <c r="O122" s="3">
        <v>120</v>
      </c>
    </row>
    <row r="123" spans="1:15" x14ac:dyDescent="0.25">
      <c r="A123" s="3">
        <v>2</v>
      </c>
      <c r="B123" s="3" t="s">
        <v>6</v>
      </c>
      <c r="C123" s="1" t="s">
        <v>6</v>
      </c>
      <c r="D123" s="1" t="s">
        <v>443</v>
      </c>
      <c r="E123" s="9" t="s">
        <v>144</v>
      </c>
      <c r="F123" s="3" t="s">
        <v>5</v>
      </c>
      <c r="G123" s="68" t="s">
        <v>815</v>
      </c>
      <c r="H123" s="44"/>
      <c r="I123" s="8"/>
      <c r="J123" s="75"/>
      <c r="K123" s="38">
        <v>4204080</v>
      </c>
      <c r="L123" s="4" t="s">
        <v>26</v>
      </c>
      <c r="M123" s="11">
        <f>_xlfn.NUMBERVALUE(LEFT(Table613[[#This Row],[Fiscal Year]], 4))</f>
        <v>2018</v>
      </c>
      <c r="N123" s="42">
        <f t="shared" si="4"/>
        <v>4204080</v>
      </c>
      <c r="O123" s="3">
        <v>121</v>
      </c>
    </row>
    <row r="124" spans="1:15" x14ac:dyDescent="0.25">
      <c r="A124" s="3">
        <v>2</v>
      </c>
      <c r="B124" s="3" t="s">
        <v>6</v>
      </c>
      <c r="C124" s="1" t="s">
        <v>6</v>
      </c>
      <c r="D124" s="1" t="s">
        <v>443</v>
      </c>
      <c r="E124" s="9" t="s">
        <v>144</v>
      </c>
      <c r="F124" s="3" t="s">
        <v>5</v>
      </c>
      <c r="G124" s="68" t="s">
        <v>816</v>
      </c>
      <c r="H124" s="6"/>
      <c r="I124" s="8"/>
      <c r="J124" s="75"/>
      <c r="K124" s="38">
        <v>84082</v>
      </c>
      <c r="L124" s="4" t="s">
        <v>26</v>
      </c>
      <c r="M124" s="11">
        <f>_xlfn.NUMBERVALUE(LEFT(Table613[[#This Row],[Fiscal Year]], 4))</f>
        <v>2018</v>
      </c>
      <c r="N124" s="42">
        <f t="shared" si="4"/>
        <v>84082</v>
      </c>
      <c r="O124" s="3">
        <v>122</v>
      </c>
    </row>
    <row r="125" spans="1:15" x14ac:dyDescent="0.25">
      <c r="A125" s="3">
        <v>2</v>
      </c>
      <c r="B125" s="3" t="s">
        <v>6</v>
      </c>
      <c r="C125" s="1" t="s">
        <v>6</v>
      </c>
      <c r="D125" s="1" t="s">
        <v>443</v>
      </c>
      <c r="E125" s="9" t="s">
        <v>144</v>
      </c>
      <c r="F125" s="3" t="s">
        <v>5</v>
      </c>
      <c r="G125" s="68" t="s">
        <v>817</v>
      </c>
      <c r="H125" s="6"/>
      <c r="I125" s="8"/>
      <c r="J125" s="75"/>
      <c r="K125" s="38">
        <v>4288161</v>
      </c>
      <c r="L125" s="4" t="s">
        <v>26</v>
      </c>
      <c r="M125" s="11">
        <f>_xlfn.NUMBERVALUE(LEFT(Table613[[#This Row],[Fiscal Year]], 4))</f>
        <v>2018</v>
      </c>
      <c r="N125" s="42">
        <f t="shared" si="4"/>
        <v>4288161</v>
      </c>
      <c r="O125" s="3">
        <v>123</v>
      </c>
    </row>
    <row r="126" spans="1:15" x14ac:dyDescent="0.25">
      <c r="A126" s="3">
        <v>2</v>
      </c>
      <c r="B126" s="3" t="s">
        <v>6</v>
      </c>
      <c r="C126" s="1" t="s">
        <v>6</v>
      </c>
      <c r="D126" s="1" t="s">
        <v>443</v>
      </c>
      <c r="E126" s="9" t="s">
        <v>144</v>
      </c>
      <c r="F126" s="3" t="s">
        <v>5</v>
      </c>
      <c r="G126" s="68" t="s">
        <v>818</v>
      </c>
      <c r="H126" s="44"/>
      <c r="I126" s="8"/>
      <c r="J126" s="75"/>
      <c r="K126" s="38">
        <v>-697022</v>
      </c>
      <c r="L126" s="4" t="s">
        <v>26</v>
      </c>
      <c r="M126" s="11">
        <f>_xlfn.NUMBERVALUE(LEFT(Table613[[#This Row],[Fiscal Year]], 4))</f>
        <v>2018</v>
      </c>
      <c r="N126" s="42">
        <f t="shared" si="4"/>
        <v>-697022</v>
      </c>
      <c r="O126" s="3">
        <v>124</v>
      </c>
    </row>
    <row r="127" spans="1:15" x14ac:dyDescent="0.25">
      <c r="A127" s="3">
        <v>2</v>
      </c>
      <c r="B127" s="3" t="s">
        <v>6</v>
      </c>
      <c r="C127" s="1" t="s">
        <v>6</v>
      </c>
      <c r="D127" s="1" t="s">
        <v>443</v>
      </c>
      <c r="E127" s="9" t="s">
        <v>144</v>
      </c>
      <c r="F127" s="3" t="s">
        <v>5</v>
      </c>
      <c r="G127" s="68" t="s">
        <v>819</v>
      </c>
      <c r="H127" s="44"/>
      <c r="I127" s="8"/>
      <c r="J127" s="75"/>
      <c r="K127" s="38">
        <v>-531446</v>
      </c>
      <c r="L127" s="4" t="s">
        <v>26</v>
      </c>
      <c r="M127" s="11">
        <f>_xlfn.NUMBERVALUE(LEFT(Table613[[#This Row],[Fiscal Year]], 4))</f>
        <v>2018</v>
      </c>
      <c r="N127" s="42">
        <f t="shared" si="4"/>
        <v>-531446</v>
      </c>
      <c r="O127" s="3">
        <v>125</v>
      </c>
    </row>
    <row r="128" spans="1:15" x14ac:dyDescent="0.25">
      <c r="A128" s="3">
        <v>2</v>
      </c>
      <c r="B128" s="3" t="s">
        <v>6</v>
      </c>
      <c r="C128" s="1" t="s">
        <v>6</v>
      </c>
      <c r="D128" s="1" t="s">
        <v>443</v>
      </c>
      <c r="E128" s="9" t="s">
        <v>144</v>
      </c>
      <c r="F128" s="3" t="s">
        <v>5</v>
      </c>
      <c r="G128" s="68" t="s">
        <v>820</v>
      </c>
      <c r="H128" s="44"/>
      <c r="I128" s="8"/>
      <c r="J128" s="75"/>
      <c r="K128" s="38" t="s">
        <v>827</v>
      </c>
      <c r="L128" s="4" t="s">
        <v>26</v>
      </c>
      <c r="M128" s="11">
        <f>_xlfn.NUMBERVALUE(LEFT(Table613[[#This Row],[Fiscal Year]], 4))</f>
        <v>2018</v>
      </c>
      <c r="O128" s="3">
        <v>126</v>
      </c>
    </row>
    <row r="129" spans="1:15" x14ac:dyDescent="0.25">
      <c r="A129" s="3">
        <v>2</v>
      </c>
      <c r="B129" s="3" t="s">
        <v>6</v>
      </c>
      <c r="C129" s="1" t="s">
        <v>6</v>
      </c>
      <c r="D129" s="1" t="s">
        <v>443</v>
      </c>
      <c r="E129" s="9" t="s">
        <v>144</v>
      </c>
      <c r="F129" s="3" t="s">
        <v>5</v>
      </c>
      <c r="G129" s="68" t="s">
        <v>821</v>
      </c>
      <c r="H129" s="44"/>
      <c r="I129" s="8"/>
      <c r="J129" s="75"/>
      <c r="K129" s="38" t="s">
        <v>827</v>
      </c>
      <c r="L129" s="4" t="s">
        <v>26</v>
      </c>
      <c r="M129" s="11">
        <f>_xlfn.NUMBERVALUE(LEFT(Table613[[#This Row],[Fiscal Year]], 4))</f>
        <v>2018</v>
      </c>
      <c r="O129" s="3">
        <v>127</v>
      </c>
    </row>
    <row r="130" spans="1:15" x14ac:dyDescent="0.25">
      <c r="A130" s="3">
        <v>2</v>
      </c>
      <c r="B130" s="3" t="s">
        <v>6</v>
      </c>
      <c r="C130" s="1" t="s">
        <v>6</v>
      </c>
      <c r="D130" s="1" t="s">
        <v>443</v>
      </c>
      <c r="E130" s="9" t="s">
        <v>144</v>
      </c>
      <c r="F130" s="3" t="s">
        <v>5</v>
      </c>
      <c r="G130" s="68" t="s">
        <v>822</v>
      </c>
      <c r="H130" s="44"/>
      <c r="I130" s="8"/>
      <c r="J130" s="75"/>
      <c r="K130" s="38" t="s">
        <v>827</v>
      </c>
      <c r="L130" s="4" t="s">
        <v>26</v>
      </c>
      <c r="M130" s="11">
        <f>_xlfn.NUMBERVALUE(LEFT(Table613[[#This Row],[Fiscal Year]], 4))</f>
        <v>2018</v>
      </c>
      <c r="O130" s="3">
        <v>128</v>
      </c>
    </row>
    <row r="131" spans="1:15" x14ac:dyDescent="0.25">
      <c r="A131" s="3">
        <v>2</v>
      </c>
      <c r="B131" s="3" t="s">
        <v>6</v>
      </c>
      <c r="C131" s="1" t="s">
        <v>6</v>
      </c>
      <c r="D131" s="1" t="s">
        <v>443</v>
      </c>
      <c r="E131" s="9" t="s">
        <v>144</v>
      </c>
      <c r="F131" s="3" t="s">
        <v>5</v>
      </c>
      <c r="G131" s="68" t="s">
        <v>823</v>
      </c>
      <c r="H131" s="6"/>
      <c r="I131" s="8"/>
      <c r="J131" s="75"/>
      <c r="K131" s="38">
        <v>3059693</v>
      </c>
      <c r="L131" s="4" t="s">
        <v>26</v>
      </c>
      <c r="M131" s="11">
        <f>_xlfn.NUMBERVALUE(LEFT(Table613[[#This Row],[Fiscal Year]], 4))</f>
        <v>2018</v>
      </c>
      <c r="N131" s="42">
        <f t="shared" si="4"/>
        <v>3059693</v>
      </c>
      <c r="O131" s="3">
        <v>129</v>
      </c>
    </row>
    <row r="132" spans="1:15" x14ac:dyDescent="0.25">
      <c r="C132" s="1"/>
      <c r="D132" s="1"/>
      <c r="E132" s="9"/>
      <c r="G132" s="66"/>
      <c r="H132" s="6"/>
      <c r="I132" s="8"/>
      <c r="J132" s="6"/>
      <c r="L132" s="4"/>
      <c r="O132" s="3">
        <v>130</v>
      </c>
    </row>
    <row r="133" spans="1:15" x14ac:dyDescent="0.25">
      <c r="A133" s="3">
        <v>3</v>
      </c>
      <c r="B133" s="3" t="s">
        <v>7</v>
      </c>
      <c r="C133" s="1" t="s">
        <v>1454</v>
      </c>
      <c r="D133" s="1" t="s">
        <v>443</v>
      </c>
      <c r="E133" s="11" t="s">
        <v>144</v>
      </c>
      <c r="F133" s="3" t="s">
        <v>8</v>
      </c>
      <c r="G133" s="48" t="s">
        <v>423</v>
      </c>
      <c r="H133" s="8"/>
      <c r="I133" s="8"/>
      <c r="J133" s="6" t="s">
        <v>110</v>
      </c>
      <c r="K133" s="38">
        <v>470853</v>
      </c>
      <c r="L133" s="4" t="s">
        <v>25</v>
      </c>
      <c r="M133" s="11">
        <f>_xlfn.NUMBERVALUE(LEFT(Table613[[#This Row],[Fiscal Year]], 4))</f>
        <v>2017</v>
      </c>
      <c r="N133" s="42">
        <f t="shared" si="4"/>
        <v>483399.47467564268</v>
      </c>
      <c r="O133" s="3">
        <v>131</v>
      </c>
    </row>
    <row r="134" spans="1:15" x14ac:dyDescent="0.25">
      <c r="A134" s="3">
        <v>3</v>
      </c>
      <c r="B134" s="3" t="s">
        <v>7</v>
      </c>
      <c r="C134" s="1" t="s">
        <v>1454</v>
      </c>
      <c r="D134" s="1" t="s">
        <v>443</v>
      </c>
      <c r="E134" s="11" t="s">
        <v>144</v>
      </c>
      <c r="F134" s="3" t="s">
        <v>8</v>
      </c>
      <c r="G134" s="48" t="s">
        <v>101</v>
      </c>
      <c r="H134" s="8" t="s">
        <v>472</v>
      </c>
      <c r="I134" s="8" t="s">
        <v>642</v>
      </c>
      <c r="J134" s="6" t="s">
        <v>108</v>
      </c>
      <c r="K134" s="38">
        <v>1485408</v>
      </c>
      <c r="L134" s="4" t="s">
        <v>25</v>
      </c>
      <c r="M134" s="11">
        <f>_xlfn.NUMBERVALUE(LEFT(Table613[[#This Row],[Fiscal Year]], 4))</f>
        <v>2017</v>
      </c>
      <c r="N134" s="42">
        <f t="shared" si="4"/>
        <v>1524988.5779192168</v>
      </c>
      <c r="O134" s="3">
        <v>132</v>
      </c>
    </row>
    <row r="135" spans="1:15" x14ac:dyDescent="0.25">
      <c r="A135" s="3">
        <v>3</v>
      </c>
      <c r="B135" s="3" t="s">
        <v>7</v>
      </c>
      <c r="C135" s="1" t="s">
        <v>1454</v>
      </c>
      <c r="D135" s="1" t="s">
        <v>443</v>
      </c>
      <c r="E135" s="11" t="s">
        <v>144</v>
      </c>
      <c r="F135" s="3" t="s">
        <v>8</v>
      </c>
      <c r="G135" s="66" t="s">
        <v>48</v>
      </c>
      <c r="H135" s="8" t="s">
        <v>473</v>
      </c>
      <c r="I135" s="8" t="s">
        <v>642</v>
      </c>
      <c r="J135" s="6" t="s">
        <v>109</v>
      </c>
      <c r="K135" s="38">
        <v>672351</v>
      </c>
      <c r="L135" s="4" t="s">
        <v>25</v>
      </c>
      <c r="M135" s="11">
        <f>_xlfn.NUMBERVALUE(LEFT(Table613[[#This Row],[Fiscal Year]], 4))</f>
        <v>2017</v>
      </c>
      <c r="N135" s="42">
        <f t="shared" si="4"/>
        <v>690266.64414932684</v>
      </c>
      <c r="O135" s="3">
        <v>133</v>
      </c>
    </row>
    <row r="136" spans="1:15" x14ac:dyDescent="0.25">
      <c r="A136" s="3">
        <v>3</v>
      </c>
      <c r="B136" s="3" t="s">
        <v>7</v>
      </c>
      <c r="C136" s="1" t="s">
        <v>1454</v>
      </c>
      <c r="D136" s="1" t="s">
        <v>443</v>
      </c>
      <c r="E136" s="11" t="s">
        <v>144</v>
      </c>
      <c r="F136" s="3" t="s">
        <v>8</v>
      </c>
      <c r="G136" s="48" t="s">
        <v>49</v>
      </c>
      <c r="H136" s="8" t="s">
        <v>474</v>
      </c>
      <c r="I136" s="8" t="s">
        <v>642</v>
      </c>
      <c r="J136" s="6" t="s">
        <v>111</v>
      </c>
      <c r="K136" s="38">
        <v>7171</v>
      </c>
      <c r="L136" s="4" t="s">
        <v>25</v>
      </c>
      <c r="M136" s="11">
        <f>_xlfn.NUMBERVALUE(LEFT(Table613[[#This Row],[Fiscal Year]], 4))</f>
        <v>2017</v>
      </c>
      <c r="N136" s="42">
        <f t="shared" si="4"/>
        <v>7362.0803794369658</v>
      </c>
      <c r="O136" s="3">
        <v>134</v>
      </c>
    </row>
    <row r="137" spans="1:15" x14ac:dyDescent="0.25">
      <c r="A137" s="3">
        <v>3</v>
      </c>
      <c r="B137" s="3" t="s">
        <v>7</v>
      </c>
      <c r="C137" s="1" t="s">
        <v>1454</v>
      </c>
      <c r="D137" s="1" t="s">
        <v>443</v>
      </c>
      <c r="E137" s="11" t="s">
        <v>144</v>
      </c>
      <c r="F137" s="3" t="s">
        <v>8</v>
      </c>
      <c r="G137" s="66" t="s">
        <v>41</v>
      </c>
      <c r="H137" s="6"/>
      <c r="I137" s="8" t="s">
        <v>642</v>
      </c>
      <c r="J137" s="6" t="s">
        <v>106</v>
      </c>
      <c r="K137" s="38">
        <v>469438</v>
      </c>
      <c r="L137" s="4" t="s">
        <v>25</v>
      </c>
      <c r="M137" s="11">
        <f>_xlfn.NUMBERVALUE(LEFT(Table613[[#This Row],[Fiscal Year]], 4))</f>
        <v>2017</v>
      </c>
      <c r="N137" s="42">
        <f t="shared" si="4"/>
        <v>481946.77020807838</v>
      </c>
      <c r="O137" s="3">
        <v>135</v>
      </c>
    </row>
    <row r="138" spans="1:15" x14ac:dyDescent="0.25">
      <c r="A138" s="3">
        <v>3</v>
      </c>
      <c r="B138" s="3" t="s">
        <v>7</v>
      </c>
      <c r="C138" s="1" t="s">
        <v>1454</v>
      </c>
      <c r="D138" s="1" t="s">
        <v>443</v>
      </c>
      <c r="E138" s="11" t="s">
        <v>144</v>
      </c>
      <c r="F138" s="3" t="s">
        <v>8</v>
      </c>
      <c r="G138" s="48" t="s">
        <v>50</v>
      </c>
      <c r="H138" s="8" t="s">
        <v>475</v>
      </c>
      <c r="I138" s="8" t="s">
        <v>642</v>
      </c>
      <c r="J138" s="6" t="s">
        <v>111</v>
      </c>
      <c r="K138" s="38">
        <v>131583</v>
      </c>
      <c r="L138" s="4" t="s">
        <v>25</v>
      </c>
      <c r="M138" s="11">
        <f>_xlfn.NUMBERVALUE(LEFT(Table613[[#This Row],[Fiscal Year]], 4))</f>
        <v>2017</v>
      </c>
      <c r="N138" s="42">
        <f t="shared" si="4"/>
        <v>135089.19572827418</v>
      </c>
      <c r="O138" s="3">
        <v>136</v>
      </c>
    </row>
    <row r="139" spans="1:15" x14ac:dyDescent="0.25">
      <c r="A139" s="3">
        <v>3</v>
      </c>
      <c r="B139" s="3" t="s">
        <v>7</v>
      </c>
      <c r="C139" s="1" t="s">
        <v>1454</v>
      </c>
      <c r="D139" s="1" t="s">
        <v>443</v>
      </c>
      <c r="E139" s="11" t="s">
        <v>144</v>
      </c>
      <c r="F139" s="3" t="s">
        <v>8</v>
      </c>
      <c r="G139" s="48" t="s">
        <v>51</v>
      </c>
      <c r="H139" s="8" t="s">
        <v>646</v>
      </c>
      <c r="I139" s="8" t="s">
        <v>642</v>
      </c>
      <c r="J139" s="6" t="s">
        <v>107</v>
      </c>
      <c r="K139" s="38">
        <v>152324</v>
      </c>
      <c r="L139" s="4" t="s">
        <v>25</v>
      </c>
      <c r="M139" s="11">
        <f>_xlfn.NUMBERVALUE(LEFT(Table613[[#This Row],[Fiscal Year]], 4))</f>
        <v>2017</v>
      </c>
      <c r="N139" s="42">
        <f t="shared" si="4"/>
        <v>156382.86594859243</v>
      </c>
      <c r="O139" s="3">
        <v>137</v>
      </c>
    </row>
    <row r="140" spans="1:15" x14ac:dyDescent="0.25">
      <c r="A140" s="3">
        <v>3</v>
      </c>
      <c r="B140" s="3" t="s">
        <v>7</v>
      </c>
      <c r="C140" s="1" t="s">
        <v>1454</v>
      </c>
      <c r="D140" s="1" t="s">
        <v>443</v>
      </c>
      <c r="E140" s="11" t="s">
        <v>144</v>
      </c>
      <c r="F140" s="3" t="s">
        <v>8</v>
      </c>
      <c r="G140" s="48" t="s">
        <v>52</v>
      </c>
      <c r="H140" s="8"/>
      <c r="I140" s="8" t="s">
        <v>642</v>
      </c>
      <c r="J140" s="8" t="s">
        <v>111</v>
      </c>
      <c r="K140" s="38">
        <v>22829</v>
      </c>
      <c r="L140" s="4" t="s">
        <v>25</v>
      </c>
      <c r="M140" s="11">
        <f>_xlfn.NUMBERVALUE(LEFT(Table613[[#This Row],[Fiscal Year]], 4))</f>
        <v>2017</v>
      </c>
      <c r="N140" s="42">
        <f t="shared" si="4"/>
        <v>23437.307625458998</v>
      </c>
      <c r="O140" s="3">
        <v>138</v>
      </c>
    </row>
    <row r="141" spans="1:15" x14ac:dyDescent="0.25">
      <c r="A141" s="3">
        <v>3</v>
      </c>
      <c r="B141" s="3" t="s">
        <v>7</v>
      </c>
      <c r="C141" s="1" t="s">
        <v>1454</v>
      </c>
      <c r="D141" s="1" t="s">
        <v>443</v>
      </c>
      <c r="E141" s="11" t="s">
        <v>144</v>
      </c>
      <c r="F141" s="3" t="s">
        <v>8</v>
      </c>
      <c r="G141" s="66" t="s">
        <v>53</v>
      </c>
      <c r="H141" s="8"/>
      <c r="I141" s="8" t="s">
        <v>642</v>
      </c>
      <c r="J141" s="6" t="s">
        <v>453</v>
      </c>
      <c r="K141" s="38">
        <v>80663</v>
      </c>
      <c r="L141" s="4" t="s">
        <v>25</v>
      </c>
      <c r="M141" s="11">
        <f>_xlfn.NUMBERVALUE(LEFT(Table613[[#This Row],[Fiscal Year]], 4))</f>
        <v>2017</v>
      </c>
      <c r="N141" s="42">
        <f t="shared" si="4"/>
        <v>82812.367821297434</v>
      </c>
      <c r="O141" s="3">
        <v>139</v>
      </c>
    </row>
    <row r="142" spans="1:15" x14ac:dyDescent="0.25">
      <c r="A142" s="3">
        <v>3</v>
      </c>
      <c r="B142" s="3" t="s">
        <v>7</v>
      </c>
      <c r="C142" s="1" t="s">
        <v>1454</v>
      </c>
      <c r="D142" s="1" t="s">
        <v>443</v>
      </c>
      <c r="E142" s="11" t="s">
        <v>144</v>
      </c>
      <c r="F142" s="3" t="s">
        <v>8</v>
      </c>
      <c r="G142" s="66" t="s">
        <v>54</v>
      </c>
      <c r="H142" s="8"/>
      <c r="I142" s="8" t="s">
        <v>642</v>
      </c>
      <c r="J142" s="6" t="s">
        <v>108</v>
      </c>
      <c r="K142" s="38">
        <v>431089</v>
      </c>
      <c r="L142" s="4" t="s">
        <v>25</v>
      </c>
      <c r="M142" s="11">
        <f>_xlfn.NUMBERVALUE(LEFT(Table613[[#This Row],[Fiscal Year]], 4))</f>
        <v>2017</v>
      </c>
      <c r="N142" s="42">
        <f t="shared" si="4"/>
        <v>442575.91252141987</v>
      </c>
      <c r="O142" s="3">
        <v>140</v>
      </c>
    </row>
    <row r="143" spans="1:15" x14ac:dyDescent="0.25">
      <c r="A143" s="29">
        <v>3</v>
      </c>
      <c r="B143" s="3" t="s">
        <v>7</v>
      </c>
      <c r="C143" s="1" t="s">
        <v>1454</v>
      </c>
      <c r="D143" s="1" t="s">
        <v>443</v>
      </c>
      <c r="E143" s="11" t="s">
        <v>144</v>
      </c>
      <c r="F143" s="3" t="s">
        <v>8</v>
      </c>
      <c r="G143" s="66" t="s">
        <v>55</v>
      </c>
      <c r="H143" s="8"/>
      <c r="I143" s="8" t="s">
        <v>642</v>
      </c>
      <c r="J143" s="6" t="s">
        <v>605</v>
      </c>
      <c r="K143" s="38">
        <v>11240</v>
      </c>
      <c r="L143" s="4" t="s">
        <v>25</v>
      </c>
      <c r="M143" s="11">
        <f>_xlfn.NUMBERVALUE(LEFT(Table613[[#This Row],[Fiscal Year]], 4))</f>
        <v>2017</v>
      </c>
      <c r="N143" s="42">
        <f t="shared" si="4"/>
        <v>11539.504039167688</v>
      </c>
      <c r="O143" s="3">
        <v>141</v>
      </c>
    </row>
    <row r="144" spans="1:15" x14ac:dyDescent="0.25">
      <c r="A144" s="3">
        <v>3</v>
      </c>
      <c r="B144" s="3" t="s">
        <v>7</v>
      </c>
      <c r="C144" s="1" t="s">
        <v>1454</v>
      </c>
      <c r="D144" s="1" t="s">
        <v>443</v>
      </c>
      <c r="E144" s="11" t="s">
        <v>144</v>
      </c>
      <c r="F144" s="3" t="s">
        <v>8</v>
      </c>
      <c r="G144" s="66" t="s">
        <v>828</v>
      </c>
      <c r="H144" s="8"/>
      <c r="I144" s="8" t="s">
        <v>642</v>
      </c>
      <c r="J144" s="6" t="s">
        <v>47</v>
      </c>
      <c r="K144" s="38">
        <v>469881</v>
      </c>
      <c r="L144" s="4" t="s">
        <v>25</v>
      </c>
      <c r="M144" s="11">
        <f>_xlfn.NUMBERVALUE(LEFT(Table613[[#This Row],[Fiscal Year]], 4))</f>
        <v>2017</v>
      </c>
      <c r="N144" s="42">
        <f t="shared" si="4"/>
        <v>482401.57450428401</v>
      </c>
      <c r="O144" s="3">
        <v>142</v>
      </c>
    </row>
    <row r="145" spans="1:15" x14ac:dyDescent="0.25">
      <c r="A145" s="3">
        <v>3</v>
      </c>
      <c r="B145" s="3" t="s">
        <v>7</v>
      </c>
      <c r="C145" s="1" t="s">
        <v>1454</v>
      </c>
      <c r="D145" s="1" t="s">
        <v>443</v>
      </c>
      <c r="E145" s="11" t="s">
        <v>144</v>
      </c>
      <c r="F145" s="3" t="s">
        <v>8</v>
      </c>
      <c r="G145" s="48" t="s">
        <v>56</v>
      </c>
      <c r="H145" s="8"/>
      <c r="I145" s="8" t="s">
        <v>642</v>
      </c>
      <c r="J145" s="6" t="s">
        <v>605</v>
      </c>
      <c r="K145" s="38">
        <v>10986</v>
      </c>
      <c r="L145" s="4" t="s">
        <v>25</v>
      </c>
      <c r="M145" s="11">
        <f>_xlfn.NUMBERVALUE(LEFT(Table613[[#This Row],[Fiscal Year]], 4))</f>
        <v>2017</v>
      </c>
      <c r="N145" s="42">
        <f t="shared" si="4"/>
        <v>11278.735887392902</v>
      </c>
      <c r="O145" s="3">
        <v>143</v>
      </c>
    </row>
    <row r="146" spans="1:15" x14ac:dyDescent="0.25">
      <c r="A146" s="3">
        <v>3</v>
      </c>
      <c r="B146" s="3" t="s">
        <v>7</v>
      </c>
      <c r="C146" s="1" t="s">
        <v>1454</v>
      </c>
      <c r="D146" s="1" t="s">
        <v>443</v>
      </c>
      <c r="E146" s="11" t="s">
        <v>144</v>
      </c>
      <c r="F146" s="3" t="s">
        <v>8</v>
      </c>
      <c r="G146" s="48" t="s">
        <v>57</v>
      </c>
      <c r="H146" s="8" t="s">
        <v>476</v>
      </c>
      <c r="I146" s="8" t="s">
        <v>642</v>
      </c>
      <c r="J146" s="6" t="s">
        <v>110</v>
      </c>
      <c r="K146" s="38">
        <v>42974</v>
      </c>
      <c r="L146" s="4" t="s">
        <v>25</v>
      </c>
      <c r="M146" s="11">
        <f>_xlfn.NUMBERVALUE(LEFT(Table613[[#This Row],[Fiscal Year]], 4))</f>
        <v>2017</v>
      </c>
      <c r="N146" s="42">
        <f t="shared" si="4"/>
        <v>44119.096670746636</v>
      </c>
      <c r="O146" s="3">
        <v>144</v>
      </c>
    </row>
    <row r="147" spans="1:15" x14ac:dyDescent="0.25">
      <c r="C147" s="1"/>
      <c r="D147" s="1"/>
      <c r="G147" s="66"/>
      <c r="H147" s="8"/>
      <c r="I147" s="8"/>
      <c r="J147" s="6"/>
      <c r="L147" s="4"/>
      <c r="O147" s="3">
        <v>145</v>
      </c>
    </row>
    <row r="148" spans="1:15" x14ac:dyDescent="0.25">
      <c r="A148" s="3">
        <v>4</v>
      </c>
      <c r="B148" s="3" t="s">
        <v>145</v>
      </c>
      <c r="C148" s="1" t="s">
        <v>12</v>
      </c>
      <c r="D148" s="1" t="s">
        <v>444</v>
      </c>
      <c r="E148" s="11" t="s">
        <v>144</v>
      </c>
      <c r="F148" s="3" t="s">
        <v>8</v>
      </c>
      <c r="G148" s="48" t="s">
        <v>32</v>
      </c>
      <c r="H148" s="8"/>
      <c r="I148" s="8"/>
      <c r="J148" s="6" t="s">
        <v>110</v>
      </c>
      <c r="K148" s="38">
        <v>89062.04</v>
      </c>
      <c r="L148" s="4" t="s">
        <v>29</v>
      </c>
      <c r="M148" s="11">
        <f>_xlfn.NUMBERVALUE(LEFT(Table613[[#This Row],[Fiscal Year]], 4))</f>
        <v>2015</v>
      </c>
      <c r="N148" s="42">
        <f t="shared" si="4"/>
        <v>94560.21176050631</v>
      </c>
      <c r="O148" s="3">
        <v>146</v>
      </c>
    </row>
    <row r="149" spans="1:15" x14ac:dyDescent="0.25">
      <c r="A149" s="3">
        <v>4</v>
      </c>
      <c r="B149" s="3" t="s">
        <v>145</v>
      </c>
      <c r="C149" s="1" t="s">
        <v>12</v>
      </c>
      <c r="D149" s="1" t="s">
        <v>444</v>
      </c>
      <c r="E149" s="11" t="s">
        <v>144</v>
      </c>
      <c r="F149" s="3" t="s">
        <v>8</v>
      </c>
      <c r="G149" s="61" t="s">
        <v>58</v>
      </c>
      <c r="H149" s="8" t="s">
        <v>477</v>
      </c>
      <c r="I149" s="70" t="s">
        <v>643</v>
      </c>
      <c r="J149" s="6" t="s">
        <v>453</v>
      </c>
      <c r="K149" s="38">
        <v>14273.16</v>
      </c>
      <c r="L149" s="4" t="s">
        <v>29</v>
      </c>
      <c r="M149" s="11">
        <f>_xlfn.NUMBERVALUE(LEFT(Table613[[#This Row],[Fiscal Year]], 4))</f>
        <v>2015</v>
      </c>
      <c r="N149" s="42">
        <f t="shared" si="4"/>
        <v>15154.301788860759</v>
      </c>
      <c r="O149" s="3">
        <v>147</v>
      </c>
    </row>
    <row r="150" spans="1:15" x14ac:dyDescent="0.25">
      <c r="A150" s="29">
        <v>4</v>
      </c>
      <c r="B150" s="3" t="s">
        <v>145</v>
      </c>
      <c r="C150" s="1" t="s">
        <v>12</v>
      </c>
      <c r="D150" s="1" t="s">
        <v>444</v>
      </c>
      <c r="E150" s="11" t="s">
        <v>144</v>
      </c>
      <c r="F150" s="3" t="s">
        <v>8</v>
      </c>
      <c r="G150" s="66" t="s">
        <v>208</v>
      </c>
      <c r="H150" s="8"/>
      <c r="I150" s="8"/>
      <c r="J150" s="6" t="s">
        <v>109</v>
      </c>
      <c r="K150" s="38">
        <v>12994.81</v>
      </c>
      <c r="L150" s="4" t="s">
        <v>29</v>
      </c>
      <c r="M150" s="11">
        <f>_xlfn.NUMBERVALUE(LEFT(Table613[[#This Row],[Fiscal Year]], 4))</f>
        <v>2015</v>
      </c>
      <c r="N150" s="42">
        <f t="shared" si="4"/>
        <v>13797.03390341772</v>
      </c>
      <c r="O150" s="3">
        <v>148</v>
      </c>
    </row>
    <row r="151" spans="1:15" x14ac:dyDescent="0.25">
      <c r="A151" s="3">
        <v>4</v>
      </c>
      <c r="B151" s="3" t="s">
        <v>145</v>
      </c>
      <c r="C151" s="1" t="s">
        <v>12</v>
      </c>
      <c r="D151" s="1" t="s">
        <v>444</v>
      </c>
      <c r="E151" s="11" t="s">
        <v>144</v>
      </c>
      <c r="F151" s="3" t="s">
        <v>8</v>
      </c>
      <c r="G151" s="66" t="s">
        <v>59</v>
      </c>
      <c r="H151" s="8"/>
      <c r="I151" s="8"/>
      <c r="J151" s="6" t="s">
        <v>111</v>
      </c>
      <c r="K151" s="38" t="s">
        <v>827</v>
      </c>
      <c r="L151" s="4" t="s">
        <v>29</v>
      </c>
      <c r="M151" s="11">
        <f>_xlfn.NUMBERVALUE(LEFT(Table613[[#This Row],[Fiscal Year]], 4))</f>
        <v>2015</v>
      </c>
      <c r="O151" s="3">
        <v>149</v>
      </c>
    </row>
    <row r="152" spans="1:15" x14ac:dyDescent="0.25">
      <c r="A152" s="3">
        <v>4</v>
      </c>
      <c r="B152" s="3" t="s">
        <v>145</v>
      </c>
      <c r="C152" s="1" t="s">
        <v>12</v>
      </c>
      <c r="D152" s="1" t="s">
        <v>444</v>
      </c>
      <c r="E152" s="11" t="s">
        <v>144</v>
      </c>
      <c r="F152" s="3" t="s">
        <v>8</v>
      </c>
      <c r="G152" s="66" t="s">
        <v>60</v>
      </c>
      <c r="H152" s="8"/>
      <c r="I152" s="8"/>
      <c r="J152" s="6" t="s">
        <v>111</v>
      </c>
      <c r="K152" s="38">
        <v>10000</v>
      </c>
      <c r="L152" s="4" t="s">
        <v>29</v>
      </c>
      <c r="M152" s="11">
        <f>_xlfn.NUMBERVALUE(LEFT(Table613[[#This Row],[Fiscal Year]], 4))</f>
        <v>2015</v>
      </c>
      <c r="N152" s="42">
        <f t="shared" si="4"/>
        <v>10617.341772151898</v>
      </c>
      <c r="O152" s="3">
        <v>150</v>
      </c>
    </row>
    <row r="153" spans="1:15" x14ac:dyDescent="0.25">
      <c r="A153" s="3">
        <v>4</v>
      </c>
      <c r="B153" s="3" t="s">
        <v>145</v>
      </c>
      <c r="C153" s="1" t="s">
        <v>12</v>
      </c>
      <c r="D153" s="1" t="s">
        <v>444</v>
      </c>
      <c r="E153" s="11" t="s">
        <v>144</v>
      </c>
      <c r="F153" s="3" t="s">
        <v>8</v>
      </c>
      <c r="G153" s="48" t="s">
        <v>61</v>
      </c>
      <c r="H153" s="8" t="s">
        <v>478</v>
      </c>
      <c r="I153" s="8" t="s">
        <v>644</v>
      </c>
      <c r="J153" s="6" t="s">
        <v>108</v>
      </c>
      <c r="K153" s="38">
        <v>111665.67</v>
      </c>
      <c r="L153" s="4" t="s">
        <v>29</v>
      </c>
      <c r="M153" s="11">
        <f>_xlfn.NUMBERVALUE(LEFT(Table613[[#This Row],[Fiscal Year]], 4))</f>
        <v>2015</v>
      </c>
      <c r="N153" s="42">
        <f t="shared" si="4"/>
        <v>118559.25826063291</v>
      </c>
      <c r="O153" s="3">
        <v>151</v>
      </c>
    </row>
    <row r="154" spans="1:15" x14ac:dyDescent="0.25">
      <c r="A154" s="3">
        <v>4</v>
      </c>
      <c r="B154" s="3" t="s">
        <v>145</v>
      </c>
      <c r="C154" s="1" t="s">
        <v>12</v>
      </c>
      <c r="D154" s="1" t="s">
        <v>444</v>
      </c>
      <c r="E154" s="11" t="s">
        <v>144</v>
      </c>
      <c r="F154" s="3" t="s">
        <v>8</v>
      </c>
      <c r="G154" s="66" t="s">
        <v>62</v>
      </c>
      <c r="H154" s="8"/>
      <c r="I154" s="8"/>
      <c r="J154" s="6" t="s">
        <v>106</v>
      </c>
      <c r="K154" s="38">
        <v>6533.3</v>
      </c>
      <c r="L154" s="4" t="s">
        <v>29</v>
      </c>
      <c r="M154" s="11">
        <f>_xlfn.NUMBERVALUE(LEFT(Table613[[#This Row],[Fiscal Year]], 4))</f>
        <v>2015</v>
      </c>
      <c r="N154" s="42">
        <f t="shared" si="4"/>
        <v>6936.6278999999995</v>
      </c>
      <c r="O154" s="3">
        <v>152</v>
      </c>
    </row>
    <row r="155" spans="1:15" x14ac:dyDescent="0.25">
      <c r="A155" s="3">
        <v>4</v>
      </c>
      <c r="B155" s="3" t="s">
        <v>145</v>
      </c>
      <c r="C155" s="1" t="s">
        <v>12</v>
      </c>
      <c r="D155" s="1" t="s">
        <v>444</v>
      </c>
      <c r="E155" s="11" t="s">
        <v>144</v>
      </c>
      <c r="F155" s="3" t="s">
        <v>8</v>
      </c>
      <c r="G155" s="48" t="s">
        <v>63</v>
      </c>
      <c r="H155" s="8" t="s">
        <v>479</v>
      </c>
      <c r="I155" s="8" t="s">
        <v>644</v>
      </c>
      <c r="J155" s="6" t="s">
        <v>455</v>
      </c>
      <c r="K155" s="38">
        <v>283770</v>
      </c>
      <c r="L155" s="4" t="s">
        <v>29</v>
      </c>
      <c r="M155" s="11">
        <f>_xlfn.NUMBERVALUE(LEFT(Table613[[#This Row],[Fiscal Year]], 4))</f>
        <v>2015</v>
      </c>
      <c r="N155" s="42">
        <f t="shared" si="4"/>
        <v>301288.30746835441</v>
      </c>
      <c r="O155" s="3">
        <v>153</v>
      </c>
    </row>
    <row r="156" spans="1:15" x14ac:dyDescent="0.25">
      <c r="A156" s="3">
        <v>4</v>
      </c>
      <c r="B156" s="3" t="s">
        <v>145</v>
      </c>
      <c r="C156" s="1" t="s">
        <v>12</v>
      </c>
      <c r="D156" s="1" t="s">
        <v>444</v>
      </c>
      <c r="E156" s="11" t="s">
        <v>144</v>
      </c>
      <c r="F156" s="3" t="s">
        <v>8</v>
      </c>
      <c r="G156" s="66" t="s">
        <v>64</v>
      </c>
      <c r="H156" s="8"/>
      <c r="I156" s="8"/>
      <c r="J156" s="6" t="s">
        <v>76</v>
      </c>
      <c r="K156" s="38" t="s">
        <v>827</v>
      </c>
      <c r="L156" s="4" t="s">
        <v>29</v>
      </c>
      <c r="M156" s="11">
        <f>_xlfn.NUMBERVALUE(LEFT(Table613[[#This Row],[Fiscal Year]], 4))</f>
        <v>2015</v>
      </c>
      <c r="O156" s="3">
        <v>154</v>
      </c>
    </row>
    <row r="157" spans="1:15" x14ac:dyDescent="0.25">
      <c r="A157" s="3">
        <v>4</v>
      </c>
      <c r="B157" s="3" t="s">
        <v>145</v>
      </c>
      <c r="C157" s="1" t="s">
        <v>12</v>
      </c>
      <c r="D157" s="1" t="s">
        <v>444</v>
      </c>
      <c r="E157" s="11" t="s">
        <v>144</v>
      </c>
      <c r="F157" s="3" t="s">
        <v>8</v>
      </c>
      <c r="G157" s="48" t="s">
        <v>65</v>
      </c>
      <c r="H157" s="8" t="s">
        <v>480</v>
      </c>
      <c r="I157" s="8" t="s">
        <v>644</v>
      </c>
      <c r="J157" s="6" t="s">
        <v>76</v>
      </c>
      <c r="K157" s="38">
        <v>51975.199999999997</v>
      </c>
      <c r="L157" s="4" t="s">
        <v>29</v>
      </c>
      <c r="M157" s="11">
        <f>_xlfn.NUMBERVALUE(LEFT(Table613[[#This Row],[Fiscal Year]], 4))</f>
        <v>2015</v>
      </c>
      <c r="N157" s="42">
        <f t="shared" si="4"/>
        <v>55183.846207594928</v>
      </c>
      <c r="O157" s="3">
        <v>155</v>
      </c>
    </row>
    <row r="158" spans="1:15" x14ac:dyDescent="0.25">
      <c r="A158" s="3">
        <v>4</v>
      </c>
      <c r="B158" s="3" t="s">
        <v>145</v>
      </c>
      <c r="C158" s="1" t="s">
        <v>12</v>
      </c>
      <c r="D158" s="1" t="s">
        <v>444</v>
      </c>
      <c r="E158" s="11" t="s">
        <v>144</v>
      </c>
      <c r="F158" s="3" t="s">
        <v>8</v>
      </c>
      <c r="G158" s="66" t="s">
        <v>66</v>
      </c>
      <c r="H158" s="8" t="s">
        <v>481</v>
      </c>
      <c r="I158" s="8" t="s">
        <v>644</v>
      </c>
      <c r="J158" s="6" t="s">
        <v>76</v>
      </c>
      <c r="K158" s="38">
        <v>1985733.69</v>
      </c>
      <c r="L158" s="4" t="s">
        <v>29</v>
      </c>
      <c r="M158" s="11">
        <f>_xlfn.NUMBERVALUE(LEFT(Table613[[#This Row],[Fiscal Year]], 4))</f>
        <v>2015</v>
      </c>
      <c r="N158" s="42">
        <f t="shared" si="4"/>
        <v>2108321.3255206328</v>
      </c>
      <c r="O158" s="3">
        <v>156</v>
      </c>
    </row>
    <row r="159" spans="1:15" x14ac:dyDescent="0.25">
      <c r="A159" s="3">
        <v>4</v>
      </c>
      <c r="B159" s="3" t="s">
        <v>145</v>
      </c>
      <c r="C159" s="1" t="s">
        <v>12</v>
      </c>
      <c r="D159" s="1" t="s">
        <v>444</v>
      </c>
      <c r="E159" s="11" t="s">
        <v>144</v>
      </c>
      <c r="F159" s="3" t="s">
        <v>8</v>
      </c>
      <c r="G159" s="66" t="s">
        <v>33</v>
      </c>
      <c r="H159" s="8"/>
      <c r="I159" s="8"/>
      <c r="J159" s="6" t="s">
        <v>47</v>
      </c>
      <c r="K159" s="38">
        <v>40114.47</v>
      </c>
      <c r="L159" s="4" t="s">
        <v>29</v>
      </c>
      <c r="M159" s="11">
        <f>_xlfn.NUMBERVALUE(LEFT(Table613[[#This Row],[Fiscal Year]], 4))</f>
        <v>2015</v>
      </c>
      <c r="N159" s="42">
        <f t="shared" si="4"/>
        <v>42590.903799873413</v>
      </c>
      <c r="O159" s="3">
        <v>157</v>
      </c>
    </row>
    <row r="160" spans="1:15" x14ac:dyDescent="0.25">
      <c r="A160" s="3">
        <v>4</v>
      </c>
      <c r="B160" s="3" t="s">
        <v>145</v>
      </c>
      <c r="C160" s="1" t="s">
        <v>12</v>
      </c>
      <c r="D160" s="1" t="s">
        <v>444</v>
      </c>
      <c r="E160" s="11" t="s">
        <v>144</v>
      </c>
      <c r="F160" s="3" t="s">
        <v>8</v>
      </c>
      <c r="G160" s="48" t="s">
        <v>67</v>
      </c>
      <c r="H160" s="8"/>
      <c r="I160" s="8"/>
      <c r="J160" s="6" t="s">
        <v>455</v>
      </c>
      <c r="K160" s="38" t="s">
        <v>827</v>
      </c>
      <c r="L160" s="4" t="s">
        <v>29</v>
      </c>
      <c r="M160" s="11">
        <f>_xlfn.NUMBERVALUE(LEFT(Table613[[#This Row],[Fiscal Year]], 4))</f>
        <v>2015</v>
      </c>
      <c r="O160" s="3">
        <v>158</v>
      </c>
    </row>
    <row r="161" spans="1:15" x14ac:dyDescent="0.25">
      <c r="C161" s="1"/>
      <c r="D161" s="1"/>
      <c r="G161" s="66"/>
      <c r="H161" s="8"/>
      <c r="I161" s="8"/>
      <c r="J161" s="6"/>
      <c r="L161" s="4"/>
      <c r="O161" s="3">
        <v>159</v>
      </c>
    </row>
    <row r="162" spans="1:15" x14ac:dyDescent="0.25">
      <c r="A162" s="3">
        <v>4</v>
      </c>
      <c r="B162" s="3" t="s">
        <v>9</v>
      </c>
      <c r="C162" s="1" t="s">
        <v>12</v>
      </c>
      <c r="D162" s="1" t="s">
        <v>444</v>
      </c>
      <c r="E162" s="11" t="s">
        <v>144</v>
      </c>
      <c r="F162" s="3" t="s">
        <v>8</v>
      </c>
      <c r="G162" s="56" t="s">
        <v>829</v>
      </c>
      <c r="H162" s="8"/>
      <c r="I162" s="8"/>
      <c r="J162" s="6" t="s">
        <v>110</v>
      </c>
      <c r="K162" s="38">
        <v>16057</v>
      </c>
      <c r="L162" s="4" t="s">
        <v>29</v>
      </c>
      <c r="M162" s="11">
        <f>_xlfn.NUMBERVALUE(LEFT(Table613[[#This Row],[Fiscal Year]], 4))</f>
        <v>2015</v>
      </c>
      <c r="N162" s="42">
        <f t="shared" si="4"/>
        <v>17048.265683544301</v>
      </c>
      <c r="O162" s="3">
        <v>160</v>
      </c>
    </row>
    <row r="163" spans="1:15" x14ac:dyDescent="0.25">
      <c r="A163" s="3">
        <v>4</v>
      </c>
      <c r="B163" s="3" t="s">
        <v>9</v>
      </c>
      <c r="C163" s="1" t="s">
        <v>12</v>
      </c>
      <c r="D163" s="1" t="s">
        <v>444</v>
      </c>
      <c r="E163" s="11" t="s">
        <v>144</v>
      </c>
      <c r="F163" s="3" t="s">
        <v>8</v>
      </c>
      <c r="G163" s="66" t="s">
        <v>830</v>
      </c>
      <c r="H163" s="8" t="s">
        <v>477</v>
      </c>
      <c r="I163" s="8" t="s">
        <v>644</v>
      </c>
      <c r="J163" s="6" t="s">
        <v>453</v>
      </c>
      <c r="K163" s="38">
        <v>1500</v>
      </c>
      <c r="L163" s="4" t="s">
        <v>29</v>
      </c>
      <c r="M163" s="11">
        <f>_xlfn.NUMBERVALUE(LEFT(Table613[[#This Row],[Fiscal Year]], 4))</f>
        <v>2015</v>
      </c>
      <c r="N163" s="42">
        <f t="shared" ref="N163:N203" si="7">K163*(1+VLOOKUP(M163,$AF$8:$AH$31,3,0))</f>
        <v>1592.6012658227846</v>
      </c>
      <c r="O163" s="3">
        <v>161</v>
      </c>
    </row>
    <row r="164" spans="1:15" x14ac:dyDescent="0.25">
      <c r="A164" s="3">
        <v>4</v>
      </c>
      <c r="B164" s="3" t="s">
        <v>9</v>
      </c>
      <c r="C164" s="1" t="s">
        <v>12</v>
      </c>
      <c r="D164" s="1" t="s">
        <v>444</v>
      </c>
      <c r="E164" s="11" t="s">
        <v>144</v>
      </c>
      <c r="F164" s="3" t="s">
        <v>8</v>
      </c>
      <c r="G164" s="48" t="s">
        <v>831</v>
      </c>
      <c r="H164" s="8"/>
      <c r="I164" s="8"/>
      <c r="J164" s="6" t="s">
        <v>109</v>
      </c>
      <c r="K164" s="38">
        <v>0</v>
      </c>
      <c r="L164" s="4" t="s">
        <v>29</v>
      </c>
      <c r="M164" s="11">
        <f>_xlfn.NUMBERVALUE(LEFT(Table613[[#This Row],[Fiscal Year]], 4))</f>
        <v>2015</v>
      </c>
      <c r="N164" s="43">
        <f t="shared" si="7"/>
        <v>0</v>
      </c>
      <c r="O164" s="3">
        <v>162</v>
      </c>
    </row>
    <row r="165" spans="1:15" x14ac:dyDescent="0.25">
      <c r="A165" s="3">
        <v>4</v>
      </c>
      <c r="B165" s="3" t="s">
        <v>9</v>
      </c>
      <c r="C165" s="1" t="s">
        <v>12</v>
      </c>
      <c r="D165" s="1" t="s">
        <v>444</v>
      </c>
      <c r="E165" s="11" t="s">
        <v>144</v>
      </c>
      <c r="F165" s="3" t="s">
        <v>8</v>
      </c>
      <c r="G165" s="66" t="s">
        <v>832</v>
      </c>
      <c r="H165" s="8"/>
      <c r="I165" s="8"/>
      <c r="J165" s="6" t="s">
        <v>111</v>
      </c>
      <c r="K165" s="38">
        <v>38203</v>
      </c>
      <c r="L165" s="4" t="s">
        <v>29</v>
      </c>
      <c r="M165" s="11">
        <f>_xlfn.NUMBERVALUE(LEFT(Table613[[#This Row],[Fiscal Year]], 4))</f>
        <v>2015</v>
      </c>
      <c r="N165" s="42">
        <f t="shared" si="7"/>
        <v>40561.4307721519</v>
      </c>
      <c r="O165" s="3">
        <v>163</v>
      </c>
    </row>
    <row r="166" spans="1:15" x14ac:dyDescent="0.25">
      <c r="A166" s="3">
        <v>4</v>
      </c>
      <c r="B166" s="3" t="s">
        <v>9</v>
      </c>
      <c r="C166" s="1" t="s">
        <v>12</v>
      </c>
      <c r="D166" s="1" t="s">
        <v>444</v>
      </c>
      <c r="E166" s="11" t="s">
        <v>144</v>
      </c>
      <c r="F166" s="3" t="s">
        <v>8</v>
      </c>
      <c r="G166" s="66" t="s">
        <v>833</v>
      </c>
      <c r="H166" s="8"/>
      <c r="I166" s="8"/>
      <c r="J166" s="6" t="s">
        <v>111</v>
      </c>
      <c r="K166" s="38">
        <v>24327</v>
      </c>
      <c r="L166" s="4" t="s">
        <v>29</v>
      </c>
      <c r="M166" s="11">
        <f>_xlfn.NUMBERVALUE(LEFT(Table613[[#This Row],[Fiscal Year]], 4))</f>
        <v>2015</v>
      </c>
      <c r="N166" s="42">
        <f t="shared" si="7"/>
        <v>25828.807329113923</v>
      </c>
      <c r="O166" s="3">
        <v>164</v>
      </c>
    </row>
    <row r="167" spans="1:15" x14ac:dyDescent="0.25">
      <c r="A167" s="3">
        <v>4</v>
      </c>
      <c r="B167" s="3" t="s">
        <v>9</v>
      </c>
      <c r="C167" s="1" t="s">
        <v>12</v>
      </c>
      <c r="D167" s="1" t="s">
        <v>444</v>
      </c>
      <c r="E167" s="11" t="s">
        <v>144</v>
      </c>
      <c r="F167" s="3" t="s">
        <v>8</v>
      </c>
      <c r="G167" s="61" t="s">
        <v>834</v>
      </c>
      <c r="H167" s="8" t="s">
        <v>478</v>
      </c>
      <c r="I167" s="8" t="s">
        <v>644</v>
      </c>
      <c r="J167" s="6" t="s">
        <v>108</v>
      </c>
      <c r="K167" s="38">
        <v>14366</v>
      </c>
      <c r="L167" s="4" t="s">
        <v>29</v>
      </c>
      <c r="M167" s="11">
        <f>_xlfn.NUMBERVALUE(LEFT(Table613[[#This Row],[Fiscal Year]], 4))</f>
        <v>2015</v>
      </c>
      <c r="N167" s="42">
        <f t="shared" si="7"/>
        <v>15252.873189873417</v>
      </c>
      <c r="O167" s="3">
        <v>165</v>
      </c>
    </row>
    <row r="168" spans="1:15" x14ac:dyDescent="0.25">
      <c r="A168" s="3">
        <v>4</v>
      </c>
      <c r="B168" s="3" t="s">
        <v>9</v>
      </c>
      <c r="C168" s="1" t="s">
        <v>12</v>
      </c>
      <c r="D168" s="1" t="s">
        <v>444</v>
      </c>
      <c r="E168" s="11" t="s">
        <v>144</v>
      </c>
      <c r="F168" s="3" t="s">
        <v>8</v>
      </c>
      <c r="G168" s="66" t="s">
        <v>835</v>
      </c>
      <c r="H168" s="8"/>
      <c r="I168" s="8"/>
      <c r="J168" s="6" t="s">
        <v>106</v>
      </c>
      <c r="K168" s="38">
        <v>1750</v>
      </c>
      <c r="L168" s="4" t="s">
        <v>29</v>
      </c>
      <c r="M168" s="11">
        <f>_xlfn.NUMBERVALUE(LEFT(Table613[[#This Row],[Fiscal Year]], 4))</f>
        <v>2015</v>
      </c>
      <c r="N168" s="42">
        <f t="shared" si="7"/>
        <v>1858.0348101265822</v>
      </c>
      <c r="O168" s="3">
        <v>166</v>
      </c>
    </row>
    <row r="169" spans="1:15" x14ac:dyDescent="0.25">
      <c r="A169" s="3">
        <v>4</v>
      </c>
      <c r="B169" s="3" t="s">
        <v>9</v>
      </c>
      <c r="C169" s="1" t="s">
        <v>12</v>
      </c>
      <c r="D169" s="1" t="s">
        <v>444</v>
      </c>
      <c r="E169" s="11" t="s">
        <v>144</v>
      </c>
      <c r="F169" s="3" t="s">
        <v>8</v>
      </c>
      <c r="G169" s="66" t="s">
        <v>836</v>
      </c>
      <c r="H169" s="8" t="s">
        <v>479</v>
      </c>
      <c r="I169" s="8" t="s">
        <v>644</v>
      </c>
      <c r="J169" s="6" t="s">
        <v>455</v>
      </c>
      <c r="K169" s="38">
        <v>0</v>
      </c>
      <c r="L169" s="4" t="s">
        <v>29</v>
      </c>
      <c r="M169" s="11">
        <f>_xlfn.NUMBERVALUE(LEFT(Table613[[#This Row],[Fiscal Year]], 4))</f>
        <v>2015</v>
      </c>
      <c r="N169" s="43">
        <f t="shared" si="7"/>
        <v>0</v>
      </c>
      <c r="O169" s="3">
        <v>167</v>
      </c>
    </row>
    <row r="170" spans="1:15" x14ac:dyDescent="0.25">
      <c r="A170" s="3">
        <v>4</v>
      </c>
      <c r="B170" s="3" t="s">
        <v>9</v>
      </c>
      <c r="C170" s="1" t="s">
        <v>12</v>
      </c>
      <c r="D170" s="1" t="s">
        <v>444</v>
      </c>
      <c r="E170" s="11" t="s">
        <v>144</v>
      </c>
      <c r="F170" s="3" t="s">
        <v>8</v>
      </c>
      <c r="G170" s="48" t="s">
        <v>837</v>
      </c>
      <c r="H170" s="8"/>
      <c r="I170" s="8"/>
      <c r="J170" s="6" t="s">
        <v>76</v>
      </c>
      <c r="K170" s="38">
        <v>137571</v>
      </c>
      <c r="L170" s="4" t="s">
        <v>29</v>
      </c>
      <c r="M170" s="11">
        <f>_xlfn.NUMBERVALUE(LEFT(Table613[[#This Row],[Fiscal Year]], 4))</f>
        <v>2015</v>
      </c>
      <c r="N170" s="42">
        <f>K170*(1+VLOOKUP(M170,$AF$8:$AH$31,3,0))</f>
        <v>146063.83249367087</v>
      </c>
      <c r="O170" s="3">
        <v>168</v>
      </c>
    </row>
    <row r="171" spans="1:15" x14ac:dyDescent="0.25">
      <c r="A171" s="3">
        <v>4</v>
      </c>
      <c r="B171" s="3" t="s">
        <v>9</v>
      </c>
      <c r="C171" s="1" t="s">
        <v>12</v>
      </c>
      <c r="D171" s="1" t="s">
        <v>444</v>
      </c>
      <c r="E171" s="11" t="s">
        <v>144</v>
      </c>
      <c r="F171" s="3" t="s">
        <v>8</v>
      </c>
      <c r="G171" s="66" t="s">
        <v>838</v>
      </c>
      <c r="H171" s="8" t="s">
        <v>480</v>
      </c>
      <c r="I171" s="8" t="s">
        <v>644</v>
      </c>
      <c r="J171" s="6" t="s">
        <v>76</v>
      </c>
      <c r="K171" s="38">
        <v>0</v>
      </c>
      <c r="L171" s="4" t="s">
        <v>29</v>
      </c>
      <c r="M171" s="11">
        <f>_xlfn.NUMBERVALUE(LEFT(Table613[[#This Row],[Fiscal Year]], 4))</f>
        <v>2015</v>
      </c>
      <c r="N171" s="43">
        <f t="shared" si="7"/>
        <v>0</v>
      </c>
      <c r="O171" s="3">
        <v>169</v>
      </c>
    </row>
    <row r="172" spans="1:15" x14ac:dyDescent="0.25">
      <c r="A172" s="3">
        <v>4</v>
      </c>
      <c r="B172" s="3" t="s">
        <v>9</v>
      </c>
      <c r="C172" s="1" t="s">
        <v>12</v>
      </c>
      <c r="D172" s="1" t="s">
        <v>444</v>
      </c>
      <c r="E172" s="11" t="s">
        <v>144</v>
      </c>
      <c r="F172" s="3" t="s">
        <v>8</v>
      </c>
      <c r="G172" s="66" t="s">
        <v>839</v>
      </c>
      <c r="H172" s="8" t="s">
        <v>481</v>
      </c>
      <c r="I172" s="8" t="s">
        <v>644</v>
      </c>
      <c r="J172" s="6" t="s">
        <v>76</v>
      </c>
      <c r="K172" s="38">
        <v>0</v>
      </c>
      <c r="L172" s="4" t="s">
        <v>29</v>
      </c>
      <c r="M172" s="11">
        <f>_xlfn.NUMBERVALUE(LEFT(Table613[[#This Row],[Fiscal Year]], 4))</f>
        <v>2015</v>
      </c>
      <c r="N172" s="43">
        <f t="shared" si="7"/>
        <v>0</v>
      </c>
      <c r="O172" s="3">
        <v>170</v>
      </c>
    </row>
    <row r="173" spans="1:15" x14ac:dyDescent="0.25">
      <c r="A173" s="3">
        <v>4</v>
      </c>
      <c r="B173" s="3" t="s">
        <v>9</v>
      </c>
      <c r="C173" s="1" t="s">
        <v>12</v>
      </c>
      <c r="D173" s="1" t="s">
        <v>444</v>
      </c>
      <c r="E173" s="11" t="s">
        <v>144</v>
      </c>
      <c r="F173" s="3" t="s">
        <v>8</v>
      </c>
      <c r="G173" s="66" t="s">
        <v>840</v>
      </c>
      <c r="H173" s="8"/>
      <c r="I173" s="8"/>
      <c r="J173" s="6" t="s">
        <v>47</v>
      </c>
      <c r="K173" s="38">
        <v>51418</v>
      </c>
      <c r="L173" s="4" t="s">
        <v>29</v>
      </c>
      <c r="M173" s="11">
        <f>_xlfn.NUMBERVALUE(LEFT(Table613[[#This Row],[Fiscal Year]], 4))</f>
        <v>2015</v>
      </c>
      <c r="N173" s="42">
        <f t="shared" si="7"/>
        <v>54592.247924050629</v>
      </c>
      <c r="O173" s="3">
        <v>171</v>
      </c>
    </row>
    <row r="174" spans="1:15" x14ac:dyDescent="0.25">
      <c r="A174" s="3">
        <v>4</v>
      </c>
      <c r="B174" s="3" t="s">
        <v>9</v>
      </c>
      <c r="C174" s="1" t="s">
        <v>12</v>
      </c>
      <c r="D174" s="1" t="s">
        <v>444</v>
      </c>
      <c r="E174" s="11" t="s">
        <v>144</v>
      </c>
      <c r="F174" s="3" t="s">
        <v>8</v>
      </c>
      <c r="G174" s="66" t="s">
        <v>841</v>
      </c>
      <c r="H174" s="8" t="s">
        <v>482</v>
      </c>
      <c r="I174" s="8" t="s">
        <v>644</v>
      </c>
      <c r="J174" s="6" t="s">
        <v>76</v>
      </c>
      <c r="K174" s="38">
        <v>684524</v>
      </c>
      <c r="L174" s="4" t="s">
        <v>29</v>
      </c>
      <c r="M174" s="11">
        <f>_xlfn.NUMBERVALUE(LEFT(Table613[[#This Row],[Fiscal Year]], 4))</f>
        <v>2015</v>
      </c>
      <c r="N174" s="42">
        <f t="shared" si="7"/>
        <v>726782.5259240506</v>
      </c>
      <c r="O174" s="3">
        <v>172</v>
      </c>
    </row>
    <row r="175" spans="1:15" x14ac:dyDescent="0.25">
      <c r="A175" s="3">
        <v>4</v>
      </c>
      <c r="B175" s="3" t="s">
        <v>9</v>
      </c>
      <c r="C175" s="1" t="s">
        <v>12</v>
      </c>
      <c r="D175" s="1" t="s">
        <v>444</v>
      </c>
      <c r="E175" s="11" t="s">
        <v>144</v>
      </c>
      <c r="F175" s="3" t="s">
        <v>8</v>
      </c>
      <c r="G175" s="66" t="s">
        <v>842</v>
      </c>
      <c r="H175" s="8"/>
      <c r="I175" s="8"/>
      <c r="J175" s="6" t="s">
        <v>108</v>
      </c>
      <c r="K175" s="38">
        <v>432360</v>
      </c>
      <c r="L175" s="4" t="s">
        <v>29</v>
      </c>
      <c r="M175" s="11">
        <f>_xlfn.NUMBERVALUE(LEFT(Table613[[#This Row],[Fiscal Year]], 4))</f>
        <v>2015</v>
      </c>
      <c r="N175" s="42">
        <f t="shared" si="7"/>
        <v>459051.38886075944</v>
      </c>
      <c r="O175" s="3">
        <v>173</v>
      </c>
    </row>
    <row r="176" spans="1:15" x14ac:dyDescent="0.25">
      <c r="C176" s="1"/>
      <c r="D176" s="1"/>
      <c r="G176" s="66"/>
      <c r="H176" s="8"/>
      <c r="I176" s="8"/>
      <c r="J176" s="6"/>
      <c r="L176" s="4"/>
      <c r="O176" s="3">
        <v>174</v>
      </c>
    </row>
    <row r="177" spans="1:15" x14ac:dyDescent="0.25">
      <c r="A177" s="3">
        <v>4</v>
      </c>
      <c r="B177" s="3" t="s">
        <v>10</v>
      </c>
      <c r="C177" s="1" t="s">
        <v>12</v>
      </c>
      <c r="D177" s="1" t="s">
        <v>444</v>
      </c>
      <c r="E177" s="11" t="s">
        <v>144</v>
      </c>
      <c r="F177" s="3" t="s">
        <v>8</v>
      </c>
      <c r="G177" s="48" t="s">
        <v>32</v>
      </c>
      <c r="H177" s="8"/>
      <c r="I177" s="8"/>
      <c r="J177" s="6" t="s">
        <v>110</v>
      </c>
      <c r="K177" s="38">
        <v>150000</v>
      </c>
      <c r="L177" s="4" t="s">
        <v>29</v>
      </c>
      <c r="M177" s="11">
        <f>_xlfn.NUMBERVALUE(LEFT(Table613[[#This Row],[Fiscal Year]], 4))</f>
        <v>2015</v>
      </c>
      <c r="N177" s="42">
        <f t="shared" si="7"/>
        <v>159260.12658227846</v>
      </c>
      <c r="O177" s="3">
        <v>175</v>
      </c>
    </row>
    <row r="178" spans="1:15" x14ac:dyDescent="0.25">
      <c r="A178" s="3">
        <v>4</v>
      </c>
      <c r="B178" s="3" t="s">
        <v>10</v>
      </c>
      <c r="C178" s="1" t="s">
        <v>12</v>
      </c>
      <c r="D178" s="1" t="s">
        <v>444</v>
      </c>
      <c r="E178" s="11" t="s">
        <v>144</v>
      </c>
      <c r="F178" s="3" t="s">
        <v>8</v>
      </c>
      <c r="G178" s="66" t="s">
        <v>58</v>
      </c>
      <c r="H178" s="8"/>
      <c r="I178" s="8"/>
      <c r="J178" s="6" t="s">
        <v>453</v>
      </c>
      <c r="K178" s="38">
        <v>20000</v>
      </c>
      <c r="L178" s="4" t="s">
        <v>29</v>
      </c>
      <c r="M178" s="11">
        <f>_xlfn.NUMBERVALUE(LEFT(Table613[[#This Row],[Fiscal Year]], 4))</f>
        <v>2015</v>
      </c>
      <c r="N178" s="42">
        <f t="shared" si="7"/>
        <v>21234.683544303796</v>
      </c>
      <c r="O178" s="3">
        <v>176</v>
      </c>
    </row>
    <row r="179" spans="1:15" x14ac:dyDescent="0.25">
      <c r="A179" s="3">
        <v>4</v>
      </c>
      <c r="B179" s="3" t="s">
        <v>10</v>
      </c>
      <c r="C179" s="1" t="s">
        <v>12</v>
      </c>
      <c r="D179" s="1" t="s">
        <v>444</v>
      </c>
      <c r="E179" s="11" t="s">
        <v>144</v>
      </c>
      <c r="F179" s="3" t="s">
        <v>8</v>
      </c>
      <c r="G179" s="66" t="s">
        <v>208</v>
      </c>
      <c r="H179" s="8"/>
      <c r="I179" s="8"/>
      <c r="J179" s="6" t="s">
        <v>109</v>
      </c>
      <c r="K179" s="38">
        <v>14000</v>
      </c>
      <c r="L179" s="4" t="s">
        <v>29</v>
      </c>
      <c r="M179" s="11">
        <f>_xlfn.NUMBERVALUE(LEFT(Table613[[#This Row],[Fiscal Year]], 4))</f>
        <v>2015</v>
      </c>
      <c r="N179" s="42">
        <f t="shared" si="7"/>
        <v>14864.278481012658</v>
      </c>
      <c r="O179" s="3">
        <v>177</v>
      </c>
    </row>
    <row r="180" spans="1:15" x14ac:dyDescent="0.25">
      <c r="A180" s="3">
        <v>4</v>
      </c>
      <c r="B180" s="3" t="s">
        <v>10</v>
      </c>
      <c r="C180" s="1" t="s">
        <v>12</v>
      </c>
      <c r="D180" s="1" t="s">
        <v>444</v>
      </c>
      <c r="E180" s="11" t="s">
        <v>144</v>
      </c>
      <c r="F180" s="3" t="s">
        <v>8</v>
      </c>
      <c r="G180" s="66" t="s">
        <v>59</v>
      </c>
      <c r="H180" s="8"/>
      <c r="I180" s="8"/>
      <c r="J180" s="6" t="s">
        <v>111</v>
      </c>
      <c r="K180" s="38">
        <v>946600</v>
      </c>
      <c r="L180" s="4" t="s">
        <v>29</v>
      </c>
      <c r="M180" s="11">
        <f>_xlfn.NUMBERVALUE(LEFT(Table613[[#This Row],[Fiscal Year]], 4))</f>
        <v>2015</v>
      </c>
      <c r="N180" s="42">
        <f t="shared" si="7"/>
        <v>1005037.5721518986</v>
      </c>
      <c r="O180" s="3">
        <v>178</v>
      </c>
    </row>
    <row r="181" spans="1:15" x14ac:dyDescent="0.25">
      <c r="A181" s="3">
        <v>4</v>
      </c>
      <c r="B181" s="3" t="s">
        <v>10</v>
      </c>
      <c r="C181" s="1" t="s">
        <v>12</v>
      </c>
      <c r="D181" s="1" t="s">
        <v>444</v>
      </c>
      <c r="E181" s="11" t="s">
        <v>144</v>
      </c>
      <c r="F181" s="3" t="s">
        <v>8</v>
      </c>
      <c r="G181" s="66" t="s">
        <v>60</v>
      </c>
      <c r="H181" s="8"/>
      <c r="I181" s="8"/>
      <c r="J181" s="6" t="s">
        <v>111</v>
      </c>
      <c r="K181" s="38">
        <v>250000</v>
      </c>
      <c r="L181" s="4" t="s">
        <v>29</v>
      </c>
      <c r="M181" s="11">
        <f>_xlfn.NUMBERVALUE(LEFT(Table613[[#This Row],[Fiscal Year]], 4))</f>
        <v>2015</v>
      </c>
      <c r="N181" s="42">
        <f t="shared" si="7"/>
        <v>265433.54430379748</v>
      </c>
      <c r="O181" s="3">
        <v>179</v>
      </c>
    </row>
    <row r="182" spans="1:15" x14ac:dyDescent="0.25">
      <c r="A182" s="3">
        <v>4</v>
      </c>
      <c r="B182" s="3" t="s">
        <v>10</v>
      </c>
      <c r="C182" s="1" t="s">
        <v>12</v>
      </c>
      <c r="D182" s="1" t="s">
        <v>444</v>
      </c>
      <c r="E182" s="11" t="s">
        <v>144</v>
      </c>
      <c r="F182" s="3" t="s">
        <v>8</v>
      </c>
      <c r="G182" s="48" t="s">
        <v>61</v>
      </c>
      <c r="H182" s="8"/>
      <c r="I182" s="8"/>
      <c r="J182" s="6" t="s">
        <v>108</v>
      </c>
      <c r="K182" s="38">
        <v>823000</v>
      </c>
      <c r="L182" s="4" t="s">
        <v>29</v>
      </c>
      <c r="M182" s="11">
        <f>_xlfn.NUMBERVALUE(LEFT(Table613[[#This Row],[Fiscal Year]], 4))</f>
        <v>2015</v>
      </c>
      <c r="N182" s="42">
        <f t="shared" si="7"/>
        <v>873807.22784810117</v>
      </c>
      <c r="O182" s="3">
        <v>180</v>
      </c>
    </row>
    <row r="183" spans="1:15" x14ac:dyDescent="0.25">
      <c r="A183" s="3">
        <v>4</v>
      </c>
      <c r="B183" s="3" t="s">
        <v>10</v>
      </c>
      <c r="C183" s="1" t="s">
        <v>12</v>
      </c>
      <c r="D183" s="1" t="s">
        <v>444</v>
      </c>
      <c r="E183" s="11" t="s">
        <v>144</v>
      </c>
      <c r="F183" s="3" t="s">
        <v>8</v>
      </c>
      <c r="G183" s="66" t="s">
        <v>62</v>
      </c>
      <c r="H183" s="8"/>
      <c r="I183" s="8"/>
      <c r="J183" s="6" t="s">
        <v>106</v>
      </c>
      <c r="K183" s="38">
        <v>15000</v>
      </c>
      <c r="L183" s="4" t="s">
        <v>29</v>
      </c>
      <c r="M183" s="11">
        <f>_xlfn.NUMBERVALUE(LEFT(Table613[[#This Row],[Fiscal Year]], 4))</f>
        <v>2015</v>
      </c>
      <c r="N183" s="42">
        <f t="shared" si="7"/>
        <v>15926.012658227848</v>
      </c>
      <c r="O183" s="3">
        <v>181</v>
      </c>
    </row>
    <row r="184" spans="1:15" x14ac:dyDescent="0.25">
      <c r="A184" s="3">
        <v>4</v>
      </c>
      <c r="B184" s="3" t="s">
        <v>10</v>
      </c>
      <c r="C184" s="1" t="s">
        <v>12</v>
      </c>
      <c r="D184" s="1" t="s">
        <v>444</v>
      </c>
      <c r="E184" s="11" t="s">
        <v>144</v>
      </c>
      <c r="F184" s="3" t="s">
        <v>8</v>
      </c>
      <c r="G184" s="66" t="s">
        <v>211</v>
      </c>
      <c r="H184" s="8"/>
      <c r="I184" s="8"/>
      <c r="J184" s="6" t="s">
        <v>455</v>
      </c>
      <c r="K184" s="38">
        <v>0</v>
      </c>
      <c r="L184" s="4" t="s">
        <v>29</v>
      </c>
      <c r="M184" s="11">
        <f>_xlfn.NUMBERVALUE(LEFT(Table613[[#This Row],[Fiscal Year]], 4))</f>
        <v>2015</v>
      </c>
      <c r="N184" s="43">
        <f t="shared" si="7"/>
        <v>0</v>
      </c>
      <c r="O184" s="3">
        <v>182</v>
      </c>
    </row>
    <row r="185" spans="1:15" x14ac:dyDescent="0.25">
      <c r="A185" s="3">
        <v>4</v>
      </c>
      <c r="B185" s="3" t="s">
        <v>10</v>
      </c>
      <c r="C185" s="1" t="s">
        <v>12</v>
      </c>
      <c r="D185" s="1" t="s">
        <v>444</v>
      </c>
      <c r="E185" s="11" t="s">
        <v>144</v>
      </c>
      <c r="F185" s="3" t="s">
        <v>8</v>
      </c>
      <c r="G185" s="66" t="s">
        <v>64</v>
      </c>
      <c r="H185" s="8"/>
      <c r="I185" s="8"/>
      <c r="J185" s="6" t="s">
        <v>76</v>
      </c>
      <c r="K185" s="38">
        <v>0</v>
      </c>
      <c r="L185" s="4" t="s">
        <v>29</v>
      </c>
      <c r="M185" s="11">
        <f>_xlfn.NUMBERVALUE(LEFT(Table613[[#This Row],[Fiscal Year]], 4))</f>
        <v>2015</v>
      </c>
      <c r="N185" s="43">
        <f t="shared" si="7"/>
        <v>0</v>
      </c>
      <c r="O185" s="3">
        <v>183</v>
      </c>
    </row>
    <row r="186" spans="1:15" x14ac:dyDescent="0.25">
      <c r="A186" s="3">
        <v>4</v>
      </c>
      <c r="B186" s="3" t="s">
        <v>10</v>
      </c>
      <c r="C186" s="1" t="s">
        <v>12</v>
      </c>
      <c r="D186" s="1" t="s">
        <v>444</v>
      </c>
      <c r="E186" s="11" t="s">
        <v>144</v>
      </c>
      <c r="F186" s="3" t="s">
        <v>8</v>
      </c>
      <c r="G186" s="66" t="s">
        <v>65</v>
      </c>
      <c r="H186" s="8"/>
      <c r="I186" s="8"/>
      <c r="J186" s="6" t="s">
        <v>76</v>
      </c>
      <c r="K186" s="38">
        <v>0</v>
      </c>
      <c r="L186" s="4" t="s">
        <v>29</v>
      </c>
      <c r="M186" s="11">
        <f>_xlfn.NUMBERVALUE(LEFT(Table613[[#This Row],[Fiscal Year]], 4))</f>
        <v>2015</v>
      </c>
      <c r="N186" s="43">
        <f t="shared" si="7"/>
        <v>0</v>
      </c>
      <c r="O186" s="3">
        <v>184</v>
      </c>
    </row>
    <row r="187" spans="1:15" x14ac:dyDescent="0.25">
      <c r="A187" s="3">
        <v>4</v>
      </c>
      <c r="B187" s="3" t="s">
        <v>10</v>
      </c>
      <c r="C187" s="1" t="s">
        <v>12</v>
      </c>
      <c r="D187" s="1" t="s">
        <v>444</v>
      </c>
      <c r="E187" s="11" t="s">
        <v>144</v>
      </c>
      <c r="F187" s="3" t="s">
        <v>8</v>
      </c>
      <c r="G187" s="66" t="s">
        <v>66</v>
      </c>
      <c r="H187" s="8"/>
      <c r="I187" s="8"/>
      <c r="J187" s="6" t="s">
        <v>76</v>
      </c>
      <c r="K187" s="38">
        <v>0</v>
      </c>
      <c r="L187" s="4" t="s">
        <v>29</v>
      </c>
      <c r="M187" s="11">
        <f>_xlfn.NUMBERVALUE(LEFT(Table613[[#This Row],[Fiscal Year]], 4))</f>
        <v>2015</v>
      </c>
      <c r="N187" s="43">
        <f t="shared" si="7"/>
        <v>0</v>
      </c>
      <c r="O187" s="3">
        <v>185</v>
      </c>
    </row>
    <row r="188" spans="1:15" x14ac:dyDescent="0.25">
      <c r="A188" s="3">
        <v>4</v>
      </c>
      <c r="B188" s="3" t="s">
        <v>10</v>
      </c>
      <c r="C188" s="1" t="s">
        <v>12</v>
      </c>
      <c r="D188" s="1" t="s">
        <v>444</v>
      </c>
      <c r="E188" s="11" t="s">
        <v>144</v>
      </c>
      <c r="F188" s="3" t="s">
        <v>8</v>
      </c>
      <c r="G188" s="66" t="s">
        <v>33</v>
      </c>
      <c r="H188" s="8"/>
      <c r="I188" s="8"/>
      <c r="J188" s="6" t="s">
        <v>47</v>
      </c>
      <c r="K188" s="38">
        <v>66000</v>
      </c>
      <c r="L188" s="4" t="s">
        <v>29</v>
      </c>
      <c r="M188" s="11">
        <f>_xlfn.NUMBERVALUE(LEFT(Table613[[#This Row],[Fiscal Year]], 4))</f>
        <v>2015</v>
      </c>
      <c r="N188" s="42">
        <f>K188*(1+VLOOKUP(M188,$AF$8:$AH$31,3,0))</f>
        <v>70074.455696202524</v>
      </c>
      <c r="O188" s="3">
        <v>186</v>
      </c>
    </row>
    <row r="189" spans="1:15" x14ac:dyDescent="0.25">
      <c r="A189" s="3">
        <v>4</v>
      </c>
      <c r="B189" s="3" t="s">
        <v>10</v>
      </c>
      <c r="C189" s="1" t="s">
        <v>12</v>
      </c>
      <c r="D189" s="1" t="s">
        <v>444</v>
      </c>
      <c r="E189" s="11" t="s">
        <v>144</v>
      </c>
      <c r="F189" s="3" t="s">
        <v>8</v>
      </c>
      <c r="G189" s="66" t="s">
        <v>67</v>
      </c>
      <c r="H189" s="8"/>
      <c r="I189" s="8"/>
      <c r="J189" s="6" t="s">
        <v>455</v>
      </c>
      <c r="K189" s="38">
        <v>0</v>
      </c>
      <c r="L189" s="4" t="s">
        <v>29</v>
      </c>
      <c r="M189" s="11">
        <f>_xlfn.NUMBERVALUE(LEFT(Table613[[#This Row],[Fiscal Year]], 4))</f>
        <v>2015</v>
      </c>
      <c r="N189" s="43">
        <f t="shared" si="7"/>
        <v>0</v>
      </c>
      <c r="O189" s="3">
        <v>187</v>
      </c>
    </row>
    <row r="190" spans="1:15" x14ac:dyDescent="0.25">
      <c r="C190" s="1"/>
      <c r="D190" s="1"/>
      <c r="G190" s="66"/>
      <c r="H190" s="8"/>
      <c r="I190" s="8"/>
      <c r="J190" s="6"/>
      <c r="L190" s="4"/>
      <c r="O190" s="3">
        <v>188</v>
      </c>
    </row>
    <row r="191" spans="1:15" x14ac:dyDescent="0.25">
      <c r="A191" s="3">
        <v>4</v>
      </c>
      <c r="B191" s="3" t="s">
        <v>11</v>
      </c>
      <c r="C191" s="1" t="s">
        <v>12</v>
      </c>
      <c r="D191" s="1" t="s">
        <v>444</v>
      </c>
      <c r="E191" s="3" t="s">
        <v>144</v>
      </c>
      <c r="F191" s="3" t="s">
        <v>8</v>
      </c>
      <c r="G191" s="48" t="s">
        <v>32</v>
      </c>
      <c r="H191" s="8"/>
      <c r="I191" s="8"/>
      <c r="J191" s="6" t="s">
        <v>110</v>
      </c>
      <c r="K191" s="38">
        <v>40000</v>
      </c>
      <c r="L191" s="4" t="s">
        <v>29</v>
      </c>
      <c r="M191" s="11">
        <f>_xlfn.NUMBERVALUE(LEFT(Table613[[#This Row],[Fiscal Year]], 4))</f>
        <v>2015</v>
      </c>
      <c r="N191" s="42">
        <f t="shared" si="7"/>
        <v>42469.367088607592</v>
      </c>
      <c r="O191" s="3">
        <v>189</v>
      </c>
    </row>
    <row r="192" spans="1:15" x14ac:dyDescent="0.25">
      <c r="A192" s="3">
        <v>4</v>
      </c>
      <c r="B192" s="3" t="s">
        <v>11</v>
      </c>
      <c r="C192" s="1" t="s">
        <v>12</v>
      </c>
      <c r="D192" s="1" t="s">
        <v>444</v>
      </c>
      <c r="E192" s="3" t="s">
        <v>144</v>
      </c>
      <c r="F192" s="3" t="s">
        <v>8</v>
      </c>
      <c r="G192" s="66" t="s">
        <v>58</v>
      </c>
      <c r="H192" s="8"/>
      <c r="I192" s="8"/>
      <c r="J192" s="6" t="s">
        <v>453</v>
      </c>
      <c r="K192" s="38">
        <v>12000</v>
      </c>
      <c r="L192" s="4" t="s">
        <v>29</v>
      </c>
      <c r="M192" s="11">
        <f>_xlfn.NUMBERVALUE(LEFT(Table613[[#This Row],[Fiscal Year]], 4))</f>
        <v>2015</v>
      </c>
      <c r="N192" s="42">
        <f t="shared" si="7"/>
        <v>12740.810126582277</v>
      </c>
      <c r="O192" s="3">
        <v>190</v>
      </c>
    </row>
    <row r="193" spans="1:15" x14ac:dyDescent="0.25">
      <c r="A193" s="3">
        <v>4</v>
      </c>
      <c r="B193" s="3" t="s">
        <v>11</v>
      </c>
      <c r="C193" s="1" t="s">
        <v>12</v>
      </c>
      <c r="D193" s="1" t="s">
        <v>444</v>
      </c>
      <c r="E193" s="3" t="s">
        <v>144</v>
      </c>
      <c r="F193" s="3" t="s">
        <v>8</v>
      </c>
      <c r="G193" s="66" t="s">
        <v>208</v>
      </c>
      <c r="H193" s="8"/>
      <c r="I193" s="8"/>
      <c r="J193" s="6" t="s">
        <v>109</v>
      </c>
      <c r="K193" s="51">
        <v>44429.919999999998</v>
      </c>
      <c r="L193" s="4" t="s">
        <v>29</v>
      </c>
      <c r="M193" s="11">
        <f>_xlfn.NUMBERVALUE(LEFT(Table613[[#This Row],[Fiscal Year]], 4))</f>
        <v>2015</v>
      </c>
      <c r="N193" s="42">
        <f t="shared" si="7"/>
        <v>47172.764554936701</v>
      </c>
      <c r="O193" s="3">
        <v>191</v>
      </c>
    </row>
    <row r="194" spans="1:15" x14ac:dyDescent="0.25">
      <c r="A194" s="3">
        <v>4</v>
      </c>
      <c r="B194" s="3" t="s">
        <v>11</v>
      </c>
      <c r="C194" s="1" t="s">
        <v>12</v>
      </c>
      <c r="D194" s="1" t="s">
        <v>444</v>
      </c>
      <c r="E194" s="3" t="s">
        <v>144</v>
      </c>
      <c r="F194" s="3" t="s">
        <v>8</v>
      </c>
      <c r="G194" s="66" t="s">
        <v>59</v>
      </c>
      <c r="H194" s="8"/>
      <c r="I194" s="8"/>
      <c r="J194" s="6" t="s">
        <v>111</v>
      </c>
      <c r="K194" s="38">
        <v>10000</v>
      </c>
      <c r="L194" s="4" t="s">
        <v>29</v>
      </c>
      <c r="M194" s="11">
        <f>_xlfn.NUMBERVALUE(LEFT(Table613[[#This Row],[Fiscal Year]], 4))</f>
        <v>2015</v>
      </c>
      <c r="N194" s="42">
        <f t="shared" si="7"/>
        <v>10617.341772151898</v>
      </c>
      <c r="O194" s="3">
        <v>192</v>
      </c>
    </row>
    <row r="195" spans="1:15" x14ac:dyDescent="0.25">
      <c r="A195" s="3">
        <v>4</v>
      </c>
      <c r="B195" s="3" t="s">
        <v>11</v>
      </c>
      <c r="C195" s="1" t="s">
        <v>12</v>
      </c>
      <c r="D195" s="1" t="s">
        <v>444</v>
      </c>
      <c r="E195" s="3" t="s">
        <v>144</v>
      </c>
      <c r="F195" s="3" t="s">
        <v>8</v>
      </c>
      <c r="G195" s="66" t="s">
        <v>60</v>
      </c>
      <c r="H195" s="8"/>
      <c r="I195" s="8"/>
      <c r="J195" s="6" t="s">
        <v>111</v>
      </c>
      <c r="K195" s="38">
        <v>10000</v>
      </c>
      <c r="L195" s="4" t="s">
        <v>29</v>
      </c>
      <c r="M195" s="11">
        <f>_xlfn.NUMBERVALUE(LEFT(Table613[[#This Row],[Fiscal Year]], 4))</f>
        <v>2015</v>
      </c>
      <c r="N195" s="42">
        <f t="shared" si="7"/>
        <v>10617.341772151898</v>
      </c>
      <c r="O195" s="3">
        <v>193</v>
      </c>
    </row>
    <row r="196" spans="1:15" x14ac:dyDescent="0.25">
      <c r="A196" s="3">
        <v>4</v>
      </c>
      <c r="B196" s="3" t="s">
        <v>11</v>
      </c>
      <c r="C196" s="1" t="s">
        <v>12</v>
      </c>
      <c r="D196" s="1" t="s">
        <v>444</v>
      </c>
      <c r="E196" s="3" t="s">
        <v>144</v>
      </c>
      <c r="F196" s="3" t="s">
        <v>8</v>
      </c>
      <c r="G196" s="48" t="s">
        <v>61</v>
      </c>
      <c r="H196" s="8"/>
      <c r="I196" s="8"/>
      <c r="J196" s="6" t="s">
        <v>108</v>
      </c>
      <c r="K196" s="38">
        <v>147000</v>
      </c>
      <c r="L196" s="4" t="s">
        <v>29</v>
      </c>
      <c r="M196" s="11">
        <f>_xlfn.NUMBERVALUE(LEFT(Table613[[#This Row],[Fiscal Year]], 4))</f>
        <v>2015</v>
      </c>
      <c r="N196" s="42">
        <f t="shared" si="7"/>
        <v>156074.92405063289</v>
      </c>
      <c r="O196" s="3">
        <v>194</v>
      </c>
    </row>
    <row r="197" spans="1:15" x14ac:dyDescent="0.25">
      <c r="A197" s="3">
        <v>4</v>
      </c>
      <c r="B197" s="3" t="s">
        <v>11</v>
      </c>
      <c r="C197" s="1" t="s">
        <v>12</v>
      </c>
      <c r="D197" s="1" t="s">
        <v>444</v>
      </c>
      <c r="E197" s="3" t="s">
        <v>144</v>
      </c>
      <c r="F197" s="3" t="s">
        <v>8</v>
      </c>
      <c r="G197" s="66" t="s">
        <v>62</v>
      </c>
      <c r="H197" s="8"/>
      <c r="I197" s="8"/>
      <c r="J197" s="6" t="s">
        <v>106</v>
      </c>
      <c r="K197" s="38">
        <v>15000</v>
      </c>
      <c r="L197" s="4" t="s">
        <v>29</v>
      </c>
      <c r="M197" s="11">
        <f>_xlfn.NUMBERVALUE(LEFT(Table613[[#This Row],[Fiscal Year]], 4))</f>
        <v>2015</v>
      </c>
      <c r="N197" s="42">
        <f t="shared" si="7"/>
        <v>15926.012658227848</v>
      </c>
      <c r="O197" s="3">
        <v>195</v>
      </c>
    </row>
    <row r="198" spans="1:15" x14ac:dyDescent="0.25">
      <c r="A198" s="3">
        <v>4</v>
      </c>
      <c r="B198" s="3" t="s">
        <v>11</v>
      </c>
      <c r="C198" s="1" t="s">
        <v>12</v>
      </c>
      <c r="D198" s="1" t="s">
        <v>444</v>
      </c>
      <c r="E198" s="3" t="s">
        <v>144</v>
      </c>
      <c r="F198" s="3" t="s">
        <v>8</v>
      </c>
      <c r="G198" s="66" t="s">
        <v>211</v>
      </c>
      <c r="H198" s="8"/>
      <c r="I198" s="8"/>
      <c r="J198" s="6" t="s">
        <v>455</v>
      </c>
      <c r="K198" s="38">
        <v>0</v>
      </c>
      <c r="L198" s="4" t="s">
        <v>29</v>
      </c>
      <c r="M198" s="11">
        <f>_xlfn.NUMBERVALUE(LEFT(Table613[[#This Row],[Fiscal Year]], 4))</f>
        <v>2015</v>
      </c>
      <c r="N198" s="43">
        <f t="shared" si="7"/>
        <v>0</v>
      </c>
      <c r="O198" s="3">
        <v>196</v>
      </c>
    </row>
    <row r="199" spans="1:15" x14ac:dyDescent="0.25">
      <c r="A199" s="3">
        <v>4</v>
      </c>
      <c r="B199" s="3" t="s">
        <v>11</v>
      </c>
      <c r="C199" s="1" t="s">
        <v>12</v>
      </c>
      <c r="D199" s="1" t="s">
        <v>444</v>
      </c>
      <c r="E199" s="3" t="s">
        <v>144</v>
      </c>
      <c r="F199" s="3" t="s">
        <v>8</v>
      </c>
      <c r="G199" s="66" t="s">
        <v>64</v>
      </c>
      <c r="H199" s="8"/>
      <c r="I199" s="8"/>
      <c r="J199" s="6" t="s">
        <v>76</v>
      </c>
      <c r="K199" s="38">
        <v>0</v>
      </c>
      <c r="L199" s="4" t="s">
        <v>29</v>
      </c>
      <c r="M199" s="11">
        <f>_xlfn.NUMBERVALUE(LEFT(Table613[[#This Row],[Fiscal Year]], 4))</f>
        <v>2015</v>
      </c>
      <c r="N199" s="43">
        <f t="shared" si="7"/>
        <v>0</v>
      </c>
      <c r="O199" s="3">
        <v>197</v>
      </c>
    </row>
    <row r="200" spans="1:15" x14ac:dyDescent="0.25">
      <c r="A200" s="3">
        <v>4</v>
      </c>
      <c r="B200" s="3" t="s">
        <v>11</v>
      </c>
      <c r="C200" s="1" t="s">
        <v>12</v>
      </c>
      <c r="D200" s="1" t="s">
        <v>444</v>
      </c>
      <c r="E200" s="3" t="s">
        <v>144</v>
      </c>
      <c r="F200" s="3" t="s">
        <v>8</v>
      </c>
      <c r="G200" s="66" t="s">
        <v>65</v>
      </c>
      <c r="H200" s="8"/>
      <c r="I200" s="8"/>
      <c r="J200" s="6" t="s">
        <v>76</v>
      </c>
      <c r="K200" s="38">
        <v>0</v>
      </c>
      <c r="L200" s="4" t="s">
        <v>29</v>
      </c>
      <c r="M200" s="11">
        <f>_xlfn.NUMBERVALUE(LEFT(Table613[[#This Row],[Fiscal Year]], 4))</f>
        <v>2015</v>
      </c>
      <c r="N200" s="43">
        <f t="shared" si="7"/>
        <v>0</v>
      </c>
      <c r="O200" s="3">
        <v>198</v>
      </c>
    </row>
    <row r="201" spans="1:15" x14ac:dyDescent="0.25">
      <c r="A201" s="3">
        <v>4</v>
      </c>
      <c r="B201" s="3" t="s">
        <v>11</v>
      </c>
      <c r="C201" s="1" t="s">
        <v>12</v>
      </c>
      <c r="D201" s="1" t="s">
        <v>444</v>
      </c>
      <c r="E201" s="3" t="s">
        <v>144</v>
      </c>
      <c r="F201" s="3" t="s">
        <v>8</v>
      </c>
      <c r="G201" s="66" t="s">
        <v>66</v>
      </c>
      <c r="H201" s="8"/>
      <c r="I201" s="8"/>
      <c r="J201" s="6" t="s">
        <v>76</v>
      </c>
      <c r="K201" s="38">
        <v>0</v>
      </c>
      <c r="L201" s="4" t="s">
        <v>29</v>
      </c>
      <c r="M201" s="11">
        <f>_xlfn.NUMBERVALUE(LEFT(Table613[[#This Row],[Fiscal Year]], 4))</f>
        <v>2015</v>
      </c>
      <c r="N201" s="43">
        <f t="shared" si="7"/>
        <v>0</v>
      </c>
      <c r="O201" s="3">
        <v>199</v>
      </c>
    </row>
    <row r="202" spans="1:15" x14ac:dyDescent="0.25">
      <c r="A202" s="3">
        <v>4</v>
      </c>
      <c r="B202" s="3" t="s">
        <v>11</v>
      </c>
      <c r="C202" s="1" t="s">
        <v>12</v>
      </c>
      <c r="D202" s="1" t="s">
        <v>444</v>
      </c>
      <c r="E202" s="3" t="s">
        <v>144</v>
      </c>
      <c r="F202" s="3" t="s">
        <v>8</v>
      </c>
      <c r="G202" s="66" t="s">
        <v>33</v>
      </c>
      <c r="H202" s="8"/>
      <c r="I202" s="8"/>
      <c r="J202" s="6" t="s">
        <v>47</v>
      </c>
      <c r="K202" s="38">
        <v>5000</v>
      </c>
      <c r="L202" s="4" t="s">
        <v>29</v>
      </c>
      <c r="M202" s="11">
        <f>_xlfn.NUMBERVALUE(LEFT(Table613[[#This Row],[Fiscal Year]], 4))</f>
        <v>2015</v>
      </c>
      <c r="N202" s="42">
        <f>K202*(1+VLOOKUP(M202,$AF$8:$AH$31,3,0))</f>
        <v>5308.6708860759491</v>
      </c>
      <c r="O202" s="3">
        <v>200</v>
      </c>
    </row>
    <row r="203" spans="1:15" x14ac:dyDescent="0.25">
      <c r="A203" s="3">
        <v>4</v>
      </c>
      <c r="B203" s="3" t="s">
        <v>11</v>
      </c>
      <c r="C203" s="1" t="s">
        <v>12</v>
      </c>
      <c r="D203" s="1" t="s">
        <v>444</v>
      </c>
      <c r="E203" s="3" t="s">
        <v>144</v>
      </c>
      <c r="F203" s="3" t="s">
        <v>8</v>
      </c>
      <c r="G203" s="66" t="s">
        <v>67</v>
      </c>
      <c r="H203" s="8"/>
      <c r="I203" s="8"/>
      <c r="J203" s="6" t="s">
        <v>455</v>
      </c>
      <c r="K203" s="38">
        <v>0</v>
      </c>
      <c r="L203" s="4" t="s">
        <v>29</v>
      </c>
      <c r="M203" s="11">
        <f>_xlfn.NUMBERVALUE(LEFT(Table613[[#This Row],[Fiscal Year]], 4))</f>
        <v>2015</v>
      </c>
      <c r="N203" s="43">
        <f t="shared" si="7"/>
        <v>0</v>
      </c>
      <c r="O203" s="3">
        <v>201</v>
      </c>
    </row>
    <row r="204" spans="1:15" x14ac:dyDescent="0.25">
      <c r="C204" s="1"/>
      <c r="D204" s="1"/>
      <c r="G204" s="66"/>
      <c r="H204" s="8"/>
      <c r="I204" s="8"/>
      <c r="J204" s="6"/>
      <c r="L204" s="4"/>
      <c r="O204" s="3">
        <v>202</v>
      </c>
    </row>
    <row r="205" spans="1:15" x14ac:dyDescent="0.25">
      <c r="C205" s="1"/>
      <c r="D205" s="1"/>
      <c r="G205" s="56"/>
      <c r="H205" s="8"/>
      <c r="I205" s="8"/>
      <c r="J205" s="6"/>
      <c r="L205" s="4"/>
    </row>
    <row r="206" spans="1:15" x14ac:dyDescent="0.25">
      <c r="C206" s="1"/>
      <c r="D206" s="1"/>
      <c r="G206" s="48"/>
      <c r="H206" s="8"/>
      <c r="I206" s="8"/>
      <c r="J206" s="6"/>
      <c r="L206" s="4"/>
    </row>
    <row r="207" spans="1:15" x14ac:dyDescent="0.25">
      <c r="C207" s="1"/>
      <c r="D207" s="1"/>
      <c r="G207" s="48"/>
      <c r="H207" s="8"/>
      <c r="I207" s="8"/>
      <c r="J207" s="6"/>
      <c r="L207" s="4"/>
    </row>
    <row r="208" spans="1:15" x14ac:dyDescent="0.25">
      <c r="C208" s="1"/>
      <c r="D208" s="1"/>
      <c r="G208" s="56"/>
      <c r="H208" s="8"/>
      <c r="I208" s="70"/>
      <c r="J208" s="6"/>
      <c r="L208" s="4"/>
    </row>
    <row r="209" spans="3:14" x14ac:dyDescent="0.25">
      <c r="C209" s="1"/>
      <c r="D209" s="1"/>
      <c r="G209" s="48"/>
      <c r="H209" s="8"/>
      <c r="I209" s="8"/>
      <c r="J209" s="6"/>
      <c r="L209" s="4"/>
    </row>
    <row r="210" spans="3:14" x14ac:dyDescent="0.25">
      <c r="C210" s="1"/>
      <c r="D210" s="1"/>
      <c r="G210" s="48"/>
      <c r="H210" s="44"/>
      <c r="I210" s="70"/>
      <c r="J210" s="6"/>
      <c r="L210" s="4"/>
    </row>
    <row r="211" spans="3:14" x14ac:dyDescent="0.25">
      <c r="C211" s="1"/>
      <c r="D211" s="1"/>
      <c r="G211" s="48"/>
      <c r="H211" s="6"/>
      <c r="I211" s="70"/>
      <c r="J211" s="6"/>
      <c r="L211" s="4"/>
      <c r="N211" s="43"/>
    </row>
    <row r="212" spans="3:14" x14ac:dyDescent="0.25">
      <c r="C212" s="1"/>
      <c r="D212" s="1"/>
      <c r="G212" s="48"/>
      <c r="H212" s="8"/>
      <c r="I212" s="8"/>
      <c r="J212" s="6"/>
      <c r="L212" s="4"/>
      <c r="N212" s="43"/>
    </row>
    <row r="213" spans="3:14" x14ac:dyDescent="0.25">
      <c r="C213" s="1"/>
      <c r="D213" s="1"/>
      <c r="G213" s="56"/>
      <c r="H213" s="8"/>
      <c r="I213" s="8"/>
      <c r="J213" s="6"/>
      <c r="L213" s="4"/>
    </row>
    <row r="214" spans="3:14" x14ac:dyDescent="0.25">
      <c r="C214" s="1"/>
      <c r="D214" s="1"/>
      <c r="G214" s="56"/>
      <c r="H214" s="8"/>
      <c r="I214" s="8"/>
      <c r="J214" s="6"/>
      <c r="L214" s="4"/>
    </row>
    <row r="215" spans="3:14" x14ac:dyDescent="0.25">
      <c r="C215" s="1"/>
      <c r="D215" s="1"/>
      <c r="G215" s="56"/>
      <c r="H215" s="8"/>
      <c r="I215" s="8"/>
      <c r="J215" s="6"/>
      <c r="L215" s="4"/>
    </row>
    <row r="216" spans="3:14" x14ac:dyDescent="0.25">
      <c r="C216" s="1"/>
      <c r="D216" s="1"/>
      <c r="G216" s="48"/>
      <c r="H216" s="8"/>
      <c r="I216" s="8"/>
      <c r="J216" s="6"/>
      <c r="L216" s="4"/>
    </row>
    <row r="217" spans="3:14" x14ac:dyDescent="0.25">
      <c r="C217" s="1"/>
      <c r="D217" s="1"/>
      <c r="G217" s="56"/>
      <c r="H217" s="8"/>
      <c r="I217" s="8"/>
      <c r="J217" s="6"/>
      <c r="L217" s="4"/>
    </row>
    <row r="218" spans="3:14" x14ac:dyDescent="0.25">
      <c r="C218" s="1"/>
      <c r="D218" s="1"/>
      <c r="G218" s="48"/>
      <c r="H218" s="8"/>
      <c r="I218" s="8"/>
      <c r="J218" s="6"/>
      <c r="L218" s="4"/>
    </row>
    <row r="219" spans="3:14" x14ac:dyDescent="0.25">
      <c r="C219" s="1"/>
      <c r="D219" s="1"/>
      <c r="G219" s="48"/>
      <c r="H219" s="8"/>
      <c r="I219" s="8"/>
      <c r="J219" s="6"/>
      <c r="L219" s="4"/>
    </row>
    <row r="220" spans="3:14" x14ac:dyDescent="0.25">
      <c r="C220" s="1"/>
      <c r="D220" s="1"/>
      <c r="G220" s="48"/>
      <c r="H220" s="8"/>
      <c r="I220" s="8"/>
      <c r="J220" s="6"/>
      <c r="L220" s="4"/>
    </row>
    <row r="221" spans="3:14" x14ac:dyDescent="0.25">
      <c r="C221" s="1"/>
      <c r="D221" s="1"/>
      <c r="G221" s="48"/>
      <c r="H221" s="8"/>
      <c r="I221" s="8"/>
      <c r="J221" s="6"/>
      <c r="L221" s="4"/>
    </row>
    <row r="222" spans="3:14" x14ac:dyDescent="0.25">
      <c r="C222" s="1"/>
      <c r="D222" s="1"/>
      <c r="G222" s="48"/>
      <c r="H222" s="8"/>
      <c r="I222" s="8"/>
      <c r="J222" s="6"/>
      <c r="L222" s="4"/>
    </row>
    <row r="223" spans="3:14" x14ac:dyDescent="0.25">
      <c r="C223" s="1"/>
      <c r="D223" s="1"/>
      <c r="G223" s="48"/>
      <c r="H223" s="8"/>
      <c r="I223" s="8"/>
      <c r="J223" s="6"/>
      <c r="L223" s="4"/>
    </row>
    <row r="224" spans="3:14" x14ac:dyDescent="0.25">
      <c r="C224" s="1"/>
      <c r="D224" s="1"/>
      <c r="G224" s="56"/>
      <c r="H224" s="8"/>
      <c r="I224" s="8"/>
      <c r="J224" s="6"/>
      <c r="L224" s="4"/>
    </row>
    <row r="225" spans="3:14" x14ac:dyDescent="0.25">
      <c r="C225" s="1"/>
      <c r="D225" s="1"/>
      <c r="G225" s="48"/>
      <c r="H225" s="8"/>
      <c r="I225" s="8"/>
      <c r="J225" s="6"/>
      <c r="L225" s="4"/>
    </row>
    <row r="226" spans="3:14" x14ac:dyDescent="0.25">
      <c r="C226" s="1"/>
      <c r="D226" s="1"/>
      <c r="G226" s="48"/>
      <c r="H226" s="8"/>
      <c r="I226" s="8"/>
      <c r="J226" s="6"/>
      <c r="L226" s="4"/>
      <c r="N226" s="43"/>
    </row>
    <row r="227" spans="3:14" x14ac:dyDescent="0.25">
      <c r="C227" s="1"/>
      <c r="D227" s="1"/>
      <c r="G227" s="56"/>
      <c r="H227" s="8"/>
      <c r="I227" s="8"/>
      <c r="J227" s="6"/>
      <c r="L227" s="4"/>
    </row>
    <row r="228" spans="3:14" x14ac:dyDescent="0.25">
      <c r="C228" s="1"/>
      <c r="D228" s="1"/>
      <c r="G228" s="56"/>
      <c r="H228" s="8"/>
      <c r="I228" s="8"/>
      <c r="J228" s="6"/>
      <c r="L228" s="4"/>
    </row>
    <row r="229" spans="3:14" x14ac:dyDescent="0.25">
      <c r="C229" s="1"/>
      <c r="D229" s="1"/>
      <c r="G229" s="48"/>
      <c r="H229" s="8"/>
      <c r="I229" s="8"/>
      <c r="J229" s="6"/>
      <c r="L229" s="4"/>
    </row>
    <row r="230" spans="3:14" x14ac:dyDescent="0.25">
      <c r="C230" s="1"/>
      <c r="D230" s="1"/>
      <c r="G230" s="56"/>
      <c r="H230" s="8"/>
      <c r="I230" s="8"/>
      <c r="J230" s="6"/>
      <c r="L230" s="4"/>
    </row>
    <row r="231" spans="3:14" x14ac:dyDescent="0.25">
      <c r="C231" s="1"/>
      <c r="D231" s="1"/>
      <c r="G231" s="48"/>
      <c r="H231" s="8"/>
      <c r="I231" s="8"/>
      <c r="J231" s="6"/>
      <c r="L231" s="4"/>
    </row>
    <row r="232" spans="3:14" x14ac:dyDescent="0.25">
      <c r="C232" s="1"/>
      <c r="D232" s="1"/>
      <c r="G232" s="48"/>
      <c r="H232" s="8"/>
      <c r="I232" s="8"/>
      <c r="J232" s="6"/>
      <c r="L232" s="4"/>
      <c r="N232" s="43"/>
    </row>
    <row r="233" spans="3:14" x14ac:dyDescent="0.25">
      <c r="C233" s="1"/>
      <c r="D233" s="1"/>
      <c r="G233" s="56"/>
      <c r="H233" s="8"/>
      <c r="I233" s="8"/>
      <c r="J233" s="6"/>
      <c r="L233" s="4"/>
    </row>
    <row r="234" spans="3:14" x14ac:dyDescent="0.25">
      <c r="C234" s="1"/>
      <c r="D234" s="1"/>
      <c r="G234" s="48"/>
      <c r="H234" s="8"/>
      <c r="I234" s="8"/>
      <c r="J234" s="6"/>
      <c r="L234" s="4"/>
    </row>
    <row r="235" spans="3:14" x14ac:dyDescent="0.25">
      <c r="C235" s="1"/>
      <c r="D235" s="1"/>
      <c r="G235" s="48"/>
      <c r="H235" s="44"/>
      <c r="I235" s="70"/>
      <c r="J235" s="6"/>
      <c r="L235" s="4"/>
    </row>
    <row r="236" spans="3:14" x14ac:dyDescent="0.25">
      <c r="C236" s="1"/>
      <c r="D236" s="1"/>
      <c r="G236" s="48"/>
      <c r="H236" s="6"/>
      <c r="I236" s="70"/>
      <c r="J236" s="6"/>
      <c r="L236" s="4"/>
      <c r="N236" s="43"/>
    </row>
    <row r="237" spans="3:14" x14ac:dyDescent="0.25">
      <c r="C237" s="1"/>
      <c r="D237" s="1"/>
      <c r="G237" s="48"/>
      <c r="H237" s="8"/>
      <c r="I237" s="8"/>
      <c r="J237" s="6"/>
      <c r="L237" s="4"/>
      <c r="N237" s="43"/>
    </row>
    <row r="238" spans="3:14" x14ac:dyDescent="0.25">
      <c r="C238" s="1"/>
      <c r="D238" s="1"/>
      <c r="G238" s="56"/>
      <c r="H238" s="8"/>
      <c r="I238" s="8"/>
      <c r="J238" s="6"/>
      <c r="L238" s="4"/>
    </row>
    <row r="239" spans="3:14" x14ac:dyDescent="0.25">
      <c r="C239" s="1"/>
      <c r="D239" s="1"/>
      <c r="G239" s="56"/>
      <c r="H239" s="8"/>
      <c r="I239" s="8"/>
      <c r="J239" s="6"/>
      <c r="L239" s="4"/>
    </row>
    <row r="240" spans="3:14" x14ac:dyDescent="0.25">
      <c r="C240" s="1"/>
      <c r="D240" s="1"/>
      <c r="G240" s="56"/>
      <c r="H240" s="8"/>
      <c r="I240" s="8"/>
      <c r="J240" s="6"/>
      <c r="L240" s="4"/>
    </row>
    <row r="241" spans="1:15" x14ac:dyDescent="0.25">
      <c r="C241" s="1"/>
      <c r="D241" s="1"/>
      <c r="G241" s="48"/>
      <c r="H241" s="8"/>
      <c r="I241" s="8"/>
      <c r="J241" s="6"/>
      <c r="L241" s="4"/>
    </row>
    <row r="242" spans="1:15" x14ac:dyDescent="0.25">
      <c r="C242" s="1"/>
      <c r="D242" s="1"/>
      <c r="G242" s="56"/>
      <c r="H242" s="8"/>
      <c r="I242" s="8"/>
      <c r="J242" s="6"/>
      <c r="L242" s="4"/>
    </row>
    <row r="243" spans="1:15" x14ac:dyDescent="0.25">
      <c r="C243" s="1"/>
      <c r="D243" s="1"/>
      <c r="G243" s="48"/>
      <c r="H243" s="8"/>
      <c r="I243" s="8"/>
      <c r="J243" s="6"/>
      <c r="L243" s="4"/>
    </row>
    <row r="244" spans="1:15" x14ac:dyDescent="0.25">
      <c r="C244" s="1"/>
      <c r="D244" s="1"/>
      <c r="G244" s="48"/>
      <c r="H244" s="8"/>
      <c r="I244" s="8"/>
      <c r="J244" s="6"/>
      <c r="L244" s="4"/>
    </row>
    <row r="245" spans="1:15" x14ac:dyDescent="0.25">
      <c r="C245" s="1"/>
      <c r="D245" s="1"/>
      <c r="G245" s="48"/>
      <c r="H245" s="8"/>
      <c r="I245" s="8"/>
      <c r="J245" s="6"/>
      <c r="L245" s="4"/>
    </row>
    <row r="246" spans="1:15" x14ac:dyDescent="0.25">
      <c r="C246" s="1"/>
      <c r="D246" s="1"/>
      <c r="G246" s="48"/>
      <c r="H246" s="8"/>
      <c r="I246" s="8"/>
      <c r="J246" s="6"/>
      <c r="L246" s="4"/>
    </row>
    <row r="247" spans="1:15" x14ac:dyDescent="0.25">
      <c r="C247" s="1"/>
      <c r="D247" s="1"/>
      <c r="G247" s="48"/>
      <c r="H247" s="8"/>
      <c r="I247" s="8"/>
      <c r="J247" s="6"/>
      <c r="L247" s="4"/>
    </row>
    <row r="248" spans="1:15" x14ac:dyDescent="0.25">
      <c r="C248" s="1"/>
      <c r="D248" s="1"/>
      <c r="G248" s="48"/>
      <c r="H248" s="8"/>
      <c r="I248" s="8"/>
      <c r="J248" s="6"/>
      <c r="L248" s="4"/>
    </row>
    <row r="249" spans="1:15" x14ac:dyDescent="0.25">
      <c r="C249" s="1"/>
      <c r="D249" s="1"/>
      <c r="G249" s="56"/>
      <c r="H249" s="8"/>
      <c r="I249" s="8"/>
      <c r="J249" s="6"/>
      <c r="L249" s="4"/>
    </row>
    <row r="250" spans="1:15" x14ac:dyDescent="0.25">
      <c r="C250" s="1"/>
      <c r="D250" s="1"/>
      <c r="G250" s="48"/>
      <c r="H250" s="8"/>
      <c r="I250" s="8"/>
      <c r="J250" s="6"/>
      <c r="L250" s="4"/>
    </row>
    <row r="251" spans="1:15" x14ac:dyDescent="0.25">
      <c r="C251" s="1"/>
      <c r="D251" s="1"/>
      <c r="G251" s="48"/>
      <c r="H251" s="8"/>
      <c r="I251" s="8"/>
      <c r="J251" s="6"/>
      <c r="L251" s="4"/>
    </row>
    <row r="252" spans="1:15" x14ac:dyDescent="0.25">
      <c r="C252" s="1"/>
      <c r="D252" s="1"/>
      <c r="G252" s="56"/>
      <c r="H252" s="8"/>
      <c r="I252" s="8"/>
      <c r="J252" s="6"/>
      <c r="L252" s="4"/>
      <c r="N252" s="43"/>
    </row>
    <row r="253" spans="1:15" x14ac:dyDescent="0.25">
      <c r="C253" s="1"/>
      <c r="D253" s="1"/>
      <c r="G253" s="56"/>
      <c r="H253" s="8"/>
      <c r="I253" s="8"/>
      <c r="J253" s="6"/>
      <c r="L253" s="4"/>
    </row>
    <row r="254" spans="1:15" x14ac:dyDescent="0.25">
      <c r="C254" s="1"/>
      <c r="D254" s="1"/>
      <c r="G254" s="66"/>
      <c r="H254" s="8"/>
      <c r="I254" s="8"/>
      <c r="J254" s="6"/>
      <c r="L254" s="4"/>
      <c r="O254" s="3">
        <v>252</v>
      </c>
    </row>
    <row r="255" spans="1:15" x14ac:dyDescent="0.25">
      <c r="A255" s="3">
        <v>4</v>
      </c>
      <c r="B255" s="3" t="s">
        <v>1435</v>
      </c>
      <c r="C255" s="1" t="s">
        <v>1435</v>
      </c>
      <c r="D255" s="1" t="s">
        <v>444</v>
      </c>
      <c r="E255" s="3" t="s">
        <v>144</v>
      </c>
      <c r="F255" s="3" t="s">
        <v>5</v>
      </c>
      <c r="G255" s="48" t="s">
        <v>32</v>
      </c>
      <c r="H255" s="8"/>
      <c r="I255" s="8"/>
      <c r="J255" s="6" t="s">
        <v>110</v>
      </c>
      <c r="K255" s="38">
        <v>1874000</v>
      </c>
      <c r="L255" s="4" t="s">
        <v>29</v>
      </c>
      <c r="M255" s="11">
        <f>_xlfn.NUMBERVALUE(LEFT(Table613[[#This Row],[Fiscal Year]], 4))</f>
        <v>2015</v>
      </c>
      <c r="N255" s="42">
        <f t="shared" ref="N255:N267" si="8">K255*(1+VLOOKUP(M255,$AF$8:$AH$31,3,0))</f>
        <v>1989689.8481012657</v>
      </c>
      <c r="O255" s="3">
        <v>253</v>
      </c>
    </row>
    <row r="256" spans="1:15" x14ac:dyDescent="0.25">
      <c r="A256" s="3">
        <v>4</v>
      </c>
      <c r="B256" s="3" t="s">
        <v>1435</v>
      </c>
      <c r="C256" s="1" t="s">
        <v>1435</v>
      </c>
      <c r="D256" s="1" t="s">
        <v>444</v>
      </c>
      <c r="E256" s="3" t="s">
        <v>144</v>
      </c>
      <c r="F256" s="3" t="s">
        <v>5</v>
      </c>
      <c r="G256" s="66" t="s">
        <v>58</v>
      </c>
      <c r="H256" s="8"/>
      <c r="I256" s="8"/>
      <c r="J256" s="6" t="s">
        <v>453</v>
      </c>
      <c r="K256" s="38">
        <v>1569000</v>
      </c>
      <c r="L256" s="4" t="s">
        <v>29</v>
      </c>
      <c r="M256" s="11">
        <f>_xlfn.NUMBERVALUE(LEFT(Table613[[#This Row],[Fiscal Year]], 4))</f>
        <v>2015</v>
      </c>
      <c r="N256" s="42">
        <f t="shared" si="8"/>
        <v>1665860.9240506329</v>
      </c>
      <c r="O256" s="3">
        <v>254</v>
      </c>
    </row>
    <row r="257" spans="1:15" x14ac:dyDescent="0.25">
      <c r="A257" s="3">
        <v>4</v>
      </c>
      <c r="B257" s="3" t="s">
        <v>1435</v>
      </c>
      <c r="C257" s="1" t="s">
        <v>1435</v>
      </c>
      <c r="D257" s="1" t="s">
        <v>444</v>
      </c>
      <c r="E257" s="3" t="s">
        <v>144</v>
      </c>
      <c r="F257" s="3" t="s">
        <v>5</v>
      </c>
      <c r="G257" s="66" t="s">
        <v>208</v>
      </c>
      <c r="H257" s="8"/>
      <c r="I257" s="8"/>
      <c r="J257" s="6" t="s">
        <v>109</v>
      </c>
      <c r="K257" s="38">
        <v>545000</v>
      </c>
      <c r="L257" s="4" t="s">
        <v>29</v>
      </c>
      <c r="M257" s="11">
        <f>_xlfn.NUMBERVALUE(LEFT(Table613[[#This Row],[Fiscal Year]], 4))</f>
        <v>2015</v>
      </c>
      <c r="N257" s="42">
        <f t="shared" si="8"/>
        <v>578645.1265822784</v>
      </c>
      <c r="O257" s="3">
        <v>255</v>
      </c>
    </row>
    <row r="258" spans="1:15" x14ac:dyDescent="0.25">
      <c r="A258" s="3">
        <v>4</v>
      </c>
      <c r="B258" s="3" t="s">
        <v>1435</v>
      </c>
      <c r="C258" s="1" t="s">
        <v>1435</v>
      </c>
      <c r="D258" s="1" t="s">
        <v>444</v>
      </c>
      <c r="E258" s="3" t="s">
        <v>144</v>
      </c>
      <c r="F258" s="3" t="s">
        <v>5</v>
      </c>
      <c r="G258" s="66" t="s">
        <v>59</v>
      </c>
      <c r="H258" s="8"/>
      <c r="I258" s="8"/>
      <c r="J258" s="6" t="s">
        <v>111</v>
      </c>
      <c r="K258" s="38">
        <v>1447000</v>
      </c>
      <c r="L258" s="4" t="s">
        <v>29</v>
      </c>
      <c r="M258" s="11">
        <f>_xlfn.NUMBERVALUE(LEFT(Table613[[#This Row],[Fiscal Year]], 4))</f>
        <v>2015</v>
      </c>
      <c r="N258" s="42">
        <f t="shared" si="8"/>
        <v>1536329.3544303796</v>
      </c>
      <c r="O258" s="3">
        <v>256</v>
      </c>
    </row>
    <row r="259" spans="1:15" x14ac:dyDescent="0.25">
      <c r="A259" s="3">
        <v>4</v>
      </c>
      <c r="B259" s="3" t="s">
        <v>1435</v>
      </c>
      <c r="C259" s="1" t="s">
        <v>1435</v>
      </c>
      <c r="D259" s="1" t="s">
        <v>444</v>
      </c>
      <c r="E259" s="3" t="s">
        <v>144</v>
      </c>
      <c r="F259" s="3" t="s">
        <v>5</v>
      </c>
      <c r="G259" s="66" t="s">
        <v>60</v>
      </c>
      <c r="H259" s="8"/>
      <c r="I259" s="8"/>
      <c r="J259" s="6" t="s">
        <v>111</v>
      </c>
      <c r="K259" s="38">
        <v>1010000</v>
      </c>
      <c r="L259" s="4" t="s">
        <v>29</v>
      </c>
      <c r="M259" s="11">
        <f>_xlfn.NUMBERVALUE(LEFT(Table613[[#This Row],[Fiscal Year]], 4))</f>
        <v>2015</v>
      </c>
      <c r="N259" s="42">
        <f t="shared" si="8"/>
        <v>1072351.5189873418</v>
      </c>
      <c r="O259" s="3">
        <v>257</v>
      </c>
    </row>
    <row r="260" spans="1:15" x14ac:dyDescent="0.25">
      <c r="A260" s="3">
        <v>4</v>
      </c>
      <c r="B260" s="3" t="s">
        <v>1435</v>
      </c>
      <c r="C260" s="1" t="s">
        <v>1435</v>
      </c>
      <c r="D260" s="1" t="s">
        <v>444</v>
      </c>
      <c r="E260" s="3" t="s">
        <v>144</v>
      </c>
      <c r="F260" s="3" t="s">
        <v>5</v>
      </c>
      <c r="G260" s="48" t="s">
        <v>61</v>
      </c>
      <c r="H260" s="8"/>
      <c r="I260" s="8"/>
      <c r="J260" s="6" t="s">
        <v>108</v>
      </c>
      <c r="K260" s="38">
        <v>27959000</v>
      </c>
      <c r="L260" s="4" t="s">
        <v>29</v>
      </c>
      <c r="M260" s="11">
        <f>_xlfn.NUMBERVALUE(LEFT(Table613[[#This Row],[Fiscal Year]], 4))</f>
        <v>2015</v>
      </c>
      <c r="N260" s="42">
        <f t="shared" si="8"/>
        <v>29685025.860759493</v>
      </c>
      <c r="O260" s="3">
        <v>258</v>
      </c>
    </row>
    <row r="261" spans="1:15" x14ac:dyDescent="0.25">
      <c r="A261" s="3">
        <v>4</v>
      </c>
      <c r="B261" s="3" t="s">
        <v>1435</v>
      </c>
      <c r="C261" s="1" t="s">
        <v>1435</v>
      </c>
      <c r="D261" s="1" t="s">
        <v>444</v>
      </c>
      <c r="E261" s="3" t="s">
        <v>144</v>
      </c>
      <c r="F261" s="3" t="s">
        <v>5</v>
      </c>
      <c r="G261" s="66" t="s">
        <v>62</v>
      </c>
      <c r="H261" s="8"/>
      <c r="I261" s="8"/>
      <c r="J261" s="6" t="s">
        <v>106</v>
      </c>
      <c r="K261" s="38">
        <v>928000</v>
      </c>
      <c r="L261" s="4" t="s">
        <v>29</v>
      </c>
      <c r="M261" s="11">
        <f>_xlfn.NUMBERVALUE(LEFT(Table613[[#This Row],[Fiscal Year]], 4))</f>
        <v>2015</v>
      </c>
      <c r="N261" s="42">
        <f t="shared" si="8"/>
        <v>985289.31645569613</v>
      </c>
      <c r="O261" s="3">
        <v>259</v>
      </c>
    </row>
    <row r="262" spans="1:15" x14ac:dyDescent="0.25">
      <c r="A262" s="3">
        <v>4</v>
      </c>
      <c r="B262" s="3" t="s">
        <v>1435</v>
      </c>
      <c r="C262" s="1" t="s">
        <v>1435</v>
      </c>
      <c r="D262" s="1" t="s">
        <v>444</v>
      </c>
      <c r="E262" s="3" t="s">
        <v>144</v>
      </c>
      <c r="F262" s="3" t="s">
        <v>5</v>
      </c>
      <c r="G262" s="66" t="s">
        <v>211</v>
      </c>
      <c r="H262" s="8"/>
      <c r="I262" s="8"/>
      <c r="J262" s="6" t="s">
        <v>455</v>
      </c>
      <c r="K262" s="38">
        <v>1127000</v>
      </c>
      <c r="L262" s="4" t="s">
        <v>29</v>
      </c>
      <c r="M262" s="11">
        <f>_xlfn.NUMBERVALUE(LEFT(Table613[[#This Row],[Fiscal Year]], 4))</f>
        <v>2015</v>
      </c>
      <c r="N262" s="42">
        <f t="shared" si="8"/>
        <v>1196574.417721519</v>
      </c>
      <c r="O262" s="3">
        <v>260</v>
      </c>
    </row>
    <row r="263" spans="1:15" x14ac:dyDescent="0.25">
      <c r="A263" s="3">
        <v>4</v>
      </c>
      <c r="B263" s="3" t="s">
        <v>1435</v>
      </c>
      <c r="C263" s="1" t="s">
        <v>1435</v>
      </c>
      <c r="D263" s="1" t="s">
        <v>444</v>
      </c>
      <c r="E263" s="3" t="s">
        <v>144</v>
      </c>
      <c r="F263" s="3" t="s">
        <v>5</v>
      </c>
      <c r="G263" s="66" t="s">
        <v>64</v>
      </c>
      <c r="H263" s="8"/>
      <c r="I263" s="8"/>
      <c r="J263" s="6" t="s">
        <v>76</v>
      </c>
      <c r="K263" s="38">
        <v>714000</v>
      </c>
      <c r="L263" s="4" t="s">
        <v>29</v>
      </c>
      <c r="M263" s="11">
        <f>_xlfn.NUMBERVALUE(LEFT(Table613[[#This Row],[Fiscal Year]], 4))</f>
        <v>2015</v>
      </c>
      <c r="N263" s="42">
        <f t="shared" si="8"/>
        <v>758078.20253164554</v>
      </c>
      <c r="O263" s="3">
        <v>261</v>
      </c>
    </row>
    <row r="264" spans="1:15" x14ac:dyDescent="0.25">
      <c r="A264" s="3">
        <v>4</v>
      </c>
      <c r="B264" s="3" t="s">
        <v>1435</v>
      </c>
      <c r="C264" s="1" t="s">
        <v>1435</v>
      </c>
      <c r="D264" s="1" t="s">
        <v>444</v>
      </c>
      <c r="E264" s="3" t="s">
        <v>144</v>
      </c>
      <c r="F264" s="3" t="s">
        <v>5</v>
      </c>
      <c r="G264" s="66" t="s">
        <v>65</v>
      </c>
      <c r="H264" s="8"/>
      <c r="I264" s="8"/>
      <c r="J264" s="6" t="s">
        <v>76</v>
      </c>
      <c r="K264" s="38">
        <v>1433000</v>
      </c>
      <c r="L264" s="4" t="s">
        <v>29</v>
      </c>
      <c r="M264" s="11">
        <f>_xlfn.NUMBERVALUE(LEFT(Table613[[#This Row],[Fiscal Year]], 4))</f>
        <v>2015</v>
      </c>
      <c r="N264" s="42">
        <f t="shared" si="8"/>
        <v>1521465.0759493669</v>
      </c>
      <c r="O264" s="3">
        <v>262</v>
      </c>
    </row>
    <row r="265" spans="1:15" x14ac:dyDescent="0.25">
      <c r="A265" s="3">
        <v>4</v>
      </c>
      <c r="B265" s="3" t="s">
        <v>1435</v>
      </c>
      <c r="C265" s="1" t="s">
        <v>1435</v>
      </c>
      <c r="D265" s="1" t="s">
        <v>444</v>
      </c>
      <c r="E265" s="3" t="s">
        <v>144</v>
      </c>
      <c r="F265" s="3" t="s">
        <v>5</v>
      </c>
      <c r="G265" s="66" t="s">
        <v>66</v>
      </c>
      <c r="H265" s="8"/>
      <c r="I265" s="8"/>
      <c r="J265" s="6" t="s">
        <v>76</v>
      </c>
      <c r="K265" s="38">
        <v>0</v>
      </c>
      <c r="L265" s="4" t="s">
        <v>29</v>
      </c>
      <c r="M265" s="11">
        <f>_xlfn.NUMBERVALUE(LEFT(Table613[[#This Row],[Fiscal Year]], 4))</f>
        <v>2015</v>
      </c>
      <c r="N265" s="43">
        <f t="shared" si="8"/>
        <v>0</v>
      </c>
      <c r="O265" s="3">
        <v>263</v>
      </c>
    </row>
    <row r="266" spans="1:15" x14ac:dyDescent="0.25">
      <c r="A266" s="3">
        <v>4</v>
      </c>
      <c r="B266" s="3" t="s">
        <v>1435</v>
      </c>
      <c r="C266" s="1" t="s">
        <v>1435</v>
      </c>
      <c r="D266" s="1" t="s">
        <v>444</v>
      </c>
      <c r="E266" s="3" t="s">
        <v>144</v>
      </c>
      <c r="F266" s="3" t="s">
        <v>5</v>
      </c>
      <c r="G266" s="66" t="s">
        <v>33</v>
      </c>
      <c r="H266" s="8"/>
      <c r="I266" s="8"/>
      <c r="J266" s="6" t="s">
        <v>47</v>
      </c>
      <c r="K266" s="38">
        <v>3419000</v>
      </c>
      <c r="L266" s="4" t="s">
        <v>29</v>
      </c>
      <c r="M266" s="11">
        <f>_xlfn.NUMBERVALUE(LEFT(Table613[[#This Row],[Fiscal Year]], 4))</f>
        <v>2015</v>
      </c>
      <c r="N266" s="42">
        <f t="shared" si="8"/>
        <v>3630069.1518987338</v>
      </c>
      <c r="O266" s="3">
        <v>264</v>
      </c>
    </row>
    <row r="267" spans="1:15" x14ac:dyDescent="0.25">
      <c r="A267" s="3">
        <v>4</v>
      </c>
      <c r="B267" s="3" t="s">
        <v>1435</v>
      </c>
      <c r="C267" s="1" t="s">
        <v>1435</v>
      </c>
      <c r="D267" s="1" t="s">
        <v>444</v>
      </c>
      <c r="E267" s="3" t="s">
        <v>144</v>
      </c>
      <c r="F267" s="3" t="s">
        <v>5</v>
      </c>
      <c r="G267" s="66" t="s">
        <v>67</v>
      </c>
      <c r="H267" s="8"/>
      <c r="I267" s="8" t="s">
        <v>843</v>
      </c>
      <c r="J267" s="6" t="s">
        <v>455</v>
      </c>
      <c r="K267" s="38">
        <v>6123000</v>
      </c>
      <c r="L267" s="4" t="s">
        <v>29</v>
      </c>
      <c r="M267" s="11">
        <f>_xlfn.NUMBERVALUE(LEFT(Table613[[#This Row],[Fiscal Year]], 4))</f>
        <v>2015</v>
      </c>
      <c r="N267" s="42">
        <f t="shared" si="8"/>
        <v>6500998.3670886075</v>
      </c>
      <c r="O267" s="3">
        <v>265</v>
      </c>
    </row>
    <row r="268" spans="1:15" x14ac:dyDescent="0.25">
      <c r="C268" s="1"/>
      <c r="D268" s="1"/>
      <c r="E268" s="11"/>
      <c r="G268" s="66"/>
      <c r="H268" s="8"/>
      <c r="I268" s="8"/>
      <c r="J268" s="6"/>
      <c r="L268" s="4"/>
      <c r="O268" s="3">
        <v>266</v>
      </c>
    </row>
    <row r="269" spans="1:15" x14ac:dyDescent="0.25">
      <c r="C269" s="1"/>
      <c r="D269" s="1"/>
      <c r="E269" s="11"/>
      <c r="G269" s="56"/>
      <c r="H269" s="8"/>
      <c r="I269" s="8"/>
      <c r="J269" s="6"/>
      <c r="L269" s="4"/>
      <c r="N269" s="43"/>
    </row>
    <row r="270" spans="1:15" x14ac:dyDescent="0.25">
      <c r="C270" s="1"/>
      <c r="D270" s="1"/>
      <c r="E270" s="11"/>
      <c r="G270" s="48"/>
      <c r="H270" s="8"/>
      <c r="I270" s="8"/>
      <c r="J270" s="6"/>
      <c r="L270" s="4"/>
    </row>
    <row r="271" spans="1:15" x14ac:dyDescent="0.25">
      <c r="C271" s="1"/>
      <c r="D271" s="1"/>
      <c r="E271" s="11"/>
      <c r="G271" s="48"/>
      <c r="H271" s="8"/>
      <c r="I271" s="8"/>
      <c r="J271" s="6"/>
      <c r="L271" s="4"/>
      <c r="N271" s="43"/>
    </row>
    <row r="272" spans="1:15" x14ac:dyDescent="0.25">
      <c r="C272" s="1"/>
      <c r="D272" s="1"/>
      <c r="E272" s="11"/>
      <c r="G272" s="56"/>
      <c r="H272" s="8"/>
      <c r="I272" s="8"/>
      <c r="J272" s="6"/>
      <c r="L272" s="4"/>
    </row>
    <row r="273" spans="3:14" x14ac:dyDescent="0.25">
      <c r="C273" s="1"/>
      <c r="D273" s="1"/>
      <c r="E273" s="11"/>
      <c r="G273" s="48"/>
      <c r="H273" s="8"/>
      <c r="I273" s="8"/>
      <c r="J273" s="6"/>
      <c r="L273" s="4"/>
    </row>
    <row r="274" spans="3:14" x14ac:dyDescent="0.25">
      <c r="C274" s="1"/>
      <c r="D274" s="1"/>
      <c r="E274" s="11"/>
      <c r="G274" s="48"/>
      <c r="H274" s="44"/>
      <c r="I274" s="70"/>
      <c r="J274" s="6"/>
      <c r="L274" s="4"/>
    </row>
    <row r="275" spans="3:14" x14ac:dyDescent="0.25">
      <c r="C275" s="1"/>
      <c r="D275" s="1"/>
      <c r="E275" s="11"/>
      <c r="G275" s="48"/>
      <c r="H275" s="6"/>
      <c r="I275" s="70"/>
      <c r="J275" s="6"/>
      <c r="L275" s="4"/>
      <c r="N275" s="43"/>
    </row>
    <row r="276" spans="3:14" x14ac:dyDescent="0.25">
      <c r="C276" s="1"/>
      <c r="D276" s="1"/>
      <c r="E276" s="11"/>
      <c r="G276" s="56"/>
      <c r="H276" s="8"/>
      <c r="I276" s="8"/>
      <c r="J276" s="6"/>
      <c r="L276" s="4"/>
      <c r="N276" s="43"/>
    </row>
    <row r="277" spans="3:14" x14ac:dyDescent="0.25">
      <c r="C277" s="1"/>
      <c r="D277" s="1"/>
      <c r="E277" s="11"/>
      <c r="G277" s="56"/>
      <c r="H277" s="8"/>
      <c r="I277" s="8"/>
      <c r="J277" s="6"/>
      <c r="K277" s="41"/>
      <c r="L277" s="4"/>
    </row>
    <row r="278" spans="3:14" x14ac:dyDescent="0.25">
      <c r="C278" s="1"/>
      <c r="D278" s="1"/>
      <c r="E278" s="11"/>
      <c r="G278" s="56"/>
      <c r="H278" s="8"/>
      <c r="I278" s="8"/>
      <c r="J278" s="6"/>
      <c r="K278" s="41"/>
      <c r="L278" s="4"/>
    </row>
    <row r="279" spans="3:14" x14ac:dyDescent="0.25">
      <c r="C279" s="1"/>
      <c r="D279" s="1"/>
      <c r="E279" s="11"/>
      <c r="G279" s="56"/>
      <c r="H279" s="8"/>
      <c r="I279" s="8"/>
      <c r="J279" s="6"/>
      <c r="K279" s="41"/>
      <c r="L279" s="4"/>
    </row>
    <row r="280" spans="3:14" x14ac:dyDescent="0.25">
      <c r="C280" s="1"/>
      <c r="D280" s="1"/>
      <c r="E280" s="11"/>
      <c r="G280" s="48"/>
      <c r="H280" s="8"/>
      <c r="I280" s="8"/>
      <c r="J280" s="6"/>
      <c r="K280" s="41"/>
      <c r="L280" s="4"/>
    </row>
    <row r="281" spans="3:14" x14ac:dyDescent="0.25">
      <c r="C281" s="1"/>
      <c r="D281" s="1"/>
      <c r="E281" s="11"/>
      <c r="G281" s="56"/>
      <c r="H281" s="8"/>
      <c r="I281" s="8"/>
      <c r="J281" s="6"/>
      <c r="L281" s="4"/>
    </row>
    <row r="282" spans="3:14" x14ac:dyDescent="0.25">
      <c r="C282" s="1"/>
      <c r="D282" s="1"/>
      <c r="E282" s="11"/>
      <c r="G282" s="48"/>
      <c r="H282" s="8"/>
      <c r="I282" s="8"/>
      <c r="J282" s="6"/>
      <c r="L282" s="4"/>
    </row>
    <row r="283" spans="3:14" x14ac:dyDescent="0.25">
      <c r="C283" s="1"/>
      <c r="D283" s="1"/>
      <c r="E283" s="11"/>
      <c r="G283" s="48"/>
      <c r="H283" s="8"/>
      <c r="I283" s="8"/>
      <c r="J283" s="6"/>
      <c r="L283" s="4"/>
    </row>
    <row r="284" spans="3:14" x14ac:dyDescent="0.25">
      <c r="C284" s="1"/>
      <c r="D284" s="1"/>
      <c r="E284" s="11"/>
      <c r="G284" s="48"/>
      <c r="H284" s="8"/>
      <c r="I284" s="8"/>
      <c r="J284" s="6"/>
      <c r="L284" s="4"/>
    </row>
    <row r="285" spans="3:14" x14ac:dyDescent="0.25">
      <c r="C285" s="1"/>
      <c r="D285" s="1"/>
      <c r="E285" s="11"/>
      <c r="G285" s="48"/>
      <c r="H285" s="8"/>
      <c r="I285" s="8"/>
      <c r="J285" s="6"/>
      <c r="L285" s="4"/>
    </row>
    <row r="286" spans="3:14" x14ac:dyDescent="0.25">
      <c r="C286" s="1"/>
      <c r="D286" s="1"/>
      <c r="E286" s="11"/>
      <c r="G286" s="48"/>
      <c r="H286" s="8"/>
      <c r="I286" s="8"/>
      <c r="J286" s="6"/>
      <c r="L286" s="4"/>
    </row>
    <row r="287" spans="3:14" x14ac:dyDescent="0.25">
      <c r="C287" s="1"/>
      <c r="D287" s="1"/>
      <c r="E287" s="11"/>
      <c r="G287" s="48"/>
      <c r="H287" s="8"/>
      <c r="I287" s="8"/>
      <c r="J287" s="6"/>
      <c r="L287" s="4"/>
    </row>
    <row r="288" spans="3:14" x14ac:dyDescent="0.25">
      <c r="C288" s="1"/>
      <c r="D288" s="1"/>
      <c r="E288" s="11"/>
      <c r="G288" s="56"/>
      <c r="H288" s="8"/>
      <c r="I288" s="8"/>
      <c r="J288" s="6"/>
      <c r="L288" s="4"/>
    </row>
    <row r="289" spans="3:14" x14ac:dyDescent="0.25">
      <c r="C289" s="1"/>
      <c r="D289" s="1"/>
      <c r="E289" s="11"/>
      <c r="G289" s="48"/>
      <c r="H289" s="8"/>
      <c r="I289" s="8"/>
      <c r="J289" s="6"/>
      <c r="L289" s="4"/>
    </row>
    <row r="290" spans="3:14" x14ac:dyDescent="0.25">
      <c r="C290" s="1"/>
      <c r="D290" s="1"/>
      <c r="E290" s="11"/>
      <c r="G290" s="48"/>
      <c r="H290" s="8"/>
      <c r="I290" s="8"/>
      <c r="J290" s="6"/>
      <c r="L290" s="4"/>
      <c r="N290" s="43"/>
    </row>
    <row r="291" spans="3:14" x14ac:dyDescent="0.25">
      <c r="C291" s="1"/>
      <c r="D291" s="1"/>
      <c r="E291" s="11"/>
      <c r="G291" s="56"/>
      <c r="H291" s="8"/>
      <c r="I291" s="8"/>
      <c r="J291" s="6"/>
      <c r="L291" s="4"/>
    </row>
    <row r="292" spans="3:14" x14ac:dyDescent="0.25">
      <c r="C292" s="1"/>
      <c r="D292" s="1"/>
      <c r="E292" s="11"/>
      <c r="G292" s="56"/>
      <c r="H292" s="8"/>
      <c r="I292" s="8"/>
      <c r="J292" s="6"/>
      <c r="L292" s="4"/>
    </row>
    <row r="293" spans="3:14" x14ac:dyDescent="0.25">
      <c r="C293" s="1"/>
      <c r="D293" s="1"/>
      <c r="E293" s="11"/>
      <c r="G293" s="66"/>
      <c r="H293" s="8"/>
      <c r="I293" s="8"/>
      <c r="J293" s="6"/>
      <c r="L293" s="4"/>
    </row>
    <row r="294" spans="3:14" x14ac:dyDescent="0.25">
      <c r="C294" s="1"/>
      <c r="D294" s="1"/>
      <c r="E294" s="11"/>
      <c r="G294" s="56"/>
      <c r="H294" s="8"/>
      <c r="I294" s="8"/>
      <c r="J294" s="6"/>
      <c r="L294" s="4"/>
    </row>
    <row r="295" spans="3:14" x14ac:dyDescent="0.25">
      <c r="C295" s="1"/>
      <c r="D295" s="1"/>
      <c r="E295" s="11"/>
      <c r="G295" s="48"/>
      <c r="H295" s="8"/>
      <c r="I295" s="8"/>
      <c r="J295" s="6"/>
      <c r="L295" s="4"/>
    </row>
    <row r="296" spans="3:14" x14ac:dyDescent="0.25">
      <c r="C296" s="1"/>
      <c r="D296" s="1"/>
      <c r="E296" s="11"/>
      <c r="G296" s="48"/>
      <c r="H296" s="8"/>
      <c r="I296" s="8"/>
      <c r="J296" s="6"/>
      <c r="L296" s="4"/>
      <c r="N296" s="43"/>
    </row>
    <row r="297" spans="3:14" x14ac:dyDescent="0.25">
      <c r="C297" s="1"/>
      <c r="D297" s="1"/>
      <c r="E297" s="11"/>
      <c r="G297" s="56"/>
      <c r="H297" s="8"/>
      <c r="I297" s="8"/>
      <c r="J297" s="6"/>
      <c r="L297" s="4"/>
    </row>
    <row r="298" spans="3:14" x14ac:dyDescent="0.25">
      <c r="C298" s="1"/>
      <c r="D298" s="1"/>
      <c r="E298" s="11"/>
      <c r="G298" s="48"/>
      <c r="H298" s="8"/>
      <c r="I298" s="8"/>
      <c r="J298" s="6"/>
      <c r="L298" s="4"/>
    </row>
    <row r="299" spans="3:14" x14ac:dyDescent="0.25">
      <c r="C299" s="1"/>
      <c r="D299" s="1"/>
      <c r="E299" s="11"/>
      <c r="G299" s="48"/>
      <c r="H299" s="44"/>
      <c r="I299" s="70"/>
      <c r="J299" s="6"/>
      <c r="L299" s="4"/>
    </row>
    <row r="300" spans="3:14" x14ac:dyDescent="0.25">
      <c r="C300" s="1"/>
      <c r="D300" s="1"/>
      <c r="E300" s="11"/>
      <c r="G300" s="48"/>
      <c r="H300" s="6"/>
      <c r="I300" s="70"/>
      <c r="J300" s="6"/>
      <c r="L300" s="4"/>
      <c r="N300" s="43"/>
    </row>
    <row r="301" spans="3:14" x14ac:dyDescent="0.25">
      <c r="C301" s="1"/>
      <c r="D301" s="1"/>
      <c r="E301" s="11"/>
      <c r="G301" s="56"/>
      <c r="H301" s="8"/>
      <c r="I301" s="8"/>
      <c r="J301" s="6"/>
      <c r="L301" s="4"/>
      <c r="N301" s="43"/>
    </row>
    <row r="302" spans="3:14" x14ac:dyDescent="0.25">
      <c r="C302" s="1"/>
      <c r="D302" s="1"/>
      <c r="E302" s="11"/>
      <c r="G302" s="56"/>
      <c r="H302" s="8"/>
      <c r="I302" s="8"/>
      <c r="J302" s="6"/>
      <c r="K302" s="41"/>
      <c r="L302" s="4"/>
    </row>
    <row r="303" spans="3:14" x14ac:dyDescent="0.25">
      <c r="C303" s="1"/>
      <c r="D303" s="1"/>
      <c r="E303" s="11"/>
      <c r="G303" s="56"/>
      <c r="H303" s="8"/>
      <c r="I303" s="8"/>
      <c r="J303" s="6"/>
      <c r="K303" s="41"/>
      <c r="L303" s="4"/>
    </row>
    <row r="304" spans="3:14" x14ac:dyDescent="0.25">
      <c r="C304" s="1"/>
      <c r="D304" s="1"/>
      <c r="E304" s="11"/>
      <c r="G304" s="56"/>
      <c r="H304" s="8"/>
      <c r="I304" s="8"/>
      <c r="J304" s="6"/>
      <c r="K304" s="41"/>
      <c r="L304" s="4"/>
    </row>
    <row r="305" spans="1:15" x14ac:dyDescent="0.25">
      <c r="C305" s="1"/>
      <c r="D305" s="1"/>
      <c r="E305" s="11"/>
      <c r="G305" s="48"/>
      <c r="H305" s="8"/>
      <c r="I305" s="8"/>
      <c r="J305" s="6"/>
      <c r="K305" s="41"/>
      <c r="L305" s="4"/>
    </row>
    <row r="306" spans="1:15" x14ac:dyDescent="0.25">
      <c r="C306" s="1"/>
      <c r="D306" s="1"/>
      <c r="E306" s="11"/>
      <c r="G306" s="56"/>
      <c r="H306" s="8"/>
      <c r="I306" s="8"/>
      <c r="J306" s="6"/>
      <c r="L306" s="4"/>
    </row>
    <row r="307" spans="1:15" x14ac:dyDescent="0.25">
      <c r="C307" s="1"/>
      <c r="D307" s="1"/>
      <c r="E307" s="11"/>
      <c r="G307" s="48"/>
      <c r="H307" s="8"/>
      <c r="I307" s="8"/>
      <c r="J307" s="6"/>
      <c r="L307" s="4"/>
    </row>
    <row r="308" spans="1:15" x14ac:dyDescent="0.25">
      <c r="C308" s="1"/>
      <c r="D308" s="1"/>
      <c r="E308" s="11"/>
      <c r="G308" s="48"/>
      <c r="H308" s="8"/>
      <c r="I308" s="8"/>
      <c r="J308" s="6"/>
      <c r="L308" s="4"/>
    </row>
    <row r="309" spans="1:15" x14ac:dyDescent="0.25">
      <c r="C309" s="1"/>
      <c r="D309" s="1"/>
      <c r="E309" s="11"/>
      <c r="G309" s="48"/>
      <c r="H309" s="8"/>
      <c r="I309" s="8"/>
      <c r="J309" s="6"/>
      <c r="L309" s="4"/>
    </row>
    <row r="310" spans="1:15" x14ac:dyDescent="0.25">
      <c r="C310" s="1"/>
      <c r="D310" s="1"/>
      <c r="E310" s="11"/>
      <c r="G310" s="48"/>
      <c r="H310" s="8"/>
      <c r="I310" s="8"/>
      <c r="J310" s="6"/>
      <c r="L310" s="4"/>
    </row>
    <row r="311" spans="1:15" x14ac:dyDescent="0.25">
      <c r="C311" s="1"/>
      <c r="D311" s="1"/>
      <c r="E311" s="11"/>
      <c r="G311" s="48"/>
      <c r="H311" s="8"/>
      <c r="I311" s="8"/>
      <c r="J311" s="6"/>
      <c r="L311" s="4"/>
    </row>
    <row r="312" spans="1:15" x14ac:dyDescent="0.25">
      <c r="C312" s="1"/>
      <c r="D312" s="1"/>
      <c r="E312" s="11"/>
      <c r="G312" s="48"/>
      <c r="H312" s="8"/>
      <c r="I312" s="8"/>
      <c r="J312" s="6"/>
      <c r="L312" s="4"/>
    </row>
    <row r="313" spans="1:15" x14ac:dyDescent="0.25">
      <c r="C313" s="1"/>
      <c r="D313" s="1"/>
      <c r="E313" s="11"/>
      <c r="G313" s="56"/>
      <c r="H313" s="8"/>
      <c r="I313" s="8"/>
      <c r="J313" s="6"/>
      <c r="L313" s="4"/>
    </row>
    <row r="314" spans="1:15" x14ac:dyDescent="0.25">
      <c r="C314" s="1"/>
      <c r="D314" s="1"/>
      <c r="E314" s="11"/>
      <c r="G314" s="48"/>
      <c r="H314" s="8"/>
      <c r="I314" s="8"/>
      <c r="J314" s="6"/>
      <c r="L314" s="4"/>
    </row>
    <row r="315" spans="1:15" x14ac:dyDescent="0.25">
      <c r="C315" s="1"/>
      <c r="D315" s="1"/>
      <c r="E315" s="11"/>
      <c r="G315" s="48"/>
      <c r="H315" s="8"/>
      <c r="I315" s="8"/>
      <c r="J315" s="6"/>
      <c r="L315" s="4"/>
      <c r="N315" s="43"/>
    </row>
    <row r="316" spans="1:15" x14ac:dyDescent="0.25">
      <c r="C316" s="1"/>
      <c r="D316" s="1"/>
      <c r="E316" s="11"/>
      <c r="G316" s="56"/>
      <c r="H316" s="8"/>
      <c r="I316" s="8"/>
      <c r="J316" s="6"/>
      <c r="L316" s="4"/>
    </row>
    <row r="317" spans="1:15" x14ac:dyDescent="0.25">
      <c r="C317" s="1"/>
      <c r="D317" s="1"/>
      <c r="E317" s="11"/>
      <c r="G317" s="56"/>
      <c r="H317" s="8"/>
      <c r="I317" s="8"/>
      <c r="J317" s="6"/>
      <c r="L317" s="4"/>
    </row>
    <row r="318" spans="1:15" x14ac:dyDescent="0.25">
      <c r="C318" s="1"/>
      <c r="D318" s="1"/>
      <c r="E318" s="11"/>
      <c r="G318" s="66"/>
      <c r="H318" s="8"/>
      <c r="I318" s="8"/>
      <c r="J318" s="6"/>
      <c r="L318" s="4"/>
      <c r="O318" s="3">
        <v>316</v>
      </c>
    </row>
    <row r="319" spans="1:15" x14ac:dyDescent="0.25">
      <c r="A319" s="3">
        <v>4</v>
      </c>
      <c r="B319" s="3" t="s">
        <v>1436</v>
      </c>
      <c r="C319" s="1" t="s">
        <v>1436</v>
      </c>
      <c r="D319" s="1" t="s">
        <v>444</v>
      </c>
      <c r="E319" s="3" t="s">
        <v>144</v>
      </c>
      <c r="F319" s="3" t="s">
        <v>122</v>
      </c>
      <c r="G319" s="56" t="s">
        <v>829</v>
      </c>
      <c r="H319" s="8"/>
      <c r="I319" s="8"/>
      <c r="J319" s="6" t="s">
        <v>110</v>
      </c>
      <c r="K319" s="38">
        <v>1151000</v>
      </c>
      <c r="L319" s="4" t="s">
        <v>29</v>
      </c>
      <c r="M319" s="11">
        <f>_xlfn.NUMBERVALUE(LEFT(Table613[[#This Row],[Fiscal Year]], 4))</f>
        <v>2015</v>
      </c>
      <c r="N319" s="42">
        <f t="shared" ref="N319:N331" si="9">K319*(1+VLOOKUP(M319,$AF$8:$AH$31,3,0))</f>
        <v>1222056.0379746836</v>
      </c>
      <c r="O319" s="3">
        <v>317</v>
      </c>
    </row>
    <row r="320" spans="1:15" x14ac:dyDescent="0.25">
      <c r="A320" s="3">
        <v>4</v>
      </c>
      <c r="B320" s="3" t="s">
        <v>1436</v>
      </c>
      <c r="C320" s="1" t="s">
        <v>1436</v>
      </c>
      <c r="D320" s="1" t="s">
        <v>444</v>
      </c>
      <c r="E320" s="3" t="s">
        <v>144</v>
      </c>
      <c r="F320" s="3" t="s">
        <v>122</v>
      </c>
      <c r="G320" s="66" t="s">
        <v>844</v>
      </c>
      <c r="H320" s="8"/>
      <c r="I320" s="8"/>
      <c r="J320" s="6" t="s">
        <v>453</v>
      </c>
      <c r="K320" s="38">
        <v>150000</v>
      </c>
      <c r="L320" s="4" t="s">
        <v>29</v>
      </c>
      <c r="M320" s="11">
        <f>_xlfn.NUMBERVALUE(LEFT(Table613[[#This Row],[Fiscal Year]], 4))</f>
        <v>2015</v>
      </c>
      <c r="N320" s="42">
        <f t="shared" si="9"/>
        <v>159260.12658227846</v>
      </c>
      <c r="O320" s="3">
        <v>318</v>
      </c>
    </row>
    <row r="321" spans="1:15" x14ac:dyDescent="0.25">
      <c r="A321" s="3">
        <v>4</v>
      </c>
      <c r="B321" s="3" t="s">
        <v>1436</v>
      </c>
      <c r="C321" s="1" t="s">
        <v>1436</v>
      </c>
      <c r="D321" s="1" t="s">
        <v>444</v>
      </c>
      <c r="E321" s="3" t="s">
        <v>144</v>
      </c>
      <c r="F321" s="3" t="s">
        <v>122</v>
      </c>
      <c r="G321" s="66" t="s">
        <v>845</v>
      </c>
      <c r="H321" s="8"/>
      <c r="I321" s="8"/>
      <c r="J321" s="6" t="s">
        <v>109</v>
      </c>
      <c r="K321" s="38" t="s">
        <v>827</v>
      </c>
      <c r="L321" s="4" t="s">
        <v>29</v>
      </c>
      <c r="M321" s="11">
        <f>_xlfn.NUMBERVALUE(LEFT(Table613[[#This Row],[Fiscal Year]], 4))</f>
        <v>2015</v>
      </c>
      <c r="O321" s="3">
        <v>319</v>
      </c>
    </row>
    <row r="322" spans="1:15" x14ac:dyDescent="0.25">
      <c r="A322" s="3">
        <v>4</v>
      </c>
      <c r="B322" s="3" t="s">
        <v>1436</v>
      </c>
      <c r="C322" s="1" t="s">
        <v>1436</v>
      </c>
      <c r="D322" s="1" t="s">
        <v>444</v>
      </c>
      <c r="E322" s="3" t="s">
        <v>144</v>
      </c>
      <c r="F322" s="3" t="s">
        <v>122</v>
      </c>
      <c r="G322" s="66" t="s">
        <v>846</v>
      </c>
      <c r="H322" s="8"/>
      <c r="I322" s="8"/>
      <c r="J322" s="6" t="s">
        <v>111</v>
      </c>
      <c r="K322" s="38" t="s">
        <v>827</v>
      </c>
      <c r="L322" s="4" t="s">
        <v>29</v>
      </c>
      <c r="M322" s="11">
        <f>_xlfn.NUMBERVALUE(LEFT(Table613[[#This Row],[Fiscal Year]], 4))</f>
        <v>2015</v>
      </c>
      <c r="O322" s="3">
        <v>320</v>
      </c>
    </row>
    <row r="323" spans="1:15" x14ac:dyDescent="0.25">
      <c r="A323" s="3">
        <v>4</v>
      </c>
      <c r="B323" s="3" t="s">
        <v>1436</v>
      </c>
      <c r="C323" s="1" t="s">
        <v>1436</v>
      </c>
      <c r="D323" s="1" t="s">
        <v>444</v>
      </c>
      <c r="E323" s="3" t="s">
        <v>144</v>
      </c>
      <c r="F323" s="3" t="s">
        <v>122</v>
      </c>
      <c r="G323" s="66" t="s">
        <v>847</v>
      </c>
      <c r="H323" s="8"/>
      <c r="I323" s="8"/>
      <c r="J323" s="6" t="s">
        <v>111</v>
      </c>
      <c r="K323" s="38" t="s">
        <v>827</v>
      </c>
      <c r="L323" s="4" t="s">
        <v>29</v>
      </c>
      <c r="M323" s="11">
        <f>_xlfn.NUMBERVALUE(LEFT(Table613[[#This Row],[Fiscal Year]], 4))</f>
        <v>2015</v>
      </c>
      <c r="O323" s="3">
        <v>321</v>
      </c>
    </row>
    <row r="324" spans="1:15" x14ac:dyDescent="0.25">
      <c r="A324" s="3">
        <v>4</v>
      </c>
      <c r="B324" s="3" t="s">
        <v>1436</v>
      </c>
      <c r="C324" s="1" t="s">
        <v>1436</v>
      </c>
      <c r="D324" s="1" t="s">
        <v>444</v>
      </c>
      <c r="E324" s="3" t="s">
        <v>144</v>
      </c>
      <c r="F324" s="3" t="s">
        <v>122</v>
      </c>
      <c r="G324" s="48" t="s">
        <v>848</v>
      </c>
      <c r="H324" s="8"/>
      <c r="I324" s="8"/>
      <c r="J324" s="6" t="s">
        <v>108</v>
      </c>
      <c r="K324" s="38">
        <v>10059000</v>
      </c>
      <c r="L324" s="4" t="s">
        <v>29</v>
      </c>
      <c r="M324" s="11">
        <f>_xlfn.NUMBERVALUE(LEFT(Table613[[#This Row],[Fiscal Year]], 4))</f>
        <v>2015</v>
      </c>
      <c r="N324" s="42">
        <f t="shared" si="9"/>
        <v>10679984.088607594</v>
      </c>
      <c r="O324" s="3">
        <v>322</v>
      </c>
    </row>
    <row r="325" spans="1:15" x14ac:dyDescent="0.25">
      <c r="A325" s="3">
        <v>4</v>
      </c>
      <c r="B325" s="3" t="s">
        <v>1436</v>
      </c>
      <c r="C325" s="1" t="s">
        <v>1436</v>
      </c>
      <c r="D325" s="1" t="s">
        <v>444</v>
      </c>
      <c r="E325" s="3" t="s">
        <v>144</v>
      </c>
      <c r="F325" s="3" t="s">
        <v>122</v>
      </c>
      <c r="G325" s="66" t="s">
        <v>849</v>
      </c>
      <c r="H325" s="8"/>
      <c r="I325" s="8"/>
      <c r="J325" s="6" t="s">
        <v>106</v>
      </c>
      <c r="K325" s="38">
        <v>2845000</v>
      </c>
      <c r="L325" s="4" t="s">
        <v>29</v>
      </c>
      <c r="M325" s="11">
        <f>_xlfn.NUMBERVALUE(LEFT(Table613[[#This Row],[Fiscal Year]], 4))</f>
        <v>2015</v>
      </c>
      <c r="N325" s="42">
        <f t="shared" si="9"/>
        <v>3020633.734177215</v>
      </c>
      <c r="O325" s="3">
        <v>323</v>
      </c>
    </row>
    <row r="326" spans="1:15" x14ac:dyDescent="0.25">
      <c r="A326" s="3">
        <v>4</v>
      </c>
      <c r="B326" s="3" t="s">
        <v>1436</v>
      </c>
      <c r="C326" s="1" t="s">
        <v>1436</v>
      </c>
      <c r="D326" s="1" t="s">
        <v>444</v>
      </c>
      <c r="E326" s="3" t="s">
        <v>144</v>
      </c>
      <c r="F326" s="3" t="s">
        <v>122</v>
      </c>
      <c r="G326" s="66" t="s">
        <v>850</v>
      </c>
      <c r="H326" s="8" t="s">
        <v>621</v>
      </c>
      <c r="I326" s="70" t="s">
        <v>622</v>
      </c>
      <c r="J326" s="6" t="s">
        <v>455</v>
      </c>
      <c r="K326" s="38" t="s">
        <v>827</v>
      </c>
      <c r="L326" s="4" t="s">
        <v>29</v>
      </c>
      <c r="M326" s="11">
        <f>_xlfn.NUMBERVALUE(LEFT(Table613[[#This Row],[Fiscal Year]], 4))</f>
        <v>2015</v>
      </c>
      <c r="O326" s="3">
        <v>324</v>
      </c>
    </row>
    <row r="327" spans="1:15" x14ac:dyDescent="0.25">
      <c r="A327" s="3">
        <v>4</v>
      </c>
      <c r="B327" s="3" t="s">
        <v>1436</v>
      </c>
      <c r="C327" s="1" t="s">
        <v>1436</v>
      </c>
      <c r="D327" s="1" t="s">
        <v>444</v>
      </c>
      <c r="E327" s="3" t="s">
        <v>144</v>
      </c>
      <c r="F327" s="3" t="s">
        <v>122</v>
      </c>
      <c r="G327" s="66" t="s">
        <v>851</v>
      </c>
      <c r="H327" s="8"/>
      <c r="I327" s="8"/>
      <c r="J327" s="6" t="s">
        <v>76</v>
      </c>
      <c r="K327" s="38" t="s">
        <v>827</v>
      </c>
      <c r="L327" s="4" t="s">
        <v>29</v>
      </c>
      <c r="M327" s="11">
        <f>_xlfn.NUMBERVALUE(LEFT(Table613[[#This Row],[Fiscal Year]], 4))</f>
        <v>2015</v>
      </c>
      <c r="O327" s="3">
        <v>325</v>
      </c>
    </row>
    <row r="328" spans="1:15" x14ac:dyDescent="0.25">
      <c r="A328" s="3">
        <v>4</v>
      </c>
      <c r="B328" s="3" t="s">
        <v>1436</v>
      </c>
      <c r="C328" s="1" t="s">
        <v>1436</v>
      </c>
      <c r="D328" s="1" t="s">
        <v>444</v>
      </c>
      <c r="E328" s="3" t="s">
        <v>144</v>
      </c>
      <c r="F328" s="3" t="s">
        <v>122</v>
      </c>
      <c r="G328" s="66" t="s">
        <v>852</v>
      </c>
      <c r="H328" s="8"/>
      <c r="I328" s="8"/>
      <c r="J328" s="6" t="s">
        <v>76</v>
      </c>
      <c r="K328" s="38">
        <v>4144000</v>
      </c>
      <c r="L328" s="4" t="s">
        <v>29</v>
      </c>
      <c r="M328" s="11">
        <f>_xlfn.NUMBERVALUE(LEFT(Table613[[#This Row],[Fiscal Year]], 4))</f>
        <v>2015</v>
      </c>
      <c r="N328" s="42">
        <f t="shared" si="9"/>
        <v>4399826.4303797465</v>
      </c>
      <c r="O328" s="3">
        <v>326</v>
      </c>
    </row>
    <row r="329" spans="1:15" x14ac:dyDescent="0.25">
      <c r="A329" s="3">
        <v>4</v>
      </c>
      <c r="B329" s="3" t="s">
        <v>1436</v>
      </c>
      <c r="C329" s="1" t="s">
        <v>1436</v>
      </c>
      <c r="D329" s="1" t="s">
        <v>444</v>
      </c>
      <c r="E329" s="3" t="s">
        <v>144</v>
      </c>
      <c r="F329" s="3" t="s">
        <v>122</v>
      </c>
      <c r="G329" s="66" t="s">
        <v>853</v>
      </c>
      <c r="H329" s="8"/>
      <c r="I329" s="8"/>
      <c r="J329" s="6" t="s">
        <v>76</v>
      </c>
      <c r="K329" s="38" t="s">
        <v>827</v>
      </c>
      <c r="L329" s="4" t="s">
        <v>29</v>
      </c>
      <c r="M329" s="11">
        <f>_xlfn.NUMBERVALUE(LEFT(Table613[[#This Row],[Fiscal Year]], 4))</f>
        <v>2015</v>
      </c>
      <c r="O329" s="3">
        <v>327</v>
      </c>
    </row>
    <row r="330" spans="1:15" x14ac:dyDescent="0.25">
      <c r="A330" s="3">
        <v>4</v>
      </c>
      <c r="B330" s="3" t="s">
        <v>1436</v>
      </c>
      <c r="C330" s="1" t="s">
        <v>1436</v>
      </c>
      <c r="D330" s="1" t="s">
        <v>444</v>
      </c>
      <c r="E330" s="3" t="s">
        <v>144</v>
      </c>
      <c r="F330" s="3" t="s">
        <v>122</v>
      </c>
      <c r="G330" s="63" t="s">
        <v>854</v>
      </c>
      <c r="H330" s="8"/>
      <c r="I330" s="8"/>
      <c r="J330" s="6" t="s">
        <v>47</v>
      </c>
      <c r="K330" s="38">
        <v>2816000</v>
      </c>
      <c r="L330" s="4" t="s">
        <v>29</v>
      </c>
      <c r="M330" s="11">
        <f>_xlfn.NUMBERVALUE(LEFT(Table613[[#This Row],[Fiscal Year]], 4))</f>
        <v>2015</v>
      </c>
      <c r="N330" s="42">
        <f t="shared" si="9"/>
        <v>2989843.4430379746</v>
      </c>
      <c r="O330" s="3">
        <v>328</v>
      </c>
    </row>
    <row r="331" spans="1:15" x14ac:dyDescent="0.25">
      <c r="A331" s="3">
        <v>4</v>
      </c>
      <c r="B331" s="3" t="s">
        <v>1436</v>
      </c>
      <c r="C331" s="1" t="s">
        <v>1436</v>
      </c>
      <c r="D331" s="1" t="s">
        <v>444</v>
      </c>
      <c r="E331" s="3" t="s">
        <v>144</v>
      </c>
      <c r="F331" s="3" t="s">
        <v>122</v>
      </c>
      <c r="G331" s="63" t="s">
        <v>855</v>
      </c>
      <c r="H331" s="8"/>
      <c r="I331" s="8"/>
      <c r="J331" s="6" t="s">
        <v>455</v>
      </c>
      <c r="K331" s="38">
        <v>560000</v>
      </c>
      <c r="L331" s="4" t="s">
        <v>29</v>
      </c>
      <c r="M331" s="11">
        <f>_xlfn.NUMBERVALUE(LEFT(Table613[[#This Row],[Fiscal Year]], 4))</f>
        <v>2015</v>
      </c>
      <c r="N331" s="42">
        <f t="shared" si="9"/>
        <v>594571.13924050634</v>
      </c>
      <c r="O331" s="3">
        <v>329</v>
      </c>
    </row>
    <row r="332" spans="1:15" x14ac:dyDescent="0.25">
      <c r="C332" s="1"/>
      <c r="D332" s="1"/>
      <c r="E332" s="11"/>
      <c r="G332" s="66"/>
      <c r="H332" s="8"/>
      <c r="I332" s="8"/>
      <c r="J332" s="6"/>
      <c r="L332" s="4"/>
      <c r="O332" s="3">
        <v>330</v>
      </c>
    </row>
    <row r="333" spans="1:15" x14ac:dyDescent="0.25">
      <c r="A333" s="3">
        <v>4</v>
      </c>
      <c r="B333" s="3" t="s">
        <v>1437</v>
      </c>
      <c r="C333" s="1" t="s">
        <v>1437</v>
      </c>
      <c r="D333" s="1" t="s">
        <v>444</v>
      </c>
      <c r="E333" s="11" t="s">
        <v>144</v>
      </c>
      <c r="F333" s="3" t="s">
        <v>8</v>
      </c>
      <c r="G333" s="48" t="s">
        <v>32</v>
      </c>
      <c r="H333" s="8"/>
      <c r="I333" s="8"/>
      <c r="J333" s="6" t="s">
        <v>110</v>
      </c>
      <c r="K333" s="38">
        <v>11052911.720000001</v>
      </c>
      <c r="L333" s="4" t="s">
        <v>29</v>
      </c>
      <c r="M333" s="11">
        <f>_xlfn.NUMBERVALUE(LEFT(Table613[[#This Row],[Fiscal Year]], 4))</f>
        <v>2015</v>
      </c>
      <c r="N333" s="42">
        <f t="shared" ref="N333:N381" si="10">K333*(1+VLOOKUP(M333,$AF$8:$AH$31,3,0))</f>
        <v>11735254.130866328</v>
      </c>
      <c r="O333" s="3">
        <v>331</v>
      </c>
    </row>
    <row r="334" spans="1:15" x14ac:dyDescent="0.25">
      <c r="A334" s="3">
        <v>4</v>
      </c>
      <c r="B334" s="3" t="s">
        <v>1437</v>
      </c>
      <c r="C334" s="1" t="s">
        <v>1437</v>
      </c>
      <c r="D334" s="1" t="s">
        <v>444</v>
      </c>
      <c r="E334" s="11" t="s">
        <v>144</v>
      </c>
      <c r="F334" s="3" t="s">
        <v>8</v>
      </c>
      <c r="G334" s="66" t="s">
        <v>58</v>
      </c>
      <c r="H334" s="8"/>
      <c r="I334" s="8"/>
      <c r="J334" s="6" t="s">
        <v>453</v>
      </c>
      <c r="K334" s="38">
        <v>1339273.0900000001</v>
      </c>
      <c r="L334" s="4" t="s">
        <v>29</v>
      </c>
      <c r="M334" s="11">
        <f>_xlfn.NUMBERVALUE(LEFT(Table613[[#This Row],[Fiscal Year]], 4))</f>
        <v>2015</v>
      </c>
      <c r="N334" s="42">
        <f t="shared" si="10"/>
        <v>1421952.012277595</v>
      </c>
      <c r="O334" s="3">
        <v>332</v>
      </c>
    </row>
    <row r="335" spans="1:15" x14ac:dyDescent="0.25">
      <c r="A335" s="3">
        <v>4</v>
      </c>
      <c r="B335" s="3" t="s">
        <v>1437</v>
      </c>
      <c r="C335" s="1" t="s">
        <v>1437</v>
      </c>
      <c r="D335" s="1" t="s">
        <v>444</v>
      </c>
      <c r="E335" s="11" t="s">
        <v>144</v>
      </c>
      <c r="F335" s="3" t="s">
        <v>8</v>
      </c>
      <c r="G335" s="66" t="s">
        <v>208</v>
      </c>
      <c r="H335" s="8"/>
      <c r="I335" s="8"/>
      <c r="J335" s="6" t="s">
        <v>109</v>
      </c>
      <c r="K335" s="38">
        <v>3333767.19</v>
      </c>
      <c r="L335" s="4" t="s">
        <v>29</v>
      </c>
      <c r="M335" s="11">
        <f>_xlfn.NUMBERVALUE(LEFT(Table613[[#This Row],[Fiscal Year]], 4))</f>
        <v>2015</v>
      </c>
      <c r="N335" s="42">
        <f t="shared" si="10"/>
        <v>3539574.5645016455</v>
      </c>
      <c r="O335" s="3">
        <v>333</v>
      </c>
    </row>
    <row r="336" spans="1:15" x14ac:dyDescent="0.25">
      <c r="A336" s="3">
        <v>4</v>
      </c>
      <c r="B336" s="3" t="s">
        <v>1437</v>
      </c>
      <c r="C336" s="1" t="s">
        <v>1437</v>
      </c>
      <c r="D336" s="1" t="s">
        <v>444</v>
      </c>
      <c r="E336" s="11" t="s">
        <v>144</v>
      </c>
      <c r="F336" s="3" t="s">
        <v>8</v>
      </c>
      <c r="G336" s="66" t="s">
        <v>59</v>
      </c>
      <c r="H336" s="8"/>
      <c r="I336" s="8"/>
      <c r="J336" s="6" t="s">
        <v>111</v>
      </c>
      <c r="K336" s="38">
        <v>1705731.55</v>
      </c>
      <c r="L336" s="4" t="s">
        <v>29</v>
      </c>
      <c r="M336" s="11">
        <f>_xlfn.NUMBERVALUE(LEFT(Table613[[#This Row],[Fiscal Year]], 4))</f>
        <v>2015</v>
      </c>
      <c r="N336" s="42">
        <f t="shared" si="10"/>
        <v>1811033.4837892405</v>
      </c>
      <c r="O336" s="3">
        <v>334</v>
      </c>
    </row>
    <row r="337" spans="1:15" x14ac:dyDescent="0.25">
      <c r="A337" s="3">
        <v>4</v>
      </c>
      <c r="B337" s="3" t="s">
        <v>1437</v>
      </c>
      <c r="C337" s="1" t="s">
        <v>1437</v>
      </c>
      <c r="D337" s="1" t="s">
        <v>444</v>
      </c>
      <c r="E337" s="11" t="s">
        <v>144</v>
      </c>
      <c r="F337" s="3" t="s">
        <v>8</v>
      </c>
      <c r="G337" s="66" t="s">
        <v>60</v>
      </c>
      <c r="H337" s="8"/>
      <c r="I337" s="8"/>
      <c r="J337" s="6" t="s">
        <v>111</v>
      </c>
      <c r="K337" s="38">
        <v>597887.38</v>
      </c>
      <c r="L337" s="4" t="s">
        <v>29</v>
      </c>
      <c r="M337" s="11">
        <f>_xlfn.NUMBERVALUE(LEFT(Table613[[#This Row],[Fiscal Year]], 4))</f>
        <v>2015</v>
      </c>
      <c r="N337" s="42">
        <f t="shared" si="10"/>
        <v>634797.46547164558</v>
      </c>
      <c r="O337" s="3">
        <v>335</v>
      </c>
    </row>
    <row r="338" spans="1:15" x14ac:dyDescent="0.25">
      <c r="A338" s="3">
        <v>4</v>
      </c>
      <c r="B338" s="3" t="s">
        <v>1437</v>
      </c>
      <c r="C338" s="1" t="s">
        <v>1437</v>
      </c>
      <c r="D338" s="1" t="s">
        <v>444</v>
      </c>
      <c r="E338" s="11" t="s">
        <v>144</v>
      </c>
      <c r="F338" s="3" t="s">
        <v>8</v>
      </c>
      <c r="G338" s="48" t="s">
        <v>61</v>
      </c>
      <c r="H338" s="8"/>
      <c r="I338" s="8"/>
      <c r="J338" s="6" t="s">
        <v>108</v>
      </c>
      <c r="K338" s="38">
        <v>10015091.380000001</v>
      </c>
      <c r="L338" s="4" t="s">
        <v>29</v>
      </c>
      <c r="M338" s="11">
        <f>_xlfn.NUMBERVALUE(LEFT(Table613[[#This Row],[Fiscal Year]], 4))</f>
        <v>2015</v>
      </c>
      <c r="N338" s="42">
        <f t="shared" si="10"/>
        <v>10633364.806079241</v>
      </c>
      <c r="O338" s="3">
        <v>336</v>
      </c>
    </row>
    <row r="339" spans="1:15" x14ac:dyDescent="0.25">
      <c r="A339" s="3">
        <v>4</v>
      </c>
      <c r="B339" s="3" t="s">
        <v>1437</v>
      </c>
      <c r="C339" s="1" t="s">
        <v>1437</v>
      </c>
      <c r="D339" s="1" t="s">
        <v>444</v>
      </c>
      <c r="E339" s="11" t="s">
        <v>144</v>
      </c>
      <c r="F339" s="3" t="s">
        <v>8</v>
      </c>
      <c r="G339" s="66" t="s">
        <v>62</v>
      </c>
      <c r="H339" s="8"/>
      <c r="I339" s="8"/>
      <c r="J339" s="6" t="s">
        <v>106</v>
      </c>
      <c r="K339" s="38">
        <v>1282218.1499999999</v>
      </c>
      <c r="L339" s="4" t="s">
        <v>29</v>
      </c>
      <c r="M339" s="11">
        <f>_xlfn.NUMBERVALUE(LEFT(Table613[[#This Row],[Fiscal Year]], 4))</f>
        <v>2015</v>
      </c>
      <c r="N339" s="42">
        <f t="shared" si="10"/>
        <v>1361374.8325006326</v>
      </c>
      <c r="O339" s="3">
        <v>337</v>
      </c>
    </row>
    <row r="340" spans="1:15" x14ac:dyDescent="0.25">
      <c r="A340" s="3">
        <v>4</v>
      </c>
      <c r="B340" s="3" t="s">
        <v>1437</v>
      </c>
      <c r="C340" s="1" t="s">
        <v>1437</v>
      </c>
      <c r="D340" s="1" t="s">
        <v>444</v>
      </c>
      <c r="E340" s="11" t="s">
        <v>144</v>
      </c>
      <c r="F340" s="3" t="s">
        <v>8</v>
      </c>
      <c r="G340" s="66" t="s">
        <v>63</v>
      </c>
      <c r="H340" s="8"/>
      <c r="I340" s="8"/>
      <c r="J340" s="6" t="s">
        <v>455</v>
      </c>
      <c r="K340" s="38">
        <v>9447772</v>
      </c>
      <c r="L340" s="4" t="s">
        <v>29</v>
      </c>
      <c r="M340" s="11">
        <f>_xlfn.NUMBERVALUE(LEFT(Table613[[#This Row],[Fiscal Year]], 4))</f>
        <v>2015</v>
      </c>
      <c r="N340" s="42">
        <f t="shared" si="10"/>
        <v>10031022.430936709</v>
      </c>
      <c r="O340" s="3">
        <v>338</v>
      </c>
    </row>
    <row r="341" spans="1:15" x14ac:dyDescent="0.25">
      <c r="A341" s="3">
        <v>4</v>
      </c>
      <c r="B341" s="3" t="s">
        <v>1437</v>
      </c>
      <c r="C341" s="1" t="s">
        <v>1437</v>
      </c>
      <c r="D341" s="1" t="s">
        <v>444</v>
      </c>
      <c r="E341" s="11" t="s">
        <v>144</v>
      </c>
      <c r="F341" s="3" t="s">
        <v>8</v>
      </c>
      <c r="G341" s="66" t="s">
        <v>64</v>
      </c>
      <c r="H341" s="8"/>
      <c r="I341" s="8"/>
      <c r="J341" s="6" t="s">
        <v>76</v>
      </c>
      <c r="K341" s="38">
        <v>690360.03</v>
      </c>
      <c r="L341" s="4" t="s">
        <v>29</v>
      </c>
      <c r="M341" s="11">
        <f>_xlfn.NUMBERVALUE(LEFT(Table613[[#This Row],[Fiscal Year]], 4))</f>
        <v>2015</v>
      </c>
      <c r="N341" s="42">
        <f t="shared" si="10"/>
        <v>732978.83843430376</v>
      </c>
      <c r="O341" s="3">
        <v>339</v>
      </c>
    </row>
    <row r="342" spans="1:15" x14ac:dyDescent="0.25">
      <c r="A342" s="3">
        <v>4</v>
      </c>
      <c r="B342" s="3" t="s">
        <v>1437</v>
      </c>
      <c r="C342" s="1" t="s">
        <v>1437</v>
      </c>
      <c r="D342" s="1" t="s">
        <v>444</v>
      </c>
      <c r="E342" s="11" t="s">
        <v>144</v>
      </c>
      <c r="F342" s="3" t="s">
        <v>8</v>
      </c>
      <c r="G342" s="66" t="s">
        <v>65</v>
      </c>
      <c r="H342" s="8"/>
      <c r="I342" s="8"/>
      <c r="J342" s="6" t="s">
        <v>76</v>
      </c>
      <c r="K342" s="38">
        <v>41556783.710000001</v>
      </c>
      <c r="L342" s="4" t="s">
        <v>29</v>
      </c>
      <c r="M342" s="11">
        <f>_xlfn.NUMBERVALUE(LEFT(Table613[[#This Row],[Fiscal Year]], 4))</f>
        <v>2015</v>
      </c>
      <c r="N342" s="42">
        <f t="shared" si="10"/>
        <v>44122257.560046457</v>
      </c>
      <c r="O342" s="3">
        <v>340</v>
      </c>
    </row>
    <row r="343" spans="1:15" x14ac:dyDescent="0.25">
      <c r="A343" s="3">
        <v>4</v>
      </c>
      <c r="B343" s="3" t="s">
        <v>1437</v>
      </c>
      <c r="C343" s="1" t="s">
        <v>1437</v>
      </c>
      <c r="D343" s="1" t="s">
        <v>444</v>
      </c>
      <c r="E343" s="11" t="s">
        <v>144</v>
      </c>
      <c r="F343" s="3" t="s">
        <v>8</v>
      </c>
      <c r="G343" s="66" t="s">
        <v>66</v>
      </c>
      <c r="H343" s="8"/>
      <c r="I343" s="8"/>
      <c r="J343" s="6" t="s">
        <v>76</v>
      </c>
      <c r="K343" s="38" t="s">
        <v>827</v>
      </c>
      <c r="L343" s="4" t="s">
        <v>29</v>
      </c>
      <c r="M343" s="11">
        <f>_xlfn.NUMBERVALUE(LEFT(Table613[[#This Row],[Fiscal Year]], 4))</f>
        <v>2015</v>
      </c>
      <c r="O343" s="3">
        <v>341</v>
      </c>
    </row>
    <row r="344" spans="1:15" x14ac:dyDescent="0.25">
      <c r="A344" s="3">
        <v>4</v>
      </c>
      <c r="B344" s="3" t="s">
        <v>1437</v>
      </c>
      <c r="C344" s="1" t="s">
        <v>1437</v>
      </c>
      <c r="D344" s="1" t="s">
        <v>444</v>
      </c>
      <c r="E344" s="11" t="s">
        <v>144</v>
      </c>
      <c r="F344" s="3" t="s">
        <v>8</v>
      </c>
      <c r="G344" s="66" t="s">
        <v>33</v>
      </c>
      <c r="H344" s="8"/>
      <c r="I344" s="8"/>
      <c r="J344" s="6" t="s">
        <v>47</v>
      </c>
      <c r="K344" s="38">
        <v>2120255.39</v>
      </c>
      <c r="L344" s="4" t="s">
        <v>29</v>
      </c>
      <c r="M344" s="11">
        <f>_xlfn.NUMBERVALUE(LEFT(Table613[[#This Row],[Fiscal Year]], 4))</f>
        <v>2015</v>
      </c>
      <c r="N344" s="42">
        <f t="shared" si="10"/>
        <v>2251147.6119877216</v>
      </c>
      <c r="O344" s="3">
        <v>342</v>
      </c>
    </row>
    <row r="345" spans="1:15" x14ac:dyDescent="0.25">
      <c r="A345" s="3">
        <v>4</v>
      </c>
      <c r="B345" s="3" t="s">
        <v>1437</v>
      </c>
      <c r="C345" s="1" t="s">
        <v>1437</v>
      </c>
      <c r="D345" s="1" t="s">
        <v>444</v>
      </c>
      <c r="E345" s="11" t="s">
        <v>144</v>
      </c>
      <c r="F345" s="3" t="s">
        <v>8</v>
      </c>
      <c r="G345" s="48" t="s">
        <v>67</v>
      </c>
      <c r="H345" s="8"/>
      <c r="I345" s="8" t="s">
        <v>856</v>
      </c>
      <c r="J345" s="6" t="s">
        <v>455</v>
      </c>
      <c r="K345" s="38">
        <v>122500</v>
      </c>
      <c r="L345" s="4" t="s">
        <v>29</v>
      </c>
      <c r="M345" s="11">
        <f>_xlfn.NUMBERVALUE(LEFT(Table613[[#This Row],[Fiscal Year]], 4))</f>
        <v>2015</v>
      </c>
      <c r="N345" s="42">
        <f t="shared" si="10"/>
        <v>130062.43670886075</v>
      </c>
      <c r="O345" s="3">
        <v>343</v>
      </c>
    </row>
    <row r="346" spans="1:15" x14ac:dyDescent="0.25">
      <c r="C346" s="1"/>
      <c r="D346" s="1"/>
      <c r="E346" s="11"/>
      <c r="G346" s="66"/>
      <c r="H346" s="8"/>
      <c r="I346" s="8"/>
      <c r="J346" s="6"/>
      <c r="L346" s="4"/>
      <c r="O346" s="3">
        <v>344</v>
      </c>
    </row>
    <row r="347" spans="1:15" ht="15" customHeight="1" x14ac:dyDescent="0.25">
      <c r="A347" s="3">
        <v>4</v>
      </c>
      <c r="B347" s="3" t="s">
        <v>218</v>
      </c>
      <c r="C347" s="1" t="s">
        <v>12</v>
      </c>
      <c r="D347" s="1" t="s">
        <v>444</v>
      </c>
      <c r="E347" s="11" t="s">
        <v>144</v>
      </c>
      <c r="F347" s="3" t="s">
        <v>8</v>
      </c>
      <c r="G347" s="48" t="s">
        <v>32</v>
      </c>
      <c r="H347" s="8"/>
      <c r="I347" s="8"/>
      <c r="J347" s="6" t="s">
        <v>110</v>
      </c>
      <c r="K347" s="38">
        <v>69016.820000000007</v>
      </c>
      <c r="L347" s="4" t="s">
        <v>29</v>
      </c>
      <c r="M347" s="11">
        <f>_xlfn.NUMBERVALUE(LEFT(Table613[[#This Row],[Fiscal Year]], 4))</f>
        <v>2015</v>
      </c>
      <c r="N347" s="42">
        <f t="shared" si="10"/>
        <v>73277.516596708869</v>
      </c>
      <c r="O347" s="3">
        <v>345</v>
      </c>
    </row>
    <row r="348" spans="1:15" ht="15" customHeight="1" x14ac:dyDescent="0.25">
      <c r="A348" s="3">
        <v>4</v>
      </c>
      <c r="B348" s="3" t="s">
        <v>218</v>
      </c>
      <c r="C348" s="1" t="s">
        <v>12</v>
      </c>
      <c r="D348" s="1" t="s">
        <v>444</v>
      </c>
      <c r="E348" s="11" t="s">
        <v>144</v>
      </c>
      <c r="F348" s="3" t="s">
        <v>8</v>
      </c>
      <c r="G348" s="66" t="s">
        <v>58</v>
      </c>
      <c r="H348" s="8"/>
      <c r="I348" s="8"/>
      <c r="J348" s="6" t="s">
        <v>453</v>
      </c>
      <c r="K348" s="38">
        <v>16175.62</v>
      </c>
      <c r="L348" s="4" t="s">
        <v>29</v>
      </c>
      <c r="M348" s="11">
        <f>_xlfn.NUMBERVALUE(LEFT(Table613[[#This Row],[Fiscal Year]], 4))</f>
        <v>2015</v>
      </c>
      <c r="N348" s="42">
        <f t="shared" si="10"/>
        <v>17174.208591645569</v>
      </c>
      <c r="O348" s="3">
        <v>346</v>
      </c>
    </row>
    <row r="349" spans="1:15" ht="15" customHeight="1" x14ac:dyDescent="0.25">
      <c r="A349" s="3">
        <v>4</v>
      </c>
      <c r="B349" s="3" t="s">
        <v>218</v>
      </c>
      <c r="C349" s="1" t="s">
        <v>12</v>
      </c>
      <c r="D349" s="1" t="s">
        <v>444</v>
      </c>
      <c r="E349" s="11" t="s">
        <v>144</v>
      </c>
      <c r="F349" s="3" t="s">
        <v>8</v>
      </c>
      <c r="G349" s="66" t="s">
        <v>208</v>
      </c>
      <c r="H349" s="8"/>
      <c r="I349" s="8"/>
      <c r="J349" s="6" t="s">
        <v>109</v>
      </c>
      <c r="K349" s="38">
        <v>38685.25</v>
      </c>
      <c r="L349" s="4" t="s">
        <v>29</v>
      </c>
      <c r="M349" s="11">
        <f>_xlfn.NUMBERVALUE(LEFT(Table613[[#This Row],[Fiscal Year]], 4))</f>
        <v>2015</v>
      </c>
      <c r="N349" s="42">
        <f t="shared" si="10"/>
        <v>41073.452079113922</v>
      </c>
      <c r="O349" s="3">
        <v>347</v>
      </c>
    </row>
    <row r="350" spans="1:15" ht="15" customHeight="1" x14ac:dyDescent="0.25">
      <c r="A350" s="3">
        <v>4</v>
      </c>
      <c r="B350" s="3" t="s">
        <v>218</v>
      </c>
      <c r="C350" s="1" t="s">
        <v>12</v>
      </c>
      <c r="D350" s="1" t="s">
        <v>444</v>
      </c>
      <c r="E350" s="11" t="s">
        <v>144</v>
      </c>
      <c r="F350" s="3" t="s">
        <v>8</v>
      </c>
      <c r="G350" s="66" t="s">
        <v>59</v>
      </c>
      <c r="H350" s="8"/>
      <c r="I350" s="8"/>
      <c r="J350" s="6" t="s">
        <v>111</v>
      </c>
      <c r="K350" s="38">
        <v>47819.01</v>
      </c>
      <c r="L350" s="4" t="s">
        <v>29</v>
      </c>
      <c r="M350" s="11">
        <f>_xlfn.NUMBERVALUE(LEFT(Table613[[#This Row],[Fiscal Year]], 4))</f>
        <v>2015</v>
      </c>
      <c r="N350" s="42">
        <f t="shared" si="10"/>
        <v>50771.077237594938</v>
      </c>
      <c r="O350" s="3">
        <v>348</v>
      </c>
    </row>
    <row r="351" spans="1:15" ht="15" customHeight="1" x14ac:dyDescent="0.25">
      <c r="A351" s="3">
        <v>4</v>
      </c>
      <c r="B351" s="3" t="s">
        <v>218</v>
      </c>
      <c r="C351" s="1" t="s">
        <v>12</v>
      </c>
      <c r="D351" s="1" t="s">
        <v>444</v>
      </c>
      <c r="E351" s="11" t="s">
        <v>144</v>
      </c>
      <c r="F351" s="3" t="s">
        <v>8</v>
      </c>
      <c r="G351" s="66" t="s">
        <v>60</v>
      </c>
      <c r="H351" s="8"/>
      <c r="I351" s="8"/>
      <c r="J351" s="6" t="s">
        <v>111</v>
      </c>
      <c r="K351" s="38">
        <v>32481.94</v>
      </c>
      <c r="L351" s="4" t="s">
        <v>29</v>
      </c>
      <c r="M351" s="11">
        <f>_xlfn.NUMBERVALUE(LEFT(Table613[[#This Row],[Fiscal Year]], 4))</f>
        <v>2015</v>
      </c>
      <c r="N351" s="42">
        <f t="shared" si="10"/>
        <v>34487.185840253158</v>
      </c>
      <c r="O351" s="3">
        <v>349</v>
      </c>
    </row>
    <row r="352" spans="1:15" ht="15" customHeight="1" x14ac:dyDescent="0.25">
      <c r="A352" s="3">
        <v>4</v>
      </c>
      <c r="B352" s="3" t="s">
        <v>218</v>
      </c>
      <c r="C352" s="1" t="s">
        <v>12</v>
      </c>
      <c r="D352" s="1" t="s">
        <v>444</v>
      </c>
      <c r="E352" s="11" t="s">
        <v>144</v>
      </c>
      <c r="F352" s="3" t="s">
        <v>8</v>
      </c>
      <c r="G352" s="48" t="s">
        <v>61</v>
      </c>
      <c r="H352" s="8"/>
      <c r="I352" s="8"/>
      <c r="J352" s="6" t="s">
        <v>108</v>
      </c>
      <c r="K352" s="38">
        <v>559577.98</v>
      </c>
      <c r="L352" s="4" t="s">
        <v>29</v>
      </c>
      <c r="M352" s="11">
        <f>_xlfn.NUMBERVALUE(LEFT(Table613[[#This Row],[Fiscal Year]], 4))</f>
        <v>2015</v>
      </c>
      <c r="N352" s="42">
        <f t="shared" si="10"/>
        <v>594123.06618303794</v>
      </c>
      <c r="O352" s="3">
        <v>350</v>
      </c>
    </row>
    <row r="353" spans="1:15" ht="15" customHeight="1" x14ac:dyDescent="0.25">
      <c r="A353" s="3">
        <v>4</v>
      </c>
      <c r="B353" s="3" t="s">
        <v>218</v>
      </c>
      <c r="C353" s="1" t="s">
        <v>12</v>
      </c>
      <c r="D353" s="1" t="s">
        <v>444</v>
      </c>
      <c r="E353" s="11" t="s">
        <v>144</v>
      </c>
      <c r="F353" s="3" t="s">
        <v>8</v>
      </c>
      <c r="G353" s="66" t="s">
        <v>62</v>
      </c>
      <c r="H353" s="8"/>
      <c r="I353" s="8"/>
      <c r="J353" s="6" t="s">
        <v>106</v>
      </c>
      <c r="K353" s="38">
        <v>50850.83</v>
      </c>
      <c r="L353" s="4" t="s">
        <v>29</v>
      </c>
      <c r="M353" s="11">
        <f>_xlfn.NUMBERVALUE(LEFT(Table613[[#This Row],[Fiscal Year]], 4))</f>
        <v>2015</v>
      </c>
      <c r="N353" s="42">
        <f t="shared" si="10"/>
        <v>53990.064150759492</v>
      </c>
      <c r="O353" s="3">
        <v>351</v>
      </c>
    </row>
    <row r="354" spans="1:15" ht="15" customHeight="1" x14ac:dyDescent="0.25">
      <c r="A354" s="3">
        <v>4</v>
      </c>
      <c r="B354" s="3" t="s">
        <v>218</v>
      </c>
      <c r="C354" s="1" t="s">
        <v>12</v>
      </c>
      <c r="D354" s="1" t="s">
        <v>444</v>
      </c>
      <c r="E354" s="11" t="s">
        <v>144</v>
      </c>
      <c r="F354" s="3" t="s">
        <v>8</v>
      </c>
      <c r="G354" s="66" t="s">
        <v>211</v>
      </c>
      <c r="H354" s="8"/>
      <c r="I354" s="8"/>
      <c r="J354" s="6" t="s">
        <v>455</v>
      </c>
      <c r="K354" s="38">
        <v>989597.5</v>
      </c>
      <c r="L354" s="4" t="s">
        <v>29</v>
      </c>
      <c r="M354" s="11">
        <f>_xlfn.NUMBERVALUE(LEFT(Table613[[#This Row],[Fiscal Year]], 4))</f>
        <v>2015</v>
      </c>
      <c r="N354" s="42">
        <f t="shared" si="10"/>
        <v>1050689.4874367088</v>
      </c>
      <c r="O354" s="3">
        <v>352</v>
      </c>
    </row>
    <row r="355" spans="1:15" ht="15" customHeight="1" x14ac:dyDescent="0.25">
      <c r="A355" s="3">
        <v>4</v>
      </c>
      <c r="B355" s="3" t="s">
        <v>218</v>
      </c>
      <c r="C355" s="1" t="s">
        <v>12</v>
      </c>
      <c r="D355" s="1" t="s">
        <v>444</v>
      </c>
      <c r="E355" s="11" t="s">
        <v>144</v>
      </c>
      <c r="F355" s="3" t="s">
        <v>8</v>
      </c>
      <c r="G355" s="66" t="s">
        <v>64</v>
      </c>
      <c r="H355" s="8"/>
      <c r="I355" s="8"/>
      <c r="J355" s="6" t="s">
        <v>76</v>
      </c>
      <c r="K355" s="38">
        <v>900000</v>
      </c>
      <c r="L355" s="4" t="s">
        <v>29</v>
      </c>
      <c r="M355" s="11">
        <f>_xlfn.NUMBERVALUE(LEFT(Table613[[#This Row],[Fiscal Year]], 4))</f>
        <v>2015</v>
      </c>
      <c r="N355" s="42">
        <f t="shared" si="10"/>
        <v>955560.75949367078</v>
      </c>
      <c r="O355" s="3">
        <v>353</v>
      </c>
    </row>
    <row r="356" spans="1:15" ht="15" customHeight="1" x14ac:dyDescent="0.25">
      <c r="A356" s="3">
        <v>4</v>
      </c>
      <c r="B356" s="3" t="s">
        <v>218</v>
      </c>
      <c r="C356" s="1" t="s">
        <v>12</v>
      </c>
      <c r="D356" s="1" t="s">
        <v>444</v>
      </c>
      <c r="E356" s="11" t="s">
        <v>144</v>
      </c>
      <c r="F356" s="3" t="s">
        <v>8</v>
      </c>
      <c r="G356" s="66" t="s">
        <v>65</v>
      </c>
      <c r="H356" s="8"/>
      <c r="I356" s="8"/>
      <c r="J356" s="6" t="s">
        <v>76</v>
      </c>
      <c r="K356" s="38">
        <v>0</v>
      </c>
      <c r="L356" s="4" t="s">
        <v>29</v>
      </c>
      <c r="M356" s="11">
        <f>_xlfn.NUMBERVALUE(LEFT(Table613[[#This Row],[Fiscal Year]], 4))</f>
        <v>2015</v>
      </c>
      <c r="N356" s="43">
        <f t="shared" si="10"/>
        <v>0</v>
      </c>
      <c r="O356" s="3">
        <v>354</v>
      </c>
    </row>
    <row r="357" spans="1:15" ht="15" customHeight="1" x14ac:dyDescent="0.25">
      <c r="A357" s="3">
        <v>4</v>
      </c>
      <c r="B357" s="3" t="s">
        <v>218</v>
      </c>
      <c r="C357" s="1" t="s">
        <v>12</v>
      </c>
      <c r="D357" s="1" t="s">
        <v>444</v>
      </c>
      <c r="E357" s="11" t="s">
        <v>144</v>
      </c>
      <c r="F357" s="3" t="s">
        <v>8</v>
      </c>
      <c r="G357" s="66" t="s">
        <v>66</v>
      </c>
      <c r="H357" s="8"/>
      <c r="I357" s="8"/>
      <c r="J357" s="6" t="s">
        <v>76</v>
      </c>
      <c r="K357" s="38">
        <v>0</v>
      </c>
      <c r="L357" s="4" t="s">
        <v>29</v>
      </c>
      <c r="M357" s="11">
        <f>_xlfn.NUMBERVALUE(LEFT(Table613[[#This Row],[Fiscal Year]], 4))</f>
        <v>2015</v>
      </c>
      <c r="N357" s="43">
        <f t="shared" si="10"/>
        <v>0</v>
      </c>
      <c r="O357" s="3">
        <v>355</v>
      </c>
    </row>
    <row r="358" spans="1:15" ht="15" customHeight="1" x14ac:dyDescent="0.25">
      <c r="A358" s="3">
        <v>4</v>
      </c>
      <c r="B358" s="3" t="s">
        <v>218</v>
      </c>
      <c r="C358" s="1" t="s">
        <v>12</v>
      </c>
      <c r="D358" s="1" t="s">
        <v>444</v>
      </c>
      <c r="E358" s="11" t="s">
        <v>144</v>
      </c>
      <c r="F358" s="3" t="s">
        <v>8</v>
      </c>
      <c r="G358" s="66" t="s">
        <v>33</v>
      </c>
      <c r="H358" s="8"/>
      <c r="I358" s="8"/>
      <c r="J358" s="6" t="s">
        <v>47</v>
      </c>
      <c r="K358" s="38">
        <v>55050</v>
      </c>
      <c r="L358" s="4" t="s">
        <v>29</v>
      </c>
      <c r="M358" s="11">
        <f>_xlfn.NUMBERVALUE(LEFT(Table613[[#This Row],[Fiscal Year]], 4))</f>
        <v>2015</v>
      </c>
      <c r="N358" s="42">
        <f t="shared" si="10"/>
        <v>58448.466455696202</v>
      </c>
      <c r="O358" s="3">
        <v>356</v>
      </c>
    </row>
    <row r="359" spans="1:15" ht="15" customHeight="1" x14ac:dyDescent="0.25">
      <c r="A359" s="3">
        <v>4</v>
      </c>
      <c r="B359" s="3" t="s">
        <v>218</v>
      </c>
      <c r="C359" s="1" t="s">
        <v>12</v>
      </c>
      <c r="D359" s="1" t="s">
        <v>444</v>
      </c>
      <c r="E359" s="11" t="s">
        <v>144</v>
      </c>
      <c r="F359" s="3" t="s">
        <v>8</v>
      </c>
      <c r="G359" s="66" t="s">
        <v>67</v>
      </c>
      <c r="H359" s="8"/>
      <c r="I359" s="8"/>
      <c r="J359" s="6" t="s">
        <v>455</v>
      </c>
      <c r="K359" s="38">
        <v>968991</v>
      </c>
      <c r="L359" s="4" t="s">
        <v>29</v>
      </c>
      <c r="M359" s="11">
        <f>_xlfn.NUMBERVALUE(LEFT(Table613[[#This Row],[Fiscal Year]], 4))</f>
        <v>2015</v>
      </c>
      <c r="N359" s="42">
        <f t="shared" si="10"/>
        <v>1028810.862113924</v>
      </c>
      <c r="O359" s="3">
        <v>357</v>
      </c>
    </row>
    <row r="360" spans="1:15" ht="15" customHeight="1" x14ac:dyDescent="0.25">
      <c r="C360" s="1"/>
      <c r="D360" s="1"/>
      <c r="G360" s="66"/>
      <c r="H360" s="8"/>
      <c r="I360" s="8"/>
      <c r="J360" s="6"/>
      <c r="L360" s="4"/>
      <c r="O360" s="3">
        <v>358</v>
      </c>
    </row>
    <row r="361" spans="1:15" ht="15" customHeight="1" x14ac:dyDescent="0.25">
      <c r="A361" s="3">
        <v>4</v>
      </c>
      <c r="B361" s="3" t="s">
        <v>146</v>
      </c>
      <c r="C361" s="1" t="s">
        <v>12</v>
      </c>
      <c r="D361" s="1" t="s">
        <v>444</v>
      </c>
      <c r="E361" s="11" t="s">
        <v>144</v>
      </c>
      <c r="F361" s="3" t="s">
        <v>8</v>
      </c>
      <c r="G361" s="56" t="s">
        <v>829</v>
      </c>
      <c r="H361" s="8"/>
      <c r="I361" s="8"/>
      <c r="J361" s="6" t="s">
        <v>110</v>
      </c>
      <c r="K361" s="38">
        <v>38937</v>
      </c>
      <c r="L361" s="4" t="s">
        <v>29</v>
      </c>
      <c r="M361" s="11">
        <f>_xlfn.NUMBERVALUE(LEFT(Table613[[#This Row],[Fiscal Year]], 4))</f>
        <v>2015</v>
      </c>
      <c r="N361" s="42">
        <f t="shared" si="10"/>
        <v>41340.743658227846</v>
      </c>
      <c r="O361" s="3">
        <v>359</v>
      </c>
    </row>
    <row r="362" spans="1:15" ht="15" customHeight="1" x14ac:dyDescent="0.25">
      <c r="A362" s="3">
        <v>4</v>
      </c>
      <c r="B362" s="3" t="s">
        <v>146</v>
      </c>
      <c r="C362" s="1" t="s">
        <v>12</v>
      </c>
      <c r="D362" s="1" t="s">
        <v>444</v>
      </c>
      <c r="E362" s="11" t="s">
        <v>144</v>
      </c>
      <c r="F362" s="3" t="s">
        <v>8</v>
      </c>
      <c r="G362" s="66" t="s">
        <v>844</v>
      </c>
      <c r="H362" s="8"/>
      <c r="I362" s="8"/>
      <c r="J362" s="6" t="s">
        <v>453</v>
      </c>
      <c r="K362" s="38">
        <v>14414</v>
      </c>
      <c r="L362" s="4" t="s">
        <v>29</v>
      </c>
      <c r="M362" s="11">
        <f>_xlfn.NUMBERVALUE(LEFT(Table613[[#This Row],[Fiscal Year]], 4))</f>
        <v>2015</v>
      </c>
      <c r="N362" s="42">
        <f t="shared" si="10"/>
        <v>15303.836430379746</v>
      </c>
      <c r="O362" s="3">
        <v>360</v>
      </c>
    </row>
    <row r="363" spans="1:15" ht="15" customHeight="1" x14ac:dyDescent="0.25">
      <c r="A363" s="3">
        <v>4</v>
      </c>
      <c r="B363" s="3" t="s">
        <v>146</v>
      </c>
      <c r="C363" s="1" t="s">
        <v>12</v>
      </c>
      <c r="D363" s="1" t="s">
        <v>444</v>
      </c>
      <c r="E363" s="11" t="s">
        <v>144</v>
      </c>
      <c r="F363" s="3" t="s">
        <v>8</v>
      </c>
      <c r="G363" s="66" t="s">
        <v>845</v>
      </c>
      <c r="H363" s="8"/>
      <c r="I363" s="8"/>
      <c r="J363" s="6" t="s">
        <v>109</v>
      </c>
      <c r="K363" s="38">
        <v>0</v>
      </c>
      <c r="L363" s="4" t="s">
        <v>29</v>
      </c>
      <c r="M363" s="11">
        <f>_xlfn.NUMBERVALUE(LEFT(Table613[[#This Row],[Fiscal Year]], 4))</f>
        <v>2015</v>
      </c>
      <c r="N363" s="43">
        <f t="shared" si="10"/>
        <v>0</v>
      </c>
      <c r="O363" s="3">
        <v>361</v>
      </c>
    </row>
    <row r="364" spans="1:15" ht="15" customHeight="1" x14ac:dyDescent="0.25">
      <c r="A364" s="3">
        <v>4</v>
      </c>
      <c r="B364" s="3" t="s">
        <v>146</v>
      </c>
      <c r="C364" s="1" t="s">
        <v>12</v>
      </c>
      <c r="D364" s="1" t="s">
        <v>444</v>
      </c>
      <c r="E364" s="11" t="s">
        <v>144</v>
      </c>
      <c r="F364" s="3" t="s">
        <v>8</v>
      </c>
      <c r="G364" s="66" t="s">
        <v>846</v>
      </c>
      <c r="H364" s="8"/>
      <c r="I364" s="8"/>
      <c r="J364" s="6" t="s">
        <v>111</v>
      </c>
      <c r="K364" s="38">
        <v>330</v>
      </c>
      <c r="L364" s="4" t="s">
        <v>29</v>
      </c>
      <c r="M364" s="11">
        <f>_xlfn.NUMBERVALUE(LEFT(Table613[[#This Row],[Fiscal Year]], 4))</f>
        <v>2015</v>
      </c>
      <c r="N364" s="42">
        <f t="shared" si="10"/>
        <v>350.37227848101264</v>
      </c>
      <c r="O364" s="3">
        <v>362</v>
      </c>
    </row>
    <row r="365" spans="1:15" ht="15" customHeight="1" x14ac:dyDescent="0.25">
      <c r="A365" s="3">
        <v>4</v>
      </c>
      <c r="B365" s="3" t="s">
        <v>146</v>
      </c>
      <c r="C365" s="1" t="s">
        <v>12</v>
      </c>
      <c r="D365" s="1" t="s">
        <v>444</v>
      </c>
      <c r="E365" s="11" t="s">
        <v>144</v>
      </c>
      <c r="F365" s="3" t="s">
        <v>8</v>
      </c>
      <c r="G365" s="66" t="s">
        <v>847</v>
      </c>
      <c r="H365" s="8"/>
      <c r="I365" s="8"/>
      <c r="J365" s="6" t="s">
        <v>111</v>
      </c>
      <c r="K365" s="38">
        <v>60</v>
      </c>
      <c r="L365" s="4" t="s">
        <v>29</v>
      </c>
      <c r="M365" s="11">
        <f>_xlfn.NUMBERVALUE(LEFT(Table613[[#This Row],[Fiscal Year]], 4))</f>
        <v>2015</v>
      </c>
      <c r="N365" s="42">
        <f t="shared" si="10"/>
        <v>63.70405063291139</v>
      </c>
      <c r="O365" s="3">
        <v>363</v>
      </c>
    </row>
    <row r="366" spans="1:15" x14ac:dyDescent="0.25">
      <c r="A366" s="3">
        <v>4</v>
      </c>
      <c r="B366" s="3" t="s">
        <v>146</v>
      </c>
      <c r="C366" s="1" t="s">
        <v>12</v>
      </c>
      <c r="D366" s="1" t="s">
        <v>444</v>
      </c>
      <c r="E366" s="11" t="s">
        <v>144</v>
      </c>
      <c r="F366" s="3" t="s">
        <v>8</v>
      </c>
      <c r="G366" s="48" t="s">
        <v>857</v>
      </c>
      <c r="H366" s="8"/>
      <c r="I366" s="8"/>
      <c r="J366" s="6" t="s">
        <v>108</v>
      </c>
      <c r="K366" s="38">
        <v>324215</v>
      </c>
      <c r="L366" s="4" t="s">
        <v>29</v>
      </c>
      <c r="M366" s="11">
        <f>_xlfn.NUMBERVALUE(LEFT(Table613[[#This Row],[Fiscal Year]], 4))</f>
        <v>2015</v>
      </c>
      <c r="N366" s="42">
        <f t="shared" si="10"/>
        <v>344230.14626582275</v>
      </c>
      <c r="O366" s="3">
        <v>364</v>
      </c>
    </row>
    <row r="367" spans="1:15" x14ac:dyDescent="0.25">
      <c r="A367" s="3">
        <v>4</v>
      </c>
      <c r="B367" s="3" t="s">
        <v>146</v>
      </c>
      <c r="C367" s="1" t="s">
        <v>12</v>
      </c>
      <c r="D367" s="1" t="s">
        <v>444</v>
      </c>
      <c r="E367" s="11" t="s">
        <v>144</v>
      </c>
      <c r="F367" s="3" t="s">
        <v>8</v>
      </c>
      <c r="G367" s="66" t="s">
        <v>849</v>
      </c>
      <c r="H367" s="8"/>
      <c r="I367" s="8"/>
      <c r="J367" s="6" t="s">
        <v>106</v>
      </c>
      <c r="K367" s="38">
        <v>253000</v>
      </c>
      <c r="L367" s="4" t="s">
        <v>29</v>
      </c>
      <c r="M367" s="11">
        <f>_xlfn.NUMBERVALUE(LEFT(Table613[[#This Row],[Fiscal Year]], 4))</f>
        <v>2015</v>
      </c>
      <c r="N367" s="42">
        <f t="shared" si="10"/>
        <v>268618.74683544302</v>
      </c>
      <c r="O367" s="3">
        <v>365</v>
      </c>
    </row>
    <row r="368" spans="1:15" x14ac:dyDescent="0.25">
      <c r="A368" s="3">
        <v>4</v>
      </c>
      <c r="B368" s="3" t="s">
        <v>146</v>
      </c>
      <c r="C368" s="1" t="s">
        <v>12</v>
      </c>
      <c r="D368" s="1" t="s">
        <v>444</v>
      </c>
      <c r="E368" s="11" t="s">
        <v>144</v>
      </c>
      <c r="F368" s="3" t="s">
        <v>8</v>
      </c>
      <c r="G368" s="66" t="s">
        <v>850</v>
      </c>
      <c r="H368" s="8"/>
      <c r="I368" s="8"/>
      <c r="J368" s="6" t="s">
        <v>455</v>
      </c>
      <c r="K368" s="38" t="s">
        <v>827</v>
      </c>
      <c r="L368" s="4" t="s">
        <v>29</v>
      </c>
      <c r="M368" s="11">
        <f>_xlfn.NUMBERVALUE(LEFT(Table613[[#This Row],[Fiscal Year]], 4))</f>
        <v>2015</v>
      </c>
      <c r="O368" s="3">
        <v>366</v>
      </c>
    </row>
    <row r="369" spans="1:15" x14ac:dyDescent="0.25">
      <c r="A369" s="3">
        <v>4</v>
      </c>
      <c r="B369" s="3" t="s">
        <v>146</v>
      </c>
      <c r="C369" s="1" t="s">
        <v>12</v>
      </c>
      <c r="D369" s="1" t="s">
        <v>444</v>
      </c>
      <c r="E369" s="11" t="s">
        <v>144</v>
      </c>
      <c r="F369" s="3" t="s">
        <v>8</v>
      </c>
      <c r="G369" s="66" t="s">
        <v>851</v>
      </c>
      <c r="H369" s="8"/>
      <c r="I369" s="8"/>
      <c r="J369" s="6" t="s">
        <v>76</v>
      </c>
      <c r="K369" s="38">
        <v>36037</v>
      </c>
      <c r="L369" s="4" t="s">
        <v>29</v>
      </c>
      <c r="M369" s="11">
        <f>_xlfn.NUMBERVALUE(LEFT(Table613[[#This Row],[Fiscal Year]], 4))</f>
        <v>2015</v>
      </c>
      <c r="N369" s="42">
        <f t="shared" si="10"/>
        <v>38261.714544303795</v>
      </c>
      <c r="O369" s="3">
        <v>367</v>
      </c>
    </row>
    <row r="370" spans="1:15" x14ac:dyDescent="0.25">
      <c r="A370" s="3">
        <v>4</v>
      </c>
      <c r="B370" s="3" t="s">
        <v>146</v>
      </c>
      <c r="C370" s="1" t="s">
        <v>12</v>
      </c>
      <c r="D370" s="1" t="s">
        <v>444</v>
      </c>
      <c r="E370" s="11" t="s">
        <v>144</v>
      </c>
      <c r="F370" s="3" t="s">
        <v>8</v>
      </c>
      <c r="G370" s="66" t="s">
        <v>858</v>
      </c>
      <c r="H370" s="8"/>
      <c r="I370" s="8"/>
      <c r="J370" s="6" t="s">
        <v>76</v>
      </c>
      <c r="K370" s="38">
        <v>0</v>
      </c>
      <c r="L370" s="4" t="s">
        <v>29</v>
      </c>
      <c r="M370" s="11">
        <f>_xlfn.NUMBERVALUE(LEFT(Table613[[#This Row],[Fiscal Year]], 4))</f>
        <v>2015</v>
      </c>
      <c r="N370" s="43">
        <f t="shared" si="10"/>
        <v>0</v>
      </c>
      <c r="O370" s="3">
        <v>368</v>
      </c>
    </row>
    <row r="371" spans="1:15" x14ac:dyDescent="0.25">
      <c r="A371" s="3">
        <v>4</v>
      </c>
      <c r="B371" s="3" t="s">
        <v>146</v>
      </c>
      <c r="C371" s="1" t="s">
        <v>12</v>
      </c>
      <c r="D371" s="1" t="s">
        <v>444</v>
      </c>
      <c r="E371" s="11" t="s">
        <v>144</v>
      </c>
      <c r="F371" s="3" t="s">
        <v>8</v>
      </c>
      <c r="G371" s="66" t="s">
        <v>852</v>
      </c>
      <c r="H371" s="8"/>
      <c r="I371" s="8"/>
      <c r="J371" s="6" t="s">
        <v>76</v>
      </c>
      <c r="K371" s="38">
        <v>0</v>
      </c>
      <c r="L371" s="4" t="s">
        <v>29</v>
      </c>
      <c r="M371" s="11">
        <f>_xlfn.NUMBERVALUE(LEFT(Table613[[#This Row],[Fiscal Year]], 4))</f>
        <v>2015</v>
      </c>
      <c r="N371" s="43">
        <f t="shared" si="10"/>
        <v>0</v>
      </c>
      <c r="O371" s="3">
        <v>369</v>
      </c>
    </row>
    <row r="372" spans="1:15" x14ac:dyDescent="0.25">
      <c r="A372" s="3">
        <v>4</v>
      </c>
      <c r="B372" s="3" t="s">
        <v>146</v>
      </c>
      <c r="C372" s="1" t="s">
        <v>12</v>
      </c>
      <c r="D372" s="1" t="s">
        <v>444</v>
      </c>
      <c r="E372" s="11" t="s">
        <v>144</v>
      </c>
      <c r="F372" s="3" t="s">
        <v>8</v>
      </c>
      <c r="G372" s="66" t="s">
        <v>859</v>
      </c>
      <c r="H372" s="8"/>
      <c r="I372" s="8"/>
      <c r="J372" s="6" t="s">
        <v>455</v>
      </c>
      <c r="K372" s="38">
        <v>7560</v>
      </c>
      <c r="L372" s="4" t="s">
        <v>29</v>
      </c>
      <c r="M372" s="11">
        <f>_xlfn.NUMBERVALUE(LEFT(Table613[[#This Row],[Fiscal Year]], 4))</f>
        <v>2015</v>
      </c>
      <c r="N372" s="42">
        <f t="shared" si="10"/>
        <v>8026.7103797468353</v>
      </c>
      <c r="O372" s="3">
        <v>370</v>
      </c>
    </row>
    <row r="373" spans="1:15" x14ac:dyDescent="0.25">
      <c r="A373" s="3">
        <v>4</v>
      </c>
      <c r="B373" s="3" t="s">
        <v>146</v>
      </c>
      <c r="C373" s="1" t="s">
        <v>12</v>
      </c>
      <c r="D373" s="1" t="s">
        <v>444</v>
      </c>
      <c r="E373" s="11" t="s">
        <v>144</v>
      </c>
      <c r="F373" s="3" t="s">
        <v>8</v>
      </c>
      <c r="G373" s="66" t="s">
        <v>860</v>
      </c>
      <c r="H373" s="8"/>
      <c r="I373" s="8"/>
      <c r="J373" s="6" t="s">
        <v>605</v>
      </c>
      <c r="K373" s="38">
        <v>27420</v>
      </c>
      <c r="L373" s="4" t="s">
        <v>29</v>
      </c>
      <c r="M373" s="11">
        <f>_xlfn.NUMBERVALUE(LEFT(Table613[[#This Row],[Fiscal Year]], 4))</f>
        <v>2015</v>
      </c>
      <c r="N373" s="42">
        <f t="shared" si="10"/>
        <v>29112.751139240503</v>
      </c>
      <c r="O373" s="3">
        <v>371</v>
      </c>
    </row>
    <row r="374" spans="1:15" x14ac:dyDescent="0.25">
      <c r="A374" s="3">
        <v>4</v>
      </c>
      <c r="B374" s="3" t="s">
        <v>146</v>
      </c>
      <c r="C374" s="1" t="s">
        <v>12</v>
      </c>
      <c r="D374" s="1" t="s">
        <v>444</v>
      </c>
      <c r="E374" s="11" t="s">
        <v>144</v>
      </c>
      <c r="F374" s="3" t="s">
        <v>8</v>
      </c>
      <c r="G374" s="48" t="s">
        <v>861</v>
      </c>
      <c r="H374" s="8"/>
      <c r="I374" s="8"/>
      <c r="J374" s="6" t="s">
        <v>605</v>
      </c>
      <c r="K374" s="38">
        <v>2818</v>
      </c>
      <c r="L374" s="4" t="s">
        <v>29</v>
      </c>
      <c r="M374" s="11">
        <f>_xlfn.NUMBERVALUE(LEFT(Table613[[#This Row],[Fiscal Year]], 4))</f>
        <v>2015</v>
      </c>
      <c r="N374" s="42">
        <f t="shared" si="10"/>
        <v>2991.9669113924051</v>
      </c>
      <c r="O374" s="3">
        <v>372</v>
      </c>
    </row>
    <row r="375" spans="1:15" x14ac:dyDescent="0.25">
      <c r="A375" s="3">
        <v>4</v>
      </c>
      <c r="B375" s="3" t="s">
        <v>146</v>
      </c>
      <c r="C375" s="1" t="s">
        <v>12</v>
      </c>
      <c r="D375" s="1" t="s">
        <v>444</v>
      </c>
      <c r="E375" s="11" t="s">
        <v>144</v>
      </c>
      <c r="F375" s="3" t="s">
        <v>8</v>
      </c>
      <c r="G375" s="48" t="s">
        <v>862</v>
      </c>
      <c r="H375" s="8"/>
      <c r="I375" s="8"/>
      <c r="J375" s="6" t="s">
        <v>605</v>
      </c>
      <c r="K375" s="38">
        <v>5573</v>
      </c>
      <c r="L375" s="4" t="s">
        <v>29</v>
      </c>
      <c r="M375" s="11">
        <f>_xlfn.NUMBERVALUE(LEFT(Table613[[#This Row],[Fiscal Year]], 4))</f>
        <v>2015</v>
      </c>
      <c r="N375" s="42">
        <f t="shared" si="10"/>
        <v>5917.0445696202532</v>
      </c>
      <c r="O375" s="3">
        <v>373</v>
      </c>
    </row>
    <row r="376" spans="1:15" x14ac:dyDescent="0.25">
      <c r="C376" s="1"/>
      <c r="D376" s="1"/>
      <c r="G376" s="66"/>
      <c r="H376" s="8"/>
      <c r="I376" s="8"/>
      <c r="J376" s="6"/>
      <c r="L376" s="4"/>
      <c r="O376" s="3">
        <v>374</v>
      </c>
    </row>
    <row r="377" spans="1:15" x14ac:dyDescent="0.25">
      <c r="A377" s="3">
        <v>4</v>
      </c>
      <c r="B377" s="3" t="s">
        <v>147</v>
      </c>
      <c r="C377" s="1" t="s">
        <v>12</v>
      </c>
      <c r="D377" s="1" t="s">
        <v>444</v>
      </c>
      <c r="E377" s="11" t="s">
        <v>144</v>
      </c>
      <c r="F377" s="3" t="s">
        <v>8</v>
      </c>
      <c r="G377" s="48" t="s">
        <v>863</v>
      </c>
      <c r="H377" s="50" t="s">
        <v>458</v>
      </c>
      <c r="I377" s="70" t="s">
        <v>607</v>
      </c>
      <c r="J377" s="6" t="s">
        <v>110</v>
      </c>
      <c r="K377" s="38">
        <v>10980</v>
      </c>
      <c r="L377" s="4" t="s">
        <v>29</v>
      </c>
      <c r="M377" s="11">
        <f>_xlfn.NUMBERVALUE(LEFT(Table613[[#This Row],[Fiscal Year]], 4))</f>
        <v>2015</v>
      </c>
      <c r="N377" s="42">
        <f t="shared" si="10"/>
        <v>11657.841265822784</v>
      </c>
      <c r="O377" s="3">
        <v>375</v>
      </c>
    </row>
    <row r="378" spans="1:15" x14ac:dyDescent="0.25">
      <c r="A378" s="3">
        <v>4</v>
      </c>
      <c r="B378" s="3" t="s">
        <v>147</v>
      </c>
      <c r="C378" s="3" t="s">
        <v>12</v>
      </c>
      <c r="D378" s="3" t="s">
        <v>444</v>
      </c>
      <c r="E378" s="11" t="s">
        <v>144</v>
      </c>
      <c r="F378" s="3" t="s">
        <v>8</v>
      </c>
      <c r="G378" s="48" t="s">
        <v>864</v>
      </c>
      <c r="H378" s="8"/>
      <c r="I378" s="8"/>
      <c r="J378" s="6" t="s">
        <v>110</v>
      </c>
      <c r="K378" s="38">
        <v>97138.95</v>
      </c>
      <c r="L378" s="4" t="s">
        <v>29</v>
      </c>
      <c r="M378" s="11">
        <f>_xlfn.NUMBERVALUE(LEFT(Table613[[#This Row],[Fiscal Year]], 4))</f>
        <v>2015</v>
      </c>
      <c r="N378" s="42">
        <f t="shared" si="10"/>
        <v>103135.74315379746</v>
      </c>
      <c r="O378" s="3">
        <v>376</v>
      </c>
    </row>
    <row r="379" spans="1:15" x14ac:dyDescent="0.25">
      <c r="A379" s="3">
        <v>4</v>
      </c>
      <c r="B379" s="3" t="s">
        <v>147</v>
      </c>
      <c r="C379" s="3" t="s">
        <v>12</v>
      </c>
      <c r="D379" s="3" t="s">
        <v>444</v>
      </c>
      <c r="E379" s="11" t="s">
        <v>144</v>
      </c>
      <c r="F379" s="3" t="s">
        <v>8</v>
      </c>
      <c r="G379" s="48" t="s">
        <v>865</v>
      </c>
      <c r="H379" s="8"/>
      <c r="I379" s="8"/>
      <c r="J379" s="6" t="s">
        <v>110</v>
      </c>
      <c r="K379" s="38">
        <v>7791.37</v>
      </c>
      <c r="L379" s="4" t="s">
        <v>29</v>
      </c>
      <c r="M379" s="11">
        <f>_xlfn.NUMBERVALUE(LEFT(Table613[[#This Row],[Fiscal Year]], 4))</f>
        <v>2015</v>
      </c>
      <c r="N379" s="42">
        <f t="shared" si="10"/>
        <v>8272.3638163291125</v>
      </c>
      <c r="O379" s="3">
        <v>377</v>
      </c>
    </row>
    <row r="380" spans="1:15" x14ac:dyDescent="0.25">
      <c r="A380" s="3">
        <v>4</v>
      </c>
      <c r="B380" s="3" t="s">
        <v>147</v>
      </c>
      <c r="C380" s="3" t="s">
        <v>12</v>
      </c>
      <c r="D380" s="3" t="s">
        <v>444</v>
      </c>
      <c r="E380" s="11" t="s">
        <v>144</v>
      </c>
      <c r="F380" s="3" t="s">
        <v>8</v>
      </c>
      <c r="G380" s="56" t="s">
        <v>866</v>
      </c>
      <c r="H380" s="52"/>
      <c r="I380" s="52"/>
      <c r="J380" s="6" t="s">
        <v>453</v>
      </c>
      <c r="K380" s="38">
        <v>300</v>
      </c>
      <c r="L380" s="4" t="s">
        <v>29</v>
      </c>
      <c r="M380" s="11">
        <f>_xlfn.NUMBERVALUE(LEFT(Table613[[#This Row],[Fiscal Year]], 4))</f>
        <v>2015</v>
      </c>
      <c r="N380" s="42">
        <f t="shared" si="10"/>
        <v>318.52025316455695</v>
      </c>
      <c r="O380" s="3">
        <v>378</v>
      </c>
    </row>
    <row r="381" spans="1:15" x14ac:dyDescent="0.25">
      <c r="A381" s="3">
        <v>4</v>
      </c>
      <c r="B381" s="3" t="s">
        <v>147</v>
      </c>
      <c r="C381" s="3" t="s">
        <v>12</v>
      </c>
      <c r="D381" s="3" t="s">
        <v>444</v>
      </c>
      <c r="E381" s="11" t="s">
        <v>144</v>
      </c>
      <c r="F381" s="3" t="s">
        <v>8</v>
      </c>
      <c r="G381" s="61" t="s">
        <v>867</v>
      </c>
      <c r="H381" s="8" t="s">
        <v>606</v>
      </c>
      <c r="I381" s="8" t="s">
        <v>458</v>
      </c>
      <c r="J381" s="6" t="s">
        <v>42</v>
      </c>
      <c r="K381" s="38">
        <v>935</v>
      </c>
      <c r="L381" s="4" t="s">
        <v>29</v>
      </c>
      <c r="M381" s="11">
        <f>_xlfn.NUMBERVALUE(LEFT(Table613[[#This Row],[Fiscal Year]], 4))</f>
        <v>2015</v>
      </c>
      <c r="N381" s="42">
        <f t="shared" si="10"/>
        <v>992.7214556962025</v>
      </c>
      <c r="O381" s="3">
        <v>379</v>
      </c>
    </row>
    <row r="382" spans="1:15" x14ac:dyDescent="0.25">
      <c r="A382" s="3">
        <v>4</v>
      </c>
      <c r="B382" s="3" t="s">
        <v>147</v>
      </c>
      <c r="C382" s="3" t="s">
        <v>12</v>
      </c>
      <c r="D382" s="3" t="s">
        <v>444</v>
      </c>
      <c r="E382" s="11" t="s">
        <v>144</v>
      </c>
      <c r="F382" s="3" t="s">
        <v>8</v>
      </c>
      <c r="G382" s="56" t="s">
        <v>868</v>
      </c>
      <c r="H382" s="8"/>
      <c r="I382" s="8"/>
      <c r="J382" s="6" t="s">
        <v>453</v>
      </c>
      <c r="K382" s="38">
        <v>0</v>
      </c>
      <c r="L382" s="4" t="s">
        <v>29</v>
      </c>
      <c r="M382" s="11">
        <f>_xlfn.NUMBERVALUE(LEFT(Table613[[#This Row],[Fiscal Year]], 4))</f>
        <v>2015</v>
      </c>
      <c r="N382" s="43">
        <f>K381*(1+VLOOKUP(M382,$AF$8:$AH$31,3,0))</f>
        <v>992.7214556962025</v>
      </c>
      <c r="O382" s="3">
        <v>380</v>
      </c>
    </row>
    <row r="383" spans="1:15" x14ac:dyDescent="0.25">
      <c r="A383" s="3">
        <v>4</v>
      </c>
      <c r="B383" s="3" t="s">
        <v>147</v>
      </c>
      <c r="C383" s="3" t="s">
        <v>12</v>
      </c>
      <c r="D383" s="3" t="s">
        <v>444</v>
      </c>
      <c r="E383" s="11" t="s">
        <v>144</v>
      </c>
      <c r="F383" s="3" t="s">
        <v>8</v>
      </c>
      <c r="G383" s="56" t="s">
        <v>869</v>
      </c>
      <c r="H383" s="52"/>
      <c r="I383" s="52"/>
      <c r="J383" s="6" t="s">
        <v>109</v>
      </c>
      <c r="K383" s="38">
        <v>20601.07</v>
      </c>
      <c r="L383" s="4" t="s">
        <v>29</v>
      </c>
      <c r="M383" s="11">
        <f>_xlfn.NUMBERVALUE(LEFT(Table613[[#This Row],[Fiscal Year]], 4))</f>
        <v>2015</v>
      </c>
      <c r="N383" s="42">
        <f t="shared" ref="N383:N392" si="11">K383*(1+VLOOKUP(M383,$AF$8:$AH$31,3,0))</f>
        <v>21872.86010620253</v>
      </c>
      <c r="O383" s="3">
        <v>381</v>
      </c>
    </row>
    <row r="384" spans="1:15" x14ac:dyDescent="0.25">
      <c r="A384" s="3">
        <v>4</v>
      </c>
      <c r="B384" s="3" t="s">
        <v>147</v>
      </c>
      <c r="C384" s="3" t="s">
        <v>12</v>
      </c>
      <c r="D384" s="3" t="s">
        <v>444</v>
      </c>
      <c r="E384" s="11" t="s">
        <v>144</v>
      </c>
      <c r="F384" s="3" t="s">
        <v>8</v>
      </c>
      <c r="G384" s="56" t="s">
        <v>870</v>
      </c>
      <c r="H384" s="8"/>
      <c r="I384" s="8"/>
      <c r="J384" s="6" t="s">
        <v>109</v>
      </c>
      <c r="K384" s="38">
        <v>825</v>
      </c>
      <c r="L384" s="4" t="s">
        <v>29</v>
      </c>
      <c r="M384" s="11">
        <f>_xlfn.NUMBERVALUE(LEFT(Table613[[#This Row],[Fiscal Year]], 4))</f>
        <v>2015</v>
      </c>
      <c r="N384" s="42">
        <f t="shared" si="11"/>
        <v>875.93069620253164</v>
      </c>
      <c r="O384" s="3">
        <v>382</v>
      </c>
    </row>
    <row r="385" spans="1:15" x14ac:dyDescent="0.25">
      <c r="A385" s="3">
        <v>4</v>
      </c>
      <c r="B385" s="3" t="s">
        <v>147</v>
      </c>
      <c r="C385" s="3" t="s">
        <v>12</v>
      </c>
      <c r="D385" s="3" t="s">
        <v>444</v>
      </c>
      <c r="E385" s="11" t="s">
        <v>144</v>
      </c>
      <c r="F385" s="3" t="s">
        <v>8</v>
      </c>
      <c r="G385" s="56" t="s">
        <v>871</v>
      </c>
      <c r="H385" s="8"/>
      <c r="I385" s="8"/>
      <c r="J385" s="6" t="s">
        <v>109</v>
      </c>
      <c r="K385" s="38">
        <v>60</v>
      </c>
      <c r="L385" s="4" t="s">
        <v>29</v>
      </c>
      <c r="M385" s="11">
        <f>_xlfn.NUMBERVALUE(LEFT(Table613[[#This Row],[Fiscal Year]], 4))</f>
        <v>2015</v>
      </c>
      <c r="N385" s="42">
        <f t="shared" si="11"/>
        <v>63.70405063291139</v>
      </c>
      <c r="O385" s="3">
        <v>383</v>
      </c>
    </row>
    <row r="386" spans="1:15" x14ac:dyDescent="0.25">
      <c r="A386" s="3">
        <v>4</v>
      </c>
      <c r="B386" s="3" t="s">
        <v>147</v>
      </c>
      <c r="C386" s="3" t="s">
        <v>12</v>
      </c>
      <c r="D386" s="3" t="s">
        <v>444</v>
      </c>
      <c r="E386" s="11" t="s">
        <v>144</v>
      </c>
      <c r="F386" s="3" t="s">
        <v>8</v>
      </c>
      <c r="G386" s="56" t="s">
        <v>872</v>
      </c>
      <c r="H386" s="52"/>
      <c r="I386" s="52"/>
      <c r="J386" s="6" t="s">
        <v>111</v>
      </c>
      <c r="K386" s="38">
        <v>179721.07</v>
      </c>
      <c r="L386" s="4" t="s">
        <v>29</v>
      </c>
      <c r="M386" s="11">
        <f>_xlfn.NUMBERVALUE(LEFT(Table613[[#This Row],[Fiscal Year]], 4))</f>
        <v>2015</v>
      </c>
      <c r="N386" s="42">
        <f t="shared" si="11"/>
        <v>190816.00238468355</v>
      </c>
      <c r="O386" s="3">
        <v>384</v>
      </c>
    </row>
    <row r="387" spans="1:15" x14ac:dyDescent="0.25">
      <c r="A387" s="3">
        <v>4</v>
      </c>
      <c r="B387" s="3" t="s">
        <v>147</v>
      </c>
      <c r="C387" s="3" t="s">
        <v>12</v>
      </c>
      <c r="D387" s="3" t="s">
        <v>444</v>
      </c>
      <c r="E387" s="11" t="s">
        <v>144</v>
      </c>
      <c r="F387" s="3" t="s">
        <v>8</v>
      </c>
      <c r="G387" s="48" t="s">
        <v>873</v>
      </c>
      <c r="H387" s="6"/>
      <c r="I387" s="8"/>
      <c r="J387" s="6" t="s">
        <v>111</v>
      </c>
      <c r="K387" s="38">
        <v>611913.04</v>
      </c>
      <c r="L387" s="4" t="s">
        <v>29</v>
      </c>
      <c r="M387" s="11">
        <f>_xlfn.NUMBERVALUE(LEFT(Table613[[#This Row],[Fiscal Year]], 4))</f>
        <v>2015</v>
      </c>
      <c r="N387" s="42">
        <f t="shared" si="11"/>
        <v>649688.98805164557</v>
      </c>
      <c r="O387" s="3">
        <v>385</v>
      </c>
    </row>
    <row r="388" spans="1:15" x14ac:dyDescent="0.25">
      <c r="A388" s="3">
        <v>4</v>
      </c>
      <c r="B388" s="3" t="s">
        <v>147</v>
      </c>
      <c r="C388" s="3" t="s">
        <v>12</v>
      </c>
      <c r="D388" s="3" t="s">
        <v>444</v>
      </c>
      <c r="E388" s="11" t="s">
        <v>144</v>
      </c>
      <c r="F388" s="3" t="s">
        <v>8</v>
      </c>
      <c r="G388" s="56" t="s">
        <v>874</v>
      </c>
      <c r="H388" s="52"/>
      <c r="I388" s="52"/>
      <c r="J388" s="6" t="s">
        <v>111</v>
      </c>
      <c r="K388" s="38">
        <v>3658000</v>
      </c>
      <c r="L388" s="4" t="s">
        <v>29</v>
      </c>
      <c r="M388" s="11">
        <f>_xlfn.NUMBERVALUE(LEFT(Table613[[#This Row],[Fiscal Year]], 4))</f>
        <v>2015</v>
      </c>
      <c r="N388" s="42">
        <f t="shared" si="11"/>
        <v>3883823.6202531643</v>
      </c>
      <c r="O388" s="3">
        <v>386</v>
      </c>
    </row>
    <row r="389" spans="1:15" x14ac:dyDescent="0.25">
      <c r="A389" s="3">
        <v>4</v>
      </c>
      <c r="B389" s="3" t="s">
        <v>147</v>
      </c>
      <c r="C389" s="3" t="s">
        <v>12</v>
      </c>
      <c r="D389" s="3" t="s">
        <v>444</v>
      </c>
      <c r="E389" s="11" t="s">
        <v>144</v>
      </c>
      <c r="F389" s="3" t="s">
        <v>8</v>
      </c>
      <c r="G389" s="48" t="s">
        <v>875</v>
      </c>
      <c r="H389" s="8"/>
      <c r="I389" s="8"/>
      <c r="J389" s="6" t="s">
        <v>111</v>
      </c>
      <c r="K389" s="38">
        <v>39583.35</v>
      </c>
      <c r="L389" s="4" t="s">
        <v>29</v>
      </c>
      <c r="M389" s="11">
        <f>_xlfn.NUMBERVALUE(LEFT(Table613[[#This Row],[Fiscal Year]], 4))</f>
        <v>2015</v>
      </c>
      <c r="N389" s="42">
        <f t="shared" si="11"/>
        <v>42026.995543670884</v>
      </c>
      <c r="O389" s="3">
        <v>387</v>
      </c>
    </row>
    <row r="390" spans="1:15" x14ac:dyDescent="0.25">
      <c r="A390" s="3">
        <v>4</v>
      </c>
      <c r="B390" s="3" t="s">
        <v>147</v>
      </c>
      <c r="C390" s="3" t="s">
        <v>12</v>
      </c>
      <c r="D390" s="3" t="s">
        <v>444</v>
      </c>
      <c r="E390" s="11" t="s">
        <v>144</v>
      </c>
      <c r="F390" s="3" t="s">
        <v>8</v>
      </c>
      <c r="G390" s="56" t="s">
        <v>876</v>
      </c>
      <c r="H390" s="52"/>
      <c r="I390" s="52"/>
      <c r="J390" s="6" t="s">
        <v>108</v>
      </c>
      <c r="K390" s="38">
        <v>5567.5</v>
      </c>
      <c r="L390" s="4" t="s">
        <v>29</v>
      </c>
      <c r="M390" s="11">
        <f>_xlfn.NUMBERVALUE(LEFT(Table613[[#This Row],[Fiscal Year]], 4))</f>
        <v>2015</v>
      </c>
      <c r="N390" s="42">
        <f t="shared" si="11"/>
        <v>5911.2050316455689</v>
      </c>
      <c r="O390" s="3">
        <v>388</v>
      </c>
    </row>
    <row r="391" spans="1:15" x14ac:dyDescent="0.25">
      <c r="A391" s="3">
        <v>4</v>
      </c>
      <c r="B391" s="3" t="s">
        <v>147</v>
      </c>
      <c r="C391" s="3" t="s">
        <v>12</v>
      </c>
      <c r="D391" s="3" t="s">
        <v>444</v>
      </c>
      <c r="E391" s="11" t="s">
        <v>144</v>
      </c>
      <c r="F391" s="3" t="s">
        <v>8</v>
      </c>
      <c r="G391" s="48" t="s">
        <v>877</v>
      </c>
      <c r="H391" s="8"/>
      <c r="I391" s="8"/>
      <c r="J391" s="6" t="s">
        <v>108</v>
      </c>
      <c r="K391" s="38">
        <v>4767.5</v>
      </c>
      <c r="L391" s="4" t="s">
        <v>29</v>
      </c>
      <c r="M391" s="11">
        <f>_xlfn.NUMBERVALUE(LEFT(Table613[[#This Row],[Fiscal Year]], 4))</f>
        <v>2015</v>
      </c>
      <c r="N391" s="42">
        <f t="shared" si="11"/>
        <v>5061.8176898734173</v>
      </c>
      <c r="O391" s="3">
        <v>389</v>
      </c>
    </row>
    <row r="392" spans="1:15" x14ac:dyDescent="0.25">
      <c r="A392" s="3">
        <v>4</v>
      </c>
      <c r="B392" s="3" t="s">
        <v>147</v>
      </c>
      <c r="C392" s="3" t="s">
        <v>12</v>
      </c>
      <c r="D392" s="3" t="s">
        <v>444</v>
      </c>
      <c r="E392" s="11" t="s">
        <v>144</v>
      </c>
      <c r="F392" s="3" t="s">
        <v>8</v>
      </c>
      <c r="G392" s="48" t="s">
        <v>878</v>
      </c>
      <c r="H392" s="8"/>
      <c r="I392" s="8"/>
      <c r="J392" s="6" t="s">
        <v>108</v>
      </c>
      <c r="K392" s="38">
        <v>5970</v>
      </c>
      <c r="L392" s="4" t="s">
        <v>29</v>
      </c>
      <c r="M392" s="11">
        <f>_xlfn.NUMBERVALUE(LEFT(Table613[[#This Row],[Fiscal Year]], 4))</f>
        <v>2015</v>
      </c>
      <c r="N392" s="42">
        <f t="shared" si="11"/>
        <v>6338.5530379746833</v>
      </c>
      <c r="O392" s="3">
        <v>390</v>
      </c>
    </row>
    <row r="393" spans="1:15" x14ac:dyDescent="0.25">
      <c r="A393" s="3">
        <v>4</v>
      </c>
      <c r="B393" s="3" t="s">
        <v>147</v>
      </c>
      <c r="C393" s="3" t="s">
        <v>12</v>
      </c>
      <c r="D393" s="3" t="s">
        <v>444</v>
      </c>
      <c r="E393" s="11" t="s">
        <v>144</v>
      </c>
      <c r="F393" s="3" t="s">
        <v>8</v>
      </c>
      <c r="G393" s="56" t="s">
        <v>879</v>
      </c>
      <c r="H393" s="8"/>
      <c r="I393" s="8"/>
      <c r="J393" s="6" t="s">
        <v>108</v>
      </c>
      <c r="K393" s="38">
        <v>0</v>
      </c>
      <c r="L393" s="4" t="s">
        <v>29</v>
      </c>
      <c r="M393" s="11">
        <f>_xlfn.NUMBERVALUE(LEFT(Table613[[#This Row],[Fiscal Year]], 4))</f>
        <v>2015</v>
      </c>
      <c r="N393" s="43">
        <f>K392*(1+VLOOKUP(M393,$AF$8:$AH$31,3,0))</f>
        <v>6338.5530379746833</v>
      </c>
      <c r="O393" s="3">
        <v>391</v>
      </c>
    </row>
    <row r="394" spans="1:15" x14ac:dyDescent="0.25">
      <c r="A394" s="3">
        <v>4</v>
      </c>
      <c r="B394" s="3" t="s">
        <v>147</v>
      </c>
      <c r="C394" s="3" t="s">
        <v>12</v>
      </c>
      <c r="D394" s="3" t="s">
        <v>444</v>
      </c>
      <c r="E394" s="11" t="s">
        <v>144</v>
      </c>
      <c r="F394" s="3" t="s">
        <v>8</v>
      </c>
      <c r="G394" s="56" t="s">
        <v>880</v>
      </c>
      <c r="H394" s="8"/>
      <c r="I394" s="8"/>
      <c r="J394" s="6" t="s">
        <v>76</v>
      </c>
      <c r="K394" s="38">
        <v>0</v>
      </c>
      <c r="L394" s="4" t="s">
        <v>29</v>
      </c>
      <c r="M394" s="11">
        <f>_xlfn.NUMBERVALUE(LEFT(Table613[[#This Row],[Fiscal Year]], 4))</f>
        <v>2015</v>
      </c>
      <c r="N394" s="43">
        <f>K393*(1+VLOOKUP(M394,$AF$8:$AH$31,3,0))</f>
        <v>0</v>
      </c>
      <c r="O394" s="3">
        <v>392</v>
      </c>
    </row>
    <row r="395" spans="1:15" x14ac:dyDescent="0.25">
      <c r="A395" s="3">
        <v>4</v>
      </c>
      <c r="B395" s="3" t="s">
        <v>147</v>
      </c>
      <c r="C395" s="3" t="s">
        <v>12</v>
      </c>
      <c r="D395" s="3" t="s">
        <v>444</v>
      </c>
      <c r="E395" s="11" t="s">
        <v>144</v>
      </c>
      <c r="F395" s="3" t="s">
        <v>8</v>
      </c>
      <c r="G395" s="56" t="s">
        <v>881</v>
      </c>
      <c r="H395" s="8"/>
      <c r="I395" s="8"/>
      <c r="J395" s="6" t="s">
        <v>108</v>
      </c>
      <c r="K395" s="38" t="s">
        <v>827</v>
      </c>
      <c r="L395" s="4" t="s">
        <v>29</v>
      </c>
      <c r="M395" s="11">
        <f>_xlfn.NUMBERVALUE(LEFT(Table613[[#This Row],[Fiscal Year]], 4))</f>
        <v>2015</v>
      </c>
      <c r="O395" s="3">
        <v>393</v>
      </c>
    </row>
    <row r="396" spans="1:15" x14ac:dyDescent="0.25">
      <c r="A396" s="3">
        <v>4</v>
      </c>
      <c r="B396" s="3" t="s">
        <v>147</v>
      </c>
      <c r="C396" s="3" t="s">
        <v>12</v>
      </c>
      <c r="D396" s="3" t="s">
        <v>444</v>
      </c>
      <c r="E396" s="11" t="s">
        <v>144</v>
      </c>
      <c r="F396" s="3" t="s">
        <v>8</v>
      </c>
      <c r="G396" s="48" t="s">
        <v>882</v>
      </c>
      <c r="H396" s="8"/>
      <c r="I396" s="8"/>
      <c r="J396" s="6" t="s">
        <v>108</v>
      </c>
      <c r="K396" s="38">
        <v>0</v>
      </c>
      <c r="L396" s="4" t="s">
        <v>29</v>
      </c>
      <c r="M396" s="11">
        <f>_xlfn.NUMBERVALUE(LEFT(Table613[[#This Row],[Fiscal Year]], 4))</f>
        <v>2015</v>
      </c>
      <c r="N396" s="42">
        <f t="shared" ref="N396:N458" si="12">K396*(1+VLOOKUP(M396,$AF$8:$AH$31,3,0))</f>
        <v>0</v>
      </c>
      <c r="O396" s="3">
        <v>394</v>
      </c>
    </row>
    <row r="397" spans="1:15" x14ac:dyDescent="0.25">
      <c r="A397" s="3">
        <v>4</v>
      </c>
      <c r="B397" s="3" t="s">
        <v>147</v>
      </c>
      <c r="C397" s="3" t="s">
        <v>12</v>
      </c>
      <c r="D397" s="3" t="s">
        <v>444</v>
      </c>
      <c r="E397" s="11" t="s">
        <v>144</v>
      </c>
      <c r="F397" s="3" t="s">
        <v>8</v>
      </c>
      <c r="G397" s="56" t="s">
        <v>884</v>
      </c>
      <c r="H397" s="52"/>
      <c r="I397" s="52"/>
      <c r="J397" s="6" t="s">
        <v>106</v>
      </c>
      <c r="K397" s="38">
        <v>51403.98</v>
      </c>
      <c r="L397" s="4" t="s">
        <v>29</v>
      </c>
      <c r="M397" s="11">
        <f>_xlfn.NUMBERVALUE(LEFT(Table613[[#This Row],[Fiscal Year]], 4))</f>
        <v>2015</v>
      </c>
      <c r="N397" s="42">
        <f t="shared" si="12"/>
        <v>54577.362410886075</v>
      </c>
      <c r="O397" s="3">
        <v>395</v>
      </c>
    </row>
    <row r="398" spans="1:15" x14ac:dyDescent="0.25">
      <c r="A398" s="3">
        <v>4</v>
      </c>
      <c r="B398" s="3" t="s">
        <v>147</v>
      </c>
      <c r="C398" s="3" t="s">
        <v>12</v>
      </c>
      <c r="D398" s="3" t="s">
        <v>444</v>
      </c>
      <c r="E398" s="11" t="s">
        <v>144</v>
      </c>
      <c r="F398" s="3" t="s">
        <v>8</v>
      </c>
      <c r="G398" s="48" t="s">
        <v>883</v>
      </c>
      <c r="H398" s="50" t="s">
        <v>618</v>
      </c>
      <c r="I398" s="50" t="s">
        <v>588</v>
      </c>
      <c r="J398" s="6" t="s">
        <v>106</v>
      </c>
      <c r="K398" s="38">
        <v>11126.4</v>
      </c>
      <c r="L398" s="4" t="s">
        <v>29</v>
      </c>
      <c r="M398" s="11">
        <f>_xlfn.NUMBERVALUE(LEFT(Table613[[#This Row],[Fiscal Year]], 4))</f>
        <v>2015</v>
      </c>
      <c r="N398" s="42">
        <f t="shared" si="12"/>
        <v>11813.279149367088</v>
      </c>
      <c r="O398" s="3">
        <v>396</v>
      </c>
    </row>
    <row r="399" spans="1:15" x14ac:dyDescent="0.25">
      <c r="A399" s="3">
        <v>4</v>
      </c>
      <c r="B399" s="3" t="s">
        <v>147</v>
      </c>
      <c r="C399" s="3" t="s">
        <v>12</v>
      </c>
      <c r="D399" s="3" t="s">
        <v>444</v>
      </c>
      <c r="E399" s="11" t="s">
        <v>144</v>
      </c>
      <c r="F399" s="3" t="s">
        <v>8</v>
      </c>
      <c r="G399" s="56" t="s">
        <v>885</v>
      </c>
      <c r="H399" s="52"/>
      <c r="I399" s="52"/>
      <c r="J399" s="6" t="s">
        <v>76</v>
      </c>
      <c r="K399" s="38">
        <v>425</v>
      </c>
      <c r="L399" s="4" t="s">
        <v>29</v>
      </c>
      <c r="M399" s="11">
        <f>_xlfn.NUMBERVALUE(LEFT(Table613[[#This Row],[Fiscal Year]], 4))</f>
        <v>2015</v>
      </c>
      <c r="N399" s="42">
        <f t="shared" si="12"/>
        <v>451.23702531645569</v>
      </c>
      <c r="O399" s="3">
        <v>397</v>
      </c>
    </row>
    <row r="400" spans="1:15" x14ac:dyDescent="0.25">
      <c r="E400" s="11"/>
      <c r="G400" s="48"/>
      <c r="H400" s="8"/>
      <c r="I400" s="8"/>
      <c r="J400" s="6"/>
      <c r="L400" s="4"/>
      <c r="O400" s="3">
        <v>398</v>
      </c>
    </row>
    <row r="401" spans="1:15" x14ac:dyDescent="0.25">
      <c r="A401" s="3">
        <v>4</v>
      </c>
      <c r="B401" s="3" t="s">
        <v>148</v>
      </c>
      <c r="C401" s="1" t="s">
        <v>12</v>
      </c>
      <c r="D401" s="1" t="s">
        <v>444</v>
      </c>
      <c r="E401" s="11" t="s">
        <v>144</v>
      </c>
      <c r="F401" s="3" t="s">
        <v>8</v>
      </c>
      <c r="G401" s="56" t="s">
        <v>829</v>
      </c>
      <c r="H401" s="8"/>
      <c r="I401" s="8"/>
      <c r="J401" s="6" t="s">
        <v>110</v>
      </c>
      <c r="K401" s="38">
        <v>80000</v>
      </c>
      <c r="L401" s="4" t="s">
        <v>29</v>
      </c>
      <c r="M401" s="11">
        <f>_xlfn.NUMBERVALUE(LEFT(Table613[[#This Row],[Fiscal Year]], 4))</f>
        <v>2015</v>
      </c>
      <c r="N401" s="42">
        <f t="shared" si="12"/>
        <v>84938.734177215185</v>
      </c>
      <c r="O401" s="3">
        <v>399</v>
      </c>
    </row>
    <row r="402" spans="1:15" x14ac:dyDescent="0.25">
      <c r="A402" s="3">
        <v>4</v>
      </c>
      <c r="B402" s="3" t="s">
        <v>148</v>
      </c>
      <c r="C402" s="1" t="s">
        <v>12</v>
      </c>
      <c r="D402" s="1" t="s">
        <v>444</v>
      </c>
      <c r="E402" s="11" t="s">
        <v>144</v>
      </c>
      <c r="F402" s="3" t="s">
        <v>8</v>
      </c>
      <c r="G402" s="66" t="s">
        <v>886</v>
      </c>
      <c r="H402" s="8"/>
      <c r="I402" s="8"/>
      <c r="J402" s="6" t="s">
        <v>453</v>
      </c>
      <c r="K402" s="38">
        <v>20000</v>
      </c>
      <c r="L402" s="4" t="s">
        <v>29</v>
      </c>
      <c r="M402" s="11">
        <f>_xlfn.NUMBERVALUE(LEFT(Table613[[#This Row],[Fiscal Year]], 4))</f>
        <v>2015</v>
      </c>
      <c r="N402" s="42">
        <f t="shared" si="12"/>
        <v>21234.683544303796</v>
      </c>
      <c r="O402" s="3">
        <v>400</v>
      </c>
    </row>
    <row r="403" spans="1:15" x14ac:dyDescent="0.25">
      <c r="A403" s="3">
        <v>4</v>
      </c>
      <c r="B403" s="3" t="s">
        <v>148</v>
      </c>
      <c r="C403" s="1" t="s">
        <v>12</v>
      </c>
      <c r="D403" s="1" t="s">
        <v>444</v>
      </c>
      <c r="E403" s="11" t="s">
        <v>144</v>
      </c>
      <c r="F403" s="3" t="s">
        <v>8</v>
      </c>
      <c r="G403" s="66" t="s">
        <v>845</v>
      </c>
      <c r="H403" s="8"/>
      <c r="I403" s="8"/>
      <c r="J403" s="6" t="s">
        <v>109</v>
      </c>
      <c r="K403" s="38">
        <v>80000</v>
      </c>
      <c r="L403" s="4" t="s">
        <v>29</v>
      </c>
      <c r="M403" s="11">
        <f>_xlfn.NUMBERVALUE(LEFT(Table613[[#This Row],[Fiscal Year]], 4))</f>
        <v>2015</v>
      </c>
      <c r="N403" s="42">
        <f t="shared" si="12"/>
        <v>84938.734177215185</v>
      </c>
      <c r="O403" s="3">
        <v>401</v>
      </c>
    </row>
    <row r="404" spans="1:15" x14ac:dyDescent="0.25">
      <c r="A404" s="3">
        <v>4</v>
      </c>
      <c r="B404" s="3" t="s">
        <v>148</v>
      </c>
      <c r="C404" s="1" t="s">
        <v>12</v>
      </c>
      <c r="D404" s="1" t="s">
        <v>444</v>
      </c>
      <c r="E404" s="11" t="s">
        <v>144</v>
      </c>
      <c r="F404" s="3" t="s">
        <v>8</v>
      </c>
      <c r="G404" s="48" t="s">
        <v>846</v>
      </c>
      <c r="H404" s="8"/>
      <c r="I404" s="8"/>
      <c r="J404" s="6" t="s">
        <v>111</v>
      </c>
      <c r="K404" s="38">
        <v>18000</v>
      </c>
      <c r="L404" s="4" t="s">
        <v>29</v>
      </c>
      <c r="M404" s="11">
        <f>_xlfn.NUMBERVALUE(LEFT(Table613[[#This Row],[Fiscal Year]], 4))</f>
        <v>2015</v>
      </c>
      <c r="N404" s="42">
        <f t="shared" si="12"/>
        <v>19111.215189873416</v>
      </c>
      <c r="O404" s="3">
        <v>402</v>
      </c>
    </row>
    <row r="405" spans="1:15" x14ac:dyDescent="0.25">
      <c r="A405" s="3">
        <v>4</v>
      </c>
      <c r="B405" s="3" t="s">
        <v>148</v>
      </c>
      <c r="C405" s="1" t="s">
        <v>12</v>
      </c>
      <c r="D405" s="1" t="s">
        <v>444</v>
      </c>
      <c r="E405" s="11" t="s">
        <v>144</v>
      </c>
      <c r="F405" s="3" t="s">
        <v>8</v>
      </c>
      <c r="G405" s="66" t="s">
        <v>847</v>
      </c>
      <c r="H405" s="8"/>
      <c r="I405" s="8"/>
      <c r="J405" s="6" t="s">
        <v>111</v>
      </c>
      <c r="K405" s="38">
        <v>27000</v>
      </c>
      <c r="L405" s="4" t="s">
        <v>29</v>
      </c>
      <c r="M405" s="11">
        <f>_xlfn.NUMBERVALUE(LEFT(Table613[[#This Row],[Fiscal Year]], 4))</f>
        <v>2015</v>
      </c>
      <c r="N405" s="42">
        <f t="shared" si="12"/>
        <v>28666.822784810123</v>
      </c>
      <c r="O405" s="3">
        <v>403</v>
      </c>
    </row>
    <row r="406" spans="1:15" x14ac:dyDescent="0.25">
      <c r="A406" s="3">
        <v>4</v>
      </c>
      <c r="B406" s="3" t="s">
        <v>148</v>
      </c>
      <c r="C406" s="1" t="s">
        <v>12</v>
      </c>
      <c r="D406" s="1" t="s">
        <v>444</v>
      </c>
      <c r="E406" s="11" t="s">
        <v>144</v>
      </c>
      <c r="F406" s="3" t="s">
        <v>8</v>
      </c>
      <c r="G406" s="48" t="s">
        <v>857</v>
      </c>
      <c r="H406" s="8"/>
      <c r="I406" s="8"/>
      <c r="J406" s="6" t="s">
        <v>108</v>
      </c>
      <c r="K406" s="38">
        <v>1800000</v>
      </c>
      <c r="L406" s="4" t="s">
        <v>29</v>
      </c>
      <c r="M406" s="11">
        <f>_xlfn.NUMBERVALUE(LEFT(Table613[[#This Row],[Fiscal Year]], 4))</f>
        <v>2015</v>
      </c>
      <c r="N406" s="42">
        <f t="shared" si="12"/>
        <v>1911121.5189873416</v>
      </c>
      <c r="O406" s="3">
        <v>404</v>
      </c>
    </row>
    <row r="407" spans="1:15" x14ac:dyDescent="0.25">
      <c r="A407" s="3">
        <v>4</v>
      </c>
      <c r="B407" s="3" t="s">
        <v>148</v>
      </c>
      <c r="C407" s="1" t="s">
        <v>12</v>
      </c>
      <c r="D407" s="1" t="s">
        <v>444</v>
      </c>
      <c r="E407" s="11" t="s">
        <v>144</v>
      </c>
      <c r="F407" s="3" t="s">
        <v>8</v>
      </c>
      <c r="G407" s="66" t="s">
        <v>849</v>
      </c>
      <c r="H407" s="8"/>
      <c r="I407" s="8"/>
      <c r="J407" s="6" t="s">
        <v>106</v>
      </c>
      <c r="K407" s="38">
        <v>31000</v>
      </c>
      <c r="L407" s="4" t="s">
        <v>29</v>
      </c>
      <c r="M407" s="11">
        <f>_xlfn.NUMBERVALUE(LEFT(Table613[[#This Row],[Fiscal Year]], 4))</f>
        <v>2015</v>
      </c>
      <c r="N407" s="42">
        <f t="shared" si="12"/>
        <v>32913.759493670885</v>
      </c>
      <c r="O407" s="3">
        <v>405</v>
      </c>
    </row>
    <row r="408" spans="1:15" x14ac:dyDescent="0.25">
      <c r="A408" s="3">
        <v>4</v>
      </c>
      <c r="B408" s="3" t="s">
        <v>148</v>
      </c>
      <c r="C408" s="1" t="s">
        <v>12</v>
      </c>
      <c r="D408" s="1" t="s">
        <v>444</v>
      </c>
      <c r="E408" s="11" t="s">
        <v>144</v>
      </c>
      <c r="F408" s="3" t="s">
        <v>8</v>
      </c>
      <c r="G408" s="66" t="s">
        <v>887</v>
      </c>
      <c r="H408" s="8"/>
      <c r="I408" s="8"/>
      <c r="J408" s="6" t="s">
        <v>455</v>
      </c>
      <c r="K408" s="38">
        <v>20000</v>
      </c>
      <c r="L408" s="4" t="s">
        <v>29</v>
      </c>
      <c r="M408" s="11">
        <f>_xlfn.NUMBERVALUE(LEFT(Table613[[#This Row],[Fiscal Year]], 4))</f>
        <v>2015</v>
      </c>
      <c r="N408" s="42">
        <f t="shared" si="12"/>
        <v>21234.683544303796</v>
      </c>
      <c r="O408" s="3">
        <v>406</v>
      </c>
    </row>
    <row r="409" spans="1:15" x14ac:dyDescent="0.25">
      <c r="A409" s="3">
        <v>4</v>
      </c>
      <c r="B409" s="3" t="s">
        <v>148</v>
      </c>
      <c r="C409" s="1" t="s">
        <v>12</v>
      </c>
      <c r="D409" s="1" t="s">
        <v>444</v>
      </c>
      <c r="E409" s="11" t="s">
        <v>144</v>
      </c>
      <c r="F409" s="3" t="s">
        <v>8</v>
      </c>
      <c r="G409" s="66" t="s">
        <v>851</v>
      </c>
      <c r="H409" s="8"/>
      <c r="I409" s="8"/>
      <c r="J409" s="6" t="s">
        <v>76</v>
      </c>
      <c r="K409" s="38">
        <v>0</v>
      </c>
      <c r="L409" s="4" t="s">
        <v>29</v>
      </c>
      <c r="M409" s="11">
        <f>_xlfn.NUMBERVALUE(LEFT(Table613[[#This Row],[Fiscal Year]], 4))</f>
        <v>2015</v>
      </c>
      <c r="N409" s="43">
        <f t="shared" si="12"/>
        <v>0</v>
      </c>
      <c r="O409" s="3">
        <v>407</v>
      </c>
    </row>
    <row r="410" spans="1:15" x14ac:dyDescent="0.25">
      <c r="A410" s="3">
        <v>4</v>
      </c>
      <c r="B410" s="3" t="s">
        <v>148</v>
      </c>
      <c r="C410" s="1" t="s">
        <v>12</v>
      </c>
      <c r="D410" s="1" t="s">
        <v>444</v>
      </c>
      <c r="E410" s="11" t="s">
        <v>144</v>
      </c>
      <c r="F410" s="3" t="s">
        <v>8</v>
      </c>
      <c r="G410" s="66" t="s">
        <v>852</v>
      </c>
      <c r="H410" s="8"/>
      <c r="I410" s="8"/>
      <c r="J410" s="6" t="s">
        <v>76</v>
      </c>
      <c r="K410" s="38">
        <v>5000</v>
      </c>
      <c r="L410" s="4" t="s">
        <v>29</v>
      </c>
      <c r="M410" s="11">
        <f>_xlfn.NUMBERVALUE(LEFT(Table613[[#This Row],[Fiscal Year]], 4))</f>
        <v>2015</v>
      </c>
      <c r="N410" s="42">
        <f t="shared" si="12"/>
        <v>5308.6708860759491</v>
      </c>
      <c r="O410" s="3">
        <v>408</v>
      </c>
    </row>
    <row r="411" spans="1:15" x14ac:dyDescent="0.25">
      <c r="A411" s="3">
        <v>4</v>
      </c>
      <c r="B411" s="3" t="s">
        <v>148</v>
      </c>
      <c r="C411" s="1" t="s">
        <v>12</v>
      </c>
      <c r="D411" s="1" t="s">
        <v>444</v>
      </c>
      <c r="E411" s="11" t="s">
        <v>144</v>
      </c>
      <c r="F411" s="3" t="s">
        <v>8</v>
      </c>
      <c r="G411" s="66" t="s">
        <v>853</v>
      </c>
      <c r="H411" s="8"/>
      <c r="I411" s="8"/>
      <c r="J411" s="6" t="s">
        <v>76</v>
      </c>
      <c r="K411" s="38">
        <v>260000</v>
      </c>
      <c r="L411" s="4" t="s">
        <v>29</v>
      </c>
      <c r="M411" s="11">
        <f>_xlfn.NUMBERVALUE(LEFT(Table613[[#This Row],[Fiscal Year]], 4))</f>
        <v>2015</v>
      </c>
      <c r="N411" s="42">
        <f t="shared" si="12"/>
        <v>276050.88607594935</v>
      </c>
      <c r="O411" s="3">
        <v>409</v>
      </c>
    </row>
    <row r="412" spans="1:15" x14ac:dyDescent="0.25">
      <c r="A412" s="3">
        <v>4</v>
      </c>
      <c r="B412" s="3" t="s">
        <v>148</v>
      </c>
      <c r="C412" s="1" t="s">
        <v>12</v>
      </c>
      <c r="D412" s="1" t="s">
        <v>444</v>
      </c>
      <c r="E412" s="11" t="s">
        <v>144</v>
      </c>
      <c r="F412" s="3" t="s">
        <v>8</v>
      </c>
      <c r="G412" s="63" t="s">
        <v>854</v>
      </c>
      <c r="H412" s="8"/>
      <c r="I412" s="8"/>
      <c r="J412" s="6" t="s">
        <v>47</v>
      </c>
      <c r="K412" s="38">
        <v>60000</v>
      </c>
      <c r="L412" s="4" t="s">
        <v>29</v>
      </c>
      <c r="M412" s="11">
        <f>_xlfn.NUMBERVALUE(LEFT(Table613[[#This Row],[Fiscal Year]], 4))</f>
        <v>2015</v>
      </c>
      <c r="N412" s="42">
        <f t="shared" si="12"/>
        <v>63704.050632911392</v>
      </c>
      <c r="O412" s="3">
        <v>410</v>
      </c>
    </row>
    <row r="413" spans="1:15" x14ac:dyDescent="0.25">
      <c r="A413" s="3">
        <v>4</v>
      </c>
      <c r="B413" s="3" t="s">
        <v>148</v>
      </c>
      <c r="C413" s="1" t="s">
        <v>12</v>
      </c>
      <c r="D413" s="1" t="s">
        <v>444</v>
      </c>
      <c r="E413" s="11" t="s">
        <v>144</v>
      </c>
      <c r="F413" s="3" t="s">
        <v>8</v>
      </c>
      <c r="G413" s="63" t="s">
        <v>855</v>
      </c>
      <c r="H413" s="8"/>
      <c r="I413" s="8"/>
      <c r="J413" s="6" t="s">
        <v>455</v>
      </c>
      <c r="K413" s="38">
        <v>25000</v>
      </c>
      <c r="L413" s="4" t="s">
        <v>29</v>
      </c>
      <c r="M413" s="11">
        <f>_xlfn.NUMBERVALUE(LEFT(Table613[[#This Row],[Fiscal Year]], 4))</f>
        <v>2015</v>
      </c>
      <c r="N413" s="42">
        <f t="shared" si="12"/>
        <v>26543.354430379746</v>
      </c>
      <c r="O413" s="3">
        <v>411</v>
      </c>
    </row>
    <row r="414" spans="1:15" x14ac:dyDescent="0.25">
      <c r="C414" s="1"/>
      <c r="D414" s="1"/>
      <c r="E414" s="11"/>
      <c r="G414" s="66"/>
      <c r="H414" s="8"/>
      <c r="I414" s="8"/>
      <c r="J414" s="6"/>
      <c r="L414" s="4"/>
      <c r="O414" s="3">
        <v>412</v>
      </c>
    </row>
    <row r="415" spans="1:15" x14ac:dyDescent="0.25">
      <c r="A415" s="3">
        <v>4</v>
      </c>
      <c r="B415" s="3" t="s">
        <v>149</v>
      </c>
      <c r="C415" s="1" t="s">
        <v>12</v>
      </c>
      <c r="D415" s="1" t="s">
        <v>444</v>
      </c>
      <c r="E415" s="11" t="s">
        <v>144</v>
      </c>
      <c r="F415" s="3" t="s">
        <v>8</v>
      </c>
      <c r="G415" s="48" t="s">
        <v>32</v>
      </c>
      <c r="H415" s="8"/>
      <c r="I415" s="8"/>
      <c r="J415" s="6" t="s">
        <v>110</v>
      </c>
      <c r="K415" s="38">
        <v>28621</v>
      </c>
      <c r="L415" s="4" t="s">
        <v>29</v>
      </c>
      <c r="M415" s="11">
        <f>_xlfn.NUMBERVALUE(LEFT(Table613[[#This Row],[Fiscal Year]], 4))</f>
        <v>2015</v>
      </c>
      <c r="N415" s="42">
        <f t="shared" si="12"/>
        <v>30387.893886075948</v>
      </c>
      <c r="O415" s="3">
        <v>413</v>
      </c>
    </row>
    <row r="416" spans="1:15" x14ac:dyDescent="0.25">
      <c r="A416" s="3">
        <v>4</v>
      </c>
      <c r="B416" s="3" t="s">
        <v>149</v>
      </c>
      <c r="C416" s="1" t="s">
        <v>12</v>
      </c>
      <c r="D416" s="1" t="s">
        <v>444</v>
      </c>
      <c r="E416" s="11" t="s">
        <v>144</v>
      </c>
      <c r="F416" s="3" t="s">
        <v>8</v>
      </c>
      <c r="G416" s="66" t="s">
        <v>58</v>
      </c>
      <c r="H416" s="8"/>
      <c r="I416" s="8"/>
      <c r="J416" s="6" t="s">
        <v>453</v>
      </c>
      <c r="K416" s="38">
        <v>65805.13</v>
      </c>
      <c r="L416" s="4" t="s">
        <v>29</v>
      </c>
      <c r="M416" s="11">
        <f>_xlfn.NUMBERVALUE(LEFT(Table613[[#This Row],[Fiscal Year]], 4))</f>
        <v>2015</v>
      </c>
      <c r="N416" s="42">
        <f t="shared" si="12"/>
        <v>69867.555557088606</v>
      </c>
      <c r="O416" s="3">
        <v>414</v>
      </c>
    </row>
    <row r="417" spans="1:15" x14ac:dyDescent="0.25">
      <c r="A417" s="3">
        <v>4</v>
      </c>
      <c r="B417" s="3" t="s">
        <v>149</v>
      </c>
      <c r="C417" s="1" t="s">
        <v>12</v>
      </c>
      <c r="D417" s="1" t="s">
        <v>444</v>
      </c>
      <c r="E417" s="11" t="s">
        <v>144</v>
      </c>
      <c r="F417" s="3" t="s">
        <v>8</v>
      </c>
      <c r="G417" s="66" t="s">
        <v>208</v>
      </c>
      <c r="H417" s="8"/>
      <c r="I417" s="8"/>
      <c r="J417" s="6" t="s">
        <v>109</v>
      </c>
      <c r="K417" s="38">
        <v>138831.17000000001</v>
      </c>
      <c r="L417" s="4" t="s">
        <v>29</v>
      </c>
      <c r="M417" s="11">
        <f>_xlfn.NUMBERVALUE(LEFT(Table613[[#This Row],[Fiscal Year]], 4))</f>
        <v>2015</v>
      </c>
      <c r="N417" s="42">
        <f t="shared" si="12"/>
        <v>147401.79805177214</v>
      </c>
      <c r="O417" s="3">
        <v>415</v>
      </c>
    </row>
    <row r="418" spans="1:15" x14ac:dyDescent="0.25">
      <c r="A418" s="3">
        <v>4</v>
      </c>
      <c r="B418" s="3" t="s">
        <v>149</v>
      </c>
      <c r="C418" s="1" t="s">
        <v>12</v>
      </c>
      <c r="D418" s="1" t="s">
        <v>444</v>
      </c>
      <c r="E418" s="11" t="s">
        <v>144</v>
      </c>
      <c r="F418" s="3" t="s">
        <v>8</v>
      </c>
      <c r="G418" s="48" t="s">
        <v>59</v>
      </c>
      <c r="H418" s="8"/>
      <c r="I418" s="8"/>
      <c r="J418" s="6" t="s">
        <v>111</v>
      </c>
      <c r="K418" s="38" t="s">
        <v>28</v>
      </c>
      <c r="L418" s="4" t="s">
        <v>29</v>
      </c>
      <c r="M418" s="11">
        <f>_xlfn.NUMBERVALUE(LEFT(Table613[[#This Row],[Fiscal Year]], 4))</f>
        <v>2015</v>
      </c>
      <c r="O418" s="3">
        <v>416</v>
      </c>
    </row>
    <row r="419" spans="1:15" x14ac:dyDescent="0.25">
      <c r="A419" s="3">
        <v>4</v>
      </c>
      <c r="B419" s="3" t="s">
        <v>149</v>
      </c>
      <c r="C419" s="1" t="s">
        <v>12</v>
      </c>
      <c r="D419" s="1" t="s">
        <v>444</v>
      </c>
      <c r="E419" s="11" t="s">
        <v>144</v>
      </c>
      <c r="F419" s="3" t="s">
        <v>8</v>
      </c>
      <c r="G419" s="66" t="s">
        <v>60</v>
      </c>
      <c r="H419" s="8"/>
      <c r="I419" s="8"/>
      <c r="J419" s="6" t="s">
        <v>111</v>
      </c>
      <c r="K419" s="38">
        <v>3270</v>
      </c>
      <c r="L419" s="4" t="s">
        <v>29</v>
      </c>
      <c r="M419" s="11">
        <f>_xlfn.NUMBERVALUE(LEFT(Table613[[#This Row],[Fiscal Year]], 4))</f>
        <v>2015</v>
      </c>
      <c r="N419" s="42">
        <f t="shared" si="12"/>
        <v>3471.8707594936709</v>
      </c>
      <c r="O419" s="3">
        <v>417</v>
      </c>
    </row>
    <row r="420" spans="1:15" x14ac:dyDescent="0.25">
      <c r="A420" s="3">
        <v>4</v>
      </c>
      <c r="B420" s="3" t="s">
        <v>149</v>
      </c>
      <c r="C420" s="1" t="s">
        <v>12</v>
      </c>
      <c r="D420" s="1" t="s">
        <v>444</v>
      </c>
      <c r="E420" s="11" t="s">
        <v>144</v>
      </c>
      <c r="F420" s="3" t="s">
        <v>8</v>
      </c>
      <c r="G420" s="48" t="s">
        <v>61</v>
      </c>
      <c r="H420" s="8"/>
      <c r="I420" s="8"/>
      <c r="J420" s="6" t="s">
        <v>108</v>
      </c>
      <c r="K420" s="38">
        <v>13950</v>
      </c>
      <c r="L420" s="4" t="s">
        <v>29</v>
      </c>
      <c r="M420" s="11">
        <f>_xlfn.NUMBERVALUE(LEFT(Table613[[#This Row],[Fiscal Year]], 4))</f>
        <v>2015</v>
      </c>
      <c r="N420" s="42">
        <f t="shared" si="12"/>
        <v>14811.191772151898</v>
      </c>
      <c r="O420" s="3">
        <v>418</v>
      </c>
    </row>
    <row r="421" spans="1:15" x14ac:dyDescent="0.25">
      <c r="A421" s="3">
        <v>4</v>
      </c>
      <c r="B421" s="3" t="s">
        <v>149</v>
      </c>
      <c r="C421" s="1" t="s">
        <v>12</v>
      </c>
      <c r="D421" s="1" t="s">
        <v>444</v>
      </c>
      <c r="E421" s="11" t="s">
        <v>144</v>
      </c>
      <c r="F421" s="3" t="s">
        <v>8</v>
      </c>
      <c r="G421" s="66" t="s">
        <v>62</v>
      </c>
      <c r="H421" s="8"/>
      <c r="I421" s="8"/>
      <c r="J421" s="6" t="s">
        <v>106</v>
      </c>
      <c r="K421" s="39" t="s">
        <v>213</v>
      </c>
      <c r="L421" s="4" t="s">
        <v>29</v>
      </c>
      <c r="M421" s="11">
        <f>_xlfn.NUMBERVALUE(LEFT(Table613[[#This Row],[Fiscal Year]], 4))</f>
        <v>2015</v>
      </c>
      <c r="O421" s="3">
        <v>419</v>
      </c>
    </row>
    <row r="422" spans="1:15" x14ac:dyDescent="0.25">
      <c r="A422" s="3">
        <v>4</v>
      </c>
      <c r="B422" s="3" t="s">
        <v>149</v>
      </c>
      <c r="C422" s="1" t="s">
        <v>12</v>
      </c>
      <c r="D422" s="1" t="s">
        <v>444</v>
      </c>
      <c r="E422" s="11" t="s">
        <v>144</v>
      </c>
      <c r="F422" s="3" t="s">
        <v>8</v>
      </c>
      <c r="G422" s="66" t="s">
        <v>211</v>
      </c>
      <c r="H422" s="8"/>
      <c r="I422" s="8"/>
      <c r="J422" s="6" t="s">
        <v>455</v>
      </c>
      <c r="K422" s="38">
        <v>1160000</v>
      </c>
      <c r="L422" s="4" t="s">
        <v>29</v>
      </c>
      <c r="M422" s="11">
        <f>_xlfn.NUMBERVALUE(LEFT(Table613[[#This Row],[Fiscal Year]], 4))</f>
        <v>2015</v>
      </c>
      <c r="N422" s="42">
        <f t="shared" si="12"/>
        <v>1231611.6455696202</v>
      </c>
      <c r="O422" s="3">
        <v>420</v>
      </c>
    </row>
    <row r="423" spans="1:15" x14ac:dyDescent="0.25">
      <c r="A423" s="3">
        <v>4</v>
      </c>
      <c r="B423" s="3" t="s">
        <v>149</v>
      </c>
      <c r="C423" s="1" t="s">
        <v>12</v>
      </c>
      <c r="D423" s="1" t="s">
        <v>444</v>
      </c>
      <c r="E423" s="11" t="s">
        <v>144</v>
      </c>
      <c r="F423" s="3" t="s">
        <v>8</v>
      </c>
      <c r="G423" s="66" t="s">
        <v>64</v>
      </c>
      <c r="H423" s="8"/>
      <c r="I423" s="8"/>
      <c r="J423" s="6" t="s">
        <v>76</v>
      </c>
      <c r="K423" s="38">
        <v>0</v>
      </c>
      <c r="L423" s="4" t="s">
        <v>29</v>
      </c>
      <c r="M423" s="11">
        <f>_xlfn.NUMBERVALUE(LEFT(Table613[[#This Row],[Fiscal Year]], 4))</f>
        <v>2015</v>
      </c>
      <c r="N423" s="43">
        <f t="shared" si="12"/>
        <v>0</v>
      </c>
      <c r="O423" s="3">
        <v>421</v>
      </c>
    </row>
    <row r="424" spans="1:15" x14ac:dyDescent="0.25">
      <c r="A424" s="3">
        <v>4</v>
      </c>
      <c r="B424" s="3" t="s">
        <v>149</v>
      </c>
      <c r="C424" s="1" t="s">
        <v>12</v>
      </c>
      <c r="D424" s="1" t="s">
        <v>444</v>
      </c>
      <c r="E424" s="11" t="s">
        <v>144</v>
      </c>
      <c r="F424" s="3" t="s">
        <v>8</v>
      </c>
      <c r="G424" s="66" t="s">
        <v>65</v>
      </c>
      <c r="H424" s="8"/>
      <c r="I424" s="8"/>
      <c r="J424" s="6" t="s">
        <v>76</v>
      </c>
      <c r="K424" s="38">
        <v>313316</v>
      </c>
      <c r="L424" s="4" t="s">
        <v>29</v>
      </c>
      <c r="M424" s="11">
        <f>_xlfn.NUMBERVALUE(LEFT(Table613[[#This Row],[Fiscal Year]], 4))</f>
        <v>2015</v>
      </c>
      <c r="N424" s="42">
        <f>K424*(1+VLOOKUP(M424,$AF$8:$AH$31,3,0))</f>
        <v>332658.30546835443</v>
      </c>
      <c r="O424" s="3">
        <v>422</v>
      </c>
    </row>
    <row r="425" spans="1:15" x14ac:dyDescent="0.25">
      <c r="A425" s="3">
        <v>4</v>
      </c>
      <c r="B425" s="3" t="s">
        <v>149</v>
      </c>
      <c r="C425" s="1" t="s">
        <v>12</v>
      </c>
      <c r="D425" s="1" t="s">
        <v>444</v>
      </c>
      <c r="E425" s="11" t="s">
        <v>144</v>
      </c>
      <c r="F425" s="3" t="s">
        <v>8</v>
      </c>
      <c r="G425" s="66" t="s">
        <v>66</v>
      </c>
      <c r="H425" s="8"/>
      <c r="I425" s="8"/>
      <c r="J425" s="6" t="s">
        <v>76</v>
      </c>
      <c r="K425" s="38">
        <v>0</v>
      </c>
      <c r="L425" s="4" t="s">
        <v>29</v>
      </c>
      <c r="M425" s="11">
        <f>_xlfn.NUMBERVALUE(LEFT(Table613[[#This Row],[Fiscal Year]], 4))</f>
        <v>2015</v>
      </c>
      <c r="N425" s="43">
        <f t="shared" si="12"/>
        <v>0</v>
      </c>
      <c r="O425" s="3">
        <v>423</v>
      </c>
    </row>
    <row r="426" spans="1:15" x14ac:dyDescent="0.25">
      <c r="A426" s="3">
        <v>4</v>
      </c>
      <c r="B426" s="3" t="s">
        <v>149</v>
      </c>
      <c r="C426" s="1" t="s">
        <v>12</v>
      </c>
      <c r="D426" s="1" t="s">
        <v>444</v>
      </c>
      <c r="E426" s="11" t="s">
        <v>144</v>
      </c>
      <c r="F426" s="3" t="s">
        <v>8</v>
      </c>
      <c r="G426" s="66" t="s">
        <v>33</v>
      </c>
      <c r="H426" s="8"/>
      <c r="I426" s="8"/>
      <c r="J426" s="6" t="s">
        <v>47</v>
      </c>
      <c r="K426" s="38">
        <v>391237</v>
      </c>
      <c r="L426" s="4" t="s">
        <v>29</v>
      </c>
      <c r="M426" s="11">
        <f>_xlfn.NUMBERVALUE(LEFT(Table613[[#This Row],[Fiscal Year]], 4))</f>
        <v>2015</v>
      </c>
      <c r="N426" s="42">
        <f t="shared" si="12"/>
        <v>415389.6942911392</v>
      </c>
      <c r="O426" s="3">
        <v>424</v>
      </c>
    </row>
    <row r="427" spans="1:15" x14ac:dyDescent="0.25">
      <c r="A427" s="3">
        <v>4</v>
      </c>
      <c r="B427" s="3" t="s">
        <v>149</v>
      </c>
      <c r="C427" s="1" t="s">
        <v>12</v>
      </c>
      <c r="D427" s="1" t="s">
        <v>444</v>
      </c>
      <c r="E427" s="11" t="s">
        <v>144</v>
      </c>
      <c r="F427" s="3" t="s">
        <v>8</v>
      </c>
      <c r="G427" s="66" t="s">
        <v>67</v>
      </c>
      <c r="H427" s="8"/>
      <c r="I427" s="8"/>
      <c r="J427" s="6" t="s">
        <v>455</v>
      </c>
      <c r="K427" s="38">
        <v>9971</v>
      </c>
      <c r="L427" s="4" t="s">
        <v>29</v>
      </c>
      <c r="M427" s="11">
        <f>_xlfn.NUMBERVALUE(LEFT(Table613[[#This Row],[Fiscal Year]], 4))</f>
        <v>2015</v>
      </c>
      <c r="N427" s="42">
        <f t="shared" si="12"/>
        <v>10586.551481012657</v>
      </c>
      <c r="O427" s="3">
        <v>425</v>
      </c>
    </row>
    <row r="428" spans="1:15" x14ac:dyDescent="0.25">
      <c r="C428" s="1"/>
      <c r="D428" s="1"/>
      <c r="G428" s="66"/>
      <c r="H428" s="8"/>
      <c r="I428" s="8"/>
      <c r="J428" s="6"/>
      <c r="L428" s="4"/>
      <c r="O428" s="3">
        <v>426</v>
      </c>
    </row>
    <row r="429" spans="1:15" x14ac:dyDescent="0.25">
      <c r="A429" s="3">
        <v>4</v>
      </c>
      <c r="B429" s="3" t="s">
        <v>150</v>
      </c>
      <c r="C429" s="1" t="s">
        <v>12</v>
      </c>
      <c r="D429" s="1" t="s">
        <v>444</v>
      </c>
      <c r="E429" s="11" t="s">
        <v>144</v>
      </c>
      <c r="F429" s="3" t="s">
        <v>8</v>
      </c>
      <c r="G429" s="56" t="s">
        <v>829</v>
      </c>
      <c r="H429" s="8"/>
      <c r="I429" s="8"/>
      <c r="J429" s="6" t="s">
        <v>110</v>
      </c>
      <c r="K429" s="38">
        <v>40000</v>
      </c>
      <c r="L429" s="4" t="s">
        <v>29</v>
      </c>
      <c r="M429" s="11">
        <f>_xlfn.NUMBERVALUE(LEFT(Table613[[#This Row],[Fiscal Year]], 4))</f>
        <v>2015</v>
      </c>
      <c r="N429" s="42">
        <f t="shared" si="12"/>
        <v>42469.367088607592</v>
      </c>
      <c r="O429" s="3">
        <v>427</v>
      </c>
    </row>
    <row r="430" spans="1:15" x14ac:dyDescent="0.25">
      <c r="A430" s="3">
        <v>4</v>
      </c>
      <c r="B430" s="3" t="s">
        <v>150</v>
      </c>
      <c r="C430" s="1" t="s">
        <v>12</v>
      </c>
      <c r="D430" s="1" t="s">
        <v>444</v>
      </c>
      <c r="E430" s="11" t="s">
        <v>144</v>
      </c>
      <c r="F430" s="3" t="s">
        <v>8</v>
      </c>
      <c r="G430" s="66" t="s">
        <v>886</v>
      </c>
      <c r="H430" s="8"/>
      <c r="I430" s="8"/>
      <c r="J430" s="6" t="s">
        <v>453</v>
      </c>
      <c r="K430" s="38">
        <v>10000</v>
      </c>
      <c r="L430" s="4" t="s">
        <v>29</v>
      </c>
      <c r="M430" s="11">
        <f>_xlfn.NUMBERVALUE(LEFT(Table613[[#This Row],[Fiscal Year]], 4))</f>
        <v>2015</v>
      </c>
      <c r="N430" s="42">
        <f t="shared" si="12"/>
        <v>10617.341772151898</v>
      </c>
      <c r="O430" s="3">
        <v>428</v>
      </c>
    </row>
    <row r="431" spans="1:15" x14ac:dyDescent="0.25">
      <c r="A431" s="3">
        <v>4</v>
      </c>
      <c r="B431" s="3" t="s">
        <v>150</v>
      </c>
      <c r="C431" s="1" t="s">
        <v>12</v>
      </c>
      <c r="D431" s="1" t="s">
        <v>444</v>
      </c>
      <c r="E431" s="11" t="s">
        <v>144</v>
      </c>
      <c r="F431" s="3" t="s">
        <v>8</v>
      </c>
      <c r="G431" s="48" t="s">
        <v>888</v>
      </c>
      <c r="H431" s="8"/>
      <c r="I431" s="8"/>
      <c r="J431" s="6" t="s">
        <v>109</v>
      </c>
      <c r="K431" s="38">
        <v>45000</v>
      </c>
      <c r="L431" s="4" t="s">
        <v>29</v>
      </c>
      <c r="M431" s="11">
        <f>_xlfn.NUMBERVALUE(LEFT(Table613[[#This Row],[Fiscal Year]], 4))</f>
        <v>2015</v>
      </c>
      <c r="N431" s="42">
        <f t="shared" si="12"/>
        <v>47778.037974683539</v>
      </c>
      <c r="O431" s="3">
        <v>429</v>
      </c>
    </row>
    <row r="432" spans="1:15" x14ac:dyDescent="0.25">
      <c r="A432" s="3">
        <v>4</v>
      </c>
      <c r="B432" s="3" t="s">
        <v>150</v>
      </c>
      <c r="C432" s="1" t="s">
        <v>12</v>
      </c>
      <c r="D432" s="1" t="s">
        <v>444</v>
      </c>
      <c r="E432" s="11" t="s">
        <v>144</v>
      </c>
      <c r="F432" s="3" t="s">
        <v>8</v>
      </c>
      <c r="G432" s="48" t="s">
        <v>846</v>
      </c>
      <c r="H432" s="8"/>
      <c r="I432" s="8"/>
      <c r="J432" s="6" t="s">
        <v>111</v>
      </c>
      <c r="K432" s="38">
        <v>8000</v>
      </c>
      <c r="L432" s="4" t="s">
        <v>29</v>
      </c>
      <c r="M432" s="11">
        <f>_xlfn.NUMBERVALUE(LEFT(Table613[[#This Row],[Fiscal Year]], 4))</f>
        <v>2015</v>
      </c>
      <c r="N432" s="42">
        <f t="shared" si="12"/>
        <v>8493.8734177215192</v>
      </c>
      <c r="O432" s="3">
        <v>430</v>
      </c>
    </row>
    <row r="433" spans="1:15" x14ac:dyDescent="0.25">
      <c r="A433" s="3">
        <v>4</v>
      </c>
      <c r="B433" s="3" t="s">
        <v>150</v>
      </c>
      <c r="C433" s="1" t="s">
        <v>12</v>
      </c>
      <c r="D433" s="1" t="s">
        <v>444</v>
      </c>
      <c r="E433" s="11" t="s">
        <v>144</v>
      </c>
      <c r="F433" s="3" t="s">
        <v>8</v>
      </c>
      <c r="G433" s="66" t="s">
        <v>889</v>
      </c>
      <c r="H433" s="8"/>
      <c r="I433" s="8"/>
      <c r="J433" s="6" t="s">
        <v>111</v>
      </c>
      <c r="K433" s="38">
        <v>5000</v>
      </c>
      <c r="L433" s="4" t="s">
        <v>29</v>
      </c>
      <c r="M433" s="11">
        <f>_xlfn.NUMBERVALUE(LEFT(Table613[[#This Row],[Fiscal Year]], 4))</f>
        <v>2015</v>
      </c>
      <c r="N433" s="42">
        <f t="shared" si="12"/>
        <v>5308.6708860759491</v>
      </c>
      <c r="O433" s="3">
        <v>431</v>
      </c>
    </row>
    <row r="434" spans="1:15" x14ac:dyDescent="0.25">
      <c r="A434" s="3">
        <v>4</v>
      </c>
      <c r="B434" s="3" t="s">
        <v>150</v>
      </c>
      <c r="C434" s="1" t="s">
        <v>12</v>
      </c>
      <c r="D434" s="1" t="s">
        <v>444</v>
      </c>
      <c r="E434" s="11" t="s">
        <v>144</v>
      </c>
      <c r="F434" s="3" t="s">
        <v>8</v>
      </c>
      <c r="G434" s="48" t="s">
        <v>890</v>
      </c>
      <c r="H434" s="8"/>
      <c r="I434" s="8"/>
      <c r="J434" s="6" t="s">
        <v>108</v>
      </c>
      <c r="K434" s="38">
        <v>250000</v>
      </c>
      <c r="L434" s="4" t="s">
        <v>29</v>
      </c>
      <c r="M434" s="11">
        <f>_xlfn.NUMBERVALUE(LEFT(Table613[[#This Row],[Fiscal Year]], 4))</f>
        <v>2015</v>
      </c>
      <c r="N434" s="42">
        <f t="shared" si="12"/>
        <v>265433.54430379748</v>
      </c>
      <c r="O434" s="3">
        <v>432</v>
      </c>
    </row>
    <row r="435" spans="1:15" x14ac:dyDescent="0.25">
      <c r="A435" s="3">
        <v>4</v>
      </c>
      <c r="B435" s="3" t="s">
        <v>150</v>
      </c>
      <c r="C435" s="1" t="s">
        <v>12</v>
      </c>
      <c r="D435" s="1" t="s">
        <v>444</v>
      </c>
      <c r="E435" s="11" t="s">
        <v>144</v>
      </c>
      <c r="F435" s="3" t="s">
        <v>8</v>
      </c>
      <c r="G435" s="66" t="s">
        <v>891</v>
      </c>
      <c r="H435" s="8"/>
      <c r="I435" s="8"/>
      <c r="J435" s="6" t="s">
        <v>106</v>
      </c>
      <c r="K435" s="38">
        <v>10000</v>
      </c>
      <c r="L435" s="4" t="s">
        <v>29</v>
      </c>
      <c r="M435" s="11">
        <f>_xlfn.NUMBERVALUE(LEFT(Table613[[#This Row],[Fiscal Year]], 4))</f>
        <v>2015</v>
      </c>
      <c r="N435" s="42">
        <f t="shared" si="12"/>
        <v>10617.341772151898</v>
      </c>
      <c r="O435" s="3">
        <v>433</v>
      </c>
    </row>
    <row r="436" spans="1:15" x14ac:dyDescent="0.25">
      <c r="A436" s="3">
        <v>4</v>
      </c>
      <c r="B436" s="3" t="s">
        <v>150</v>
      </c>
      <c r="C436" s="1" t="s">
        <v>12</v>
      </c>
      <c r="D436" s="1" t="s">
        <v>444</v>
      </c>
      <c r="E436" s="11" t="s">
        <v>144</v>
      </c>
      <c r="F436" s="3" t="s">
        <v>8</v>
      </c>
      <c r="G436" s="66" t="s">
        <v>887</v>
      </c>
      <c r="H436" s="8"/>
      <c r="I436" s="8"/>
      <c r="J436" s="6" t="s">
        <v>455</v>
      </c>
      <c r="K436" s="38">
        <v>0</v>
      </c>
      <c r="L436" s="4" t="s">
        <v>29</v>
      </c>
      <c r="M436" s="11">
        <f>_xlfn.NUMBERVALUE(LEFT(Table613[[#This Row],[Fiscal Year]], 4))</f>
        <v>2015</v>
      </c>
      <c r="N436" s="43">
        <f t="shared" si="12"/>
        <v>0</v>
      </c>
      <c r="O436" s="3">
        <v>434</v>
      </c>
    </row>
    <row r="437" spans="1:15" x14ac:dyDescent="0.25">
      <c r="A437" s="3">
        <v>4</v>
      </c>
      <c r="B437" s="3" t="s">
        <v>150</v>
      </c>
      <c r="C437" s="1" t="s">
        <v>12</v>
      </c>
      <c r="D437" s="1" t="s">
        <v>444</v>
      </c>
      <c r="E437" s="11" t="s">
        <v>144</v>
      </c>
      <c r="F437" s="3" t="s">
        <v>8</v>
      </c>
      <c r="G437" s="66" t="s">
        <v>851</v>
      </c>
      <c r="H437" s="8"/>
      <c r="I437" s="8"/>
      <c r="J437" s="6" t="s">
        <v>76</v>
      </c>
      <c r="K437" s="38">
        <v>0</v>
      </c>
      <c r="L437" s="4" t="s">
        <v>29</v>
      </c>
      <c r="M437" s="11">
        <f>_xlfn.NUMBERVALUE(LEFT(Table613[[#This Row],[Fiscal Year]], 4))</f>
        <v>2015</v>
      </c>
      <c r="N437" s="43">
        <f t="shared" si="12"/>
        <v>0</v>
      </c>
      <c r="O437" s="3">
        <v>435</v>
      </c>
    </row>
    <row r="438" spans="1:15" x14ac:dyDescent="0.25">
      <c r="A438" s="3">
        <v>4</v>
      </c>
      <c r="B438" s="3" t="s">
        <v>150</v>
      </c>
      <c r="C438" s="1" t="s">
        <v>12</v>
      </c>
      <c r="D438" s="1" t="s">
        <v>444</v>
      </c>
      <c r="E438" s="11" t="s">
        <v>144</v>
      </c>
      <c r="F438" s="3" t="s">
        <v>8</v>
      </c>
      <c r="G438" s="66" t="s">
        <v>852</v>
      </c>
      <c r="H438" s="8"/>
      <c r="I438" s="8"/>
      <c r="J438" s="6" t="s">
        <v>76</v>
      </c>
      <c r="K438" s="38">
        <v>0</v>
      </c>
      <c r="L438" s="4" t="s">
        <v>29</v>
      </c>
      <c r="M438" s="11">
        <f>_xlfn.NUMBERVALUE(LEFT(Table613[[#This Row],[Fiscal Year]], 4))</f>
        <v>2015</v>
      </c>
      <c r="N438" s="43">
        <f t="shared" si="12"/>
        <v>0</v>
      </c>
      <c r="O438" s="3">
        <v>436</v>
      </c>
    </row>
    <row r="439" spans="1:15" x14ac:dyDescent="0.25">
      <c r="A439" s="3">
        <v>4</v>
      </c>
      <c r="B439" s="3" t="s">
        <v>150</v>
      </c>
      <c r="C439" s="1" t="s">
        <v>12</v>
      </c>
      <c r="D439" s="1" t="s">
        <v>444</v>
      </c>
      <c r="E439" s="11" t="s">
        <v>144</v>
      </c>
      <c r="F439" s="3" t="s">
        <v>8</v>
      </c>
      <c r="G439" s="66" t="s">
        <v>853</v>
      </c>
      <c r="H439" s="8"/>
      <c r="I439" s="8"/>
      <c r="J439" s="6" t="s">
        <v>76</v>
      </c>
      <c r="K439" s="38">
        <v>0</v>
      </c>
      <c r="L439" s="4" t="s">
        <v>29</v>
      </c>
      <c r="M439" s="11">
        <f>_xlfn.NUMBERVALUE(LEFT(Table613[[#This Row],[Fiscal Year]], 4))</f>
        <v>2015</v>
      </c>
      <c r="N439" s="43">
        <f t="shared" si="12"/>
        <v>0</v>
      </c>
      <c r="O439" s="3">
        <v>437</v>
      </c>
    </row>
    <row r="440" spans="1:15" x14ac:dyDescent="0.25">
      <c r="A440" s="3">
        <v>4</v>
      </c>
      <c r="B440" s="3" t="s">
        <v>150</v>
      </c>
      <c r="C440" s="1" t="s">
        <v>12</v>
      </c>
      <c r="D440" s="1" t="s">
        <v>444</v>
      </c>
      <c r="E440" s="11" t="s">
        <v>144</v>
      </c>
      <c r="F440" s="3" t="s">
        <v>8</v>
      </c>
      <c r="G440" s="63" t="s">
        <v>854</v>
      </c>
      <c r="H440" s="8"/>
      <c r="I440" s="8"/>
      <c r="J440" s="6" t="s">
        <v>47</v>
      </c>
      <c r="K440" s="38">
        <v>45000</v>
      </c>
      <c r="L440" s="4" t="s">
        <v>29</v>
      </c>
      <c r="M440" s="11">
        <f>_xlfn.NUMBERVALUE(LEFT(Table613[[#This Row],[Fiscal Year]], 4))</f>
        <v>2015</v>
      </c>
      <c r="N440" s="42">
        <f t="shared" si="12"/>
        <v>47778.037974683539</v>
      </c>
      <c r="O440" s="3">
        <v>438</v>
      </c>
    </row>
    <row r="441" spans="1:15" x14ac:dyDescent="0.25">
      <c r="A441" s="3">
        <v>4</v>
      </c>
      <c r="B441" s="3" t="s">
        <v>150</v>
      </c>
      <c r="C441" s="1" t="s">
        <v>12</v>
      </c>
      <c r="D441" s="1" t="s">
        <v>444</v>
      </c>
      <c r="E441" s="11" t="s">
        <v>144</v>
      </c>
      <c r="F441" s="3" t="s">
        <v>8</v>
      </c>
      <c r="G441" s="63" t="s">
        <v>892</v>
      </c>
      <c r="H441" s="8"/>
      <c r="I441" s="8"/>
      <c r="J441" s="6" t="s">
        <v>455</v>
      </c>
      <c r="K441" s="38">
        <v>50000</v>
      </c>
      <c r="L441" s="4" t="s">
        <v>29</v>
      </c>
      <c r="M441" s="11">
        <f>_xlfn.NUMBERVALUE(LEFT(Table613[[#This Row],[Fiscal Year]], 4))</f>
        <v>2015</v>
      </c>
      <c r="N441" s="42">
        <f t="shared" si="12"/>
        <v>53086.708860759492</v>
      </c>
      <c r="O441" s="3">
        <v>439</v>
      </c>
    </row>
    <row r="442" spans="1:15" x14ac:dyDescent="0.25">
      <c r="C442" s="1"/>
      <c r="D442" s="1"/>
      <c r="G442" s="66"/>
      <c r="H442" s="8"/>
      <c r="I442" s="8"/>
      <c r="J442" s="6"/>
      <c r="L442" s="4"/>
      <c r="O442" s="3">
        <v>440</v>
      </c>
    </row>
    <row r="443" spans="1:15" x14ac:dyDescent="0.25">
      <c r="A443" s="3">
        <v>4</v>
      </c>
      <c r="B443" s="3" t="s">
        <v>151</v>
      </c>
      <c r="C443" s="1" t="s">
        <v>12</v>
      </c>
      <c r="D443" s="1" t="s">
        <v>444</v>
      </c>
      <c r="E443" s="11" t="s">
        <v>144</v>
      </c>
      <c r="F443" s="3" t="s">
        <v>8</v>
      </c>
      <c r="G443" s="56" t="s">
        <v>829</v>
      </c>
      <c r="H443" s="8"/>
      <c r="I443" s="8"/>
      <c r="J443" s="6" t="s">
        <v>110</v>
      </c>
      <c r="K443" s="38">
        <v>551667.29</v>
      </c>
      <c r="L443" s="4" t="s">
        <v>29</v>
      </c>
      <c r="M443" s="11">
        <f>_xlfn.NUMBERVALUE(LEFT(Table613[[#This Row],[Fiscal Year]], 4))</f>
        <v>2015</v>
      </c>
      <c r="N443" s="42">
        <f t="shared" si="12"/>
        <v>585724.01624468353</v>
      </c>
      <c r="O443" s="3">
        <v>441</v>
      </c>
    </row>
    <row r="444" spans="1:15" x14ac:dyDescent="0.25">
      <c r="A444" s="3">
        <v>4</v>
      </c>
      <c r="B444" s="3" t="s">
        <v>151</v>
      </c>
      <c r="C444" s="1" t="s">
        <v>12</v>
      </c>
      <c r="D444" s="1" t="s">
        <v>444</v>
      </c>
      <c r="E444" s="11" t="s">
        <v>144</v>
      </c>
      <c r="F444" s="3" t="s">
        <v>8</v>
      </c>
      <c r="G444" s="66" t="s">
        <v>893</v>
      </c>
      <c r="H444" s="8"/>
      <c r="I444" s="8"/>
      <c r="J444" s="6" t="s">
        <v>453</v>
      </c>
      <c r="K444" s="38">
        <v>1000</v>
      </c>
      <c r="L444" s="4" t="s">
        <v>29</v>
      </c>
      <c r="M444" s="11">
        <f>_xlfn.NUMBERVALUE(LEFT(Table613[[#This Row],[Fiscal Year]], 4))</f>
        <v>2015</v>
      </c>
      <c r="N444" s="42">
        <f t="shared" si="12"/>
        <v>1061.7341772151899</v>
      </c>
      <c r="O444" s="3">
        <v>442</v>
      </c>
    </row>
    <row r="445" spans="1:15" x14ac:dyDescent="0.25">
      <c r="A445" s="3">
        <v>4</v>
      </c>
      <c r="B445" s="3" t="s">
        <v>151</v>
      </c>
      <c r="C445" s="1" t="s">
        <v>12</v>
      </c>
      <c r="D445" s="1" t="s">
        <v>444</v>
      </c>
      <c r="E445" s="11" t="s">
        <v>144</v>
      </c>
      <c r="F445" s="3" t="s">
        <v>8</v>
      </c>
      <c r="G445" s="66" t="s">
        <v>894</v>
      </c>
      <c r="H445" s="8"/>
      <c r="I445" s="8"/>
      <c r="J445" s="6" t="s">
        <v>109</v>
      </c>
      <c r="K445" s="38">
        <v>50154</v>
      </c>
      <c r="L445" s="4" t="s">
        <v>29</v>
      </c>
      <c r="M445" s="11">
        <f>_xlfn.NUMBERVALUE(LEFT(Table613[[#This Row],[Fiscal Year]], 4))</f>
        <v>2015</v>
      </c>
      <c r="N445" s="42">
        <f t="shared" si="12"/>
        <v>53250.21592405063</v>
      </c>
      <c r="O445" s="3">
        <v>443</v>
      </c>
    </row>
    <row r="446" spans="1:15" x14ac:dyDescent="0.25">
      <c r="A446" s="3">
        <v>4</v>
      </c>
      <c r="B446" s="3" t="s">
        <v>151</v>
      </c>
      <c r="C446" s="1" t="s">
        <v>12</v>
      </c>
      <c r="D446" s="1" t="s">
        <v>444</v>
      </c>
      <c r="E446" s="11" t="s">
        <v>144</v>
      </c>
      <c r="F446" s="3" t="s">
        <v>8</v>
      </c>
      <c r="G446" s="48" t="s">
        <v>895</v>
      </c>
      <c r="H446" s="8"/>
      <c r="I446" s="8"/>
      <c r="J446" s="6" t="s">
        <v>111</v>
      </c>
      <c r="K446" s="38">
        <v>10000</v>
      </c>
      <c r="L446" s="4" t="s">
        <v>29</v>
      </c>
      <c r="M446" s="11">
        <f>_xlfn.NUMBERVALUE(LEFT(Table613[[#This Row],[Fiscal Year]], 4))</f>
        <v>2015</v>
      </c>
      <c r="N446" s="42">
        <f t="shared" si="12"/>
        <v>10617.341772151898</v>
      </c>
      <c r="O446" s="3">
        <v>444</v>
      </c>
    </row>
    <row r="447" spans="1:15" x14ac:dyDescent="0.25">
      <c r="A447" s="3">
        <v>4</v>
      </c>
      <c r="B447" s="3" t="s">
        <v>151</v>
      </c>
      <c r="C447" s="1" t="s">
        <v>12</v>
      </c>
      <c r="D447" s="1" t="s">
        <v>444</v>
      </c>
      <c r="E447" s="11" t="s">
        <v>144</v>
      </c>
      <c r="F447" s="3" t="s">
        <v>8</v>
      </c>
      <c r="G447" s="66" t="s">
        <v>896</v>
      </c>
      <c r="H447" s="8"/>
      <c r="I447" s="8"/>
      <c r="J447" s="6" t="s">
        <v>111</v>
      </c>
      <c r="K447" s="38">
        <v>40000</v>
      </c>
      <c r="L447" s="4" t="s">
        <v>29</v>
      </c>
      <c r="M447" s="11">
        <f>_xlfn.NUMBERVALUE(LEFT(Table613[[#This Row],[Fiscal Year]], 4))</f>
        <v>2015</v>
      </c>
      <c r="N447" s="42">
        <f t="shared" si="12"/>
        <v>42469.367088607592</v>
      </c>
      <c r="O447" s="3">
        <v>445</v>
      </c>
    </row>
    <row r="448" spans="1:15" x14ac:dyDescent="0.25">
      <c r="A448" s="3">
        <v>4</v>
      </c>
      <c r="B448" s="3" t="s">
        <v>151</v>
      </c>
      <c r="C448" s="1" t="s">
        <v>12</v>
      </c>
      <c r="D448" s="1" t="s">
        <v>444</v>
      </c>
      <c r="E448" s="11" t="s">
        <v>144</v>
      </c>
      <c r="F448" s="3" t="s">
        <v>8</v>
      </c>
      <c r="G448" s="48" t="s">
        <v>897</v>
      </c>
      <c r="H448" s="8"/>
      <c r="I448" s="8"/>
      <c r="J448" s="6" t="s">
        <v>108</v>
      </c>
      <c r="K448" s="38">
        <v>4090600</v>
      </c>
      <c r="L448" s="4" t="s">
        <v>29</v>
      </c>
      <c r="M448" s="11">
        <f>_xlfn.NUMBERVALUE(LEFT(Table613[[#This Row],[Fiscal Year]], 4))</f>
        <v>2015</v>
      </c>
      <c r="N448" s="42">
        <f t="shared" si="12"/>
        <v>4343129.8253164552</v>
      </c>
      <c r="O448" s="3">
        <v>446</v>
      </c>
    </row>
    <row r="449" spans="1:15" x14ac:dyDescent="0.25">
      <c r="A449" s="3">
        <v>4</v>
      </c>
      <c r="B449" s="3" t="s">
        <v>151</v>
      </c>
      <c r="C449" s="1" t="s">
        <v>12</v>
      </c>
      <c r="D449" s="1" t="s">
        <v>444</v>
      </c>
      <c r="E449" s="11" t="s">
        <v>144</v>
      </c>
      <c r="F449" s="3" t="s">
        <v>8</v>
      </c>
      <c r="G449" s="66" t="s">
        <v>898</v>
      </c>
      <c r="H449" s="8"/>
      <c r="I449" s="8"/>
      <c r="J449" s="6" t="s">
        <v>106</v>
      </c>
      <c r="K449" s="38">
        <v>3350</v>
      </c>
      <c r="L449" s="4" t="s">
        <v>29</v>
      </c>
      <c r="M449" s="11">
        <f>_xlfn.NUMBERVALUE(LEFT(Table613[[#This Row],[Fiscal Year]], 4))</f>
        <v>2015</v>
      </c>
      <c r="N449" s="42">
        <f t="shared" si="12"/>
        <v>3556.8094936708858</v>
      </c>
      <c r="O449" s="3">
        <v>447</v>
      </c>
    </row>
    <row r="450" spans="1:15" x14ac:dyDescent="0.25">
      <c r="A450" s="3">
        <v>4</v>
      </c>
      <c r="B450" s="3" t="s">
        <v>151</v>
      </c>
      <c r="C450" s="1" t="s">
        <v>12</v>
      </c>
      <c r="D450" s="1" t="s">
        <v>444</v>
      </c>
      <c r="E450" s="11" t="s">
        <v>144</v>
      </c>
      <c r="F450" s="3" t="s">
        <v>8</v>
      </c>
      <c r="G450" s="66" t="s">
        <v>899</v>
      </c>
      <c r="H450" s="8"/>
      <c r="I450" s="8"/>
      <c r="J450" s="6" t="s">
        <v>455</v>
      </c>
      <c r="K450" s="38">
        <v>0</v>
      </c>
      <c r="L450" s="4" t="s">
        <v>29</v>
      </c>
      <c r="M450" s="11">
        <f>_xlfn.NUMBERVALUE(LEFT(Table613[[#This Row],[Fiscal Year]], 4))</f>
        <v>2015</v>
      </c>
      <c r="N450" s="43">
        <f t="shared" si="12"/>
        <v>0</v>
      </c>
      <c r="O450" s="3">
        <v>448</v>
      </c>
    </row>
    <row r="451" spans="1:15" x14ac:dyDescent="0.25">
      <c r="A451" s="3">
        <v>4</v>
      </c>
      <c r="B451" s="3" t="s">
        <v>151</v>
      </c>
      <c r="C451" s="1" t="s">
        <v>12</v>
      </c>
      <c r="D451" s="1" t="s">
        <v>444</v>
      </c>
      <c r="E451" s="11" t="s">
        <v>144</v>
      </c>
      <c r="F451" s="3" t="s">
        <v>8</v>
      </c>
      <c r="G451" s="66" t="s">
        <v>851</v>
      </c>
      <c r="H451" s="8"/>
      <c r="I451" s="8"/>
      <c r="J451" s="6" t="s">
        <v>76</v>
      </c>
      <c r="K451" s="38">
        <v>0</v>
      </c>
      <c r="L451" s="4" t="s">
        <v>29</v>
      </c>
      <c r="M451" s="11">
        <f>_xlfn.NUMBERVALUE(LEFT(Table613[[#This Row],[Fiscal Year]], 4))</f>
        <v>2015</v>
      </c>
      <c r="N451" s="43">
        <f t="shared" si="12"/>
        <v>0</v>
      </c>
      <c r="O451" s="3">
        <v>449</v>
      </c>
    </row>
    <row r="452" spans="1:15" x14ac:dyDescent="0.25">
      <c r="A452" s="3">
        <v>4</v>
      </c>
      <c r="B452" s="3" t="s">
        <v>151</v>
      </c>
      <c r="C452" s="1" t="s">
        <v>12</v>
      </c>
      <c r="D452" s="1" t="s">
        <v>444</v>
      </c>
      <c r="E452" s="11" t="s">
        <v>144</v>
      </c>
      <c r="F452" s="3" t="s">
        <v>8</v>
      </c>
      <c r="G452" s="66" t="s">
        <v>852</v>
      </c>
      <c r="H452" s="8"/>
      <c r="I452" s="8"/>
      <c r="J452" s="6" t="s">
        <v>76</v>
      </c>
      <c r="K452" s="38">
        <v>0</v>
      </c>
      <c r="L452" s="4" t="s">
        <v>29</v>
      </c>
      <c r="M452" s="11">
        <f>_xlfn.NUMBERVALUE(LEFT(Table613[[#This Row],[Fiscal Year]], 4))</f>
        <v>2015</v>
      </c>
      <c r="N452" s="43">
        <f t="shared" si="12"/>
        <v>0</v>
      </c>
      <c r="O452" s="3">
        <v>450</v>
      </c>
    </row>
    <row r="453" spans="1:15" x14ac:dyDescent="0.25">
      <c r="A453" s="3">
        <v>4</v>
      </c>
      <c r="B453" s="3" t="s">
        <v>151</v>
      </c>
      <c r="C453" s="1" t="s">
        <v>12</v>
      </c>
      <c r="D453" s="1" t="s">
        <v>444</v>
      </c>
      <c r="E453" s="11" t="s">
        <v>144</v>
      </c>
      <c r="F453" s="3" t="s">
        <v>8</v>
      </c>
      <c r="G453" s="66" t="s">
        <v>853</v>
      </c>
      <c r="H453" s="8"/>
      <c r="I453" s="8"/>
      <c r="J453" s="6" t="s">
        <v>76</v>
      </c>
      <c r="K453" s="38">
        <v>0</v>
      </c>
      <c r="L453" s="4" t="s">
        <v>29</v>
      </c>
      <c r="M453" s="11">
        <f>_xlfn.NUMBERVALUE(LEFT(Table613[[#This Row],[Fiscal Year]], 4))</f>
        <v>2015</v>
      </c>
      <c r="N453" s="43">
        <f t="shared" si="12"/>
        <v>0</v>
      </c>
      <c r="O453" s="3">
        <v>451</v>
      </c>
    </row>
    <row r="454" spans="1:15" x14ac:dyDescent="0.25">
      <c r="A454" s="3">
        <v>4</v>
      </c>
      <c r="B454" s="3" t="s">
        <v>151</v>
      </c>
      <c r="C454" s="1" t="s">
        <v>12</v>
      </c>
      <c r="D454" s="1" t="s">
        <v>444</v>
      </c>
      <c r="E454" s="11" t="s">
        <v>144</v>
      </c>
      <c r="F454" s="3" t="s">
        <v>8</v>
      </c>
      <c r="G454" s="63" t="s">
        <v>854</v>
      </c>
      <c r="H454" s="8"/>
      <c r="I454" s="8"/>
      <c r="J454" s="6" t="s">
        <v>47</v>
      </c>
      <c r="K454" s="38">
        <v>26835.91</v>
      </c>
      <c r="L454" s="4" t="s">
        <v>29</v>
      </c>
      <c r="M454" s="11">
        <f>_xlfn.NUMBERVALUE(LEFT(Table613[[#This Row],[Fiscal Year]], 4))</f>
        <v>2015</v>
      </c>
      <c r="N454" s="42">
        <f>K454*(1+VLOOKUP(M454,$AF$8:$AH$31,3,0))</f>
        <v>28492.602823670884</v>
      </c>
      <c r="O454" s="3">
        <v>452</v>
      </c>
    </row>
    <row r="455" spans="1:15" x14ac:dyDescent="0.25">
      <c r="A455" s="3">
        <v>4</v>
      </c>
      <c r="B455" s="3" t="s">
        <v>151</v>
      </c>
      <c r="C455" s="1" t="s">
        <v>12</v>
      </c>
      <c r="D455" s="1" t="s">
        <v>444</v>
      </c>
      <c r="E455" s="11" t="s">
        <v>144</v>
      </c>
      <c r="F455" s="3" t="s">
        <v>8</v>
      </c>
      <c r="G455" s="63" t="s">
        <v>855</v>
      </c>
      <c r="H455" s="8"/>
      <c r="I455" s="8"/>
      <c r="J455" s="6" t="s">
        <v>455</v>
      </c>
      <c r="K455" s="38">
        <v>0</v>
      </c>
      <c r="L455" s="4" t="s">
        <v>29</v>
      </c>
      <c r="M455" s="11">
        <f>_xlfn.NUMBERVALUE(LEFT(Table613[[#This Row],[Fiscal Year]], 4))</f>
        <v>2015</v>
      </c>
      <c r="N455" s="43">
        <f t="shared" si="12"/>
        <v>0</v>
      </c>
      <c r="O455" s="3">
        <v>453</v>
      </c>
    </row>
    <row r="456" spans="1:15" x14ac:dyDescent="0.25">
      <c r="C456" s="1"/>
      <c r="D456" s="1"/>
      <c r="G456" s="66"/>
      <c r="H456" s="8"/>
      <c r="I456" s="8"/>
      <c r="J456" s="6"/>
      <c r="L456" s="4"/>
      <c r="O456" s="3">
        <v>454</v>
      </c>
    </row>
    <row r="457" spans="1:15" x14ac:dyDescent="0.25">
      <c r="A457" s="3">
        <v>4</v>
      </c>
      <c r="B457" s="3" t="s">
        <v>152</v>
      </c>
      <c r="C457" s="1" t="s">
        <v>12</v>
      </c>
      <c r="D457" s="1" t="s">
        <v>444</v>
      </c>
      <c r="E457" s="11" t="s">
        <v>144</v>
      </c>
      <c r="F457" s="3" t="s">
        <v>8</v>
      </c>
      <c r="G457" s="56" t="s">
        <v>829</v>
      </c>
      <c r="H457" s="8"/>
      <c r="I457" s="8"/>
      <c r="J457" s="6" t="s">
        <v>110</v>
      </c>
      <c r="K457" s="38">
        <v>194000</v>
      </c>
      <c r="L457" s="4" t="s">
        <v>29</v>
      </c>
      <c r="M457" s="11">
        <f>_xlfn.NUMBERVALUE(LEFT(Table613[[#This Row],[Fiscal Year]], 4))</f>
        <v>2015</v>
      </c>
      <c r="N457" s="42">
        <f t="shared" si="12"/>
        <v>205976.43037974683</v>
      </c>
      <c r="O457" s="3">
        <v>455</v>
      </c>
    </row>
    <row r="458" spans="1:15" x14ac:dyDescent="0.25">
      <c r="A458" s="3">
        <v>4</v>
      </c>
      <c r="B458" s="3" t="s">
        <v>152</v>
      </c>
      <c r="C458" s="1" t="s">
        <v>12</v>
      </c>
      <c r="D458" s="1" t="s">
        <v>444</v>
      </c>
      <c r="E458" s="11" t="s">
        <v>144</v>
      </c>
      <c r="F458" s="3" t="s">
        <v>8</v>
      </c>
      <c r="G458" s="66" t="s">
        <v>844</v>
      </c>
      <c r="H458" s="8"/>
      <c r="I458" s="8"/>
      <c r="J458" s="6" t="s">
        <v>453</v>
      </c>
      <c r="K458" s="38">
        <v>6800</v>
      </c>
      <c r="L458" s="4" t="s">
        <v>29</v>
      </c>
      <c r="M458" s="11">
        <f>_xlfn.NUMBERVALUE(LEFT(Table613[[#This Row],[Fiscal Year]], 4))</f>
        <v>2015</v>
      </c>
      <c r="N458" s="42">
        <f t="shared" si="12"/>
        <v>7219.792405063291</v>
      </c>
      <c r="O458" s="3">
        <v>456</v>
      </c>
    </row>
    <row r="459" spans="1:15" x14ac:dyDescent="0.25">
      <c r="A459" s="3">
        <v>4</v>
      </c>
      <c r="B459" s="3" t="s">
        <v>152</v>
      </c>
      <c r="C459" s="1" t="s">
        <v>12</v>
      </c>
      <c r="D459" s="1" t="s">
        <v>444</v>
      </c>
      <c r="E459" s="11" t="s">
        <v>144</v>
      </c>
      <c r="F459" s="3" t="s">
        <v>8</v>
      </c>
      <c r="G459" s="66" t="s">
        <v>845</v>
      </c>
      <c r="H459" s="8"/>
      <c r="I459" s="8"/>
      <c r="J459" s="6" t="s">
        <v>109</v>
      </c>
      <c r="K459" s="38">
        <v>3000</v>
      </c>
      <c r="L459" s="4" t="s">
        <v>29</v>
      </c>
      <c r="M459" s="11">
        <f>_xlfn.NUMBERVALUE(LEFT(Table613[[#This Row],[Fiscal Year]], 4))</f>
        <v>2015</v>
      </c>
      <c r="N459" s="42">
        <f t="shared" ref="N459:N522" si="13">K459*(1+VLOOKUP(M459,$AF$8:$AH$31,3,0))</f>
        <v>3185.2025316455693</v>
      </c>
      <c r="O459" s="3">
        <v>457</v>
      </c>
    </row>
    <row r="460" spans="1:15" x14ac:dyDescent="0.25">
      <c r="A460" s="3">
        <v>4</v>
      </c>
      <c r="B460" s="3" t="s">
        <v>152</v>
      </c>
      <c r="C460" s="1" t="s">
        <v>12</v>
      </c>
      <c r="D460" s="1" t="s">
        <v>444</v>
      </c>
      <c r="E460" s="11" t="s">
        <v>144</v>
      </c>
      <c r="F460" s="3" t="s">
        <v>8</v>
      </c>
      <c r="G460" s="48" t="s">
        <v>846</v>
      </c>
      <c r="H460" s="8"/>
      <c r="I460" s="8"/>
      <c r="J460" s="6" t="s">
        <v>111</v>
      </c>
      <c r="K460" s="38">
        <v>19500</v>
      </c>
      <c r="L460" s="4" t="s">
        <v>29</v>
      </c>
      <c r="M460" s="11">
        <f>_xlfn.NUMBERVALUE(LEFT(Table613[[#This Row],[Fiscal Year]], 4))</f>
        <v>2015</v>
      </c>
      <c r="N460" s="42">
        <f t="shared" si="13"/>
        <v>20703.8164556962</v>
      </c>
      <c r="O460" s="3">
        <v>458</v>
      </c>
    </row>
    <row r="461" spans="1:15" x14ac:dyDescent="0.25">
      <c r="A461" s="3">
        <v>4</v>
      </c>
      <c r="B461" s="3" t="s">
        <v>152</v>
      </c>
      <c r="C461" s="1" t="s">
        <v>12</v>
      </c>
      <c r="D461" s="1" t="s">
        <v>444</v>
      </c>
      <c r="E461" s="11" t="s">
        <v>144</v>
      </c>
      <c r="F461" s="3" t="s">
        <v>8</v>
      </c>
      <c r="G461" s="66" t="s">
        <v>847</v>
      </c>
      <c r="H461" s="8"/>
      <c r="I461" s="8"/>
      <c r="J461" s="6" t="s">
        <v>111</v>
      </c>
      <c r="K461" s="38">
        <v>24000</v>
      </c>
      <c r="L461" s="4" t="s">
        <v>29</v>
      </c>
      <c r="M461" s="11">
        <f>_xlfn.NUMBERVALUE(LEFT(Table613[[#This Row],[Fiscal Year]], 4))</f>
        <v>2015</v>
      </c>
      <c r="N461" s="42">
        <f t="shared" si="13"/>
        <v>25481.620253164554</v>
      </c>
      <c r="O461" s="3">
        <v>459</v>
      </c>
    </row>
    <row r="462" spans="1:15" x14ac:dyDescent="0.25">
      <c r="A462" s="3">
        <v>4</v>
      </c>
      <c r="B462" s="3" t="s">
        <v>152</v>
      </c>
      <c r="C462" s="1" t="s">
        <v>12</v>
      </c>
      <c r="D462" s="1" t="s">
        <v>444</v>
      </c>
      <c r="E462" s="11" t="s">
        <v>144</v>
      </c>
      <c r="F462" s="3" t="s">
        <v>8</v>
      </c>
      <c r="G462" s="48" t="s">
        <v>857</v>
      </c>
      <c r="H462" s="8"/>
      <c r="I462" s="8"/>
      <c r="J462" s="6" t="s">
        <v>108</v>
      </c>
      <c r="K462" s="38">
        <v>6222232</v>
      </c>
      <c r="L462" s="4" t="s">
        <v>29</v>
      </c>
      <c r="M462" s="11">
        <f>_xlfn.NUMBERVALUE(LEFT(Table613[[#This Row],[Fiscal Year]], 4))</f>
        <v>2015</v>
      </c>
      <c r="N462" s="42">
        <f t="shared" si="13"/>
        <v>6606356.372962025</v>
      </c>
      <c r="O462" s="3">
        <v>460</v>
      </c>
    </row>
    <row r="463" spans="1:15" x14ac:dyDescent="0.25">
      <c r="A463" s="3">
        <v>4</v>
      </c>
      <c r="B463" s="3" t="s">
        <v>152</v>
      </c>
      <c r="C463" s="1" t="s">
        <v>12</v>
      </c>
      <c r="D463" s="1" t="s">
        <v>444</v>
      </c>
      <c r="E463" s="11" t="s">
        <v>144</v>
      </c>
      <c r="F463" s="3" t="s">
        <v>8</v>
      </c>
      <c r="G463" s="66" t="s">
        <v>849</v>
      </c>
      <c r="H463" s="8"/>
      <c r="I463" s="8"/>
      <c r="J463" s="6" t="s">
        <v>106</v>
      </c>
      <c r="K463" s="38">
        <v>5600</v>
      </c>
      <c r="L463" s="4" t="s">
        <v>29</v>
      </c>
      <c r="M463" s="11">
        <f>_xlfn.NUMBERVALUE(LEFT(Table613[[#This Row],[Fiscal Year]], 4))</f>
        <v>2015</v>
      </c>
      <c r="N463" s="42">
        <f t="shared" si="13"/>
        <v>5945.7113924050627</v>
      </c>
      <c r="O463" s="3">
        <v>461</v>
      </c>
    </row>
    <row r="464" spans="1:15" x14ac:dyDescent="0.25">
      <c r="A464" s="3">
        <v>4</v>
      </c>
      <c r="B464" s="3" t="s">
        <v>152</v>
      </c>
      <c r="C464" s="1" t="s">
        <v>12</v>
      </c>
      <c r="D464" s="1" t="s">
        <v>444</v>
      </c>
      <c r="E464" s="11" t="s">
        <v>144</v>
      </c>
      <c r="F464" s="3" t="s">
        <v>8</v>
      </c>
      <c r="G464" s="66" t="s">
        <v>850</v>
      </c>
      <c r="H464" s="8"/>
      <c r="I464" s="8"/>
      <c r="J464" s="6" t="s">
        <v>455</v>
      </c>
      <c r="K464" s="38">
        <v>0</v>
      </c>
      <c r="L464" s="4" t="s">
        <v>29</v>
      </c>
      <c r="M464" s="11">
        <f>_xlfn.NUMBERVALUE(LEFT(Table613[[#This Row],[Fiscal Year]], 4))</f>
        <v>2015</v>
      </c>
      <c r="N464" s="43">
        <f t="shared" si="13"/>
        <v>0</v>
      </c>
      <c r="O464" s="3">
        <v>462</v>
      </c>
    </row>
    <row r="465" spans="1:15" x14ac:dyDescent="0.25">
      <c r="A465" s="3">
        <v>4</v>
      </c>
      <c r="B465" s="3" t="s">
        <v>152</v>
      </c>
      <c r="C465" s="1" t="s">
        <v>12</v>
      </c>
      <c r="D465" s="1" t="s">
        <v>444</v>
      </c>
      <c r="E465" s="11" t="s">
        <v>144</v>
      </c>
      <c r="F465" s="3" t="s">
        <v>8</v>
      </c>
      <c r="G465" s="66" t="s">
        <v>851</v>
      </c>
      <c r="H465" s="8"/>
      <c r="I465" s="8"/>
      <c r="J465" s="6" t="s">
        <v>76</v>
      </c>
      <c r="K465" s="38">
        <v>18000</v>
      </c>
      <c r="L465" s="4" t="s">
        <v>29</v>
      </c>
      <c r="M465" s="11">
        <f>_xlfn.NUMBERVALUE(LEFT(Table613[[#This Row],[Fiscal Year]], 4))</f>
        <v>2015</v>
      </c>
      <c r="N465" s="42">
        <f>K465*(1+VLOOKUP(M465,$AF$8:$AH$31,3,0))</f>
        <v>19111.215189873416</v>
      </c>
      <c r="O465" s="3">
        <v>463</v>
      </c>
    </row>
    <row r="466" spans="1:15" x14ac:dyDescent="0.25">
      <c r="A466" s="3">
        <v>4</v>
      </c>
      <c r="B466" s="3" t="s">
        <v>152</v>
      </c>
      <c r="C466" s="1" t="s">
        <v>12</v>
      </c>
      <c r="D466" s="1" t="s">
        <v>444</v>
      </c>
      <c r="E466" s="11" t="s">
        <v>144</v>
      </c>
      <c r="F466" s="3" t="s">
        <v>8</v>
      </c>
      <c r="G466" s="66" t="s">
        <v>852</v>
      </c>
      <c r="H466" s="8"/>
      <c r="I466" s="8"/>
      <c r="J466" s="6" t="s">
        <v>76</v>
      </c>
      <c r="K466" s="38">
        <v>0</v>
      </c>
      <c r="L466" s="4" t="s">
        <v>29</v>
      </c>
      <c r="M466" s="11">
        <f>_xlfn.NUMBERVALUE(LEFT(Table613[[#This Row],[Fiscal Year]], 4))</f>
        <v>2015</v>
      </c>
      <c r="N466" s="43">
        <f t="shared" si="13"/>
        <v>0</v>
      </c>
      <c r="O466" s="3">
        <v>464</v>
      </c>
    </row>
    <row r="467" spans="1:15" x14ac:dyDescent="0.25">
      <c r="A467" s="3">
        <v>4</v>
      </c>
      <c r="B467" s="3" t="s">
        <v>152</v>
      </c>
      <c r="C467" s="1" t="s">
        <v>12</v>
      </c>
      <c r="D467" s="1" t="s">
        <v>444</v>
      </c>
      <c r="E467" s="11" t="s">
        <v>144</v>
      </c>
      <c r="F467" s="3" t="s">
        <v>8</v>
      </c>
      <c r="G467" s="66" t="s">
        <v>853</v>
      </c>
      <c r="H467" s="8"/>
      <c r="I467" s="8"/>
      <c r="J467" s="6" t="s">
        <v>76</v>
      </c>
      <c r="K467" s="38">
        <v>0</v>
      </c>
      <c r="L467" s="4" t="s">
        <v>29</v>
      </c>
      <c r="M467" s="11">
        <f>_xlfn.NUMBERVALUE(LEFT(Table613[[#This Row],[Fiscal Year]], 4))</f>
        <v>2015</v>
      </c>
      <c r="N467" s="43">
        <f t="shared" si="13"/>
        <v>0</v>
      </c>
      <c r="O467" s="3">
        <v>465</v>
      </c>
    </row>
    <row r="468" spans="1:15" x14ac:dyDescent="0.25">
      <c r="A468" s="3">
        <v>4</v>
      </c>
      <c r="B468" s="3" t="s">
        <v>152</v>
      </c>
      <c r="C468" s="1" t="s">
        <v>12</v>
      </c>
      <c r="D468" s="1" t="s">
        <v>444</v>
      </c>
      <c r="E468" s="11" t="s">
        <v>144</v>
      </c>
      <c r="F468" s="3" t="s">
        <v>8</v>
      </c>
      <c r="G468" s="63" t="s">
        <v>854</v>
      </c>
      <c r="H468" s="8"/>
      <c r="I468" s="8"/>
      <c r="J468" s="6" t="s">
        <v>47</v>
      </c>
      <c r="K468" s="38">
        <v>30000</v>
      </c>
      <c r="L468" s="4" t="s">
        <v>29</v>
      </c>
      <c r="M468" s="11">
        <f>_xlfn.NUMBERVALUE(LEFT(Table613[[#This Row],[Fiscal Year]], 4))</f>
        <v>2015</v>
      </c>
      <c r="N468" s="42">
        <f t="shared" si="13"/>
        <v>31852.025316455696</v>
      </c>
      <c r="O468" s="3">
        <v>466</v>
      </c>
    </row>
    <row r="469" spans="1:15" x14ac:dyDescent="0.25">
      <c r="A469" s="3">
        <v>4</v>
      </c>
      <c r="B469" s="3" t="s">
        <v>152</v>
      </c>
      <c r="C469" s="1" t="s">
        <v>12</v>
      </c>
      <c r="D469" s="1" t="s">
        <v>444</v>
      </c>
      <c r="E469" s="11" t="s">
        <v>144</v>
      </c>
      <c r="F469" s="3" t="s">
        <v>8</v>
      </c>
      <c r="G469" s="66" t="s">
        <v>900</v>
      </c>
      <c r="H469" s="8"/>
      <c r="I469" s="8"/>
      <c r="J469" s="6" t="s">
        <v>455</v>
      </c>
      <c r="K469" s="38">
        <v>25000</v>
      </c>
      <c r="L469" s="4" t="s">
        <v>29</v>
      </c>
      <c r="M469" s="11">
        <f>_xlfn.NUMBERVALUE(LEFT(Table613[[#This Row],[Fiscal Year]], 4))</f>
        <v>2015</v>
      </c>
      <c r="N469" s="42">
        <f t="shared" si="13"/>
        <v>26543.354430379746</v>
      </c>
      <c r="O469" s="3">
        <v>467</v>
      </c>
    </row>
    <row r="470" spans="1:15" x14ac:dyDescent="0.25">
      <c r="C470" s="1"/>
      <c r="D470" s="1"/>
      <c r="G470" s="66"/>
      <c r="H470" s="8"/>
      <c r="I470" s="8"/>
      <c r="J470" s="6"/>
      <c r="L470" s="4"/>
      <c r="O470" s="3">
        <v>468</v>
      </c>
    </row>
    <row r="471" spans="1:15" x14ac:dyDescent="0.25">
      <c r="A471" s="3">
        <v>4</v>
      </c>
      <c r="B471" s="3" t="s">
        <v>153</v>
      </c>
      <c r="C471" s="1" t="s">
        <v>12</v>
      </c>
      <c r="D471" s="1" t="s">
        <v>444</v>
      </c>
      <c r="E471" s="11" t="s">
        <v>144</v>
      </c>
      <c r="F471" s="3" t="s">
        <v>8</v>
      </c>
      <c r="G471" s="56" t="s">
        <v>829</v>
      </c>
      <c r="H471" s="8"/>
      <c r="I471" s="8"/>
      <c r="J471" s="6" t="s">
        <v>110</v>
      </c>
      <c r="K471" s="38">
        <v>210493</v>
      </c>
      <c r="L471" s="4" t="s">
        <v>29</v>
      </c>
      <c r="M471" s="11">
        <f>_xlfn.NUMBERVALUE(LEFT(Table613[[#This Row],[Fiscal Year]], 4))</f>
        <v>2015</v>
      </c>
      <c r="N471" s="42">
        <f t="shared" si="13"/>
        <v>223487.61216455695</v>
      </c>
      <c r="O471" s="3">
        <v>469</v>
      </c>
    </row>
    <row r="472" spans="1:15" x14ac:dyDescent="0.25">
      <c r="A472" s="3">
        <v>4</v>
      </c>
      <c r="B472" s="3" t="s">
        <v>153</v>
      </c>
      <c r="C472" s="1" t="s">
        <v>12</v>
      </c>
      <c r="D472" s="1" t="s">
        <v>444</v>
      </c>
      <c r="E472" s="11" t="s">
        <v>144</v>
      </c>
      <c r="F472" s="3" t="s">
        <v>8</v>
      </c>
      <c r="G472" s="66" t="s">
        <v>844</v>
      </c>
      <c r="H472" s="8"/>
      <c r="I472" s="8"/>
      <c r="J472" s="6" t="s">
        <v>453</v>
      </c>
      <c r="K472" s="38">
        <v>2000</v>
      </c>
      <c r="L472" s="4" t="s">
        <v>29</v>
      </c>
      <c r="M472" s="11">
        <f>_xlfn.NUMBERVALUE(LEFT(Table613[[#This Row],[Fiscal Year]], 4))</f>
        <v>2015</v>
      </c>
      <c r="N472" s="42">
        <f t="shared" si="13"/>
        <v>2123.4683544303798</v>
      </c>
      <c r="O472" s="3">
        <v>470</v>
      </c>
    </row>
    <row r="473" spans="1:15" x14ac:dyDescent="0.25">
      <c r="A473" s="3">
        <v>4</v>
      </c>
      <c r="B473" s="3" t="s">
        <v>153</v>
      </c>
      <c r="C473" s="1" t="s">
        <v>12</v>
      </c>
      <c r="D473" s="1" t="s">
        <v>444</v>
      </c>
      <c r="E473" s="11" t="s">
        <v>144</v>
      </c>
      <c r="F473" s="3" t="s">
        <v>8</v>
      </c>
      <c r="G473" s="66" t="s">
        <v>845</v>
      </c>
      <c r="H473" s="8"/>
      <c r="I473" s="8"/>
      <c r="J473" s="6" t="s">
        <v>109</v>
      </c>
      <c r="K473" s="38">
        <v>22654</v>
      </c>
      <c r="L473" s="4" t="s">
        <v>29</v>
      </c>
      <c r="M473" s="11">
        <f>_xlfn.NUMBERVALUE(LEFT(Table613[[#This Row],[Fiscal Year]], 4))</f>
        <v>2015</v>
      </c>
      <c r="N473" s="42">
        <f t="shared" si="13"/>
        <v>24052.52605063291</v>
      </c>
      <c r="O473" s="3">
        <v>471</v>
      </c>
    </row>
    <row r="474" spans="1:15" x14ac:dyDescent="0.25">
      <c r="A474" s="3">
        <v>4</v>
      </c>
      <c r="B474" s="3" t="s">
        <v>153</v>
      </c>
      <c r="C474" s="1" t="s">
        <v>12</v>
      </c>
      <c r="D474" s="1" t="s">
        <v>444</v>
      </c>
      <c r="E474" s="11" t="s">
        <v>144</v>
      </c>
      <c r="F474" s="3" t="s">
        <v>8</v>
      </c>
      <c r="G474" s="48" t="s">
        <v>846</v>
      </c>
      <c r="H474" s="8"/>
      <c r="I474" s="8"/>
      <c r="J474" s="6" t="s">
        <v>111</v>
      </c>
      <c r="K474" s="38">
        <v>15849</v>
      </c>
      <c r="L474" s="4" t="s">
        <v>29</v>
      </c>
      <c r="M474" s="11">
        <f>_xlfn.NUMBERVALUE(LEFT(Table613[[#This Row],[Fiscal Year]], 4))</f>
        <v>2015</v>
      </c>
      <c r="N474" s="42">
        <f t="shared" si="13"/>
        <v>16827.424974683545</v>
      </c>
      <c r="O474" s="3">
        <v>472</v>
      </c>
    </row>
    <row r="475" spans="1:15" x14ac:dyDescent="0.25">
      <c r="A475" s="3">
        <v>4</v>
      </c>
      <c r="B475" s="3" t="s">
        <v>153</v>
      </c>
      <c r="C475" s="1" t="s">
        <v>12</v>
      </c>
      <c r="D475" s="1" t="s">
        <v>444</v>
      </c>
      <c r="E475" s="11" t="s">
        <v>144</v>
      </c>
      <c r="F475" s="3" t="s">
        <v>8</v>
      </c>
      <c r="G475" s="66" t="s">
        <v>847</v>
      </c>
      <c r="H475" s="8"/>
      <c r="I475" s="8"/>
      <c r="J475" s="6" t="s">
        <v>111</v>
      </c>
      <c r="K475" s="38">
        <v>11686</v>
      </c>
      <c r="L475" s="4" t="s">
        <v>29</v>
      </c>
      <c r="M475" s="11">
        <f>_xlfn.NUMBERVALUE(LEFT(Table613[[#This Row],[Fiscal Year]], 4))</f>
        <v>2015</v>
      </c>
      <c r="N475" s="42">
        <f t="shared" si="13"/>
        <v>12407.425594936709</v>
      </c>
      <c r="O475" s="3">
        <v>473</v>
      </c>
    </row>
    <row r="476" spans="1:15" x14ac:dyDescent="0.25">
      <c r="A476" s="3">
        <v>4</v>
      </c>
      <c r="B476" s="3" t="s">
        <v>153</v>
      </c>
      <c r="C476" s="1" t="s">
        <v>12</v>
      </c>
      <c r="D476" s="1" t="s">
        <v>444</v>
      </c>
      <c r="E476" s="11" t="s">
        <v>144</v>
      </c>
      <c r="F476" s="3" t="s">
        <v>8</v>
      </c>
      <c r="G476" s="48" t="s">
        <v>857</v>
      </c>
      <c r="H476" s="8"/>
      <c r="I476" s="8"/>
      <c r="J476" s="6" t="s">
        <v>108</v>
      </c>
      <c r="K476" s="38">
        <v>3076784</v>
      </c>
      <c r="L476" s="4" t="s">
        <v>29</v>
      </c>
      <c r="M476" s="11">
        <f>_xlfn.NUMBERVALUE(LEFT(Table613[[#This Row],[Fiscal Year]], 4))</f>
        <v>2015</v>
      </c>
      <c r="N476" s="42">
        <f t="shared" si="13"/>
        <v>3266726.7287088605</v>
      </c>
      <c r="O476" s="3">
        <v>474</v>
      </c>
    </row>
    <row r="477" spans="1:15" x14ac:dyDescent="0.25">
      <c r="A477" s="3">
        <v>4</v>
      </c>
      <c r="B477" s="3" t="s">
        <v>153</v>
      </c>
      <c r="C477" s="1" t="s">
        <v>12</v>
      </c>
      <c r="D477" s="1" t="s">
        <v>444</v>
      </c>
      <c r="E477" s="11" t="s">
        <v>144</v>
      </c>
      <c r="F477" s="3" t="s">
        <v>8</v>
      </c>
      <c r="G477" s="66" t="s">
        <v>849</v>
      </c>
      <c r="H477" s="8"/>
      <c r="I477" s="8"/>
      <c r="J477" s="6" t="s">
        <v>106</v>
      </c>
      <c r="K477" s="38">
        <v>3000</v>
      </c>
      <c r="L477" s="4" t="s">
        <v>29</v>
      </c>
      <c r="M477" s="11">
        <f>_xlfn.NUMBERVALUE(LEFT(Table613[[#This Row],[Fiscal Year]], 4))</f>
        <v>2015</v>
      </c>
      <c r="N477" s="42">
        <f t="shared" si="13"/>
        <v>3185.2025316455693</v>
      </c>
      <c r="O477" s="3">
        <v>475</v>
      </c>
    </row>
    <row r="478" spans="1:15" x14ac:dyDescent="0.25">
      <c r="A478" s="3">
        <v>4</v>
      </c>
      <c r="B478" s="3" t="s">
        <v>153</v>
      </c>
      <c r="C478" s="1" t="s">
        <v>12</v>
      </c>
      <c r="D478" s="1" t="s">
        <v>444</v>
      </c>
      <c r="E478" s="11" t="s">
        <v>144</v>
      </c>
      <c r="F478" s="3" t="s">
        <v>8</v>
      </c>
      <c r="G478" s="66" t="s">
        <v>850</v>
      </c>
      <c r="H478" s="8"/>
      <c r="I478" s="8"/>
      <c r="J478" s="6" t="s">
        <v>455</v>
      </c>
      <c r="K478" s="38">
        <v>0</v>
      </c>
      <c r="L478" s="4" t="s">
        <v>29</v>
      </c>
      <c r="M478" s="11">
        <f>_xlfn.NUMBERVALUE(LEFT(Table613[[#This Row],[Fiscal Year]], 4))</f>
        <v>2015</v>
      </c>
      <c r="N478" s="43">
        <f t="shared" si="13"/>
        <v>0</v>
      </c>
      <c r="O478" s="3">
        <v>476</v>
      </c>
    </row>
    <row r="479" spans="1:15" x14ac:dyDescent="0.25">
      <c r="A479" s="3">
        <v>4</v>
      </c>
      <c r="B479" s="3" t="s">
        <v>153</v>
      </c>
      <c r="C479" s="1" t="s">
        <v>12</v>
      </c>
      <c r="D479" s="1" t="s">
        <v>444</v>
      </c>
      <c r="E479" s="11" t="s">
        <v>144</v>
      </c>
      <c r="F479" s="3" t="s">
        <v>8</v>
      </c>
      <c r="G479" s="66" t="s">
        <v>851</v>
      </c>
      <c r="H479" s="8"/>
      <c r="I479" s="8"/>
      <c r="J479" s="6" t="s">
        <v>76</v>
      </c>
      <c r="K479" s="38">
        <v>0</v>
      </c>
      <c r="L479" s="4" t="s">
        <v>29</v>
      </c>
      <c r="M479" s="11">
        <f>_xlfn.NUMBERVALUE(LEFT(Table613[[#This Row],[Fiscal Year]], 4))</f>
        <v>2015</v>
      </c>
      <c r="N479" s="43">
        <f t="shared" si="13"/>
        <v>0</v>
      </c>
      <c r="O479" s="3">
        <v>477</v>
      </c>
    </row>
    <row r="480" spans="1:15" x14ac:dyDescent="0.25">
      <c r="A480" s="3">
        <v>4</v>
      </c>
      <c r="B480" s="3" t="s">
        <v>153</v>
      </c>
      <c r="C480" s="1" t="s">
        <v>12</v>
      </c>
      <c r="D480" s="1" t="s">
        <v>444</v>
      </c>
      <c r="E480" s="11" t="s">
        <v>144</v>
      </c>
      <c r="F480" s="3" t="s">
        <v>8</v>
      </c>
      <c r="G480" s="66" t="s">
        <v>852</v>
      </c>
      <c r="H480" s="8"/>
      <c r="I480" s="8"/>
      <c r="J480" s="6" t="s">
        <v>76</v>
      </c>
      <c r="K480" s="38">
        <v>0</v>
      </c>
      <c r="L480" s="4" t="s">
        <v>29</v>
      </c>
      <c r="M480" s="11">
        <f>_xlfn.NUMBERVALUE(LEFT(Table613[[#This Row],[Fiscal Year]], 4))</f>
        <v>2015</v>
      </c>
      <c r="N480" s="43">
        <f t="shared" si="13"/>
        <v>0</v>
      </c>
      <c r="O480" s="3">
        <v>478</v>
      </c>
    </row>
    <row r="481" spans="1:15" x14ac:dyDescent="0.25">
      <c r="A481" s="3">
        <v>4</v>
      </c>
      <c r="B481" s="3" t="s">
        <v>153</v>
      </c>
      <c r="C481" s="1" t="s">
        <v>12</v>
      </c>
      <c r="D481" s="1" t="s">
        <v>444</v>
      </c>
      <c r="E481" s="11" t="s">
        <v>144</v>
      </c>
      <c r="F481" s="3" t="s">
        <v>8</v>
      </c>
      <c r="G481" s="66" t="s">
        <v>853</v>
      </c>
      <c r="H481" s="8"/>
      <c r="I481" s="8"/>
      <c r="J481" s="6" t="s">
        <v>76</v>
      </c>
      <c r="K481" s="38">
        <v>0</v>
      </c>
      <c r="L481" s="4" t="s">
        <v>29</v>
      </c>
      <c r="M481" s="11">
        <f>_xlfn.NUMBERVALUE(LEFT(Table613[[#This Row],[Fiscal Year]], 4))</f>
        <v>2015</v>
      </c>
      <c r="N481" s="43">
        <f t="shared" si="13"/>
        <v>0</v>
      </c>
      <c r="O481" s="3">
        <v>479</v>
      </c>
    </row>
    <row r="482" spans="1:15" x14ac:dyDescent="0.25">
      <c r="A482" s="3">
        <v>4</v>
      </c>
      <c r="B482" s="3" t="s">
        <v>153</v>
      </c>
      <c r="C482" s="1" t="s">
        <v>12</v>
      </c>
      <c r="D482" s="1" t="s">
        <v>444</v>
      </c>
      <c r="E482" s="11" t="s">
        <v>144</v>
      </c>
      <c r="F482" s="3" t="s">
        <v>8</v>
      </c>
      <c r="G482" s="63" t="s">
        <v>854</v>
      </c>
      <c r="H482" s="8"/>
      <c r="I482" s="8"/>
      <c r="J482" s="6" t="s">
        <v>47</v>
      </c>
      <c r="K482" s="38">
        <v>82860</v>
      </c>
      <c r="L482" s="4" t="s">
        <v>29</v>
      </c>
      <c r="M482" s="11">
        <f>_xlfn.NUMBERVALUE(LEFT(Table613[[#This Row],[Fiscal Year]], 4))</f>
        <v>2015</v>
      </c>
      <c r="N482" s="42">
        <f>K482*(1+VLOOKUP(M482,$AF$8:$AH$31,3,0))</f>
        <v>87975.293924050624</v>
      </c>
      <c r="O482" s="3">
        <v>480</v>
      </c>
    </row>
    <row r="483" spans="1:15" x14ac:dyDescent="0.25">
      <c r="A483" s="3">
        <v>4</v>
      </c>
      <c r="B483" s="3" t="s">
        <v>153</v>
      </c>
      <c r="C483" s="1" t="s">
        <v>12</v>
      </c>
      <c r="D483" s="1" t="s">
        <v>444</v>
      </c>
      <c r="E483" s="11" t="s">
        <v>144</v>
      </c>
      <c r="F483" s="3" t="s">
        <v>8</v>
      </c>
      <c r="G483" s="63" t="s">
        <v>901</v>
      </c>
      <c r="H483" s="8"/>
      <c r="I483" s="8"/>
      <c r="J483" s="6" t="s">
        <v>455</v>
      </c>
      <c r="K483" s="38">
        <v>0</v>
      </c>
      <c r="L483" s="4" t="s">
        <v>29</v>
      </c>
      <c r="M483" s="11">
        <f>_xlfn.NUMBERVALUE(LEFT(Table613[[#This Row],[Fiscal Year]], 4))</f>
        <v>2015</v>
      </c>
      <c r="N483" s="43">
        <f t="shared" si="13"/>
        <v>0</v>
      </c>
      <c r="O483" s="3">
        <v>481</v>
      </c>
    </row>
    <row r="484" spans="1:15" x14ac:dyDescent="0.25">
      <c r="C484" s="1"/>
      <c r="D484" s="1"/>
      <c r="G484" s="66"/>
      <c r="H484" s="8"/>
      <c r="I484" s="8"/>
      <c r="J484" s="6"/>
      <c r="L484" s="4"/>
      <c r="O484" s="3">
        <v>482</v>
      </c>
    </row>
    <row r="485" spans="1:15" x14ac:dyDescent="0.25">
      <c r="A485" s="3">
        <v>4</v>
      </c>
      <c r="B485" s="3" t="s">
        <v>154</v>
      </c>
      <c r="C485" s="1" t="s">
        <v>12</v>
      </c>
      <c r="D485" s="1" t="s">
        <v>444</v>
      </c>
      <c r="E485" s="11" t="s">
        <v>144</v>
      </c>
      <c r="F485" s="3" t="s">
        <v>8</v>
      </c>
      <c r="G485" s="56" t="s">
        <v>829</v>
      </c>
      <c r="H485" s="8"/>
      <c r="I485" s="8"/>
      <c r="J485" s="6" t="s">
        <v>110</v>
      </c>
      <c r="K485" s="38">
        <v>90000</v>
      </c>
      <c r="L485" s="4" t="s">
        <v>29</v>
      </c>
      <c r="M485" s="11">
        <f>_xlfn.NUMBERVALUE(LEFT(Table613[[#This Row],[Fiscal Year]], 4))</f>
        <v>2015</v>
      </c>
      <c r="N485" s="42">
        <f t="shared" si="13"/>
        <v>95556.075949367078</v>
      </c>
      <c r="O485" s="3">
        <v>483</v>
      </c>
    </row>
    <row r="486" spans="1:15" x14ac:dyDescent="0.25">
      <c r="A486" s="3">
        <v>4</v>
      </c>
      <c r="B486" s="3" t="s">
        <v>154</v>
      </c>
      <c r="C486" s="1" t="s">
        <v>12</v>
      </c>
      <c r="D486" s="1" t="s">
        <v>444</v>
      </c>
      <c r="E486" s="11" t="s">
        <v>144</v>
      </c>
      <c r="F486" s="3" t="s">
        <v>8</v>
      </c>
      <c r="G486" s="66" t="s">
        <v>844</v>
      </c>
      <c r="H486" s="8"/>
      <c r="I486" s="8"/>
      <c r="J486" s="6" t="s">
        <v>453</v>
      </c>
      <c r="K486" s="38">
        <v>9000</v>
      </c>
      <c r="L486" s="4" t="s">
        <v>29</v>
      </c>
      <c r="M486" s="11">
        <f>_xlfn.NUMBERVALUE(LEFT(Table613[[#This Row],[Fiscal Year]], 4))</f>
        <v>2015</v>
      </c>
      <c r="N486" s="42">
        <f t="shared" si="13"/>
        <v>9555.6075949367078</v>
      </c>
      <c r="O486" s="3">
        <v>484</v>
      </c>
    </row>
    <row r="487" spans="1:15" x14ac:dyDescent="0.25">
      <c r="A487" s="3">
        <v>4</v>
      </c>
      <c r="B487" s="3" t="s">
        <v>154</v>
      </c>
      <c r="C487" s="1" t="s">
        <v>12</v>
      </c>
      <c r="D487" s="1" t="s">
        <v>444</v>
      </c>
      <c r="E487" s="11" t="s">
        <v>144</v>
      </c>
      <c r="F487" s="3" t="s">
        <v>8</v>
      </c>
      <c r="G487" s="66" t="s">
        <v>845</v>
      </c>
      <c r="H487" s="8"/>
      <c r="I487" s="8"/>
      <c r="J487" s="6" t="s">
        <v>109</v>
      </c>
      <c r="K487" s="38">
        <v>20000</v>
      </c>
      <c r="L487" s="4" t="s">
        <v>29</v>
      </c>
      <c r="M487" s="11">
        <f>_xlfn.NUMBERVALUE(LEFT(Table613[[#This Row],[Fiscal Year]], 4))</f>
        <v>2015</v>
      </c>
      <c r="N487" s="42">
        <f t="shared" si="13"/>
        <v>21234.683544303796</v>
      </c>
      <c r="O487" s="3">
        <v>485</v>
      </c>
    </row>
    <row r="488" spans="1:15" x14ac:dyDescent="0.25">
      <c r="A488" s="3">
        <v>4</v>
      </c>
      <c r="B488" s="3" t="s">
        <v>154</v>
      </c>
      <c r="C488" s="1" t="s">
        <v>12</v>
      </c>
      <c r="D488" s="1" t="s">
        <v>444</v>
      </c>
      <c r="E488" s="11" t="s">
        <v>144</v>
      </c>
      <c r="F488" s="3" t="s">
        <v>8</v>
      </c>
      <c r="G488" s="48" t="s">
        <v>846</v>
      </c>
      <c r="H488" s="8"/>
      <c r="I488" s="8"/>
      <c r="J488" s="6" t="s">
        <v>111</v>
      </c>
      <c r="K488" s="38">
        <v>1000</v>
      </c>
      <c r="L488" s="4" t="s">
        <v>29</v>
      </c>
      <c r="M488" s="11">
        <f>_xlfn.NUMBERVALUE(LEFT(Table613[[#This Row],[Fiscal Year]], 4))</f>
        <v>2015</v>
      </c>
      <c r="N488" s="42">
        <f t="shared" si="13"/>
        <v>1061.7341772151899</v>
      </c>
      <c r="O488" s="3">
        <v>486</v>
      </c>
    </row>
    <row r="489" spans="1:15" x14ac:dyDescent="0.25">
      <c r="A489" s="3">
        <v>4</v>
      </c>
      <c r="B489" s="3" t="s">
        <v>154</v>
      </c>
      <c r="C489" s="1" t="s">
        <v>12</v>
      </c>
      <c r="D489" s="1" t="s">
        <v>444</v>
      </c>
      <c r="E489" s="11" t="s">
        <v>144</v>
      </c>
      <c r="F489" s="3" t="s">
        <v>8</v>
      </c>
      <c r="G489" s="66" t="s">
        <v>847</v>
      </c>
      <c r="H489" s="8"/>
      <c r="I489" s="8"/>
      <c r="J489" s="6" t="s">
        <v>111</v>
      </c>
      <c r="K489" s="38">
        <v>10000</v>
      </c>
      <c r="L489" s="4" t="s">
        <v>29</v>
      </c>
      <c r="M489" s="11">
        <f>_xlfn.NUMBERVALUE(LEFT(Table613[[#This Row],[Fiscal Year]], 4))</f>
        <v>2015</v>
      </c>
      <c r="N489" s="42">
        <f t="shared" si="13"/>
        <v>10617.341772151898</v>
      </c>
      <c r="O489" s="3">
        <v>487</v>
      </c>
    </row>
    <row r="490" spans="1:15" x14ac:dyDescent="0.25">
      <c r="A490" s="3">
        <v>4</v>
      </c>
      <c r="B490" s="3" t="s">
        <v>154</v>
      </c>
      <c r="C490" s="1" t="s">
        <v>12</v>
      </c>
      <c r="D490" s="1" t="s">
        <v>444</v>
      </c>
      <c r="E490" s="11" t="s">
        <v>144</v>
      </c>
      <c r="F490" s="3" t="s">
        <v>8</v>
      </c>
      <c r="G490" s="48" t="s">
        <v>857</v>
      </c>
      <c r="H490" s="8"/>
      <c r="I490" s="8"/>
      <c r="J490" s="6" t="s">
        <v>108</v>
      </c>
      <c r="K490" s="38">
        <v>250000</v>
      </c>
      <c r="L490" s="4" t="s">
        <v>29</v>
      </c>
      <c r="M490" s="11">
        <f>_xlfn.NUMBERVALUE(LEFT(Table613[[#This Row],[Fiscal Year]], 4))</f>
        <v>2015</v>
      </c>
      <c r="N490" s="42">
        <f t="shared" si="13"/>
        <v>265433.54430379748</v>
      </c>
      <c r="O490" s="3">
        <v>488</v>
      </c>
    </row>
    <row r="491" spans="1:15" x14ac:dyDescent="0.25">
      <c r="A491" s="3">
        <v>4</v>
      </c>
      <c r="B491" s="3" t="s">
        <v>154</v>
      </c>
      <c r="C491" s="1" t="s">
        <v>12</v>
      </c>
      <c r="D491" s="1" t="s">
        <v>444</v>
      </c>
      <c r="E491" s="11" t="s">
        <v>144</v>
      </c>
      <c r="F491" s="3" t="s">
        <v>8</v>
      </c>
      <c r="G491" s="66" t="s">
        <v>849</v>
      </c>
      <c r="H491" s="8"/>
      <c r="I491" s="8"/>
      <c r="J491" s="6" t="s">
        <v>106</v>
      </c>
      <c r="K491" s="38">
        <v>30000</v>
      </c>
      <c r="L491" s="4" t="s">
        <v>29</v>
      </c>
      <c r="M491" s="11">
        <f>_xlfn.NUMBERVALUE(LEFT(Table613[[#This Row],[Fiscal Year]], 4))</f>
        <v>2015</v>
      </c>
      <c r="N491" s="42">
        <f t="shared" si="13"/>
        <v>31852.025316455696</v>
      </c>
      <c r="O491" s="3">
        <v>489</v>
      </c>
    </row>
    <row r="492" spans="1:15" x14ac:dyDescent="0.25">
      <c r="A492" s="3">
        <v>4</v>
      </c>
      <c r="B492" s="3" t="s">
        <v>154</v>
      </c>
      <c r="C492" s="1" t="s">
        <v>12</v>
      </c>
      <c r="D492" s="1" t="s">
        <v>444</v>
      </c>
      <c r="E492" s="11" t="s">
        <v>144</v>
      </c>
      <c r="F492" s="3" t="s">
        <v>8</v>
      </c>
      <c r="G492" s="66" t="s">
        <v>850</v>
      </c>
      <c r="H492" s="8"/>
      <c r="I492" s="8"/>
      <c r="J492" s="6" t="s">
        <v>455</v>
      </c>
      <c r="K492" s="38">
        <v>0</v>
      </c>
      <c r="L492" s="4" t="s">
        <v>29</v>
      </c>
      <c r="M492" s="11">
        <f>_xlfn.NUMBERVALUE(LEFT(Table613[[#This Row],[Fiscal Year]], 4))</f>
        <v>2015</v>
      </c>
      <c r="N492" s="43">
        <f t="shared" si="13"/>
        <v>0</v>
      </c>
      <c r="O492" s="3">
        <v>490</v>
      </c>
    </row>
    <row r="493" spans="1:15" x14ac:dyDescent="0.25">
      <c r="A493" s="3">
        <v>4</v>
      </c>
      <c r="B493" s="3" t="s">
        <v>154</v>
      </c>
      <c r="C493" s="1" t="s">
        <v>12</v>
      </c>
      <c r="D493" s="1" t="s">
        <v>444</v>
      </c>
      <c r="E493" s="11" t="s">
        <v>144</v>
      </c>
      <c r="F493" s="3" t="s">
        <v>8</v>
      </c>
      <c r="G493" s="66" t="s">
        <v>851</v>
      </c>
      <c r="H493" s="8"/>
      <c r="I493" s="8"/>
      <c r="J493" s="6" t="s">
        <v>76</v>
      </c>
      <c r="K493" s="38">
        <v>50000</v>
      </c>
      <c r="L493" s="4" t="s">
        <v>29</v>
      </c>
      <c r="M493" s="11">
        <f>_xlfn.NUMBERVALUE(LEFT(Table613[[#This Row],[Fiscal Year]], 4))</f>
        <v>2015</v>
      </c>
      <c r="N493" s="42">
        <f t="shared" si="13"/>
        <v>53086.708860759492</v>
      </c>
      <c r="O493" s="3">
        <v>491</v>
      </c>
    </row>
    <row r="494" spans="1:15" x14ac:dyDescent="0.25">
      <c r="A494" s="3">
        <v>4</v>
      </c>
      <c r="B494" s="3" t="s">
        <v>154</v>
      </c>
      <c r="C494" s="1" t="s">
        <v>12</v>
      </c>
      <c r="D494" s="1" t="s">
        <v>444</v>
      </c>
      <c r="E494" s="11" t="s">
        <v>144</v>
      </c>
      <c r="F494" s="3" t="s">
        <v>8</v>
      </c>
      <c r="G494" s="66" t="s">
        <v>852</v>
      </c>
      <c r="H494" s="8"/>
      <c r="I494" s="8"/>
      <c r="J494" s="6" t="s">
        <v>76</v>
      </c>
      <c r="K494" s="38">
        <v>50000</v>
      </c>
      <c r="L494" s="4" t="s">
        <v>29</v>
      </c>
      <c r="M494" s="11">
        <f>_xlfn.NUMBERVALUE(LEFT(Table613[[#This Row],[Fiscal Year]], 4))</f>
        <v>2015</v>
      </c>
      <c r="N494" s="42">
        <f t="shared" si="13"/>
        <v>53086.708860759492</v>
      </c>
      <c r="O494" s="3">
        <v>492</v>
      </c>
    </row>
    <row r="495" spans="1:15" x14ac:dyDescent="0.25">
      <c r="A495" s="3">
        <v>4</v>
      </c>
      <c r="B495" s="3" t="s">
        <v>154</v>
      </c>
      <c r="C495" s="1" t="s">
        <v>12</v>
      </c>
      <c r="D495" s="1" t="s">
        <v>444</v>
      </c>
      <c r="E495" s="11" t="s">
        <v>144</v>
      </c>
      <c r="F495" s="3" t="s">
        <v>8</v>
      </c>
      <c r="G495" s="66" t="s">
        <v>853</v>
      </c>
      <c r="H495" s="8"/>
      <c r="I495" s="8"/>
      <c r="J495" s="6" t="s">
        <v>76</v>
      </c>
      <c r="K495" s="38">
        <v>0</v>
      </c>
      <c r="L495" s="4" t="s">
        <v>29</v>
      </c>
      <c r="M495" s="11">
        <f>_xlfn.NUMBERVALUE(LEFT(Table613[[#This Row],[Fiscal Year]], 4))</f>
        <v>2015</v>
      </c>
      <c r="N495" s="43">
        <f t="shared" si="13"/>
        <v>0</v>
      </c>
      <c r="O495" s="3">
        <v>493</v>
      </c>
    </row>
    <row r="496" spans="1:15" x14ac:dyDescent="0.25">
      <c r="A496" s="3">
        <v>4</v>
      </c>
      <c r="B496" s="3" t="s">
        <v>154</v>
      </c>
      <c r="C496" s="1" t="s">
        <v>12</v>
      </c>
      <c r="D496" s="1" t="s">
        <v>444</v>
      </c>
      <c r="E496" s="11" t="s">
        <v>144</v>
      </c>
      <c r="F496" s="3" t="s">
        <v>8</v>
      </c>
      <c r="G496" s="63" t="s">
        <v>854</v>
      </c>
      <c r="H496" s="8"/>
      <c r="I496" s="8"/>
      <c r="J496" s="6" t="s">
        <v>47</v>
      </c>
      <c r="K496" s="38">
        <v>30000</v>
      </c>
      <c r="L496" s="4" t="s">
        <v>29</v>
      </c>
      <c r="M496" s="11">
        <f>_xlfn.NUMBERVALUE(LEFT(Table613[[#This Row],[Fiscal Year]], 4))</f>
        <v>2015</v>
      </c>
      <c r="N496" s="42">
        <f t="shared" si="13"/>
        <v>31852.025316455696</v>
      </c>
      <c r="O496" s="3">
        <v>494</v>
      </c>
    </row>
    <row r="497" spans="1:15" x14ac:dyDescent="0.25">
      <c r="A497" s="3">
        <v>4</v>
      </c>
      <c r="B497" s="3" t="s">
        <v>154</v>
      </c>
      <c r="C497" s="1" t="s">
        <v>12</v>
      </c>
      <c r="D497" s="1" t="s">
        <v>444</v>
      </c>
      <c r="E497" s="11" t="s">
        <v>144</v>
      </c>
      <c r="F497" s="3" t="s">
        <v>8</v>
      </c>
      <c r="G497" s="63" t="s">
        <v>902</v>
      </c>
      <c r="H497" s="8"/>
      <c r="I497" s="8"/>
      <c r="J497" s="6" t="s">
        <v>455</v>
      </c>
      <c r="K497" s="38">
        <v>40000</v>
      </c>
      <c r="L497" s="4" t="s">
        <v>29</v>
      </c>
      <c r="M497" s="11">
        <f>_xlfn.NUMBERVALUE(LEFT(Table613[[#This Row],[Fiscal Year]], 4))</f>
        <v>2015</v>
      </c>
      <c r="N497" s="42">
        <f t="shared" si="13"/>
        <v>42469.367088607592</v>
      </c>
      <c r="O497" s="3">
        <v>495</v>
      </c>
    </row>
    <row r="498" spans="1:15" x14ac:dyDescent="0.25">
      <c r="C498" s="1"/>
      <c r="D498" s="1"/>
      <c r="G498" s="66"/>
      <c r="H498" s="8"/>
      <c r="I498" s="8"/>
      <c r="J498" s="6"/>
      <c r="L498" s="4"/>
      <c r="O498" s="3">
        <v>496</v>
      </c>
    </row>
    <row r="499" spans="1:15" x14ac:dyDescent="0.25">
      <c r="A499" s="3">
        <v>4</v>
      </c>
      <c r="B499" s="3" t="s">
        <v>155</v>
      </c>
      <c r="C499" s="1" t="s">
        <v>12</v>
      </c>
      <c r="D499" s="1" t="s">
        <v>444</v>
      </c>
      <c r="E499" s="11" t="s">
        <v>144</v>
      </c>
      <c r="F499" s="3" t="s">
        <v>8</v>
      </c>
      <c r="G499" s="56" t="s">
        <v>829</v>
      </c>
      <c r="H499" s="8"/>
      <c r="I499" s="8"/>
      <c r="J499" s="6" t="s">
        <v>110</v>
      </c>
      <c r="K499" s="38">
        <v>50000</v>
      </c>
      <c r="L499" s="4" t="s">
        <v>29</v>
      </c>
      <c r="M499" s="11">
        <f>_xlfn.NUMBERVALUE(LEFT(Table613[[#This Row],[Fiscal Year]], 4))</f>
        <v>2015</v>
      </c>
      <c r="N499" s="42">
        <f t="shared" si="13"/>
        <v>53086.708860759492</v>
      </c>
      <c r="O499" s="3">
        <v>497</v>
      </c>
    </row>
    <row r="500" spans="1:15" x14ac:dyDescent="0.25">
      <c r="A500" s="3">
        <v>4</v>
      </c>
      <c r="B500" s="3" t="s">
        <v>155</v>
      </c>
      <c r="C500" s="1" t="s">
        <v>12</v>
      </c>
      <c r="D500" s="1" t="s">
        <v>444</v>
      </c>
      <c r="E500" s="11" t="s">
        <v>144</v>
      </c>
      <c r="F500" s="3" t="s">
        <v>8</v>
      </c>
      <c r="G500" s="66" t="s">
        <v>844</v>
      </c>
      <c r="H500" s="8"/>
      <c r="I500" s="8"/>
      <c r="J500" s="6" t="s">
        <v>453</v>
      </c>
      <c r="K500" s="38">
        <v>10000</v>
      </c>
      <c r="L500" s="4" t="s">
        <v>29</v>
      </c>
      <c r="M500" s="11">
        <f>_xlfn.NUMBERVALUE(LEFT(Table613[[#This Row],[Fiscal Year]], 4))</f>
        <v>2015</v>
      </c>
      <c r="N500" s="42">
        <f t="shared" si="13"/>
        <v>10617.341772151898</v>
      </c>
      <c r="O500" s="3">
        <v>498</v>
      </c>
    </row>
    <row r="501" spans="1:15" x14ac:dyDescent="0.25">
      <c r="A501" s="3">
        <v>4</v>
      </c>
      <c r="B501" s="3" t="s">
        <v>155</v>
      </c>
      <c r="C501" s="1" t="s">
        <v>12</v>
      </c>
      <c r="D501" s="1" t="s">
        <v>444</v>
      </c>
      <c r="E501" s="11" t="s">
        <v>144</v>
      </c>
      <c r="F501" s="3" t="s">
        <v>8</v>
      </c>
      <c r="G501" s="66" t="s">
        <v>845</v>
      </c>
      <c r="H501" s="8"/>
      <c r="I501" s="8"/>
      <c r="J501" s="6" t="s">
        <v>109</v>
      </c>
      <c r="K501" s="38">
        <v>0</v>
      </c>
      <c r="L501" s="4" t="s">
        <v>29</v>
      </c>
      <c r="M501" s="11">
        <f>_xlfn.NUMBERVALUE(LEFT(Table613[[#This Row],[Fiscal Year]], 4))</f>
        <v>2015</v>
      </c>
      <c r="N501" s="43">
        <f t="shared" si="13"/>
        <v>0</v>
      </c>
      <c r="O501" s="3">
        <v>499</v>
      </c>
    </row>
    <row r="502" spans="1:15" x14ac:dyDescent="0.25">
      <c r="A502" s="3">
        <v>4</v>
      </c>
      <c r="B502" s="3" t="s">
        <v>155</v>
      </c>
      <c r="C502" s="1" t="s">
        <v>12</v>
      </c>
      <c r="D502" s="1" t="s">
        <v>444</v>
      </c>
      <c r="E502" s="11" t="s">
        <v>144</v>
      </c>
      <c r="F502" s="3" t="s">
        <v>8</v>
      </c>
      <c r="G502" s="48" t="s">
        <v>846</v>
      </c>
      <c r="H502" s="8"/>
      <c r="I502" s="8"/>
      <c r="J502" s="6" t="s">
        <v>111</v>
      </c>
      <c r="K502" s="38">
        <v>25000</v>
      </c>
      <c r="L502" s="4" t="s">
        <v>29</v>
      </c>
      <c r="M502" s="11">
        <f>_xlfn.NUMBERVALUE(LEFT(Table613[[#This Row],[Fiscal Year]], 4))</f>
        <v>2015</v>
      </c>
      <c r="N502" s="42">
        <f t="shared" si="13"/>
        <v>26543.354430379746</v>
      </c>
      <c r="O502" s="3">
        <v>500</v>
      </c>
    </row>
    <row r="503" spans="1:15" x14ac:dyDescent="0.25">
      <c r="A503" s="3">
        <v>4</v>
      </c>
      <c r="B503" s="3" t="s">
        <v>155</v>
      </c>
      <c r="C503" s="1" t="s">
        <v>12</v>
      </c>
      <c r="D503" s="1" t="s">
        <v>444</v>
      </c>
      <c r="E503" s="11" t="s">
        <v>144</v>
      </c>
      <c r="F503" s="3" t="s">
        <v>8</v>
      </c>
      <c r="G503" s="66" t="s">
        <v>847</v>
      </c>
      <c r="H503" s="8"/>
      <c r="I503" s="8"/>
      <c r="J503" s="6" t="s">
        <v>111</v>
      </c>
      <c r="K503" s="38">
        <v>10000</v>
      </c>
      <c r="L503" s="4" t="s">
        <v>29</v>
      </c>
      <c r="M503" s="11">
        <f>_xlfn.NUMBERVALUE(LEFT(Table613[[#This Row],[Fiscal Year]], 4))</f>
        <v>2015</v>
      </c>
      <c r="N503" s="42">
        <f t="shared" si="13"/>
        <v>10617.341772151898</v>
      </c>
      <c r="O503" s="3">
        <v>501</v>
      </c>
    </row>
    <row r="504" spans="1:15" x14ac:dyDescent="0.25">
      <c r="A504" s="3">
        <v>4</v>
      </c>
      <c r="B504" s="3" t="s">
        <v>155</v>
      </c>
      <c r="C504" s="1" t="s">
        <v>12</v>
      </c>
      <c r="D504" s="1" t="s">
        <v>444</v>
      </c>
      <c r="E504" s="11" t="s">
        <v>144</v>
      </c>
      <c r="F504" s="3" t="s">
        <v>8</v>
      </c>
      <c r="G504" s="48" t="s">
        <v>857</v>
      </c>
      <c r="H504" s="8"/>
      <c r="I504" s="8"/>
      <c r="J504" s="6" t="s">
        <v>108</v>
      </c>
      <c r="K504" s="38">
        <v>637442</v>
      </c>
      <c r="L504" s="4" t="s">
        <v>29</v>
      </c>
      <c r="M504" s="11">
        <f>_xlfn.NUMBERVALUE(LEFT(Table613[[#This Row],[Fiscal Year]], 4))</f>
        <v>2015</v>
      </c>
      <c r="N504" s="42">
        <f t="shared" si="13"/>
        <v>676793.95739240502</v>
      </c>
      <c r="O504" s="3">
        <v>502</v>
      </c>
    </row>
    <row r="505" spans="1:15" x14ac:dyDescent="0.25">
      <c r="A505" s="3">
        <v>4</v>
      </c>
      <c r="B505" s="3" t="s">
        <v>155</v>
      </c>
      <c r="C505" s="1" t="s">
        <v>12</v>
      </c>
      <c r="D505" s="1" t="s">
        <v>444</v>
      </c>
      <c r="E505" s="11" t="s">
        <v>144</v>
      </c>
      <c r="F505" s="3" t="s">
        <v>8</v>
      </c>
      <c r="G505" s="66" t="s">
        <v>849</v>
      </c>
      <c r="H505" s="8"/>
      <c r="I505" s="8"/>
      <c r="J505" s="6" t="s">
        <v>106</v>
      </c>
      <c r="K505" s="38">
        <v>16000</v>
      </c>
      <c r="L505" s="4" t="s">
        <v>29</v>
      </c>
      <c r="M505" s="11">
        <f>_xlfn.NUMBERVALUE(LEFT(Table613[[#This Row],[Fiscal Year]], 4))</f>
        <v>2015</v>
      </c>
      <c r="N505" s="42">
        <f t="shared" si="13"/>
        <v>16987.746835443038</v>
      </c>
      <c r="O505" s="3">
        <v>503</v>
      </c>
    </row>
    <row r="506" spans="1:15" x14ac:dyDescent="0.25">
      <c r="A506" s="3">
        <v>4</v>
      </c>
      <c r="B506" s="3" t="s">
        <v>155</v>
      </c>
      <c r="C506" s="1" t="s">
        <v>12</v>
      </c>
      <c r="D506" s="1" t="s">
        <v>444</v>
      </c>
      <c r="E506" s="11" t="s">
        <v>144</v>
      </c>
      <c r="F506" s="3" t="s">
        <v>8</v>
      </c>
      <c r="G506" s="66" t="s">
        <v>850</v>
      </c>
      <c r="H506" s="8"/>
      <c r="I506" s="8"/>
      <c r="J506" s="6" t="s">
        <v>455</v>
      </c>
      <c r="K506" s="38">
        <v>0</v>
      </c>
      <c r="L506" s="4" t="s">
        <v>29</v>
      </c>
      <c r="M506" s="11">
        <f>_xlfn.NUMBERVALUE(LEFT(Table613[[#This Row],[Fiscal Year]], 4))</f>
        <v>2015</v>
      </c>
      <c r="N506" s="43">
        <f t="shared" si="13"/>
        <v>0</v>
      </c>
      <c r="O506" s="3">
        <v>504</v>
      </c>
    </row>
    <row r="507" spans="1:15" x14ac:dyDescent="0.25">
      <c r="A507" s="3">
        <v>4</v>
      </c>
      <c r="B507" s="3" t="s">
        <v>155</v>
      </c>
      <c r="C507" s="1" t="s">
        <v>12</v>
      </c>
      <c r="D507" s="1" t="s">
        <v>444</v>
      </c>
      <c r="E507" s="11" t="s">
        <v>144</v>
      </c>
      <c r="F507" s="3" t="s">
        <v>8</v>
      </c>
      <c r="G507" s="66" t="s">
        <v>851</v>
      </c>
      <c r="H507" s="8"/>
      <c r="I507" s="8"/>
      <c r="J507" s="6" t="s">
        <v>76</v>
      </c>
      <c r="K507" s="38">
        <v>0</v>
      </c>
      <c r="L507" s="4" t="s">
        <v>29</v>
      </c>
      <c r="M507" s="11">
        <f>_xlfn.NUMBERVALUE(LEFT(Table613[[#This Row],[Fiscal Year]], 4))</f>
        <v>2015</v>
      </c>
      <c r="N507" s="43">
        <f t="shared" si="13"/>
        <v>0</v>
      </c>
      <c r="O507" s="3">
        <v>505</v>
      </c>
    </row>
    <row r="508" spans="1:15" x14ac:dyDescent="0.25">
      <c r="A508" s="3">
        <v>4</v>
      </c>
      <c r="B508" s="3" t="s">
        <v>155</v>
      </c>
      <c r="C508" s="1" t="s">
        <v>12</v>
      </c>
      <c r="D508" s="1" t="s">
        <v>444</v>
      </c>
      <c r="E508" s="11" t="s">
        <v>144</v>
      </c>
      <c r="F508" s="3" t="s">
        <v>8</v>
      </c>
      <c r="G508" s="66" t="s">
        <v>852</v>
      </c>
      <c r="H508" s="8"/>
      <c r="I508" s="8"/>
      <c r="J508" s="6" t="s">
        <v>76</v>
      </c>
      <c r="K508" s="38">
        <v>0</v>
      </c>
      <c r="L508" s="4" t="s">
        <v>29</v>
      </c>
      <c r="M508" s="11">
        <f>_xlfn.NUMBERVALUE(LEFT(Table613[[#This Row],[Fiscal Year]], 4))</f>
        <v>2015</v>
      </c>
      <c r="N508" s="43">
        <f t="shared" si="13"/>
        <v>0</v>
      </c>
      <c r="O508" s="3">
        <v>506</v>
      </c>
    </row>
    <row r="509" spans="1:15" x14ac:dyDescent="0.25">
      <c r="A509" s="3">
        <v>4</v>
      </c>
      <c r="B509" s="3" t="s">
        <v>155</v>
      </c>
      <c r="C509" s="1" t="s">
        <v>12</v>
      </c>
      <c r="D509" s="1" t="s">
        <v>444</v>
      </c>
      <c r="E509" s="11" t="s">
        <v>144</v>
      </c>
      <c r="F509" s="3" t="s">
        <v>8</v>
      </c>
      <c r="G509" s="66" t="s">
        <v>853</v>
      </c>
      <c r="H509" s="8"/>
      <c r="I509" s="8"/>
      <c r="J509" s="6" t="s">
        <v>76</v>
      </c>
      <c r="K509" s="38">
        <v>0</v>
      </c>
      <c r="L509" s="4" t="s">
        <v>29</v>
      </c>
      <c r="M509" s="11">
        <f>_xlfn.NUMBERVALUE(LEFT(Table613[[#This Row],[Fiscal Year]], 4))</f>
        <v>2015</v>
      </c>
      <c r="N509" s="43">
        <f t="shared" si="13"/>
        <v>0</v>
      </c>
      <c r="O509" s="3">
        <v>507</v>
      </c>
    </row>
    <row r="510" spans="1:15" x14ac:dyDescent="0.25">
      <c r="A510" s="3">
        <v>4</v>
      </c>
      <c r="B510" s="3" t="s">
        <v>155</v>
      </c>
      <c r="C510" s="1" t="s">
        <v>12</v>
      </c>
      <c r="D510" s="1" t="s">
        <v>444</v>
      </c>
      <c r="E510" s="11" t="s">
        <v>144</v>
      </c>
      <c r="F510" s="3" t="s">
        <v>8</v>
      </c>
      <c r="G510" s="63" t="s">
        <v>854</v>
      </c>
      <c r="H510" s="8"/>
      <c r="I510" s="8"/>
      <c r="J510" s="6" t="s">
        <v>47</v>
      </c>
      <c r="K510" s="38">
        <v>50000</v>
      </c>
      <c r="L510" s="4" t="s">
        <v>29</v>
      </c>
      <c r="M510" s="11">
        <f>_xlfn.NUMBERVALUE(LEFT(Table613[[#This Row],[Fiscal Year]], 4))</f>
        <v>2015</v>
      </c>
      <c r="N510" s="42">
        <f>K510*(1+VLOOKUP(M510,$AF$8:$AH$31,3,0))</f>
        <v>53086.708860759492</v>
      </c>
      <c r="O510" s="3">
        <v>508</v>
      </c>
    </row>
    <row r="511" spans="1:15" x14ac:dyDescent="0.25">
      <c r="A511" s="3">
        <v>4</v>
      </c>
      <c r="B511" s="3" t="s">
        <v>155</v>
      </c>
      <c r="C511" s="1" t="s">
        <v>12</v>
      </c>
      <c r="D511" s="1" t="s">
        <v>444</v>
      </c>
      <c r="E511" s="11" t="s">
        <v>144</v>
      </c>
      <c r="F511" s="3" t="s">
        <v>8</v>
      </c>
      <c r="G511" s="63" t="s">
        <v>903</v>
      </c>
      <c r="H511" s="8"/>
      <c r="I511" s="8"/>
      <c r="J511" s="6" t="s">
        <v>455</v>
      </c>
      <c r="K511" s="38">
        <v>0</v>
      </c>
      <c r="L511" s="4" t="s">
        <v>29</v>
      </c>
      <c r="M511" s="11">
        <f>_xlfn.NUMBERVALUE(LEFT(Table613[[#This Row],[Fiscal Year]], 4))</f>
        <v>2015</v>
      </c>
      <c r="N511" s="43">
        <f t="shared" si="13"/>
        <v>0</v>
      </c>
      <c r="O511" s="3">
        <v>509</v>
      </c>
    </row>
    <row r="512" spans="1:15" x14ac:dyDescent="0.25">
      <c r="C512" s="1"/>
      <c r="D512" s="1"/>
      <c r="G512" s="66"/>
      <c r="H512" s="8"/>
      <c r="I512" s="8"/>
      <c r="J512" s="6"/>
      <c r="L512" s="4"/>
      <c r="O512" s="3">
        <v>510</v>
      </c>
    </row>
    <row r="513" spans="1:15" x14ac:dyDescent="0.25">
      <c r="A513" s="3">
        <v>4</v>
      </c>
      <c r="B513" s="3" t="s">
        <v>156</v>
      </c>
      <c r="C513" s="1" t="s">
        <v>12</v>
      </c>
      <c r="D513" s="1" t="s">
        <v>444</v>
      </c>
      <c r="E513" s="11" t="s">
        <v>144</v>
      </c>
      <c r="F513" s="3" t="s">
        <v>8</v>
      </c>
      <c r="G513" s="56" t="s">
        <v>829</v>
      </c>
      <c r="H513" s="8"/>
      <c r="I513" s="8"/>
      <c r="J513" s="6" t="s">
        <v>110</v>
      </c>
      <c r="K513" s="38">
        <v>104916.5</v>
      </c>
      <c r="L513" s="4" t="s">
        <v>29</v>
      </c>
      <c r="M513" s="11">
        <f>_xlfn.NUMBERVALUE(LEFT(Table613[[#This Row],[Fiscal Year]], 4))</f>
        <v>2015</v>
      </c>
      <c r="N513" s="42">
        <f t="shared" si="13"/>
        <v>111393.43380379747</v>
      </c>
      <c r="O513" s="3">
        <v>511</v>
      </c>
    </row>
    <row r="514" spans="1:15" x14ac:dyDescent="0.25">
      <c r="A514" s="3">
        <v>4</v>
      </c>
      <c r="B514" s="3" t="s">
        <v>156</v>
      </c>
      <c r="C514" s="1" t="s">
        <v>12</v>
      </c>
      <c r="D514" s="1" t="s">
        <v>444</v>
      </c>
      <c r="E514" s="11" t="s">
        <v>144</v>
      </c>
      <c r="F514" s="3" t="s">
        <v>8</v>
      </c>
      <c r="G514" s="66" t="s">
        <v>844</v>
      </c>
      <c r="H514" s="8"/>
      <c r="I514" s="8"/>
      <c r="J514" s="6" t="s">
        <v>453</v>
      </c>
      <c r="K514" s="38">
        <v>14125.06</v>
      </c>
      <c r="L514" s="4" t="s">
        <v>29</v>
      </c>
      <c r="M514" s="11">
        <f>_xlfn.NUMBERVALUE(LEFT(Table613[[#This Row],[Fiscal Year]], 4))</f>
        <v>2015</v>
      </c>
      <c r="N514" s="42">
        <f t="shared" si="13"/>
        <v>14997.058957215189</v>
      </c>
      <c r="O514" s="3">
        <v>512</v>
      </c>
    </row>
    <row r="515" spans="1:15" x14ac:dyDescent="0.25">
      <c r="A515" s="3">
        <v>4</v>
      </c>
      <c r="B515" s="3" t="s">
        <v>156</v>
      </c>
      <c r="C515" s="1" t="s">
        <v>12</v>
      </c>
      <c r="D515" s="1" t="s">
        <v>444</v>
      </c>
      <c r="E515" s="11" t="s">
        <v>144</v>
      </c>
      <c r="F515" s="3" t="s">
        <v>8</v>
      </c>
      <c r="G515" s="66" t="s">
        <v>845</v>
      </c>
      <c r="H515" s="8"/>
      <c r="I515" s="8"/>
      <c r="J515" s="6" t="s">
        <v>109</v>
      </c>
      <c r="K515" s="38">
        <v>37833</v>
      </c>
      <c r="L515" s="4" t="s">
        <v>29</v>
      </c>
      <c r="M515" s="11">
        <f>_xlfn.NUMBERVALUE(LEFT(Table613[[#This Row],[Fiscal Year]], 4))</f>
        <v>2015</v>
      </c>
      <c r="N515" s="42">
        <f t="shared" si="13"/>
        <v>40168.589126582279</v>
      </c>
      <c r="O515" s="3">
        <v>513</v>
      </c>
    </row>
    <row r="516" spans="1:15" x14ac:dyDescent="0.25">
      <c r="A516" s="3">
        <v>4</v>
      </c>
      <c r="B516" s="3" t="s">
        <v>156</v>
      </c>
      <c r="C516" s="1" t="s">
        <v>12</v>
      </c>
      <c r="D516" s="1" t="s">
        <v>444</v>
      </c>
      <c r="E516" s="11" t="s">
        <v>144</v>
      </c>
      <c r="F516" s="3" t="s">
        <v>8</v>
      </c>
      <c r="G516" s="48" t="s">
        <v>846</v>
      </c>
      <c r="H516" s="8"/>
      <c r="I516" s="8"/>
      <c r="J516" s="6" t="s">
        <v>111</v>
      </c>
      <c r="K516" s="38">
        <v>7285</v>
      </c>
      <c r="L516" s="4" t="s">
        <v>29</v>
      </c>
      <c r="M516" s="11">
        <f>_xlfn.NUMBERVALUE(LEFT(Table613[[#This Row],[Fiscal Year]], 4))</f>
        <v>2015</v>
      </c>
      <c r="N516" s="42">
        <f t="shared" si="13"/>
        <v>7734.7334810126576</v>
      </c>
      <c r="O516" s="3">
        <v>514</v>
      </c>
    </row>
    <row r="517" spans="1:15" x14ac:dyDescent="0.25">
      <c r="A517" s="3">
        <v>4</v>
      </c>
      <c r="B517" s="3" t="s">
        <v>156</v>
      </c>
      <c r="C517" s="1" t="s">
        <v>12</v>
      </c>
      <c r="D517" s="1" t="s">
        <v>444</v>
      </c>
      <c r="E517" s="11" t="s">
        <v>144</v>
      </c>
      <c r="F517" s="3" t="s">
        <v>8</v>
      </c>
      <c r="G517" s="66" t="s">
        <v>847</v>
      </c>
      <c r="H517" s="8"/>
      <c r="I517" s="8"/>
      <c r="J517" s="6" t="s">
        <v>111</v>
      </c>
      <c r="K517" s="38">
        <v>24697.4</v>
      </c>
      <c r="L517" s="4" t="s">
        <v>29</v>
      </c>
      <c r="M517" s="11">
        <f>_xlfn.NUMBERVALUE(LEFT(Table613[[#This Row],[Fiscal Year]], 4))</f>
        <v>2015</v>
      </c>
      <c r="N517" s="42">
        <f t="shared" si="13"/>
        <v>26222.073668354431</v>
      </c>
      <c r="O517" s="3">
        <v>515</v>
      </c>
    </row>
    <row r="518" spans="1:15" x14ac:dyDescent="0.25">
      <c r="A518" s="3">
        <v>4</v>
      </c>
      <c r="B518" s="3" t="s">
        <v>156</v>
      </c>
      <c r="C518" s="1" t="s">
        <v>12</v>
      </c>
      <c r="D518" s="1" t="s">
        <v>444</v>
      </c>
      <c r="E518" s="11" t="s">
        <v>144</v>
      </c>
      <c r="F518" s="3" t="s">
        <v>8</v>
      </c>
      <c r="G518" s="48" t="s">
        <v>857</v>
      </c>
      <c r="H518" s="8"/>
      <c r="I518" s="8"/>
      <c r="J518" s="6" t="s">
        <v>108</v>
      </c>
      <c r="K518" s="38">
        <v>168545.02</v>
      </c>
      <c r="L518" s="4" t="s">
        <v>29</v>
      </c>
      <c r="M518" s="11">
        <f>_xlfn.NUMBERVALUE(LEFT(Table613[[#This Row],[Fiscal Year]], 4))</f>
        <v>2015</v>
      </c>
      <c r="N518" s="42">
        <f t="shared" si="13"/>
        <v>178950.00813341769</v>
      </c>
      <c r="O518" s="3">
        <v>516</v>
      </c>
    </row>
    <row r="519" spans="1:15" x14ac:dyDescent="0.25">
      <c r="A519" s="3">
        <v>4</v>
      </c>
      <c r="B519" s="3" t="s">
        <v>156</v>
      </c>
      <c r="C519" s="1" t="s">
        <v>12</v>
      </c>
      <c r="D519" s="1" t="s">
        <v>444</v>
      </c>
      <c r="E519" s="11" t="s">
        <v>144</v>
      </c>
      <c r="F519" s="3" t="s">
        <v>8</v>
      </c>
      <c r="G519" s="66" t="s">
        <v>849</v>
      </c>
      <c r="H519" s="8"/>
      <c r="I519" s="8"/>
      <c r="J519" s="6" t="s">
        <v>106</v>
      </c>
      <c r="K519" s="38">
        <v>1855</v>
      </c>
      <c r="L519" s="4" t="s">
        <v>29</v>
      </c>
      <c r="M519" s="11">
        <f>_xlfn.NUMBERVALUE(LEFT(Table613[[#This Row],[Fiscal Year]], 4))</f>
        <v>2015</v>
      </c>
      <c r="N519" s="42">
        <f t="shared" si="13"/>
        <v>1969.5168987341772</v>
      </c>
      <c r="O519" s="3">
        <v>517</v>
      </c>
    </row>
    <row r="520" spans="1:15" x14ac:dyDescent="0.25">
      <c r="A520" s="3">
        <v>4</v>
      </c>
      <c r="B520" s="3" t="s">
        <v>156</v>
      </c>
      <c r="C520" s="1" t="s">
        <v>12</v>
      </c>
      <c r="D520" s="1" t="s">
        <v>444</v>
      </c>
      <c r="E520" s="11" t="s">
        <v>144</v>
      </c>
      <c r="F520" s="3" t="s">
        <v>8</v>
      </c>
      <c r="G520" s="66" t="s">
        <v>850</v>
      </c>
      <c r="H520" s="8"/>
      <c r="I520" s="8"/>
      <c r="J520" s="6" t="s">
        <v>455</v>
      </c>
      <c r="K520" s="38">
        <v>58954</v>
      </c>
      <c r="L520" s="4" t="s">
        <v>29</v>
      </c>
      <c r="M520" s="11">
        <f>_xlfn.NUMBERVALUE(LEFT(Table613[[#This Row],[Fiscal Year]], 4))</f>
        <v>2015</v>
      </c>
      <c r="N520" s="42">
        <f t="shared" si="13"/>
        <v>62593.476683544301</v>
      </c>
      <c r="O520" s="3">
        <v>518</v>
      </c>
    </row>
    <row r="521" spans="1:15" x14ac:dyDescent="0.25">
      <c r="A521" s="3">
        <v>4</v>
      </c>
      <c r="B521" s="3" t="s">
        <v>156</v>
      </c>
      <c r="C521" s="1" t="s">
        <v>12</v>
      </c>
      <c r="D521" s="1" t="s">
        <v>444</v>
      </c>
      <c r="E521" s="11" t="s">
        <v>144</v>
      </c>
      <c r="F521" s="3" t="s">
        <v>8</v>
      </c>
      <c r="G521" s="66" t="s">
        <v>851</v>
      </c>
      <c r="H521" s="8"/>
      <c r="I521" s="8"/>
      <c r="J521" s="6" t="s">
        <v>76</v>
      </c>
      <c r="K521" s="38">
        <v>0</v>
      </c>
      <c r="L521" s="4" t="s">
        <v>29</v>
      </c>
      <c r="M521" s="11">
        <f>_xlfn.NUMBERVALUE(LEFT(Table613[[#This Row],[Fiscal Year]], 4))</f>
        <v>2015</v>
      </c>
      <c r="N521" s="43">
        <f t="shared" si="13"/>
        <v>0</v>
      </c>
      <c r="O521" s="3">
        <v>519</v>
      </c>
    </row>
    <row r="522" spans="1:15" x14ac:dyDescent="0.25">
      <c r="A522" s="3">
        <v>4</v>
      </c>
      <c r="B522" s="3" t="s">
        <v>156</v>
      </c>
      <c r="C522" s="1" t="s">
        <v>12</v>
      </c>
      <c r="D522" s="1" t="s">
        <v>444</v>
      </c>
      <c r="E522" s="11" t="s">
        <v>144</v>
      </c>
      <c r="F522" s="3" t="s">
        <v>8</v>
      </c>
      <c r="G522" s="66" t="s">
        <v>852</v>
      </c>
      <c r="H522" s="8"/>
      <c r="I522" s="8"/>
      <c r="J522" s="6" t="s">
        <v>76</v>
      </c>
      <c r="K522" s="38">
        <v>0</v>
      </c>
      <c r="L522" s="4" t="s">
        <v>29</v>
      </c>
      <c r="M522" s="11">
        <f>_xlfn.NUMBERVALUE(LEFT(Table613[[#This Row],[Fiscal Year]], 4))</f>
        <v>2015</v>
      </c>
      <c r="N522" s="43">
        <f t="shared" si="13"/>
        <v>0</v>
      </c>
      <c r="O522" s="3">
        <v>520</v>
      </c>
    </row>
    <row r="523" spans="1:15" x14ac:dyDescent="0.25">
      <c r="A523" s="3">
        <v>4</v>
      </c>
      <c r="B523" s="3" t="s">
        <v>156</v>
      </c>
      <c r="C523" s="1" t="s">
        <v>12</v>
      </c>
      <c r="D523" s="1" t="s">
        <v>444</v>
      </c>
      <c r="E523" s="11" t="s">
        <v>144</v>
      </c>
      <c r="F523" s="3" t="s">
        <v>8</v>
      </c>
      <c r="G523" s="66" t="s">
        <v>853</v>
      </c>
      <c r="H523" s="8"/>
      <c r="I523" s="8"/>
      <c r="J523" s="6" t="s">
        <v>76</v>
      </c>
      <c r="K523" s="38">
        <v>0</v>
      </c>
      <c r="L523" s="4" t="s">
        <v>29</v>
      </c>
      <c r="M523" s="11">
        <f>_xlfn.NUMBERVALUE(LEFT(Table613[[#This Row],[Fiscal Year]], 4))</f>
        <v>2015</v>
      </c>
      <c r="N523" s="43">
        <f t="shared" ref="N523:N586" si="14">K523*(1+VLOOKUP(M523,$AF$8:$AH$31,3,0))</f>
        <v>0</v>
      </c>
      <c r="O523" s="3">
        <v>521</v>
      </c>
    </row>
    <row r="524" spans="1:15" x14ac:dyDescent="0.25">
      <c r="A524" s="3">
        <v>4</v>
      </c>
      <c r="B524" s="3" t="s">
        <v>156</v>
      </c>
      <c r="C524" s="1" t="s">
        <v>12</v>
      </c>
      <c r="D524" s="1" t="s">
        <v>444</v>
      </c>
      <c r="E524" s="11" t="s">
        <v>144</v>
      </c>
      <c r="F524" s="3" t="s">
        <v>8</v>
      </c>
      <c r="G524" s="63" t="s">
        <v>854</v>
      </c>
      <c r="H524" s="8"/>
      <c r="I524" s="8"/>
      <c r="J524" s="6" t="s">
        <v>47</v>
      </c>
      <c r="K524" s="38">
        <v>66881.67</v>
      </c>
      <c r="L524" s="4" t="s">
        <v>29</v>
      </c>
      <c r="M524" s="11">
        <f>_xlfn.NUMBERVALUE(LEFT(Table613[[#This Row],[Fiscal Year]], 4))</f>
        <v>2015</v>
      </c>
      <c r="N524" s="42">
        <f t="shared" si="14"/>
        <v>71010.554868227846</v>
      </c>
      <c r="O524" s="3">
        <v>522</v>
      </c>
    </row>
    <row r="525" spans="1:15" x14ac:dyDescent="0.25">
      <c r="A525" s="3">
        <v>4</v>
      </c>
      <c r="B525" s="3" t="s">
        <v>156</v>
      </c>
      <c r="C525" s="1" t="s">
        <v>12</v>
      </c>
      <c r="D525" s="1" t="s">
        <v>444</v>
      </c>
      <c r="E525" s="11" t="s">
        <v>144</v>
      </c>
      <c r="F525" s="3" t="s">
        <v>8</v>
      </c>
      <c r="G525" s="63" t="s">
        <v>905</v>
      </c>
      <c r="H525" s="8" t="s">
        <v>904</v>
      </c>
      <c r="I525" s="8" t="s">
        <v>429</v>
      </c>
      <c r="J525" s="6" t="s">
        <v>455</v>
      </c>
      <c r="K525" s="38">
        <v>15000</v>
      </c>
      <c r="L525" s="4" t="s">
        <v>29</v>
      </c>
      <c r="M525" s="11">
        <f>_xlfn.NUMBERVALUE(LEFT(Table613[[#This Row],[Fiscal Year]], 4))</f>
        <v>2015</v>
      </c>
      <c r="N525" s="42">
        <f t="shared" si="14"/>
        <v>15926.012658227848</v>
      </c>
      <c r="O525" s="3">
        <v>523</v>
      </c>
    </row>
    <row r="526" spans="1:15" x14ac:dyDescent="0.25">
      <c r="C526" s="1"/>
      <c r="D526" s="1"/>
      <c r="G526" s="66"/>
      <c r="H526" s="8"/>
      <c r="I526" s="8"/>
      <c r="J526" s="6"/>
      <c r="L526" s="4"/>
      <c r="O526" s="3">
        <v>524</v>
      </c>
    </row>
    <row r="527" spans="1:15" x14ac:dyDescent="0.25">
      <c r="A527" s="3">
        <v>4</v>
      </c>
      <c r="B527" s="3" t="s">
        <v>157</v>
      </c>
      <c r="C527" s="1" t="s">
        <v>12</v>
      </c>
      <c r="D527" s="1" t="s">
        <v>444</v>
      </c>
      <c r="E527" s="11" t="s">
        <v>144</v>
      </c>
      <c r="F527" s="3" t="s">
        <v>8</v>
      </c>
      <c r="G527" s="56" t="s">
        <v>829</v>
      </c>
      <c r="H527" s="6"/>
      <c r="I527" s="8"/>
      <c r="J527" s="6" t="s">
        <v>110</v>
      </c>
      <c r="K527" s="38">
        <v>6927</v>
      </c>
      <c r="L527" s="4" t="s">
        <v>29</v>
      </c>
      <c r="M527" s="11">
        <f>_xlfn.NUMBERVALUE(LEFT(Table613[[#This Row],[Fiscal Year]], 4))</f>
        <v>2015</v>
      </c>
      <c r="N527" s="42">
        <f t="shared" si="14"/>
        <v>7354.6326455696199</v>
      </c>
      <c r="O527" s="3">
        <v>525</v>
      </c>
    </row>
    <row r="528" spans="1:15" x14ac:dyDescent="0.25">
      <c r="A528" s="3">
        <v>4</v>
      </c>
      <c r="B528" s="3" t="s">
        <v>157</v>
      </c>
      <c r="C528" s="1" t="s">
        <v>12</v>
      </c>
      <c r="D528" s="1" t="s">
        <v>444</v>
      </c>
      <c r="E528" s="11" t="s">
        <v>144</v>
      </c>
      <c r="F528" s="3" t="s">
        <v>8</v>
      </c>
      <c r="G528" s="66" t="s">
        <v>844</v>
      </c>
      <c r="H528" s="8"/>
      <c r="I528" s="8"/>
      <c r="J528" s="6" t="s">
        <v>453</v>
      </c>
      <c r="K528" s="38">
        <v>1500</v>
      </c>
      <c r="L528" s="4" t="s">
        <v>29</v>
      </c>
      <c r="M528" s="11">
        <f>_xlfn.NUMBERVALUE(LEFT(Table613[[#This Row],[Fiscal Year]], 4))</f>
        <v>2015</v>
      </c>
      <c r="N528" s="42">
        <f t="shared" si="14"/>
        <v>1592.6012658227846</v>
      </c>
      <c r="O528" s="3">
        <v>526</v>
      </c>
    </row>
    <row r="529" spans="1:15" x14ac:dyDescent="0.25">
      <c r="A529" s="3">
        <v>4</v>
      </c>
      <c r="B529" s="3" t="s">
        <v>157</v>
      </c>
      <c r="C529" s="1" t="s">
        <v>12</v>
      </c>
      <c r="D529" s="1" t="s">
        <v>444</v>
      </c>
      <c r="E529" s="11" t="s">
        <v>144</v>
      </c>
      <c r="F529" s="3" t="s">
        <v>8</v>
      </c>
      <c r="G529" s="66" t="s">
        <v>845</v>
      </c>
      <c r="H529" s="8"/>
      <c r="I529" s="8"/>
      <c r="J529" s="6" t="s">
        <v>109</v>
      </c>
      <c r="K529" s="38" t="s">
        <v>28</v>
      </c>
      <c r="L529" s="4" t="s">
        <v>29</v>
      </c>
      <c r="M529" s="11">
        <f>_xlfn.NUMBERVALUE(LEFT(Table613[[#This Row],[Fiscal Year]], 4))</f>
        <v>2015</v>
      </c>
      <c r="O529" s="3">
        <v>527</v>
      </c>
    </row>
    <row r="530" spans="1:15" x14ac:dyDescent="0.25">
      <c r="A530" s="3">
        <v>4</v>
      </c>
      <c r="B530" s="3" t="s">
        <v>157</v>
      </c>
      <c r="C530" s="1" t="s">
        <v>12</v>
      </c>
      <c r="D530" s="1" t="s">
        <v>444</v>
      </c>
      <c r="E530" s="11" t="s">
        <v>144</v>
      </c>
      <c r="F530" s="3" t="s">
        <v>8</v>
      </c>
      <c r="G530" s="48" t="s">
        <v>846</v>
      </c>
      <c r="H530" s="8"/>
      <c r="I530" s="8"/>
      <c r="J530" s="6" t="s">
        <v>111</v>
      </c>
      <c r="K530" s="38">
        <v>6500</v>
      </c>
      <c r="L530" s="4" t="s">
        <v>29</v>
      </c>
      <c r="M530" s="11">
        <f>_xlfn.NUMBERVALUE(LEFT(Table613[[#This Row],[Fiscal Year]], 4))</f>
        <v>2015</v>
      </c>
      <c r="N530" s="42">
        <f t="shared" si="14"/>
        <v>6901.2721518987337</v>
      </c>
      <c r="O530" s="3">
        <v>528</v>
      </c>
    </row>
    <row r="531" spans="1:15" x14ac:dyDescent="0.25">
      <c r="A531" s="3">
        <v>4</v>
      </c>
      <c r="B531" s="3" t="s">
        <v>157</v>
      </c>
      <c r="C531" s="1" t="s">
        <v>12</v>
      </c>
      <c r="D531" s="1" t="s">
        <v>444</v>
      </c>
      <c r="E531" s="11" t="s">
        <v>144</v>
      </c>
      <c r="F531" s="3" t="s">
        <v>8</v>
      </c>
      <c r="G531" s="66" t="s">
        <v>847</v>
      </c>
      <c r="H531" s="8"/>
      <c r="I531" s="8"/>
      <c r="J531" s="6" t="s">
        <v>111</v>
      </c>
      <c r="K531" s="38">
        <v>7500</v>
      </c>
      <c r="L531" s="4" t="s">
        <v>29</v>
      </c>
      <c r="M531" s="11">
        <f>_xlfn.NUMBERVALUE(LEFT(Table613[[#This Row],[Fiscal Year]], 4))</f>
        <v>2015</v>
      </c>
      <c r="N531" s="42">
        <f t="shared" si="14"/>
        <v>7963.006329113924</v>
      </c>
      <c r="O531" s="3">
        <v>529</v>
      </c>
    </row>
    <row r="532" spans="1:15" x14ac:dyDescent="0.25">
      <c r="A532" s="3">
        <v>4</v>
      </c>
      <c r="B532" s="3" t="s">
        <v>157</v>
      </c>
      <c r="C532" s="1" t="s">
        <v>12</v>
      </c>
      <c r="D532" s="1" t="s">
        <v>444</v>
      </c>
      <c r="E532" s="11" t="s">
        <v>144</v>
      </c>
      <c r="F532" s="3" t="s">
        <v>8</v>
      </c>
      <c r="G532" s="48" t="s">
        <v>857</v>
      </c>
      <c r="H532" s="8"/>
      <c r="I532" s="8"/>
      <c r="J532" s="6" t="s">
        <v>108</v>
      </c>
      <c r="K532" s="38">
        <v>1000</v>
      </c>
      <c r="L532" s="4" t="s">
        <v>29</v>
      </c>
      <c r="M532" s="11">
        <f>_xlfn.NUMBERVALUE(LEFT(Table613[[#This Row],[Fiscal Year]], 4))</f>
        <v>2015</v>
      </c>
      <c r="N532" s="42">
        <f t="shared" si="14"/>
        <v>1061.7341772151899</v>
      </c>
      <c r="O532" s="3">
        <v>530</v>
      </c>
    </row>
    <row r="533" spans="1:15" x14ac:dyDescent="0.25">
      <c r="A533" s="3">
        <v>4</v>
      </c>
      <c r="B533" s="3" t="s">
        <v>157</v>
      </c>
      <c r="C533" s="1" t="s">
        <v>12</v>
      </c>
      <c r="D533" s="1" t="s">
        <v>444</v>
      </c>
      <c r="E533" s="11" t="s">
        <v>144</v>
      </c>
      <c r="F533" s="3" t="s">
        <v>8</v>
      </c>
      <c r="G533" s="66" t="s">
        <v>849</v>
      </c>
      <c r="H533" s="8"/>
      <c r="I533" s="8"/>
      <c r="J533" s="6" t="s">
        <v>106</v>
      </c>
      <c r="K533" s="38" t="s">
        <v>28</v>
      </c>
      <c r="L533" s="4" t="s">
        <v>29</v>
      </c>
      <c r="M533" s="11">
        <f>_xlfn.NUMBERVALUE(LEFT(Table613[[#This Row],[Fiscal Year]], 4))</f>
        <v>2015</v>
      </c>
      <c r="O533" s="3">
        <v>531</v>
      </c>
    </row>
    <row r="534" spans="1:15" x14ac:dyDescent="0.25">
      <c r="A534" s="3">
        <v>4</v>
      </c>
      <c r="B534" s="3" t="s">
        <v>157</v>
      </c>
      <c r="C534" s="1" t="s">
        <v>12</v>
      </c>
      <c r="D534" s="1" t="s">
        <v>444</v>
      </c>
      <c r="E534" s="11" t="s">
        <v>144</v>
      </c>
      <c r="F534" s="3" t="s">
        <v>8</v>
      </c>
      <c r="G534" s="66" t="s">
        <v>850</v>
      </c>
      <c r="H534" s="8"/>
      <c r="I534" s="8"/>
      <c r="J534" s="6" t="s">
        <v>455</v>
      </c>
      <c r="K534" s="38" t="s">
        <v>28</v>
      </c>
      <c r="L534" s="4" t="s">
        <v>29</v>
      </c>
      <c r="M534" s="11">
        <f>_xlfn.NUMBERVALUE(LEFT(Table613[[#This Row],[Fiscal Year]], 4))</f>
        <v>2015</v>
      </c>
      <c r="O534" s="3">
        <v>532</v>
      </c>
    </row>
    <row r="535" spans="1:15" x14ac:dyDescent="0.25">
      <c r="A535" s="3">
        <v>4</v>
      </c>
      <c r="B535" s="3" t="s">
        <v>157</v>
      </c>
      <c r="C535" s="1" t="s">
        <v>12</v>
      </c>
      <c r="D535" s="1" t="s">
        <v>444</v>
      </c>
      <c r="E535" s="11" t="s">
        <v>144</v>
      </c>
      <c r="F535" s="3" t="s">
        <v>8</v>
      </c>
      <c r="G535" s="66" t="s">
        <v>851</v>
      </c>
      <c r="H535" s="8"/>
      <c r="I535" s="8"/>
      <c r="J535" s="6" t="s">
        <v>76</v>
      </c>
      <c r="K535" s="38" t="s">
        <v>28</v>
      </c>
      <c r="L535" s="4" t="s">
        <v>29</v>
      </c>
      <c r="M535" s="11">
        <f>_xlfn.NUMBERVALUE(LEFT(Table613[[#This Row],[Fiscal Year]], 4))</f>
        <v>2015</v>
      </c>
      <c r="O535" s="3">
        <v>533</v>
      </c>
    </row>
    <row r="536" spans="1:15" x14ac:dyDescent="0.25">
      <c r="A536" s="3">
        <v>4</v>
      </c>
      <c r="B536" s="3" t="s">
        <v>157</v>
      </c>
      <c r="C536" s="1" t="s">
        <v>12</v>
      </c>
      <c r="D536" s="1" t="s">
        <v>444</v>
      </c>
      <c r="E536" s="11" t="s">
        <v>144</v>
      </c>
      <c r="F536" s="3" t="s">
        <v>8</v>
      </c>
      <c r="G536" s="66" t="s">
        <v>852</v>
      </c>
      <c r="H536" s="8"/>
      <c r="I536" s="8"/>
      <c r="J536" s="6" t="s">
        <v>76</v>
      </c>
      <c r="K536" s="38" t="s">
        <v>28</v>
      </c>
      <c r="L536" s="4" t="s">
        <v>29</v>
      </c>
      <c r="M536" s="11">
        <f>_xlfn.NUMBERVALUE(LEFT(Table613[[#This Row],[Fiscal Year]], 4))</f>
        <v>2015</v>
      </c>
      <c r="O536" s="3">
        <v>534</v>
      </c>
    </row>
    <row r="537" spans="1:15" x14ac:dyDescent="0.25">
      <c r="A537" s="3">
        <v>4</v>
      </c>
      <c r="B537" s="3" t="s">
        <v>157</v>
      </c>
      <c r="C537" s="1" t="s">
        <v>12</v>
      </c>
      <c r="D537" s="1" t="s">
        <v>444</v>
      </c>
      <c r="E537" s="11" t="s">
        <v>144</v>
      </c>
      <c r="F537" s="3" t="s">
        <v>8</v>
      </c>
      <c r="G537" s="66" t="s">
        <v>853</v>
      </c>
      <c r="H537" s="8"/>
      <c r="I537" s="8"/>
      <c r="J537" s="6" t="s">
        <v>76</v>
      </c>
      <c r="K537" s="38" t="s">
        <v>28</v>
      </c>
      <c r="L537" s="4" t="s">
        <v>29</v>
      </c>
      <c r="M537" s="11">
        <f>_xlfn.NUMBERVALUE(LEFT(Table613[[#This Row],[Fiscal Year]], 4))</f>
        <v>2015</v>
      </c>
      <c r="O537" s="3">
        <v>535</v>
      </c>
    </row>
    <row r="538" spans="1:15" x14ac:dyDescent="0.25">
      <c r="A538" s="3">
        <v>4</v>
      </c>
      <c r="B538" s="3" t="s">
        <v>157</v>
      </c>
      <c r="C538" s="1" t="s">
        <v>12</v>
      </c>
      <c r="D538" s="1" t="s">
        <v>444</v>
      </c>
      <c r="E538" s="11" t="s">
        <v>144</v>
      </c>
      <c r="F538" s="3" t="s">
        <v>8</v>
      </c>
      <c r="G538" s="63" t="s">
        <v>854</v>
      </c>
      <c r="H538" s="8"/>
      <c r="I538" s="8"/>
      <c r="J538" s="6" t="s">
        <v>47</v>
      </c>
      <c r="K538" s="38">
        <v>8978</v>
      </c>
      <c r="L538" s="4" t="s">
        <v>29</v>
      </c>
      <c r="M538" s="11">
        <f>_xlfn.NUMBERVALUE(LEFT(Table613[[#This Row],[Fiscal Year]], 4))</f>
        <v>2015</v>
      </c>
      <c r="N538" s="42">
        <f t="shared" si="14"/>
        <v>9532.2494430379738</v>
      </c>
      <c r="O538" s="3">
        <v>536</v>
      </c>
    </row>
    <row r="539" spans="1:15" x14ac:dyDescent="0.25">
      <c r="A539" s="3">
        <v>4</v>
      </c>
      <c r="B539" s="3" t="s">
        <v>157</v>
      </c>
      <c r="C539" s="1" t="s">
        <v>12</v>
      </c>
      <c r="D539" s="1" t="s">
        <v>444</v>
      </c>
      <c r="E539" s="11" t="s">
        <v>144</v>
      </c>
      <c r="F539" s="3" t="s">
        <v>8</v>
      </c>
      <c r="G539" s="63" t="s">
        <v>907</v>
      </c>
      <c r="H539" s="8" t="s">
        <v>906</v>
      </c>
      <c r="I539" s="8" t="s">
        <v>429</v>
      </c>
      <c r="J539" s="6" t="s">
        <v>455</v>
      </c>
      <c r="K539" s="38">
        <v>12489</v>
      </c>
      <c r="L539" s="4" t="s">
        <v>29</v>
      </c>
      <c r="M539" s="11">
        <f>_xlfn.NUMBERVALUE(LEFT(Table613[[#This Row],[Fiscal Year]], 4))</f>
        <v>2015</v>
      </c>
      <c r="N539" s="42">
        <f t="shared" si="14"/>
        <v>13259.998139240506</v>
      </c>
      <c r="O539" s="3">
        <v>537</v>
      </c>
    </row>
    <row r="540" spans="1:15" x14ac:dyDescent="0.25">
      <c r="C540" s="1"/>
      <c r="D540" s="1"/>
      <c r="G540" s="66"/>
      <c r="H540" s="8"/>
      <c r="I540" s="8"/>
      <c r="J540" s="6"/>
      <c r="L540" s="4"/>
      <c r="O540" s="3">
        <v>538</v>
      </c>
    </row>
    <row r="541" spans="1:15" x14ac:dyDescent="0.25">
      <c r="A541" s="3">
        <v>4</v>
      </c>
      <c r="B541" s="3" t="s">
        <v>158</v>
      </c>
      <c r="C541" s="1" t="s">
        <v>12</v>
      </c>
      <c r="D541" s="1" t="s">
        <v>444</v>
      </c>
      <c r="E541" s="11" t="s">
        <v>144</v>
      </c>
      <c r="F541" s="3" t="s">
        <v>8</v>
      </c>
      <c r="G541" s="48" t="s">
        <v>32</v>
      </c>
      <c r="H541" s="8"/>
      <c r="I541" s="8"/>
      <c r="J541" s="6" t="s">
        <v>110</v>
      </c>
      <c r="K541" s="38" t="s">
        <v>827</v>
      </c>
      <c r="L541" s="4"/>
      <c r="O541" s="3">
        <v>539</v>
      </c>
    </row>
    <row r="542" spans="1:15" x14ac:dyDescent="0.25">
      <c r="A542" s="3">
        <v>4</v>
      </c>
      <c r="B542" s="3" t="s">
        <v>158</v>
      </c>
      <c r="C542" s="1" t="s">
        <v>12</v>
      </c>
      <c r="D542" s="1" t="s">
        <v>444</v>
      </c>
      <c r="E542" s="11" t="s">
        <v>144</v>
      </c>
      <c r="F542" s="3" t="s">
        <v>8</v>
      </c>
      <c r="G542" s="66" t="s">
        <v>58</v>
      </c>
      <c r="H542" s="8"/>
      <c r="I542" s="8"/>
      <c r="J542" s="6" t="s">
        <v>453</v>
      </c>
      <c r="K542" s="38">
        <v>126137</v>
      </c>
      <c r="L542" s="4" t="s">
        <v>29</v>
      </c>
      <c r="M542" s="11">
        <f>_xlfn.NUMBERVALUE(LEFT(Table613[[#This Row],[Fiscal Year]], 4))</f>
        <v>2015</v>
      </c>
      <c r="N542" s="42">
        <f t="shared" si="14"/>
        <v>133923.96391139241</v>
      </c>
      <c r="O542" s="3">
        <v>540</v>
      </c>
    </row>
    <row r="543" spans="1:15" x14ac:dyDescent="0.25">
      <c r="A543" s="3">
        <v>4</v>
      </c>
      <c r="B543" s="3" t="s">
        <v>158</v>
      </c>
      <c r="C543" s="1" t="s">
        <v>12</v>
      </c>
      <c r="D543" s="1" t="s">
        <v>444</v>
      </c>
      <c r="E543" s="11" t="s">
        <v>144</v>
      </c>
      <c r="F543" s="3" t="s">
        <v>8</v>
      </c>
      <c r="G543" s="66" t="s">
        <v>208</v>
      </c>
      <c r="H543" s="8"/>
      <c r="I543" s="8"/>
      <c r="J543" s="6" t="s">
        <v>109</v>
      </c>
      <c r="K543" s="38">
        <v>25000</v>
      </c>
      <c r="L543" s="4" t="s">
        <v>29</v>
      </c>
      <c r="M543" s="11">
        <f>_xlfn.NUMBERVALUE(LEFT(Table613[[#This Row],[Fiscal Year]], 4))</f>
        <v>2015</v>
      </c>
      <c r="N543" s="42">
        <f t="shared" si="14"/>
        <v>26543.354430379746</v>
      </c>
      <c r="O543" s="3">
        <v>541</v>
      </c>
    </row>
    <row r="544" spans="1:15" x14ac:dyDescent="0.25">
      <c r="A544" s="3">
        <v>4</v>
      </c>
      <c r="B544" s="3" t="s">
        <v>158</v>
      </c>
      <c r="C544" s="1" t="s">
        <v>12</v>
      </c>
      <c r="D544" s="1" t="s">
        <v>444</v>
      </c>
      <c r="E544" s="11" t="s">
        <v>144</v>
      </c>
      <c r="F544" s="3" t="s">
        <v>8</v>
      </c>
      <c r="G544" s="48" t="s">
        <v>59</v>
      </c>
      <c r="H544" s="8"/>
      <c r="I544" s="8"/>
      <c r="J544" s="6" t="s">
        <v>111</v>
      </c>
      <c r="K544" s="38">
        <v>125000</v>
      </c>
      <c r="L544" s="4" t="s">
        <v>29</v>
      </c>
      <c r="M544" s="11">
        <f>_xlfn.NUMBERVALUE(LEFT(Table613[[#This Row],[Fiscal Year]], 4))</f>
        <v>2015</v>
      </c>
      <c r="N544" s="42">
        <f t="shared" si="14"/>
        <v>132716.77215189874</v>
      </c>
      <c r="O544" s="3">
        <v>542</v>
      </c>
    </row>
    <row r="545" spans="1:15" x14ac:dyDescent="0.25">
      <c r="A545" s="3">
        <v>4</v>
      </c>
      <c r="B545" s="3" t="s">
        <v>158</v>
      </c>
      <c r="C545" s="1" t="s">
        <v>12</v>
      </c>
      <c r="D545" s="1" t="s">
        <v>444</v>
      </c>
      <c r="E545" s="11" t="s">
        <v>144</v>
      </c>
      <c r="F545" s="3" t="s">
        <v>8</v>
      </c>
      <c r="G545" s="66" t="s">
        <v>60</v>
      </c>
      <c r="H545" s="8"/>
      <c r="I545" s="8"/>
      <c r="J545" s="6" t="s">
        <v>111</v>
      </c>
      <c r="K545" s="38">
        <v>75000</v>
      </c>
      <c r="L545" s="4" t="s">
        <v>29</v>
      </c>
      <c r="M545" s="11">
        <f>_xlfn.NUMBERVALUE(LEFT(Table613[[#This Row],[Fiscal Year]], 4))</f>
        <v>2015</v>
      </c>
      <c r="N545" s="42">
        <f t="shared" si="14"/>
        <v>79630.063291139231</v>
      </c>
      <c r="O545" s="3">
        <v>543</v>
      </c>
    </row>
    <row r="546" spans="1:15" x14ac:dyDescent="0.25">
      <c r="A546" s="3">
        <v>4</v>
      </c>
      <c r="B546" s="3" t="s">
        <v>158</v>
      </c>
      <c r="C546" s="1" t="s">
        <v>12</v>
      </c>
      <c r="D546" s="1" t="s">
        <v>444</v>
      </c>
      <c r="E546" s="11" t="s">
        <v>144</v>
      </c>
      <c r="F546" s="3" t="s">
        <v>8</v>
      </c>
      <c r="G546" s="48" t="s">
        <v>61</v>
      </c>
      <c r="H546" s="8"/>
      <c r="I546" s="8"/>
      <c r="J546" s="6" t="s">
        <v>108</v>
      </c>
      <c r="K546" s="38">
        <v>555204.62</v>
      </c>
      <c r="L546" s="4" t="s">
        <v>29</v>
      </c>
      <c r="M546" s="11">
        <f>_xlfn.NUMBERVALUE(LEFT(Table613[[#This Row],[Fiscal Year]], 4))</f>
        <v>2015</v>
      </c>
      <c r="N546" s="42">
        <f t="shared" si="14"/>
        <v>589479.72040177207</v>
      </c>
      <c r="O546" s="3">
        <v>544</v>
      </c>
    </row>
    <row r="547" spans="1:15" x14ac:dyDescent="0.25">
      <c r="A547" s="3">
        <v>4</v>
      </c>
      <c r="B547" s="3" t="s">
        <v>158</v>
      </c>
      <c r="C547" s="1" t="s">
        <v>12</v>
      </c>
      <c r="D547" s="1" t="s">
        <v>444</v>
      </c>
      <c r="E547" s="11" t="s">
        <v>144</v>
      </c>
      <c r="F547" s="3" t="s">
        <v>8</v>
      </c>
      <c r="G547" s="66" t="s">
        <v>62</v>
      </c>
      <c r="H547" s="8"/>
      <c r="I547" s="8"/>
      <c r="J547" s="6" t="s">
        <v>106</v>
      </c>
      <c r="K547" s="38">
        <v>123748.76</v>
      </c>
      <c r="L547" s="4" t="s">
        <v>29</v>
      </c>
      <c r="M547" s="11">
        <f>_xlfn.NUMBERVALUE(LEFT(Table613[[#This Row],[Fiscal Year]], 4))</f>
        <v>2015</v>
      </c>
      <c r="N547" s="42">
        <f t="shared" si="14"/>
        <v>131388.28787999999</v>
      </c>
      <c r="O547" s="3">
        <v>545</v>
      </c>
    </row>
    <row r="548" spans="1:15" x14ac:dyDescent="0.25">
      <c r="A548" s="3">
        <v>4</v>
      </c>
      <c r="B548" s="3" t="s">
        <v>158</v>
      </c>
      <c r="C548" s="1" t="s">
        <v>12</v>
      </c>
      <c r="D548" s="1" t="s">
        <v>444</v>
      </c>
      <c r="E548" s="11" t="s">
        <v>144</v>
      </c>
      <c r="F548" s="3" t="s">
        <v>8</v>
      </c>
      <c r="G548" s="66" t="s">
        <v>63</v>
      </c>
      <c r="H548" s="8"/>
      <c r="I548" s="8"/>
      <c r="J548" s="6" t="s">
        <v>455</v>
      </c>
      <c r="K548" s="38" t="s">
        <v>827</v>
      </c>
      <c r="L548" s="4" t="s">
        <v>29</v>
      </c>
      <c r="M548" s="11">
        <f>_xlfn.NUMBERVALUE(LEFT(Table613[[#This Row],[Fiscal Year]], 4))</f>
        <v>2015</v>
      </c>
      <c r="O548" s="3">
        <v>546</v>
      </c>
    </row>
    <row r="549" spans="1:15" x14ac:dyDescent="0.25">
      <c r="A549" s="3">
        <v>4</v>
      </c>
      <c r="B549" s="3" t="s">
        <v>158</v>
      </c>
      <c r="C549" s="1" t="s">
        <v>12</v>
      </c>
      <c r="D549" s="1" t="s">
        <v>444</v>
      </c>
      <c r="E549" s="11" t="s">
        <v>144</v>
      </c>
      <c r="F549" s="3" t="s">
        <v>8</v>
      </c>
      <c r="G549" s="66" t="s">
        <v>64</v>
      </c>
      <c r="H549" s="8"/>
      <c r="I549" s="8"/>
      <c r="J549" s="6" t="s">
        <v>76</v>
      </c>
      <c r="K549" s="38" t="s">
        <v>827</v>
      </c>
      <c r="L549" s="4" t="s">
        <v>29</v>
      </c>
      <c r="M549" s="11">
        <f>_xlfn.NUMBERVALUE(LEFT(Table613[[#This Row],[Fiscal Year]], 4))</f>
        <v>2015</v>
      </c>
      <c r="O549" s="3">
        <v>547</v>
      </c>
    </row>
    <row r="550" spans="1:15" x14ac:dyDescent="0.25">
      <c r="A550" s="3">
        <v>4</v>
      </c>
      <c r="B550" s="3" t="s">
        <v>158</v>
      </c>
      <c r="C550" s="1" t="s">
        <v>12</v>
      </c>
      <c r="D550" s="1" t="s">
        <v>444</v>
      </c>
      <c r="E550" s="11" t="s">
        <v>144</v>
      </c>
      <c r="F550" s="3" t="s">
        <v>8</v>
      </c>
      <c r="G550" s="66" t="s">
        <v>65</v>
      </c>
      <c r="H550" s="8"/>
      <c r="I550" s="8"/>
      <c r="J550" s="6" t="s">
        <v>76</v>
      </c>
      <c r="K550" s="38" t="s">
        <v>827</v>
      </c>
      <c r="L550" s="4" t="s">
        <v>29</v>
      </c>
      <c r="M550" s="11">
        <f>_xlfn.NUMBERVALUE(LEFT(Table613[[#This Row],[Fiscal Year]], 4))</f>
        <v>2015</v>
      </c>
      <c r="O550" s="3">
        <v>548</v>
      </c>
    </row>
    <row r="551" spans="1:15" x14ac:dyDescent="0.25">
      <c r="A551" s="3">
        <v>4</v>
      </c>
      <c r="B551" s="3" t="s">
        <v>158</v>
      </c>
      <c r="C551" s="1" t="s">
        <v>12</v>
      </c>
      <c r="D551" s="1" t="s">
        <v>444</v>
      </c>
      <c r="E551" s="11" t="s">
        <v>144</v>
      </c>
      <c r="F551" s="3" t="s">
        <v>8</v>
      </c>
      <c r="G551" s="66" t="s">
        <v>66</v>
      </c>
      <c r="H551" s="8"/>
      <c r="I551" s="8"/>
      <c r="J551" s="6" t="s">
        <v>76</v>
      </c>
      <c r="K551" s="38" t="s">
        <v>827</v>
      </c>
      <c r="L551" s="4" t="s">
        <v>29</v>
      </c>
      <c r="M551" s="11">
        <f>_xlfn.NUMBERVALUE(LEFT(Table613[[#This Row],[Fiscal Year]], 4))</f>
        <v>2015</v>
      </c>
      <c r="O551" s="3">
        <v>549</v>
      </c>
    </row>
    <row r="552" spans="1:15" x14ac:dyDescent="0.25">
      <c r="A552" s="3">
        <v>4</v>
      </c>
      <c r="B552" s="3" t="s">
        <v>158</v>
      </c>
      <c r="C552" s="1" t="s">
        <v>12</v>
      </c>
      <c r="D552" s="1" t="s">
        <v>444</v>
      </c>
      <c r="E552" s="11" t="s">
        <v>144</v>
      </c>
      <c r="F552" s="3" t="s">
        <v>8</v>
      </c>
      <c r="G552" s="66" t="s">
        <v>33</v>
      </c>
      <c r="H552" s="8"/>
      <c r="I552" s="8"/>
      <c r="J552" s="6" t="s">
        <v>47</v>
      </c>
      <c r="K552" s="38">
        <v>108000</v>
      </c>
      <c r="L552" s="4" t="s">
        <v>29</v>
      </c>
      <c r="M552" s="11">
        <f>_xlfn.NUMBERVALUE(LEFT(Table613[[#This Row],[Fiscal Year]], 4))</f>
        <v>2015</v>
      </c>
      <c r="N552" s="42">
        <f t="shared" si="14"/>
        <v>114667.29113924049</v>
      </c>
      <c r="O552" s="3">
        <v>550</v>
      </c>
    </row>
    <row r="553" spans="1:15" x14ac:dyDescent="0.25">
      <c r="A553" s="3">
        <v>4</v>
      </c>
      <c r="B553" s="3" t="s">
        <v>158</v>
      </c>
      <c r="C553" s="1" t="s">
        <v>12</v>
      </c>
      <c r="D553" s="1" t="s">
        <v>444</v>
      </c>
      <c r="E553" s="11" t="s">
        <v>144</v>
      </c>
      <c r="F553" s="3" t="s">
        <v>8</v>
      </c>
      <c r="G553" s="66" t="s">
        <v>67</v>
      </c>
      <c r="H553" s="8"/>
      <c r="I553" s="8"/>
      <c r="J553" s="6" t="s">
        <v>455</v>
      </c>
      <c r="K553" s="38">
        <v>990046</v>
      </c>
      <c r="L553" s="4" t="s">
        <v>29</v>
      </c>
      <c r="M553" s="11">
        <f>_xlfn.NUMBERVALUE(LEFT(Table613[[#This Row],[Fiscal Year]], 4))</f>
        <v>2015</v>
      </c>
      <c r="N553" s="42">
        <f t="shared" si="14"/>
        <v>1051165.6752151898</v>
      </c>
      <c r="O553" s="3">
        <v>551</v>
      </c>
    </row>
    <row r="554" spans="1:15" x14ac:dyDescent="0.25">
      <c r="C554" s="1"/>
      <c r="D554" s="1"/>
      <c r="G554" s="66"/>
      <c r="H554" s="8"/>
      <c r="I554" s="8"/>
      <c r="J554" s="6"/>
      <c r="L554" s="4"/>
      <c r="O554" s="3">
        <v>552</v>
      </c>
    </row>
    <row r="555" spans="1:15" x14ac:dyDescent="0.25">
      <c r="A555" s="3">
        <v>4</v>
      </c>
      <c r="B555" s="3" t="s">
        <v>159</v>
      </c>
      <c r="C555" s="1" t="s">
        <v>12</v>
      </c>
      <c r="D555" s="1" t="s">
        <v>444</v>
      </c>
      <c r="E555" s="11" t="s">
        <v>144</v>
      </c>
      <c r="F555" s="3" t="s">
        <v>8</v>
      </c>
      <c r="G555" s="66" t="s">
        <v>908</v>
      </c>
      <c r="H555" s="8"/>
      <c r="I555" s="8"/>
      <c r="J555" s="6" t="s">
        <v>110</v>
      </c>
      <c r="K555" s="38">
        <v>30000</v>
      </c>
      <c r="L555" s="4" t="s">
        <v>29</v>
      </c>
      <c r="M555" s="11">
        <f>_xlfn.NUMBERVALUE(LEFT(Table613[[#This Row],[Fiscal Year]], 4))</f>
        <v>2015</v>
      </c>
      <c r="N555" s="42">
        <f t="shared" si="14"/>
        <v>31852.025316455696</v>
      </c>
      <c r="O555" s="3">
        <v>553</v>
      </c>
    </row>
    <row r="556" spans="1:15" x14ac:dyDescent="0.25">
      <c r="A556" s="3">
        <v>4</v>
      </c>
      <c r="B556" s="3" t="s">
        <v>159</v>
      </c>
      <c r="C556" s="1" t="s">
        <v>12</v>
      </c>
      <c r="D556" s="1" t="s">
        <v>444</v>
      </c>
      <c r="E556" s="11" t="s">
        <v>144</v>
      </c>
      <c r="F556" s="3" t="s">
        <v>8</v>
      </c>
      <c r="G556" s="48" t="s">
        <v>909</v>
      </c>
      <c r="H556" s="8"/>
      <c r="I556" s="8"/>
      <c r="J556" s="6" t="s">
        <v>110</v>
      </c>
      <c r="K556" s="38">
        <v>15989</v>
      </c>
      <c r="L556" s="4" t="s">
        <v>29</v>
      </c>
      <c r="M556" s="11">
        <f>_xlfn.NUMBERVALUE(LEFT(Table613[[#This Row],[Fiscal Year]], 4))</f>
        <v>2015</v>
      </c>
      <c r="N556" s="42">
        <f t="shared" si="14"/>
        <v>16976.067759493671</v>
      </c>
      <c r="O556" s="3">
        <v>554</v>
      </c>
    </row>
    <row r="557" spans="1:15" x14ac:dyDescent="0.25">
      <c r="A557" s="3">
        <v>4</v>
      </c>
      <c r="B557" s="3" t="s">
        <v>159</v>
      </c>
      <c r="C557" s="1" t="s">
        <v>12</v>
      </c>
      <c r="D557" s="1" t="s">
        <v>444</v>
      </c>
      <c r="E557" s="11" t="s">
        <v>144</v>
      </c>
      <c r="F557" s="3" t="s">
        <v>8</v>
      </c>
      <c r="G557" s="66" t="s">
        <v>844</v>
      </c>
      <c r="H557" s="8"/>
      <c r="I557" s="8"/>
      <c r="J557" s="6" t="s">
        <v>453</v>
      </c>
      <c r="K557" s="38">
        <v>3000</v>
      </c>
      <c r="L557" s="4" t="s">
        <v>29</v>
      </c>
      <c r="M557" s="11">
        <f>_xlfn.NUMBERVALUE(LEFT(Table613[[#This Row],[Fiscal Year]], 4))</f>
        <v>2015</v>
      </c>
      <c r="N557" s="42">
        <f t="shared" si="14"/>
        <v>3185.2025316455693</v>
      </c>
      <c r="O557" s="3">
        <v>555</v>
      </c>
    </row>
    <row r="558" spans="1:15" x14ac:dyDescent="0.25">
      <c r="A558" s="3">
        <v>4</v>
      </c>
      <c r="B558" s="3" t="s">
        <v>159</v>
      </c>
      <c r="C558" s="1" t="s">
        <v>12</v>
      </c>
      <c r="D558" s="1" t="s">
        <v>444</v>
      </c>
      <c r="E558" s="11" t="s">
        <v>144</v>
      </c>
      <c r="F558" s="3" t="s">
        <v>8</v>
      </c>
      <c r="G558" s="66" t="s">
        <v>845</v>
      </c>
      <c r="H558" s="8"/>
      <c r="I558" s="8"/>
      <c r="J558" s="6" t="s">
        <v>109</v>
      </c>
      <c r="K558" s="38">
        <v>20000</v>
      </c>
      <c r="L558" s="4" t="s">
        <v>29</v>
      </c>
      <c r="M558" s="11">
        <f>_xlfn.NUMBERVALUE(LEFT(Table613[[#This Row],[Fiscal Year]], 4))</f>
        <v>2015</v>
      </c>
      <c r="N558" s="42">
        <f t="shared" si="14"/>
        <v>21234.683544303796</v>
      </c>
      <c r="O558" s="3">
        <v>556</v>
      </c>
    </row>
    <row r="559" spans="1:15" x14ac:dyDescent="0.25">
      <c r="A559" s="3">
        <v>4</v>
      </c>
      <c r="B559" s="3" t="s">
        <v>159</v>
      </c>
      <c r="C559" s="1" t="s">
        <v>12</v>
      </c>
      <c r="D559" s="1" t="s">
        <v>444</v>
      </c>
      <c r="E559" s="11" t="s">
        <v>144</v>
      </c>
      <c r="F559" s="3" t="s">
        <v>8</v>
      </c>
      <c r="G559" s="48" t="s">
        <v>846</v>
      </c>
      <c r="H559" s="8"/>
      <c r="I559" s="8"/>
      <c r="J559" s="6" t="s">
        <v>111</v>
      </c>
      <c r="K559" s="38">
        <v>10000</v>
      </c>
      <c r="L559" s="4" t="s">
        <v>29</v>
      </c>
      <c r="M559" s="11">
        <f>_xlfn.NUMBERVALUE(LEFT(Table613[[#This Row],[Fiscal Year]], 4))</f>
        <v>2015</v>
      </c>
      <c r="N559" s="42">
        <f t="shared" si="14"/>
        <v>10617.341772151898</v>
      </c>
      <c r="O559" s="3">
        <v>557</v>
      </c>
    </row>
    <row r="560" spans="1:15" x14ac:dyDescent="0.25">
      <c r="A560" s="3">
        <v>4</v>
      </c>
      <c r="B560" s="3" t="s">
        <v>159</v>
      </c>
      <c r="C560" s="1" t="s">
        <v>12</v>
      </c>
      <c r="D560" s="1" t="s">
        <v>444</v>
      </c>
      <c r="E560" s="11" t="s">
        <v>144</v>
      </c>
      <c r="F560" s="3" t="s">
        <v>8</v>
      </c>
      <c r="G560" s="66" t="s">
        <v>847</v>
      </c>
      <c r="H560" s="8"/>
      <c r="I560" s="8"/>
      <c r="J560" s="6" t="s">
        <v>111</v>
      </c>
      <c r="K560" s="38">
        <v>10000</v>
      </c>
      <c r="L560" s="4" t="s">
        <v>29</v>
      </c>
      <c r="M560" s="11">
        <f>_xlfn.NUMBERVALUE(LEFT(Table613[[#This Row],[Fiscal Year]], 4))</f>
        <v>2015</v>
      </c>
      <c r="N560" s="42">
        <f t="shared" si="14"/>
        <v>10617.341772151898</v>
      </c>
      <c r="O560" s="3">
        <v>558</v>
      </c>
    </row>
    <row r="561" spans="1:15" x14ac:dyDescent="0.25">
      <c r="A561" s="3">
        <v>4</v>
      </c>
      <c r="B561" s="3" t="s">
        <v>159</v>
      </c>
      <c r="C561" s="1" t="s">
        <v>12</v>
      </c>
      <c r="D561" s="1" t="s">
        <v>444</v>
      </c>
      <c r="E561" s="11" t="s">
        <v>144</v>
      </c>
      <c r="F561" s="3" t="s">
        <v>8</v>
      </c>
      <c r="G561" s="48" t="s">
        <v>857</v>
      </c>
      <c r="H561" s="8"/>
      <c r="I561" s="8"/>
      <c r="J561" s="6" t="s">
        <v>108</v>
      </c>
      <c r="K561" s="38">
        <v>40000</v>
      </c>
      <c r="L561" s="4" t="s">
        <v>29</v>
      </c>
      <c r="M561" s="11">
        <f>_xlfn.NUMBERVALUE(LEFT(Table613[[#This Row],[Fiscal Year]], 4))</f>
        <v>2015</v>
      </c>
      <c r="N561" s="42">
        <f t="shared" si="14"/>
        <v>42469.367088607592</v>
      </c>
      <c r="O561" s="3">
        <v>559</v>
      </c>
    </row>
    <row r="562" spans="1:15" x14ac:dyDescent="0.25">
      <c r="A562" s="3">
        <v>4</v>
      </c>
      <c r="B562" s="3" t="s">
        <v>159</v>
      </c>
      <c r="C562" s="1" t="s">
        <v>12</v>
      </c>
      <c r="D562" s="1" t="s">
        <v>444</v>
      </c>
      <c r="E562" s="11" t="s">
        <v>144</v>
      </c>
      <c r="F562" s="3" t="s">
        <v>8</v>
      </c>
      <c r="G562" s="48" t="s">
        <v>910</v>
      </c>
      <c r="H562" s="8"/>
      <c r="I562" s="8"/>
      <c r="J562" s="6" t="s">
        <v>108</v>
      </c>
      <c r="K562" s="38">
        <v>126000</v>
      </c>
      <c r="L562" s="4" t="s">
        <v>29</v>
      </c>
      <c r="M562" s="11">
        <f>_xlfn.NUMBERVALUE(LEFT(Table613[[#This Row],[Fiscal Year]], 4))</f>
        <v>2015</v>
      </c>
      <c r="N562" s="42">
        <f t="shared" si="14"/>
        <v>133778.50632911391</v>
      </c>
      <c r="O562" s="3">
        <v>560</v>
      </c>
    </row>
    <row r="563" spans="1:15" x14ac:dyDescent="0.25">
      <c r="A563" s="3">
        <v>4</v>
      </c>
      <c r="B563" s="3" t="s">
        <v>159</v>
      </c>
      <c r="C563" s="1" t="s">
        <v>12</v>
      </c>
      <c r="D563" s="1" t="s">
        <v>444</v>
      </c>
      <c r="E563" s="11" t="s">
        <v>144</v>
      </c>
      <c r="F563" s="3" t="s">
        <v>8</v>
      </c>
      <c r="G563" s="66" t="s">
        <v>849</v>
      </c>
      <c r="H563" s="8"/>
      <c r="I563" s="8"/>
      <c r="J563" s="6" t="s">
        <v>106</v>
      </c>
      <c r="K563" s="38">
        <v>5000</v>
      </c>
      <c r="L563" s="4" t="s">
        <v>29</v>
      </c>
      <c r="M563" s="11">
        <f>_xlfn.NUMBERVALUE(LEFT(Table613[[#This Row],[Fiscal Year]], 4))</f>
        <v>2015</v>
      </c>
      <c r="N563" s="42">
        <f t="shared" si="14"/>
        <v>5308.6708860759491</v>
      </c>
      <c r="O563" s="3">
        <v>561</v>
      </c>
    </row>
    <row r="564" spans="1:15" x14ac:dyDescent="0.25">
      <c r="A564" s="3">
        <v>4</v>
      </c>
      <c r="B564" s="3" t="s">
        <v>159</v>
      </c>
      <c r="C564" s="1" t="s">
        <v>12</v>
      </c>
      <c r="D564" s="1" t="s">
        <v>444</v>
      </c>
      <c r="E564" s="11" t="s">
        <v>144</v>
      </c>
      <c r="F564" s="3" t="s">
        <v>8</v>
      </c>
      <c r="G564" s="66" t="s">
        <v>850</v>
      </c>
      <c r="H564" s="8"/>
      <c r="I564" s="8"/>
      <c r="J564" s="6" t="s">
        <v>455</v>
      </c>
      <c r="K564" s="38">
        <v>5000</v>
      </c>
      <c r="L564" s="4" t="s">
        <v>29</v>
      </c>
      <c r="M564" s="11">
        <f>_xlfn.NUMBERVALUE(LEFT(Table613[[#This Row],[Fiscal Year]], 4))</f>
        <v>2015</v>
      </c>
      <c r="N564" s="42">
        <f t="shared" si="14"/>
        <v>5308.6708860759491</v>
      </c>
      <c r="O564" s="3">
        <v>562</v>
      </c>
    </row>
    <row r="565" spans="1:15" x14ac:dyDescent="0.25">
      <c r="A565" s="3">
        <v>4</v>
      </c>
      <c r="B565" s="3" t="s">
        <v>159</v>
      </c>
      <c r="C565" s="1" t="s">
        <v>12</v>
      </c>
      <c r="D565" s="1" t="s">
        <v>444</v>
      </c>
      <c r="E565" s="11" t="s">
        <v>144</v>
      </c>
      <c r="F565" s="3" t="s">
        <v>8</v>
      </c>
      <c r="G565" s="66" t="s">
        <v>851</v>
      </c>
      <c r="H565" s="8"/>
      <c r="I565" s="8"/>
      <c r="J565" s="6" t="s">
        <v>76</v>
      </c>
      <c r="K565" s="38">
        <v>0</v>
      </c>
      <c r="L565" s="4" t="s">
        <v>29</v>
      </c>
      <c r="M565" s="11">
        <f>_xlfn.NUMBERVALUE(LEFT(Table613[[#This Row],[Fiscal Year]], 4))</f>
        <v>2015</v>
      </c>
      <c r="N565" s="43">
        <f t="shared" si="14"/>
        <v>0</v>
      </c>
      <c r="O565" s="3">
        <v>563</v>
      </c>
    </row>
    <row r="566" spans="1:15" x14ac:dyDescent="0.25">
      <c r="A566" s="3">
        <v>4</v>
      </c>
      <c r="B566" s="3" t="s">
        <v>159</v>
      </c>
      <c r="C566" s="1" t="s">
        <v>12</v>
      </c>
      <c r="D566" s="1" t="s">
        <v>444</v>
      </c>
      <c r="E566" s="11" t="s">
        <v>144</v>
      </c>
      <c r="F566" s="3" t="s">
        <v>8</v>
      </c>
      <c r="G566" s="66" t="s">
        <v>911</v>
      </c>
      <c r="H566" s="8"/>
      <c r="I566" s="8"/>
      <c r="J566" s="6" t="s">
        <v>110</v>
      </c>
      <c r="K566" s="38">
        <v>0</v>
      </c>
      <c r="L566" s="4" t="s">
        <v>29</v>
      </c>
      <c r="M566" s="11">
        <f>_xlfn.NUMBERVALUE(LEFT(Table613[[#This Row],[Fiscal Year]], 4))</f>
        <v>2015</v>
      </c>
      <c r="N566" s="43">
        <f t="shared" si="14"/>
        <v>0</v>
      </c>
      <c r="O566" s="3">
        <v>564</v>
      </c>
    </row>
    <row r="567" spans="1:15" x14ac:dyDescent="0.25">
      <c r="A567" s="3">
        <v>4</v>
      </c>
      <c r="B567" s="3" t="s">
        <v>159</v>
      </c>
      <c r="C567" s="1" t="s">
        <v>12</v>
      </c>
      <c r="D567" s="1" t="s">
        <v>444</v>
      </c>
      <c r="E567" s="11" t="s">
        <v>144</v>
      </c>
      <c r="F567" s="3" t="s">
        <v>8</v>
      </c>
      <c r="G567" s="66" t="s">
        <v>853</v>
      </c>
      <c r="H567" s="8"/>
      <c r="I567" s="8"/>
      <c r="J567" s="6" t="s">
        <v>76</v>
      </c>
      <c r="K567" s="38">
        <v>0</v>
      </c>
      <c r="L567" s="4" t="s">
        <v>29</v>
      </c>
      <c r="M567" s="11">
        <f>_xlfn.NUMBERVALUE(LEFT(Table613[[#This Row],[Fiscal Year]], 4))</f>
        <v>2015</v>
      </c>
      <c r="N567" s="43">
        <f t="shared" si="14"/>
        <v>0</v>
      </c>
      <c r="O567" s="3">
        <v>565</v>
      </c>
    </row>
    <row r="568" spans="1:15" x14ac:dyDescent="0.25">
      <c r="A568" s="3">
        <v>4</v>
      </c>
      <c r="B568" s="3" t="s">
        <v>159</v>
      </c>
      <c r="C568" s="1" t="s">
        <v>12</v>
      </c>
      <c r="D568" s="1" t="s">
        <v>444</v>
      </c>
      <c r="E568" s="11" t="s">
        <v>144</v>
      </c>
      <c r="F568" s="3" t="s">
        <v>8</v>
      </c>
      <c r="G568" s="63" t="s">
        <v>854</v>
      </c>
      <c r="H568" s="8"/>
      <c r="I568" s="8"/>
      <c r="J568" s="6" t="s">
        <v>47</v>
      </c>
      <c r="K568" s="38">
        <v>5000</v>
      </c>
      <c r="L568" s="4" t="s">
        <v>29</v>
      </c>
      <c r="M568" s="11">
        <f>_xlfn.NUMBERVALUE(LEFT(Table613[[#This Row],[Fiscal Year]], 4))</f>
        <v>2015</v>
      </c>
      <c r="N568" s="42">
        <f t="shared" si="14"/>
        <v>5308.6708860759491</v>
      </c>
      <c r="O568" s="3">
        <v>566</v>
      </c>
    </row>
    <row r="569" spans="1:15" x14ac:dyDescent="0.25">
      <c r="A569" s="3">
        <v>4</v>
      </c>
      <c r="B569" s="3" t="s">
        <v>159</v>
      </c>
      <c r="C569" s="1" t="s">
        <v>12</v>
      </c>
      <c r="D569" s="1" t="s">
        <v>444</v>
      </c>
      <c r="E569" s="11" t="s">
        <v>144</v>
      </c>
      <c r="F569" s="3" t="s">
        <v>8</v>
      </c>
      <c r="G569" s="63" t="s">
        <v>855</v>
      </c>
      <c r="H569" s="8" t="s">
        <v>912</v>
      </c>
      <c r="I569" s="8" t="s">
        <v>429</v>
      </c>
      <c r="J569" s="6" t="s">
        <v>455</v>
      </c>
      <c r="K569" s="38">
        <v>3011</v>
      </c>
      <c r="L569" s="4" t="s">
        <v>29</v>
      </c>
      <c r="M569" s="11">
        <f>_xlfn.NUMBERVALUE(LEFT(Table613[[#This Row],[Fiscal Year]], 4))</f>
        <v>2015</v>
      </c>
      <c r="N569" s="42">
        <f t="shared" si="14"/>
        <v>3196.8816075949367</v>
      </c>
      <c r="O569" s="3">
        <v>567</v>
      </c>
    </row>
    <row r="570" spans="1:15" x14ac:dyDescent="0.25">
      <c r="C570" s="1"/>
      <c r="D570" s="1"/>
      <c r="E570" s="11"/>
      <c r="G570" s="66"/>
      <c r="H570" s="8"/>
      <c r="I570" s="8"/>
      <c r="J570" s="6"/>
      <c r="L570" s="4"/>
      <c r="O570" s="3">
        <v>568</v>
      </c>
    </row>
    <row r="571" spans="1:15" x14ac:dyDescent="0.25">
      <c r="A571" s="3">
        <v>4</v>
      </c>
      <c r="B571" s="3" t="s">
        <v>160</v>
      </c>
      <c r="C571" s="1" t="s">
        <v>12</v>
      </c>
      <c r="D571" s="1" t="s">
        <v>444</v>
      </c>
      <c r="E571" s="11" t="s">
        <v>144</v>
      </c>
      <c r="F571" s="3" t="s">
        <v>8</v>
      </c>
      <c r="G571" s="48" t="s">
        <v>32</v>
      </c>
      <c r="H571" s="8"/>
      <c r="I571" s="8"/>
      <c r="J571" s="6" t="s">
        <v>110</v>
      </c>
      <c r="K571" s="38">
        <v>28599</v>
      </c>
      <c r="L571" s="4" t="s">
        <v>29</v>
      </c>
      <c r="M571" s="11">
        <f>_xlfn.NUMBERVALUE(LEFT(Table613[[#This Row],[Fiscal Year]], 4))</f>
        <v>2015</v>
      </c>
      <c r="N571" s="42">
        <f t="shared" si="14"/>
        <v>30364.535734177214</v>
      </c>
      <c r="O571" s="3">
        <v>569</v>
      </c>
    </row>
    <row r="572" spans="1:15" x14ac:dyDescent="0.25">
      <c r="A572" s="3">
        <v>4</v>
      </c>
      <c r="B572" s="3" t="s">
        <v>160</v>
      </c>
      <c r="C572" s="1" t="s">
        <v>12</v>
      </c>
      <c r="D572" s="1" t="s">
        <v>444</v>
      </c>
      <c r="E572" s="11" t="s">
        <v>144</v>
      </c>
      <c r="F572" s="3" t="s">
        <v>8</v>
      </c>
      <c r="G572" s="66" t="s">
        <v>58</v>
      </c>
      <c r="H572" s="8"/>
      <c r="I572" s="8"/>
      <c r="J572" s="6" t="s">
        <v>453</v>
      </c>
      <c r="K572" s="38">
        <v>18150</v>
      </c>
      <c r="L572" s="4" t="s">
        <v>29</v>
      </c>
      <c r="M572" s="11">
        <f>_xlfn.NUMBERVALUE(LEFT(Table613[[#This Row],[Fiscal Year]], 4))</f>
        <v>2015</v>
      </c>
      <c r="N572" s="42">
        <f t="shared" si="14"/>
        <v>19270.475316455697</v>
      </c>
      <c r="O572" s="3">
        <v>570</v>
      </c>
    </row>
    <row r="573" spans="1:15" x14ac:dyDescent="0.25">
      <c r="A573" s="3">
        <v>4</v>
      </c>
      <c r="B573" s="3" t="s">
        <v>160</v>
      </c>
      <c r="C573" s="1" t="s">
        <v>12</v>
      </c>
      <c r="D573" s="1" t="s">
        <v>444</v>
      </c>
      <c r="E573" s="11" t="s">
        <v>144</v>
      </c>
      <c r="F573" s="3" t="s">
        <v>8</v>
      </c>
      <c r="G573" s="66" t="s">
        <v>208</v>
      </c>
      <c r="H573" s="8"/>
      <c r="I573" s="8"/>
      <c r="J573" s="6" t="s">
        <v>109</v>
      </c>
      <c r="K573" s="38">
        <v>2960</v>
      </c>
      <c r="L573" s="4" t="s">
        <v>29</v>
      </c>
      <c r="M573" s="11">
        <f>_xlfn.NUMBERVALUE(LEFT(Table613[[#This Row],[Fiscal Year]], 4))</f>
        <v>2015</v>
      </c>
      <c r="N573" s="42">
        <f t="shared" si="14"/>
        <v>3142.733164556962</v>
      </c>
      <c r="O573" s="3">
        <v>571</v>
      </c>
    </row>
    <row r="574" spans="1:15" x14ac:dyDescent="0.25">
      <c r="A574" s="3">
        <v>4</v>
      </c>
      <c r="B574" s="3" t="s">
        <v>160</v>
      </c>
      <c r="C574" s="1" t="s">
        <v>12</v>
      </c>
      <c r="D574" s="1" t="s">
        <v>444</v>
      </c>
      <c r="E574" s="11" t="s">
        <v>144</v>
      </c>
      <c r="F574" s="3" t="s">
        <v>8</v>
      </c>
      <c r="G574" s="48" t="s">
        <v>59</v>
      </c>
      <c r="H574" s="8"/>
      <c r="I574" s="8"/>
      <c r="J574" s="6" t="s">
        <v>111</v>
      </c>
      <c r="K574" s="38">
        <v>27131</v>
      </c>
      <c r="L574" s="4" t="s">
        <v>29</v>
      </c>
      <c r="M574" s="11">
        <f>_xlfn.NUMBERVALUE(LEFT(Table613[[#This Row],[Fiscal Year]], 4))</f>
        <v>2015</v>
      </c>
      <c r="N574" s="42">
        <f t="shared" si="14"/>
        <v>28805.909962025315</v>
      </c>
      <c r="O574" s="3">
        <v>572</v>
      </c>
    </row>
    <row r="575" spans="1:15" x14ac:dyDescent="0.25">
      <c r="A575" s="3">
        <v>4</v>
      </c>
      <c r="B575" s="3" t="s">
        <v>160</v>
      </c>
      <c r="C575" s="1" t="s">
        <v>12</v>
      </c>
      <c r="D575" s="1" t="s">
        <v>444</v>
      </c>
      <c r="E575" s="11" t="s">
        <v>144</v>
      </c>
      <c r="F575" s="3" t="s">
        <v>8</v>
      </c>
      <c r="G575" s="66" t="s">
        <v>60</v>
      </c>
      <c r="H575" s="8"/>
      <c r="I575" s="8"/>
      <c r="J575" s="6" t="s">
        <v>111</v>
      </c>
      <c r="K575" s="38">
        <v>6812</v>
      </c>
      <c r="L575" s="4" t="s">
        <v>29</v>
      </c>
      <c r="M575" s="11">
        <f>_xlfn.NUMBERVALUE(LEFT(Table613[[#This Row],[Fiscal Year]], 4))</f>
        <v>2015</v>
      </c>
      <c r="N575" s="42">
        <f t="shared" si="14"/>
        <v>7232.5332151898729</v>
      </c>
      <c r="O575" s="3">
        <v>573</v>
      </c>
    </row>
    <row r="576" spans="1:15" x14ac:dyDescent="0.25">
      <c r="A576" s="3">
        <v>4</v>
      </c>
      <c r="B576" s="3" t="s">
        <v>160</v>
      </c>
      <c r="C576" s="1" t="s">
        <v>12</v>
      </c>
      <c r="D576" s="1" t="s">
        <v>444</v>
      </c>
      <c r="E576" s="11" t="s">
        <v>144</v>
      </c>
      <c r="F576" s="3" t="s">
        <v>8</v>
      </c>
      <c r="G576" s="48" t="s">
        <v>61</v>
      </c>
      <c r="H576" s="8"/>
      <c r="I576" s="8"/>
      <c r="J576" s="6" t="s">
        <v>108</v>
      </c>
      <c r="K576" s="38">
        <v>29063</v>
      </c>
      <c r="L576" s="4" t="s">
        <v>29</v>
      </c>
      <c r="M576" s="11">
        <f>_xlfn.NUMBERVALUE(LEFT(Table613[[#This Row],[Fiscal Year]], 4))</f>
        <v>2015</v>
      </c>
      <c r="N576" s="42">
        <f t="shared" si="14"/>
        <v>30857.180392405062</v>
      </c>
      <c r="O576" s="3">
        <v>574</v>
      </c>
    </row>
    <row r="577" spans="1:15" x14ac:dyDescent="0.25">
      <c r="A577" s="3">
        <v>4</v>
      </c>
      <c r="B577" s="3" t="s">
        <v>160</v>
      </c>
      <c r="C577" s="1" t="s">
        <v>12</v>
      </c>
      <c r="D577" s="1" t="s">
        <v>444</v>
      </c>
      <c r="E577" s="11" t="s">
        <v>144</v>
      </c>
      <c r="F577" s="3" t="s">
        <v>8</v>
      </c>
      <c r="G577" s="66" t="s">
        <v>62</v>
      </c>
      <c r="H577" s="8"/>
      <c r="I577" s="8"/>
      <c r="J577" s="6" t="s">
        <v>106</v>
      </c>
      <c r="K577" s="38">
        <v>16401</v>
      </c>
      <c r="L577" s="4" t="s">
        <v>29</v>
      </c>
      <c r="M577" s="11">
        <f>_xlfn.NUMBERVALUE(LEFT(Table613[[#This Row],[Fiscal Year]], 4))</f>
        <v>2015</v>
      </c>
      <c r="N577" s="42">
        <f t="shared" si="14"/>
        <v>17413.502240506328</v>
      </c>
      <c r="O577" s="3">
        <v>575</v>
      </c>
    </row>
    <row r="578" spans="1:15" x14ac:dyDescent="0.25">
      <c r="A578" s="3">
        <v>4</v>
      </c>
      <c r="B578" s="3" t="s">
        <v>160</v>
      </c>
      <c r="C578" s="1" t="s">
        <v>12</v>
      </c>
      <c r="D578" s="1" t="s">
        <v>444</v>
      </c>
      <c r="E578" s="11" t="s">
        <v>144</v>
      </c>
      <c r="F578" s="3" t="s">
        <v>8</v>
      </c>
      <c r="G578" s="66" t="s">
        <v>63</v>
      </c>
      <c r="H578" s="8"/>
      <c r="I578" s="8"/>
      <c r="J578" s="6" t="s">
        <v>455</v>
      </c>
      <c r="K578" s="38" t="s">
        <v>827</v>
      </c>
      <c r="L578" s="4" t="s">
        <v>29</v>
      </c>
      <c r="M578" s="11">
        <f>_xlfn.NUMBERVALUE(LEFT(Table613[[#This Row],[Fiscal Year]], 4))</f>
        <v>2015</v>
      </c>
      <c r="O578" s="3">
        <v>576</v>
      </c>
    </row>
    <row r="579" spans="1:15" x14ac:dyDescent="0.25">
      <c r="A579" s="3">
        <v>4</v>
      </c>
      <c r="B579" s="3" t="s">
        <v>160</v>
      </c>
      <c r="C579" s="1" t="s">
        <v>12</v>
      </c>
      <c r="D579" s="1" t="s">
        <v>444</v>
      </c>
      <c r="E579" s="11" t="s">
        <v>144</v>
      </c>
      <c r="F579" s="3" t="s">
        <v>8</v>
      </c>
      <c r="G579" s="66" t="s">
        <v>64</v>
      </c>
      <c r="H579" s="8"/>
      <c r="I579" s="8"/>
      <c r="J579" s="6" t="s">
        <v>76</v>
      </c>
      <c r="K579" s="38" t="s">
        <v>827</v>
      </c>
      <c r="L579" s="4" t="s">
        <v>29</v>
      </c>
      <c r="M579" s="11">
        <f>_xlfn.NUMBERVALUE(LEFT(Table613[[#This Row],[Fiscal Year]], 4))</f>
        <v>2015</v>
      </c>
      <c r="O579" s="3">
        <v>577</v>
      </c>
    </row>
    <row r="580" spans="1:15" x14ac:dyDescent="0.25">
      <c r="A580" s="3">
        <v>4</v>
      </c>
      <c r="B580" s="3" t="s">
        <v>160</v>
      </c>
      <c r="C580" s="1" t="s">
        <v>12</v>
      </c>
      <c r="D580" s="1" t="s">
        <v>444</v>
      </c>
      <c r="E580" s="11" t="s">
        <v>144</v>
      </c>
      <c r="F580" s="3" t="s">
        <v>8</v>
      </c>
      <c r="G580" s="66" t="s">
        <v>65</v>
      </c>
      <c r="H580" s="8"/>
      <c r="I580" s="8"/>
      <c r="J580" s="6" t="s">
        <v>76</v>
      </c>
      <c r="K580" s="38" t="s">
        <v>827</v>
      </c>
      <c r="L580" s="4" t="s">
        <v>29</v>
      </c>
      <c r="M580" s="11">
        <f>_xlfn.NUMBERVALUE(LEFT(Table613[[#This Row],[Fiscal Year]], 4))</f>
        <v>2015</v>
      </c>
      <c r="O580" s="3">
        <v>578</v>
      </c>
    </row>
    <row r="581" spans="1:15" x14ac:dyDescent="0.25">
      <c r="A581" s="3">
        <v>4</v>
      </c>
      <c r="B581" s="3" t="s">
        <v>160</v>
      </c>
      <c r="C581" s="1" t="s">
        <v>12</v>
      </c>
      <c r="D581" s="1" t="s">
        <v>444</v>
      </c>
      <c r="E581" s="11" t="s">
        <v>144</v>
      </c>
      <c r="F581" s="3" t="s">
        <v>8</v>
      </c>
      <c r="G581" s="66" t="s">
        <v>66</v>
      </c>
      <c r="H581" s="8"/>
      <c r="I581" s="8"/>
      <c r="J581" s="6" t="s">
        <v>76</v>
      </c>
      <c r="K581" s="38" t="s">
        <v>827</v>
      </c>
      <c r="L581" s="4" t="s">
        <v>29</v>
      </c>
      <c r="M581" s="11">
        <f>_xlfn.NUMBERVALUE(LEFT(Table613[[#This Row],[Fiscal Year]], 4))</f>
        <v>2015</v>
      </c>
      <c r="O581" s="3">
        <v>579</v>
      </c>
    </row>
    <row r="582" spans="1:15" x14ac:dyDescent="0.25">
      <c r="A582" s="3">
        <v>4</v>
      </c>
      <c r="B582" s="3" t="s">
        <v>160</v>
      </c>
      <c r="C582" s="1" t="s">
        <v>12</v>
      </c>
      <c r="D582" s="1" t="s">
        <v>444</v>
      </c>
      <c r="E582" s="11" t="s">
        <v>144</v>
      </c>
      <c r="F582" s="3" t="s">
        <v>8</v>
      </c>
      <c r="G582" s="66" t="s">
        <v>33</v>
      </c>
      <c r="H582" s="8"/>
      <c r="I582" s="8"/>
      <c r="J582" s="6" t="s">
        <v>47</v>
      </c>
      <c r="K582" s="38">
        <v>27703</v>
      </c>
      <c r="L582" s="4" t="s">
        <v>29</v>
      </c>
      <c r="M582" s="11">
        <f>_xlfn.NUMBERVALUE(LEFT(Table613[[#This Row],[Fiscal Year]], 4))</f>
        <v>2015</v>
      </c>
      <c r="N582" s="42">
        <f t="shared" si="14"/>
        <v>29413.221911392404</v>
      </c>
      <c r="O582" s="3">
        <v>580</v>
      </c>
    </row>
    <row r="583" spans="1:15" x14ac:dyDescent="0.25">
      <c r="A583" s="3">
        <v>4</v>
      </c>
      <c r="B583" s="3" t="s">
        <v>160</v>
      </c>
      <c r="C583" s="1" t="s">
        <v>12</v>
      </c>
      <c r="D583" s="1" t="s">
        <v>444</v>
      </c>
      <c r="E583" s="11" t="s">
        <v>144</v>
      </c>
      <c r="F583" s="3" t="s">
        <v>8</v>
      </c>
      <c r="G583" s="66" t="s">
        <v>67</v>
      </c>
      <c r="H583" s="8"/>
      <c r="I583" s="8"/>
      <c r="J583" s="6" t="s">
        <v>455</v>
      </c>
      <c r="K583" s="38">
        <v>170140</v>
      </c>
      <c r="L583" s="4" t="s">
        <v>29</v>
      </c>
      <c r="M583" s="11">
        <f>_xlfn.NUMBERVALUE(LEFT(Table613[[#This Row],[Fiscal Year]], 4))</f>
        <v>2015</v>
      </c>
      <c r="N583" s="42">
        <f t="shared" si="14"/>
        <v>180643.45291139241</v>
      </c>
      <c r="O583" s="3">
        <v>581</v>
      </c>
    </row>
    <row r="584" spans="1:15" x14ac:dyDescent="0.25">
      <c r="C584" s="1"/>
      <c r="D584" s="1"/>
      <c r="E584" s="11"/>
      <c r="G584" s="66"/>
      <c r="H584" s="8"/>
      <c r="I584" s="8"/>
      <c r="J584" s="6"/>
      <c r="L584" s="4"/>
      <c r="O584" s="3">
        <v>582</v>
      </c>
    </row>
    <row r="585" spans="1:15" x14ac:dyDescent="0.25">
      <c r="A585" s="3">
        <v>4</v>
      </c>
      <c r="B585" s="3" t="s">
        <v>161</v>
      </c>
      <c r="C585" s="1" t="s">
        <v>12</v>
      </c>
      <c r="D585" s="1" t="s">
        <v>444</v>
      </c>
      <c r="E585" s="11" t="s">
        <v>144</v>
      </c>
      <c r="F585" s="3" t="s">
        <v>8</v>
      </c>
      <c r="G585" s="48" t="s">
        <v>32</v>
      </c>
      <c r="H585" s="8"/>
      <c r="I585" s="8"/>
      <c r="J585" s="6" t="s">
        <v>110</v>
      </c>
      <c r="K585" s="38">
        <v>203000</v>
      </c>
      <c r="L585" s="4" t="s">
        <v>29</v>
      </c>
      <c r="M585" s="11">
        <f>_xlfn.NUMBERVALUE(LEFT(Table613[[#This Row],[Fiscal Year]], 4))</f>
        <v>2015</v>
      </c>
      <c r="N585" s="42">
        <f t="shared" si="14"/>
        <v>215532.03797468354</v>
      </c>
      <c r="O585" s="3">
        <v>583</v>
      </c>
    </row>
    <row r="586" spans="1:15" x14ac:dyDescent="0.25">
      <c r="A586" s="3">
        <v>4</v>
      </c>
      <c r="B586" s="3" t="s">
        <v>161</v>
      </c>
      <c r="C586" s="1" t="s">
        <v>12</v>
      </c>
      <c r="D586" s="1" t="s">
        <v>444</v>
      </c>
      <c r="E586" s="11" t="s">
        <v>144</v>
      </c>
      <c r="F586" s="3" t="s">
        <v>8</v>
      </c>
      <c r="G586" s="66" t="s">
        <v>58</v>
      </c>
      <c r="H586" s="8"/>
      <c r="I586" s="8"/>
      <c r="J586" s="6" t="s">
        <v>453</v>
      </c>
      <c r="K586" s="38">
        <v>11960</v>
      </c>
      <c r="L586" s="4" t="s">
        <v>29</v>
      </c>
      <c r="M586" s="11">
        <f>_xlfn.NUMBERVALUE(LEFT(Table613[[#This Row],[Fiscal Year]], 4))</f>
        <v>2015</v>
      </c>
      <c r="N586" s="42">
        <f t="shared" si="14"/>
        <v>12698.340759493671</v>
      </c>
      <c r="O586" s="3">
        <v>584</v>
      </c>
    </row>
    <row r="587" spans="1:15" x14ac:dyDescent="0.25">
      <c r="A587" s="3">
        <v>4</v>
      </c>
      <c r="B587" s="3" t="s">
        <v>161</v>
      </c>
      <c r="C587" s="1" t="s">
        <v>12</v>
      </c>
      <c r="D587" s="1" t="s">
        <v>444</v>
      </c>
      <c r="E587" s="11" t="s">
        <v>144</v>
      </c>
      <c r="F587" s="3" t="s">
        <v>8</v>
      </c>
      <c r="G587" s="66" t="s">
        <v>208</v>
      </c>
      <c r="H587" s="8"/>
      <c r="I587" s="8"/>
      <c r="J587" s="6" t="s">
        <v>109</v>
      </c>
      <c r="K587" s="38">
        <v>1000</v>
      </c>
      <c r="L587" s="4" t="s">
        <v>29</v>
      </c>
      <c r="M587" s="11">
        <f>_xlfn.NUMBERVALUE(LEFT(Table613[[#This Row],[Fiscal Year]], 4))</f>
        <v>2015</v>
      </c>
      <c r="N587" s="42">
        <f t="shared" ref="N587:N647" si="15">K587*(1+VLOOKUP(M587,$AF$8:$AH$31,3,0))</f>
        <v>1061.7341772151899</v>
      </c>
      <c r="O587" s="3">
        <v>585</v>
      </c>
    </row>
    <row r="588" spans="1:15" x14ac:dyDescent="0.25">
      <c r="A588" s="3">
        <v>4</v>
      </c>
      <c r="B588" s="3" t="s">
        <v>161</v>
      </c>
      <c r="C588" s="1" t="s">
        <v>12</v>
      </c>
      <c r="D588" s="1" t="s">
        <v>444</v>
      </c>
      <c r="E588" s="11" t="s">
        <v>144</v>
      </c>
      <c r="F588" s="3" t="s">
        <v>8</v>
      </c>
      <c r="G588" s="48" t="s">
        <v>59</v>
      </c>
      <c r="H588" s="8"/>
      <c r="I588" s="8"/>
      <c r="J588" s="6" t="s">
        <v>111</v>
      </c>
      <c r="K588" s="38">
        <v>12988</v>
      </c>
      <c r="L588" s="4" t="s">
        <v>29</v>
      </c>
      <c r="M588" s="11">
        <f>_xlfn.NUMBERVALUE(LEFT(Table613[[#This Row],[Fiscal Year]], 4))</f>
        <v>2015</v>
      </c>
      <c r="N588" s="42">
        <f t="shared" si="15"/>
        <v>13789.803493670885</v>
      </c>
      <c r="O588" s="3">
        <v>586</v>
      </c>
    </row>
    <row r="589" spans="1:15" x14ac:dyDescent="0.25">
      <c r="A589" s="3">
        <v>4</v>
      </c>
      <c r="B589" s="3" t="s">
        <v>161</v>
      </c>
      <c r="C589" s="1" t="s">
        <v>12</v>
      </c>
      <c r="D589" s="1" t="s">
        <v>444</v>
      </c>
      <c r="E589" s="11" t="s">
        <v>144</v>
      </c>
      <c r="F589" s="3" t="s">
        <v>8</v>
      </c>
      <c r="G589" s="66" t="s">
        <v>60</v>
      </c>
      <c r="H589" s="8"/>
      <c r="I589" s="8"/>
      <c r="J589" s="6" t="s">
        <v>111</v>
      </c>
      <c r="K589" s="38">
        <v>30000</v>
      </c>
      <c r="L589" s="4" t="s">
        <v>29</v>
      </c>
      <c r="M589" s="11">
        <f>_xlfn.NUMBERVALUE(LEFT(Table613[[#This Row],[Fiscal Year]], 4))</f>
        <v>2015</v>
      </c>
      <c r="N589" s="42">
        <f t="shared" si="15"/>
        <v>31852.025316455696</v>
      </c>
      <c r="O589" s="3">
        <v>587</v>
      </c>
    </row>
    <row r="590" spans="1:15" x14ac:dyDescent="0.25">
      <c r="A590" s="3">
        <v>4</v>
      </c>
      <c r="B590" s="3" t="s">
        <v>161</v>
      </c>
      <c r="C590" s="1" t="s">
        <v>12</v>
      </c>
      <c r="D590" s="1" t="s">
        <v>444</v>
      </c>
      <c r="E590" s="11" t="s">
        <v>144</v>
      </c>
      <c r="F590" s="3" t="s">
        <v>8</v>
      </c>
      <c r="G590" s="48" t="s">
        <v>61</v>
      </c>
      <c r="H590" s="8"/>
      <c r="I590" s="8"/>
      <c r="J590" s="6" t="s">
        <v>108</v>
      </c>
      <c r="K590" s="38">
        <v>459202</v>
      </c>
      <c r="L590" s="4" t="s">
        <v>29</v>
      </c>
      <c r="M590" s="11">
        <f>_xlfn.NUMBERVALUE(LEFT(Table613[[#This Row],[Fiscal Year]], 4))</f>
        <v>2015</v>
      </c>
      <c r="N590" s="42">
        <f t="shared" si="15"/>
        <v>487550.45764556958</v>
      </c>
      <c r="O590" s="3">
        <v>588</v>
      </c>
    </row>
    <row r="591" spans="1:15" x14ac:dyDescent="0.25">
      <c r="A591" s="3">
        <v>4</v>
      </c>
      <c r="B591" s="3" t="s">
        <v>161</v>
      </c>
      <c r="C591" s="1" t="s">
        <v>12</v>
      </c>
      <c r="D591" s="1" t="s">
        <v>444</v>
      </c>
      <c r="E591" s="11" t="s">
        <v>144</v>
      </c>
      <c r="F591" s="3" t="s">
        <v>8</v>
      </c>
      <c r="G591" s="66" t="s">
        <v>62</v>
      </c>
      <c r="H591" s="8"/>
      <c r="I591" s="8"/>
      <c r="J591" s="6" t="s">
        <v>106</v>
      </c>
      <c r="K591" s="38">
        <v>22235</v>
      </c>
      <c r="L591" s="4" t="s">
        <v>29</v>
      </c>
      <c r="M591" s="11">
        <f>_xlfn.NUMBERVALUE(LEFT(Table613[[#This Row],[Fiscal Year]], 4))</f>
        <v>2015</v>
      </c>
      <c r="N591" s="42">
        <f t="shared" si="15"/>
        <v>23607.659430379746</v>
      </c>
      <c r="O591" s="3">
        <v>589</v>
      </c>
    </row>
    <row r="592" spans="1:15" x14ac:dyDescent="0.25">
      <c r="A592" s="3">
        <v>4</v>
      </c>
      <c r="B592" s="3" t="s">
        <v>161</v>
      </c>
      <c r="C592" s="1" t="s">
        <v>12</v>
      </c>
      <c r="D592" s="1" t="s">
        <v>444</v>
      </c>
      <c r="E592" s="11" t="s">
        <v>144</v>
      </c>
      <c r="F592" s="3" t="s">
        <v>8</v>
      </c>
      <c r="G592" s="66" t="s">
        <v>211</v>
      </c>
      <c r="H592" s="8"/>
      <c r="I592" s="8"/>
      <c r="J592" s="6" t="s">
        <v>455</v>
      </c>
      <c r="K592" s="38" t="s">
        <v>827</v>
      </c>
      <c r="L592" s="4" t="s">
        <v>29</v>
      </c>
      <c r="M592" s="11">
        <f>_xlfn.NUMBERVALUE(LEFT(Table613[[#This Row],[Fiscal Year]], 4))</f>
        <v>2015</v>
      </c>
      <c r="O592" s="3">
        <v>590</v>
      </c>
    </row>
    <row r="593" spans="1:15" x14ac:dyDescent="0.25">
      <c r="A593" s="3">
        <v>4</v>
      </c>
      <c r="B593" s="3" t="s">
        <v>161</v>
      </c>
      <c r="C593" s="1" t="s">
        <v>12</v>
      </c>
      <c r="D593" s="1" t="s">
        <v>444</v>
      </c>
      <c r="E593" s="11" t="s">
        <v>144</v>
      </c>
      <c r="F593" s="3" t="s">
        <v>8</v>
      </c>
      <c r="G593" s="48" t="s">
        <v>64</v>
      </c>
      <c r="H593" s="8"/>
      <c r="I593" s="8"/>
      <c r="J593" s="6" t="s">
        <v>76</v>
      </c>
      <c r="K593" s="38" t="s">
        <v>827</v>
      </c>
      <c r="L593" s="4" t="s">
        <v>29</v>
      </c>
      <c r="M593" s="11">
        <f>_xlfn.NUMBERVALUE(LEFT(Table613[[#This Row],[Fiscal Year]], 4))</f>
        <v>2015</v>
      </c>
      <c r="O593" s="3">
        <v>591</v>
      </c>
    </row>
    <row r="594" spans="1:15" x14ac:dyDescent="0.25">
      <c r="A594" s="3">
        <v>4</v>
      </c>
      <c r="B594" s="3" t="s">
        <v>161</v>
      </c>
      <c r="C594" s="1" t="s">
        <v>12</v>
      </c>
      <c r="D594" s="1" t="s">
        <v>444</v>
      </c>
      <c r="E594" s="11" t="s">
        <v>144</v>
      </c>
      <c r="F594" s="3" t="s">
        <v>8</v>
      </c>
      <c r="G594" s="48" t="s">
        <v>65</v>
      </c>
      <c r="H594" s="8"/>
      <c r="I594" s="8"/>
      <c r="J594" s="6" t="s">
        <v>76</v>
      </c>
      <c r="K594" s="39" t="s">
        <v>214</v>
      </c>
      <c r="L594" s="4" t="s">
        <v>29</v>
      </c>
      <c r="M594" s="11">
        <f>_xlfn.NUMBERVALUE(LEFT(Table613[[#This Row],[Fiscal Year]], 4))</f>
        <v>2015</v>
      </c>
      <c r="O594" s="3">
        <v>592</v>
      </c>
    </row>
    <row r="595" spans="1:15" x14ac:dyDescent="0.25">
      <c r="A595" s="3">
        <v>4</v>
      </c>
      <c r="B595" s="3" t="s">
        <v>161</v>
      </c>
      <c r="C595" s="1" t="s">
        <v>12</v>
      </c>
      <c r="D595" s="1" t="s">
        <v>444</v>
      </c>
      <c r="E595" s="11" t="s">
        <v>144</v>
      </c>
      <c r="F595" s="3" t="s">
        <v>8</v>
      </c>
      <c r="G595" s="48" t="s">
        <v>66</v>
      </c>
      <c r="H595" s="8"/>
      <c r="I595" s="8"/>
      <c r="J595" s="6" t="s">
        <v>76</v>
      </c>
      <c r="K595" s="38" t="s">
        <v>827</v>
      </c>
      <c r="L595" s="4" t="s">
        <v>29</v>
      </c>
      <c r="M595" s="11">
        <f>_xlfn.NUMBERVALUE(LEFT(Table613[[#This Row],[Fiscal Year]], 4))</f>
        <v>2015</v>
      </c>
      <c r="O595" s="3">
        <v>593</v>
      </c>
    </row>
    <row r="596" spans="1:15" x14ac:dyDescent="0.25">
      <c r="A596" s="3">
        <v>4</v>
      </c>
      <c r="B596" s="3" t="s">
        <v>161</v>
      </c>
      <c r="C596" s="1" t="s">
        <v>12</v>
      </c>
      <c r="D596" s="1" t="s">
        <v>444</v>
      </c>
      <c r="E596" s="11" t="s">
        <v>144</v>
      </c>
      <c r="F596" s="3" t="s">
        <v>8</v>
      </c>
      <c r="G596" s="66" t="s">
        <v>33</v>
      </c>
      <c r="H596" s="8"/>
      <c r="I596" s="8"/>
      <c r="J596" s="6" t="s">
        <v>47</v>
      </c>
      <c r="K596" s="39" t="s">
        <v>214</v>
      </c>
      <c r="L596" s="4" t="s">
        <v>29</v>
      </c>
      <c r="M596" s="11">
        <f>_xlfn.NUMBERVALUE(LEFT(Table613[[#This Row],[Fiscal Year]], 4))</f>
        <v>2015</v>
      </c>
      <c r="O596" s="3">
        <v>594</v>
      </c>
    </row>
    <row r="597" spans="1:15" x14ac:dyDescent="0.25">
      <c r="A597" s="3">
        <v>4</v>
      </c>
      <c r="B597" s="3" t="s">
        <v>161</v>
      </c>
      <c r="C597" s="1" t="s">
        <v>12</v>
      </c>
      <c r="D597" s="1" t="s">
        <v>444</v>
      </c>
      <c r="E597" s="11" t="s">
        <v>144</v>
      </c>
      <c r="F597" s="3" t="s">
        <v>8</v>
      </c>
      <c r="G597" s="66" t="s">
        <v>67</v>
      </c>
      <c r="H597" s="8"/>
      <c r="I597" s="8"/>
      <c r="J597" s="6" t="s">
        <v>455</v>
      </c>
      <c r="K597" s="38">
        <v>100000</v>
      </c>
      <c r="L597" s="4" t="s">
        <v>29</v>
      </c>
      <c r="M597" s="11">
        <f>_xlfn.NUMBERVALUE(LEFT(Table613[[#This Row],[Fiscal Year]], 4))</f>
        <v>2015</v>
      </c>
      <c r="N597" s="42">
        <f t="shared" si="15"/>
        <v>106173.41772151898</v>
      </c>
      <c r="O597" s="3">
        <v>595</v>
      </c>
    </row>
    <row r="598" spans="1:15" x14ac:dyDescent="0.25">
      <c r="C598" s="1"/>
      <c r="D598" s="1"/>
      <c r="E598" s="11"/>
      <c r="G598" s="66"/>
      <c r="H598" s="8"/>
      <c r="I598" s="8"/>
      <c r="J598" s="6"/>
      <c r="L598" s="4"/>
      <c r="O598" s="3">
        <v>596</v>
      </c>
    </row>
    <row r="599" spans="1:15" x14ac:dyDescent="0.25">
      <c r="A599" s="3">
        <v>4</v>
      </c>
      <c r="B599" s="3" t="s">
        <v>162</v>
      </c>
      <c r="C599" s="1" t="s">
        <v>12</v>
      </c>
      <c r="D599" s="1" t="s">
        <v>444</v>
      </c>
      <c r="E599" s="11" t="s">
        <v>144</v>
      </c>
      <c r="F599" s="3" t="s">
        <v>8</v>
      </c>
      <c r="G599" s="48" t="s">
        <v>32</v>
      </c>
      <c r="H599" s="8"/>
      <c r="I599" s="8"/>
      <c r="J599" s="6" t="s">
        <v>110</v>
      </c>
      <c r="K599" s="38">
        <v>5818.75</v>
      </c>
      <c r="L599" s="4" t="s">
        <v>29</v>
      </c>
      <c r="M599" s="11">
        <f>_xlfn.NUMBERVALUE(LEFT(Table613[[#This Row],[Fiscal Year]], 4))</f>
        <v>2015</v>
      </c>
      <c r="N599" s="42">
        <f t="shared" si="15"/>
        <v>6177.9657436708858</v>
      </c>
      <c r="O599" s="3">
        <v>597</v>
      </c>
    </row>
    <row r="600" spans="1:15" x14ac:dyDescent="0.25">
      <c r="A600" s="3">
        <v>4</v>
      </c>
      <c r="B600" s="3" t="s">
        <v>162</v>
      </c>
      <c r="C600" s="1" t="s">
        <v>12</v>
      </c>
      <c r="D600" s="1" t="s">
        <v>444</v>
      </c>
      <c r="E600" s="11" t="s">
        <v>144</v>
      </c>
      <c r="F600" s="3" t="s">
        <v>8</v>
      </c>
      <c r="G600" s="66" t="s">
        <v>58</v>
      </c>
      <c r="H600" s="8"/>
      <c r="I600" s="8"/>
      <c r="J600" s="6" t="s">
        <v>453</v>
      </c>
      <c r="K600" s="38">
        <v>5194.5</v>
      </c>
      <c r="L600" s="4" t="s">
        <v>29</v>
      </c>
      <c r="M600" s="11">
        <f>_xlfn.NUMBERVALUE(LEFT(Table613[[#This Row],[Fiscal Year]], 4))</f>
        <v>2015</v>
      </c>
      <c r="N600" s="42">
        <f t="shared" si="15"/>
        <v>5515.1781835443035</v>
      </c>
      <c r="O600" s="3">
        <v>598</v>
      </c>
    </row>
    <row r="601" spans="1:15" x14ac:dyDescent="0.25">
      <c r="A601" s="3">
        <v>4</v>
      </c>
      <c r="B601" s="3" t="s">
        <v>162</v>
      </c>
      <c r="C601" s="1" t="s">
        <v>12</v>
      </c>
      <c r="D601" s="1" t="s">
        <v>444</v>
      </c>
      <c r="E601" s="11" t="s">
        <v>144</v>
      </c>
      <c r="F601" s="3" t="s">
        <v>8</v>
      </c>
      <c r="G601" s="66" t="s">
        <v>208</v>
      </c>
      <c r="H601" s="8"/>
      <c r="I601" s="8"/>
      <c r="J601" s="6" t="s">
        <v>109</v>
      </c>
      <c r="K601" s="38">
        <v>38182.75</v>
      </c>
      <c r="L601" s="4" t="s">
        <v>29</v>
      </c>
      <c r="M601" s="11">
        <f>_xlfn.NUMBERVALUE(LEFT(Table613[[#This Row],[Fiscal Year]], 4))</f>
        <v>2015</v>
      </c>
      <c r="N601" s="42">
        <f t="shared" si="15"/>
        <v>40539.93065506329</v>
      </c>
      <c r="O601" s="3">
        <v>599</v>
      </c>
    </row>
    <row r="602" spans="1:15" x14ac:dyDescent="0.25">
      <c r="A602" s="3">
        <v>4</v>
      </c>
      <c r="B602" s="3" t="s">
        <v>162</v>
      </c>
      <c r="C602" s="1" t="s">
        <v>12</v>
      </c>
      <c r="D602" s="1" t="s">
        <v>444</v>
      </c>
      <c r="E602" s="11" t="s">
        <v>144</v>
      </c>
      <c r="F602" s="3" t="s">
        <v>8</v>
      </c>
      <c r="G602" s="48" t="s">
        <v>59</v>
      </c>
      <c r="H602" s="8"/>
      <c r="I602" s="8"/>
      <c r="J602" s="6" t="s">
        <v>111</v>
      </c>
      <c r="K602" s="38">
        <v>27779.5</v>
      </c>
      <c r="L602" s="4" t="s">
        <v>29</v>
      </c>
      <c r="M602" s="11">
        <f>_xlfn.NUMBERVALUE(LEFT(Table613[[#This Row],[Fiscal Year]], 4))</f>
        <v>2015</v>
      </c>
      <c r="N602" s="42">
        <f t="shared" si="15"/>
        <v>29494.444575949365</v>
      </c>
      <c r="O602" s="3">
        <v>600</v>
      </c>
    </row>
    <row r="603" spans="1:15" x14ac:dyDescent="0.25">
      <c r="A603" s="3">
        <v>4</v>
      </c>
      <c r="B603" s="3" t="s">
        <v>162</v>
      </c>
      <c r="C603" s="1" t="s">
        <v>12</v>
      </c>
      <c r="D603" s="1" t="s">
        <v>444</v>
      </c>
      <c r="E603" s="11" t="s">
        <v>144</v>
      </c>
      <c r="F603" s="3" t="s">
        <v>8</v>
      </c>
      <c r="G603" s="66" t="s">
        <v>60</v>
      </c>
      <c r="H603" s="8"/>
      <c r="I603" s="8"/>
      <c r="J603" s="6" t="s">
        <v>111</v>
      </c>
      <c r="K603" s="38">
        <v>17272.5</v>
      </c>
      <c r="L603" s="4" t="s">
        <v>29</v>
      </c>
      <c r="M603" s="11">
        <f>_xlfn.NUMBERVALUE(LEFT(Table613[[#This Row],[Fiscal Year]], 4))</f>
        <v>2015</v>
      </c>
      <c r="N603" s="42">
        <f t="shared" si="15"/>
        <v>18338.803575949365</v>
      </c>
      <c r="O603" s="3">
        <v>601</v>
      </c>
    </row>
    <row r="604" spans="1:15" x14ac:dyDescent="0.25">
      <c r="A604" s="3">
        <v>4</v>
      </c>
      <c r="B604" s="3" t="s">
        <v>162</v>
      </c>
      <c r="C604" s="1" t="s">
        <v>12</v>
      </c>
      <c r="D604" s="1" t="s">
        <v>444</v>
      </c>
      <c r="E604" s="11" t="s">
        <v>144</v>
      </c>
      <c r="F604" s="3" t="s">
        <v>8</v>
      </c>
      <c r="G604" s="48" t="s">
        <v>61</v>
      </c>
      <c r="H604" s="8"/>
      <c r="I604" s="8"/>
      <c r="J604" s="6" t="s">
        <v>108</v>
      </c>
      <c r="K604" s="38">
        <v>601645.5</v>
      </c>
      <c r="L604" s="4" t="s">
        <v>29</v>
      </c>
      <c r="M604" s="11">
        <f>_xlfn.NUMBERVALUE(LEFT(Table613[[#This Row],[Fiscal Year]], 4))</f>
        <v>2015</v>
      </c>
      <c r="N604" s="42">
        <f t="shared" si="15"/>
        <v>638787.58991772146</v>
      </c>
      <c r="O604" s="3">
        <v>602</v>
      </c>
    </row>
    <row r="605" spans="1:15" x14ac:dyDescent="0.25">
      <c r="A605" s="3">
        <v>4</v>
      </c>
      <c r="B605" s="3" t="s">
        <v>162</v>
      </c>
      <c r="C605" s="1" t="s">
        <v>12</v>
      </c>
      <c r="D605" s="1" t="s">
        <v>444</v>
      </c>
      <c r="E605" s="11" t="s">
        <v>144</v>
      </c>
      <c r="F605" s="3" t="s">
        <v>8</v>
      </c>
      <c r="G605" s="66" t="s">
        <v>62</v>
      </c>
      <c r="H605" s="8"/>
      <c r="I605" s="8"/>
      <c r="J605" s="6" t="s">
        <v>106</v>
      </c>
      <c r="K605" s="38">
        <v>5871.5</v>
      </c>
      <c r="L605" s="4" t="s">
        <v>29</v>
      </c>
      <c r="M605" s="11">
        <f>_xlfn.NUMBERVALUE(LEFT(Table613[[#This Row],[Fiscal Year]], 4))</f>
        <v>2015</v>
      </c>
      <c r="N605" s="42">
        <f t="shared" si="15"/>
        <v>6233.9722215189868</v>
      </c>
      <c r="O605" s="3">
        <v>603</v>
      </c>
    </row>
    <row r="606" spans="1:15" x14ac:dyDescent="0.25">
      <c r="A606" s="3">
        <v>4</v>
      </c>
      <c r="B606" s="3" t="s">
        <v>162</v>
      </c>
      <c r="C606" s="1" t="s">
        <v>12</v>
      </c>
      <c r="D606" s="1" t="s">
        <v>444</v>
      </c>
      <c r="E606" s="11" t="s">
        <v>144</v>
      </c>
      <c r="F606" s="3" t="s">
        <v>8</v>
      </c>
      <c r="G606" s="66" t="s">
        <v>63</v>
      </c>
      <c r="H606" s="8"/>
      <c r="I606" s="8"/>
      <c r="J606" s="6" t="s">
        <v>455</v>
      </c>
      <c r="K606" s="38" t="s">
        <v>827</v>
      </c>
      <c r="L606" s="4" t="s">
        <v>29</v>
      </c>
      <c r="M606" s="11">
        <f>_xlfn.NUMBERVALUE(LEFT(Table613[[#This Row],[Fiscal Year]], 4))</f>
        <v>2015</v>
      </c>
      <c r="O606" s="3">
        <v>604</v>
      </c>
    </row>
    <row r="607" spans="1:15" x14ac:dyDescent="0.25">
      <c r="A607" s="3">
        <v>4</v>
      </c>
      <c r="B607" s="3" t="s">
        <v>162</v>
      </c>
      <c r="C607" s="1" t="s">
        <v>12</v>
      </c>
      <c r="D607" s="1" t="s">
        <v>444</v>
      </c>
      <c r="E607" s="11" t="s">
        <v>144</v>
      </c>
      <c r="F607" s="3" t="s">
        <v>8</v>
      </c>
      <c r="G607" s="66" t="s">
        <v>64</v>
      </c>
      <c r="H607" s="8"/>
      <c r="I607" s="8"/>
      <c r="J607" s="6" t="s">
        <v>76</v>
      </c>
      <c r="K607" s="38">
        <v>307348</v>
      </c>
      <c r="L607" s="4" t="s">
        <v>29</v>
      </c>
      <c r="M607" s="11">
        <f>_xlfn.NUMBERVALUE(LEFT(Table613[[#This Row],[Fiscal Year]], 4))</f>
        <v>2015</v>
      </c>
      <c r="N607" s="42">
        <f t="shared" si="15"/>
        <v>326321.87589873414</v>
      </c>
      <c r="O607" s="3">
        <v>605</v>
      </c>
    </row>
    <row r="608" spans="1:15" x14ac:dyDescent="0.25">
      <c r="A608" s="3">
        <v>4</v>
      </c>
      <c r="B608" s="3" t="s">
        <v>162</v>
      </c>
      <c r="C608" s="1" t="s">
        <v>12</v>
      </c>
      <c r="D608" s="1" t="s">
        <v>444</v>
      </c>
      <c r="E608" s="11" t="s">
        <v>144</v>
      </c>
      <c r="F608" s="3" t="s">
        <v>8</v>
      </c>
      <c r="G608" s="66" t="s">
        <v>65</v>
      </c>
      <c r="H608" s="8"/>
      <c r="I608" s="8"/>
      <c r="J608" s="6" t="s">
        <v>76</v>
      </c>
      <c r="K608" s="38" t="s">
        <v>827</v>
      </c>
      <c r="L608" s="4" t="s">
        <v>29</v>
      </c>
      <c r="M608" s="11">
        <f>_xlfn.NUMBERVALUE(LEFT(Table613[[#This Row],[Fiscal Year]], 4))</f>
        <v>2015</v>
      </c>
      <c r="O608" s="3">
        <v>606</v>
      </c>
    </row>
    <row r="609" spans="1:15" x14ac:dyDescent="0.25">
      <c r="A609" s="3">
        <v>4</v>
      </c>
      <c r="B609" s="3" t="s">
        <v>162</v>
      </c>
      <c r="C609" s="1" t="s">
        <v>12</v>
      </c>
      <c r="D609" s="1" t="s">
        <v>444</v>
      </c>
      <c r="E609" s="11" t="s">
        <v>144</v>
      </c>
      <c r="F609" s="3" t="s">
        <v>8</v>
      </c>
      <c r="G609" s="66" t="s">
        <v>66</v>
      </c>
      <c r="H609" s="8"/>
      <c r="I609" s="8"/>
      <c r="J609" s="6" t="s">
        <v>76</v>
      </c>
      <c r="K609" s="38" t="s">
        <v>827</v>
      </c>
      <c r="L609" s="4" t="s">
        <v>29</v>
      </c>
      <c r="M609" s="11">
        <f>_xlfn.NUMBERVALUE(LEFT(Table613[[#This Row],[Fiscal Year]], 4))</f>
        <v>2015</v>
      </c>
      <c r="O609" s="3">
        <v>607</v>
      </c>
    </row>
    <row r="610" spans="1:15" x14ac:dyDescent="0.25">
      <c r="A610" s="3">
        <v>4</v>
      </c>
      <c r="B610" s="3" t="s">
        <v>162</v>
      </c>
      <c r="C610" s="1" t="s">
        <v>12</v>
      </c>
      <c r="D610" s="1" t="s">
        <v>444</v>
      </c>
      <c r="E610" s="11" t="s">
        <v>144</v>
      </c>
      <c r="F610" s="3" t="s">
        <v>8</v>
      </c>
      <c r="G610" s="66" t="s">
        <v>33</v>
      </c>
      <c r="H610" s="8"/>
      <c r="I610" s="8"/>
      <c r="J610" s="6" t="s">
        <v>47</v>
      </c>
      <c r="K610" s="38">
        <v>6765.75</v>
      </c>
      <c r="L610" s="4" t="s">
        <v>29</v>
      </c>
      <c r="M610" s="11">
        <f>_xlfn.NUMBERVALUE(LEFT(Table613[[#This Row],[Fiscal Year]], 4))</f>
        <v>2015</v>
      </c>
      <c r="N610" s="42">
        <f t="shared" si="15"/>
        <v>7183.4280094936703</v>
      </c>
      <c r="O610" s="3">
        <v>608</v>
      </c>
    </row>
    <row r="611" spans="1:15" x14ac:dyDescent="0.25">
      <c r="A611" s="3">
        <v>4</v>
      </c>
      <c r="B611" s="3" t="s">
        <v>162</v>
      </c>
      <c r="C611" s="1" t="s">
        <v>12</v>
      </c>
      <c r="D611" s="1" t="s">
        <v>444</v>
      </c>
      <c r="E611" s="11" t="s">
        <v>144</v>
      </c>
      <c r="F611" s="3" t="s">
        <v>8</v>
      </c>
      <c r="G611" s="66" t="s">
        <v>67</v>
      </c>
      <c r="H611" s="57" t="s">
        <v>913</v>
      </c>
      <c r="I611" s="8" t="s">
        <v>429</v>
      </c>
      <c r="J611" s="6" t="s">
        <v>455</v>
      </c>
      <c r="K611" s="38">
        <v>256856.3</v>
      </c>
      <c r="L611" s="4" t="s">
        <v>29</v>
      </c>
      <c r="M611" s="11">
        <f>_xlfn.NUMBERVALUE(LEFT(Table613[[#This Row],[Fiscal Year]], 4))</f>
        <v>2015</v>
      </c>
      <c r="N611" s="42">
        <f t="shared" si="15"/>
        <v>272713.11234303797</v>
      </c>
      <c r="O611" s="3">
        <v>609</v>
      </c>
    </row>
    <row r="612" spans="1:15" x14ac:dyDescent="0.25">
      <c r="C612" s="1"/>
      <c r="D612" s="1"/>
      <c r="E612" s="11"/>
      <c r="G612" s="66"/>
      <c r="H612" s="8"/>
      <c r="I612" s="8"/>
      <c r="J612" s="6"/>
      <c r="L612" s="4"/>
      <c r="O612" s="3">
        <v>610</v>
      </c>
    </row>
    <row r="613" spans="1:15" x14ac:dyDescent="0.25">
      <c r="A613" s="3">
        <v>4</v>
      </c>
      <c r="B613" s="3" t="s">
        <v>163</v>
      </c>
      <c r="C613" s="1" t="s">
        <v>12</v>
      </c>
      <c r="D613" s="1" t="s">
        <v>444</v>
      </c>
      <c r="E613" s="11" t="s">
        <v>144</v>
      </c>
      <c r="F613" s="3" t="s">
        <v>8</v>
      </c>
      <c r="G613" s="48" t="s">
        <v>32</v>
      </c>
      <c r="H613" s="8"/>
      <c r="I613" s="8"/>
      <c r="J613" s="6" t="s">
        <v>110</v>
      </c>
      <c r="K613" s="38">
        <v>152156</v>
      </c>
      <c r="L613" s="4" t="s">
        <v>29</v>
      </c>
      <c r="M613" s="11">
        <f>_xlfn.NUMBERVALUE(LEFT(Table613[[#This Row],[Fiscal Year]], 4))</f>
        <v>2015</v>
      </c>
      <c r="N613" s="42">
        <f t="shared" si="15"/>
        <v>161549.22546835442</v>
      </c>
      <c r="O613" s="3">
        <v>611</v>
      </c>
    </row>
    <row r="614" spans="1:15" x14ac:dyDescent="0.25">
      <c r="A614" s="3">
        <v>4</v>
      </c>
      <c r="B614" s="3" t="s">
        <v>163</v>
      </c>
      <c r="C614" s="1" t="s">
        <v>12</v>
      </c>
      <c r="D614" s="1" t="s">
        <v>444</v>
      </c>
      <c r="E614" s="11" t="s">
        <v>144</v>
      </c>
      <c r="F614" s="3" t="s">
        <v>8</v>
      </c>
      <c r="G614" s="66" t="s">
        <v>58</v>
      </c>
      <c r="H614" s="8"/>
      <c r="I614" s="8"/>
      <c r="J614" s="6" t="s">
        <v>453</v>
      </c>
      <c r="K614" s="38">
        <v>386614</v>
      </c>
      <c r="L614" s="4" t="s">
        <v>29</v>
      </c>
      <c r="M614" s="11">
        <f>_xlfn.NUMBERVALUE(LEFT(Table613[[#This Row],[Fiscal Year]], 4))</f>
        <v>2015</v>
      </c>
      <c r="N614" s="42">
        <f t="shared" si="15"/>
        <v>410481.29718987341</v>
      </c>
      <c r="O614" s="3">
        <v>612</v>
      </c>
    </row>
    <row r="615" spans="1:15" x14ac:dyDescent="0.25">
      <c r="A615" s="3">
        <v>4</v>
      </c>
      <c r="B615" s="3" t="s">
        <v>163</v>
      </c>
      <c r="C615" s="1" t="s">
        <v>12</v>
      </c>
      <c r="D615" s="1" t="s">
        <v>444</v>
      </c>
      <c r="E615" s="11" t="s">
        <v>144</v>
      </c>
      <c r="F615" s="3" t="s">
        <v>8</v>
      </c>
      <c r="G615" s="66" t="s">
        <v>208</v>
      </c>
      <c r="H615" s="8"/>
      <c r="I615" s="8"/>
      <c r="J615" s="6" t="s">
        <v>109</v>
      </c>
      <c r="K615" s="38">
        <v>98999</v>
      </c>
      <c r="L615" s="4" t="s">
        <v>29</v>
      </c>
      <c r="M615" s="11">
        <f>_xlfn.NUMBERVALUE(LEFT(Table613[[#This Row],[Fiscal Year]], 4))</f>
        <v>2015</v>
      </c>
      <c r="N615" s="42">
        <f t="shared" si="15"/>
        <v>105110.62181012657</v>
      </c>
      <c r="O615" s="3">
        <v>613</v>
      </c>
    </row>
    <row r="616" spans="1:15" x14ac:dyDescent="0.25">
      <c r="A616" s="3">
        <v>4</v>
      </c>
      <c r="B616" s="3" t="s">
        <v>163</v>
      </c>
      <c r="C616" s="1" t="s">
        <v>12</v>
      </c>
      <c r="D616" s="1" t="s">
        <v>444</v>
      </c>
      <c r="E616" s="11" t="s">
        <v>144</v>
      </c>
      <c r="F616" s="3" t="s">
        <v>8</v>
      </c>
      <c r="G616" s="48" t="s">
        <v>59</v>
      </c>
      <c r="H616" s="8"/>
      <c r="I616" s="8"/>
      <c r="J616" s="6" t="s">
        <v>111</v>
      </c>
      <c r="K616" s="38">
        <v>153416</v>
      </c>
      <c r="L616" s="4" t="s">
        <v>29</v>
      </c>
      <c r="M616" s="11">
        <f>_xlfn.NUMBERVALUE(LEFT(Table613[[#This Row],[Fiscal Year]], 4))</f>
        <v>2015</v>
      </c>
      <c r="N616" s="42">
        <f t="shared" si="15"/>
        <v>162887.01053164556</v>
      </c>
      <c r="O616" s="3">
        <v>614</v>
      </c>
    </row>
    <row r="617" spans="1:15" x14ac:dyDescent="0.25">
      <c r="A617" s="3">
        <v>4</v>
      </c>
      <c r="B617" s="3" t="s">
        <v>163</v>
      </c>
      <c r="C617" s="1" t="s">
        <v>12</v>
      </c>
      <c r="D617" s="1" t="s">
        <v>444</v>
      </c>
      <c r="E617" s="11" t="s">
        <v>144</v>
      </c>
      <c r="F617" s="3" t="s">
        <v>8</v>
      </c>
      <c r="G617" s="66" t="s">
        <v>60</v>
      </c>
      <c r="H617" s="8"/>
      <c r="I617" s="8"/>
      <c r="J617" s="6" t="s">
        <v>111</v>
      </c>
      <c r="K617" s="38">
        <v>508912</v>
      </c>
      <c r="L617" s="4" t="s">
        <v>29</v>
      </c>
      <c r="M617" s="11">
        <f>_xlfn.NUMBERVALUE(LEFT(Table613[[#This Row],[Fiscal Year]], 4))</f>
        <v>2015</v>
      </c>
      <c r="N617" s="42">
        <f t="shared" si="15"/>
        <v>540329.2635949367</v>
      </c>
      <c r="O617" s="3">
        <v>615</v>
      </c>
    </row>
    <row r="618" spans="1:15" x14ac:dyDescent="0.25">
      <c r="A618" s="3">
        <v>4</v>
      </c>
      <c r="B618" s="3" t="s">
        <v>163</v>
      </c>
      <c r="C618" s="1" t="s">
        <v>12</v>
      </c>
      <c r="D618" s="1" t="s">
        <v>444</v>
      </c>
      <c r="E618" s="11" t="s">
        <v>144</v>
      </c>
      <c r="F618" s="3" t="s">
        <v>8</v>
      </c>
      <c r="G618" s="48" t="s">
        <v>61</v>
      </c>
      <c r="H618" s="8"/>
      <c r="I618" s="8"/>
      <c r="J618" s="6" t="s">
        <v>108</v>
      </c>
      <c r="K618" s="38">
        <v>5301465</v>
      </c>
      <c r="L618" s="4" t="s">
        <v>29</v>
      </c>
      <c r="M618" s="11">
        <f>_xlfn.NUMBERVALUE(LEFT(Table613[[#This Row],[Fiscal Year]], 4))</f>
        <v>2015</v>
      </c>
      <c r="N618" s="42">
        <f t="shared" si="15"/>
        <v>5628746.5798101267</v>
      </c>
      <c r="O618" s="3">
        <v>616</v>
      </c>
    </row>
    <row r="619" spans="1:15" x14ac:dyDescent="0.25">
      <c r="A619" s="3">
        <v>4</v>
      </c>
      <c r="B619" s="3" t="s">
        <v>163</v>
      </c>
      <c r="C619" s="1" t="s">
        <v>12</v>
      </c>
      <c r="D619" s="1" t="s">
        <v>444</v>
      </c>
      <c r="E619" s="11" t="s">
        <v>144</v>
      </c>
      <c r="F619" s="3" t="s">
        <v>8</v>
      </c>
      <c r="G619" s="66" t="s">
        <v>62</v>
      </c>
      <c r="H619" s="8"/>
      <c r="I619" s="8"/>
      <c r="J619" s="6" t="s">
        <v>106</v>
      </c>
      <c r="K619" s="38">
        <v>0</v>
      </c>
      <c r="L619" s="4" t="s">
        <v>29</v>
      </c>
      <c r="M619" s="11">
        <f>_xlfn.NUMBERVALUE(LEFT(Table613[[#This Row],[Fiscal Year]], 4))</f>
        <v>2015</v>
      </c>
      <c r="N619" s="43">
        <f t="shared" si="15"/>
        <v>0</v>
      </c>
      <c r="O619" s="3">
        <v>617</v>
      </c>
    </row>
    <row r="620" spans="1:15" x14ac:dyDescent="0.25">
      <c r="A620" s="3">
        <v>4</v>
      </c>
      <c r="B620" s="3" t="s">
        <v>163</v>
      </c>
      <c r="C620" s="1" t="s">
        <v>12</v>
      </c>
      <c r="D620" s="1" t="s">
        <v>444</v>
      </c>
      <c r="E620" s="11" t="s">
        <v>144</v>
      </c>
      <c r="F620" s="3" t="s">
        <v>8</v>
      </c>
      <c r="G620" s="66" t="s">
        <v>211</v>
      </c>
      <c r="H620" s="8"/>
      <c r="I620" s="8"/>
      <c r="J620" s="6" t="s">
        <v>455</v>
      </c>
      <c r="K620" s="38">
        <v>0</v>
      </c>
      <c r="L620" s="4" t="s">
        <v>29</v>
      </c>
      <c r="M620" s="11">
        <f>_xlfn.NUMBERVALUE(LEFT(Table613[[#This Row],[Fiscal Year]], 4))</f>
        <v>2015</v>
      </c>
      <c r="N620" s="43">
        <f t="shared" si="15"/>
        <v>0</v>
      </c>
      <c r="O620" s="3">
        <v>618</v>
      </c>
    </row>
    <row r="621" spans="1:15" x14ac:dyDescent="0.25">
      <c r="A621" s="3">
        <v>4</v>
      </c>
      <c r="B621" s="3" t="s">
        <v>163</v>
      </c>
      <c r="C621" s="1" t="s">
        <v>12</v>
      </c>
      <c r="D621" s="1" t="s">
        <v>444</v>
      </c>
      <c r="E621" s="11" t="s">
        <v>144</v>
      </c>
      <c r="F621" s="3" t="s">
        <v>8</v>
      </c>
      <c r="G621" s="66" t="s">
        <v>64</v>
      </c>
      <c r="H621" s="8"/>
      <c r="I621" s="8"/>
      <c r="J621" s="6" t="s">
        <v>76</v>
      </c>
      <c r="K621" s="38">
        <v>0</v>
      </c>
      <c r="L621" s="4" t="s">
        <v>29</v>
      </c>
      <c r="M621" s="11">
        <f>_xlfn.NUMBERVALUE(LEFT(Table613[[#This Row],[Fiscal Year]], 4))</f>
        <v>2015</v>
      </c>
      <c r="N621" s="43">
        <f t="shared" si="15"/>
        <v>0</v>
      </c>
      <c r="O621" s="3">
        <v>619</v>
      </c>
    </row>
    <row r="622" spans="1:15" x14ac:dyDescent="0.25">
      <c r="A622" s="3">
        <v>4</v>
      </c>
      <c r="B622" s="3" t="s">
        <v>163</v>
      </c>
      <c r="C622" s="1" t="s">
        <v>12</v>
      </c>
      <c r="D622" s="1" t="s">
        <v>444</v>
      </c>
      <c r="E622" s="11" t="s">
        <v>144</v>
      </c>
      <c r="F622" s="3" t="s">
        <v>8</v>
      </c>
      <c r="G622" s="66" t="s">
        <v>65</v>
      </c>
      <c r="H622" s="8"/>
      <c r="I622" s="8"/>
      <c r="J622" s="6" t="s">
        <v>76</v>
      </c>
      <c r="K622" s="38">
        <v>249056</v>
      </c>
      <c r="L622" s="4" t="s">
        <v>29</v>
      </c>
      <c r="M622" s="11">
        <f>_xlfn.NUMBERVALUE(LEFT(Table613[[#This Row],[Fiscal Year]], 4))</f>
        <v>2015</v>
      </c>
      <c r="N622" s="42">
        <f>K622*(1+VLOOKUP(M622,$AF$8:$AH$31,3,0))</f>
        <v>264431.26724050631</v>
      </c>
      <c r="O622" s="3">
        <v>620</v>
      </c>
    </row>
    <row r="623" spans="1:15" x14ac:dyDescent="0.25">
      <c r="A623" s="3">
        <v>4</v>
      </c>
      <c r="B623" s="3" t="s">
        <v>163</v>
      </c>
      <c r="C623" s="1" t="s">
        <v>12</v>
      </c>
      <c r="D623" s="1" t="s">
        <v>444</v>
      </c>
      <c r="E623" s="11" t="s">
        <v>144</v>
      </c>
      <c r="F623" s="3" t="s">
        <v>8</v>
      </c>
      <c r="G623" s="66" t="s">
        <v>66</v>
      </c>
      <c r="H623" s="8"/>
      <c r="I623" s="8"/>
      <c r="J623" s="6" t="s">
        <v>76</v>
      </c>
      <c r="K623" s="38">
        <v>0</v>
      </c>
      <c r="L623" s="4" t="s">
        <v>29</v>
      </c>
      <c r="M623" s="11">
        <f>_xlfn.NUMBERVALUE(LEFT(Table613[[#This Row],[Fiscal Year]], 4))</f>
        <v>2015</v>
      </c>
      <c r="N623" s="43">
        <f t="shared" si="15"/>
        <v>0</v>
      </c>
      <c r="O623" s="3">
        <v>621</v>
      </c>
    </row>
    <row r="624" spans="1:15" x14ac:dyDescent="0.25">
      <c r="A624" s="3">
        <v>4</v>
      </c>
      <c r="B624" s="3" t="s">
        <v>163</v>
      </c>
      <c r="C624" s="1" t="s">
        <v>12</v>
      </c>
      <c r="D624" s="1" t="s">
        <v>444</v>
      </c>
      <c r="E624" s="11" t="s">
        <v>144</v>
      </c>
      <c r="F624" s="3" t="s">
        <v>8</v>
      </c>
      <c r="G624" s="66" t="s">
        <v>33</v>
      </c>
      <c r="H624" s="8"/>
      <c r="I624" s="8"/>
      <c r="J624" s="6" t="s">
        <v>47</v>
      </c>
      <c r="K624" s="38">
        <v>0</v>
      </c>
      <c r="L624" s="4" t="s">
        <v>29</v>
      </c>
      <c r="M624" s="11">
        <f>_xlfn.NUMBERVALUE(LEFT(Table613[[#This Row],[Fiscal Year]], 4))</f>
        <v>2015</v>
      </c>
      <c r="N624" s="43">
        <f t="shared" si="15"/>
        <v>0</v>
      </c>
      <c r="O624" s="3">
        <v>622</v>
      </c>
    </row>
    <row r="625" spans="1:15" x14ac:dyDescent="0.25">
      <c r="A625" s="3">
        <v>4</v>
      </c>
      <c r="B625" s="3" t="s">
        <v>163</v>
      </c>
      <c r="C625" s="1" t="s">
        <v>12</v>
      </c>
      <c r="D625" s="1" t="s">
        <v>444</v>
      </c>
      <c r="E625" s="11" t="s">
        <v>144</v>
      </c>
      <c r="F625" s="3" t="s">
        <v>8</v>
      </c>
      <c r="G625" s="48" t="s">
        <v>67</v>
      </c>
      <c r="H625" s="8"/>
      <c r="I625" s="8"/>
      <c r="J625" s="6" t="s">
        <v>455</v>
      </c>
      <c r="K625" s="38">
        <v>2200</v>
      </c>
      <c r="L625" s="4" t="s">
        <v>29</v>
      </c>
      <c r="M625" s="11">
        <f>_xlfn.NUMBERVALUE(LEFT(Table613[[#This Row],[Fiscal Year]], 4))</f>
        <v>2015</v>
      </c>
      <c r="N625" s="42">
        <f t="shared" si="15"/>
        <v>2335.8151898734177</v>
      </c>
      <c r="O625" s="3">
        <v>623</v>
      </c>
    </row>
    <row r="626" spans="1:15" x14ac:dyDescent="0.25">
      <c r="C626" s="1"/>
      <c r="D626" s="1"/>
      <c r="E626" s="11"/>
      <c r="G626" s="66"/>
      <c r="H626" s="8"/>
      <c r="I626" s="8"/>
      <c r="J626" s="6"/>
      <c r="L626" s="4"/>
      <c r="O626" s="3">
        <v>624</v>
      </c>
    </row>
    <row r="627" spans="1:15" x14ac:dyDescent="0.25">
      <c r="A627" s="3">
        <v>4</v>
      </c>
      <c r="B627" s="3" t="s">
        <v>212</v>
      </c>
      <c r="C627" s="1" t="s">
        <v>12</v>
      </c>
      <c r="D627" s="1" t="s">
        <v>444</v>
      </c>
      <c r="E627" s="11" t="s">
        <v>144</v>
      </c>
      <c r="F627" s="3" t="s">
        <v>8</v>
      </c>
      <c r="G627" s="48" t="s">
        <v>32</v>
      </c>
      <c r="H627" s="8"/>
      <c r="I627" s="8"/>
      <c r="J627" s="6" t="s">
        <v>110</v>
      </c>
      <c r="K627" s="38">
        <v>5650</v>
      </c>
      <c r="L627" s="4" t="s">
        <v>29</v>
      </c>
      <c r="M627" s="11">
        <f>_xlfn.NUMBERVALUE(LEFT(Table613[[#This Row],[Fiscal Year]], 4))</f>
        <v>2015</v>
      </c>
      <c r="N627" s="42">
        <f t="shared" si="15"/>
        <v>5998.7981012658229</v>
      </c>
      <c r="O627" s="3">
        <v>625</v>
      </c>
    </row>
    <row r="628" spans="1:15" x14ac:dyDescent="0.25">
      <c r="A628" s="3">
        <v>4</v>
      </c>
      <c r="B628" s="3" t="s">
        <v>212</v>
      </c>
      <c r="C628" s="1" t="s">
        <v>12</v>
      </c>
      <c r="D628" s="1" t="s">
        <v>444</v>
      </c>
      <c r="E628" s="11" t="s">
        <v>144</v>
      </c>
      <c r="F628" s="3" t="s">
        <v>8</v>
      </c>
      <c r="G628" s="66" t="s">
        <v>58</v>
      </c>
      <c r="H628" s="8"/>
      <c r="I628" s="8"/>
      <c r="J628" s="6" t="s">
        <v>453</v>
      </c>
      <c r="K628" s="38">
        <v>1550</v>
      </c>
      <c r="L628" s="4" t="s">
        <v>29</v>
      </c>
      <c r="M628" s="11">
        <f>_xlfn.NUMBERVALUE(LEFT(Table613[[#This Row],[Fiscal Year]], 4))</f>
        <v>2015</v>
      </c>
      <c r="N628" s="42">
        <f t="shared" si="15"/>
        <v>1645.6879746835441</v>
      </c>
      <c r="O628" s="3">
        <v>626</v>
      </c>
    </row>
    <row r="629" spans="1:15" x14ac:dyDescent="0.25">
      <c r="A629" s="3">
        <v>4</v>
      </c>
      <c r="B629" s="3" t="s">
        <v>212</v>
      </c>
      <c r="C629" s="1" t="s">
        <v>12</v>
      </c>
      <c r="D629" s="1" t="s">
        <v>444</v>
      </c>
      <c r="E629" s="11" t="s">
        <v>144</v>
      </c>
      <c r="F629" s="3" t="s">
        <v>8</v>
      </c>
      <c r="G629" s="66" t="s">
        <v>208</v>
      </c>
      <c r="H629" s="8"/>
      <c r="I629" s="8"/>
      <c r="J629" s="6" t="s">
        <v>109</v>
      </c>
      <c r="K629" s="38">
        <v>22950</v>
      </c>
      <c r="L629" s="4" t="s">
        <v>29</v>
      </c>
      <c r="M629" s="11">
        <f>_xlfn.NUMBERVALUE(LEFT(Table613[[#This Row],[Fiscal Year]], 4))</f>
        <v>2015</v>
      </c>
      <c r="N629" s="42">
        <f t="shared" si="15"/>
        <v>24366.799367088606</v>
      </c>
      <c r="O629" s="3">
        <v>627</v>
      </c>
    </row>
    <row r="630" spans="1:15" x14ac:dyDescent="0.25">
      <c r="A630" s="3">
        <v>4</v>
      </c>
      <c r="B630" s="3" t="s">
        <v>212</v>
      </c>
      <c r="C630" s="1" t="s">
        <v>12</v>
      </c>
      <c r="D630" s="1" t="s">
        <v>444</v>
      </c>
      <c r="E630" s="11" t="s">
        <v>144</v>
      </c>
      <c r="F630" s="3" t="s">
        <v>8</v>
      </c>
      <c r="G630" s="48" t="s">
        <v>59</v>
      </c>
      <c r="H630" s="8"/>
      <c r="I630" s="8"/>
      <c r="J630" s="6" t="s">
        <v>111</v>
      </c>
      <c r="K630" s="38">
        <v>21100</v>
      </c>
      <c r="L630" s="4" t="s">
        <v>29</v>
      </c>
      <c r="M630" s="11">
        <f>_xlfn.NUMBERVALUE(LEFT(Table613[[#This Row],[Fiscal Year]], 4))</f>
        <v>2015</v>
      </c>
      <c r="N630" s="42">
        <f t="shared" si="15"/>
        <v>22402.591139240503</v>
      </c>
      <c r="O630" s="3">
        <v>628</v>
      </c>
    </row>
    <row r="631" spans="1:15" x14ac:dyDescent="0.25">
      <c r="A631" s="3">
        <v>4</v>
      </c>
      <c r="B631" s="3" t="s">
        <v>212</v>
      </c>
      <c r="C631" s="1" t="s">
        <v>12</v>
      </c>
      <c r="D631" s="1" t="s">
        <v>444</v>
      </c>
      <c r="E631" s="11" t="s">
        <v>144</v>
      </c>
      <c r="F631" s="3" t="s">
        <v>8</v>
      </c>
      <c r="G631" s="66" t="s">
        <v>60</v>
      </c>
      <c r="H631" s="8"/>
      <c r="I631" s="8"/>
      <c r="J631" s="6" t="s">
        <v>111</v>
      </c>
      <c r="K631" s="38">
        <v>5100</v>
      </c>
      <c r="L631" s="4" t="s">
        <v>29</v>
      </c>
      <c r="M631" s="11">
        <f>_xlfn.NUMBERVALUE(LEFT(Table613[[#This Row],[Fiscal Year]], 4))</f>
        <v>2015</v>
      </c>
      <c r="N631" s="42">
        <f t="shared" si="15"/>
        <v>5414.8443037974685</v>
      </c>
      <c r="O631" s="3">
        <v>629</v>
      </c>
    </row>
    <row r="632" spans="1:15" x14ac:dyDescent="0.25">
      <c r="A632" s="3">
        <v>4</v>
      </c>
      <c r="B632" s="3" t="s">
        <v>212</v>
      </c>
      <c r="C632" s="1" t="s">
        <v>12</v>
      </c>
      <c r="D632" s="1" t="s">
        <v>444</v>
      </c>
      <c r="E632" s="11" t="s">
        <v>144</v>
      </c>
      <c r="F632" s="3" t="s">
        <v>8</v>
      </c>
      <c r="G632" s="48" t="s">
        <v>61</v>
      </c>
      <c r="H632" s="8"/>
      <c r="I632" s="8"/>
      <c r="J632" s="6" t="s">
        <v>108</v>
      </c>
      <c r="K632" s="38">
        <v>155000</v>
      </c>
      <c r="L632" s="4" t="s">
        <v>29</v>
      </c>
      <c r="M632" s="11">
        <f>_xlfn.NUMBERVALUE(LEFT(Table613[[#This Row],[Fiscal Year]], 4))</f>
        <v>2015</v>
      </c>
      <c r="N632" s="42">
        <f t="shared" si="15"/>
        <v>164568.79746835443</v>
      </c>
      <c r="O632" s="3">
        <v>630</v>
      </c>
    </row>
    <row r="633" spans="1:15" x14ac:dyDescent="0.25">
      <c r="A633" s="3">
        <v>4</v>
      </c>
      <c r="B633" s="3" t="s">
        <v>212</v>
      </c>
      <c r="C633" s="1" t="s">
        <v>12</v>
      </c>
      <c r="D633" s="1" t="s">
        <v>444</v>
      </c>
      <c r="E633" s="11" t="s">
        <v>144</v>
      </c>
      <c r="F633" s="3" t="s">
        <v>8</v>
      </c>
      <c r="G633" s="66" t="s">
        <v>62</v>
      </c>
      <c r="H633" s="8"/>
      <c r="I633" s="8"/>
      <c r="J633" s="6" t="s">
        <v>106</v>
      </c>
      <c r="K633" s="38">
        <v>2500</v>
      </c>
      <c r="L633" s="4" t="s">
        <v>29</v>
      </c>
      <c r="M633" s="11">
        <f>_xlfn.NUMBERVALUE(LEFT(Table613[[#This Row],[Fiscal Year]], 4))</f>
        <v>2015</v>
      </c>
      <c r="N633" s="42">
        <f t="shared" si="15"/>
        <v>2654.3354430379745</v>
      </c>
      <c r="O633" s="3">
        <v>631</v>
      </c>
    </row>
    <row r="634" spans="1:15" x14ac:dyDescent="0.25">
      <c r="A634" s="3">
        <v>4</v>
      </c>
      <c r="B634" s="3" t="s">
        <v>212</v>
      </c>
      <c r="C634" s="1" t="s">
        <v>12</v>
      </c>
      <c r="D634" s="1" t="s">
        <v>444</v>
      </c>
      <c r="E634" s="11" t="s">
        <v>144</v>
      </c>
      <c r="F634" s="3" t="s">
        <v>8</v>
      </c>
      <c r="G634" s="66" t="s">
        <v>211</v>
      </c>
      <c r="H634" s="8"/>
      <c r="I634" s="8"/>
      <c r="J634" s="6" t="s">
        <v>455</v>
      </c>
      <c r="K634" s="38" t="s">
        <v>827</v>
      </c>
      <c r="L634" s="4" t="s">
        <v>29</v>
      </c>
      <c r="M634" s="11">
        <f>_xlfn.NUMBERVALUE(LEFT(Table613[[#This Row],[Fiscal Year]], 4))</f>
        <v>2015</v>
      </c>
      <c r="O634" s="3">
        <v>632</v>
      </c>
    </row>
    <row r="635" spans="1:15" x14ac:dyDescent="0.25">
      <c r="A635" s="3">
        <v>4</v>
      </c>
      <c r="B635" s="3" t="s">
        <v>212</v>
      </c>
      <c r="C635" s="1" t="s">
        <v>12</v>
      </c>
      <c r="D635" s="1" t="s">
        <v>444</v>
      </c>
      <c r="E635" s="11" t="s">
        <v>144</v>
      </c>
      <c r="F635" s="3" t="s">
        <v>8</v>
      </c>
      <c r="G635" s="66" t="s">
        <v>64</v>
      </c>
      <c r="H635" s="8"/>
      <c r="I635" s="8"/>
      <c r="J635" s="6" t="s">
        <v>76</v>
      </c>
      <c r="K635" s="38">
        <v>3003000</v>
      </c>
      <c r="L635" s="4" t="s">
        <v>29</v>
      </c>
      <c r="M635" s="11">
        <f>_xlfn.NUMBERVALUE(LEFT(Table613[[#This Row],[Fiscal Year]], 4))</f>
        <v>2015</v>
      </c>
      <c r="N635" s="42">
        <f t="shared" si="15"/>
        <v>3188387.734177215</v>
      </c>
      <c r="O635" s="3">
        <v>633</v>
      </c>
    </row>
    <row r="636" spans="1:15" x14ac:dyDescent="0.25">
      <c r="A636" s="3">
        <v>4</v>
      </c>
      <c r="B636" s="3" t="s">
        <v>212</v>
      </c>
      <c r="C636" s="1" t="s">
        <v>12</v>
      </c>
      <c r="D636" s="1" t="s">
        <v>444</v>
      </c>
      <c r="E636" s="11" t="s">
        <v>144</v>
      </c>
      <c r="F636" s="3" t="s">
        <v>8</v>
      </c>
      <c r="G636" s="66" t="s">
        <v>65</v>
      </c>
      <c r="H636" s="8"/>
      <c r="I636" s="8"/>
      <c r="J636" s="6" t="s">
        <v>76</v>
      </c>
      <c r="K636" s="38">
        <v>20000</v>
      </c>
      <c r="L636" s="4" t="s">
        <v>29</v>
      </c>
      <c r="M636" s="11">
        <f>_xlfn.NUMBERVALUE(LEFT(Table613[[#This Row],[Fiscal Year]], 4))</f>
        <v>2015</v>
      </c>
      <c r="N636" s="42">
        <f t="shared" si="15"/>
        <v>21234.683544303796</v>
      </c>
      <c r="O636" s="3">
        <v>634</v>
      </c>
    </row>
    <row r="637" spans="1:15" x14ac:dyDescent="0.25">
      <c r="A637" s="3">
        <v>4</v>
      </c>
      <c r="B637" s="3" t="s">
        <v>212</v>
      </c>
      <c r="C637" s="1" t="s">
        <v>12</v>
      </c>
      <c r="D637" s="1" t="s">
        <v>444</v>
      </c>
      <c r="E637" s="11" t="s">
        <v>144</v>
      </c>
      <c r="F637" s="3" t="s">
        <v>8</v>
      </c>
      <c r="G637" s="66" t="s">
        <v>66</v>
      </c>
      <c r="H637" s="8"/>
      <c r="I637" s="8"/>
      <c r="J637" s="6" t="s">
        <v>76</v>
      </c>
      <c r="K637" s="38" t="s">
        <v>827</v>
      </c>
      <c r="L637" s="4" t="s">
        <v>29</v>
      </c>
      <c r="M637" s="11">
        <f>_xlfn.NUMBERVALUE(LEFT(Table613[[#This Row],[Fiscal Year]], 4))</f>
        <v>2015</v>
      </c>
      <c r="O637" s="3">
        <v>635</v>
      </c>
    </row>
    <row r="638" spans="1:15" x14ac:dyDescent="0.25">
      <c r="A638" s="3">
        <v>4</v>
      </c>
      <c r="B638" s="3" t="s">
        <v>212</v>
      </c>
      <c r="C638" s="1" t="s">
        <v>12</v>
      </c>
      <c r="D638" s="1" t="s">
        <v>444</v>
      </c>
      <c r="E638" s="11" t="s">
        <v>144</v>
      </c>
      <c r="F638" s="3" t="s">
        <v>8</v>
      </c>
      <c r="G638" s="66" t="s">
        <v>33</v>
      </c>
      <c r="H638" s="8"/>
      <c r="I638" s="8"/>
      <c r="J638" s="6" t="s">
        <v>47</v>
      </c>
      <c r="K638" s="38">
        <v>153250</v>
      </c>
      <c r="L638" s="4" t="s">
        <v>29</v>
      </c>
      <c r="M638" s="11">
        <f>_xlfn.NUMBERVALUE(LEFT(Table613[[#This Row],[Fiscal Year]], 4))</f>
        <v>2015</v>
      </c>
      <c r="N638" s="42">
        <f t="shared" si="15"/>
        <v>162710.76265822785</v>
      </c>
      <c r="O638" s="3">
        <v>636</v>
      </c>
    </row>
    <row r="639" spans="1:15" x14ac:dyDescent="0.25">
      <c r="A639" s="3">
        <v>4</v>
      </c>
      <c r="B639" s="3" t="s">
        <v>212</v>
      </c>
      <c r="C639" s="1" t="s">
        <v>12</v>
      </c>
      <c r="D639" s="1" t="s">
        <v>444</v>
      </c>
      <c r="E639" s="11" t="s">
        <v>144</v>
      </c>
      <c r="F639" s="3" t="s">
        <v>8</v>
      </c>
      <c r="G639" s="66" t="s">
        <v>67</v>
      </c>
      <c r="H639" s="8"/>
      <c r="I639" s="8"/>
      <c r="J639" s="6" t="s">
        <v>455</v>
      </c>
      <c r="K639" s="38">
        <v>130000</v>
      </c>
      <c r="L639" s="4" t="s">
        <v>29</v>
      </c>
      <c r="M639" s="11">
        <f>_xlfn.NUMBERVALUE(LEFT(Table613[[#This Row],[Fiscal Year]], 4))</f>
        <v>2015</v>
      </c>
      <c r="N639" s="42">
        <f t="shared" si="15"/>
        <v>138025.44303797468</v>
      </c>
      <c r="O639" s="3">
        <v>637</v>
      </c>
    </row>
    <row r="640" spans="1:15" x14ac:dyDescent="0.25">
      <c r="C640" s="1"/>
      <c r="D640" s="1"/>
      <c r="E640" s="11"/>
      <c r="G640" s="66"/>
      <c r="H640" s="8"/>
      <c r="I640" s="8"/>
      <c r="J640" s="6"/>
      <c r="L640" s="4"/>
      <c r="O640" s="3">
        <v>638</v>
      </c>
    </row>
    <row r="641" spans="1:15" x14ac:dyDescent="0.25">
      <c r="A641" s="3">
        <v>4</v>
      </c>
      <c r="B641" s="3" t="s">
        <v>164</v>
      </c>
      <c r="C641" s="1" t="s">
        <v>12</v>
      </c>
      <c r="D641" s="1" t="s">
        <v>444</v>
      </c>
      <c r="E641" s="11" t="s">
        <v>144</v>
      </c>
      <c r="F641" s="3" t="s">
        <v>8</v>
      </c>
      <c r="G641" s="48" t="s">
        <v>32</v>
      </c>
      <c r="H641" s="8"/>
      <c r="I641" s="8"/>
      <c r="J641" s="6" t="s">
        <v>110</v>
      </c>
      <c r="K641" s="38">
        <v>55000</v>
      </c>
      <c r="L641" s="4" t="s">
        <v>29</v>
      </c>
      <c r="M641" s="11">
        <f>_xlfn.NUMBERVALUE(LEFT(Table613[[#This Row],[Fiscal Year]], 4))</f>
        <v>2015</v>
      </c>
      <c r="N641" s="42">
        <f t="shared" si="15"/>
        <v>58395.379746835439</v>
      </c>
      <c r="O641" s="3">
        <v>639</v>
      </c>
    </row>
    <row r="642" spans="1:15" x14ac:dyDescent="0.25">
      <c r="A642" s="3">
        <v>4</v>
      </c>
      <c r="B642" s="3" t="s">
        <v>164</v>
      </c>
      <c r="C642" s="1" t="s">
        <v>12</v>
      </c>
      <c r="D642" s="1" t="s">
        <v>444</v>
      </c>
      <c r="E642" s="11" t="s">
        <v>144</v>
      </c>
      <c r="F642" s="3" t="s">
        <v>8</v>
      </c>
      <c r="G642" s="66" t="s">
        <v>58</v>
      </c>
      <c r="H642" s="8"/>
      <c r="I642" s="8"/>
      <c r="J642" s="6" t="s">
        <v>453</v>
      </c>
      <c r="K642" s="38">
        <v>6500</v>
      </c>
      <c r="L642" s="4" t="s">
        <v>29</v>
      </c>
      <c r="M642" s="11">
        <f>_xlfn.NUMBERVALUE(LEFT(Table613[[#This Row],[Fiscal Year]], 4))</f>
        <v>2015</v>
      </c>
      <c r="N642" s="42">
        <f t="shared" si="15"/>
        <v>6901.2721518987337</v>
      </c>
      <c r="O642" s="3">
        <v>640</v>
      </c>
    </row>
    <row r="643" spans="1:15" x14ac:dyDescent="0.25">
      <c r="A643" s="3">
        <v>4</v>
      </c>
      <c r="B643" s="3" t="s">
        <v>164</v>
      </c>
      <c r="C643" s="1" t="s">
        <v>12</v>
      </c>
      <c r="D643" s="1" t="s">
        <v>444</v>
      </c>
      <c r="E643" s="11" t="s">
        <v>144</v>
      </c>
      <c r="F643" s="3" t="s">
        <v>8</v>
      </c>
      <c r="G643" s="66" t="s">
        <v>208</v>
      </c>
      <c r="H643" s="8"/>
      <c r="I643" s="8"/>
      <c r="J643" s="6" t="s">
        <v>109</v>
      </c>
      <c r="K643" s="38">
        <v>30000</v>
      </c>
      <c r="L643" s="4" t="s">
        <v>29</v>
      </c>
      <c r="M643" s="11">
        <f>_xlfn.NUMBERVALUE(LEFT(Table613[[#This Row],[Fiscal Year]], 4))</f>
        <v>2015</v>
      </c>
      <c r="N643" s="42">
        <f t="shared" si="15"/>
        <v>31852.025316455696</v>
      </c>
      <c r="O643" s="3">
        <v>641</v>
      </c>
    </row>
    <row r="644" spans="1:15" x14ac:dyDescent="0.25">
      <c r="A644" s="3">
        <v>4</v>
      </c>
      <c r="B644" s="3" t="s">
        <v>164</v>
      </c>
      <c r="C644" s="1" t="s">
        <v>12</v>
      </c>
      <c r="D644" s="1" t="s">
        <v>444</v>
      </c>
      <c r="E644" s="11" t="s">
        <v>144</v>
      </c>
      <c r="F644" s="3" t="s">
        <v>8</v>
      </c>
      <c r="G644" s="48" t="s">
        <v>59</v>
      </c>
      <c r="H644" s="8"/>
      <c r="I644" s="8"/>
      <c r="J644" s="6" t="s">
        <v>111</v>
      </c>
      <c r="K644" s="38">
        <v>10000</v>
      </c>
      <c r="L644" s="4" t="s">
        <v>29</v>
      </c>
      <c r="M644" s="11">
        <f>_xlfn.NUMBERVALUE(LEFT(Table613[[#This Row],[Fiscal Year]], 4))</f>
        <v>2015</v>
      </c>
      <c r="N644" s="42">
        <f t="shared" si="15"/>
        <v>10617.341772151898</v>
      </c>
      <c r="O644" s="3">
        <v>642</v>
      </c>
    </row>
    <row r="645" spans="1:15" x14ac:dyDescent="0.25">
      <c r="A645" s="3">
        <v>4</v>
      </c>
      <c r="B645" s="3" t="s">
        <v>164</v>
      </c>
      <c r="C645" s="1" t="s">
        <v>12</v>
      </c>
      <c r="D645" s="1" t="s">
        <v>444</v>
      </c>
      <c r="E645" s="11" t="s">
        <v>144</v>
      </c>
      <c r="F645" s="3" t="s">
        <v>8</v>
      </c>
      <c r="G645" s="66" t="s">
        <v>60</v>
      </c>
      <c r="H645" s="8"/>
      <c r="I645" s="8"/>
      <c r="J645" s="6" t="s">
        <v>111</v>
      </c>
      <c r="K645" s="38">
        <v>3500</v>
      </c>
      <c r="L645" s="4" t="s">
        <v>29</v>
      </c>
      <c r="M645" s="11">
        <f>_xlfn.NUMBERVALUE(LEFT(Table613[[#This Row],[Fiscal Year]], 4))</f>
        <v>2015</v>
      </c>
      <c r="N645" s="42">
        <f t="shared" si="15"/>
        <v>3716.0696202531644</v>
      </c>
      <c r="O645" s="3">
        <v>643</v>
      </c>
    </row>
    <row r="646" spans="1:15" x14ac:dyDescent="0.25">
      <c r="A646" s="3">
        <v>4</v>
      </c>
      <c r="B646" s="3" t="s">
        <v>164</v>
      </c>
      <c r="C646" s="1" t="s">
        <v>12</v>
      </c>
      <c r="D646" s="1" t="s">
        <v>444</v>
      </c>
      <c r="E646" s="11" t="s">
        <v>144</v>
      </c>
      <c r="F646" s="3" t="s">
        <v>8</v>
      </c>
      <c r="G646" s="48" t="s">
        <v>61</v>
      </c>
      <c r="H646" s="8"/>
      <c r="I646" s="8"/>
      <c r="J646" s="6" t="s">
        <v>108</v>
      </c>
      <c r="K646" s="38">
        <v>295500</v>
      </c>
      <c r="L646" s="4" t="s">
        <v>29</v>
      </c>
      <c r="M646" s="11">
        <f>_xlfn.NUMBERVALUE(LEFT(Table613[[#This Row],[Fiscal Year]], 4))</f>
        <v>2015</v>
      </c>
      <c r="N646" s="42">
        <f t="shared" si="15"/>
        <v>313742.44936708861</v>
      </c>
      <c r="O646" s="3">
        <v>644</v>
      </c>
    </row>
    <row r="647" spans="1:15" x14ac:dyDescent="0.25">
      <c r="A647" s="3">
        <v>4</v>
      </c>
      <c r="B647" s="3" t="s">
        <v>164</v>
      </c>
      <c r="C647" s="1" t="s">
        <v>12</v>
      </c>
      <c r="D647" s="1" t="s">
        <v>444</v>
      </c>
      <c r="E647" s="11" t="s">
        <v>144</v>
      </c>
      <c r="F647" s="3" t="s">
        <v>8</v>
      </c>
      <c r="G647" s="66" t="s">
        <v>62</v>
      </c>
      <c r="H647" s="8"/>
      <c r="I647" s="8"/>
      <c r="J647" s="6" t="s">
        <v>106</v>
      </c>
      <c r="K647" s="38">
        <v>4000</v>
      </c>
      <c r="L647" s="4" t="s">
        <v>29</v>
      </c>
      <c r="M647" s="11">
        <f>_xlfn.NUMBERVALUE(LEFT(Table613[[#This Row],[Fiscal Year]], 4))</f>
        <v>2015</v>
      </c>
      <c r="N647" s="42">
        <f t="shared" si="15"/>
        <v>4246.9367088607596</v>
      </c>
      <c r="O647" s="3">
        <v>645</v>
      </c>
    </row>
    <row r="648" spans="1:15" x14ac:dyDescent="0.25">
      <c r="A648" s="3">
        <v>4</v>
      </c>
      <c r="B648" s="3" t="s">
        <v>164</v>
      </c>
      <c r="C648" s="1" t="s">
        <v>12</v>
      </c>
      <c r="D648" s="1" t="s">
        <v>444</v>
      </c>
      <c r="E648" s="11" t="s">
        <v>144</v>
      </c>
      <c r="F648" s="3" t="s">
        <v>8</v>
      </c>
      <c r="G648" s="66" t="s">
        <v>211</v>
      </c>
      <c r="H648" s="8"/>
      <c r="I648" s="8"/>
      <c r="J648" s="6" t="s">
        <v>455</v>
      </c>
      <c r="K648" s="38" t="s">
        <v>827</v>
      </c>
      <c r="L648" s="4" t="s">
        <v>29</v>
      </c>
      <c r="M648" s="11">
        <f>_xlfn.NUMBERVALUE(LEFT(Table613[[#This Row],[Fiscal Year]], 4))</f>
        <v>2015</v>
      </c>
      <c r="O648" s="3">
        <v>646</v>
      </c>
    </row>
    <row r="649" spans="1:15" x14ac:dyDescent="0.25">
      <c r="A649" s="3">
        <v>4</v>
      </c>
      <c r="B649" s="3" t="s">
        <v>164</v>
      </c>
      <c r="C649" s="1" t="s">
        <v>12</v>
      </c>
      <c r="D649" s="1" t="s">
        <v>444</v>
      </c>
      <c r="E649" s="11" t="s">
        <v>144</v>
      </c>
      <c r="F649" s="3" t="s">
        <v>8</v>
      </c>
      <c r="G649" s="66" t="s">
        <v>64</v>
      </c>
      <c r="H649" s="8"/>
      <c r="I649" s="8"/>
      <c r="J649" s="6" t="s">
        <v>76</v>
      </c>
      <c r="K649" s="38" t="s">
        <v>827</v>
      </c>
      <c r="L649" s="4" t="s">
        <v>29</v>
      </c>
      <c r="M649" s="11">
        <f>_xlfn.NUMBERVALUE(LEFT(Table613[[#This Row],[Fiscal Year]], 4))</f>
        <v>2015</v>
      </c>
      <c r="O649" s="3">
        <v>647</v>
      </c>
    </row>
    <row r="650" spans="1:15" x14ac:dyDescent="0.25">
      <c r="A650" s="3">
        <v>4</v>
      </c>
      <c r="B650" s="3" t="s">
        <v>164</v>
      </c>
      <c r="C650" s="1" t="s">
        <v>12</v>
      </c>
      <c r="D650" s="1" t="s">
        <v>444</v>
      </c>
      <c r="E650" s="11" t="s">
        <v>144</v>
      </c>
      <c r="F650" s="3" t="s">
        <v>8</v>
      </c>
      <c r="G650" s="66" t="s">
        <v>65</v>
      </c>
      <c r="H650" s="8"/>
      <c r="I650" s="8"/>
      <c r="J650" s="6" t="s">
        <v>76</v>
      </c>
      <c r="K650" s="38" t="s">
        <v>827</v>
      </c>
      <c r="L650" s="4" t="s">
        <v>29</v>
      </c>
      <c r="M650" s="11">
        <f>_xlfn.NUMBERVALUE(LEFT(Table613[[#This Row],[Fiscal Year]], 4))</f>
        <v>2015</v>
      </c>
      <c r="O650" s="3">
        <v>648</v>
      </c>
    </row>
    <row r="651" spans="1:15" x14ac:dyDescent="0.25">
      <c r="A651" s="3">
        <v>4</v>
      </c>
      <c r="B651" s="3" t="s">
        <v>164</v>
      </c>
      <c r="C651" s="1" t="s">
        <v>12</v>
      </c>
      <c r="D651" s="1" t="s">
        <v>444</v>
      </c>
      <c r="E651" s="11" t="s">
        <v>144</v>
      </c>
      <c r="F651" s="3" t="s">
        <v>8</v>
      </c>
      <c r="G651" s="66" t="s">
        <v>66</v>
      </c>
      <c r="H651" s="8"/>
      <c r="I651" s="8"/>
      <c r="J651" s="6" t="s">
        <v>76</v>
      </c>
      <c r="K651" s="38" t="s">
        <v>827</v>
      </c>
      <c r="L651" s="4" t="s">
        <v>29</v>
      </c>
      <c r="M651" s="11">
        <f>_xlfn.NUMBERVALUE(LEFT(Table613[[#This Row],[Fiscal Year]], 4))</f>
        <v>2015</v>
      </c>
      <c r="O651" s="3">
        <v>649</v>
      </c>
    </row>
    <row r="652" spans="1:15" x14ac:dyDescent="0.25">
      <c r="A652" s="3">
        <v>4</v>
      </c>
      <c r="B652" s="3" t="s">
        <v>164</v>
      </c>
      <c r="C652" s="1" t="s">
        <v>12</v>
      </c>
      <c r="D652" s="1" t="s">
        <v>444</v>
      </c>
      <c r="E652" s="11" t="s">
        <v>144</v>
      </c>
      <c r="F652" s="3" t="s">
        <v>8</v>
      </c>
      <c r="G652" s="66" t="s">
        <v>33</v>
      </c>
      <c r="H652" s="8"/>
      <c r="I652" s="8"/>
      <c r="J652" s="6" t="s">
        <v>47</v>
      </c>
      <c r="K652" s="38">
        <v>35000</v>
      </c>
      <c r="L652" s="4" t="s">
        <v>29</v>
      </c>
      <c r="M652" s="11">
        <f>_xlfn.NUMBERVALUE(LEFT(Table613[[#This Row],[Fiscal Year]], 4))</f>
        <v>2015</v>
      </c>
      <c r="N652" s="42">
        <f t="shared" ref="N652:N714" si="16">K652*(1+VLOOKUP(M652,$AF$8:$AH$31,3,0))</f>
        <v>37160.696202531646</v>
      </c>
      <c r="O652" s="3">
        <v>650</v>
      </c>
    </row>
    <row r="653" spans="1:15" x14ac:dyDescent="0.25">
      <c r="A653" s="3">
        <v>4</v>
      </c>
      <c r="B653" s="3" t="s">
        <v>164</v>
      </c>
      <c r="C653" s="1" t="s">
        <v>12</v>
      </c>
      <c r="D653" s="1" t="s">
        <v>444</v>
      </c>
      <c r="E653" s="11" t="s">
        <v>144</v>
      </c>
      <c r="F653" s="3" t="s">
        <v>8</v>
      </c>
      <c r="G653" s="66" t="s">
        <v>67</v>
      </c>
      <c r="H653" s="8"/>
      <c r="I653" s="8"/>
      <c r="J653" s="6" t="s">
        <v>455</v>
      </c>
      <c r="K653" s="38">
        <v>110000</v>
      </c>
      <c r="L653" s="4" t="s">
        <v>29</v>
      </c>
      <c r="M653" s="11">
        <f>_xlfn.NUMBERVALUE(LEFT(Table613[[#This Row],[Fiscal Year]], 4))</f>
        <v>2015</v>
      </c>
      <c r="N653" s="42">
        <f t="shared" si="16"/>
        <v>116790.75949367088</v>
      </c>
      <c r="O653" s="3">
        <v>651</v>
      </c>
    </row>
    <row r="654" spans="1:15" x14ac:dyDescent="0.25">
      <c r="C654" s="1"/>
      <c r="D654" s="1"/>
      <c r="E654" s="11"/>
      <c r="G654" s="66"/>
      <c r="H654" s="8"/>
      <c r="I654" s="8"/>
      <c r="J654" s="6"/>
      <c r="L654" s="4"/>
      <c r="O654" s="3">
        <v>652</v>
      </c>
    </row>
    <row r="655" spans="1:15" x14ac:dyDescent="0.25">
      <c r="A655" s="3">
        <v>4</v>
      </c>
      <c r="B655" s="3" t="s">
        <v>165</v>
      </c>
      <c r="C655" s="1" t="s">
        <v>12</v>
      </c>
      <c r="D655" s="1" t="s">
        <v>444</v>
      </c>
      <c r="E655" s="11" t="s">
        <v>144</v>
      </c>
      <c r="F655" s="3" t="s">
        <v>8</v>
      </c>
      <c r="G655" s="48" t="s">
        <v>32</v>
      </c>
      <c r="H655" s="8"/>
      <c r="I655" s="8"/>
      <c r="J655" s="6" t="s">
        <v>110</v>
      </c>
      <c r="K655" s="38">
        <v>84609</v>
      </c>
      <c r="L655" s="4" t="s">
        <v>29</v>
      </c>
      <c r="M655" s="11">
        <f>_xlfn.NUMBERVALUE(LEFT(Table613[[#This Row],[Fiscal Year]], 4))</f>
        <v>2015</v>
      </c>
      <c r="N655" s="42">
        <f t="shared" si="16"/>
        <v>89832.266999999993</v>
      </c>
      <c r="O655" s="3">
        <v>653</v>
      </c>
    </row>
    <row r="656" spans="1:15" x14ac:dyDescent="0.25">
      <c r="A656" s="3">
        <v>4</v>
      </c>
      <c r="B656" s="3" t="s">
        <v>165</v>
      </c>
      <c r="C656" s="1" t="s">
        <v>12</v>
      </c>
      <c r="D656" s="1" t="s">
        <v>444</v>
      </c>
      <c r="E656" s="11" t="s">
        <v>144</v>
      </c>
      <c r="F656" s="3" t="s">
        <v>8</v>
      </c>
      <c r="G656" s="66" t="s">
        <v>58</v>
      </c>
      <c r="H656" s="8"/>
      <c r="I656" s="8"/>
      <c r="J656" s="6" t="s">
        <v>453</v>
      </c>
      <c r="K656" s="38">
        <v>11392</v>
      </c>
      <c r="L656" s="4" t="s">
        <v>29</v>
      </c>
      <c r="M656" s="11">
        <f>_xlfn.NUMBERVALUE(LEFT(Table613[[#This Row],[Fiscal Year]], 4))</f>
        <v>2015</v>
      </c>
      <c r="N656" s="42">
        <f t="shared" si="16"/>
        <v>12095.275746835443</v>
      </c>
      <c r="O656" s="3">
        <v>654</v>
      </c>
    </row>
    <row r="657" spans="1:15" x14ac:dyDescent="0.25">
      <c r="A657" s="3">
        <v>4</v>
      </c>
      <c r="B657" s="3" t="s">
        <v>165</v>
      </c>
      <c r="C657" s="1" t="s">
        <v>12</v>
      </c>
      <c r="D657" s="1" t="s">
        <v>444</v>
      </c>
      <c r="E657" s="11" t="s">
        <v>144</v>
      </c>
      <c r="F657" s="3" t="s">
        <v>8</v>
      </c>
      <c r="G657" s="66" t="s">
        <v>208</v>
      </c>
      <c r="H657" s="8"/>
      <c r="I657" s="8"/>
      <c r="J657" s="6" t="s">
        <v>109</v>
      </c>
      <c r="K657" s="38">
        <v>30000</v>
      </c>
      <c r="L657" s="4" t="s">
        <v>29</v>
      </c>
      <c r="M657" s="11">
        <f>_xlfn.NUMBERVALUE(LEFT(Table613[[#This Row],[Fiscal Year]], 4))</f>
        <v>2015</v>
      </c>
      <c r="N657" s="42">
        <f t="shared" si="16"/>
        <v>31852.025316455696</v>
      </c>
      <c r="O657" s="3">
        <v>655</v>
      </c>
    </row>
    <row r="658" spans="1:15" x14ac:dyDescent="0.25">
      <c r="A658" s="3">
        <v>4</v>
      </c>
      <c r="B658" s="3" t="s">
        <v>165</v>
      </c>
      <c r="C658" s="1" t="s">
        <v>12</v>
      </c>
      <c r="D658" s="1" t="s">
        <v>444</v>
      </c>
      <c r="E658" s="11" t="s">
        <v>144</v>
      </c>
      <c r="F658" s="3" t="s">
        <v>8</v>
      </c>
      <c r="G658" s="48" t="s">
        <v>59</v>
      </c>
      <c r="H658" s="8"/>
      <c r="I658" s="8"/>
      <c r="J658" s="6" t="s">
        <v>111</v>
      </c>
      <c r="K658" s="38">
        <v>72965</v>
      </c>
      <c r="L658" s="4" t="s">
        <v>29</v>
      </c>
      <c r="M658" s="11">
        <f>_xlfn.NUMBERVALUE(LEFT(Table613[[#This Row],[Fiscal Year]], 4))</f>
        <v>2015</v>
      </c>
      <c r="N658" s="42">
        <f t="shared" si="16"/>
        <v>77469.434240506322</v>
      </c>
      <c r="O658" s="3">
        <v>656</v>
      </c>
    </row>
    <row r="659" spans="1:15" x14ac:dyDescent="0.25">
      <c r="A659" s="3">
        <v>4</v>
      </c>
      <c r="B659" s="3" t="s">
        <v>165</v>
      </c>
      <c r="C659" s="1" t="s">
        <v>12</v>
      </c>
      <c r="D659" s="1" t="s">
        <v>444</v>
      </c>
      <c r="E659" s="11" t="s">
        <v>144</v>
      </c>
      <c r="F659" s="3" t="s">
        <v>8</v>
      </c>
      <c r="G659" s="66" t="s">
        <v>60</v>
      </c>
      <c r="H659" s="8"/>
      <c r="I659" s="8"/>
      <c r="J659" s="6" t="s">
        <v>111</v>
      </c>
      <c r="K659" s="38">
        <v>200000</v>
      </c>
      <c r="L659" s="4" t="s">
        <v>29</v>
      </c>
      <c r="M659" s="11">
        <f>_xlfn.NUMBERVALUE(LEFT(Table613[[#This Row],[Fiscal Year]], 4))</f>
        <v>2015</v>
      </c>
      <c r="N659" s="42">
        <f t="shared" si="16"/>
        <v>212346.83544303797</v>
      </c>
      <c r="O659" s="3">
        <v>657</v>
      </c>
    </row>
    <row r="660" spans="1:15" x14ac:dyDescent="0.25">
      <c r="A660" s="3">
        <v>4</v>
      </c>
      <c r="B660" s="3" t="s">
        <v>165</v>
      </c>
      <c r="C660" s="1" t="s">
        <v>12</v>
      </c>
      <c r="D660" s="1" t="s">
        <v>444</v>
      </c>
      <c r="E660" s="11" t="s">
        <v>144</v>
      </c>
      <c r="F660" s="3" t="s">
        <v>8</v>
      </c>
      <c r="G660" s="48" t="s">
        <v>61</v>
      </c>
      <c r="H660" s="8"/>
      <c r="I660" s="8"/>
      <c r="J660" s="6" t="s">
        <v>108</v>
      </c>
      <c r="K660" s="38">
        <v>657268</v>
      </c>
      <c r="L660" s="4" t="s">
        <v>29</v>
      </c>
      <c r="M660" s="11">
        <f>_xlfn.NUMBERVALUE(LEFT(Table613[[#This Row],[Fiscal Year]], 4))</f>
        <v>2015</v>
      </c>
      <c r="N660" s="42">
        <f t="shared" si="16"/>
        <v>697843.89918987337</v>
      </c>
      <c r="O660" s="3">
        <v>658</v>
      </c>
    </row>
    <row r="661" spans="1:15" x14ac:dyDescent="0.25">
      <c r="A661" s="3">
        <v>4</v>
      </c>
      <c r="B661" s="3" t="s">
        <v>165</v>
      </c>
      <c r="C661" s="1" t="s">
        <v>12</v>
      </c>
      <c r="D661" s="1" t="s">
        <v>444</v>
      </c>
      <c r="E661" s="11" t="s">
        <v>144</v>
      </c>
      <c r="F661" s="3" t="s">
        <v>8</v>
      </c>
      <c r="G661" s="66" t="s">
        <v>62</v>
      </c>
      <c r="H661" s="8"/>
      <c r="I661" s="8"/>
      <c r="J661" s="6" t="s">
        <v>106</v>
      </c>
      <c r="K661" s="38">
        <v>80000</v>
      </c>
      <c r="L661" s="4" t="s">
        <v>29</v>
      </c>
      <c r="M661" s="11">
        <f>_xlfn.NUMBERVALUE(LEFT(Table613[[#This Row],[Fiscal Year]], 4))</f>
        <v>2015</v>
      </c>
      <c r="N661" s="42">
        <f t="shared" si="16"/>
        <v>84938.734177215185</v>
      </c>
      <c r="O661" s="3">
        <v>659</v>
      </c>
    </row>
    <row r="662" spans="1:15" x14ac:dyDescent="0.25">
      <c r="A662" s="3">
        <v>4</v>
      </c>
      <c r="B662" s="3" t="s">
        <v>165</v>
      </c>
      <c r="C662" s="1" t="s">
        <v>12</v>
      </c>
      <c r="D662" s="1" t="s">
        <v>444</v>
      </c>
      <c r="E662" s="11" t="s">
        <v>144</v>
      </c>
      <c r="F662" s="3" t="s">
        <v>8</v>
      </c>
      <c r="G662" s="66" t="s">
        <v>211</v>
      </c>
      <c r="H662" s="8"/>
      <c r="I662" s="8"/>
      <c r="J662" s="6" t="s">
        <v>455</v>
      </c>
      <c r="K662" s="38">
        <v>2974</v>
      </c>
      <c r="L662" s="4" t="s">
        <v>29</v>
      </c>
      <c r="M662" s="11">
        <f>_xlfn.NUMBERVALUE(LEFT(Table613[[#This Row],[Fiscal Year]], 4))</f>
        <v>2015</v>
      </c>
      <c r="N662" s="42">
        <f t="shared" si="16"/>
        <v>3157.5974430379747</v>
      </c>
      <c r="O662" s="3">
        <v>660</v>
      </c>
    </row>
    <row r="663" spans="1:15" x14ac:dyDescent="0.25">
      <c r="A663" s="3">
        <v>4</v>
      </c>
      <c r="B663" s="3" t="s">
        <v>165</v>
      </c>
      <c r="C663" s="1" t="s">
        <v>12</v>
      </c>
      <c r="D663" s="1" t="s">
        <v>444</v>
      </c>
      <c r="E663" s="11" t="s">
        <v>144</v>
      </c>
      <c r="F663" s="3" t="s">
        <v>8</v>
      </c>
      <c r="G663" s="66" t="s">
        <v>64</v>
      </c>
      <c r="H663" s="8"/>
      <c r="I663" s="8"/>
      <c r="J663" s="6" t="s">
        <v>76</v>
      </c>
      <c r="K663" s="38">
        <v>30000</v>
      </c>
      <c r="L663" s="4" t="s">
        <v>29</v>
      </c>
      <c r="M663" s="11">
        <f>_xlfn.NUMBERVALUE(LEFT(Table613[[#This Row],[Fiscal Year]], 4))</f>
        <v>2015</v>
      </c>
      <c r="N663" s="42">
        <f t="shared" si="16"/>
        <v>31852.025316455696</v>
      </c>
      <c r="O663" s="3">
        <v>661</v>
      </c>
    </row>
    <row r="664" spans="1:15" x14ac:dyDescent="0.25">
      <c r="A664" s="3">
        <v>4</v>
      </c>
      <c r="B664" s="3" t="s">
        <v>165</v>
      </c>
      <c r="C664" s="1" t="s">
        <v>12</v>
      </c>
      <c r="D664" s="1" t="s">
        <v>444</v>
      </c>
      <c r="E664" s="11" t="s">
        <v>144</v>
      </c>
      <c r="F664" s="3" t="s">
        <v>8</v>
      </c>
      <c r="G664" s="66" t="s">
        <v>65</v>
      </c>
      <c r="H664" s="8"/>
      <c r="I664" s="8"/>
      <c r="J664" s="6" t="s">
        <v>76</v>
      </c>
      <c r="K664" s="38">
        <v>0</v>
      </c>
      <c r="L664" s="4" t="s">
        <v>29</v>
      </c>
      <c r="M664" s="11">
        <f>_xlfn.NUMBERVALUE(LEFT(Table613[[#This Row],[Fiscal Year]], 4))</f>
        <v>2015</v>
      </c>
      <c r="N664" s="43">
        <f t="shared" si="16"/>
        <v>0</v>
      </c>
      <c r="O664" s="3">
        <v>662</v>
      </c>
    </row>
    <row r="665" spans="1:15" x14ac:dyDescent="0.25">
      <c r="A665" s="3">
        <v>4</v>
      </c>
      <c r="B665" s="3" t="s">
        <v>165</v>
      </c>
      <c r="C665" s="1" t="s">
        <v>12</v>
      </c>
      <c r="D665" s="1" t="s">
        <v>444</v>
      </c>
      <c r="E665" s="11" t="s">
        <v>144</v>
      </c>
      <c r="F665" s="3" t="s">
        <v>8</v>
      </c>
      <c r="G665" s="66" t="s">
        <v>66</v>
      </c>
      <c r="H665" s="8"/>
      <c r="I665" s="8"/>
      <c r="J665" s="6" t="s">
        <v>76</v>
      </c>
      <c r="K665" s="38">
        <v>0</v>
      </c>
      <c r="L665" s="4" t="s">
        <v>29</v>
      </c>
      <c r="M665" s="11">
        <f>_xlfn.NUMBERVALUE(LEFT(Table613[[#This Row],[Fiscal Year]], 4))</f>
        <v>2015</v>
      </c>
      <c r="N665" s="43">
        <f t="shared" si="16"/>
        <v>0</v>
      </c>
      <c r="O665" s="3">
        <v>663</v>
      </c>
    </row>
    <row r="666" spans="1:15" x14ac:dyDescent="0.25">
      <c r="A666" s="3">
        <v>4</v>
      </c>
      <c r="B666" s="3" t="s">
        <v>165</v>
      </c>
      <c r="C666" s="1" t="s">
        <v>12</v>
      </c>
      <c r="D666" s="1" t="s">
        <v>444</v>
      </c>
      <c r="E666" s="11" t="s">
        <v>144</v>
      </c>
      <c r="F666" s="3" t="s">
        <v>8</v>
      </c>
      <c r="G666" s="66" t="s">
        <v>33</v>
      </c>
      <c r="H666" s="8"/>
      <c r="I666" s="8"/>
      <c r="J666" s="6" t="s">
        <v>47</v>
      </c>
      <c r="K666" s="38">
        <v>25000</v>
      </c>
      <c r="L666" s="4" t="s">
        <v>29</v>
      </c>
      <c r="M666" s="11">
        <f>_xlfn.NUMBERVALUE(LEFT(Table613[[#This Row],[Fiscal Year]], 4))</f>
        <v>2015</v>
      </c>
      <c r="N666" s="42">
        <f t="shared" si="16"/>
        <v>26543.354430379746</v>
      </c>
      <c r="O666" s="3">
        <v>664</v>
      </c>
    </row>
    <row r="667" spans="1:15" x14ac:dyDescent="0.25">
      <c r="A667" s="3">
        <v>4</v>
      </c>
      <c r="B667" s="3" t="s">
        <v>165</v>
      </c>
      <c r="C667" s="1" t="s">
        <v>12</v>
      </c>
      <c r="D667" s="1" t="s">
        <v>444</v>
      </c>
      <c r="E667" s="11" t="s">
        <v>144</v>
      </c>
      <c r="F667" s="3" t="s">
        <v>8</v>
      </c>
      <c r="G667" s="66" t="s">
        <v>67</v>
      </c>
      <c r="H667" s="8" t="s">
        <v>914</v>
      </c>
      <c r="I667" s="8" t="s">
        <v>429</v>
      </c>
      <c r="J667" s="6" t="s">
        <v>455</v>
      </c>
      <c r="K667" s="38">
        <v>60000</v>
      </c>
      <c r="L667" s="4" t="s">
        <v>29</v>
      </c>
      <c r="M667" s="11">
        <f>_xlfn.NUMBERVALUE(LEFT(Table613[[#This Row],[Fiscal Year]], 4))</f>
        <v>2015</v>
      </c>
      <c r="N667" s="42">
        <f t="shared" si="16"/>
        <v>63704.050632911392</v>
      </c>
      <c r="O667" s="3">
        <v>665</v>
      </c>
    </row>
    <row r="668" spans="1:15" x14ac:dyDescent="0.25">
      <c r="C668" s="1"/>
      <c r="D668" s="1"/>
      <c r="E668" s="11"/>
      <c r="G668" s="66"/>
      <c r="H668" s="8"/>
      <c r="I668" s="8"/>
      <c r="J668" s="6"/>
      <c r="L668" s="4"/>
      <c r="O668" s="3">
        <v>666</v>
      </c>
    </row>
    <row r="669" spans="1:15" x14ac:dyDescent="0.25">
      <c r="A669" s="3">
        <v>4</v>
      </c>
      <c r="B669" s="3" t="s">
        <v>166</v>
      </c>
      <c r="C669" s="1" t="s">
        <v>12</v>
      </c>
      <c r="D669" s="1" t="s">
        <v>444</v>
      </c>
      <c r="E669" s="11" t="s">
        <v>144</v>
      </c>
      <c r="F669" s="3" t="s">
        <v>8</v>
      </c>
      <c r="G669" s="48" t="s">
        <v>32</v>
      </c>
      <c r="H669" s="8"/>
      <c r="I669" s="8"/>
      <c r="J669" s="6" t="s">
        <v>110</v>
      </c>
      <c r="K669" s="38">
        <v>10000</v>
      </c>
      <c r="L669" s="4" t="s">
        <v>29</v>
      </c>
      <c r="M669" s="11">
        <f>_xlfn.NUMBERVALUE(LEFT(Table613[[#This Row],[Fiscal Year]], 4))</f>
        <v>2015</v>
      </c>
      <c r="N669" s="42">
        <f t="shared" si="16"/>
        <v>10617.341772151898</v>
      </c>
      <c r="O669" s="3">
        <v>667</v>
      </c>
    </row>
    <row r="670" spans="1:15" x14ac:dyDescent="0.25">
      <c r="A670" s="3">
        <v>4</v>
      </c>
      <c r="B670" s="3" t="s">
        <v>166</v>
      </c>
      <c r="C670" s="1" t="s">
        <v>12</v>
      </c>
      <c r="D670" s="1" t="s">
        <v>444</v>
      </c>
      <c r="E670" s="11" t="s">
        <v>144</v>
      </c>
      <c r="F670" s="3" t="s">
        <v>8</v>
      </c>
      <c r="G670" s="66" t="s">
        <v>58</v>
      </c>
      <c r="H670" s="8"/>
      <c r="I670" s="8"/>
      <c r="J670" s="6" t="s">
        <v>453</v>
      </c>
      <c r="K670" s="38">
        <v>4500</v>
      </c>
      <c r="L670" s="4" t="s">
        <v>29</v>
      </c>
      <c r="M670" s="11">
        <f>_xlfn.NUMBERVALUE(LEFT(Table613[[#This Row],[Fiscal Year]], 4))</f>
        <v>2015</v>
      </c>
      <c r="N670" s="42">
        <f t="shared" si="16"/>
        <v>4777.8037974683539</v>
      </c>
      <c r="O670" s="3">
        <v>668</v>
      </c>
    </row>
    <row r="671" spans="1:15" x14ac:dyDescent="0.25">
      <c r="A671" s="3">
        <v>4</v>
      </c>
      <c r="B671" s="3" t="s">
        <v>166</v>
      </c>
      <c r="C671" s="1" t="s">
        <v>12</v>
      </c>
      <c r="D671" s="1" t="s">
        <v>444</v>
      </c>
      <c r="E671" s="11" t="s">
        <v>144</v>
      </c>
      <c r="F671" s="3" t="s">
        <v>8</v>
      </c>
      <c r="G671" s="66" t="s">
        <v>208</v>
      </c>
      <c r="H671" s="8"/>
      <c r="I671" s="8"/>
      <c r="J671" s="6" t="s">
        <v>109</v>
      </c>
      <c r="K671" s="38">
        <v>20000</v>
      </c>
      <c r="L671" s="4" t="s">
        <v>29</v>
      </c>
      <c r="M671" s="11">
        <f>_xlfn.NUMBERVALUE(LEFT(Table613[[#This Row],[Fiscal Year]], 4))</f>
        <v>2015</v>
      </c>
      <c r="N671" s="42">
        <f t="shared" si="16"/>
        <v>21234.683544303796</v>
      </c>
      <c r="O671" s="3">
        <v>669</v>
      </c>
    </row>
    <row r="672" spans="1:15" x14ac:dyDescent="0.25">
      <c r="A672" s="3">
        <v>4</v>
      </c>
      <c r="B672" s="3" t="s">
        <v>166</v>
      </c>
      <c r="C672" s="1" t="s">
        <v>12</v>
      </c>
      <c r="D672" s="1" t="s">
        <v>444</v>
      </c>
      <c r="E672" s="11" t="s">
        <v>144</v>
      </c>
      <c r="F672" s="3" t="s">
        <v>8</v>
      </c>
      <c r="G672" s="48" t="s">
        <v>59</v>
      </c>
      <c r="H672" s="8"/>
      <c r="I672" s="8"/>
      <c r="J672" s="6" t="s">
        <v>111</v>
      </c>
      <c r="K672" s="38">
        <v>5000</v>
      </c>
      <c r="L672" s="4" t="s">
        <v>29</v>
      </c>
      <c r="M672" s="11">
        <f>_xlfn.NUMBERVALUE(LEFT(Table613[[#This Row],[Fiscal Year]], 4))</f>
        <v>2015</v>
      </c>
      <c r="N672" s="42">
        <f t="shared" si="16"/>
        <v>5308.6708860759491</v>
      </c>
      <c r="O672" s="3">
        <v>670</v>
      </c>
    </row>
    <row r="673" spans="1:15" x14ac:dyDescent="0.25">
      <c r="A673" s="3">
        <v>4</v>
      </c>
      <c r="B673" s="3" t="s">
        <v>166</v>
      </c>
      <c r="C673" s="1" t="s">
        <v>12</v>
      </c>
      <c r="D673" s="1" t="s">
        <v>444</v>
      </c>
      <c r="E673" s="11" t="s">
        <v>144</v>
      </c>
      <c r="F673" s="3" t="s">
        <v>8</v>
      </c>
      <c r="G673" s="66" t="s">
        <v>60</v>
      </c>
      <c r="H673" s="8"/>
      <c r="I673" s="8"/>
      <c r="J673" s="6" t="s">
        <v>111</v>
      </c>
      <c r="K673" s="38">
        <v>2500</v>
      </c>
      <c r="L673" s="4" t="s">
        <v>29</v>
      </c>
      <c r="M673" s="11">
        <f>_xlfn.NUMBERVALUE(LEFT(Table613[[#This Row],[Fiscal Year]], 4))</f>
        <v>2015</v>
      </c>
      <c r="N673" s="42">
        <f t="shared" si="16"/>
        <v>2654.3354430379745</v>
      </c>
      <c r="O673" s="3">
        <v>671</v>
      </c>
    </row>
    <row r="674" spans="1:15" x14ac:dyDescent="0.25">
      <c r="A674" s="3">
        <v>4</v>
      </c>
      <c r="B674" s="3" t="s">
        <v>166</v>
      </c>
      <c r="C674" s="1" t="s">
        <v>12</v>
      </c>
      <c r="D674" s="1" t="s">
        <v>444</v>
      </c>
      <c r="E674" s="11" t="s">
        <v>144</v>
      </c>
      <c r="F674" s="3" t="s">
        <v>8</v>
      </c>
      <c r="G674" s="48" t="s">
        <v>61</v>
      </c>
      <c r="H674" s="8"/>
      <c r="I674" s="8"/>
      <c r="J674" s="6" t="s">
        <v>108</v>
      </c>
      <c r="K674" s="38">
        <v>100000</v>
      </c>
      <c r="L674" s="4" t="s">
        <v>29</v>
      </c>
      <c r="M674" s="11">
        <f>_xlfn.NUMBERVALUE(LEFT(Table613[[#This Row],[Fiscal Year]], 4))</f>
        <v>2015</v>
      </c>
      <c r="N674" s="42">
        <f t="shared" si="16"/>
        <v>106173.41772151898</v>
      </c>
      <c r="O674" s="3">
        <v>672</v>
      </c>
    </row>
    <row r="675" spans="1:15" x14ac:dyDescent="0.25">
      <c r="A675" s="3">
        <v>4</v>
      </c>
      <c r="B675" s="3" t="s">
        <v>166</v>
      </c>
      <c r="C675" s="1" t="s">
        <v>12</v>
      </c>
      <c r="D675" s="1" t="s">
        <v>444</v>
      </c>
      <c r="E675" s="11" t="s">
        <v>144</v>
      </c>
      <c r="F675" s="3" t="s">
        <v>8</v>
      </c>
      <c r="G675" s="66" t="s">
        <v>62</v>
      </c>
      <c r="H675" s="8"/>
      <c r="I675" s="8"/>
      <c r="J675" s="6" t="s">
        <v>106</v>
      </c>
      <c r="K675" s="38">
        <v>3000</v>
      </c>
      <c r="L675" s="4" t="s">
        <v>29</v>
      </c>
      <c r="M675" s="11">
        <f>_xlfn.NUMBERVALUE(LEFT(Table613[[#This Row],[Fiscal Year]], 4))</f>
        <v>2015</v>
      </c>
      <c r="N675" s="42">
        <f t="shared" si="16"/>
        <v>3185.2025316455693</v>
      </c>
      <c r="O675" s="3">
        <v>673</v>
      </c>
    </row>
    <row r="676" spans="1:15" x14ac:dyDescent="0.25">
      <c r="A676" s="3">
        <v>4</v>
      </c>
      <c r="B676" s="3" t="s">
        <v>166</v>
      </c>
      <c r="C676" s="1" t="s">
        <v>12</v>
      </c>
      <c r="D676" s="1" t="s">
        <v>444</v>
      </c>
      <c r="E676" s="11" t="s">
        <v>144</v>
      </c>
      <c r="F676" s="3" t="s">
        <v>8</v>
      </c>
      <c r="G676" s="66" t="s">
        <v>211</v>
      </c>
      <c r="H676" s="8"/>
      <c r="I676" s="8"/>
      <c r="J676" s="6" t="s">
        <v>455</v>
      </c>
      <c r="K676" s="38" t="s">
        <v>827</v>
      </c>
      <c r="L676" s="4" t="s">
        <v>29</v>
      </c>
      <c r="M676" s="11">
        <f>_xlfn.NUMBERVALUE(LEFT(Table613[[#This Row],[Fiscal Year]], 4))</f>
        <v>2015</v>
      </c>
      <c r="O676" s="3">
        <v>674</v>
      </c>
    </row>
    <row r="677" spans="1:15" x14ac:dyDescent="0.25">
      <c r="A677" s="3">
        <v>4</v>
      </c>
      <c r="B677" s="3" t="s">
        <v>166</v>
      </c>
      <c r="C677" s="1" t="s">
        <v>12</v>
      </c>
      <c r="D677" s="1" t="s">
        <v>444</v>
      </c>
      <c r="E677" s="11" t="s">
        <v>144</v>
      </c>
      <c r="F677" s="3" t="s">
        <v>8</v>
      </c>
      <c r="G677" s="66" t="s">
        <v>64</v>
      </c>
      <c r="H677" s="8"/>
      <c r="I677" s="8"/>
      <c r="J677" s="6" t="s">
        <v>76</v>
      </c>
      <c r="K677" s="38" t="s">
        <v>916</v>
      </c>
      <c r="L677" s="4" t="s">
        <v>29</v>
      </c>
      <c r="M677" s="11">
        <f>_xlfn.NUMBERVALUE(LEFT(Table613[[#This Row],[Fiscal Year]], 4))</f>
        <v>2015</v>
      </c>
      <c r="O677" s="3">
        <v>675</v>
      </c>
    </row>
    <row r="678" spans="1:15" x14ac:dyDescent="0.25">
      <c r="A678" s="3">
        <v>4</v>
      </c>
      <c r="B678" s="3" t="s">
        <v>166</v>
      </c>
      <c r="C678" s="1" t="s">
        <v>12</v>
      </c>
      <c r="D678" s="1" t="s">
        <v>444</v>
      </c>
      <c r="E678" s="11" t="s">
        <v>144</v>
      </c>
      <c r="F678" s="3" t="s">
        <v>8</v>
      </c>
      <c r="G678" s="66" t="s">
        <v>65</v>
      </c>
      <c r="H678" s="8"/>
      <c r="I678" s="8"/>
      <c r="J678" s="6" t="s">
        <v>76</v>
      </c>
      <c r="K678" s="38" t="s">
        <v>916</v>
      </c>
      <c r="L678" s="4" t="s">
        <v>29</v>
      </c>
      <c r="M678" s="11">
        <f>_xlfn.NUMBERVALUE(LEFT(Table613[[#This Row],[Fiscal Year]], 4))</f>
        <v>2015</v>
      </c>
      <c r="O678" s="3">
        <v>676</v>
      </c>
    </row>
    <row r="679" spans="1:15" x14ac:dyDescent="0.25">
      <c r="A679" s="3">
        <v>4</v>
      </c>
      <c r="B679" s="3" t="s">
        <v>166</v>
      </c>
      <c r="C679" s="1" t="s">
        <v>12</v>
      </c>
      <c r="D679" s="1" t="s">
        <v>444</v>
      </c>
      <c r="E679" s="11" t="s">
        <v>144</v>
      </c>
      <c r="F679" s="3" t="s">
        <v>8</v>
      </c>
      <c r="G679" s="66" t="s">
        <v>66</v>
      </c>
      <c r="H679" s="8"/>
      <c r="I679" s="8"/>
      <c r="J679" s="6" t="s">
        <v>76</v>
      </c>
      <c r="K679" s="38" t="s">
        <v>827</v>
      </c>
      <c r="L679" s="4" t="s">
        <v>29</v>
      </c>
      <c r="M679" s="11">
        <f>_xlfn.NUMBERVALUE(LEFT(Table613[[#This Row],[Fiscal Year]], 4))</f>
        <v>2015</v>
      </c>
      <c r="O679" s="3">
        <v>677</v>
      </c>
    </row>
    <row r="680" spans="1:15" x14ac:dyDescent="0.25">
      <c r="A680" s="3">
        <v>4</v>
      </c>
      <c r="B680" s="3" t="s">
        <v>166</v>
      </c>
      <c r="C680" s="1" t="s">
        <v>12</v>
      </c>
      <c r="D680" s="1" t="s">
        <v>444</v>
      </c>
      <c r="E680" s="11" t="s">
        <v>144</v>
      </c>
      <c r="F680" s="3" t="s">
        <v>8</v>
      </c>
      <c r="G680" s="66" t="s">
        <v>33</v>
      </c>
      <c r="H680" s="8"/>
      <c r="I680" s="8"/>
      <c r="J680" s="6" t="s">
        <v>47</v>
      </c>
      <c r="K680" s="38">
        <v>23444</v>
      </c>
      <c r="L680" s="4" t="s">
        <v>29</v>
      </c>
      <c r="M680" s="11">
        <f>_xlfn.NUMBERVALUE(LEFT(Table613[[#This Row],[Fiscal Year]], 4))</f>
        <v>2015</v>
      </c>
      <c r="N680" s="42">
        <f t="shared" si="16"/>
        <v>24891.296050632911</v>
      </c>
      <c r="O680" s="3">
        <v>678</v>
      </c>
    </row>
    <row r="681" spans="1:15" x14ac:dyDescent="0.25">
      <c r="A681" s="3">
        <v>4</v>
      </c>
      <c r="B681" s="3" t="s">
        <v>166</v>
      </c>
      <c r="C681" s="1" t="s">
        <v>12</v>
      </c>
      <c r="D681" s="1" t="s">
        <v>444</v>
      </c>
      <c r="E681" s="11" t="s">
        <v>144</v>
      </c>
      <c r="F681" s="3" t="s">
        <v>8</v>
      </c>
      <c r="G681" s="66" t="s">
        <v>67</v>
      </c>
      <c r="H681" s="8" t="s">
        <v>915</v>
      </c>
      <c r="I681" s="8" t="s">
        <v>429</v>
      </c>
      <c r="J681" s="6" t="s">
        <v>455</v>
      </c>
      <c r="K681" s="38">
        <v>5000</v>
      </c>
      <c r="L681" s="4" t="s">
        <v>29</v>
      </c>
      <c r="M681" s="11">
        <f>_xlfn.NUMBERVALUE(LEFT(Table613[[#This Row],[Fiscal Year]], 4))</f>
        <v>2015</v>
      </c>
      <c r="N681" s="42">
        <f t="shared" si="16"/>
        <v>5308.6708860759491</v>
      </c>
      <c r="O681" s="3">
        <v>679</v>
      </c>
    </row>
    <row r="682" spans="1:15" x14ac:dyDescent="0.25">
      <c r="C682" s="1"/>
      <c r="D682" s="1"/>
      <c r="E682" s="11"/>
      <c r="G682" s="66"/>
      <c r="H682" s="8"/>
      <c r="I682" s="8"/>
      <c r="J682" s="6"/>
      <c r="L682" s="4"/>
      <c r="O682" s="3">
        <v>680</v>
      </c>
    </row>
    <row r="683" spans="1:15" x14ac:dyDescent="0.25">
      <c r="A683" s="3">
        <v>4</v>
      </c>
      <c r="B683" s="3" t="s">
        <v>167</v>
      </c>
      <c r="C683" s="1" t="s">
        <v>12</v>
      </c>
      <c r="D683" s="1" t="s">
        <v>444</v>
      </c>
      <c r="E683" s="11" t="s">
        <v>144</v>
      </c>
      <c r="F683" s="3" t="s">
        <v>8</v>
      </c>
      <c r="G683" s="48" t="s">
        <v>32</v>
      </c>
      <c r="H683" s="8"/>
      <c r="I683" s="8"/>
      <c r="J683" s="6" t="s">
        <v>110</v>
      </c>
      <c r="K683" s="38">
        <v>20000</v>
      </c>
      <c r="L683" s="4" t="s">
        <v>29</v>
      </c>
      <c r="M683" s="11">
        <f>_xlfn.NUMBERVALUE(LEFT(Table613[[#This Row],[Fiscal Year]], 4))</f>
        <v>2015</v>
      </c>
      <c r="N683" s="42">
        <f t="shared" si="16"/>
        <v>21234.683544303796</v>
      </c>
      <c r="O683" s="3">
        <v>681</v>
      </c>
    </row>
    <row r="684" spans="1:15" x14ac:dyDescent="0.25">
      <c r="A684" s="3">
        <v>4</v>
      </c>
      <c r="B684" s="3" t="s">
        <v>167</v>
      </c>
      <c r="C684" s="1" t="s">
        <v>12</v>
      </c>
      <c r="D684" s="1" t="s">
        <v>444</v>
      </c>
      <c r="E684" s="11" t="s">
        <v>144</v>
      </c>
      <c r="F684" s="3" t="s">
        <v>8</v>
      </c>
      <c r="G684" s="66" t="s">
        <v>58</v>
      </c>
      <c r="H684" s="8"/>
      <c r="I684" s="8"/>
      <c r="J684" s="6" t="s">
        <v>453</v>
      </c>
      <c r="K684" s="38">
        <v>18000</v>
      </c>
      <c r="L684" s="4" t="s">
        <v>29</v>
      </c>
      <c r="M684" s="11">
        <f>_xlfn.NUMBERVALUE(LEFT(Table613[[#This Row],[Fiscal Year]], 4))</f>
        <v>2015</v>
      </c>
      <c r="N684" s="42">
        <f t="shared" si="16"/>
        <v>19111.215189873416</v>
      </c>
      <c r="O684" s="3">
        <v>682</v>
      </c>
    </row>
    <row r="685" spans="1:15" x14ac:dyDescent="0.25">
      <c r="A685" s="3">
        <v>4</v>
      </c>
      <c r="B685" s="3" t="s">
        <v>167</v>
      </c>
      <c r="C685" s="1" t="s">
        <v>12</v>
      </c>
      <c r="D685" s="1" t="s">
        <v>444</v>
      </c>
      <c r="E685" s="11" t="s">
        <v>144</v>
      </c>
      <c r="F685" s="3" t="s">
        <v>8</v>
      </c>
      <c r="G685" s="66" t="s">
        <v>208</v>
      </c>
      <c r="H685" s="8"/>
      <c r="I685" s="8"/>
      <c r="J685" s="6" t="s">
        <v>109</v>
      </c>
      <c r="K685" s="38">
        <v>6000</v>
      </c>
      <c r="L685" s="4" t="s">
        <v>29</v>
      </c>
      <c r="M685" s="11">
        <f>_xlfn.NUMBERVALUE(LEFT(Table613[[#This Row],[Fiscal Year]], 4))</f>
        <v>2015</v>
      </c>
      <c r="N685" s="42">
        <f t="shared" si="16"/>
        <v>6370.4050632911385</v>
      </c>
      <c r="O685" s="3">
        <v>683</v>
      </c>
    </row>
    <row r="686" spans="1:15" x14ac:dyDescent="0.25">
      <c r="A686" s="3">
        <v>4</v>
      </c>
      <c r="B686" s="3" t="s">
        <v>167</v>
      </c>
      <c r="C686" s="1" t="s">
        <v>12</v>
      </c>
      <c r="D686" s="1" t="s">
        <v>444</v>
      </c>
      <c r="E686" s="11" t="s">
        <v>144</v>
      </c>
      <c r="F686" s="3" t="s">
        <v>8</v>
      </c>
      <c r="G686" s="48" t="s">
        <v>59</v>
      </c>
      <c r="H686" s="8"/>
      <c r="I686" s="8"/>
      <c r="J686" s="6" t="s">
        <v>111</v>
      </c>
      <c r="K686" s="38">
        <v>38000</v>
      </c>
      <c r="L686" s="4" t="s">
        <v>29</v>
      </c>
      <c r="M686" s="11">
        <f>_xlfn.NUMBERVALUE(LEFT(Table613[[#This Row],[Fiscal Year]], 4))</f>
        <v>2015</v>
      </c>
      <c r="N686" s="42">
        <f t="shared" si="16"/>
        <v>40345.898734177215</v>
      </c>
      <c r="O686" s="3">
        <v>684</v>
      </c>
    </row>
    <row r="687" spans="1:15" x14ac:dyDescent="0.25">
      <c r="A687" s="3">
        <v>4</v>
      </c>
      <c r="B687" s="3" t="s">
        <v>167</v>
      </c>
      <c r="C687" s="1" t="s">
        <v>12</v>
      </c>
      <c r="D687" s="1" t="s">
        <v>444</v>
      </c>
      <c r="E687" s="11" t="s">
        <v>144</v>
      </c>
      <c r="F687" s="3" t="s">
        <v>8</v>
      </c>
      <c r="G687" s="66" t="s">
        <v>60</v>
      </c>
      <c r="H687" s="8"/>
      <c r="I687" s="8"/>
      <c r="J687" s="6" t="s">
        <v>111</v>
      </c>
      <c r="K687" s="38">
        <v>22000</v>
      </c>
      <c r="L687" s="4" t="s">
        <v>29</v>
      </c>
      <c r="M687" s="11">
        <f>_xlfn.NUMBERVALUE(LEFT(Table613[[#This Row],[Fiscal Year]], 4))</f>
        <v>2015</v>
      </c>
      <c r="N687" s="42">
        <f t="shared" si="16"/>
        <v>23358.151898734177</v>
      </c>
      <c r="O687" s="3">
        <v>685</v>
      </c>
    </row>
    <row r="688" spans="1:15" x14ac:dyDescent="0.25">
      <c r="A688" s="3">
        <v>4</v>
      </c>
      <c r="B688" s="3" t="s">
        <v>167</v>
      </c>
      <c r="C688" s="1" t="s">
        <v>12</v>
      </c>
      <c r="D688" s="1" t="s">
        <v>444</v>
      </c>
      <c r="E688" s="11" t="s">
        <v>144</v>
      </c>
      <c r="F688" s="3" t="s">
        <v>8</v>
      </c>
      <c r="G688" s="48" t="s">
        <v>61</v>
      </c>
      <c r="H688" s="8"/>
      <c r="I688" s="8"/>
      <c r="J688" s="6" t="s">
        <v>108</v>
      </c>
      <c r="K688" s="38">
        <v>197000</v>
      </c>
      <c r="L688" s="4" t="s">
        <v>29</v>
      </c>
      <c r="M688" s="11">
        <f>_xlfn.NUMBERVALUE(LEFT(Table613[[#This Row],[Fiscal Year]], 4))</f>
        <v>2015</v>
      </c>
      <c r="N688" s="42">
        <f t="shared" si="16"/>
        <v>209161.6329113924</v>
      </c>
      <c r="O688" s="3">
        <v>686</v>
      </c>
    </row>
    <row r="689" spans="1:15" x14ac:dyDescent="0.25">
      <c r="A689" s="3">
        <v>4</v>
      </c>
      <c r="B689" s="3" t="s">
        <v>167</v>
      </c>
      <c r="C689" s="1" t="s">
        <v>12</v>
      </c>
      <c r="D689" s="1" t="s">
        <v>444</v>
      </c>
      <c r="E689" s="11" t="s">
        <v>144</v>
      </c>
      <c r="F689" s="3" t="s">
        <v>8</v>
      </c>
      <c r="G689" s="66" t="s">
        <v>62</v>
      </c>
      <c r="H689" s="8"/>
      <c r="I689" s="8"/>
      <c r="J689" s="6" t="s">
        <v>106</v>
      </c>
      <c r="K689" s="38">
        <v>38000</v>
      </c>
      <c r="L689" s="4" t="s">
        <v>29</v>
      </c>
      <c r="M689" s="11">
        <f>_xlfn.NUMBERVALUE(LEFT(Table613[[#This Row],[Fiscal Year]], 4))</f>
        <v>2015</v>
      </c>
      <c r="N689" s="42">
        <f t="shared" si="16"/>
        <v>40345.898734177215</v>
      </c>
      <c r="O689" s="3">
        <v>687</v>
      </c>
    </row>
    <row r="690" spans="1:15" x14ac:dyDescent="0.25">
      <c r="A690" s="3">
        <v>4</v>
      </c>
      <c r="B690" s="3" t="s">
        <v>167</v>
      </c>
      <c r="C690" s="1" t="s">
        <v>12</v>
      </c>
      <c r="D690" s="1" t="s">
        <v>444</v>
      </c>
      <c r="E690" s="11" t="s">
        <v>144</v>
      </c>
      <c r="F690" s="3" t="s">
        <v>8</v>
      </c>
      <c r="G690" s="66" t="s">
        <v>211</v>
      </c>
      <c r="H690" s="8"/>
      <c r="I690" s="8"/>
      <c r="J690" s="6" t="s">
        <v>455</v>
      </c>
      <c r="K690" s="38" t="s">
        <v>827</v>
      </c>
      <c r="L690" s="4" t="s">
        <v>29</v>
      </c>
      <c r="M690" s="11">
        <f>_xlfn.NUMBERVALUE(LEFT(Table613[[#This Row],[Fiscal Year]], 4))</f>
        <v>2015</v>
      </c>
      <c r="O690" s="3">
        <v>688</v>
      </c>
    </row>
    <row r="691" spans="1:15" x14ac:dyDescent="0.25">
      <c r="A691" s="3">
        <v>4</v>
      </c>
      <c r="B691" s="3" t="s">
        <v>167</v>
      </c>
      <c r="C691" s="1" t="s">
        <v>12</v>
      </c>
      <c r="D691" s="1" t="s">
        <v>444</v>
      </c>
      <c r="E691" s="11" t="s">
        <v>144</v>
      </c>
      <c r="F691" s="3" t="s">
        <v>8</v>
      </c>
      <c r="G691" s="66" t="s">
        <v>64</v>
      </c>
      <c r="H691" s="8"/>
      <c r="I691" s="8"/>
      <c r="J691" s="6" t="s">
        <v>76</v>
      </c>
      <c r="K691" s="38" t="s">
        <v>916</v>
      </c>
      <c r="L691" s="4" t="s">
        <v>29</v>
      </c>
      <c r="M691" s="11">
        <f>_xlfn.NUMBERVALUE(LEFT(Table613[[#This Row],[Fiscal Year]], 4))</f>
        <v>2015</v>
      </c>
      <c r="O691" s="3">
        <v>689</v>
      </c>
    </row>
    <row r="692" spans="1:15" x14ac:dyDescent="0.25">
      <c r="A692" s="3">
        <v>4</v>
      </c>
      <c r="B692" s="3" t="s">
        <v>167</v>
      </c>
      <c r="C692" s="1" t="s">
        <v>12</v>
      </c>
      <c r="D692" s="1" t="s">
        <v>444</v>
      </c>
      <c r="E692" s="11" t="s">
        <v>144</v>
      </c>
      <c r="F692" s="3" t="s">
        <v>8</v>
      </c>
      <c r="G692" s="66" t="s">
        <v>65</v>
      </c>
      <c r="H692" s="8"/>
      <c r="I692" s="8"/>
      <c r="J692" s="6" t="s">
        <v>76</v>
      </c>
      <c r="K692" s="38" t="s">
        <v>916</v>
      </c>
      <c r="L692" s="4" t="s">
        <v>29</v>
      </c>
      <c r="M692" s="11">
        <f>_xlfn.NUMBERVALUE(LEFT(Table613[[#This Row],[Fiscal Year]], 4))</f>
        <v>2015</v>
      </c>
      <c r="O692" s="3">
        <v>690</v>
      </c>
    </row>
    <row r="693" spans="1:15" x14ac:dyDescent="0.25">
      <c r="A693" s="3">
        <v>4</v>
      </c>
      <c r="B693" s="3" t="s">
        <v>167</v>
      </c>
      <c r="C693" s="1" t="s">
        <v>12</v>
      </c>
      <c r="D693" s="1" t="s">
        <v>444</v>
      </c>
      <c r="E693" s="11" t="s">
        <v>144</v>
      </c>
      <c r="F693" s="3" t="s">
        <v>8</v>
      </c>
      <c r="G693" s="66" t="s">
        <v>66</v>
      </c>
      <c r="H693" s="8"/>
      <c r="I693" s="8"/>
      <c r="J693" s="6" t="s">
        <v>76</v>
      </c>
      <c r="K693" s="38" t="s">
        <v>827</v>
      </c>
      <c r="L693" s="4" t="s">
        <v>29</v>
      </c>
      <c r="M693" s="11">
        <f>_xlfn.NUMBERVALUE(LEFT(Table613[[#This Row],[Fiscal Year]], 4))</f>
        <v>2015</v>
      </c>
      <c r="O693" s="3">
        <v>691</v>
      </c>
    </row>
    <row r="694" spans="1:15" x14ac:dyDescent="0.25">
      <c r="A694" s="3">
        <v>4</v>
      </c>
      <c r="B694" s="3" t="s">
        <v>167</v>
      </c>
      <c r="C694" s="1" t="s">
        <v>12</v>
      </c>
      <c r="D694" s="1" t="s">
        <v>444</v>
      </c>
      <c r="E694" s="11" t="s">
        <v>144</v>
      </c>
      <c r="F694" s="3" t="s">
        <v>8</v>
      </c>
      <c r="G694" s="66" t="s">
        <v>33</v>
      </c>
      <c r="H694" s="8"/>
      <c r="I694" s="8"/>
      <c r="J694" s="6" t="s">
        <v>47</v>
      </c>
      <c r="K694" s="38">
        <v>55000</v>
      </c>
      <c r="L694" s="4" t="s">
        <v>29</v>
      </c>
      <c r="M694" s="11">
        <f>_xlfn.NUMBERVALUE(LEFT(Table613[[#This Row],[Fiscal Year]], 4))</f>
        <v>2015</v>
      </c>
      <c r="N694" s="42">
        <f t="shared" si="16"/>
        <v>58395.379746835439</v>
      </c>
      <c r="O694" s="3">
        <v>692</v>
      </c>
    </row>
    <row r="695" spans="1:15" x14ac:dyDescent="0.25">
      <c r="A695" s="3">
        <v>4</v>
      </c>
      <c r="B695" s="3" t="s">
        <v>167</v>
      </c>
      <c r="C695" s="1" t="s">
        <v>12</v>
      </c>
      <c r="D695" s="1" t="s">
        <v>444</v>
      </c>
      <c r="E695" s="11" t="s">
        <v>144</v>
      </c>
      <c r="F695" s="3" t="s">
        <v>8</v>
      </c>
      <c r="G695" s="66" t="s">
        <v>67</v>
      </c>
      <c r="H695" s="8" t="s">
        <v>915</v>
      </c>
      <c r="I695" s="8" t="s">
        <v>429</v>
      </c>
      <c r="J695" s="6" t="s">
        <v>455</v>
      </c>
      <c r="K695" s="38" t="s">
        <v>827</v>
      </c>
      <c r="L695" s="4" t="s">
        <v>29</v>
      </c>
      <c r="M695" s="11">
        <f>_xlfn.NUMBERVALUE(LEFT(Table613[[#This Row],[Fiscal Year]], 4))</f>
        <v>2015</v>
      </c>
      <c r="O695" s="3">
        <v>693</v>
      </c>
    </row>
    <row r="696" spans="1:15" x14ac:dyDescent="0.25">
      <c r="C696" s="1"/>
      <c r="D696" s="1"/>
      <c r="E696" s="11"/>
      <c r="G696" s="66"/>
      <c r="H696" s="8"/>
      <c r="I696" s="8"/>
      <c r="J696" s="6"/>
      <c r="L696" s="4"/>
      <c r="O696" s="3">
        <v>694</v>
      </c>
    </row>
    <row r="697" spans="1:15" x14ac:dyDescent="0.25">
      <c r="A697" s="3">
        <v>4</v>
      </c>
      <c r="B697" s="25" t="s">
        <v>219</v>
      </c>
      <c r="C697" s="1" t="s">
        <v>12</v>
      </c>
      <c r="D697" s="1" t="s">
        <v>444</v>
      </c>
      <c r="E697" s="11" t="s">
        <v>144</v>
      </c>
      <c r="F697" s="3" t="s">
        <v>8</v>
      </c>
      <c r="G697" s="48" t="s">
        <v>32</v>
      </c>
      <c r="H697" s="8"/>
      <c r="I697" s="8"/>
      <c r="J697" s="6" t="s">
        <v>110</v>
      </c>
      <c r="K697" s="38">
        <v>2500</v>
      </c>
      <c r="L697" s="4" t="s">
        <v>29</v>
      </c>
      <c r="M697" s="11">
        <f>_xlfn.NUMBERVALUE(LEFT(Table613[[#This Row],[Fiscal Year]], 4))</f>
        <v>2015</v>
      </c>
      <c r="N697" s="42">
        <f t="shared" si="16"/>
        <v>2654.3354430379745</v>
      </c>
      <c r="O697" s="3">
        <v>695</v>
      </c>
    </row>
    <row r="698" spans="1:15" x14ac:dyDescent="0.25">
      <c r="A698" s="3">
        <v>4</v>
      </c>
      <c r="B698" s="25" t="s">
        <v>219</v>
      </c>
      <c r="C698" s="1" t="s">
        <v>12</v>
      </c>
      <c r="D698" s="1" t="s">
        <v>444</v>
      </c>
      <c r="E698" s="11" t="s">
        <v>144</v>
      </c>
      <c r="F698" s="3" t="s">
        <v>8</v>
      </c>
      <c r="G698" s="66" t="s">
        <v>58</v>
      </c>
      <c r="H698" s="8"/>
      <c r="I698" s="8"/>
      <c r="J698" s="6" t="s">
        <v>453</v>
      </c>
      <c r="K698" s="38">
        <v>3500</v>
      </c>
      <c r="L698" s="4" t="s">
        <v>29</v>
      </c>
      <c r="M698" s="11">
        <f>_xlfn.NUMBERVALUE(LEFT(Table613[[#This Row],[Fiscal Year]], 4))</f>
        <v>2015</v>
      </c>
      <c r="N698" s="42">
        <f t="shared" si="16"/>
        <v>3716.0696202531644</v>
      </c>
      <c r="O698" s="3">
        <v>696</v>
      </c>
    </row>
    <row r="699" spans="1:15" x14ac:dyDescent="0.25">
      <c r="A699" s="3">
        <v>4</v>
      </c>
      <c r="B699" s="25" t="s">
        <v>219</v>
      </c>
      <c r="C699" s="1" t="s">
        <v>12</v>
      </c>
      <c r="D699" s="1" t="s">
        <v>444</v>
      </c>
      <c r="E699" s="11" t="s">
        <v>144</v>
      </c>
      <c r="F699" s="3" t="s">
        <v>8</v>
      </c>
      <c r="G699" s="66" t="s">
        <v>208</v>
      </c>
      <c r="H699" s="8"/>
      <c r="I699" s="8"/>
      <c r="J699" s="6" t="s">
        <v>109</v>
      </c>
      <c r="K699" s="38">
        <v>8000</v>
      </c>
      <c r="L699" s="4" t="s">
        <v>29</v>
      </c>
      <c r="M699" s="11">
        <f>_xlfn.NUMBERVALUE(LEFT(Table613[[#This Row],[Fiscal Year]], 4))</f>
        <v>2015</v>
      </c>
      <c r="N699" s="42">
        <f t="shared" si="16"/>
        <v>8493.8734177215192</v>
      </c>
      <c r="O699" s="3">
        <v>697</v>
      </c>
    </row>
    <row r="700" spans="1:15" x14ac:dyDescent="0.25">
      <c r="A700" s="3">
        <v>4</v>
      </c>
      <c r="B700" s="25" t="s">
        <v>219</v>
      </c>
      <c r="C700" s="1" t="s">
        <v>12</v>
      </c>
      <c r="D700" s="1" t="s">
        <v>444</v>
      </c>
      <c r="E700" s="11" t="s">
        <v>144</v>
      </c>
      <c r="F700" s="3" t="s">
        <v>8</v>
      </c>
      <c r="G700" s="48" t="s">
        <v>59</v>
      </c>
      <c r="H700" s="8"/>
      <c r="I700" s="8"/>
      <c r="J700" s="6" t="s">
        <v>111</v>
      </c>
      <c r="K700" s="38">
        <v>1500</v>
      </c>
      <c r="L700" s="4" t="s">
        <v>29</v>
      </c>
      <c r="M700" s="11">
        <f>_xlfn.NUMBERVALUE(LEFT(Table613[[#This Row],[Fiscal Year]], 4))</f>
        <v>2015</v>
      </c>
      <c r="N700" s="42">
        <f t="shared" si="16"/>
        <v>1592.6012658227846</v>
      </c>
      <c r="O700" s="3">
        <v>698</v>
      </c>
    </row>
    <row r="701" spans="1:15" x14ac:dyDescent="0.25">
      <c r="A701" s="3">
        <v>4</v>
      </c>
      <c r="B701" s="25" t="s">
        <v>219</v>
      </c>
      <c r="C701" s="1" t="s">
        <v>12</v>
      </c>
      <c r="D701" s="1" t="s">
        <v>444</v>
      </c>
      <c r="E701" s="11" t="s">
        <v>144</v>
      </c>
      <c r="F701" s="3" t="s">
        <v>8</v>
      </c>
      <c r="G701" s="66" t="s">
        <v>60</v>
      </c>
      <c r="H701" s="8"/>
      <c r="I701" s="8"/>
      <c r="J701" s="6" t="s">
        <v>111</v>
      </c>
      <c r="K701" s="38">
        <v>6000</v>
      </c>
      <c r="L701" s="4" t="s">
        <v>29</v>
      </c>
      <c r="M701" s="11">
        <f>_xlfn.NUMBERVALUE(LEFT(Table613[[#This Row],[Fiscal Year]], 4))</f>
        <v>2015</v>
      </c>
      <c r="N701" s="42">
        <f t="shared" si="16"/>
        <v>6370.4050632911385</v>
      </c>
      <c r="O701" s="3">
        <v>699</v>
      </c>
    </row>
    <row r="702" spans="1:15" x14ac:dyDescent="0.25">
      <c r="A702" s="3">
        <v>4</v>
      </c>
      <c r="B702" s="25" t="s">
        <v>219</v>
      </c>
      <c r="C702" s="1" t="s">
        <v>12</v>
      </c>
      <c r="D702" s="1" t="s">
        <v>444</v>
      </c>
      <c r="E702" s="11" t="s">
        <v>144</v>
      </c>
      <c r="F702" s="3" t="s">
        <v>8</v>
      </c>
      <c r="G702" s="48" t="s">
        <v>61</v>
      </c>
      <c r="H702" s="8"/>
      <c r="I702" s="8"/>
      <c r="J702" s="6" t="s">
        <v>108</v>
      </c>
      <c r="K702" s="38">
        <v>32000</v>
      </c>
      <c r="L702" s="4" t="s">
        <v>29</v>
      </c>
      <c r="M702" s="11">
        <f>_xlfn.NUMBERVALUE(LEFT(Table613[[#This Row],[Fiscal Year]], 4))</f>
        <v>2015</v>
      </c>
      <c r="N702" s="42">
        <f t="shared" si="16"/>
        <v>33975.493670886077</v>
      </c>
      <c r="O702" s="3">
        <v>700</v>
      </c>
    </row>
    <row r="703" spans="1:15" x14ac:dyDescent="0.25">
      <c r="A703" s="3">
        <v>4</v>
      </c>
      <c r="B703" s="25" t="s">
        <v>219</v>
      </c>
      <c r="C703" s="1" t="s">
        <v>12</v>
      </c>
      <c r="D703" s="1" t="s">
        <v>444</v>
      </c>
      <c r="E703" s="11" t="s">
        <v>144</v>
      </c>
      <c r="F703" s="3" t="s">
        <v>8</v>
      </c>
      <c r="G703" s="66" t="s">
        <v>62</v>
      </c>
      <c r="H703" s="8"/>
      <c r="I703" s="8"/>
      <c r="J703" s="6" t="s">
        <v>106</v>
      </c>
      <c r="K703" s="38" t="s">
        <v>827</v>
      </c>
      <c r="L703" s="4" t="s">
        <v>29</v>
      </c>
      <c r="M703" s="11">
        <f>_xlfn.NUMBERVALUE(LEFT(Table613[[#This Row],[Fiscal Year]], 4))</f>
        <v>2015</v>
      </c>
      <c r="O703" s="3">
        <v>701</v>
      </c>
    </row>
    <row r="704" spans="1:15" x14ac:dyDescent="0.25">
      <c r="A704" s="3">
        <v>4</v>
      </c>
      <c r="B704" s="25" t="s">
        <v>219</v>
      </c>
      <c r="C704" s="1" t="s">
        <v>12</v>
      </c>
      <c r="D704" s="1" t="s">
        <v>444</v>
      </c>
      <c r="E704" s="11" t="s">
        <v>144</v>
      </c>
      <c r="F704" s="3" t="s">
        <v>8</v>
      </c>
      <c r="G704" s="66" t="s">
        <v>211</v>
      </c>
      <c r="H704" s="8"/>
      <c r="I704" s="8"/>
      <c r="J704" s="6" t="s">
        <v>455</v>
      </c>
      <c r="K704" s="38" t="s">
        <v>827</v>
      </c>
      <c r="L704" s="4" t="s">
        <v>29</v>
      </c>
      <c r="M704" s="11">
        <f>_xlfn.NUMBERVALUE(LEFT(Table613[[#This Row],[Fiscal Year]], 4))</f>
        <v>2015</v>
      </c>
      <c r="O704" s="3">
        <v>702</v>
      </c>
    </row>
    <row r="705" spans="1:15" x14ac:dyDescent="0.25">
      <c r="A705" s="3">
        <v>4</v>
      </c>
      <c r="B705" s="25" t="s">
        <v>219</v>
      </c>
      <c r="C705" s="1" t="s">
        <v>12</v>
      </c>
      <c r="D705" s="1" t="s">
        <v>444</v>
      </c>
      <c r="E705" s="11" t="s">
        <v>144</v>
      </c>
      <c r="F705" s="3" t="s">
        <v>8</v>
      </c>
      <c r="G705" s="66" t="s">
        <v>64</v>
      </c>
      <c r="H705" s="8"/>
      <c r="I705" s="8"/>
      <c r="J705" s="6" t="s">
        <v>76</v>
      </c>
      <c r="K705" s="38" t="s">
        <v>916</v>
      </c>
      <c r="L705" s="4" t="s">
        <v>29</v>
      </c>
      <c r="M705" s="11">
        <f>_xlfn.NUMBERVALUE(LEFT(Table613[[#This Row],[Fiscal Year]], 4))</f>
        <v>2015</v>
      </c>
      <c r="O705" s="3">
        <v>703</v>
      </c>
    </row>
    <row r="706" spans="1:15" x14ac:dyDescent="0.25">
      <c r="A706" s="3">
        <v>4</v>
      </c>
      <c r="B706" s="25" t="s">
        <v>219</v>
      </c>
      <c r="C706" s="1" t="s">
        <v>12</v>
      </c>
      <c r="D706" s="1" t="s">
        <v>444</v>
      </c>
      <c r="E706" s="11" t="s">
        <v>144</v>
      </c>
      <c r="F706" s="3" t="s">
        <v>8</v>
      </c>
      <c r="G706" s="66" t="s">
        <v>65</v>
      </c>
      <c r="H706" s="8"/>
      <c r="I706" s="8"/>
      <c r="J706" s="6" t="s">
        <v>76</v>
      </c>
      <c r="K706" s="38" t="s">
        <v>916</v>
      </c>
      <c r="L706" s="4" t="s">
        <v>29</v>
      </c>
      <c r="M706" s="11">
        <f>_xlfn.NUMBERVALUE(LEFT(Table613[[#This Row],[Fiscal Year]], 4))</f>
        <v>2015</v>
      </c>
      <c r="O706" s="3">
        <v>704</v>
      </c>
    </row>
    <row r="707" spans="1:15" x14ac:dyDescent="0.25">
      <c r="A707" s="3">
        <v>4</v>
      </c>
      <c r="B707" s="25" t="s">
        <v>219</v>
      </c>
      <c r="C707" s="1" t="s">
        <v>12</v>
      </c>
      <c r="D707" s="1" t="s">
        <v>444</v>
      </c>
      <c r="E707" s="11" t="s">
        <v>144</v>
      </c>
      <c r="F707" s="3" t="s">
        <v>8</v>
      </c>
      <c r="G707" s="66" t="s">
        <v>66</v>
      </c>
      <c r="H707" s="8"/>
      <c r="I707" s="8"/>
      <c r="J707" s="6" t="s">
        <v>76</v>
      </c>
      <c r="K707" s="38" t="s">
        <v>827</v>
      </c>
      <c r="L707" s="4" t="s">
        <v>29</v>
      </c>
      <c r="M707" s="11">
        <f>_xlfn.NUMBERVALUE(LEFT(Table613[[#This Row],[Fiscal Year]], 4))</f>
        <v>2015</v>
      </c>
      <c r="O707" s="3">
        <v>705</v>
      </c>
    </row>
    <row r="708" spans="1:15" x14ac:dyDescent="0.25">
      <c r="A708" s="3">
        <v>4</v>
      </c>
      <c r="B708" s="25" t="s">
        <v>219</v>
      </c>
      <c r="C708" s="1" t="s">
        <v>12</v>
      </c>
      <c r="D708" s="1" t="s">
        <v>444</v>
      </c>
      <c r="E708" s="11" t="s">
        <v>144</v>
      </c>
      <c r="F708" s="3" t="s">
        <v>8</v>
      </c>
      <c r="G708" s="66" t="s">
        <v>33</v>
      </c>
      <c r="H708" s="8"/>
      <c r="I708" s="8"/>
      <c r="J708" s="6" t="s">
        <v>47</v>
      </c>
      <c r="K708" s="38">
        <v>55000</v>
      </c>
      <c r="L708" s="4" t="s">
        <v>29</v>
      </c>
      <c r="M708" s="11">
        <f>_xlfn.NUMBERVALUE(LEFT(Table613[[#This Row],[Fiscal Year]], 4))</f>
        <v>2015</v>
      </c>
      <c r="N708" s="42">
        <f t="shared" si="16"/>
        <v>58395.379746835439</v>
      </c>
      <c r="O708" s="3">
        <v>706</v>
      </c>
    </row>
    <row r="709" spans="1:15" x14ac:dyDescent="0.25">
      <c r="A709" s="3">
        <v>4</v>
      </c>
      <c r="B709" s="25" t="s">
        <v>219</v>
      </c>
      <c r="C709" s="1" t="s">
        <v>12</v>
      </c>
      <c r="D709" s="1" t="s">
        <v>444</v>
      </c>
      <c r="E709" s="11" t="s">
        <v>144</v>
      </c>
      <c r="F709" s="3" t="s">
        <v>8</v>
      </c>
      <c r="G709" s="66" t="s">
        <v>67</v>
      </c>
      <c r="H709" s="8" t="s">
        <v>917</v>
      </c>
      <c r="I709" s="8" t="s">
        <v>429</v>
      </c>
      <c r="J709" s="6" t="s">
        <v>455</v>
      </c>
      <c r="K709" s="38">
        <v>4000</v>
      </c>
      <c r="L709" s="4" t="s">
        <v>29</v>
      </c>
      <c r="M709" s="11">
        <f>_xlfn.NUMBERVALUE(LEFT(Table613[[#This Row],[Fiscal Year]], 4))</f>
        <v>2015</v>
      </c>
      <c r="N709" s="42">
        <f t="shared" si="16"/>
        <v>4246.9367088607596</v>
      </c>
      <c r="O709" s="3">
        <v>707</v>
      </c>
    </row>
    <row r="710" spans="1:15" x14ac:dyDescent="0.25">
      <c r="C710" s="1"/>
      <c r="D710" s="1"/>
      <c r="E710" s="11"/>
      <c r="G710" s="66"/>
      <c r="H710" s="8"/>
      <c r="I710" s="8"/>
      <c r="J710" s="6"/>
      <c r="L710" s="4"/>
      <c r="O710" s="3">
        <v>708</v>
      </c>
    </row>
    <row r="711" spans="1:15" x14ac:dyDescent="0.25">
      <c r="A711" s="3">
        <v>4</v>
      </c>
      <c r="B711" s="3" t="s">
        <v>169</v>
      </c>
      <c r="C711" s="1" t="s">
        <v>12</v>
      </c>
      <c r="D711" s="1" t="s">
        <v>444</v>
      </c>
      <c r="E711" s="11" t="s">
        <v>144</v>
      </c>
      <c r="F711" s="3" t="s">
        <v>8</v>
      </c>
      <c r="G711" s="48" t="s">
        <v>32</v>
      </c>
      <c r="H711" s="8"/>
      <c r="I711" s="8"/>
      <c r="J711" s="6" t="s">
        <v>110</v>
      </c>
      <c r="K711" s="38">
        <v>92668</v>
      </c>
      <c r="L711" s="4" t="s">
        <v>29</v>
      </c>
      <c r="M711" s="11">
        <f>_xlfn.NUMBERVALUE(LEFT(Table613[[#This Row],[Fiscal Year]], 4))</f>
        <v>2015</v>
      </c>
      <c r="N711" s="42">
        <f t="shared" si="16"/>
        <v>98388.782734177206</v>
      </c>
      <c r="O711" s="3">
        <v>709</v>
      </c>
    </row>
    <row r="712" spans="1:15" x14ac:dyDescent="0.25">
      <c r="A712" s="3">
        <v>4</v>
      </c>
      <c r="B712" s="3" t="s">
        <v>169</v>
      </c>
      <c r="C712" s="1" t="s">
        <v>12</v>
      </c>
      <c r="D712" s="1" t="s">
        <v>444</v>
      </c>
      <c r="E712" s="11" t="s">
        <v>144</v>
      </c>
      <c r="F712" s="3" t="s">
        <v>8</v>
      </c>
      <c r="G712" s="66" t="s">
        <v>58</v>
      </c>
      <c r="H712" s="8"/>
      <c r="I712" s="8"/>
      <c r="J712" s="6" t="s">
        <v>453</v>
      </c>
      <c r="K712" s="38">
        <v>3302.75</v>
      </c>
      <c r="L712" s="4" t="s">
        <v>29</v>
      </c>
      <c r="M712" s="11">
        <f>_xlfn.NUMBERVALUE(LEFT(Table613[[#This Row],[Fiscal Year]], 4))</f>
        <v>2015</v>
      </c>
      <c r="N712" s="42">
        <f t="shared" si="16"/>
        <v>3506.6425537974683</v>
      </c>
      <c r="O712" s="3">
        <v>710</v>
      </c>
    </row>
    <row r="713" spans="1:15" x14ac:dyDescent="0.25">
      <c r="A713" s="3">
        <v>4</v>
      </c>
      <c r="B713" s="3" t="s">
        <v>169</v>
      </c>
      <c r="C713" s="1" t="s">
        <v>12</v>
      </c>
      <c r="D713" s="1" t="s">
        <v>444</v>
      </c>
      <c r="E713" s="11" t="s">
        <v>144</v>
      </c>
      <c r="F713" s="3" t="s">
        <v>8</v>
      </c>
      <c r="G713" s="66" t="s">
        <v>208</v>
      </c>
      <c r="H713" s="8"/>
      <c r="I713" s="8"/>
      <c r="J713" s="6" t="s">
        <v>109</v>
      </c>
      <c r="K713" s="38">
        <v>19536</v>
      </c>
      <c r="L713" s="4" t="s">
        <v>29</v>
      </c>
      <c r="M713" s="11">
        <f>_xlfn.NUMBERVALUE(LEFT(Table613[[#This Row],[Fiscal Year]], 4))</f>
        <v>2015</v>
      </c>
      <c r="N713" s="42">
        <f t="shared" si="16"/>
        <v>20742.038886075949</v>
      </c>
      <c r="O713" s="3">
        <v>711</v>
      </c>
    </row>
    <row r="714" spans="1:15" x14ac:dyDescent="0.25">
      <c r="A714" s="3">
        <v>4</v>
      </c>
      <c r="B714" s="3" t="s">
        <v>169</v>
      </c>
      <c r="C714" s="1" t="s">
        <v>12</v>
      </c>
      <c r="D714" s="1" t="s">
        <v>444</v>
      </c>
      <c r="E714" s="11" t="s">
        <v>144</v>
      </c>
      <c r="F714" s="3" t="s">
        <v>8</v>
      </c>
      <c r="G714" s="48" t="s">
        <v>59</v>
      </c>
      <c r="H714" s="8"/>
      <c r="I714" s="8"/>
      <c r="J714" s="6" t="s">
        <v>111</v>
      </c>
      <c r="K714" s="38">
        <v>27400.63</v>
      </c>
      <c r="L714" s="4" t="s">
        <v>29</v>
      </c>
      <c r="M714" s="11">
        <f>_xlfn.NUMBERVALUE(LEFT(Table613[[#This Row],[Fiscal Year]], 4))</f>
        <v>2015</v>
      </c>
      <c r="N714" s="42">
        <f t="shared" si="16"/>
        <v>29092.185348227846</v>
      </c>
      <c r="O714" s="3">
        <v>712</v>
      </c>
    </row>
    <row r="715" spans="1:15" x14ac:dyDescent="0.25">
      <c r="A715" s="3">
        <v>4</v>
      </c>
      <c r="B715" s="3" t="s">
        <v>169</v>
      </c>
      <c r="C715" s="1" t="s">
        <v>12</v>
      </c>
      <c r="D715" s="1" t="s">
        <v>444</v>
      </c>
      <c r="E715" s="11" t="s">
        <v>144</v>
      </c>
      <c r="F715" s="3" t="s">
        <v>8</v>
      </c>
      <c r="G715" s="66" t="s">
        <v>60</v>
      </c>
      <c r="H715" s="8"/>
      <c r="I715" s="8"/>
      <c r="J715" s="6" t="s">
        <v>111</v>
      </c>
      <c r="K715" s="38">
        <v>12372.5</v>
      </c>
      <c r="L715" s="4" t="s">
        <v>29</v>
      </c>
      <c r="M715" s="11">
        <f>_xlfn.NUMBERVALUE(LEFT(Table613[[#This Row],[Fiscal Year]], 4))</f>
        <v>2015</v>
      </c>
      <c r="N715" s="42">
        <f t="shared" ref="N715:N778" si="17">K715*(1+VLOOKUP(M715,$AF$8:$AH$31,3,0))</f>
        <v>13136.306107594935</v>
      </c>
      <c r="O715" s="3">
        <v>713</v>
      </c>
    </row>
    <row r="716" spans="1:15" x14ac:dyDescent="0.25">
      <c r="A716" s="3">
        <v>4</v>
      </c>
      <c r="B716" s="3" t="s">
        <v>169</v>
      </c>
      <c r="C716" s="1" t="s">
        <v>12</v>
      </c>
      <c r="D716" s="1" t="s">
        <v>444</v>
      </c>
      <c r="E716" s="11" t="s">
        <v>144</v>
      </c>
      <c r="F716" s="3" t="s">
        <v>8</v>
      </c>
      <c r="G716" s="48" t="s">
        <v>61</v>
      </c>
      <c r="H716" s="8"/>
      <c r="I716" s="8"/>
      <c r="J716" s="6" t="s">
        <v>108</v>
      </c>
      <c r="K716" s="38">
        <v>860610.5</v>
      </c>
      <c r="L716" s="4" t="s">
        <v>29</v>
      </c>
      <c r="M716" s="11">
        <f>_xlfn.NUMBERVALUE(LEFT(Table613[[#This Row],[Fiscal Year]], 4))</f>
        <v>2015</v>
      </c>
      <c r="N716" s="42">
        <f t="shared" si="17"/>
        <v>913739.58112025307</v>
      </c>
      <c r="O716" s="3">
        <v>714</v>
      </c>
    </row>
    <row r="717" spans="1:15" x14ac:dyDescent="0.25">
      <c r="A717" s="3">
        <v>4</v>
      </c>
      <c r="B717" s="3" t="s">
        <v>169</v>
      </c>
      <c r="C717" s="1" t="s">
        <v>12</v>
      </c>
      <c r="D717" s="1" t="s">
        <v>444</v>
      </c>
      <c r="E717" s="11" t="s">
        <v>144</v>
      </c>
      <c r="F717" s="3" t="s">
        <v>8</v>
      </c>
      <c r="G717" s="66" t="s">
        <v>62</v>
      </c>
      <c r="H717" s="8"/>
      <c r="I717" s="8"/>
      <c r="J717" s="6" t="s">
        <v>106</v>
      </c>
      <c r="K717" s="38">
        <v>10000</v>
      </c>
      <c r="L717" s="4" t="s">
        <v>29</v>
      </c>
      <c r="M717" s="11">
        <f>_xlfn.NUMBERVALUE(LEFT(Table613[[#This Row],[Fiscal Year]], 4))</f>
        <v>2015</v>
      </c>
      <c r="N717" s="42">
        <f t="shared" si="17"/>
        <v>10617.341772151898</v>
      </c>
      <c r="O717" s="3">
        <v>715</v>
      </c>
    </row>
    <row r="718" spans="1:15" x14ac:dyDescent="0.25">
      <c r="A718" s="3">
        <v>4</v>
      </c>
      <c r="B718" s="3" t="s">
        <v>169</v>
      </c>
      <c r="C718" s="1" t="s">
        <v>12</v>
      </c>
      <c r="D718" s="1" t="s">
        <v>444</v>
      </c>
      <c r="E718" s="11" t="s">
        <v>144</v>
      </c>
      <c r="F718" s="3" t="s">
        <v>8</v>
      </c>
      <c r="G718" s="66" t="s">
        <v>211</v>
      </c>
      <c r="H718" s="8"/>
      <c r="I718" s="8"/>
      <c r="J718" s="6" t="s">
        <v>455</v>
      </c>
      <c r="K718" s="38" t="s">
        <v>827</v>
      </c>
      <c r="L718" s="4" t="s">
        <v>29</v>
      </c>
      <c r="M718" s="11">
        <f>_xlfn.NUMBERVALUE(LEFT(Table613[[#This Row],[Fiscal Year]], 4))</f>
        <v>2015</v>
      </c>
      <c r="O718" s="3">
        <v>716</v>
      </c>
    </row>
    <row r="719" spans="1:15" x14ac:dyDescent="0.25">
      <c r="A719" s="3">
        <v>4</v>
      </c>
      <c r="B719" s="3" t="s">
        <v>169</v>
      </c>
      <c r="C719" s="1" t="s">
        <v>12</v>
      </c>
      <c r="D719" s="1" t="s">
        <v>444</v>
      </c>
      <c r="E719" s="11" t="s">
        <v>144</v>
      </c>
      <c r="F719" s="3" t="s">
        <v>8</v>
      </c>
      <c r="G719" s="66" t="s">
        <v>64</v>
      </c>
      <c r="H719" s="8"/>
      <c r="I719" s="8"/>
      <c r="J719" s="6" t="s">
        <v>76</v>
      </c>
      <c r="K719" s="38" t="s">
        <v>827</v>
      </c>
      <c r="L719" s="4" t="s">
        <v>29</v>
      </c>
      <c r="M719" s="11">
        <f>_xlfn.NUMBERVALUE(LEFT(Table613[[#This Row],[Fiscal Year]], 4))</f>
        <v>2015</v>
      </c>
      <c r="O719" s="3">
        <v>717</v>
      </c>
    </row>
    <row r="720" spans="1:15" x14ac:dyDescent="0.25">
      <c r="A720" s="3">
        <v>4</v>
      </c>
      <c r="B720" s="3" t="s">
        <v>169</v>
      </c>
      <c r="C720" s="1" t="s">
        <v>12</v>
      </c>
      <c r="D720" s="1" t="s">
        <v>444</v>
      </c>
      <c r="E720" s="11" t="s">
        <v>144</v>
      </c>
      <c r="F720" s="3" t="s">
        <v>8</v>
      </c>
      <c r="G720" s="66" t="s">
        <v>65</v>
      </c>
      <c r="H720" s="8"/>
      <c r="I720" s="8"/>
      <c r="J720" s="6" t="s">
        <v>76</v>
      </c>
      <c r="K720" s="38" t="s">
        <v>827</v>
      </c>
      <c r="L720" s="4" t="s">
        <v>29</v>
      </c>
      <c r="M720" s="11">
        <f>_xlfn.NUMBERVALUE(LEFT(Table613[[#This Row],[Fiscal Year]], 4))</f>
        <v>2015</v>
      </c>
      <c r="O720" s="3">
        <v>718</v>
      </c>
    </row>
    <row r="721" spans="1:15" x14ac:dyDescent="0.25">
      <c r="A721" s="3">
        <v>4</v>
      </c>
      <c r="B721" s="3" t="s">
        <v>169</v>
      </c>
      <c r="C721" s="1" t="s">
        <v>12</v>
      </c>
      <c r="D721" s="1" t="s">
        <v>444</v>
      </c>
      <c r="E721" s="11" t="s">
        <v>144</v>
      </c>
      <c r="F721" s="3" t="s">
        <v>8</v>
      </c>
      <c r="G721" s="66" t="s">
        <v>66</v>
      </c>
      <c r="H721" s="8"/>
      <c r="I721" s="8"/>
      <c r="J721" s="6" t="s">
        <v>76</v>
      </c>
      <c r="K721" s="38" t="s">
        <v>827</v>
      </c>
      <c r="L721" s="4" t="s">
        <v>29</v>
      </c>
      <c r="M721" s="11">
        <f>_xlfn.NUMBERVALUE(LEFT(Table613[[#This Row],[Fiscal Year]], 4))</f>
        <v>2015</v>
      </c>
      <c r="O721" s="3">
        <v>719</v>
      </c>
    </row>
    <row r="722" spans="1:15" x14ac:dyDescent="0.25">
      <c r="A722" s="3">
        <v>4</v>
      </c>
      <c r="B722" s="3" t="s">
        <v>169</v>
      </c>
      <c r="C722" s="1" t="s">
        <v>12</v>
      </c>
      <c r="D722" s="1" t="s">
        <v>444</v>
      </c>
      <c r="E722" s="11" t="s">
        <v>144</v>
      </c>
      <c r="F722" s="3" t="s">
        <v>8</v>
      </c>
      <c r="G722" s="66" t="s">
        <v>33</v>
      </c>
      <c r="H722" s="8"/>
      <c r="I722" s="8"/>
      <c r="J722" s="6" t="s">
        <v>47</v>
      </c>
      <c r="K722" s="38">
        <v>2249.25</v>
      </c>
      <c r="L722" s="4" t="s">
        <v>29</v>
      </c>
      <c r="M722" s="11">
        <f>_xlfn.NUMBERVALUE(LEFT(Table613[[#This Row],[Fiscal Year]], 4))</f>
        <v>2015</v>
      </c>
      <c r="N722" s="42">
        <f t="shared" si="17"/>
        <v>2388.1055981012655</v>
      </c>
      <c r="O722" s="3">
        <v>720</v>
      </c>
    </row>
    <row r="723" spans="1:15" x14ac:dyDescent="0.25">
      <c r="A723" s="3">
        <v>4</v>
      </c>
      <c r="B723" s="3" t="s">
        <v>169</v>
      </c>
      <c r="C723" s="1" t="s">
        <v>12</v>
      </c>
      <c r="D723" s="1" t="s">
        <v>444</v>
      </c>
      <c r="E723" s="11" t="s">
        <v>144</v>
      </c>
      <c r="F723" s="3" t="s">
        <v>8</v>
      </c>
      <c r="G723" s="66" t="s">
        <v>67</v>
      </c>
      <c r="H723" s="8" t="s">
        <v>918</v>
      </c>
      <c r="I723" s="8" t="s">
        <v>429</v>
      </c>
      <c r="J723" s="6" t="s">
        <v>455</v>
      </c>
      <c r="K723" s="38">
        <v>13044</v>
      </c>
      <c r="L723" s="4" t="s">
        <v>29</v>
      </c>
      <c r="M723" s="11">
        <f>_xlfn.NUMBERVALUE(LEFT(Table613[[#This Row],[Fiscal Year]], 4))</f>
        <v>2015</v>
      </c>
      <c r="N723" s="42">
        <f t="shared" si="17"/>
        <v>13849.260607594935</v>
      </c>
      <c r="O723" s="3">
        <v>721</v>
      </c>
    </row>
    <row r="724" spans="1:15" x14ac:dyDescent="0.25">
      <c r="C724" s="1"/>
      <c r="D724" s="1"/>
      <c r="E724" s="11"/>
      <c r="G724" s="66"/>
      <c r="H724" s="8"/>
      <c r="I724" s="8"/>
      <c r="J724" s="6"/>
      <c r="L724" s="4"/>
      <c r="O724" s="3">
        <v>722</v>
      </c>
    </row>
    <row r="725" spans="1:15" x14ac:dyDescent="0.25">
      <c r="A725" s="3">
        <v>4</v>
      </c>
      <c r="B725" s="3" t="s">
        <v>170</v>
      </c>
      <c r="C725" s="1" t="s">
        <v>12</v>
      </c>
      <c r="D725" s="1" t="s">
        <v>444</v>
      </c>
      <c r="E725" s="11" t="s">
        <v>144</v>
      </c>
      <c r="F725" s="3" t="s">
        <v>8</v>
      </c>
      <c r="G725" s="48" t="s">
        <v>32</v>
      </c>
      <c r="H725" s="8"/>
      <c r="I725" s="8"/>
      <c r="J725" s="6" t="s">
        <v>110</v>
      </c>
      <c r="K725" s="38">
        <v>200000</v>
      </c>
      <c r="L725" s="4" t="s">
        <v>29</v>
      </c>
      <c r="M725" s="11">
        <f>_xlfn.NUMBERVALUE(LEFT(Table613[[#This Row],[Fiscal Year]], 4))</f>
        <v>2015</v>
      </c>
      <c r="N725" s="42">
        <f t="shared" si="17"/>
        <v>212346.83544303797</v>
      </c>
      <c r="O725" s="3">
        <v>723</v>
      </c>
    </row>
    <row r="726" spans="1:15" x14ac:dyDescent="0.25">
      <c r="A726" s="3">
        <v>4</v>
      </c>
      <c r="B726" s="3" t="s">
        <v>170</v>
      </c>
      <c r="C726" s="1" t="s">
        <v>12</v>
      </c>
      <c r="D726" s="1" t="s">
        <v>444</v>
      </c>
      <c r="E726" s="11" t="s">
        <v>144</v>
      </c>
      <c r="F726" s="3" t="s">
        <v>8</v>
      </c>
      <c r="G726" s="66" t="s">
        <v>58</v>
      </c>
      <c r="H726" s="8"/>
      <c r="I726" s="8"/>
      <c r="J726" s="6" t="s">
        <v>453</v>
      </c>
      <c r="K726" s="38">
        <v>10000</v>
      </c>
      <c r="L726" s="4" t="s">
        <v>29</v>
      </c>
      <c r="M726" s="11">
        <f>_xlfn.NUMBERVALUE(LEFT(Table613[[#This Row],[Fiscal Year]], 4))</f>
        <v>2015</v>
      </c>
      <c r="N726" s="42">
        <f t="shared" si="17"/>
        <v>10617.341772151898</v>
      </c>
      <c r="O726" s="3">
        <v>724</v>
      </c>
    </row>
    <row r="727" spans="1:15" x14ac:dyDescent="0.25">
      <c r="A727" s="3">
        <v>4</v>
      </c>
      <c r="B727" s="3" t="s">
        <v>170</v>
      </c>
      <c r="C727" s="1" t="s">
        <v>12</v>
      </c>
      <c r="D727" s="1" t="s">
        <v>444</v>
      </c>
      <c r="E727" s="11" t="s">
        <v>144</v>
      </c>
      <c r="F727" s="3" t="s">
        <v>8</v>
      </c>
      <c r="G727" s="66" t="s">
        <v>208</v>
      </c>
      <c r="H727" s="8"/>
      <c r="I727" s="8"/>
      <c r="J727" s="6" t="s">
        <v>109</v>
      </c>
      <c r="K727" s="38">
        <v>25000</v>
      </c>
      <c r="L727" s="4" t="s">
        <v>29</v>
      </c>
      <c r="M727" s="11">
        <f>_xlfn.NUMBERVALUE(LEFT(Table613[[#This Row],[Fiscal Year]], 4))</f>
        <v>2015</v>
      </c>
      <c r="N727" s="42">
        <f t="shared" si="17"/>
        <v>26543.354430379746</v>
      </c>
      <c r="O727" s="3">
        <v>725</v>
      </c>
    </row>
    <row r="728" spans="1:15" x14ac:dyDescent="0.25">
      <c r="A728" s="3">
        <v>4</v>
      </c>
      <c r="B728" s="3" t="s">
        <v>170</v>
      </c>
      <c r="C728" s="1" t="s">
        <v>12</v>
      </c>
      <c r="D728" s="1" t="s">
        <v>444</v>
      </c>
      <c r="E728" s="11" t="s">
        <v>144</v>
      </c>
      <c r="F728" s="3" t="s">
        <v>8</v>
      </c>
      <c r="G728" s="48" t="s">
        <v>59</v>
      </c>
      <c r="H728" s="8"/>
      <c r="I728" s="8"/>
      <c r="J728" s="6" t="s">
        <v>111</v>
      </c>
      <c r="K728" s="38">
        <v>20000</v>
      </c>
      <c r="L728" s="4" t="s">
        <v>29</v>
      </c>
      <c r="M728" s="11">
        <f>_xlfn.NUMBERVALUE(LEFT(Table613[[#This Row],[Fiscal Year]], 4))</f>
        <v>2015</v>
      </c>
      <c r="N728" s="42">
        <f t="shared" si="17"/>
        <v>21234.683544303796</v>
      </c>
      <c r="O728" s="3">
        <v>726</v>
      </c>
    </row>
    <row r="729" spans="1:15" x14ac:dyDescent="0.25">
      <c r="A729" s="3">
        <v>4</v>
      </c>
      <c r="B729" s="3" t="s">
        <v>170</v>
      </c>
      <c r="C729" s="1" t="s">
        <v>12</v>
      </c>
      <c r="D729" s="1" t="s">
        <v>444</v>
      </c>
      <c r="E729" s="11" t="s">
        <v>144</v>
      </c>
      <c r="F729" s="3" t="s">
        <v>8</v>
      </c>
      <c r="G729" s="66" t="s">
        <v>60</v>
      </c>
      <c r="H729" s="8"/>
      <c r="I729" s="8"/>
      <c r="J729" s="6" t="s">
        <v>111</v>
      </c>
      <c r="K729" s="38">
        <v>15000</v>
      </c>
      <c r="L729" s="4" t="s">
        <v>29</v>
      </c>
      <c r="M729" s="11">
        <f>_xlfn.NUMBERVALUE(LEFT(Table613[[#This Row],[Fiscal Year]], 4))</f>
        <v>2015</v>
      </c>
      <c r="N729" s="42">
        <f t="shared" si="17"/>
        <v>15926.012658227848</v>
      </c>
      <c r="O729" s="3">
        <v>727</v>
      </c>
    </row>
    <row r="730" spans="1:15" x14ac:dyDescent="0.25">
      <c r="A730" s="3">
        <v>4</v>
      </c>
      <c r="B730" s="3" t="s">
        <v>170</v>
      </c>
      <c r="C730" s="1" t="s">
        <v>12</v>
      </c>
      <c r="D730" s="1" t="s">
        <v>444</v>
      </c>
      <c r="E730" s="11" t="s">
        <v>144</v>
      </c>
      <c r="F730" s="3" t="s">
        <v>8</v>
      </c>
      <c r="G730" s="48" t="s">
        <v>61</v>
      </c>
      <c r="H730" s="8"/>
      <c r="I730" s="8"/>
      <c r="J730" s="6" t="s">
        <v>108</v>
      </c>
      <c r="K730" s="38">
        <v>389500</v>
      </c>
      <c r="L730" s="4" t="s">
        <v>29</v>
      </c>
      <c r="M730" s="11">
        <f>_xlfn.NUMBERVALUE(LEFT(Table613[[#This Row],[Fiscal Year]], 4))</f>
        <v>2015</v>
      </c>
      <c r="N730" s="42">
        <f t="shared" si="17"/>
        <v>413545.46202531643</v>
      </c>
      <c r="O730" s="3">
        <v>728</v>
      </c>
    </row>
    <row r="731" spans="1:15" x14ac:dyDescent="0.25">
      <c r="A731" s="3">
        <v>4</v>
      </c>
      <c r="B731" s="3" t="s">
        <v>170</v>
      </c>
      <c r="C731" s="1" t="s">
        <v>12</v>
      </c>
      <c r="D731" s="1" t="s">
        <v>444</v>
      </c>
      <c r="E731" s="11" t="s">
        <v>144</v>
      </c>
      <c r="F731" s="3" t="s">
        <v>8</v>
      </c>
      <c r="G731" s="66" t="s">
        <v>62</v>
      </c>
      <c r="H731" s="8"/>
      <c r="I731" s="8"/>
      <c r="J731" s="6" t="s">
        <v>106</v>
      </c>
      <c r="K731" s="38">
        <v>110000</v>
      </c>
      <c r="L731" s="4" t="s">
        <v>29</v>
      </c>
      <c r="M731" s="11">
        <f>_xlfn.NUMBERVALUE(LEFT(Table613[[#This Row],[Fiscal Year]], 4))</f>
        <v>2015</v>
      </c>
      <c r="N731" s="42">
        <f t="shared" si="17"/>
        <v>116790.75949367088</v>
      </c>
      <c r="O731" s="3">
        <v>729</v>
      </c>
    </row>
    <row r="732" spans="1:15" x14ac:dyDescent="0.25">
      <c r="A732" s="3">
        <v>4</v>
      </c>
      <c r="B732" s="3" t="s">
        <v>170</v>
      </c>
      <c r="C732" s="1" t="s">
        <v>12</v>
      </c>
      <c r="D732" s="1" t="s">
        <v>444</v>
      </c>
      <c r="E732" s="11" t="s">
        <v>144</v>
      </c>
      <c r="F732" s="3" t="s">
        <v>8</v>
      </c>
      <c r="G732" s="66" t="s">
        <v>211</v>
      </c>
      <c r="H732" s="8"/>
      <c r="I732" s="8"/>
      <c r="J732" s="6" t="s">
        <v>455</v>
      </c>
      <c r="K732" s="38" t="s">
        <v>827</v>
      </c>
      <c r="L732" s="4" t="s">
        <v>29</v>
      </c>
      <c r="M732" s="11">
        <f>_xlfn.NUMBERVALUE(LEFT(Table613[[#This Row],[Fiscal Year]], 4))</f>
        <v>2015</v>
      </c>
      <c r="O732" s="3">
        <v>730</v>
      </c>
    </row>
    <row r="733" spans="1:15" x14ac:dyDescent="0.25">
      <c r="A733" s="3">
        <v>4</v>
      </c>
      <c r="B733" s="3" t="s">
        <v>170</v>
      </c>
      <c r="C733" s="1" t="s">
        <v>12</v>
      </c>
      <c r="D733" s="1" t="s">
        <v>444</v>
      </c>
      <c r="E733" s="11" t="s">
        <v>144</v>
      </c>
      <c r="F733" s="3" t="s">
        <v>8</v>
      </c>
      <c r="G733" s="66" t="s">
        <v>64</v>
      </c>
      <c r="H733" s="8"/>
      <c r="I733" s="8"/>
      <c r="J733" s="6" t="s">
        <v>76</v>
      </c>
      <c r="K733" s="38" t="s">
        <v>827</v>
      </c>
      <c r="L733" s="4" t="s">
        <v>29</v>
      </c>
      <c r="M733" s="11">
        <f>_xlfn.NUMBERVALUE(LEFT(Table613[[#This Row],[Fiscal Year]], 4))</f>
        <v>2015</v>
      </c>
      <c r="O733" s="3">
        <v>731</v>
      </c>
    </row>
    <row r="734" spans="1:15" x14ac:dyDescent="0.25">
      <c r="A734" s="3">
        <v>4</v>
      </c>
      <c r="B734" s="3" t="s">
        <v>170</v>
      </c>
      <c r="C734" s="1" t="s">
        <v>12</v>
      </c>
      <c r="D734" s="1" t="s">
        <v>444</v>
      </c>
      <c r="E734" s="11" t="s">
        <v>144</v>
      </c>
      <c r="F734" s="3" t="s">
        <v>8</v>
      </c>
      <c r="G734" s="66" t="s">
        <v>65</v>
      </c>
      <c r="H734" s="8"/>
      <c r="I734" s="8"/>
      <c r="J734" s="6" t="s">
        <v>76</v>
      </c>
      <c r="K734" s="38" t="s">
        <v>827</v>
      </c>
      <c r="L734" s="4" t="s">
        <v>29</v>
      </c>
      <c r="M734" s="11">
        <f>_xlfn.NUMBERVALUE(LEFT(Table613[[#This Row],[Fiscal Year]], 4))</f>
        <v>2015</v>
      </c>
      <c r="O734" s="3">
        <v>732</v>
      </c>
    </row>
    <row r="735" spans="1:15" x14ac:dyDescent="0.25">
      <c r="A735" s="3">
        <v>4</v>
      </c>
      <c r="B735" s="3" t="s">
        <v>170</v>
      </c>
      <c r="C735" s="1" t="s">
        <v>12</v>
      </c>
      <c r="D735" s="1" t="s">
        <v>444</v>
      </c>
      <c r="E735" s="11" t="s">
        <v>144</v>
      </c>
      <c r="F735" s="3" t="s">
        <v>8</v>
      </c>
      <c r="G735" s="66" t="s">
        <v>66</v>
      </c>
      <c r="H735" s="8"/>
      <c r="I735" s="8"/>
      <c r="J735" s="6" t="s">
        <v>76</v>
      </c>
      <c r="K735" s="38" t="s">
        <v>827</v>
      </c>
      <c r="L735" s="4" t="s">
        <v>29</v>
      </c>
      <c r="M735" s="11">
        <f>_xlfn.NUMBERVALUE(LEFT(Table613[[#This Row],[Fiscal Year]], 4))</f>
        <v>2015</v>
      </c>
      <c r="O735" s="3">
        <v>733</v>
      </c>
    </row>
    <row r="736" spans="1:15" x14ac:dyDescent="0.25">
      <c r="A736" s="3">
        <v>4</v>
      </c>
      <c r="B736" s="3" t="s">
        <v>170</v>
      </c>
      <c r="C736" s="1" t="s">
        <v>12</v>
      </c>
      <c r="D736" s="1" t="s">
        <v>444</v>
      </c>
      <c r="E736" s="11" t="s">
        <v>144</v>
      </c>
      <c r="F736" s="3" t="s">
        <v>8</v>
      </c>
      <c r="G736" s="66" t="s">
        <v>33</v>
      </c>
      <c r="H736" s="8"/>
      <c r="I736" s="8"/>
      <c r="J736" s="6" t="s">
        <v>47</v>
      </c>
      <c r="K736" s="38">
        <v>15000</v>
      </c>
      <c r="L736" s="4" t="s">
        <v>29</v>
      </c>
      <c r="M736" s="11">
        <f>_xlfn.NUMBERVALUE(LEFT(Table613[[#This Row],[Fiscal Year]], 4))</f>
        <v>2015</v>
      </c>
      <c r="N736" s="42">
        <f t="shared" si="17"/>
        <v>15926.012658227848</v>
      </c>
      <c r="O736" s="3">
        <v>734</v>
      </c>
    </row>
    <row r="737" spans="1:15" x14ac:dyDescent="0.25">
      <c r="A737" s="3">
        <v>4</v>
      </c>
      <c r="B737" s="3" t="s">
        <v>170</v>
      </c>
      <c r="C737" s="1" t="s">
        <v>12</v>
      </c>
      <c r="D737" s="1" t="s">
        <v>444</v>
      </c>
      <c r="E737" s="11" t="s">
        <v>144</v>
      </c>
      <c r="F737" s="3" t="s">
        <v>8</v>
      </c>
      <c r="G737" s="66" t="s">
        <v>67</v>
      </c>
      <c r="H737" s="8" t="s">
        <v>919</v>
      </c>
      <c r="I737" s="8" t="s">
        <v>429</v>
      </c>
      <c r="J737" s="6" t="s">
        <v>455</v>
      </c>
      <c r="K737" s="38">
        <v>190550</v>
      </c>
      <c r="L737" s="4" t="s">
        <v>29</v>
      </c>
      <c r="M737" s="11">
        <f>_xlfn.NUMBERVALUE(LEFT(Table613[[#This Row],[Fiscal Year]], 4))</f>
        <v>2015</v>
      </c>
      <c r="N737" s="42">
        <f t="shared" si="17"/>
        <v>202313.44746835442</v>
      </c>
      <c r="O737" s="3">
        <v>735</v>
      </c>
    </row>
    <row r="738" spans="1:15" x14ac:dyDescent="0.25">
      <c r="C738" s="1"/>
      <c r="D738" s="1"/>
      <c r="E738" s="11"/>
      <c r="G738" s="66"/>
      <c r="H738" s="8"/>
      <c r="I738" s="8"/>
      <c r="J738" s="6"/>
      <c r="L738" s="4"/>
      <c r="O738" s="3">
        <v>736</v>
      </c>
    </row>
    <row r="739" spans="1:15" x14ac:dyDescent="0.25">
      <c r="A739" s="3">
        <v>4</v>
      </c>
      <c r="B739" s="3" t="s">
        <v>171</v>
      </c>
      <c r="C739" s="1" t="s">
        <v>12</v>
      </c>
      <c r="D739" s="1" t="s">
        <v>444</v>
      </c>
      <c r="E739" s="11" t="s">
        <v>144</v>
      </c>
      <c r="F739" s="3" t="s">
        <v>8</v>
      </c>
      <c r="G739" s="48" t="s">
        <v>32</v>
      </c>
      <c r="H739" s="8"/>
      <c r="I739" s="8"/>
      <c r="J739" s="6" t="s">
        <v>110</v>
      </c>
      <c r="K739" s="38">
        <v>30000</v>
      </c>
      <c r="L739" s="4" t="s">
        <v>29</v>
      </c>
      <c r="M739" s="11">
        <f>_xlfn.NUMBERVALUE(LEFT(Table613[[#This Row],[Fiscal Year]], 4))</f>
        <v>2015</v>
      </c>
      <c r="N739" s="42">
        <f t="shared" si="17"/>
        <v>31852.025316455696</v>
      </c>
      <c r="O739" s="3">
        <v>737</v>
      </c>
    </row>
    <row r="740" spans="1:15" x14ac:dyDescent="0.25">
      <c r="A740" s="3">
        <v>4</v>
      </c>
      <c r="B740" s="3" t="s">
        <v>171</v>
      </c>
      <c r="C740" s="1" t="s">
        <v>12</v>
      </c>
      <c r="D740" s="1" t="s">
        <v>444</v>
      </c>
      <c r="E740" s="11" t="s">
        <v>144</v>
      </c>
      <c r="F740" s="3" t="s">
        <v>8</v>
      </c>
      <c r="G740" s="66" t="s">
        <v>58</v>
      </c>
      <c r="H740" s="8"/>
      <c r="I740" s="8"/>
      <c r="J740" s="6" t="s">
        <v>453</v>
      </c>
      <c r="K740" s="38">
        <v>20000</v>
      </c>
      <c r="L740" s="4" t="s">
        <v>29</v>
      </c>
      <c r="M740" s="11">
        <f>_xlfn.NUMBERVALUE(LEFT(Table613[[#This Row],[Fiscal Year]], 4))</f>
        <v>2015</v>
      </c>
      <c r="N740" s="42">
        <f t="shared" si="17"/>
        <v>21234.683544303796</v>
      </c>
      <c r="O740" s="3">
        <v>738</v>
      </c>
    </row>
    <row r="741" spans="1:15" x14ac:dyDescent="0.25">
      <c r="A741" s="3">
        <v>4</v>
      </c>
      <c r="B741" s="3" t="s">
        <v>171</v>
      </c>
      <c r="C741" s="1" t="s">
        <v>12</v>
      </c>
      <c r="D741" s="1" t="s">
        <v>444</v>
      </c>
      <c r="E741" s="11" t="s">
        <v>144</v>
      </c>
      <c r="F741" s="3" t="s">
        <v>8</v>
      </c>
      <c r="G741" s="66" t="s">
        <v>208</v>
      </c>
      <c r="H741" s="8"/>
      <c r="I741" s="8"/>
      <c r="J741" s="6" t="s">
        <v>109</v>
      </c>
      <c r="K741" s="38">
        <v>75000</v>
      </c>
      <c r="L741" s="4" t="s">
        <v>29</v>
      </c>
      <c r="M741" s="11">
        <f>_xlfn.NUMBERVALUE(LEFT(Table613[[#This Row],[Fiscal Year]], 4))</f>
        <v>2015</v>
      </c>
      <c r="N741" s="42">
        <f t="shared" si="17"/>
        <v>79630.063291139231</v>
      </c>
      <c r="O741" s="3">
        <v>739</v>
      </c>
    </row>
    <row r="742" spans="1:15" x14ac:dyDescent="0.25">
      <c r="A742" s="3">
        <v>4</v>
      </c>
      <c r="B742" s="3" t="s">
        <v>171</v>
      </c>
      <c r="C742" s="1" t="s">
        <v>12</v>
      </c>
      <c r="D742" s="1" t="s">
        <v>444</v>
      </c>
      <c r="E742" s="11" t="s">
        <v>144</v>
      </c>
      <c r="F742" s="3" t="s">
        <v>8</v>
      </c>
      <c r="G742" s="48" t="s">
        <v>59</v>
      </c>
      <c r="H742" s="8"/>
      <c r="I742" s="8"/>
      <c r="J742" s="6" t="s">
        <v>111</v>
      </c>
      <c r="K742" s="38">
        <v>10000</v>
      </c>
      <c r="L742" s="4" t="s">
        <v>29</v>
      </c>
      <c r="M742" s="11">
        <f>_xlfn.NUMBERVALUE(LEFT(Table613[[#This Row],[Fiscal Year]], 4))</f>
        <v>2015</v>
      </c>
      <c r="N742" s="42">
        <f t="shared" si="17"/>
        <v>10617.341772151898</v>
      </c>
      <c r="O742" s="3">
        <v>740</v>
      </c>
    </row>
    <row r="743" spans="1:15" x14ac:dyDescent="0.25">
      <c r="A743" s="3">
        <v>4</v>
      </c>
      <c r="B743" s="3" t="s">
        <v>171</v>
      </c>
      <c r="C743" s="1" t="s">
        <v>12</v>
      </c>
      <c r="D743" s="1" t="s">
        <v>444</v>
      </c>
      <c r="E743" s="11" t="s">
        <v>144</v>
      </c>
      <c r="F743" s="3" t="s">
        <v>8</v>
      </c>
      <c r="G743" s="66" t="s">
        <v>60</v>
      </c>
      <c r="H743" s="8"/>
      <c r="I743" s="8"/>
      <c r="J743" s="6" t="s">
        <v>111</v>
      </c>
      <c r="K743" s="38">
        <v>15000</v>
      </c>
      <c r="L743" s="4" t="s">
        <v>29</v>
      </c>
      <c r="M743" s="11">
        <f>_xlfn.NUMBERVALUE(LEFT(Table613[[#This Row],[Fiscal Year]], 4))</f>
        <v>2015</v>
      </c>
      <c r="N743" s="42">
        <f t="shared" si="17"/>
        <v>15926.012658227848</v>
      </c>
      <c r="O743" s="3">
        <v>741</v>
      </c>
    </row>
    <row r="744" spans="1:15" x14ac:dyDescent="0.25">
      <c r="A744" s="3">
        <v>4</v>
      </c>
      <c r="B744" s="3" t="s">
        <v>171</v>
      </c>
      <c r="C744" s="1" t="s">
        <v>12</v>
      </c>
      <c r="D744" s="1" t="s">
        <v>444</v>
      </c>
      <c r="E744" s="11" t="s">
        <v>144</v>
      </c>
      <c r="F744" s="3" t="s">
        <v>8</v>
      </c>
      <c r="G744" s="48" t="s">
        <v>61</v>
      </c>
      <c r="H744" s="8"/>
      <c r="I744" s="8"/>
      <c r="J744" s="6" t="s">
        <v>108</v>
      </c>
      <c r="K744" s="38">
        <v>250000</v>
      </c>
      <c r="L744" s="4" t="s">
        <v>29</v>
      </c>
      <c r="M744" s="11">
        <f>_xlfn.NUMBERVALUE(LEFT(Table613[[#This Row],[Fiscal Year]], 4))</f>
        <v>2015</v>
      </c>
      <c r="N744" s="42">
        <f t="shared" si="17"/>
        <v>265433.54430379748</v>
      </c>
      <c r="O744" s="3">
        <v>742</v>
      </c>
    </row>
    <row r="745" spans="1:15" x14ac:dyDescent="0.25">
      <c r="A745" s="3">
        <v>4</v>
      </c>
      <c r="B745" s="3" t="s">
        <v>171</v>
      </c>
      <c r="C745" s="1" t="s">
        <v>12</v>
      </c>
      <c r="D745" s="1" t="s">
        <v>444</v>
      </c>
      <c r="E745" s="11" t="s">
        <v>144</v>
      </c>
      <c r="F745" s="3" t="s">
        <v>8</v>
      </c>
      <c r="G745" s="66" t="s">
        <v>62</v>
      </c>
      <c r="H745" s="8"/>
      <c r="I745" s="8"/>
      <c r="J745" s="6" t="s">
        <v>106</v>
      </c>
      <c r="K745" s="38">
        <v>5000</v>
      </c>
      <c r="L745" s="4" t="s">
        <v>29</v>
      </c>
      <c r="M745" s="11">
        <f>_xlfn.NUMBERVALUE(LEFT(Table613[[#This Row],[Fiscal Year]], 4))</f>
        <v>2015</v>
      </c>
      <c r="N745" s="42">
        <f t="shared" si="17"/>
        <v>5308.6708860759491</v>
      </c>
      <c r="O745" s="3">
        <v>743</v>
      </c>
    </row>
    <row r="746" spans="1:15" x14ac:dyDescent="0.25">
      <c r="A746" s="3">
        <v>4</v>
      </c>
      <c r="B746" s="3" t="s">
        <v>171</v>
      </c>
      <c r="C746" s="1" t="s">
        <v>12</v>
      </c>
      <c r="D746" s="1" t="s">
        <v>444</v>
      </c>
      <c r="E746" s="11" t="s">
        <v>144</v>
      </c>
      <c r="F746" s="3" t="s">
        <v>8</v>
      </c>
      <c r="G746" s="66" t="s">
        <v>211</v>
      </c>
      <c r="H746" s="8"/>
      <c r="I746" s="8"/>
      <c r="J746" s="6" t="s">
        <v>455</v>
      </c>
      <c r="K746" s="38" t="s">
        <v>827</v>
      </c>
      <c r="L746" s="4" t="s">
        <v>29</v>
      </c>
      <c r="M746" s="11">
        <f>_xlfn.NUMBERVALUE(LEFT(Table613[[#This Row],[Fiscal Year]], 4))</f>
        <v>2015</v>
      </c>
      <c r="O746" s="3">
        <v>744</v>
      </c>
    </row>
    <row r="747" spans="1:15" x14ac:dyDescent="0.25">
      <c r="A747" s="3">
        <v>4</v>
      </c>
      <c r="B747" s="3" t="s">
        <v>171</v>
      </c>
      <c r="C747" s="1" t="s">
        <v>12</v>
      </c>
      <c r="D747" s="1" t="s">
        <v>444</v>
      </c>
      <c r="E747" s="11" t="s">
        <v>144</v>
      </c>
      <c r="F747" s="3" t="s">
        <v>8</v>
      </c>
      <c r="G747" s="66" t="s">
        <v>64</v>
      </c>
      <c r="H747" s="8"/>
      <c r="I747" s="8"/>
      <c r="J747" s="6" t="s">
        <v>76</v>
      </c>
      <c r="K747" s="38">
        <v>75000</v>
      </c>
      <c r="L747" s="4" t="s">
        <v>29</v>
      </c>
      <c r="M747" s="11">
        <f>_xlfn.NUMBERVALUE(LEFT(Table613[[#This Row],[Fiscal Year]], 4))</f>
        <v>2015</v>
      </c>
      <c r="N747" s="42">
        <f t="shared" si="17"/>
        <v>79630.063291139231</v>
      </c>
      <c r="O747" s="3">
        <v>745</v>
      </c>
    </row>
    <row r="748" spans="1:15" x14ac:dyDescent="0.25">
      <c r="A748" s="3">
        <v>4</v>
      </c>
      <c r="B748" s="3" t="s">
        <v>171</v>
      </c>
      <c r="C748" s="1" t="s">
        <v>12</v>
      </c>
      <c r="D748" s="1" t="s">
        <v>444</v>
      </c>
      <c r="E748" s="11" t="s">
        <v>144</v>
      </c>
      <c r="F748" s="3" t="s">
        <v>8</v>
      </c>
      <c r="G748" s="66" t="s">
        <v>65</v>
      </c>
      <c r="H748" s="8"/>
      <c r="I748" s="8"/>
      <c r="J748" s="6" t="s">
        <v>76</v>
      </c>
      <c r="K748" s="38" t="s">
        <v>827</v>
      </c>
      <c r="L748" s="4" t="s">
        <v>29</v>
      </c>
      <c r="M748" s="11">
        <f>_xlfn.NUMBERVALUE(LEFT(Table613[[#This Row],[Fiscal Year]], 4))</f>
        <v>2015</v>
      </c>
      <c r="O748" s="3">
        <v>746</v>
      </c>
    </row>
    <row r="749" spans="1:15" x14ac:dyDescent="0.25">
      <c r="A749" s="3">
        <v>4</v>
      </c>
      <c r="B749" s="3" t="s">
        <v>171</v>
      </c>
      <c r="C749" s="1" t="s">
        <v>12</v>
      </c>
      <c r="D749" s="1" t="s">
        <v>444</v>
      </c>
      <c r="E749" s="11" t="s">
        <v>144</v>
      </c>
      <c r="F749" s="3" t="s">
        <v>8</v>
      </c>
      <c r="G749" s="66" t="s">
        <v>66</v>
      </c>
      <c r="H749" s="8"/>
      <c r="I749" s="8"/>
      <c r="J749" s="6" t="s">
        <v>76</v>
      </c>
      <c r="K749" s="38" t="s">
        <v>827</v>
      </c>
      <c r="L749" s="4" t="s">
        <v>29</v>
      </c>
      <c r="M749" s="11">
        <f>_xlfn.NUMBERVALUE(LEFT(Table613[[#This Row],[Fiscal Year]], 4))</f>
        <v>2015</v>
      </c>
      <c r="O749" s="3">
        <v>747</v>
      </c>
    </row>
    <row r="750" spans="1:15" x14ac:dyDescent="0.25">
      <c r="A750" s="3">
        <v>4</v>
      </c>
      <c r="B750" s="3" t="s">
        <v>171</v>
      </c>
      <c r="C750" s="1" t="s">
        <v>12</v>
      </c>
      <c r="D750" s="1" t="s">
        <v>444</v>
      </c>
      <c r="E750" s="11" t="s">
        <v>144</v>
      </c>
      <c r="F750" s="3" t="s">
        <v>8</v>
      </c>
      <c r="G750" s="66" t="s">
        <v>33</v>
      </c>
      <c r="H750" s="8"/>
      <c r="I750" s="8"/>
      <c r="J750" s="6" t="s">
        <v>47</v>
      </c>
      <c r="K750" s="38">
        <v>5000</v>
      </c>
      <c r="L750" s="4" t="s">
        <v>29</v>
      </c>
      <c r="M750" s="11">
        <f>_xlfn.NUMBERVALUE(LEFT(Table613[[#This Row],[Fiscal Year]], 4))</f>
        <v>2015</v>
      </c>
      <c r="N750" s="42">
        <f t="shared" si="17"/>
        <v>5308.6708860759491</v>
      </c>
      <c r="O750" s="3">
        <v>748</v>
      </c>
    </row>
    <row r="751" spans="1:15" x14ac:dyDescent="0.25">
      <c r="A751" s="3">
        <v>4</v>
      </c>
      <c r="B751" s="3" t="s">
        <v>171</v>
      </c>
      <c r="C751" s="1" t="s">
        <v>12</v>
      </c>
      <c r="D751" s="1" t="s">
        <v>444</v>
      </c>
      <c r="E751" s="11" t="s">
        <v>144</v>
      </c>
      <c r="F751" s="3" t="s">
        <v>8</v>
      </c>
      <c r="G751" s="66" t="s">
        <v>67</v>
      </c>
      <c r="H751" s="8" t="s">
        <v>920</v>
      </c>
      <c r="I751" s="8"/>
      <c r="J751" s="6" t="s">
        <v>455</v>
      </c>
      <c r="K751" s="38">
        <v>125000</v>
      </c>
      <c r="L751" s="4" t="s">
        <v>29</v>
      </c>
      <c r="M751" s="11">
        <f>_xlfn.NUMBERVALUE(LEFT(Table613[[#This Row],[Fiscal Year]], 4))</f>
        <v>2015</v>
      </c>
      <c r="N751" s="42">
        <f t="shared" si="17"/>
        <v>132716.77215189874</v>
      </c>
      <c r="O751" s="3">
        <v>749</v>
      </c>
    </row>
    <row r="752" spans="1:15" x14ac:dyDescent="0.25">
      <c r="C752" s="1"/>
      <c r="D752" s="1"/>
      <c r="E752" s="11"/>
      <c r="G752" s="66"/>
      <c r="H752" s="8"/>
      <c r="I752" s="8"/>
      <c r="J752" s="6"/>
      <c r="L752" s="4"/>
      <c r="O752" s="3">
        <v>750</v>
      </c>
    </row>
    <row r="753" spans="1:15" x14ac:dyDescent="0.25">
      <c r="A753" s="3">
        <v>4</v>
      </c>
      <c r="B753" s="3" t="s">
        <v>172</v>
      </c>
      <c r="C753" s="1" t="s">
        <v>12</v>
      </c>
      <c r="D753" s="1" t="s">
        <v>444</v>
      </c>
      <c r="E753" s="11" t="s">
        <v>144</v>
      </c>
      <c r="F753" s="3" t="s">
        <v>8</v>
      </c>
      <c r="G753" s="48" t="s">
        <v>32</v>
      </c>
      <c r="H753" s="8"/>
      <c r="I753" s="8"/>
      <c r="J753" s="6" t="s">
        <v>110</v>
      </c>
      <c r="K753" s="38">
        <v>65000</v>
      </c>
      <c r="L753" s="4" t="s">
        <v>29</v>
      </c>
      <c r="M753" s="11">
        <f>_xlfn.NUMBERVALUE(LEFT(Table613[[#This Row],[Fiscal Year]], 4))</f>
        <v>2015</v>
      </c>
      <c r="N753" s="42">
        <f t="shared" si="17"/>
        <v>69012.721518987339</v>
      </c>
      <c r="O753" s="3">
        <v>751</v>
      </c>
    </row>
    <row r="754" spans="1:15" x14ac:dyDescent="0.25">
      <c r="A754" s="3">
        <v>4</v>
      </c>
      <c r="B754" s="3" t="s">
        <v>172</v>
      </c>
      <c r="C754" s="1" t="s">
        <v>12</v>
      </c>
      <c r="D754" s="1" t="s">
        <v>444</v>
      </c>
      <c r="E754" s="11" t="s">
        <v>144</v>
      </c>
      <c r="F754" s="3" t="s">
        <v>8</v>
      </c>
      <c r="G754" s="66" t="s">
        <v>58</v>
      </c>
      <c r="H754" s="8"/>
      <c r="I754" s="8"/>
      <c r="J754" s="6" t="s">
        <v>453</v>
      </c>
      <c r="K754" s="38">
        <v>25000</v>
      </c>
      <c r="L754" s="4" t="s">
        <v>29</v>
      </c>
      <c r="M754" s="11">
        <f>_xlfn.NUMBERVALUE(LEFT(Table613[[#This Row],[Fiscal Year]], 4))</f>
        <v>2015</v>
      </c>
      <c r="N754" s="42">
        <f t="shared" si="17"/>
        <v>26543.354430379746</v>
      </c>
      <c r="O754" s="3">
        <v>752</v>
      </c>
    </row>
    <row r="755" spans="1:15" x14ac:dyDescent="0.25">
      <c r="A755" s="3">
        <v>4</v>
      </c>
      <c r="B755" s="3" t="s">
        <v>172</v>
      </c>
      <c r="C755" s="1" t="s">
        <v>12</v>
      </c>
      <c r="D755" s="1" t="s">
        <v>444</v>
      </c>
      <c r="E755" s="11" t="s">
        <v>144</v>
      </c>
      <c r="F755" s="3" t="s">
        <v>8</v>
      </c>
      <c r="G755" s="66" t="s">
        <v>208</v>
      </c>
      <c r="H755" s="8"/>
      <c r="I755" s="8"/>
      <c r="J755" s="6" t="s">
        <v>109</v>
      </c>
      <c r="K755" s="38">
        <v>38000</v>
      </c>
      <c r="L755" s="4" t="s">
        <v>29</v>
      </c>
      <c r="M755" s="11">
        <f>_xlfn.NUMBERVALUE(LEFT(Table613[[#This Row],[Fiscal Year]], 4))</f>
        <v>2015</v>
      </c>
      <c r="N755" s="42">
        <f t="shared" si="17"/>
        <v>40345.898734177215</v>
      </c>
      <c r="O755" s="3">
        <v>753</v>
      </c>
    </row>
    <row r="756" spans="1:15" x14ac:dyDescent="0.25">
      <c r="A756" s="3">
        <v>4</v>
      </c>
      <c r="B756" s="3" t="s">
        <v>172</v>
      </c>
      <c r="C756" s="1" t="s">
        <v>12</v>
      </c>
      <c r="D756" s="1" t="s">
        <v>444</v>
      </c>
      <c r="E756" s="11" t="s">
        <v>144</v>
      </c>
      <c r="F756" s="3" t="s">
        <v>8</v>
      </c>
      <c r="G756" s="48" t="s">
        <v>59</v>
      </c>
      <c r="H756" s="8"/>
      <c r="I756" s="8"/>
      <c r="J756" s="6" t="s">
        <v>111</v>
      </c>
      <c r="K756" s="38">
        <v>12000</v>
      </c>
      <c r="L756" s="4" t="s">
        <v>29</v>
      </c>
      <c r="M756" s="11">
        <f>_xlfn.NUMBERVALUE(LEFT(Table613[[#This Row],[Fiscal Year]], 4))</f>
        <v>2015</v>
      </c>
      <c r="N756" s="42">
        <f t="shared" si="17"/>
        <v>12740.810126582277</v>
      </c>
      <c r="O756" s="3">
        <v>754</v>
      </c>
    </row>
    <row r="757" spans="1:15" x14ac:dyDescent="0.25">
      <c r="A757" s="3">
        <v>4</v>
      </c>
      <c r="B757" s="3" t="s">
        <v>172</v>
      </c>
      <c r="C757" s="1" t="s">
        <v>12</v>
      </c>
      <c r="D757" s="1" t="s">
        <v>444</v>
      </c>
      <c r="E757" s="11" t="s">
        <v>144</v>
      </c>
      <c r="F757" s="3" t="s">
        <v>8</v>
      </c>
      <c r="G757" s="66" t="s">
        <v>60</v>
      </c>
      <c r="H757" s="8"/>
      <c r="I757" s="8"/>
      <c r="J757" s="6" t="s">
        <v>111</v>
      </c>
      <c r="K757" s="38">
        <v>9500</v>
      </c>
      <c r="L757" s="4" t="s">
        <v>29</v>
      </c>
      <c r="M757" s="11">
        <f>_xlfn.NUMBERVALUE(LEFT(Table613[[#This Row],[Fiscal Year]], 4))</f>
        <v>2015</v>
      </c>
      <c r="N757" s="42">
        <f t="shared" si="17"/>
        <v>10086.474683544304</v>
      </c>
      <c r="O757" s="3">
        <v>755</v>
      </c>
    </row>
    <row r="758" spans="1:15" x14ac:dyDescent="0.25">
      <c r="A758" s="3">
        <v>4</v>
      </c>
      <c r="B758" s="3" t="s">
        <v>172</v>
      </c>
      <c r="C758" s="1" t="s">
        <v>12</v>
      </c>
      <c r="D758" s="1" t="s">
        <v>444</v>
      </c>
      <c r="E758" s="11" t="s">
        <v>144</v>
      </c>
      <c r="F758" s="3" t="s">
        <v>8</v>
      </c>
      <c r="G758" s="48" t="s">
        <v>61</v>
      </c>
      <c r="H758" s="8"/>
      <c r="I758" s="8"/>
      <c r="J758" s="6" t="s">
        <v>108</v>
      </c>
      <c r="K758" s="38">
        <v>7500</v>
      </c>
      <c r="L758" s="4" t="s">
        <v>29</v>
      </c>
      <c r="M758" s="11">
        <f>_xlfn.NUMBERVALUE(LEFT(Table613[[#This Row],[Fiscal Year]], 4))</f>
        <v>2015</v>
      </c>
      <c r="N758" s="42">
        <f t="shared" si="17"/>
        <v>7963.006329113924</v>
      </c>
      <c r="O758" s="3">
        <v>756</v>
      </c>
    </row>
    <row r="759" spans="1:15" x14ac:dyDescent="0.25">
      <c r="A759" s="3">
        <v>4</v>
      </c>
      <c r="B759" s="3" t="s">
        <v>172</v>
      </c>
      <c r="C759" s="1" t="s">
        <v>12</v>
      </c>
      <c r="D759" s="1" t="s">
        <v>444</v>
      </c>
      <c r="E759" s="11" t="s">
        <v>144</v>
      </c>
      <c r="F759" s="3" t="s">
        <v>8</v>
      </c>
      <c r="G759" s="66" t="s">
        <v>62</v>
      </c>
      <c r="H759" s="8"/>
      <c r="I759" s="8"/>
      <c r="J759" s="6" t="s">
        <v>106</v>
      </c>
      <c r="K759" s="38">
        <v>1500</v>
      </c>
      <c r="L759" s="4" t="s">
        <v>29</v>
      </c>
      <c r="M759" s="11">
        <f>_xlfn.NUMBERVALUE(LEFT(Table613[[#This Row],[Fiscal Year]], 4))</f>
        <v>2015</v>
      </c>
      <c r="N759" s="42">
        <f t="shared" si="17"/>
        <v>1592.6012658227846</v>
      </c>
      <c r="O759" s="3">
        <v>757</v>
      </c>
    </row>
    <row r="760" spans="1:15" x14ac:dyDescent="0.25">
      <c r="A760" s="3">
        <v>4</v>
      </c>
      <c r="B760" s="3" t="s">
        <v>172</v>
      </c>
      <c r="C760" s="1" t="s">
        <v>12</v>
      </c>
      <c r="D760" s="1" t="s">
        <v>444</v>
      </c>
      <c r="E760" s="11" t="s">
        <v>144</v>
      </c>
      <c r="F760" s="3" t="s">
        <v>8</v>
      </c>
      <c r="G760" s="66" t="s">
        <v>211</v>
      </c>
      <c r="H760" s="8"/>
      <c r="I760" s="8"/>
      <c r="J760" s="6" t="s">
        <v>455</v>
      </c>
      <c r="K760" s="38">
        <v>3500</v>
      </c>
      <c r="L760" s="4" t="s">
        <v>29</v>
      </c>
      <c r="M760" s="11">
        <f>_xlfn.NUMBERVALUE(LEFT(Table613[[#This Row],[Fiscal Year]], 4))</f>
        <v>2015</v>
      </c>
      <c r="N760" s="42">
        <f t="shared" si="17"/>
        <v>3716.0696202531644</v>
      </c>
      <c r="O760" s="3">
        <v>758</v>
      </c>
    </row>
    <row r="761" spans="1:15" x14ac:dyDescent="0.25">
      <c r="A761" s="3">
        <v>4</v>
      </c>
      <c r="B761" s="3" t="s">
        <v>172</v>
      </c>
      <c r="C761" s="1" t="s">
        <v>12</v>
      </c>
      <c r="D761" s="1" t="s">
        <v>444</v>
      </c>
      <c r="E761" s="11" t="s">
        <v>144</v>
      </c>
      <c r="F761" s="3" t="s">
        <v>8</v>
      </c>
      <c r="G761" s="66" t="s">
        <v>64</v>
      </c>
      <c r="H761" s="8"/>
      <c r="I761" s="8"/>
      <c r="J761" s="6" t="s">
        <v>76</v>
      </c>
      <c r="K761" s="38">
        <v>35000</v>
      </c>
      <c r="L761" s="4" t="s">
        <v>29</v>
      </c>
      <c r="M761" s="11">
        <f>_xlfn.NUMBERVALUE(LEFT(Table613[[#This Row],[Fiscal Year]], 4))</f>
        <v>2015</v>
      </c>
      <c r="N761" s="42">
        <f t="shared" si="17"/>
        <v>37160.696202531646</v>
      </c>
      <c r="O761" s="3">
        <v>759</v>
      </c>
    </row>
    <row r="762" spans="1:15" x14ac:dyDescent="0.25">
      <c r="A762" s="3">
        <v>4</v>
      </c>
      <c r="B762" s="3" t="s">
        <v>172</v>
      </c>
      <c r="C762" s="1" t="s">
        <v>12</v>
      </c>
      <c r="D762" s="1" t="s">
        <v>444</v>
      </c>
      <c r="E762" s="11" t="s">
        <v>144</v>
      </c>
      <c r="F762" s="3" t="s">
        <v>8</v>
      </c>
      <c r="G762" s="66" t="s">
        <v>65</v>
      </c>
      <c r="H762" s="8"/>
      <c r="I762" s="8"/>
      <c r="J762" s="6" t="s">
        <v>76</v>
      </c>
      <c r="K762" s="38">
        <v>95000</v>
      </c>
      <c r="L762" s="4" t="s">
        <v>29</v>
      </c>
      <c r="M762" s="11">
        <f>_xlfn.NUMBERVALUE(LEFT(Table613[[#This Row],[Fiscal Year]], 4))</f>
        <v>2015</v>
      </c>
      <c r="N762" s="42">
        <f t="shared" si="17"/>
        <v>100864.74683544303</v>
      </c>
      <c r="O762" s="3">
        <v>760</v>
      </c>
    </row>
    <row r="763" spans="1:15" x14ac:dyDescent="0.25">
      <c r="A763" s="3">
        <v>4</v>
      </c>
      <c r="B763" s="3" t="s">
        <v>172</v>
      </c>
      <c r="C763" s="1" t="s">
        <v>12</v>
      </c>
      <c r="D763" s="1" t="s">
        <v>444</v>
      </c>
      <c r="E763" s="11" t="s">
        <v>144</v>
      </c>
      <c r="F763" s="3" t="s">
        <v>8</v>
      </c>
      <c r="G763" s="66" t="s">
        <v>66</v>
      </c>
      <c r="H763" s="8"/>
      <c r="I763" s="8"/>
      <c r="J763" s="6" t="s">
        <v>76</v>
      </c>
      <c r="K763" s="38">
        <v>650000</v>
      </c>
      <c r="L763" s="4" t="s">
        <v>29</v>
      </c>
      <c r="M763" s="11">
        <f>_xlfn.NUMBERVALUE(LEFT(Table613[[#This Row],[Fiscal Year]], 4))</f>
        <v>2015</v>
      </c>
      <c r="N763" s="42">
        <f t="shared" si="17"/>
        <v>690127.21518987336</v>
      </c>
      <c r="O763" s="3">
        <v>761</v>
      </c>
    </row>
    <row r="764" spans="1:15" x14ac:dyDescent="0.25">
      <c r="A764" s="3">
        <v>4</v>
      </c>
      <c r="B764" s="3" t="s">
        <v>172</v>
      </c>
      <c r="C764" s="1" t="s">
        <v>12</v>
      </c>
      <c r="D764" s="1" t="s">
        <v>444</v>
      </c>
      <c r="E764" s="11" t="s">
        <v>144</v>
      </c>
      <c r="F764" s="3" t="s">
        <v>8</v>
      </c>
      <c r="G764" s="66" t="s">
        <v>33</v>
      </c>
      <c r="H764" s="8"/>
      <c r="I764" s="8"/>
      <c r="J764" s="6" t="s">
        <v>47</v>
      </c>
      <c r="K764" s="38">
        <v>78000</v>
      </c>
      <c r="L764" s="4" t="s">
        <v>29</v>
      </c>
      <c r="M764" s="11">
        <f>_xlfn.NUMBERVALUE(LEFT(Table613[[#This Row],[Fiscal Year]], 4))</f>
        <v>2015</v>
      </c>
      <c r="N764" s="42">
        <f t="shared" si="17"/>
        <v>82815.265822784801</v>
      </c>
      <c r="O764" s="3">
        <v>762</v>
      </c>
    </row>
    <row r="765" spans="1:15" x14ac:dyDescent="0.25">
      <c r="A765" s="3">
        <v>4</v>
      </c>
      <c r="B765" s="3" t="s">
        <v>172</v>
      </c>
      <c r="C765" s="1" t="s">
        <v>12</v>
      </c>
      <c r="D765" s="1" t="s">
        <v>444</v>
      </c>
      <c r="E765" s="11" t="s">
        <v>144</v>
      </c>
      <c r="F765" s="3" t="s">
        <v>8</v>
      </c>
      <c r="G765" s="66" t="s">
        <v>67</v>
      </c>
      <c r="H765" s="8"/>
      <c r="I765" s="8"/>
      <c r="J765" s="6" t="s">
        <v>455</v>
      </c>
      <c r="K765" s="38">
        <v>58000</v>
      </c>
      <c r="L765" s="4" t="s">
        <v>29</v>
      </c>
      <c r="M765" s="11">
        <f>_xlfn.NUMBERVALUE(LEFT(Table613[[#This Row],[Fiscal Year]], 4))</f>
        <v>2015</v>
      </c>
      <c r="N765" s="42">
        <f t="shared" si="17"/>
        <v>61580.582278481008</v>
      </c>
      <c r="O765" s="3">
        <v>763</v>
      </c>
    </row>
    <row r="766" spans="1:15" x14ac:dyDescent="0.25">
      <c r="C766" s="1"/>
      <c r="D766" s="1"/>
      <c r="E766" s="11"/>
      <c r="G766" s="66"/>
      <c r="H766" s="8"/>
      <c r="I766" s="8"/>
      <c r="J766" s="6"/>
      <c r="L766" s="4"/>
      <c r="O766" s="3">
        <v>764</v>
      </c>
    </row>
    <row r="767" spans="1:15" x14ac:dyDescent="0.25">
      <c r="A767" s="3">
        <v>4</v>
      </c>
      <c r="B767" s="3" t="s">
        <v>173</v>
      </c>
      <c r="C767" s="1" t="s">
        <v>12</v>
      </c>
      <c r="D767" s="1" t="s">
        <v>444</v>
      </c>
      <c r="E767" s="11" t="s">
        <v>144</v>
      </c>
      <c r="F767" s="3" t="s">
        <v>8</v>
      </c>
      <c r="G767" s="48" t="s">
        <v>32</v>
      </c>
      <c r="H767" s="8"/>
      <c r="I767" s="8"/>
      <c r="J767" s="6" t="s">
        <v>110</v>
      </c>
      <c r="K767" s="38">
        <v>45425</v>
      </c>
      <c r="L767" s="4" t="s">
        <v>29</v>
      </c>
      <c r="M767" s="11">
        <f>_xlfn.NUMBERVALUE(LEFT(Table613[[#This Row],[Fiscal Year]], 4))</f>
        <v>2015</v>
      </c>
      <c r="N767" s="42">
        <f t="shared" si="17"/>
        <v>48229.274999999994</v>
      </c>
      <c r="O767" s="3">
        <v>765</v>
      </c>
    </row>
    <row r="768" spans="1:15" x14ac:dyDescent="0.25">
      <c r="A768" s="3">
        <v>4</v>
      </c>
      <c r="B768" s="3" t="s">
        <v>173</v>
      </c>
      <c r="C768" s="1" t="s">
        <v>12</v>
      </c>
      <c r="D768" s="1" t="s">
        <v>444</v>
      </c>
      <c r="E768" s="11" t="s">
        <v>144</v>
      </c>
      <c r="F768" s="3" t="s">
        <v>8</v>
      </c>
      <c r="G768" s="66" t="s">
        <v>58</v>
      </c>
      <c r="H768" s="8"/>
      <c r="I768" s="8"/>
      <c r="J768" s="6" t="s">
        <v>453</v>
      </c>
      <c r="K768" s="38">
        <v>550</v>
      </c>
      <c r="L768" s="4" t="s">
        <v>29</v>
      </c>
      <c r="M768" s="11">
        <f>_xlfn.NUMBERVALUE(LEFT(Table613[[#This Row],[Fiscal Year]], 4))</f>
        <v>2015</v>
      </c>
      <c r="N768" s="42">
        <f t="shared" si="17"/>
        <v>583.95379746835442</v>
      </c>
      <c r="O768" s="3">
        <v>766</v>
      </c>
    </row>
    <row r="769" spans="1:15" x14ac:dyDescent="0.25">
      <c r="A769" s="3">
        <v>4</v>
      </c>
      <c r="B769" s="3" t="s">
        <v>173</v>
      </c>
      <c r="C769" s="1" t="s">
        <v>12</v>
      </c>
      <c r="D769" s="1" t="s">
        <v>444</v>
      </c>
      <c r="E769" s="11" t="s">
        <v>144</v>
      </c>
      <c r="F769" s="3" t="s">
        <v>8</v>
      </c>
      <c r="G769" s="66" t="s">
        <v>208</v>
      </c>
      <c r="H769" s="8"/>
      <c r="I769" s="8"/>
      <c r="J769" s="6" t="s">
        <v>109</v>
      </c>
      <c r="K769" s="38" t="s">
        <v>28</v>
      </c>
      <c r="L769" s="4" t="s">
        <v>29</v>
      </c>
      <c r="M769" s="11">
        <f>_xlfn.NUMBERVALUE(LEFT(Table613[[#This Row],[Fiscal Year]], 4))</f>
        <v>2015</v>
      </c>
      <c r="O769" s="3">
        <v>767</v>
      </c>
    </row>
    <row r="770" spans="1:15" x14ac:dyDescent="0.25">
      <c r="A770" s="3">
        <v>4</v>
      </c>
      <c r="B770" s="3" t="s">
        <v>173</v>
      </c>
      <c r="C770" s="1" t="s">
        <v>12</v>
      </c>
      <c r="D770" s="1" t="s">
        <v>444</v>
      </c>
      <c r="E770" s="11" t="s">
        <v>144</v>
      </c>
      <c r="F770" s="3" t="s">
        <v>8</v>
      </c>
      <c r="G770" s="48" t="s">
        <v>59</v>
      </c>
      <c r="H770" s="8"/>
      <c r="I770" s="8"/>
      <c r="J770" s="6" t="s">
        <v>111</v>
      </c>
      <c r="K770" s="38">
        <v>0</v>
      </c>
      <c r="L770" s="4" t="s">
        <v>29</v>
      </c>
      <c r="M770" s="11">
        <f>_xlfn.NUMBERVALUE(LEFT(Table613[[#This Row],[Fiscal Year]], 4))</f>
        <v>2015</v>
      </c>
      <c r="N770" s="43">
        <f t="shared" si="17"/>
        <v>0</v>
      </c>
      <c r="O770" s="3">
        <v>768</v>
      </c>
    </row>
    <row r="771" spans="1:15" x14ac:dyDescent="0.25">
      <c r="A771" s="3">
        <v>4</v>
      </c>
      <c r="B771" s="3" t="s">
        <v>173</v>
      </c>
      <c r="C771" s="1" t="s">
        <v>12</v>
      </c>
      <c r="D771" s="1" t="s">
        <v>444</v>
      </c>
      <c r="E771" s="11" t="s">
        <v>144</v>
      </c>
      <c r="F771" s="3" t="s">
        <v>8</v>
      </c>
      <c r="G771" s="66" t="s">
        <v>60</v>
      </c>
      <c r="H771" s="8"/>
      <c r="I771" s="8"/>
      <c r="J771" s="6" t="s">
        <v>111</v>
      </c>
      <c r="K771" s="38">
        <v>750</v>
      </c>
      <c r="L771" s="4" t="s">
        <v>29</v>
      </c>
      <c r="M771" s="11">
        <f>_xlfn.NUMBERVALUE(LEFT(Table613[[#This Row],[Fiscal Year]], 4))</f>
        <v>2015</v>
      </c>
      <c r="N771" s="42">
        <f t="shared" si="17"/>
        <v>796.30063291139231</v>
      </c>
      <c r="O771" s="3">
        <v>769</v>
      </c>
    </row>
    <row r="772" spans="1:15" x14ac:dyDescent="0.25">
      <c r="A772" s="3">
        <v>4</v>
      </c>
      <c r="B772" s="3" t="s">
        <v>173</v>
      </c>
      <c r="C772" s="1" t="s">
        <v>12</v>
      </c>
      <c r="D772" s="1" t="s">
        <v>444</v>
      </c>
      <c r="E772" s="11" t="s">
        <v>144</v>
      </c>
      <c r="F772" s="3" t="s">
        <v>8</v>
      </c>
      <c r="G772" s="48" t="s">
        <v>61</v>
      </c>
      <c r="H772" s="8"/>
      <c r="I772" s="8"/>
      <c r="J772" s="6" t="s">
        <v>108</v>
      </c>
      <c r="K772" s="38">
        <v>2556</v>
      </c>
      <c r="L772" s="4" t="s">
        <v>29</v>
      </c>
      <c r="M772" s="11">
        <f>_xlfn.NUMBERVALUE(LEFT(Table613[[#This Row],[Fiscal Year]], 4))</f>
        <v>2015</v>
      </c>
      <c r="N772" s="42">
        <f t="shared" si="17"/>
        <v>2713.7925569620252</v>
      </c>
      <c r="O772" s="3">
        <v>770</v>
      </c>
    </row>
    <row r="773" spans="1:15" x14ac:dyDescent="0.25">
      <c r="A773" s="3">
        <v>4</v>
      </c>
      <c r="B773" s="3" t="s">
        <v>173</v>
      </c>
      <c r="C773" s="1" t="s">
        <v>12</v>
      </c>
      <c r="D773" s="1" t="s">
        <v>444</v>
      </c>
      <c r="E773" s="11" t="s">
        <v>144</v>
      </c>
      <c r="F773" s="3" t="s">
        <v>8</v>
      </c>
      <c r="G773" s="66" t="s">
        <v>62</v>
      </c>
      <c r="H773" s="8"/>
      <c r="I773" s="8"/>
      <c r="J773" s="6" t="s">
        <v>106</v>
      </c>
      <c r="K773" s="38">
        <v>0</v>
      </c>
      <c r="L773" s="4" t="s">
        <v>29</v>
      </c>
      <c r="M773" s="11">
        <f>_xlfn.NUMBERVALUE(LEFT(Table613[[#This Row],[Fiscal Year]], 4))</f>
        <v>2015</v>
      </c>
      <c r="N773" s="43">
        <f t="shared" si="17"/>
        <v>0</v>
      </c>
      <c r="O773" s="3">
        <v>771</v>
      </c>
    </row>
    <row r="774" spans="1:15" x14ac:dyDescent="0.25">
      <c r="A774" s="3">
        <v>4</v>
      </c>
      <c r="B774" s="3" t="s">
        <v>173</v>
      </c>
      <c r="C774" s="1" t="s">
        <v>12</v>
      </c>
      <c r="D774" s="1" t="s">
        <v>444</v>
      </c>
      <c r="E774" s="11" t="s">
        <v>144</v>
      </c>
      <c r="F774" s="3" t="s">
        <v>8</v>
      </c>
      <c r="G774" s="66" t="s">
        <v>211</v>
      </c>
      <c r="H774" s="8"/>
      <c r="I774" s="8"/>
      <c r="J774" s="6" t="s">
        <v>455</v>
      </c>
      <c r="K774" s="38">
        <v>0</v>
      </c>
      <c r="L774" s="4" t="s">
        <v>29</v>
      </c>
      <c r="M774" s="11">
        <f>_xlfn.NUMBERVALUE(LEFT(Table613[[#This Row],[Fiscal Year]], 4))</f>
        <v>2015</v>
      </c>
      <c r="N774" s="43">
        <f t="shared" si="17"/>
        <v>0</v>
      </c>
      <c r="O774" s="3">
        <v>772</v>
      </c>
    </row>
    <row r="775" spans="1:15" x14ac:dyDescent="0.25">
      <c r="A775" s="3">
        <v>4</v>
      </c>
      <c r="B775" s="3" t="s">
        <v>173</v>
      </c>
      <c r="C775" s="1" t="s">
        <v>12</v>
      </c>
      <c r="D775" s="1" t="s">
        <v>444</v>
      </c>
      <c r="E775" s="11" t="s">
        <v>144</v>
      </c>
      <c r="F775" s="3" t="s">
        <v>8</v>
      </c>
      <c r="G775" s="66" t="s">
        <v>64</v>
      </c>
      <c r="H775" s="8"/>
      <c r="I775" s="8"/>
      <c r="J775" s="6" t="s">
        <v>76</v>
      </c>
      <c r="K775" s="38">
        <v>0</v>
      </c>
      <c r="L775" s="4" t="s">
        <v>29</v>
      </c>
      <c r="M775" s="11">
        <f>_xlfn.NUMBERVALUE(LEFT(Table613[[#This Row],[Fiscal Year]], 4))</f>
        <v>2015</v>
      </c>
      <c r="N775" s="43">
        <f t="shared" si="17"/>
        <v>0</v>
      </c>
      <c r="O775" s="3">
        <v>773</v>
      </c>
    </row>
    <row r="776" spans="1:15" x14ac:dyDescent="0.25">
      <c r="A776" s="3">
        <v>4</v>
      </c>
      <c r="B776" s="3" t="s">
        <v>173</v>
      </c>
      <c r="C776" s="1" t="s">
        <v>12</v>
      </c>
      <c r="D776" s="1" t="s">
        <v>444</v>
      </c>
      <c r="E776" s="11" t="s">
        <v>144</v>
      </c>
      <c r="F776" s="3" t="s">
        <v>8</v>
      </c>
      <c r="G776" s="66" t="s">
        <v>65</v>
      </c>
      <c r="H776" s="8"/>
      <c r="I776" s="8"/>
      <c r="J776" s="6" t="s">
        <v>76</v>
      </c>
      <c r="K776" s="38">
        <v>0</v>
      </c>
      <c r="L776" s="4" t="s">
        <v>29</v>
      </c>
      <c r="M776" s="11">
        <f>_xlfn.NUMBERVALUE(LEFT(Table613[[#This Row],[Fiscal Year]], 4))</f>
        <v>2015</v>
      </c>
      <c r="N776" s="43">
        <f t="shared" si="17"/>
        <v>0</v>
      </c>
      <c r="O776" s="3">
        <v>774</v>
      </c>
    </row>
    <row r="777" spans="1:15" x14ac:dyDescent="0.25">
      <c r="A777" s="3">
        <v>4</v>
      </c>
      <c r="B777" s="3" t="s">
        <v>173</v>
      </c>
      <c r="C777" s="1" t="s">
        <v>12</v>
      </c>
      <c r="D777" s="1" t="s">
        <v>444</v>
      </c>
      <c r="E777" s="11" t="s">
        <v>144</v>
      </c>
      <c r="F777" s="3" t="s">
        <v>8</v>
      </c>
      <c r="G777" s="66" t="s">
        <v>66</v>
      </c>
      <c r="H777" s="8"/>
      <c r="I777" s="8"/>
      <c r="J777" s="6" t="s">
        <v>76</v>
      </c>
      <c r="K777" s="38">
        <v>0</v>
      </c>
      <c r="L777" s="4" t="s">
        <v>29</v>
      </c>
      <c r="M777" s="11">
        <f>_xlfn.NUMBERVALUE(LEFT(Table613[[#This Row],[Fiscal Year]], 4))</f>
        <v>2015</v>
      </c>
      <c r="N777" s="43">
        <f t="shared" si="17"/>
        <v>0</v>
      </c>
      <c r="O777" s="3">
        <v>775</v>
      </c>
    </row>
    <row r="778" spans="1:15" x14ac:dyDescent="0.25">
      <c r="A778" s="3">
        <v>4</v>
      </c>
      <c r="B778" s="3" t="s">
        <v>173</v>
      </c>
      <c r="C778" s="1" t="s">
        <v>12</v>
      </c>
      <c r="D778" s="1" t="s">
        <v>444</v>
      </c>
      <c r="E778" s="11" t="s">
        <v>144</v>
      </c>
      <c r="F778" s="3" t="s">
        <v>8</v>
      </c>
      <c r="G778" s="66" t="s">
        <v>33</v>
      </c>
      <c r="H778" s="8"/>
      <c r="I778" s="8"/>
      <c r="J778" s="6" t="s">
        <v>47</v>
      </c>
      <c r="K778" s="38">
        <v>41200</v>
      </c>
      <c r="L778" s="4" t="s">
        <v>29</v>
      </c>
      <c r="M778" s="11">
        <f>_xlfn.NUMBERVALUE(LEFT(Table613[[#This Row],[Fiscal Year]], 4))</f>
        <v>2015</v>
      </c>
      <c r="N778" s="42">
        <f t="shared" si="17"/>
        <v>43743.448101265822</v>
      </c>
      <c r="O778" s="3">
        <v>776</v>
      </c>
    </row>
    <row r="779" spans="1:15" x14ac:dyDescent="0.25">
      <c r="A779" s="3">
        <v>4</v>
      </c>
      <c r="B779" s="3" t="s">
        <v>173</v>
      </c>
      <c r="C779" s="1" t="s">
        <v>12</v>
      </c>
      <c r="D779" s="1" t="s">
        <v>444</v>
      </c>
      <c r="E779" s="11" t="s">
        <v>144</v>
      </c>
      <c r="F779" s="3" t="s">
        <v>8</v>
      </c>
      <c r="G779" s="66" t="s">
        <v>67</v>
      </c>
      <c r="H779" s="8"/>
      <c r="I779" s="8"/>
      <c r="J779" s="6" t="s">
        <v>455</v>
      </c>
      <c r="K779" s="38">
        <v>22100</v>
      </c>
      <c r="L779" s="4" t="s">
        <v>29</v>
      </c>
      <c r="M779" s="11">
        <f>_xlfn.NUMBERVALUE(LEFT(Table613[[#This Row],[Fiscal Year]], 4))</f>
        <v>2015</v>
      </c>
      <c r="N779" s="42">
        <f t="shared" ref="N779:N842" si="18">K779*(1+VLOOKUP(M779,$AF$8:$AH$31,3,0))</f>
        <v>23464.325316455695</v>
      </c>
      <c r="O779" s="3">
        <v>777</v>
      </c>
    </row>
    <row r="780" spans="1:15" x14ac:dyDescent="0.25">
      <c r="C780" s="1"/>
      <c r="D780" s="1"/>
      <c r="G780" s="66"/>
      <c r="H780" s="8"/>
      <c r="I780" s="8"/>
      <c r="J780" s="6"/>
      <c r="L780" s="4"/>
      <c r="O780" s="3">
        <v>778</v>
      </c>
    </row>
    <row r="781" spans="1:15" x14ac:dyDescent="0.25">
      <c r="A781" s="3">
        <v>4</v>
      </c>
      <c r="B781" s="3" t="s">
        <v>174</v>
      </c>
      <c r="C781" s="1" t="s">
        <v>12</v>
      </c>
      <c r="D781" s="1" t="s">
        <v>444</v>
      </c>
      <c r="E781" s="11" t="s">
        <v>144</v>
      </c>
      <c r="F781" s="3" t="s">
        <v>8</v>
      </c>
      <c r="G781" s="48" t="s">
        <v>32</v>
      </c>
      <c r="H781" s="8"/>
      <c r="I781" s="8"/>
      <c r="J781" s="6" t="s">
        <v>110</v>
      </c>
      <c r="K781" s="38">
        <v>90000</v>
      </c>
      <c r="L781" s="4" t="s">
        <v>29</v>
      </c>
      <c r="M781" s="11">
        <f>_xlfn.NUMBERVALUE(LEFT(Table613[[#This Row],[Fiscal Year]], 4))</f>
        <v>2015</v>
      </c>
      <c r="N781" s="42">
        <f t="shared" si="18"/>
        <v>95556.075949367078</v>
      </c>
      <c r="O781" s="3">
        <v>779</v>
      </c>
    </row>
    <row r="782" spans="1:15" x14ac:dyDescent="0.25">
      <c r="A782" s="3">
        <v>4</v>
      </c>
      <c r="B782" s="3" t="s">
        <v>174</v>
      </c>
      <c r="C782" s="1" t="s">
        <v>12</v>
      </c>
      <c r="D782" s="1" t="s">
        <v>444</v>
      </c>
      <c r="E782" s="11" t="s">
        <v>144</v>
      </c>
      <c r="F782" s="3" t="s">
        <v>8</v>
      </c>
      <c r="G782" s="66" t="s">
        <v>58</v>
      </c>
      <c r="H782" s="8"/>
      <c r="I782" s="8"/>
      <c r="J782" s="6" t="s">
        <v>453</v>
      </c>
      <c r="K782" s="38">
        <v>2500</v>
      </c>
      <c r="L782" s="4" t="s">
        <v>29</v>
      </c>
      <c r="M782" s="11">
        <f>_xlfn.NUMBERVALUE(LEFT(Table613[[#This Row],[Fiscal Year]], 4))</f>
        <v>2015</v>
      </c>
      <c r="N782" s="42">
        <f t="shared" si="18"/>
        <v>2654.3354430379745</v>
      </c>
      <c r="O782" s="3">
        <v>780</v>
      </c>
    </row>
    <row r="783" spans="1:15" x14ac:dyDescent="0.25">
      <c r="A783" s="3">
        <v>4</v>
      </c>
      <c r="B783" s="3" t="s">
        <v>174</v>
      </c>
      <c r="C783" s="1" t="s">
        <v>12</v>
      </c>
      <c r="D783" s="1" t="s">
        <v>444</v>
      </c>
      <c r="E783" s="11" t="s">
        <v>144</v>
      </c>
      <c r="F783" s="3" t="s">
        <v>8</v>
      </c>
      <c r="G783" s="66" t="s">
        <v>208</v>
      </c>
      <c r="H783" s="8"/>
      <c r="I783" s="8"/>
      <c r="J783" s="6" t="s">
        <v>109</v>
      </c>
      <c r="K783" s="38" t="s">
        <v>827</v>
      </c>
      <c r="L783" s="4" t="s">
        <v>29</v>
      </c>
      <c r="M783" s="11">
        <f>_xlfn.NUMBERVALUE(LEFT(Table613[[#This Row],[Fiscal Year]], 4))</f>
        <v>2015</v>
      </c>
      <c r="O783" s="3">
        <v>781</v>
      </c>
    </row>
    <row r="784" spans="1:15" x14ac:dyDescent="0.25">
      <c r="A784" s="3">
        <v>4</v>
      </c>
      <c r="B784" s="3" t="s">
        <v>174</v>
      </c>
      <c r="C784" s="1" t="s">
        <v>12</v>
      </c>
      <c r="D784" s="1" t="s">
        <v>444</v>
      </c>
      <c r="E784" s="11" t="s">
        <v>144</v>
      </c>
      <c r="F784" s="3" t="s">
        <v>8</v>
      </c>
      <c r="G784" s="48" t="s">
        <v>59</v>
      </c>
      <c r="H784" s="8"/>
      <c r="I784" s="8"/>
      <c r="J784" s="6" t="s">
        <v>111</v>
      </c>
      <c r="K784" s="38" t="s">
        <v>827</v>
      </c>
      <c r="L784" s="4" t="s">
        <v>29</v>
      </c>
      <c r="M784" s="11">
        <f>_xlfn.NUMBERVALUE(LEFT(Table613[[#This Row],[Fiscal Year]], 4))</f>
        <v>2015</v>
      </c>
      <c r="O784" s="3">
        <v>782</v>
      </c>
    </row>
    <row r="785" spans="1:15" x14ac:dyDescent="0.25">
      <c r="A785" s="3">
        <v>4</v>
      </c>
      <c r="B785" s="3" t="s">
        <v>174</v>
      </c>
      <c r="C785" s="1" t="s">
        <v>12</v>
      </c>
      <c r="D785" s="1" t="s">
        <v>444</v>
      </c>
      <c r="E785" s="11" t="s">
        <v>144</v>
      </c>
      <c r="F785" s="3" t="s">
        <v>8</v>
      </c>
      <c r="G785" s="66" t="s">
        <v>60</v>
      </c>
      <c r="H785" s="8"/>
      <c r="I785" s="8"/>
      <c r="J785" s="6" t="s">
        <v>111</v>
      </c>
      <c r="K785" s="38">
        <v>1500</v>
      </c>
      <c r="L785" s="4" t="s">
        <v>29</v>
      </c>
      <c r="M785" s="11">
        <f>_xlfn.NUMBERVALUE(LEFT(Table613[[#This Row],[Fiscal Year]], 4))</f>
        <v>2015</v>
      </c>
      <c r="N785" s="42">
        <f t="shared" si="18"/>
        <v>1592.6012658227846</v>
      </c>
      <c r="O785" s="3">
        <v>783</v>
      </c>
    </row>
    <row r="786" spans="1:15" x14ac:dyDescent="0.25">
      <c r="A786" s="3">
        <v>4</v>
      </c>
      <c r="B786" s="3" t="s">
        <v>174</v>
      </c>
      <c r="C786" s="1" t="s">
        <v>12</v>
      </c>
      <c r="D786" s="1" t="s">
        <v>444</v>
      </c>
      <c r="E786" s="11" t="s">
        <v>144</v>
      </c>
      <c r="F786" s="3" t="s">
        <v>8</v>
      </c>
      <c r="G786" s="48" t="s">
        <v>61</v>
      </c>
      <c r="H786" s="8"/>
      <c r="I786" s="8"/>
      <c r="J786" s="6" t="s">
        <v>108</v>
      </c>
      <c r="K786" s="38">
        <v>5000</v>
      </c>
      <c r="L786" s="4" t="s">
        <v>29</v>
      </c>
      <c r="M786" s="11">
        <f>_xlfn.NUMBERVALUE(LEFT(Table613[[#This Row],[Fiscal Year]], 4))</f>
        <v>2015</v>
      </c>
      <c r="N786" s="42">
        <f t="shared" si="18"/>
        <v>5308.6708860759491</v>
      </c>
      <c r="O786" s="3">
        <v>784</v>
      </c>
    </row>
    <row r="787" spans="1:15" x14ac:dyDescent="0.25">
      <c r="A787" s="3">
        <v>4</v>
      </c>
      <c r="B787" s="3" t="s">
        <v>174</v>
      </c>
      <c r="C787" s="1" t="s">
        <v>12</v>
      </c>
      <c r="D787" s="1" t="s">
        <v>444</v>
      </c>
      <c r="E787" s="11" t="s">
        <v>144</v>
      </c>
      <c r="F787" s="3" t="s">
        <v>8</v>
      </c>
      <c r="G787" s="66" t="s">
        <v>62</v>
      </c>
      <c r="H787" s="8"/>
      <c r="I787" s="8"/>
      <c r="J787" s="6" t="s">
        <v>106</v>
      </c>
      <c r="K787" s="38">
        <v>4500</v>
      </c>
      <c r="L787" s="4" t="s">
        <v>29</v>
      </c>
      <c r="M787" s="11">
        <f>_xlfn.NUMBERVALUE(LEFT(Table613[[#This Row],[Fiscal Year]], 4))</f>
        <v>2015</v>
      </c>
      <c r="N787" s="42">
        <f t="shared" si="18"/>
        <v>4777.8037974683539</v>
      </c>
      <c r="O787" s="3">
        <v>785</v>
      </c>
    </row>
    <row r="788" spans="1:15" x14ac:dyDescent="0.25">
      <c r="A788" s="3">
        <v>4</v>
      </c>
      <c r="B788" s="3" t="s">
        <v>174</v>
      </c>
      <c r="C788" s="1" t="s">
        <v>12</v>
      </c>
      <c r="D788" s="1" t="s">
        <v>444</v>
      </c>
      <c r="E788" s="11" t="s">
        <v>144</v>
      </c>
      <c r="F788" s="3" t="s">
        <v>8</v>
      </c>
      <c r="G788" s="66" t="s">
        <v>211</v>
      </c>
      <c r="H788" s="8"/>
      <c r="I788" s="8"/>
      <c r="J788" s="6" t="s">
        <v>455</v>
      </c>
      <c r="K788" s="38" t="s">
        <v>827</v>
      </c>
      <c r="L788" s="4" t="s">
        <v>29</v>
      </c>
      <c r="M788" s="11">
        <f>_xlfn.NUMBERVALUE(LEFT(Table613[[#This Row],[Fiscal Year]], 4))</f>
        <v>2015</v>
      </c>
      <c r="O788" s="3">
        <v>786</v>
      </c>
    </row>
    <row r="789" spans="1:15" x14ac:dyDescent="0.25">
      <c r="A789" s="3">
        <v>4</v>
      </c>
      <c r="B789" s="3" t="s">
        <v>174</v>
      </c>
      <c r="C789" s="1" t="s">
        <v>12</v>
      </c>
      <c r="D789" s="1" t="s">
        <v>444</v>
      </c>
      <c r="E789" s="11" t="s">
        <v>144</v>
      </c>
      <c r="F789" s="3" t="s">
        <v>8</v>
      </c>
      <c r="G789" s="66" t="s">
        <v>64</v>
      </c>
      <c r="H789" s="8"/>
      <c r="I789" s="8"/>
      <c r="J789" s="6" t="s">
        <v>76</v>
      </c>
      <c r="K789" s="38" t="s">
        <v>827</v>
      </c>
      <c r="L789" s="4" t="s">
        <v>29</v>
      </c>
      <c r="M789" s="11">
        <f>_xlfn.NUMBERVALUE(LEFT(Table613[[#This Row],[Fiscal Year]], 4))</f>
        <v>2015</v>
      </c>
      <c r="O789" s="3">
        <v>787</v>
      </c>
    </row>
    <row r="790" spans="1:15" x14ac:dyDescent="0.25">
      <c r="A790" s="3">
        <v>4</v>
      </c>
      <c r="B790" s="3" t="s">
        <v>174</v>
      </c>
      <c r="C790" s="1" t="s">
        <v>12</v>
      </c>
      <c r="D790" s="1" t="s">
        <v>444</v>
      </c>
      <c r="E790" s="11" t="s">
        <v>144</v>
      </c>
      <c r="F790" s="3" t="s">
        <v>8</v>
      </c>
      <c r="G790" s="66" t="s">
        <v>65</v>
      </c>
      <c r="H790" s="8"/>
      <c r="I790" s="8"/>
      <c r="J790" s="6" t="s">
        <v>76</v>
      </c>
      <c r="K790" s="38" t="s">
        <v>827</v>
      </c>
      <c r="L790" s="4" t="s">
        <v>29</v>
      </c>
      <c r="M790" s="11">
        <f>_xlfn.NUMBERVALUE(LEFT(Table613[[#This Row],[Fiscal Year]], 4))</f>
        <v>2015</v>
      </c>
      <c r="O790" s="3">
        <v>788</v>
      </c>
    </row>
    <row r="791" spans="1:15" x14ac:dyDescent="0.25">
      <c r="A791" s="3">
        <v>4</v>
      </c>
      <c r="B791" s="3" t="s">
        <v>174</v>
      </c>
      <c r="C791" s="1" t="s">
        <v>12</v>
      </c>
      <c r="D791" s="1" t="s">
        <v>444</v>
      </c>
      <c r="E791" s="11" t="s">
        <v>144</v>
      </c>
      <c r="F791" s="3" t="s">
        <v>8</v>
      </c>
      <c r="G791" s="66" t="s">
        <v>66</v>
      </c>
      <c r="H791" s="8"/>
      <c r="I791" s="8"/>
      <c r="J791" s="6" t="s">
        <v>76</v>
      </c>
      <c r="K791" s="38" t="s">
        <v>827</v>
      </c>
      <c r="L791" s="4" t="s">
        <v>29</v>
      </c>
      <c r="M791" s="11">
        <f>_xlfn.NUMBERVALUE(LEFT(Table613[[#This Row],[Fiscal Year]], 4))</f>
        <v>2015</v>
      </c>
      <c r="O791" s="3">
        <v>789</v>
      </c>
    </row>
    <row r="792" spans="1:15" x14ac:dyDescent="0.25">
      <c r="A792" s="3">
        <v>4</v>
      </c>
      <c r="B792" s="3" t="s">
        <v>174</v>
      </c>
      <c r="C792" s="1" t="s">
        <v>12</v>
      </c>
      <c r="D792" s="1" t="s">
        <v>444</v>
      </c>
      <c r="E792" s="11" t="s">
        <v>144</v>
      </c>
      <c r="F792" s="3" t="s">
        <v>8</v>
      </c>
      <c r="G792" s="66" t="s">
        <v>33</v>
      </c>
      <c r="H792" s="8"/>
      <c r="I792" s="8"/>
      <c r="J792" s="6" t="s">
        <v>47</v>
      </c>
      <c r="K792" s="38">
        <v>229326</v>
      </c>
      <c r="L792" s="4" t="s">
        <v>29</v>
      </c>
      <c r="M792" s="11">
        <f>_xlfn.NUMBERVALUE(LEFT(Table613[[#This Row],[Fiscal Year]], 4))</f>
        <v>2015</v>
      </c>
      <c r="N792" s="42">
        <f t="shared" si="18"/>
        <v>243483.25192405062</v>
      </c>
      <c r="O792" s="3">
        <v>790</v>
      </c>
    </row>
    <row r="793" spans="1:15" x14ac:dyDescent="0.25">
      <c r="A793" s="3">
        <v>4</v>
      </c>
      <c r="B793" s="3" t="s">
        <v>174</v>
      </c>
      <c r="C793" s="1" t="s">
        <v>12</v>
      </c>
      <c r="D793" s="1" t="s">
        <v>444</v>
      </c>
      <c r="E793" s="11" t="s">
        <v>144</v>
      </c>
      <c r="F793" s="3" t="s">
        <v>8</v>
      </c>
      <c r="G793" s="66" t="s">
        <v>67</v>
      </c>
      <c r="H793" s="8"/>
      <c r="I793" s="8"/>
      <c r="J793" s="6" t="s">
        <v>455</v>
      </c>
      <c r="K793" s="38">
        <v>5220</v>
      </c>
      <c r="L793" s="4" t="s">
        <v>29</v>
      </c>
      <c r="M793" s="11">
        <f>_xlfn.NUMBERVALUE(LEFT(Table613[[#This Row],[Fiscal Year]], 4))</f>
        <v>2015</v>
      </c>
      <c r="N793" s="42">
        <f t="shared" si="18"/>
        <v>5542.252405063291</v>
      </c>
      <c r="O793" s="3">
        <v>791</v>
      </c>
    </row>
    <row r="794" spans="1:15" x14ac:dyDescent="0.25">
      <c r="C794" s="1"/>
      <c r="D794" s="1"/>
      <c r="G794" s="66"/>
      <c r="H794" s="8"/>
      <c r="I794" s="8"/>
      <c r="J794" s="6"/>
      <c r="L794" s="4"/>
      <c r="O794" s="3">
        <v>792</v>
      </c>
    </row>
    <row r="795" spans="1:15" x14ac:dyDescent="0.25">
      <c r="A795" s="3">
        <v>4</v>
      </c>
      <c r="B795" s="3" t="s">
        <v>430</v>
      </c>
      <c r="C795" s="1" t="s">
        <v>12</v>
      </c>
      <c r="D795" s="1" t="s">
        <v>444</v>
      </c>
      <c r="E795" s="11" t="s">
        <v>144</v>
      </c>
      <c r="F795" s="3" t="s">
        <v>8</v>
      </c>
      <c r="G795" s="56" t="s">
        <v>829</v>
      </c>
      <c r="H795" s="8"/>
      <c r="I795" s="8"/>
      <c r="J795" s="6" t="s">
        <v>110</v>
      </c>
      <c r="K795" s="38">
        <v>250000</v>
      </c>
      <c r="L795" s="4" t="s">
        <v>29</v>
      </c>
      <c r="M795" s="11">
        <f>_xlfn.NUMBERVALUE(LEFT(Table613[[#This Row],[Fiscal Year]], 4))</f>
        <v>2015</v>
      </c>
      <c r="N795" s="42">
        <f t="shared" si="18"/>
        <v>265433.54430379748</v>
      </c>
      <c r="O795" s="3">
        <v>793</v>
      </c>
    </row>
    <row r="796" spans="1:15" x14ac:dyDescent="0.25">
      <c r="A796" s="3">
        <v>4</v>
      </c>
      <c r="B796" s="3" t="s">
        <v>430</v>
      </c>
      <c r="C796" s="1" t="s">
        <v>12</v>
      </c>
      <c r="D796" s="1" t="s">
        <v>444</v>
      </c>
      <c r="E796" s="11" t="s">
        <v>144</v>
      </c>
      <c r="F796" s="3" t="s">
        <v>8</v>
      </c>
      <c r="G796" s="66" t="s">
        <v>844</v>
      </c>
      <c r="H796" s="8"/>
      <c r="I796" s="8"/>
      <c r="J796" s="6" t="s">
        <v>453</v>
      </c>
      <c r="K796" s="38">
        <v>4000</v>
      </c>
      <c r="L796" s="4" t="s">
        <v>29</v>
      </c>
      <c r="M796" s="11">
        <f>_xlfn.NUMBERVALUE(LEFT(Table613[[#This Row],[Fiscal Year]], 4))</f>
        <v>2015</v>
      </c>
      <c r="N796" s="42">
        <f t="shared" si="18"/>
        <v>4246.9367088607596</v>
      </c>
      <c r="O796" s="3">
        <v>794</v>
      </c>
    </row>
    <row r="797" spans="1:15" x14ac:dyDescent="0.25">
      <c r="A797" s="3">
        <v>4</v>
      </c>
      <c r="B797" s="3" t="s">
        <v>430</v>
      </c>
      <c r="C797" s="1" t="s">
        <v>12</v>
      </c>
      <c r="D797" s="1" t="s">
        <v>444</v>
      </c>
      <c r="E797" s="11" t="s">
        <v>144</v>
      </c>
      <c r="F797" s="3" t="s">
        <v>8</v>
      </c>
      <c r="G797" s="66" t="s">
        <v>921</v>
      </c>
      <c r="H797" s="8"/>
      <c r="I797" s="8"/>
      <c r="J797" s="6" t="s">
        <v>109</v>
      </c>
      <c r="K797" s="38">
        <v>15483</v>
      </c>
      <c r="L797" s="4" t="s">
        <v>29</v>
      </c>
      <c r="M797" s="11">
        <f>_xlfn.NUMBERVALUE(LEFT(Table613[[#This Row],[Fiscal Year]], 4))</f>
        <v>2015</v>
      </c>
      <c r="N797" s="42">
        <f t="shared" si="18"/>
        <v>16438.830265822784</v>
      </c>
      <c r="O797" s="3">
        <v>795</v>
      </c>
    </row>
    <row r="798" spans="1:15" x14ac:dyDescent="0.25">
      <c r="A798" s="3">
        <v>4</v>
      </c>
      <c r="B798" s="3" t="s">
        <v>430</v>
      </c>
      <c r="C798" s="1" t="s">
        <v>12</v>
      </c>
      <c r="D798" s="1" t="s">
        <v>444</v>
      </c>
      <c r="E798" s="11" t="s">
        <v>144</v>
      </c>
      <c r="F798" s="3" t="s">
        <v>8</v>
      </c>
      <c r="G798" s="48" t="s">
        <v>846</v>
      </c>
      <c r="H798" s="8"/>
      <c r="I798" s="8"/>
      <c r="J798" s="6" t="s">
        <v>111</v>
      </c>
      <c r="K798" s="38">
        <v>10000</v>
      </c>
      <c r="L798" s="4" t="s">
        <v>29</v>
      </c>
      <c r="M798" s="11">
        <f>_xlfn.NUMBERVALUE(LEFT(Table613[[#This Row],[Fiscal Year]], 4))</f>
        <v>2015</v>
      </c>
      <c r="N798" s="42">
        <f t="shared" si="18"/>
        <v>10617.341772151898</v>
      </c>
      <c r="O798" s="3">
        <v>796</v>
      </c>
    </row>
    <row r="799" spans="1:15" x14ac:dyDescent="0.25">
      <c r="A799" s="3">
        <v>4</v>
      </c>
      <c r="B799" s="3" t="s">
        <v>430</v>
      </c>
      <c r="C799" s="1" t="s">
        <v>12</v>
      </c>
      <c r="D799" s="1" t="s">
        <v>444</v>
      </c>
      <c r="E799" s="11" t="s">
        <v>144</v>
      </c>
      <c r="F799" s="3" t="s">
        <v>8</v>
      </c>
      <c r="G799" s="66" t="s">
        <v>847</v>
      </c>
      <c r="H799" s="8"/>
      <c r="I799" s="8"/>
      <c r="J799" s="6" t="s">
        <v>111</v>
      </c>
      <c r="K799" s="38">
        <v>10000</v>
      </c>
      <c r="L799" s="4" t="s">
        <v>29</v>
      </c>
      <c r="M799" s="11">
        <f>_xlfn.NUMBERVALUE(LEFT(Table613[[#This Row],[Fiscal Year]], 4))</f>
        <v>2015</v>
      </c>
      <c r="N799" s="42">
        <f t="shared" si="18"/>
        <v>10617.341772151898</v>
      </c>
      <c r="O799" s="3">
        <v>797</v>
      </c>
    </row>
    <row r="800" spans="1:15" x14ac:dyDescent="0.25">
      <c r="A800" s="3">
        <v>4</v>
      </c>
      <c r="B800" s="3" t="s">
        <v>430</v>
      </c>
      <c r="C800" s="1" t="s">
        <v>12</v>
      </c>
      <c r="D800" s="1" t="s">
        <v>444</v>
      </c>
      <c r="E800" s="11" t="s">
        <v>144</v>
      </c>
      <c r="F800" s="3" t="s">
        <v>8</v>
      </c>
      <c r="G800" s="48" t="s">
        <v>857</v>
      </c>
      <c r="H800" s="8"/>
      <c r="I800" s="8"/>
      <c r="J800" s="6" t="s">
        <v>108</v>
      </c>
      <c r="K800" s="38">
        <v>52972</v>
      </c>
      <c r="L800" s="4" t="s">
        <v>29</v>
      </c>
      <c r="M800" s="11">
        <f>_xlfn.NUMBERVALUE(LEFT(Table613[[#This Row],[Fiscal Year]], 4))</f>
        <v>2015</v>
      </c>
      <c r="N800" s="42">
        <f t="shared" si="18"/>
        <v>56242.182835443033</v>
      </c>
      <c r="O800" s="3">
        <v>798</v>
      </c>
    </row>
    <row r="801" spans="1:15" x14ac:dyDescent="0.25">
      <c r="A801" s="3">
        <v>4</v>
      </c>
      <c r="B801" s="3" t="s">
        <v>430</v>
      </c>
      <c r="C801" s="1" t="s">
        <v>12</v>
      </c>
      <c r="D801" s="1" t="s">
        <v>444</v>
      </c>
      <c r="E801" s="11" t="s">
        <v>144</v>
      </c>
      <c r="F801" s="3" t="s">
        <v>8</v>
      </c>
      <c r="G801" s="66" t="s">
        <v>849</v>
      </c>
      <c r="H801" s="8"/>
      <c r="I801" s="8"/>
      <c r="J801" s="6" t="s">
        <v>106</v>
      </c>
      <c r="K801" s="38">
        <v>50000</v>
      </c>
      <c r="L801" s="4" t="s">
        <v>29</v>
      </c>
      <c r="M801" s="11">
        <f>_xlfn.NUMBERVALUE(LEFT(Table613[[#This Row],[Fiscal Year]], 4))</f>
        <v>2015</v>
      </c>
      <c r="N801" s="42">
        <f t="shared" si="18"/>
        <v>53086.708860759492</v>
      </c>
      <c r="O801" s="3">
        <v>799</v>
      </c>
    </row>
    <row r="802" spans="1:15" x14ac:dyDescent="0.25">
      <c r="A802" s="3">
        <v>4</v>
      </c>
      <c r="B802" s="3" t="s">
        <v>430</v>
      </c>
      <c r="C802" s="1" t="s">
        <v>12</v>
      </c>
      <c r="D802" s="1" t="s">
        <v>444</v>
      </c>
      <c r="E802" s="11" t="s">
        <v>144</v>
      </c>
      <c r="F802" s="3" t="s">
        <v>8</v>
      </c>
      <c r="G802" s="66" t="s">
        <v>922</v>
      </c>
      <c r="H802" s="8"/>
      <c r="I802" s="8"/>
      <c r="J802" s="6" t="s">
        <v>455</v>
      </c>
      <c r="K802" s="38">
        <v>0</v>
      </c>
      <c r="L802" s="4" t="s">
        <v>29</v>
      </c>
      <c r="M802" s="11">
        <f>_xlfn.NUMBERVALUE(LEFT(Table613[[#This Row],[Fiscal Year]], 4))</f>
        <v>2015</v>
      </c>
      <c r="N802" s="43">
        <f t="shared" si="18"/>
        <v>0</v>
      </c>
      <c r="O802" s="3">
        <v>800</v>
      </c>
    </row>
    <row r="803" spans="1:15" x14ac:dyDescent="0.25">
      <c r="A803" s="3">
        <v>4</v>
      </c>
      <c r="B803" s="3" t="s">
        <v>430</v>
      </c>
      <c r="C803" s="1" t="s">
        <v>12</v>
      </c>
      <c r="D803" s="1" t="s">
        <v>444</v>
      </c>
      <c r="E803" s="11" t="s">
        <v>144</v>
      </c>
      <c r="F803" s="3" t="s">
        <v>8</v>
      </c>
      <c r="G803" s="66" t="s">
        <v>851</v>
      </c>
      <c r="H803" s="8"/>
      <c r="I803" s="8"/>
      <c r="J803" s="6" t="s">
        <v>76</v>
      </c>
      <c r="K803" s="38">
        <v>16000</v>
      </c>
      <c r="L803" s="4" t="s">
        <v>29</v>
      </c>
      <c r="M803" s="11">
        <f>_xlfn.NUMBERVALUE(LEFT(Table613[[#This Row],[Fiscal Year]], 4))</f>
        <v>2015</v>
      </c>
      <c r="N803" s="42">
        <f t="shared" si="18"/>
        <v>16987.746835443038</v>
      </c>
      <c r="O803" s="3">
        <v>801</v>
      </c>
    </row>
    <row r="804" spans="1:15" x14ac:dyDescent="0.25">
      <c r="A804" s="3">
        <v>4</v>
      </c>
      <c r="B804" s="3" t="s">
        <v>430</v>
      </c>
      <c r="C804" s="1" t="s">
        <v>12</v>
      </c>
      <c r="D804" s="1" t="s">
        <v>444</v>
      </c>
      <c r="E804" s="11" t="s">
        <v>144</v>
      </c>
      <c r="F804" s="3" t="s">
        <v>8</v>
      </c>
      <c r="G804" s="66" t="s">
        <v>852</v>
      </c>
      <c r="H804" s="8"/>
      <c r="I804" s="8"/>
      <c r="J804" s="6" t="s">
        <v>76</v>
      </c>
      <c r="K804" s="38">
        <v>75000</v>
      </c>
      <c r="L804" s="4" t="s">
        <v>29</v>
      </c>
      <c r="M804" s="11">
        <f>_xlfn.NUMBERVALUE(LEFT(Table613[[#This Row],[Fiscal Year]], 4))</f>
        <v>2015</v>
      </c>
      <c r="N804" s="42">
        <f t="shared" si="18"/>
        <v>79630.063291139231</v>
      </c>
      <c r="O804" s="3">
        <v>802</v>
      </c>
    </row>
    <row r="805" spans="1:15" x14ac:dyDescent="0.25">
      <c r="A805" s="3">
        <v>4</v>
      </c>
      <c r="B805" s="3" t="s">
        <v>430</v>
      </c>
      <c r="C805" s="1" t="s">
        <v>12</v>
      </c>
      <c r="D805" s="1" t="s">
        <v>444</v>
      </c>
      <c r="E805" s="11" t="s">
        <v>144</v>
      </c>
      <c r="F805" s="3" t="s">
        <v>8</v>
      </c>
      <c r="G805" s="66" t="s">
        <v>853</v>
      </c>
      <c r="H805" s="8"/>
      <c r="I805" s="8"/>
      <c r="J805" s="6" t="s">
        <v>76</v>
      </c>
      <c r="K805" s="38">
        <v>0</v>
      </c>
      <c r="L805" s="4" t="s">
        <v>29</v>
      </c>
      <c r="M805" s="11">
        <f>_xlfn.NUMBERVALUE(LEFT(Table613[[#This Row],[Fiscal Year]], 4))</f>
        <v>2015</v>
      </c>
      <c r="N805" s="43">
        <f t="shared" si="18"/>
        <v>0</v>
      </c>
      <c r="O805" s="3">
        <v>803</v>
      </c>
    </row>
    <row r="806" spans="1:15" x14ac:dyDescent="0.25">
      <c r="A806" s="3">
        <v>4</v>
      </c>
      <c r="B806" s="3" t="s">
        <v>430</v>
      </c>
      <c r="C806" s="1" t="s">
        <v>12</v>
      </c>
      <c r="D806" s="1" t="s">
        <v>444</v>
      </c>
      <c r="E806" s="11" t="s">
        <v>144</v>
      </c>
      <c r="F806" s="3" t="s">
        <v>8</v>
      </c>
      <c r="G806" s="63" t="s">
        <v>854</v>
      </c>
      <c r="H806" s="8"/>
      <c r="I806" s="8"/>
      <c r="J806" s="6" t="s">
        <v>47</v>
      </c>
      <c r="K806" s="58">
        <v>73339</v>
      </c>
      <c r="L806" s="4" t="s">
        <v>29</v>
      </c>
      <c r="M806" s="11">
        <f>_xlfn.NUMBERVALUE(LEFT(Table613[[#This Row],[Fiscal Year]], 4))</f>
        <v>2015</v>
      </c>
      <c r="N806" s="42">
        <f t="shared" si="18"/>
        <v>77866.522822784798</v>
      </c>
      <c r="O806" s="3">
        <v>804</v>
      </c>
    </row>
    <row r="807" spans="1:15" x14ac:dyDescent="0.25">
      <c r="A807" s="3">
        <v>4</v>
      </c>
      <c r="B807" s="3" t="s">
        <v>430</v>
      </c>
      <c r="C807" s="1" t="s">
        <v>12</v>
      </c>
      <c r="D807" s="1" t="s">
        <v>444</v>
      </c>
      <c r="E807" s="11" t="s">
        <v>144</v>
      </c>
      <c r="F807" s="3" t="s">
        <v>8</v>
      </c>
      <c r="G807" s="63" t="s">
        <v>855</v>
      </c>
      <c r="H807" s="8"/>
      <c r="I807" s="8"/>
      <c r="J807" s="6" t="s">
        <v>455</v>
      </c>
      <c r="K807" s="58">
        <v>358817</v>
      </c>
      <c r="L807" s="4" t="s">
        <v>29</v>
      </c>
      <c r="M807" s="11">
        <f>_xlfn.NUMBERVALUE(LEFT(Table613[[#This Row],[Fiscal Year]], 4))</f>
        <v>2015</v>
      </c>
      <c r="N807" s="42">
        <f t="shared" si="18"/>
        <v>380968.27226582274</v>
      </c>
      <c r="O807" s="3">
        <v>805</v>
      </c>
    </row>
    <row r="808" spans="1:15" x14ac:dyDescent="0.25">
      <c r="C808" s="1"/>
      <c r="D808" s="1"/>
      <c r="G808" s="66"/>
      <c r="H808" s="8"/>
      <c r="I808" s="8"/>
      <c r="J808" s="6"/>
      <c r="L808" s="4"/>
      <c r="O808" s="3">
        <v>806</v>
      </c>
    </row>
    <row r="809" spans="1:15" x14ac:dyDescent="0.25">
      <c r="A809" s="3">
        <v>4</v>
      </c>
      <c r="B809" s="3" t="s">
        <v>175</v>
      </c>
      <c r="C809" s="1" t="s">
        <v>12</v>
      </c>
      <c r="D809" s="1" t="s">
        <v>444</v>
      </c>
      <c r="E809" s="11" t="s">
        <v>144</v>
      </c>
      <c r="F809" s="3" t="s">
        <v>8</v>
      </c>
      <c r="G809" s="56" t="s">
        <v>829</v>
      </c>
      <c r="H809" s="8"/>
      <c r="I809" s="8"/>
      <c r="J809" s="6" t="s">
        <v>110</v>
      </c>
      <c r="K809" s="38">
        <v>211994</v>
      </c>
      <c r="L809" s="4" t="s">
        <v>29</v>
      </c>
      <c r="M809" s="11">
        <f>_xlfn.NUMBERVALUE(LEFT(Table613[[#This Row],[Fiscal Year]], 4))</f>
        <v>2015</v>
      </c>
      <c r="N809" s="42">
        <f t="shared" si="18"/>
        <v>225081.27516455695</v>
      </c>
      <c r="O809" s="3">
        <v>807</v>
      </c>
    </row>
    <row r="810" spans="1:15" x14ac:dyDescent="0.25">
      <c r="A810" s="3">
        <v>4</v>
      </c>
      <c r="B810" s="3" t="s">
        <v>175</v>
      </c>
      <c r="C810" s="1" t="s">
        <v>12</v>
      </c>
      <c r="D810" s="1" t="s">
        <v>444</v>
      </c>
      <c r="E810" s="11" t="s">
        <v>144</v>
      </c>
      <c r="F810" s="3" t="s">
        <v>8</v>
      </c>
      <c r="G810" s="66" t="s">
        <v>844</v>
      </c>
      <c r="H810" s="8"/>
      <c r="I810" s="8"/>
      <c r="J810" s="6" t="s">
        <v>453</v>
      </c>
      <c r="K810" s="38">
        <v>38253</v>
      </c>
      <c r="L810" s="4" t="s">
        <v>29</v>
      </c>
      <c r="M810" s="11">
        <f>_xlfn.NUMBERVALUE(LEFT(Table613[[#This Row],[Fiscal Year]], 4))</f>
        <v>2015</v>
      </c>
      <c r="N810" s="42">
        <f t="shared" si="18"/>
        <v>40614.517481012655</v>
      </c>
      <c r="O810" s="3">
        <v>808</v>
      </c>
    </row>
    <row r="811" spans="1:15" x14ac:dyDescent="0.25">
      <c r="A811" s="3">
        <v>4</v>
      </c>
      <c r="B811" s="3" t="s">
        <v>175</v>
      </c>
      <c r="C811" s="1" t="s">
        <v>12</v>
      </c>
      <c r="D811" s="1" t="s">
        <v>444</v>
      </c>
      <c r="E811" s="11" t="s">
        <v>144</v>
      </c>
      <c r="F811" s="3" t="s">
        <v>8</v>
      </c>
      <c r="G811" s="66" t="s">
        <v>921</v>
      </c>
      <c r="H811" s="8"/>
      <c r="I811" s="8"/>
      <c r="J811" s="6" t="s">
        <v>109</v>
      </c>
      <c r="K811" s="38">
        <v>33253</v>
      </c>
      <c r="L811" s="4" t="s">
        <v>29</v>
      </c>
      <c r="M811" s="11">
        <f>_xlfn.NUMBERVALUE(LEFT(Table613[[#This Row],[Fiscal Year]], 4))</f>
        <v>2015</v>
      </c>
      <c r="N811" s="42">
        <f t="shared" si="18"/>
        <v>35305.846594936709</v>
      </c>
      <c r="O811" s="3">
        <v>809</v>
      </c>
    </row>
    <row r="812" spans="1:15" x14ac:dyDescent="0.25">
      <c r="A812" s="3">
        <v>4</v>
      </c>
      <c r="B812" s="3" t="s">
        <v>175</v>
      </c>
      <c r="C812" s="1" t="s">
        <v>12</v>
      </c>
      <c r="D812" s="1" t="s">
        <v>444</v>
      </c>
      <c r="E812" s="11" t="s">
        <v>144</v>
      </c>
      <c r="F812" s="3" t="s">
        <v>8</v>
      </c>
      <c r="G812" s="48" t="s">
        <v>846</v>
      </c>
      <c r="H812" s="8"/>
      <c r="I812" s="8"/>
      <c r="J812" s="6" t="s">
        <v>111</v>
      </c>
      <c r="K812" s="38">
        <v>39386</v>
      </c>
      <c r="L812" s="4" t="s">
        <v>29</v>
      </c>
      <c r="M812" s="11">
        <f>_xlfn.NUMBERVALUE(LEFT(Table613[[#This Row],[Fiscal Year]], 4))</f>
        <v>2015</v>
      </c>
      <c r="N812" s="42">
        <f t="shared" si="18"/>
        <v>41817.462303797467</v>
      </c>
      <c r="O812" s="3">
        <v>810</v>
      </c>
    </row>
    <row r="813" spans="1:15" x14ac:dyDescent="0.25">
      <c r="A813" s="3">
        <v>4</v>
      </c>
      <c r="B813" s="3" t="s">
        <v>175</v>
      </c>
      <c r="C813" s="1" t="s">
        <v>12</v>
      </c>
      <c r="D813" s="1" t="s">
        <v>444</v>
      </c>
      <c r="E813" s="11" t="s">
        <v>144</v>
      </c>
      <c r="F813" s="3" t="s">
        <v>8</v>
      </c>
      <c r="G813" s="66" t="s">
        <v>847</v>
      </c>
      <c r="H813" s="8"/>
      <c r="I813" s="8"/>
      <c r="J813" s="6" t="s">
        <v>111</v>
      </c>
      <c r="K813" s="38">
        <v>51655</v>
      </c>
      <c r="L813" s="4" t="s">
        <v>29</v>
      </c>
      <c r="M813" s="11">
        <f>_xlfn.NUMBERVALUE(LEFT(Table613[[#This Row],[Fiscal Year]], 4))</f>
        <v>2015</v>
      </c>
      <c r="N813" s="42">
        <f t="shared" si="18"/>
        <v>54843.87892405063</v>
      </c>
      <c r="O813" s="3">
        <v>811</v>
      </c>
    </row>
    <row r="814" spans="1:15" x14ac:dyDescent="0.25">
      <c r="A814" s="3">
        <v>4</v>
      </c>
      <c r="B814" s="3" t="s">
        <v>175</v>
      </c>
      <c r="C814" s="1" t="s">
        <v>12</v>
      </c>
      <c r="D814" s="1" t="s">
        <v>444</v>
      </c>
      <c r="E814" s="11" t="s">
        <v>144</v>
      </c>
      <c r="F814" s="3" t="s">
        <v>8</v>
      </c>
      <c r="G814" s="48" t="s">
        <v>857</v>
      </c>
      <c r="H814" s="8"/>
      <c r="I814" s="8"/>
      <c r="J814" s="6" t="s">
        <v>108</v>
      </c>
      <c r="K814" s="38">
        <v>495189</v>
      </c>
      <c r="L814" s="4" t="s">
        <v>29</v>
      </c>
      <c r="M814" s="11">
        <f>_xlfn.NUMBERVALUE(LEFT(Table613[[#This Row],[Fiscal Year]], 4))</f>
        <v>2015</v>
      </c>
      <c r="N814" s="42">
        <f t="shared" si="18"/>
        <v>525759.08548101259</v>
      </c>
      <c r="O814" s="3">
        <v>812</v>
      </c>
    </row>
    <row r="815" spans="1:15" x14ac:dyDescent="0.25">
      <c r="A815" s="3">
        <v>4</v>
      </c>
      <c r="B815" s="3" t="s">
        <v>175</v>
      </c>
      <c r="C815" s="1" t="s">
        <v>12</v>
      </c>
      <c r="D815" s="1" t="s">
        <v>444</v>
      </c>
      <c r="E815" s="11" t="s">
        <v>144</v>
      </c>
      <c r="F815" s="3" t="s">
        <v>8</v>
      </c>
      <c r="G815" s="66" t="s">
        <v>849</v>
      </c>
      <c r="H815" s="8"/>
      <c r="I815" s="8"/>
      <c r="J815" s="6" t="s">
        <v>106</v>
      </c>
      <c r="K815" s="38">
        <v>62132</v>
      </c>
      <c r="L815" s="4" t="s">
        <v>29</v>
      </c>
      <c r="M815" s="11">
        <f>_xlfn.NUMBERVALUE(LEFT(Table613[[#This Row],[Fiscal Year]], 4))</f>
        <v>2015</v>
      </c>
      <c r="N815" s="42">
        <f t="shared" si="18"/>
        <v>65967.667898734173</v>
      </c>
      <c r="O815" s="3">
        <v>813</v>
      </c>
    </row>
    <row r="816" spans="1:15" x14ac:dyDescent="0.25">
      <c r="A816" s="3">
        <v>4</v>
      </c>
      <c r="B816" s="3" t="s">
        <v>175</v>
      </c>
      <c r="C816" s="1" t="s">
        <v>12</v>
      </c>
      <c r="D816" s="1" t="s">
        <v>444</v>
      </c>
      <c r="E816" s="11" t="s">
        <v>144</v>
      </c>
      <c r="F816" s="3" t="s">
        <v>8</v>
      </c>
      <c r="G816" s="66" t="s">
        <v>850</v>
      </c>
      <c r="H816" s="8"/>
      <c r="I816" s="8"/>
      <c r="J816" s="6" t="s">
        <v>455</v>
      </c>
      <c r="K816" s="38">
        <v>0</v>
      </c>
      <c r="L816" s="4" t="s">
        <v>29</v>
      </c>
      <c r="M816" s="11">
        <f>_xlfn.NUMBERVALUE(LEFT(Table613[[#This Row],[Fiscal Year]], 4))</f>
        <v>2015</v>
      </c>
      <c r="N816" s="43">
        <f t="shared" si="18"/>
        <v>0</v>
      </c>
      <c r="O816" s="3">
        <v>814</v>
      </c>
    </row>
    <row r="817" spans="1:15" x14ac:dyDescent="0.25">
      <c r="A817" s="3">
        <v>4</v>
      </c>
      <c r="B817" s="3" t="s">
        <v>175</v>
      </c>
      <c r="C817" s="1" t="s">
        <v>12</v>
      </c>
      <c r="D817" s="1" t="s">
        <v>444</v>
      </c>
      <c r="E817" s="11" t="s">
        <v>144</v>
      </c>
      <c r="F817" s="3" t="s">
        <v>8</v>
      </c>
      <c r="G817" s="66" t="s">
        <v>851</v>
      </c>
      <c r="H817" s="8"/>
      <c r="I817" s="8"/>
      <c r="J817" s="6" t="s">
        <v>76</v>
      </c>
      <c r="K817" s="38">
        <v>0</v>
      </c>
      <c r="L817" s="4" t="s">
        <v>29</v>
      </c>
      <c r="M817" s="11">
        <f>_xlfn.NUMBERVALUE(LEFT(Table613[[#This Row],[Fiscal Year]], 4))</f>
        <v>2015</v>
      </c>
      <c r="N817" s="43">
        <f t="shared" si="18"/>
        <v>0</v>
      </c>
      <c r="O817" s="3">
        <v>815</v>
      </c>
    </row>
    <row r="818" spans="1:15" x14ac:dyDescent="0.25">
      <c r="A818" s="3">
        <v>4</v>
      </c>
      <c r="B818" s="3" t="s">
        <v>175</v>
      </c>
      <c r="C818" s="1" t="s">
        <v>12</v>
      </c>
      <c r="D818" s="1" t="s">
        <v>444</v>
      </c>
      <c r="E818" s="11" t="s">
        <v>144</v>
      </c>
      <c r="F818" s="3" t="s">
        <v>8</v>
      </c>
      <c r="G818" s="66" t="s">
        <v>852</v>
      </c>
      <c r="H818" s="8"/>
      <c r="I818" s="8"/>
      <c r="J818" s="6" t="s">
        <v>76</v>
      </c>
      <c r="K818" s="38">
        <v>0</v>
      </c>
      <c r="L818" s="4" t="s">
        <v>29</v>
      </c>
      <c r="M818" s="11">
        <f>_xlfn.NUMBERVALUE(LEFT(Table613[[#This Row],[Fiscal Year]], 4))</f>
        <v>2015</v>
      </c>
      <c r="N818" s="43">
        <f t="shared" si="18"/>
        <v>0</v>
      </c>
      <c r="O818" s="3">
        <v>816</v>
      </c>
    </row>
    <row r="819" spans="1:15" x14ac:dyDescent="0.25">
      <c r="A819" s="3">
        <v>4</v>
      </c>
      <c r="B819" s="3" t="s">
        <v>175</v>
      </c>
      <c r="C819" s="1" t="s">
        <v>12</v>
      </c>
      <c r="D819" s="1" t="s">
        <v>444</v>
      </c>
      <c r="E819" s="11" t="s">
        <v>144</v>
      </c>
      <c r="F819" s="3" t="s">
        <v>8</v>
      </c>
      <c r="G819" s="66" t="s">
        <v>853</v>
      </c>
      <c r="H819" s="8"/>
      <c r="I819" s="8"/>
      <c r="J819" s="6" t="s">
        <v>76</v>
      </c>
      <c r="K819" s="38">
        <v>0</v>
      </c>
      <c r="L819" s="4" t="s">
        <v>29</v>
      </c>
      <c r="M819" s="11">
        <f>_xlfn.NUMBERVALUE(LEFT(Table613[[#This Row],[Fiscal Year]], 4))</f>
        <v>2015</v>
      </c>
      <c r="N819" s="43">
        <f t="shared" si="18"/>
        <v>0</v>
      </c>
      <c r="O819" s="3">
        <v>817</v>
      </c>
    </row>
    <row r="820" spans="1:15" x14ac:dyDescent="0.25">
      <c r="A820" s="3">
        <v>4</v>
      </c>
      <c r="B820" s="3" t="s">
        <v>175</v>
      </c>
      <c r="C820" s="1" t="s">
        <v>12</v>
      </c>
      <c r="D820" s="1" t="s">
        <v>444</v>
      </c>
      <c r="E820" s="11" t="s">
        <v>144</v>
      </c>
      <c r="F820" s="3" t="s">
        <v>8</v>
      </c>
      <c r="G820" s="63" t="s">
        <v>854</v>
      </c>
      <c r="H820" s="8"/>
      <c r="I820" s="8"/>
      <c r="J820" s="6" t="s">
        <v>47</v>
      </c>
      <c r="K820" s="38">
        <v>159611</v>
      </c>
      <c r="L820" s="4" t="s">
        <v>29</v>
      </c>
      <c r="M820" s="11">
        <f>_xlfn.NUMBERVALUE(LEFT(Table613[[#This Row],[Fiscal Year]], 4))</f>
        <v>2015</v>
      </c>
      <c r="N820" s="42">
        <f t="shared" si="18"/>
        <v>169464.45375949366</v>
      </c>
      <c r="O820" s="3">
        <v>818</v>
      </c>
    </row>
    <row r="821" spans="1:15" x14ac:dyDescent="0.25">
      <c r="A821" s="3">
        <v>4</v>
      </c>
      <c r="B821" s="3" t="s">
        <v>175</v>
      </c>
      <c r="C821" s="1" t="s">
        <v>12</v>
      </c>
      <c r="D821" s="1" t="s">
        <v>444</v>
      </c>
      <c r="E821" s="11" t="s">
        <v>144</v>
      </c>
      <c r="F821" s="3" t="s">
        <v>8</v>
      </c>
      <c r="G821" s="63" t="s">
        <v>855</v>
      </c>
      <c r="H821" s="8"/>
      <c r="I821" s="8"/>
      <c r="J821" s="6" t="s">
        <v>455</v>
      </c>
      <c r="K821" s="38">
        <v>324966</v>
      </c>
      <c r="L821" s="4" t="s">
        <v>29</v>
      </c>
      <c r="M821" s="11">
        <f>_xlfn.NUMBERVALUE(LEFT(Table613[[#This Row],[Fiscal Year]], 4))</f>
        <v>2015</v>
      </c>
      <c r="N821" s="42">
        <f t="shared" si="18"/>
        <v>345027.50863291137</v>
      </c>
      <c r="O821" s="3">
        <v>819</v>
      </c>
    </row>
    <row r="822" spans="1:15" x14ac:dyDescent="0.25">
      <c r="C822" s="1"/>
      <c r="D822" s="1"/>
      <c r="E822" s="11"/>
      <c r="G822" s="66"/>
      <c r="H822" s="8"/>
      <c r="I822" s="8"/>
      <c r="J822" s="6"/>
      <c r="L822" s="4"/>
      <c r="O822" s="3">
        <v>820</v>
      </c>
    </row>
    <row r="823" spans="1:15" x14ac:dyDescent="0.25">
      <c r="A823" s="3">
        <v>4</v>
      </c>
      <c r="B823" s="3" t="s">
        <v>176</v>
      </c>
      <c r="C823" s="1" t="s">
        <v>12</v>
      </c>
      <c r="D823" s="1" t="s">
        <v>444</v>
      </c>
      <c r="E823" s="11" t="s">
        <v>144</v>
      </c>
      <c r="F823" s="3" t="s">
        <v>8</v>
      </c>
      <c r="G823" s="56" t="s">
        <v>829</v>
      </c>
      <c r="H823" s="8"/>
      <c r="I823" s="8"/>
      <c r="J823" s="6" t="s">
        <v>110</v>
      </c>
      <c r="K823" s="38">
        <v>27127.5</v>
      </c>
      <c r="L823" s="4" t="s">
        <v>29</v>
      </c>
      <c r="M823" s="11">
        <f>_xlfn.NUMBERVALUE(LEFT(Table613[[#This Row],[Fiscal Year]], 4))</f>
        <v>2015</v>
      </c>
      <c r="N823" s="42">
        <f t="shared" si="18"/>
        <v>28802.193892405063</v>
      </c>
      <c r="O823" s="3">
        <v>821</v>
      </c>
    </row>
    <row r="824" spans="1:15" x14ac:dyDescent="0.25">
      <c r="A824" s="3">
        <v>4</v>
      </c>
      <c r="B824" s="3" t="s">
        <v>176</v>
      </c>
      <c r="C824" s="1" t="s">
        <v>12</v>
      </c>
      <c r="D824" s="1" t="s">
        <v>444</v>
      </c>
      <c r="E824" s="11" t="s">
        <v>144</v>
      </c>
      <c r="F824" s="3" t="s">
        <v>8</v>
      </c>
      <c r="G824" s="66" t="s">
        <v>844</v>
      </c>
      <c r="H824" s="8"/>
      <c r="I824" s="8"/>
      <c r="J824" s="6" t="s">
        <v>453</v>
      </c>
      <c r="K824" s="38">
        <v>4667.5</v>
      </c>
      <c r="L824" s="4" t="s">
        <v>29</v>
      </c>
      <c r="M824" s="11">
        <f>_xlfn.NUMBERVALUE(LEFT(Table613[[#This Row],[Fiscal Year]], 4))</f>
        <v>2015</v>
      </c>
      <c r="N824" s="42">
        <f t="shared" si="18"/>
        <v>4955.6442721518988</v>
      </c>
      <c r="O824" s="3">
        <v>822</v>
      </c>
    </row>
    <row r="825" spans="1:15" x14ac:dyDescent="0.25">
      <c r="A825" s="3">
        <v>4</v>
      </c>
      <c r="B825" s="3" t="s">
        <v>176</v>
      </c>
      <c r="C825" s="1" t="s">
        <v>12</v>
      </c>
      <c r="D825" s="1" t="s">
        <v>444</v>
      </c>
      <c r="E825" s="11" t="s">
        <v>144</v>
      </c>
      <c r="F825" s="3" t="s">
        <v>8</v>
      </c>
      <c r="G825" s="66" t="s">
        <v>845</v>
      </c>
      <c r="H825" s="8"/>
      <c r="I825" s="8"/>
      <c r="J825" s="6" t="s">
        <v>109</v>
      </c>
      <c r="K825" s="38">
        <v>502.5</v>
      </c>
      <c r="L825" s="4" t="s">
        <v>29</v>
      </c>
      <c r="M825" s="11">
        <f>_xlfn.NUMBERVALUE(LEFT(Table613[[#This Row],[Fiscal Year]], 4))</f>
        <v>2015</v>
      </c>
      <c r="N825" s="42">
        <f t="shared" si="18"/>
        <v>533.52142405063285</v>
      </c>
      <c r="O825" s="3">
        <v>823</v>
      </c>
    </row>
    <row r="826" spans="1:15" x14ac:dyDescent="0.25">
      <c r="A826" s="3">
        <v>4</v>
      </c>
      <c r="B826" s="3" t="s">
        <v>176</v>
      </c>
      <c r="C826" s="1" t="s">
        <v>12</v>
      </c>
      <c r="D826" s="1" t="s">
        <v>444</v>
      </c>
      <c r="E826" s="11" t="s">
        <v>144</v>
      </c>
      <c r="F826" s="3" t="s">
        <v>8</v>
      </c>
      <c r="G826" s="48" t="s">
        <v>846</v>
      </c>
      <c r="H826" s="8"/>
      <c r="I826" s="8"/>
      <c r="J826" s="6" t="s">
        <v>111</v>
      </c>
      <c r="K826" s="38">
        <v>90</v>
      </c>
      <c r="L826" s="4" t="s">
        <v>29</v>
      </c>
      <c r="M826" s="11">
        <f>_xlfn.NUMBERVALUE(LEFT(Table613[[#This Row],[Fiscal Year]], 4))</f>
        <v>2015</v>
      </c>
      <c r="N826" s="42">
        <f t="shared" si="18"/>
        <v>95.556075949367084</v>
      </c>
      <c r="O826" s="3">
        <v>824</v>
      </c>
    </row>
    <row r="827" spans="1:15" x14ac:dyDescent="0.25">
      <c r="A827" s="3">
        <v>4</v>
      </c>
      <c r="B827" s="3" t="s">
        <v>176</v>
      </c>
      <c r="C827" s="1" t="s">
        <v>12</v>
      </c>
      <c r="D827" s="1" t="s">
        <v>444</v>
      </c>
      <c r="E827" s="11" t="s">
        <v>144</v>
      </c>
      <c r="F827" s="3" t="s">
        <v>8</v>
      </c>
      <c r="G827" s="66" t="s">
        <v>847</v>
      </c>
      <c r="H827" s="8"/>
      <c r="I827" s="8"/>
      <c r="J827" s="6" t="s">
        <v>111</v>
      </c>
      <c r="K827" s="38">
        <v>0</v>
      </c>
      <c r="L827" s="4" t="s">
        <v>29</v>
      </c>
      <c r="M827" s="11">
        <f>_xlfn.NUMBERVALUE(LEFT(Table613[[#This Row],[Fiscal Year]], 4))</f>
        <v>2015</v>
      </c>
      <c r="N827" s="43">
        <f t="shared" si="18"/>
        <v>0</v>
      </c>
      <c r="O827" s="3">
        <v>825</v>
      </c>
    </row>
    <row r="828" spans="1:15" x14ac:dyDescent="0.25">
      <c r="A828" s="3">
        <v>4</v>
      </c>
      <c r="B828" s="3" t="s">
        <v>176</v>
      </c>
      <c r="C828" s="1" t="s">
        <v>12</v>
      </c>
      <c r="D828" s="1" t="s">
        <v>444</v>
      </c>
      <c r="E828" s="11" t="s">
        <v>144</v>
      </c>
      <c r="F828" s="3" t="s">
        <v>8</v>
      </c>
      <c r="G828" s="48" t="s">
        <v>857</v>
      </c>
      <c r="H828" s="8"/>
      <c r="I828" s="8"/>
      <c r="J828" s="6" t="s">
        <v>108</v>
      </c>
      <c r="K828" s="38">
        <v>22127.5</v>
      </c>
      <c r="L828" s="4" t="s">
        <v>29</v>
      </c>
      <c r="M828" s="11">
        <f>_xlfn.NUMBERVALUE(LEFT(Table613[[#This Row],[Fiscal Year]], 4))</f>
        <v>2015</v>
      </c>
      <c r="N828" s="42">
        <f t="shared" si="18"/>
        <v>23493.523006329113</v>
      </c>
      <c r="O828" s="3">
        <v>826</v>
      </c>
    </row>
    <row r="829" spans="1:15" x14ac:dyDescent="0.25">
      <c r="A829" s="3">
        <v>4</v>
      </c>
      <c r="B829" s="3" t="s">
        <v>176</v>
      </c>
      <c r="C829" s="1" t="s">
        <v>12</v>
      </c>
      <c r="D829" s="1" t="s">
        <v>444</v>
      </c>
      <c r="E829" s="11" t="s">
        <v>144</v>
      </c>
      <c r="F829" s="3" t="s">
        <v>8</v>
      </c>
      <c r="G829" s="66" t="s">
        <v>849</v>
      </c>
      <c r="H829" s="8"/>
      <c r="I829" s="8"/>
      <c r="J829" s="6" t="s">
        <v>106</v>
      </c>
      <c r="K829" s="38">
        <v>4840</v>
      </c>
      <c r="L829" s="4" t="s">
        <v>29</v>
      </c>
      <c r="M829" s="11">
        <f>_xlfn.NUMBERVALUE(LEFT(Table613[[#This Row],[Fiscal Year]], 4))</f>
        <v>2015</v>
      </c>
      <c r="N829" s="42">
        <f t="shared" si="18"/>
        <v>5138.7934177215184</v>
      </c>
      <c r="O829" s="3">
        <v>827</v>
      </c>
    </row>
    <row r="830" spans="1:15" x14ac:dyDescent="0.25">
      <c r="A830" s="3">
        <v>4</v>
      </c>
      <c r="B830" s="3" t="s">
        <v>176</v>
      </c>
      <c r="C830" s="1" t="s">
        <v>12</v>
      </c>
      <c r="D830" s="1" t="s">
        <v>444</v>
      </c>
      <c r="E830" s="11" t="s">
        <v>144</v>
      </c>
      <c r="F830" s="3" t="s">
        <v>8</v>
      </c>
      <c r="G830" s="66" t="s">
        <v>850</v>
      </c>
      <c r="H830" s="8"/>
      <c r="I830" s="8"/>
      <c r="J830" s="6" t="s">
        <v>455</v>
      </c>
      <c r="K830" s="38">
        <v>0</v>
      </c>
      <c r="L830" s="4" t="s">
        <v>29</v>
      </c>
      <c r="M830" s="11">
        <f>_xlfn.NUMBERVALUE(LEFT(Table613[[#This Row],[Fiscal Year]], 4))</f>
        <v>2015</v>
      </c>
      <c r="N830" s="43">
        <f t="shared" si="18"/>
        <v>0</v>
      </c>
      <c r="O830" s="3">
        <v>828</v>
      </c>
    </row>
    <row r="831" spans="1:15" x14ac:dyDescent="0.25">
      <c r="A831" s="3">
        <v>4</v>
      </c>
      <c r="B831" s="3" t="s">
        <v>176</v>
      </c>
      <c r="C831" s="1" t="s">
        <v>12</v>
      </c>
      <c r="D831" s="1" t="s">
        <v>444</v>
      </c>
      <c r="E831" s="11" t="s">
        <v>144</v>
      </c>
      <c r="F831" s="3" t="s">
        <v>8</v>
      </c>
      <c r="G831" s="66" t="s">
        <v>851</v>
      </c>
      <c r="H831" s="8"/>
      <c r="I831" s="8"/>
      <c r="J831" s="6" t="s">
        <v>76</v>
      </c>
      <c r="K831" s="38">
        <v>0</v>
      </c>
      <c r="L831" s="4" t="s">
        <v>29</v>
      </c>
      <c r="M831" s="11">
        <f>_xlfn.NUMBERVALUE(LEFT(Table613[[#This Row],[Fiscal Year]], 4))</f>
        <v>2015</v>
      </c>
      <c r="N831" s="43">
        <f t="shared" si="18"/>
        <v>0</v>
      </c>
      <c r="O831" s="3">
        <v>829</v>
      </c>
    </row>
    <row r="832" spans="1:15" x14ac:dyDescent="0.25">
      <c r="A832" s="3">
        <v>4</v>
      </c>
      <c r="B832" s="3" t="s">
        <v>176</v>
      </c>
      <c r="C832" s="1" t="s">
        <v>12</v>
      </c>
      <c r="D832" s="1" t="s">
        <v>444</v>
      </c>
      <c r="E832" s="11" t="s">
        <v>144</v>
      </c>
      <c r="F832" s="3" t="s">
        <v>8</v>
      </c>
      <c r="G832" s="66" t="s">
        <v>852</v>
      </c>
      <c r="H832" s="8"/>
      <c r="I832" s="8"/>
      <c r="J832" s="6" t="s">
        <v>76</v>
      </c>
      <c r="K832" s="38">
        <v>0</v>
      </c>
      <c r="L832" s="4" t="s">
        <v>29</v>
      </c>
      <c r="M832" s="11">
        <f>_xlfn.NUMBERVALUE(LEFT(Table613[[#This Row],[Fiscal Year]], 4))</f>
        <v>2015</v>
      </c>
      <c r="N832" s="43">
        <f t="shared" si="18"/>
        <v>0</v>
      </c>
      <c r="O832" s="3">
        <v>830</v>
      </c>
    </row>
    <row r="833" spans="1:15" x14ac:dyDescent="0.25">
      <c r="A833" s="3">
        <v>4</v>
      </c>
      <c r="B833" s="3" t="s">
        <v>176</v>
      </c>
      <c r="C833" s="1" t="s">
        <v>12</v>
      </c>
      <c r="D833" s="1" t="s">
        <v>444</v>
      </c>
      <c r="E833" s="11" t="s">
        <v>144</v>
      </c>
      <c r="F833" s="3" t="s">
        <v>8</v>
      </c>
      <c r="G833" s="66" t="s">
        <v>853</v>
      </c>
      <c r="H833" s="8"/>
      <c r="I833" s="8"/>
      <c r="J833" s="6" t="s">
        <v>76</v>
      </c>
      <c r="K833" s="38">
        <v>0</v>
      </c>
      <c r="L833" s="4" t="s">
        <v>29</v>
      </c>
      <c r="M833" s="11">
        <f>_xlfn.NUMBERVALUE(LEFT(Table613[[#This Row],[Fiscal Year]], 4))</f>
        <v>2015</v>
      </c>
      <c r="N833" s="43">
        <f t="shared" si="18"/>
        <v>0</v>
      </c>
      <c r="O833" s="3">
        <v>831</v>
      </c>
    </row>
    <row r="834" spans="1:15" x14ac:dyDescent="0.25">
      <c r="A834" s="3">
        <v>4</v>
      </c>
      <c r="B834" s="3" t="s">
        <v>176</v>
      </c>
      <c r="C834" s="1" t="s">
        <v>12</v>
      </c>
      <c r="D834" s="1" t="s">
        <v>444</v>
      </c>
      <c r="E834" s="11" t="s">
        <v>144</v>
      </c>
      <c r="F834" s="3" t="s">
        <v>8</v>
      </c>
      <c r="G834" s="63" t="s">
        <v>854</v>
      </c>
      <c r="H834" s="8"/>
      <c r="I834" s="8"/>
      <c r="J834" s="6" t="s">
        <v>47</v>
      </c>
      <c r="K834" s="38">
        <v>15613</v>
      </c>
      <c r="L834" s="4" t="s">
        <v>29</v>
      </c>
      <c r="M834" s="11">
        <f>_xlfn.NUMBERVALUE(LEFT(Table613[[#This Row],[Fiscal Year]], 4))</f>
        <v>2015</v>
      </c>
      <c r="N834" s="42">
        <f t="shared" si="18"/>
        <v>16576.855708860759</v>
      </c>
      <c r="O834" s="3">
        <v>832</v>
      </c>
    </row>
    <row r="835" spans="1:15" x14ac:dyDescent="0.25">
      <c r="A835" s="3">
        <v>4</v>
      </c>
      <c r="B835" s="3" t="s">
        <v>176</v>
      </c>
      <c r="C835" s="1" t="s">
        <v>12</v>
      </c>
      <c r="D835" s="1" t="s">
        <v>444</v>
      </c>
      <c r="E835" s="11" t="s">
        <v>144</v>
      </c>
      <c r="F835" s="3" t="s">
        <v>8</v>
      </c>
      <c r="G835" s="63" t="s">
        <v>924</v>
      </c>
      <c r="H835" s="8"/>
      <c r="I835" s="8"/>
      <c r="J835" s="6" t="s">
        <v>605</v>
      </c>
      <c r="K835" s="38">
        <v>24961</v>
      </c>
      <c r="L835" s="4" t="s">
        <v>29</v>
      </c>
      <c r="M835" s="11">
        <f>_xlfn.NUMBERVALUE(LEFT(Table613[[#This Row],[Fiscal Year]], 4))</f>
        <v>2015</v>
      </c>
      <c r="N835" s="42">
        <f t="shared" si="18"/>
        <v>26501.946797468354</v>
      </c>
      <c r="O835" s="3">
        <v>833</v>
      </c>
    </row>
    <row r="836" spans="1:15" x14ac:dyDescent="0.25">
      <c r="C836" s="1"/>
      <c r="D836" s="1"/>
      <c r="E836" s="11"/>
      <c r="G836" s="66"/>
      <c r="H836" s="8"/>
      <c r="I836" s="8"/>
      <c r="J836" s="6"/>
      <c r="L836" s="4"/>
      <c r="O836" s="3">
        <v>834</v>
      </c>
    </row>
    <row r="837" spans="1:15" x14ac:dyDescent="0.25">
      <c r="A837" s="3">
        <v>4</v>
      </c>
      <c r="B837" s="3" t="s">
        <v>177</v>
      </c>
      <c r="C837" s="1" t="s">
        <v>12</v>
      </c>
      <c r="D837" s="1" t="s">
        <v>444</v>
      </c>
      <c r="E837" s="11" t="s">
        <v>144</v>
      </c>
      <c r="F837" s="3" t="s">
        <v>8</v>
      </c>
      <c r="G837" s="56" t="s">
        <v>829</v>
      </c>
      <c r="H837" s="8"/>
      <c r="I837" s="8"/>
      <c r="J837" s="6" t="s">
        <v>110</v>
      </c>
      <c r="K837" s="38">
        <v>26004.5</v>
      </c>
      <c r="L837" s="4" t="s">
        <v>29</v>
      </c>
      <c r="M837" s="11">
        <f>_xlfn.NUMBERVALUE(LEFT(Table613[[#This Row],[Fiscal Year]], 4))</f>
        <v>2015</v>
      </c>
      <c r="N837" s="42">
        <f t="shared" si="18"/>
        <v>27609.866411392402</v>
      </c>
      <c r="O837" s="3">
        <v>835</v>
      </c>
    </row>
    <row r="838" spans="1:15" x14ac:dyDescent="0.25">
      <c r="A838" s="3">
        <v>4</v>
      </c>
      <c r="B838" s="3" t="s">
        <v>177</v>
      </c>
      <c r="C838" s="1" t="s">
        <v>12</v>
      </c>
      <c r="D838" s="1" t="s">
        <v>444</v>
      </c>
      <c r="E838" s="11" t="s">
        <v>144</v>
      </c>
      <c r="F838" s="3" t="s">
        <v>8</v>
      </c>
      <c r="G838" s="66" t="s">
        <v>925</v>
      </c>
      <c r="H838" s="8"/>
      <c r="I838" s="8"/>
      <c r="J838" s="6" t="s">
        <v>453</v>
      </c>
      <c r="K838" s="38">
        <v>5587.5</v>
      </c>
      <c r="L838" s="4" t="s">
        <v>29</v>
      </c>
      <c r="M838" s="11">
        <f>_xlfn.NUMBERVALUE(LEFT(Table613[[#This Row],[Fiscal Year]], 4))</f>
        <v>2015</v>
      </c>
      <c r="N838" s="42">
        <f t="shared" si="18"/>
        <v>5932.4397151898729</v>
      </c>
      <c r="O838" s="3">
        <v>836</v>
      </c>
    </row>
    <row r="839" spans="1:15" x14ac:dyDescent="0.25">
      <c r="A839" s="3">
        <v>4</v>
      </c>
      <c r="B839" s="3" t="s">
        <v>177</v>
      </c>
      <c r="C839" s="1" t="s">
        <v>12</v>
      </c>
      <c r="D839" s="1" t="s">
        <v>444</v>
      </c>
      <c r="E839" s="11" t="s">
        <v>144</v>
      </c>
      <c r="F839" s="3" t="s">
        <v>8</v>
      </c>
      <c r="G839" s="66" t="s">
        <v>926</v>
      </c>
      <c r="H839" s="8"/>
      <c r="I839" s="8"/>
      <c r="J839" s="6" t="s">
        <v>109</v>
      </c>
      <c r="K839" s="38">
        <v>19743</v>
      </c>
      <c r="L839" s="4" t="s">
        <v>29</v>
      </c>
      <c r="M839" s="11">
        <f>_xlfn.NUMBERVALUE(LEFT(Table613[[#This Row],[Fiscal Year]], 4))</f>
        <v>2015</v>
      </c>
      <c r="N839" s="42">
        <f t="shared" si="18"/>
        <v>20961.817860759493</v>
      </c>
      <c r="O839" s="3">
        <v>837</v>
      </c>
    </row>
    <row r="840" spans="1:15" x14ac:dyDescent="0.25">
      <c r="A840" s="3">
        <v>4</v>
      </c>
      <c r="B840" s="3" t="s">
        <v>177</v>
      </c>
      <c r="C840" s="1" t="s">
        <v>12</v>
      </c>
      <c r="D840" s="1" t="s">
        <v>444</v>
      </c>
      <c r="E840" s="11" t="s">
        <v>144</v>
      </c>
      <c r="F840" s="3" t="s">
        <v>8</v>
      </c>
      <c r="G840" s="48" t="s">
        <v>927</v>
      </c>
      <c r="H840" s="8"/>
      <c r="I840" s="8"/>
      <c r="J840" s="6" t="s">
        <v>111</v>
      </c>
      <c r="K840" s="38">
        <v>1185</v>
      </c>
      <c r="L840" s="4" t="s">
        <v>29</v>
      </c>
      <c r="M840" s="11">
        <f>_xlfn.NUMBERVALUE(LEFT(Table613[[#This Row],[Fiscal Year]], 4))</f>
        <v>2015</v>
      </c>
      <c r="N840" s="42">
        <f t="shared" si="18"/>
        <v>1258.155</v>
      </c>
      <c r="O840" s="3">
        <v>838</v>
      </c>
    </row>
    <row r="841" spans="1:15" x14ac:dyDescent="0.25">
      <c r="A841" s="3">
        <v>4</v>
      </c>
      <c r="B841" s="3" t="s">
        <v>177</v>
      </c>
      <c r="C841" s="1" t="s">
        <v>12</v>
      </c>
      <c r="D841" s="1" t="s">
        <v>444</v>
      </c>
      <c r="E841" s="11" t="s">
        <v>144</v>
      </c>
      <c r="F841" s="3" t="s">
        <v>8</v>
      </c>
      <c r="G841" s="66" t="s">
        <v>928</v>
      </c>
      <c r="H841" s="8"/>
      <c r="I841" s="8"/>
      <c r="J841" s="6" t="s">
        <v>111</v>
      </c>
      <c r="K841" s="38">
        <v>13500</v>
      </c>
      <c r="L841" s="4" t="s">
        <v>29</v>
      </c>
      <c r="M841" s="11">
        <f>_xlfn.NUMBERVALUE(LEFT(Table613[[#This Row],[Fiscal Year]], 4))</f>
        <v>2015</v>
      </c>
      <c r="N841" s="42">
        <f t="shared" si="18"/>
        <v>14333.411392405062</v>
      </c>
      <c r="O841" s="3">
        <v>839</v>
      </c>
    </row>
    <row r="842" spans="1:15" x14ac:dyDescent="0.25">
      <c r="A842" s="3">
        <v>4</v>
      </c>
      <c r="B842" s="3" t="s">
        <v>177</v>
      </c>
      <c r="C842" s="1" t="s">
        <v>12</v>
      </c>
      <c r="D842" s="1" t="s">
        <v>444</v>
      </c>
      <c r="E842" s="11" t="s">
        <v>144</v>
      </c>
      <c r="F842" s="3" t="s">
        <v>8</v>
      </c>
      <c r="G842" s="48" t="s">
        <v>929</v>
      </c>
      <c r="H842" s="8"/>
      <c r="I842" s="8"/>
      <c r="J842" s="6" t="s">
        <v>108</v>
      </c>
      <c r="K842" s="38">
        <v>189236.5</v>
      </c>
      <c r="L842" s="4" t="s">
        <v>29</v>
      </c>
      <c r="M842" s="11">
        <f>_xlfn.NUMBERVALUE(LEFT(Table613[[#This Row],[Fiscal Year]], 4))</f>
        <v>2015</v>
      </c>
      <c r="N842" s="42">
        <f t="shared" si="18"/>
        <v>200918.85962658227</v>
      </c>
      <c r="O842" s="3">
        <v>840</v>
      </c>
    </row>
    <row r="843" spans="1:15" x14ac:dyDescent="0.25">
      <c r="A843" s="3">
        <v>4</v>
      </c>
      <c r="B843" s="3" t="s">
        <v>177</v>
      </c>
      <c r="C843" s="1" t="s">
        <v>12</v>
      </c>
      <c r="D843" s="1" t="s">
        <v>444</v>
      </c>
      <c r="E843" s="11" t="s">
        <v>144</v>
      </c>
      <c r="F843" s="3" t="s">
        <v>8</v>
      </c>
      <c r="G843" s="66" t="s">
        <v>930</v>
      </c>
      <c r="H843" s="8"/>
      <c r="I843" s="8"/>
      <c r="J843" s="6" t="s">
        <v>106</v>
      </c>
      <c r="K843" s="38">
        <v>36598</v>
      </c>
      <c r="L843" s="4" t="s">
        <v>29</v>
      </c>
      <c r="M843" s="11">
        <f>_xlfn.NUMBERVALUE(LEFT(Table613[[#This Row],[Fiscal Year]], 4))</f>
        <v>2015</v>
      </c>
      <c r="N843" s="42">
        <f>K843*(1+VLOOKUP(M843,$AF$8:$AH$31,3,0))</f>
        <v>38857.347417721518</v>
      </c>
      <c r="O843" s="3">
        <v>841</v>
      </c>
    </row>
    <row r="844" spans="1:15" x14ac:dyDescent="0.25">
      <c r="A844" s="3">
        <v>4</v>
      </c>
      <c r="B844" s="3" t="s">
        <v>177</v>
      </c>
      <c r="C844" s="1" t="s">
        <v>12</v>
      </c>
      <c r="D844" s="1" t="s">
        <v>444</v>
      </c>
      <c r="E844" s="11" t="s">
        <v>144</v>
      </c>
      <c r="F844" s="3" t="s">
        <v>8</v>
      </c>
      <c r="G844" s="66" t="s">
        <v>931</v>
      </c>
      <c r="H844" s="8"/>
      <c r="I844" s="8"/>
      <c r="J844" s="6" t="s">
        <v>455</v>
      </c>
      <c r="K844" s="39" t="s">
        <v>215</v>
      </c>
      <c r="L844" s="4" t="s">
        <v>29</v>
      </c>
      <c r="M844" s="11">
        <f>_xlfn.NUMBERVALUE(LEFT(Table613[[#This Row],[Fiscal Year]], 4))</f>
        <v>2015</v>
      </c>
      <c r="O844" s="3">
        <v>842</v>
      </c>
    </row>
    <row r="845" spans="1:15" x14ac:dyDescent="0.25">
      <c r="A845" s="3">
        <v>4</v>
      </c>
      <c r="B845" s="3" t="s">
        <v>177</v>
      </c>
      <c r="C845" s="1" t="s">
        <v>12</v>
      </c>
      <c r="D845" s="1" t="s">
        <v>444</v>
      </c>
      <c r="E845" s="11" t="s">
        <v>144</v>
      </c>
      <c r="F845" s="3" t="s">
        <v>8</v>
      </c>
      <c r="G845" s="66" t="s">
        <v>851</v>
      </c>
      <c r="H845" s="8"/>
      <c r="I845" s="8"/>
      <c r="J845" s="6" t="s">
        <v>76</v>
      </c>
      <c r="K845" s="38">
        <v>0</v>
      </c>
      <c r="L845" s="4" t="s">
        <v>29</v>
      </c>
      <c r="M845" s="11">
        <f>_xlfn.NUMBERVALUE(LEFT(Table613[[#This Row],[Fiscal Year]], 4))</f>
        <v>2015</v>
      </c>
      <c r="N845" s="43">
        <f>K845*(1+VLOOKUP(M845,$AF$8:$AH$31,3,0))</f>
        <v>0</v>
      </c>
      <c r="O845" s="3">
        <v>843</v>
      </c>
    </row>
    <row r="846" spans="1:15" x14ac:dyDescent="0.25">
      <c r="A846" s="3">
        <v>4</v>
      </c>
      <c r="B846" s="3" t="s">
        <v>177</v>
      </c>
      <c r="C846" s="1" t="s">
        <v>12</v>
      </c>
      <c r="D846" s="1" t="s">
        <v>444</v>
      </c>
      <c r="E846" s="11" t="s">
        <v>144</v>
      </c>
      <c r="F846" s="3" t="s">
        <v>8</v>
      </c>
      <c r="G846" s="66" t="s">
        <v>852</v>
      </c>
      <c r="H846" s="8"/>
      <c r="I846" s="8"/>
      <c r="J846" s="6" t="s">
        <v>76</v>
      </c>
      <c r="K846" s="38">
        <v>0</v>
      </c>
      <c r="L846" s="4" t="s">
        <v>29</v>
      </c>
      <c r="M846" s="11">
        <f>_xlfn.NUMBERVALUE(LEFT(Table613[[#This Row],[Fiscal Year]], 4))</f>
        <v>2015</v>
      </c>
      <c r="N846" s="43">
        <f>K846*(1+VLOOKUP(M846,$AF$8:$AH$31,3,0))</f>
        <v>0</v>
      </c>
      <c r="O846" s="3">
        <v>844</v>
      </c>
    </row>
    <row r="847" spans="1:15" x14ac:dyDescent="0.25">
      <c r="A847" s="3">
        <v>4</v>
      </c>
      <c r="B847" s="3" t="s">
        <v>177</v>
      </c>
      <c r="C847" s="1" t="s">
        <v>12</v>
      </c>
      <c r="D847" s="1" t="s">
        <v>444</v>
      </c>
      <c r="E847" s="11" t="s">
        <v>144</v>
      </c>
      <c r="F847" s="3" t="s">
        <v>8</v>
      </c>
      <c r="G847" s="66" t="s">
        <v>853</v>
      </c>
      <c r="H847" s="8"/>
      <c r="I847" s="8"/>
      <c r="J847" s="6" t="s">
        <v>76</v>
      </c>
      <c r="K847" s="38">
        <v>0</v>
      </c>
      <c r="L847" s="4" t="s">
        <v>29</v>
      </c>
      <c r="M847" s="11">
        <f>_xlfn.NUMBERVALUE(LEFT(Table613[[#This Row],[Fiscal Year]], 4))</f>
        <v>2015</v>
      </c>
      <c r="N847" s="43">
        <f>K847*(1+VLOOKUP(M847,$AF$8:$AH$31,3,0))</f>
        <v>0</v>
      </c>
      <c r="O847" s="3">
        <v>845</v>
      </c>
    </row>
    <row r="848" spans="1:15" x14ac:dyDescent="0.25">
      <c r="A848" s="3">
        <v>4</v>
      </c>
      <c r="B848" s="3" t="s">
        <v>177</v>
      </c>
      <c r="C848" s="1" t="s">
        <v>12</v>
      </c>
      <c r="D848" s="1" t="s">
        <v>444</v>
      </c>
      <c r="E848" s="11" t="s">
        <v>144</v>
      </c>
      <c r="F848" s="3" t="s">
        <v>8</v>
      </c>
      <c r="G848" s="63" t="s">
        <v>854</v>
      </c>
      <c r="H848" s="8"/>
      <c r="I848" s="8"/>
      <c r="J848" s="6" t="s">
        <v>47</v>
      </c>
      <c r="K848" s="38">
        <v>47981.54</v>
      </c>
      <c r="L848" s="4" t="s">
        <v>29</v>
      </c>
      <c r="M848" s="11">
        <f>_xlfn.NUMBERVALUE(LEFT(Table613[[#This Row],[Fiscal Year]], 4))</f>
        <v>2015</v>
      </c>
      <c r="N848" s="42">
        <f t="shared" ref="N848:N857" si="19">K848*(1+VLOOKUP(M848,$AF$8:$AH$31,3,0))</f>
        <v>50943.640893417716</v>
      </c>
      <c r="O848" s="3">
        <v>846</v>
      </c>
    </row>
    <row r="849" spans="1:15" x14ac:dyDescent="0.25">
      <c r="A849" s="3">
        <v>4</v>
      </c>
      <c r="B849" s="3" t="s">
        <v>177</v>
      </c>
      <c r="C849" s="1" t="s">
        <v>12</v>
      </c>
      <c r="D849" s="1" t="s">
        <v>444</v>
      </c>
      <c r="E849" s="11" t="s">
        <v>144</v>
      </c>
      <c r="F849" s="3" t="s">
        <v>8</v>
      </c>
      <c r="G849" s="63" t="s">
        <v>924</v>
      </c>
      <c r="H849" s="8"/>
      <c r="I849" s="8"/>
      <c r="J849" s="6" t="s">
        <v>605</v>
      </c>
      <c r="K849" s="38">
        <v>9520</v>
      </c>
      <c r="L849" s="4" t="s">
        <v>29</v>
      </c>
      <c r="M849" s="11">
        <f>_xlfn.NUMBERVALUE(LEFT(Table613[[#This Row],[Fiscal Year]], 4))</f>
        <v>2015</v>
      </c>
      <c r="N849" s="42">
        <f t="shared" si="19"/>
        <v>10107.709367088608</v>
      </c>
      <c r="O849" s="3">
        <v>847</v>
      </c>
    </row>
    <row r="850" spans="1:15" x14ac:dyDescent="0.25">
      <c r="C850" s="1"/>
      <c r="D850" s="1"/>
      <c r="E850" s="11"/>
      <c r="G850" s="66"/>
      <c r="H850" s="8"/>
      <c r="I850" s="8"/>
      <c r="J850" s="6"/>
      <c r="L850" s="4"/>
      <c r="O850" s="3">
        <v>848</v>
      </c>
    </row>
    <row r="851" spans="1:15" x14ac:dyDescent="0.25">
      <c r="A851" s="3">
        <v>4</v>
      </c>
      <c r="B851" s="3" t="s">
        <v>178</v>
      </c>
      <c r="C851" s="1" t="s">
        <v>12</v>
      </c>
      <c r="D851" s="1" t="s">
        <v>444</v>
      </c>
      <c r="E851" s="11" t="s">
        <v>144</v>
      </c>
      <c r="F851" s="3" t="s">
        <v>8</v>
      </c>
      <c r="G851" s="48" t="s">
        <v>32</v>
      </c>
      <c r="H851" s="8"/>
      <c r="I851" s="8"/>
      <c r="J851" s="6" t="s">
        <v>110</v>
      </c>
      <c r="K851" s="38">
        <v>18280</v>
      </c>
      <c r="L851" s="4" t="s">
        <v>29</v>
      </c>
      <c r="M851" s="11">
        <f>_xlfn.NUMBERVALUE(LEFT(Table613[[#This Row],[Fiscal Year]], 4))</f>
        <v>2015</v>
      </c>
      <c r="N851" s="42">
        <f t="shared" si="19"/>
        <v>19408.500759493669</v>
      </c>
      <c r="O851" s="3">
        <v>849</v>
      </c>
    </row>
    <row r="852" spans="1:15" x14ac:dyDescent="0.25">
      <c r="A852" s="3">
        <v>4</v>
      </c>
      <c r="B852" s="3" t="s">
        <v>178</v>
      </c>
      <c r="C852" s="1" t="s">
        <v>12</v>
      </c>
      <c r="D852" s="1" t="s">
        <v>444</v>
      </c>
      <c r="E852" s="11" t="s">
        <v>144</v>
      </c>
      <c r="F852" s="3" t="s">
        <v>8</v>
      </c>
      <c r="G852" s="66" t="s">
        <v>58</v>
      </c>
      <c r="H852" s="8"/>
      <c r="I852" s="8"/>
      <c r="J852" s="6" t="s">
        <v>453</v>
      </c>
      <c r="K852" s="38">
        <v>20910</v>
      </c>
      <c r="L852" s="4" t="s">
        <v>29</v>
      </c>
      <c r="M852" s="11">
        <f>_xlfn.NUMBERVALUE(LEFT(Table613[[#This Row],[Fiscal Year]], 4))</f>
        <v>2015</v>
      </c>
      <c r="N852" s="42">
        <f t="shared" si="19"/>
        <v>22200.861645569617</v>
      </c>
      <c r="O852" s="3">
        <v>850</v>
      </c>
    </row>
    <row r="853" spans="1:15" x14ac:dyDescent="0.25">
      <c r="A853" s="3">
        <v>4</v>
      </c>
      <c r="B853" s="3" t="s">
        <v>178</v>
      </c>
      <c r="C853" s="1" t="s">
        <v>12</v>
      </c>
      <c r="D853" s="1" t="s">
        <v>444</v>
      </c>
      <c r="E853" s="11" t="s">
        <v>144</v>
      </c>
      <c r="F853" s="3" t="s">
        <v>8</v>
      </c>
      <c r="G853" s="66" t="s">
        <v>208</v>
      </c>
      <c r="H853" s="8"/>
      <c r="I853" s="8"/>
      <c r="J853" s="6" t="s">
        <v>109</v>
      </c>
      <c r="K853" s="38">
        <v>10902</v>
      </c>
      <c r="L853" s="4" t="s">
        <v>29</v>
      </c>
      <c r="M853" s="11">
        <f>_xlfn.NUMBERVALUE(LEFT(Table613[[#This Row],[Fiscal Year]], 4))</f>
        <v>2015</v>
      </c>
      <c r="N853" s="42">
        <f t="shared" si="19"/>
        <v>11575.026</v>
      </c>
      <c r="O853" s="3">
        <v>851</v>
      </c>
    </row>
    <row r="854" spans="1:15" x14ac:dyDescent="0.25">
      <c r="A854" s="3">
        <v>4</v>
      </c>
      <c r="B854" s="3" t="s">
        <v>178</v>
      </c>
      <c r="C854" s="1" t="s">
        <v>12</v>
      </c>
      <c r="D854" s="1" t="s">
        <v>444</v>
      </c>
      <c r="E854" s="11" t="s">
        <v>144</v>
      </c>
      <c r="F854" s="3" t="s">
        <v>8</v>
      </c>
      <c r="G854" s="48" t="s">
        <v>59</v>
      </c>
      <c r="H854" s="8"/>
      <c r="I854" s="8"/>
      <c r="J854" s="6" t="s">
        <v>111</v>
      </c>
      <c r="K854" s="38">
        <v>933</v>
      </c>
      <c r="L854" s="4" t="s">
        <v>29</v>
      </c>
      <c r="M854" s="11">
        <f>_xlfn.NUMBERVALUE(LEFT(Table613[[#This Row],[Fiscal Year]], 4))</f>
        <v>2015</v>
      </c>
      <c r="N854" s="42">
        <f t="shared" si="19"/>
        <v>990.59798734177207</v>
      </c>
      <c r="O854" s="3">
        <v>852</v>
      </c>
    </row>
    <row r="855" spans="1:15" x14ac:dyDescent="0.25">
      <c r="A855" s="3">
        <v>4</v>
      </c>
      <c r="B855" s="3" t="s">
        <v>178</v>
      </c>
      <c r="C855" s="1" t="s">
        <v>12</v>
      </c>
      <c r="D855" s="1" t="s">
        <v>444</v>
      </c>
      <c r="E855" s="11" t="s">
        <v>144</v>
      </c>
      <c r="F855" s="3" t="s">
        <v>8</v>
      </c>
      <c r="G855" s="66" t="s">
        <v>60</v>
      </c>
      <c r="H855" s="8"/>
      <c r="I855" s="8"/>
      <c r="J855" s="6" t="s">
        <v>111</v>
      </c>
      <c r="K855" s="38">
        <v>2676</v>
      </c>
      <c r="L855" s="4" t="s">
        <v>29</v>
      </c>
      <c r="M855" s="11">
        <f>_xlfn.NUMBERVALUE(LEFT(Table613[[#This Row],[Fiscal Year]], 4))</f>
        <v>2015</v>
      </c>
      <c r="N855" s="42">
        <f t="shared" si="19"/>
        <v>2841.2006582278477</v>
      </c>
      <c r="O855" s="3">
        <v>853</v>
      </c>
    </row>
    <row r="856" spans="1:15" x14ac:dyDescent="0.25">
      <c r="A856" s="3">
        <v>4</v>
      </c>
      <c r="B856" s="3" t="s">
        <v>178</v>
      </c>
      <c r="C856" s="1" t="s">
        <v>12</v>
      </c>
      <c r="D856" s="1" t="s">
        <v>444</v>
      </c>
      <c r="E856" s="11" t="s">
        <v>144</v>
      </c>
      <c r="F856" s="3" t="s">
        <v>8</v>
      </c>
      <c r="G856" s="48" t="s">
        <v>61</v>
      </c>
      <c r="H856" s="8"/>
      <c r="I856" s="8"/>
      <c r="J856" s="6" t="s">
        <v>108</v>
      </c>
      <c r="K856" s="38">
        <v>224238</v>
      </c>
      <c r="L856" s="4" t="s">
        <v>29</v>
      </c>
      <c r="M856" s="11">
        <f>_xlfn.NUMBERVALUE(LEFT(Table613[[#This Row],[Fiscal Year]], 4))</f>
        <v>2015</v>
      </c>
      <c r="N856" s="42">
        <f t="shared" si="19"/>
        <v>238081.14843037972</v>
      </c>
      <c r="O856" s="3">
        <v>854</v>
      </c>
    </row>
    <row r="857" spans="1:15" x14ac:dyDescent="0.25">
      <c r="A857" s="3">
        <v>4</v>
      </c>
      <c r="B857" s="3" t="s">
        <v>178</v>
      </c>
      <c r="C857" s="1" t="s">
        <v>12</v>
      </c>
      <c r="D857" s="1" t="s">
        <v>444</v>
      </c>
      <c r="E857" s="11" t="s">
        <v>144</v>
      </c>
      <c r="F857" s="3" t="s">
        <v>8</v>
      </c>
      <c r="G857" s="66" t="s">
        <v>62</v>
      </c>
      <c r="H857" s="8"/>
      <c r="I857" s="8"/>
      <c r="J857" s="6" t="s">
        <v>106</v>
      </c>
      <c r="K857" s="38">
        <v>56922</v>
      </c>
      <c r="L857" s="4" t="s">
        <v>29</v>
      </c>
      <c r="M857" s="11">
        <f>_xlfn.NUMBERVALUE(LEFT(Table613[[#This Row],[Fiscal Year]], 4))</f>
        <v>2015</v>
      </c>
      <c r="N857" s="42">
        <f t="shared" si="19"/>
        <v>60436.032835443031</v>
      </c>
      <c r="O857" s="3">
        <v>855</v>
      </c>
    </row>
    <row r="858" spans="1:15" x14ac:dyDescent="0.25">
      <c r="A858" s="3">
        <v>4</v>
      </c>
      <c r="B858" s="3" t="s">
        <v>178</v>
      </c>
      <c r="C858" s="1" t="s">
        <v>12</v>
      </c>
      <c r="D858" s="1" t="s">
        <v>444</v>
      </c>
      <c r="E858" s="11" t="s">
        <v>144</v>
      </c>
      <c r="F858" s="3" t="s">
        <v>8</v>
      </c>
      <c r="G858" s="66" t="s">
        <v>211</v>
      </c>
      <c r="H858" s="8"/>
      <c r="I858" s="8"/>
      <c r="J858" s="6" t="s">
        <v>455</v>
      </c>
      <c r="K858" s="39" t="s">
        <v>216</v>
      </c>
      <c r="L858" s="4" t="s">
        <v>29</v>
      </c>
      <c r="M858" s="11">
        <f>_xlfn.NUMBERVALUE(LEFT(Table613[[#This Row],[Fiscal Year]], 4))</f>
        <v>2015</v>
      </c>
      <c r="O858" s="3">
        <v>856</v>
      </c>
    </row>
    <row r="859" spans="1:15" x14ac:dyDescent="0.25">
      <c r="A859" s="3">
        <v>4</v>
      </c>
      <c r="B859" s="3" t="s">
        <v>178</v>
      </c>
      <c r="C859" s="1" t="s">
        <v>12</v>
      </c>
      <c r="D859" s="1" t="s">
        <v>444</v>
      </c>
      <c r="E859" s="11" t="s">
        <v>144</v>
      </c>
      <c r="F859" s="3" t="s">
        <v>8</v>
      </c>
      <c r="G859" s="66" t="s">
        <v>64</v>
      </c>
      <c r="H859" s="8"/>
      <c r="I859" s="8"/>
      <c r="J859" s="6" t="s">
        <v>76</v>
      </c>
      <c r="K859" s="38">
        <v>0</v>
      </c>
      <c r="L859" s="4" t="s">
        <v>29</v>
      </c>
      <c r="M859" s="11">
        <f>_xlfn.NUMBERVALUE(LEFT(Table613[[#This Row],[Fiscal Year]], 4))</f>
        <v>2015</v>
      </c>
      <c r="N859" s="43">
        <f>K859*(1+VLOOKUP(M859,$AF$8:$AH$31,3,0))</f>
        <v>0</v>
      </c>
      <c r="O859" s="3">
        <v>857</v>
      </c>
    </row>
    <row r="860" spans="1:15" x14ac:dyDescent="0.25">
      <c r="A860" s="3">
        <v>4</v>
      </c>
      <c r="B860" s="3" t="s">
        <v>178</v>
      </c>
      <c r="C860" s="1" t="s">
        <v>12</v>
      </c>
      <c r="D860" s="1" t="s">
        <v>444</v>
      </c>
      <c r="E860" s="11" t="s">
        <v>144</v>
      </c>
      <c r="F860" s="3" t="s">
        <v>8</v>
      </c>
      <c r="G860" s="66" t="s">
        <v>65</v>
      </c>
      <c r="H860" s="8"/>
      <c r="I860" s="8"/>
      <c r="J860" s="6" t="s">
        <v>76</v>
      </c>
      <c r="K860" s="38">
        <v>0</v>
      </c>
      <c r="L860" s="4" t="s">
        <v>29</v>
      </c>
      <c r="M860" s="11">
        <f>_xlfn.NUMBERVALUE(LEFT(Table613[[#This Row],[Fiscal Year]], 4))</f>
        <v>2015</v>
      </c>
      <c r="N860" s="43">
        <f>K860*(1+VLOOKUP(M860,$AF$8:$AH$31,3,0))</f>
        <v>0</v>
      </c>
      <c r="O860" s="3">
        <v>858</v>
      </c>
    </row>
    <row r="861" spans="1:15" x14ac:dyDescent="0.25">
      <c r="A861" s="3">
        <v>4</v>
      </c>
      <c r="B861" s="3" t="s">
        <v>178</v>
      </c>
      <c r="C861" s="1" t="s">
        <v>12</v>
      </c>
      <c r="D861" s="1" t="s">
        <v>444</v>
      </c>
      <c r="E861" s="11" t="s">
        <v>144</v>
      </c>
      <c r="F861" s="3" t="s">
        <v>8</v>
      </c>
      <c r="G861" s="66" t="s">
        <v>66</v>
      </c>
      <c r="H861" s="8"/>
      <c r="I861" s="8"/>
      <c r="J861" s="6" t="s">
        <v>76</v>
      </c>
      <c r="K861" s="38">
        <v>0</v>
      </c>
      <c r="L861" s="4" t="s">
        <v>29</v>
      </c>
      <c r="M861" s="11">
        <f>_xlfn.NUMBERVALUE(LEFT(Table613[[#This Row],[Fiscal Year]], 4))</f>
        <v>2015</v>
      </c>
      <c r="N861" s="43">
        <f>K861*(1+VLOOKUP(M861,$AF$8:$AH$31,3,0))</f>
        <v>0</v>
      </c>
      <c r="O861" s="3">
        <v>859</v>
      </c>
    </row>
    <row r="862" spans="1:15" x14ac:dyDescent="0.25">
      <c r="A862" s="3">
        <v>4</v>
      </c>
      <c r="B862" s="3" t="s">
        <v>178</v>
      </c>
      <c r="C862" s="1" t="s">
        <v>12</v>
      </c>
      <c r="D862" s="1" t="s">
        <v>444</v>
      </c>
      <c r="E862" s="11" t="s">
        <v>144</v>
      </c>
      <c r="F862" s="3" t="s">
        <v>8</v>
      </c>
      <c r="G862" s="66" t="s">
        <v>33</v>
      </c>
      <c r="H862" s="8"/>
      <c r="I862" s="8"/>
      <c r="J862" s="6" t="s">
        <v>47</v>
      </c>
      <c r="K862" s="38">
        <v>68935</v>
      </c>
      <c r="L862" s="4" t="s">
        <v>29</v>
      </c>
      <c r="M862" s="11">
        <f>_xlfn.NUMBERVALUE(LEFT(Table613[[#This Row],[Fiscal Year]], 4))</f>
        <v>2015</v>
      </c>
      <c r="N862" s="42">
        <f t="shared" ref="N862:N925" si="20">K862*(1+VLOOKUP(M862,$AF$8:$AH$31,3,0))</f>
        <v>73190.645506329107</v>
      </c>
      <c r="O862" s="3">
        <v>860</v>
      </c>
    </row>
    <row r="863" spans="1:15" x14ac:dyDescent="0.25">
      <c r="A863" s="3">
        <v>4</v>
      </c>
      <c r="B863" s="3" t="s">
        <v>178</v>
      </c>
      <c r="C863" s="1" t="s">
        <v>12</v>
      </c>
      <c r="D863" s="1" t="s">
        <v>444</v>
      </c>
      <c r="E863" s="11" t="s">
        <v>144</v>
      </c>
      <c r="F863" s="3" t="s">
        <v>8</v>
      </c>
      <c r="G863" s="66" t="s">
        <v>67</v>
      </c>
      <c r="H863" s="8"/>
      <c r="I863" s="8"/>
      <c r="J863" s="6" t="s">
        <v>455</v>
      </c>
      <c r="K863" s="38">
        <v>15624</v>
      </c>
      <c r="L863" s="4" t="s">
        <v>29</v>
      </c>
      <c r="M863" s="11">
        <f>_xlfn.NUMBERVALUE(LEFT(Table613[[#This Row],[Fiscal Year]], 4))</f>
        <v>2015</v>
      </c>
      <c r="N863" s="42">
        <f t="shared" si="20"/>
        <v>16588.534784810126</v>
      </c>
      <c r="O863" s="3">
        <v>861</v>
      </c>
    </row>
    <row r="864" spans="1:15" x14ac:dyDescent="0.25">
      <c r="C864" s="1"/>
      <c r="D864" s="1"/>
      <c r="E864" s="11"/>
      <c r="G864" s="66"/>
      <c r="H864" s="8"/>
      <c r="I864" s="8"/>
      <c r="J864" s="6"/>
      <c r="L864" s="4"/>
      <c r="O864" s="3">
        <v>862</v>
      </c>
    </row>
    <row r="865" spans="1:15" x14ac:dyDescent="0.25">
      <c r="A865" s="3">
        <v>4</v>
      </c>
      <c r="B865" s="3" t="s">
        <v>179</v>
      </c>
      <c r="C865" s="1" t="s">
        <v>12</v>
      </c>
      <c r="D865" s="1" t="s">
        <v>444</v>
      </c>
      <c r="E865" s="11" t="s">
        <v>144</v>
      </c>
      <c r="F865" s="3" t="s">
        <v>8</v>
      </c>
      <c r="G865" s="66" t="s">
        <v>908</v>
      </c>
      <c r="H865" s="8"/>
      <c r="I865" s="8"/>
      <c r="J865" s="6" t="s">
        <v>110</v>
      </c>
      <c r="K865" s="38">
        <v>125900</v>
      </c>
      <c r="L865" s="4" t="s">
        <v>29</v>
      </c>
      <c r="M865" s="11">
        <f>_xlfn.NUMBERVALUE(LEFT(Table613[[#This Row],[Fiscal Year]], 4))</f>
        <v>2015</v>
      </c>
      <c r="N865" s="42">
        <f t="shared" si="20"/>
        <v>133672.33291139238</v>
      </c>
      <c r="O865" s="3">
        <v>863</v>
      </c>
    </row>
    <row r="866" spans="1:15" x14ac:dyDescent="0.25">
      <c r="A866" s="3">
        <v>4</v>
      </c>
      <c r="B866" s="3" t="s">
        <v>179</v>
      </c>
      <c r="C866" s="1" t="s">
        <v>12</v>
      </c>
      <c r="D866" s="1" t="s">
        <v>444</v>
      </c>
      <c r="E866" s="11" t="s">
        <v>144</v>
      </c>
      <c r="F866" s="3" t="s">
        <v>8</v>
      </c>
      <c r="G866" s="48" t="s">
        <v>909</v>
      </c>
      <c r="H866" s="8"/>
      <c r="I866" s="8"/>
      <c r="J866" s="6" t="s">
        <v>110</v>
      </c>
      <c r="K866" s="38">
        <v>24000</v>
      </c>
      <c r="L866" s="4" t="s">
        <v>29</v>
      </c>
      <c r="M866" s="11">
        <f>_xlfn.NUMBERVALUE(LEFT(Table613[[#This Row],[Fiscal Year]], 4))</f>
        <v>2015</v>
      </c>
      <c r="N866" s="42">
        <f t="shared" si="20"/>
        <v>25481.620253164554</v>
      </c>
      <c r="O866" s="3">
        <v>864</v>
      </c>
    </row>
    <row r="867" spans="1:15" x14ac:dyDescent="0.25">
      <c r="A867" s="3">
        <v>4</v>
      </c>
      <c r="B867" s="3" t="s">
        <v>179</v>
      </c>
      <c r="C867" s="1" t="s">
        <v>12</v>
      </c>
      <c r="D867" s="1" t="s">
        <v>444</v>
      </c>
      <c r="E867" s="11" t="s">
        <v>144</v>
      </c>
      <c r="F867" s="3" t="s">
        <v>8</v>
      </c>
      <c r="G867" s="66" t="s">
        <v>844</v>
      </c>
      <c r="H867" s="8"/>
      <c r="I867" s="8"/>
      <c r="J867" s="6" t="s">
        <v>453</v>
      </c>
      <c r="K867" s="38">
        <v>8000</v>
      </c>
      <c r="L867" s="4" t="s">
        <v>29</v>
      </c>
      <c r="M867" s="11">
        <f>_xlfn.NUMBERVALUE(LEFT(Table613[[#This Row],[Fiscal Year]], 4))</f>
        <v>2015</v>
      </c>
      <c r="N867" s="42">
        <f t="shared" si="20"/>
        <v>8493.8734177215192</v>
      </c>
      <c r="O867" s="3">
        <v>865</v>
      </c>
    </row>
    <row r="868" spans="1:15" x14ac:dyDescent="0.25">
      <c r="A868" s="3">
        <v>4</v>
      </c>
      <c r="B868" s="3" t="s">
        <v>179</v>
      </c>
      <c r="C868" s="1" t="s">
        <v>12</v>
      </c>
      <c r="D868" s="1" t="s">
        <v>444</v>
      </c>
      <c r="E868" s="11" t="s">
        <v>144</v>
      </c>
      <c r="F868" s="3" t="s">
        <v>8</v>
      </c>
      <c r="G868" s="66" t="s">
        <v>845</v>
      </c>
      <c r="H868" s="8"/>
      <c r="I868" s="8"/>
      <c r="J868" s="6" t="s">
        <v>109</v>
      </c>
      <c r="K868" s="38">
        <v>22000</v>
      </c>
      <c r="L868" s="4" t="s">
        <v>29</v>
      </c>
      <c r="M868" s="11">
        <f>_xlfn.NUMBERVALUE(LEFT(Table613[[#This Row],[Fiscal Year]], 4))</f>
        <v>2015</v>
      </c>
      <c r="N868" s="42">
        <f t="shared" si="20"/>
        <v>23358.151898734177</v>
      </c>
      <c r="O868" s="3">
        <v>866</v>
      </c>
    </row>
    <row r="869" spans="1:15" x14ac:dyDescent="0.25">
      <c r="A869" s="3">
        <v>4</v>
      </c>
      <c r="B869" s="3" t="s">
        <v>179</v>
      </c>
      <c r="C869" s="1" t="s">
        <v>12</v>
      </c>
      <c r="D869" s="1" t="s">
        <v>444</v>
      </c>
      <c r="E869" s="11" t="s">
        <v>144</v>
      </c>
      <c r="F869" s="3" t="s">
        <v>8</v>
      </c>
      <c r="G869" s="48" t="s">
        <v>846</v>
      </c>
      <c r="H869" s="8"/>
      <c r="I869" s="8"/>
      <c r="J869" s="6" t="s">
        <v>111</v>
      </c>
      <c r="K869" s="38">
        <v>10000</v>
      </c>
      <c r="L869" s="4" t="s">
        <v>29</v>
      </c>
      <c r="M869" s="11">
        <f>_xlfn.NUMBERVALUE(LEFT(Table613[[#This Row],[Fiscal Year]], 4))</f>
        <v>2015</v>
      </c>
      <c r="N869" s="42">
        <f t="shared" si="20"/>
        <v>10617.341772151898</v>
      </c>
      <c r="O869" s="3">
        <v>867</v>
      </c>
    </row>
    <row r="870" spans="1:15" x14ac:dyDescent="0.25">
      <c r="A870" s="3">
        <v>4</v>
      </c>
      <c r="B870" s="3" t="s">
        <v>179</v>
      </c>
      <c r="C870" s="1" t="s">
        <v>12</v>
      </c>
      <c r="D870" s="1" t="s">
        <v>444</v>
      </c>
      <c r="E870" s="11" t="s">
        <v>144</v>
      </c>
      <c r="F870" s="3" t="s">
        <v>8</v>
      </c>
      <c r="G870" s="66" t="s">
        <v>847</v>
      </c>
      <c r="H870" s="8"/>
      <c r="I870" s="8"/>
      <c r="J870" s="6" t="s">
        <v>111</v>
      </c>
      <c r="K870" s="38">
        <v>5000</v>
      </c>
      <c r="L870" s="4" t="s">
        <v>29</v>
      </c>
      <c r="M870" s="11">
        <f>_xlfn.NUMBERVALUE(LEFT(Table613[[#This Row],[Fiscal Year]], 4))</f>
        <v>2015</v>
      </c>
      <c r="N870" s="42">
        <f t="shared" si="20"/>
        <v>5308.6708860759491</v>
      </c>
      <c r="O870" s="3">
        <v>868</v>
      </c>
    </row>
    <row r="871" spans="1:15" x14ac:dyDescent="0.25">
      <c r="A871" s="3">
        <v>4</v>
      </c>
      <c r="B871" s="3" t="s">
        <v>179</v>
      </c>
      <c r="C871" s="1" t="s">
        <v>12</v>
      </c>
      <c r="D871" s="1" t="s">
        <v>444</v>
      </c>
      <c r="E871" s="11" t="s">
        <v>144</v>
      </c>
      <c r="F871" s="3" t="s">
        <v>8</v>
      </c>
      <c r="G871" s="48" t="s">
        <v>857</v>
      </c>
      <c r="H871" s="8"/>
      <c r="I871" s="8"/>
      <c r="J871" s="6" t="s">
        <v>108</v>
      </c>
      <c r="K871" s="38">
        <v>16000</v>
      </c>
      <c r="L871" s="4" t="s">
        <v>29</v>
      </c>
      <c r="M871" s="11">
        <f>_xlfn.NUMBERVALUE(LEFT(Table613[[#This Row],[Fiscal Year]], 4))</f>
        <v>2015</v>
      </c>
      <c r="N871" s="42">
        <f t="shared" si="20"/>
        <v>16987.746835443038</v>
      </c>
      <c r="O871" s="3">
        <v>869</v>
      </c>
    </row>
    <row r="872" spans="1:15" x14ac:dyDescent="0.25">
      <c r="A872" s="3">
        <v>4</v>
      </c>
      <c r="B872" s="3" t="s">
        <v>179</v>
      </c>
      <c r="C872" s="1" t="s">
        <v>12</v>
      </c>
      <c r="D872" s="1" t="s">
        <v>444</v>
      </c>
      <c r="E872" s="11" t="s">
        <v>144</v>
      </c>
      <c r="F872" s="3" t="s">
        <v>8</v>
      </c>
      <c r="G872" s="48" t="s">
        <v>910</v>
      </c>
      <c r="H872" s="8"/>
      <c r="I872" s="8"/>
      <c r="J872" s="6" t="s">
        <v>108</v>
      </c>
      <c r="K872" s="38">
        <v>334000</v>
      </c>
      <c r="L872" s="4" t="s">
        <v>29</v>
      </c>
      <c r="M872" s="11">
        <f>_xlfn.NUMBERVALUE(LEFT(Table613[[#This Row],[Fiscal Year]], 4))</f>
        <v>2015</v>
      </c>
      <c r="N872" s="42">
        <f t="shared" si="20"/>
        <v>354619.21518987342</v>
      </c>
      <c r="O872" s="3">
        <v>870</v>
      </c>
    </row>
    <row r="873" spans="1:15" x14ac:dyDescent="0.25">
      <c r="A873" s="3">
        <v>4</v>
      </c>
      <c r="B873" s="3" t="s">
        <v>179</v>
      </c>
      <c r="C873" s="1" t="s">
        <v>12</v>
      </c>
      <c r="D873" s="1" t="s">
        <v>444</v>
      </c>
      <c r="E873" s="11" t="s">
        <v>144</v>
      </c>
      <c r="F873" s="3" t="s">
        <v>8</v>
      </c>
      <c r="G873" s="66" t="s">
        <v>849</v>
      </c>
      <c r="H873" s="8"/>
      <c r="I873" s="8"/>
      <c r="J873" s="6" t="s">
        <v>106</v>
      </c>
      <c r="K873" s="38">
        <v>5000</v>
      </c>
      <c r="L873" s="4" t="s">
        <v>29</v>
      </c>
      <c r="M873" s="11">
        <f>_xlfn.NUMBERVALUE(LEFT(Table613[[#This Row],[Fiscal Year]], 4))</f>
        <v>2015</v>
      </c>
      <c r="N873" s="42">
        <f t="shared" si="20"/>
        <v>5308.6708860759491</v>
      </c>
      <c r="O873" s="3">
        <v>871</v>
      </c>
    </row>
    <row r="874" spans="1:15" x14ac:dyDescent="0.25">
      <c r="A874" s="3">
        <v>4</v>
      </c>
      <c r="B874" s="3" t="s">
        <v>179</v>
      </c>
      <c r="C874" s="1" t="s">
        <v>12</v>
      </c>
      <c r="D874" s="1" t="s">
        <v>444</v>
      </c>
      <c r="E874" s="11" t="s">
        <v>144</v>
      </c>
      <c r="F874" s="3" t="s">
        <v>8</v>
      </c>
      <c r="G874" s="66" t="s">
        <v>850</v>
      </c>
      <c r="H874" s="8"/>
      <c r="I874" s="8"/>
      <c r="J874" s="6" t="s">
        <v>455</v>
      </c>
      <c r="K874" s="38">
        <v>10000</v>
      </c>
      <c r="L874" s="4" t="s">
        <v>29</v>
      </c>
      <c r="M874" s="11">
        <f>_xlfn.NUMBERVALUE(LEFT(Table613[[#This Row],[Fiscal Year]], 4))</f>
        <v>2015</v>
      </c>
      <c r="N874" s="42">
        <f t="shared" si="20"/>
        <v>10617.341772151898</v>
      </c>
      <c r="O874" s="3">
        <v>872</v>
      </c>
    </row>
    <row r="875" spans="1:15" x14ac:dyDescent="0.25">
      <c r="A875" s="3">
        <v>4</v>
      </c>
      <c r="B875" s="3" t="s">
        <v>179</v>
      </c>
      <c r="C875" s="1" t="s">
        <v>12</v>
      </c>
      <c r="D875" s="1" t="s">
        <v>444</v>
      </c>
      <c r="E875" s="11" t="s">
        <v>144</v>
      </c>
      <c r="F875" s="3" t="s">
        <v>8</v>
      </c>
      <c r="G875" s="66" t="s">
        <v>851</v>
      </c>
      <c r="H875" s="8"/>
      <c r="I875" s="8"/>
      <c r="J875" s="6" t="s">
        <v>76</v>
      </c>
      <c r="K875" s="38">
        <v>15000</v>
      </c>
      <c r="L875" s="4" t="s">
        <v>29</v>
      </c>
      <c r="M875" s="11">
        <f>_xlfn.NUMBERVALUE(LEFT(Table613[[#This Row],[Fiscal Year]], 4))</f>
        <v>2015</v>
      </c>
      <c r="N875" s="42">
        <f t="shared" si="20"/>
        <v>15926.012658227848</v>
      </c>
      <c r="O875" s="3">
        <v>873</v>
      </c>
    </row>
    <row r="876" spans="1:15" x14ac:dyDescent="0.25">
      <c r="A876" s="3">
        <v>4</v>
      </c>
      <c r="B876" s="3" t="s">
        <v>179</v>
      </c>
      <c r="C876" s="1" t="s">
        <v>12</v>
      </c>
      <c r="D876" s="1" t="s">
        <v>444</v>
      </c>
      <c r="E876" s="11" t="s">
        <v>144</v>
      </c>
      <c r="F876" s="3" t="s">
        <v>8</v>
      </c>
      <c r="G876" s="66" t="s">
        <v>852</v>
      </c>
      <c r="H876" s="8"/>
      <c r="I876" s="8"/>
      <c r="J876" s="6" t="s">
        <v>76</v>
      </c>
      <c r="K876" s="38">
        <v>0</v>
      </c>
      <c r="L876" s="4" t="s">
        <v>29</v>
      </c>
      <c r="M876" s="11">
        <f>_xlfn.NUMBERVALUE(LEFT(Table613[[#This Row],[Fiscal Year]], 4))</f>
        <v>2015</v>
      </c>
      <c r="N876" s="43">
        <f t="shared" si="20"/>
        <v>0</v>
      </c>
      <c r="O876" s="3">
        <v>874</v>
      </c>
    </row>
    <row r="877" spans="1:15" x14ac:dyDescent="0.25">
      <c r="A877" s="3">
        <v>4</v>
      </c>
      <c r="B877" s="3" t="s">
        <v>179</v>
      </c>
      <c r="C877" s="1" t="s">
        <v>12</v>
      </c>
      <c r="D877" s="1" t="s">
        <v>444</v>
      </c>
      <c r="E877" s="11" t="s">
        <v>144</v>
      </c>
      <c r="F877" s="3" t="s">
        <v>8</v>
      </c>
      <c r="G877" s="66" t="s">
        <v>853</v>
      </c>
      <c r="H877" s="8"/>
      <c r="I877" s="8"/>
      <c r="J877" s="6" t="s">
        <v>76</v>
      </c>
      <c r="K877" s="38">
        <v>0</v>
      </c>
      <c r="L877" s="4" t="s">
        <v>29</v>
      </c>
      <c r="M877" s="11">
        <f>_xlfn.NUMBERVALUE(LEFT(Table613[[#This Row],[Fiscal Year]], 4))</f>
        <v>2015</v>
      </c>
      <c r="N877" s="43">
        <f t="shared" si="20"/>
        <v>0</v>
      </c>
      <c r="O877" s="3">
        <v>875</v>
      </c>
    </row>
    <row r="878" spans="1:15" x14ac:dyDescent="0.25">
      <c r="A878" s="3">
        <v>4</v>
      </c>
      <c r="B878" s="3" t="s">
        <v>179</v>
      </c>
      <c r="C878" s="1" t="s">
        <v>12</v>
      </c>
      <c r="D878" s="1" t="s">
        <v>444</v>
      </c>
      <c r="E878" s="11" t="s">
        <v>144</v>
      </c>
      <c r="F878" s="3" t="s">
        <v>8</v>
      </c>
      <c r="G878" s="63" t="s">
        <v>854</v>
      </c>
      <c r="H878" s="8"/>
      <c r="I878" s="8"/>
      <c r="J878" s="6" t="s">
        <v>47</v>
      </c>
      <c r="K878" s="38">
        <v>113000</v>
      </c>
      <c r="L878" s="4" t="s">
        <v>29</v>
      </c>
      <c r="M878" s="11">
        <f>_xlfn.NUMBERVALUE(LEFT(Table613[[#This Row],[Fiscal Year]], 4))</f>
        <v>2015</v>
      </c>
      <c r="N878" s="42">
        <f>K878*(1+VLOOKUP(M878,$AF$8:$AH$31,3,0))</f>
        <v>119975.96202531645</v>
      </c>
      <c r="O878" s="3">
        <v>876</v>
      </c>
    </row>
    <row r="879" spans="1:15" x14ac:dyDescent="0.25">
      <c r="A879" s="3">
        <v>4</v>
      </c>
      <c r="B879" s="3" t="s">
        <v>179</v>
      </c>
      <c r="C879" s="1" t="s">
        <v>12</v>
      </c>
      <c r="D879" s="1" t="s">
        <v>444</v>
      </c>
      <c r="E879" s="11" t="s">
        <v>144</v>
      </c>
      <c r="F879" s="3" t="s">
        <v>8</v>
      </c>
      <c r="G879" s="63" t="s">
        <v>932</v>
      </c>
      <c r="H879" s="8"/>
      <c r="I879" s="8"/>
      <c r="J879" s="6" t="s">
        <v>605</v>
      </c>
      <c r="K879" s="38">
        <v>0</v>
      </c>
      <c r="L879" s="4" t="s">
        <v>29</v>
      </c>
      <c r="M879" s="11">
        <f>_xlfn.NUMBERVALUE(LEFT(Table613[[#This Row],[Fiscal Year]], 4))</f>
        <v>2015</v>
      </c>
      <c r="N879" s="43">
        <f t="shared" si="20"/>
        <v>0</v>
      </c>
      <c r="O879" s="3">
        <v>877</v>
      </c>
    </row>
    <row r="880" spans="1:15" x14ac:dyDescent="0.25">
      <c r="C880" s="1"/>
      <c r="E880" s="11"/>
      <c r="G880" s="66"/>
      <c r="H880" s="8"/>
      <c r="I880" s="8"/>
      <c r="J880" s="6"/>
      <c r="L880" s="4"/>
      <c r="O880" s="3">
        <v>878</v>
      </c>
    </row>
    <row r="881" spans="1:15" x14ac:dyDescent="0.25">
      <c r="A881" s="3">
        <v>4</v>
      </c>
      <c r="B881" s="3" t="s">
        <v>180</v>
      </c>
      <c r="C881" s="1" t="s">
        <v>12</v>
      </c>
      <c r="D881" s="1" t="s">
        <v>444</v>
      </c>
      <c r="E881" s="11" t="s">
        <v>144</v>
      </c>
      <c r="F881" s="3" t="s">
        <v>8</v>
      </c>
      <c r="G881" s="66" t="s">
        <v>908</v>
      </c>
      <c r="H881" s="8"/>
      <c r="I881" s="8"/>
      <c r="J881" s="6" t="s">
        <v>110</v>
      </c>
      <c r="K881" s="38">
        <v>12000</v>
      </c>
      <c r="L881" s="4" t="s">
        <v>29</v>
      </c>
      <c r="M881" s="11">
        <f>_xlfn.NUMBERVALUE(LEFT(Table613[[#This Row],[Fiscal Year]], 4))</f>
        <v>2015</v>
      </c>
      <c r="N881" s="42">
        <f t="shared" si="20"/>
        <v>12740.810126582277</v>
      </c>
      <c r="O881" s="3">
        <v>879</v>
      </c>
    </row>
    <row r="882" spans="1:15" x14ac:dyDescent="0.25">
      <c r="A882" s="3">
        <v>4</v>
      </c>
      <c r="B882" s="3" t="s">
        <v>180</v>
      </c>
      <c r="C882" s="1" t="s">
        <v>12</v>
      </c>
      <c r="D882" s="1" t="s">
        <v>444</v>
      </c>
      <c r="E882" s="11" t="s">
        <v>144</v>
      </c>
      <c r="F882" s="3" t="s">
        <v>8</v>
      </c>
      <c r="G882" s="66" t="s">
        <v>909</v>
      </c>
      <c r="H882" s="8"/>
      <c r="I882" s="8"/>
      <c r="J882" s="6" t="s">
        <v>110</v>
      </c>
      <c r="K882" s="38">
        <v>22500</v>
      </c>
      <c r="L882" s="4" t="s">
        <v>29</v>
      </c>
      <c r="M882" s="11">
        <f>_xlfn.NUMBERVALUE(LEFT(Table613[[#This Row],[Fiscal Year]], 4))</f>
        <v>2015</v>
      </c>
      <c r="N882" s="42">
        <f t="shared" si="20"/>
        <v>23889.018987341769</v>
      </c>
      <c r="O882" s="3">
        <v>880</v>
      </c>
    </row>
    <row r="883" spans="1:15" x14ac:dyDescent="0.25">
      <c r="A883" s="3">
        <v>4</v>
      </c>
      <c r="B883" s="3" t="s">
        <v>180</v>
      </c>
      <c r="C883" s="1" t="s">
        <v>12</v>
      </c>
      <c r="D883" s="1" t="s">
        <v>444</v>
      </c>
      <c r="E883" s="11" t="s">
        <v>144</v>
      </c>
      <c r="F883" s="3" t="s">
        <v>8</v>
      </c>
      <c r="G883" s="66" t="s">
        <v>844</v>
      </c>
      <c r="H883" s="8"/>
      <c r="I883" s="8"/>
      <c r="J883" s="6" t="s">
        <v>453</v>
      </c>
      <c r="K883" s="38">
        <v>22500</v>
      </c>
      <c r="L883" s="4" t="s">
        <v>29</v>
      </c>
      <c r="M883" s="11">
        <f>_xlfn.NUMBERVALUE(LEFT(Table613[[#This Row],[Fiscal Year]], 4))</f>
        <v>2015</v>
      </c>
      <c r="N883" s="42">
        <f t="shared" si="20"/>
        <v>23889.018987341769</v>
      </c>
      <c r="O883" s="3">
        <v>881</v>
      </c>
    </row>
    <row r="884" spans="1:15" x14ac:dyDescent="0.25">
      <c r="A884" s="3">
        <v>4</v>
      </c>
      <c r="B884" s="3" t="s">
        <v>180</v>
      </c>
      <c r="C884" s="1" t="s">
        <v>12</v>
      </c>
      <c r="D884" s="1" t="s">
        <v>444</v>
      </c>
      <c r="E884" s="11" t="s">
        <v>144</v>
      </c>
      <c r="F884" s="3" t="s">
        <v>8</v>
      </c>
      <c r="G884" s="66" t="s">
        <v>845</v>
      </c>
      <c r="H884" s="8"/>
      <c r="I884" s="8"/>
      <c r="J884" s="6" t="s">
        <v>109</v>
      </c>
      <c r="K884" s="38">
        <v>35000</v>
      </c>
      <c r="L884" s="4" t="s">
        <v>29</v>
      </c>
      <c r="M884" s="11">
        <f>_xlfn.NUMBERVALUE(LEFT(Table613[[#This Row],[Fiscal Year]], 4))</f>
        <v>2015</v>
      </c>
      <c r="N884" s="42">
        <f t="shared" si="20"/>
        <v>37160.696202531646</v>
      </c>
      <c r="O884" s="3">
        <v>882</v>
      </c>
    </row>
    <row r="885" spans="1:15" x14ac:dyDescent="0.25">
      <c r="A885" s="3">
        <v>4</v>
      </c>
      <c r="B885" s="3" t="s">
        <v>180</v>
      </c>
      <c r="C885" s="1" t="s">
        <v>12</v>
      </c>
      <c r="D885" s="1" t="s">
        <v>444</v>
      </c>
      <c r="E885" s="11" t="s">
        <v>144</v>
      </c>
      <c r="F885" s="3" t="s">
        <v>8</v>
      </c>
      <c r="G885" s="48" t="s">
        <v>846</v>
      </c>
      <c r="H885" s="8"/>
      <c r="I885" s="8"/>
      <c r="J885" s="6" t="s">
        <v>111</v>
      </c>
      <c r="K885" s="38">
        <v>6000</v>
      </c>
      <c r="L885" s="4" t="s">
        <v>29</v>
      </c>
      <c r="M885" s="11">
        <f>_xlfn.NUMBERVALUE(LEFT(Table613[[#This Row],[Fiscal Year]], 4))</f>
        <v>2015</v>
      </c>
      <c r="N885" s="42">
        <f t="shared" si="20"/>
        <v>6370.4050632911385</v>
      </c>
      <c r="O885" s="3">
        <v>883</v>
      </c>
    </row>
    <row r="886" spans="1:15" x14ac:dyDescent="0.25">
      <c r="A886" s="3">
        <v>4</v>
      </c>
      <c r="B886" s="3" t="s">
        <v>180</v>
      </c>
      <c r="C886" s="1" t="s">
        <v>12</v>
      </c>
      <c r="D886" s="1" t="s">
        <v>444</v>
      </c>
      <c r="E886" s="11" t="s">
        <v>144</v>
      </c>
      <c r="F886" s="3" t="s">
        <v>8</v>
      </c>
      <c r="G886" s="66" t="s">
        <v>847</v>
      </c>
      <c r="H886" s="8"/>
      <c r="I886" s="8"/>
      <c r="J886" s="6" t="s">
        <v>111</v>
      </c>
      <c r="K886" s="38">
        <v>12000</v>
      </c>
      <c r="L886" s="4" t="s">
        <v>29</v>
      </c>
      <c r="M886" s="11">
        <f>_xlfn.NUMBERVALUE(LEFT(Table613[[#This Row],[Fiscal Year]], 4))</f>
        <v>2015</v>
      </c>
      <c r="N886" s="42">
        <f t="shared" si="20"/>
        <v>12740.810126582277</v>
      </c>
      <c r="O886" s="3">
        <v>884</v>
      </c>
    </row>
    <row r="887" spans="1:15" x14ac:dyDescent="0.25">
      <c r="A887" s="3">
        <v>4</v>
      </c>
      <c r="B887" s="3" t="s">
        <v>180</v>
      </c>
      <c r="C887" s="1" t="s">
        <v>12</v>
      </c>
      <c r="D887" s="1" t="s">
        <v>444</v>
      </c>
      <c r="E887" s="11" t="s">
        <v>144</v>
      </c>
      <c r="F887" s="3" t="s">
        <v>8</v>
      </c>
      <c r="G887" s="48" t="s">
        <v>857</v>
      </c>
      <c r="H887" s="8"/>
      <c r="I887" s="8"/>
      <c r="J887" s="6" t="s">
        <v>108</v>
      </c>
      <c r="K887" s="38">
        <v>32000</v>
      </c>
      <c r="L887" s="4" t="s">
        <v>29</v>
      </c>
      <c r="M887" s="11">
        <f>_xlfn.NUMBERVALUE(LEFT(Table613[[#This Row],[Fiscal Year]], 4))</f>
        <v>2015</v>
      </c>
      <c r="N887" s="42">
        <f t="shared" si="20"/>
        <v>33975.493670886077</v>
      </c>
      <c r="O887" s="3">
        <v>885</v>
      </c>
    </row>
    <row r="888" spans="1:15" x14ac:dyDescent="0.25">
      <c r="A888" s="3">
        <v>4</v>
      </c>
      <c r="B888" s="3" t="s">
        <v>180</v>
      </c>
      <c r="C888" s="1" t="s">
        <v>12</v>
      </c>
      <c r="D888" s="1" t="s">
        <v>444</v>
      </c>
      <c r="E888" s="11" t="s">
        <v>144</v>
      </c>
      <c r="F888" s="3" t="s">
        <v>8</v>
      </c>
      <c r="G888" s="48" t="s">
        <v>933</v>
      </c>
      <c r="H888" s="8"/>
      <c r="I888" s="8"/>
      <c r="J888" s="6" t="s">
        <v>108</v>
      </c>
      <c r="K888" s="38">
        <v>314000</v>
      </c>
      <c r="L888" s="4" t="s">
        <v>29</v>
      </c>
      <c r="M888" s="11">
        <f>_xlfn.NUMBERVALUE(LEFT(Table613[[#This Row],[Fiscal Year]], 4))</f>
        <v>2015</v>
      </c>
      <c r="N888" s="42">
        <f t="shared" si="20"/>
        <v>333384.5316455696</v>
      </c>
      <c r="O888" s="3">
        <v>886</v>
      </c>
    </row>
    <row r="889" spans="1:15" x14ac:dyDescent="0.25">
      <c r="A889" s="3">
        <v>4</v>
      </c>
      <c r="B889" s="3" t="s">
        <v>180</v>
      </c>
      <c r="C889" s="1" t="s">
        <v>12</v>
      </c>
      <c r="D889" s="1" t="s">
        <v>444</v>
      </c>
      <c r="E889" s="11" t="s">
        <v>144</v>
      </c>
      <c r="F889" s="3" t="s">
        <v>8</v>
      </c>
      <c r="G889" s="66" t="s">
        <v>849</v>
      </c>
      <c r="H889" s="8"/>
      <c r="I889" s="8"/>
      <c r="J889" s="6" t="s">
        <v>106</v>
      </c>
      <c r="K889" s="38">
        <v>9000</v>
      </c>
      <c r="L889" s="4" t="s">
        <v>29</v>
      </c>
      <c r="M889" s="11">
        <f>_xlfn.NUMBERVALUE(LEFT(Table613[[#This Row],[Fiscal Year]], 4))</f>
        <v>2015</v>
      </c>
      <c r="N889" s="42">
        <f t="shared" si="20"/>
        <v>9555.6075949367078</v>
      </c>
      <c r="O889" s="3">
        <v>887</v>
      </c>
    </row>
    <row r="890" spans="1:15" x14ac:dyDescent="0.25">
      <c r="A890" s="3">
        <v>4</v>
      </c>
      <c r="B890" s="3" t="s">
        <v>180</v>
      </c>
      <c r="C890" s="1" t="s">
        <v>12</v>
      </c>
      <c r="D890" s="1" t="s">
        <v>444</v>
      </c>
      <c r="E890" s="11" t="s">
        <v>144</v>
      </c>
      <c r="F890" s="3" t="s">
        <v>8</v>
      </c>
      <c r="G890" s="66" t="s">
        <v>850</v>
      </c>
      <c r="H890" s="8"/>
      <c r="I890" s="8"/>
      <c r="J890" s="6" t="s">
        <v>455</v>
      </c>
      <c r="K890" s="38">
        <v>15000</v>
      </c>
      <c r="L890" s="4" t="s">
        <v>29</v>
      </c>
      <c r="M890" s="11">
        <f>_xlfn.NUMBERVALUE(LEFT(Table613[[#This Row],[Fiscal Year]], 4))</f>
        <v>2015</v>
      </c>
      <c r="N890" s="42">
        <f t="shared" si="20"/>
        <v>15926.012658227848</v>
      </c>
      <c r="O890" s="3">
        <v>888</v>
      </c>
    </row>
    <row r="891" spans="1:15" x14ac:dyDescent="0.25">
      <c r="A891" s="3">
        <v>4</v>
      </c>
      <c r="B891" s="3" t="s">
        <v>180</v>
      </c>
      <c r="C891" s="1" t="s">
        <v>12</v>
      </c>
      <c r="D891" s="1" t="s">
        <v>444</v>
      </c>
      <c r="E891" s="11" t="s">
        <v>144</v>
      </c>
      <c r="F891" s="3" t="s">
        <v>8</v>
      </c>
      <c r="G891" s="66" t="s">
        <v>851</v>
      </c>
      <c r="H891" s="8"/>
      <c r="I891" s="8"/>
      <c r="J891" s="6" t="s">
        <v>76</v>
      </c>
      <c r="K891" s="38">
        <v>0</v>
      </c>
      <c r="L891" s="4" t="s">
        <v>29</v>
      </c>
      <c r="M891" s="11">
        <f>_xlfn.NUMBERVALUE(LEFT(Table613[[#This Row],[Fiscal Year]], 4))</f>
        <v>2015</v>
      </c>
      <c r="N891" s="43">
        <f t="shared" si="20"/>
        <v>0</v>
      </c>
      <c r="O891" s="3">
        <v>889</v>
      </c>
    </row>
    <row r="892" spans="1:15" x14ac:dyDescent="0.25">
      <c r="A892" s="3">
        <v>4</v>
      </c>
      <c r="B892" s="3" t="s">
        <v>180</v>
      </c>
      <c r="C892" s="1" t="s">
        <v>12</v>
      </c>
      <c r="D892" s="1" t="s">
        <v>444</v>
      </c>
      <c r="E892" s="11" t="s">
        <v>144</v>
      </c>
      <c r="F892" s="3" t="s">
        <v>8</v>
      </c>
      <c r="G892" s="66" t="s">
        <v>852</v>
      </c>
      <c r="H892" s="8"/>
      <c r="I892" s="8"/>
      <c r="J892" s="6" t="s">
        <v>76</v>
      </c>
      <c r="K892" s="38">
        <v>0</v>
      </c>
      <c r="L892" s="4" t="s">
        <v>29</v>
      </c>
      <c r="M892" s="11">
        <f>_xlfn.NUMBERVALUE(LEFT(Table613[[#This Row],[Fiscal Year]], 4))</f>
        <v>2015</v>
      </c>
      <c r="N892" s="43">
        <f t="shared" si="20"/>
        <v>0</v>
      </c>
      <c r="O892" s="3">
        <v>890</v>
      </c>
    </row>
    <row r="893" spans="1:15" x14ac:dyDescent="0.25">
      <c r="A893" s="3">
        <v>4</v>
      </c>
      <c r="B893" s="3" t="s">
        <v>180</v>
      </c>
      <c r="C893" s="1" t="s">
        <v>12</v>
      </c>
      <c r="D893" s="1" t="s">
        <v>444</v>
      </c>
      <c r="E893" s="11" t="s">
        <v>144</v>
      </c>
      <c r="F893" s="3" t="s">
        <v>8</v>
      </c>
      <c r="G893" s="66" t="s">
        <v>853</v>
      </c>
      <c r="H893" s="8"/>
      <c r="I893" s="8"/>
      <c r="J893" s="6" t="s">
        <v>76</v>
      </c>
      <c r="K893" s="38">
        <v>0</v>
      </c>
      <c r="L893" s="4" t="s">
        <v>29</v>
      </c>
      <c r="M893" s="11">
        <f>_xlfn.NUMBERVALUE(LEFT(Table613[[#This Row],[Fiscal Year]], 4))</f>
        <v>2015</v>
      </c>
      <c r="N893" s="43">
        <f t="shared" si="20"/>
        <v>0</v>
      </c>
      <c r="O893" s="3">
        <v>891</v>
      </c>
    </row>
    <row r="894" spans="1:15" x14ac:dyDescent="0.25">
      <c r="A894" s="3">
        <v>4</v>
      </c>
      <c r="B894" s="3" t="s">
        <v>180</v>
      </c>
      <c r="C894" s="1" t="s">
        <v>12</v>
      </c>
      <c r="D894" s="1" t="s">
        <v>444</v>
      </c>
      <c r="E894" s="11" t="s">
        <v>144</v>
      </c>
      <c r="F894" s="3" t="s">
        <v>8</v>
      </c>
      <c r="G894" s="63" t="s">
        <v>854</v>
      </c>
      <c r="H894" s="8"/>
      <c r="I894" s="8"/>
      <c r="J894" s="6" t="s">
        <v>47</v>
      </c>
      <c r="K894" s="38">
        <v>62500</v>
      </c>
      <c r="L894" s="4" t="s">
        <v>29</v>
      </c>
      <c r="M894" s="11">
        <f>_xlfn.NUMBERVALUE(LEFT(Table613[[#This Row],[Fiscal Year]], 4))</f>
        <v>2015</v>
      </c>
      <c r="N894" s="42">
        <f>K894*(1+VLOOKUP(M894,$AF$8:$AH$31,3,0))</f>
        <v>66358.386075949369</v>
      </c>
      <c r="O894" s="3">
        <v>892</v>
      </c>
    </row>
    <row r="895" spans="1:15" x14ac:dyDescent="0.25">
      <c r="A895" s="3">
        <v>4</v>
      </c>
      <c r="B895" s="3" t="s">
        <v>180</v>
      </c>
      <c r="C895" s="1" t="s">
        <v>12</v>
      </c>
      <c r="D895" s="1" t="s">
        <v>444</v>
      </c>
      <c r="E895" s="11" t="s">
        <v>144</v>
      </c>
      <c r="F895" s="3" t="s">
        <v>8</v>
      </c>
      <c r="G895" s="63" t="s">
        <v>855</v>
      </c>
      <c r="H895" s="8"/>
      <c r="I895" s="8"/>
      <c r="J895" s="6" t="s">
        <v>455</v>
      </c>
      <c r="K895" s="38">
        <v>0</v>
      </c>
      <c r="L895" s="4" t="s">
        <v>29</v>
      </c>
      <c r="M895" s="11">
        <f>_xlfn.NUMBERVALUE(LEFT(Table613[[#This Row],[Fiscal Year]], 4))</f>
        <v>2015</v>
      </c>
      <c r="N895" s="43">
        <f t="shared" si="20"/>
        <v>0</v>
      </c>
      <c r="O895" s="3">
        <v>893</v>
      </c>
    </row>
    <row r="896" spans="1:15" x14ac:dyDescent="0.25">
      <c r="C896" s="1"/>
      <c r="D896" s="1"/>
      <c r="E896" s="11"/>
      <c r="G896" s="66"/>
      <c r="H896" s="8"/>
      <c r="I896" s="8"/>
      <c r="J896" s="6"/>
      <c r="L896" s="4"/>
      <c r="O896" s="3">
        <v>894</v>
      </c>
    </row>
    <row r="897" spans="1:15" x14ac:dyDescent="0.25">
      <c r="A897" s="3">
        <v>4</v>
      </c>
      <c r="B897" s="3" t="s">
        <v>181</v>
      </c>
      <c r="C897" s="1" t="s">
        <v>12</v>
      </c>
      <c r="D897" s="1" t="s">
        <v>444</v>
      </c>
      <c r="E897" s="11" t="s">
        <v>144</v>
      </c>
      <c r="F897" s="3" t="s">
        <v>8</v>
      </c>
      <c r="G897" s="66" t="s">
        <v>908</v>
      </c>
      <c r="H897" s="8"/>
      <c r="I897" s="8"/>
      <c r="J897" s="6" t="s">
        <v>110</v>
      </c>
      <c r="K897" s="38">
        <v>125500</v>
      </c>
      <c r="L897" s="4" t="s">
        <v>29</v>
      </c>
      <c r="M897" s="11">
        <f>_xlfn.NUMBERVALUE(LEFT(Table613[[#This Row],[Fiscal Year]], 4))</f>
        <v>2015</v>
      </c>
      <c r="N897" s="42">
        <f t="shared" si="20"/>
        <v>133247.63924050631</v>
      </c>
      <c r="O897" s="3">
        <v>895</v>
      </c>
    </row>
    <row r="898" spans="1:15" x14ac:dyDescent="0.25">
      <c r="A898" s="3">
        <v>4</v>
      </c>
      <c r="B898" s="3" t="s">
        <v>181</v>
      </c>
      <c r="C898" s="1" t="s">
        <v>12</v>
      </c>
      <c r="D898" s="1" t="s">
        <v>444</v>
      </c>
      <c r="E898" s="11" t="s">
        <v>144</v>
      </c>
      <c r="F898" s="3" t="s">
        <v>8</v>
      </c>
      <c r="G898" s="66" t="s">
        <v>909</v>
      </c>
      <c r="H898" s="8"/>
      <c r="I898" s="8"/>
      <c r="J898" s="6" t="s">
        <v>110</v>
      </c>
      <c r="K898" s="38">
        <v>6500</v>
      </c>
      <c r="L898" s="4" t="s">
        <v>29</v>
      </c>
      <c r="M898" s="11">
        <f>_xlfn.NUMBERVALUE(LEFT(Table613[[#This Row],[Fiscal Year]], 4))</f>
        <v>2015</v>
      </c>
      <c r="N898" s="42">
        <f t="shared" si="20"/>
        <v>6901.2721518987337</v>
      </c>
      <c r="O898" s="3">
        <v>896</v>
      </c>
    </row>
    <row r="899" spans="1:15" x14ac:dyDescent="0.25">
      <c r="A899" s="3">
        <v>4</v>
      </c>
      <c r="B899" s="3" t="s">
        <v>181</v>
      </c>
      <c r="C899" s="1" t="s">
        <v>12</v>
      </c>
      <c r="D899" s="1" t="s">
        <v>444</v>
      </c>
      <c r="E899" s="11" t="s">
        <v>144</v>
      </c>
      <c r="F899" s="3" t="s">
        <v>8</v>
      </c>
      <c r="G899" s="66" t="s">
        <v>844</v>
      </c>
      <c r="H899" s="8"/>
      <c r="I899" s="8"/>
      <c r="J899" s="6" t="s">
        <v>453</v>
      </c>
      <c r="K899" s="38">
        <v>3000</v>
      </c>
      <c r="L899" s="4" t="s">
        <v>29</v>
      </c>
      <c r="M899" s="11">
        <f>_xlfn.NUMBERVALUE(LEFT(Table613[[#This Row],[Fiscal Year]], 4))</f>
        <v>2015</v>
      </c>
      <c r="N899" s="42">
        <f t="shared" si="20"/>
        <v>3185.2025316455693</v>
      </c>
      <c r="O899" s="3">
        <v>897</v>
      </c>
    </row>
    <row r="900" spans="1:15" x14ac:dyDescent="0.25">
      <c r="A900" s="3">
        <v>4</v>
      </c>
      <c r="B900" s="3" t="s">
        <v>181</v>
      </c>
      <c r="C900" s="1" t="s">
        <v>12</v>
      </c>
      <c r="D900" s="1" t="s">
        <v>444</v>
      </c>
      <c r="E900" s="11" t="s">
        <v>144</v>
      </c>
      <c r="F900" s="3" t="s">
        <v>8</v>
      </c>
      <c r="G900" s="66" t="s">
        <v>845</v>
      </c>
      <c r="H900" s="8"/>
      <c r="I900" s="8"/>
      <c r="J900" s="6" t="s">
        <v>109</v>
      </c>
      <c r="K900" s="38">
        <v>0</v>
      </c>
      <c r="L900" s="4" t="s">
        <v>29</v>
      </c>
      <c r="M900" s="11">
        <f>_xlfn.NUMBERVALUE(LEFT(Table613[[#This Row],[Fiscal Year]], 4))</f>
        <v>2015</v>
      </c>
      <c r="N900" s="43">
        <f t="shared" si="20"/>
        <v>0</v>
      </c>
      <c r="O900" s="3">
        <v>898</v>
      </c>
    </row>
    <row r="901" spans="1:15" x14ac:dyDescent="0.25">
      <c r="A901" s="3">
        <v>4</v>
      </c>
      <c r="B901" s="3" t="s">
        <v>181</v>
      </c>
      <c r="C901" s="1" t="s">
        <v>12</v>
      </c>
      <c r="D901" s="1" t="s">
        <v>444</v>
      </c>
      <c r="E901" s="11" t="s">
        <v>144</v>
      </c>
      <c r="F901" s="3" t="s">
        <v>8</v>
      </c>
      <c r="G901" s="48" t="s">
        <v>846</v>
      </c>
      <c r="H901" s="8"/>
      <c r="I901" s="8"/>
      <c r="J901" s="6" t="s">
        <v>111</v>
      </c>
      <c r="K901" s="38">
        <v>10000</v>
      </c>
      <c r="L901" s="4" t="s">
        <v>29</v>
      </c>
      <c r="M901" s="11">
        <f>_xlfn.NUMBERVALUE(LEFT(Table613[[#This Row],[Fiscal Year]], 4))</f>
        <v>2015</v>
      </c>
      <c r="N901" s="42">
        <f t="shared" si="20"/>
        <v>10617.341772151898</v>
      </c>
      <c r="O901" s="3">
        <v>899</v>
      </c>
    </row>
    <row r="902" spans="1:15" x14ac:dyDescent="0.25">
      <c r="A902" s="3">
        <v>4</v>
      </c>
      <c r="B902" s="3" t="s">
        <v>181</v>
      </c>
      <c r="C902" s="1" t="s">
        <v>12</v>
      </c>
      <c r="D902" s="1" t="s">
        <v>444</v>
      </c>
      <c r="E902" s="11" t="s">
        <v>144</v>
      </c>
      <c r="F902" s="3" t="s">
        <v>8</v>
      </c>
      <c r="G902" s="66" t="s">
        <v>847</v>
      </c>
      <c r="H902" s="8"/>
      <c r="I902" s="8"/>
      <c r="J902" s="6" t="s">
        <v>111</v>
      </c>
      <c r="K902" s="58">
        <v>45000</v>
      </c>
      <c r="L902" s="4" t="s">
        <v>29</v>
      </c>
      <c r="M902" s="11">
        <f>_xlfn.NUMBERVALUE(LEFT(Table613[[#This Row],[Fiscal Year]], 4))</f>
        <v>2015</v>
      </c>
      <c r="N902" s="42">
        <f t="shared" si="20"/>
        <v>47778.037974683539</v>
      </c>
      <c r="O902" s="3">
        <v>900</v>
      </c>
    </row>
    <row r="903" spans="1:15" x14ac:dyDescent="0.25">
      <c r="A903" s="3">
        <v>4</v>
      </c>
      <c r="B903" s="3" t="s">
        <v>181</v>
      </c>
      <c r="C903" s="1" t="s">
        <v>12</v>
      </c>
      <c r="D903" s="1" t="s">
        <v>444</v>
      </c>
      <c r="E903" s="11" t="s">
        <v>144</v>
      </c>
      <c r="F903" s="3" t="s">
        <v>8</v>
      </c>
      <c r="G903" s="48" t="s">
        <v>857</v>
      </c>
      <c r="H903" s="8"/>
      <c r="I903" s="8"/>
      <c r="J903" s="6" t="s">
        <v>108</v>
      </c>
      <c r="K903" s="38">
        <v>82000</v>
      </c>
      <c r="L903" s="4" t="s">
        <v>29</v>
      </c>
      <c r="M903" s="11">
        <f>_xlfn.NUMBERVALUE(LEFT(Table613[[#This Row],[Fiscal Year]], 4))</f>
        <v>2015</v>
      </c>
      <c r="N903" s="42">
        <f t="shared" si="20"/>
        <v>87062.202531645569</v>
      </c>
      <c r="O903" s="3">
        <v>901</v>
      </c>
    </row>
    <row r="904" spans="1:15" x14ac:dyDescent="0.25">
      <c r="A904" s="3">
        <v>4</v>
      </c>
      <c r="B904" s="3" t="s">
        <v>181</v>
      </c>
      <c r="C904" s="1" t="s">
        <v>12</v>
      </c>
      <c r="D904" s="1" t="s">
        <v>444</v>
      </c>
      <c r="E904" s="11" t="s">
        <v>144</v>
      </c>
      <c r="F904" s="3" t="s">
        <v>8</v>
      </c>
      <c r="G904" s="56" t="s">
        <v>934</v>
      </c>
      <c r="H904" s="8"/>
      <c r="I904" s="8"/>
      <c r="J904" s="6" t="s">
        <v>108</v>
      </c>
      <c r="K904" s="38">
        <v>4143</v>
      </c>
      <c r="L904" s="4" t="s">
        <v>29</v>
      </c>
      <c r="M904" s="11">
        <f>_xlfn.NUMBERVALUE(LEFT(Table613[[#This Row],[Fiscal Year]], 4))</f>
        <v>2015</v>
      </c>
      <c r="N904" s="42">
        <f t="shared" si="20"/>
        <v>4398.764696202531</v>
      </c>
      <c r="O904" s="3">
        <v>902</v>
      </c>
    </row>
    <row r="905" spans="1:15" x14ac:dyDescent="0.25">
      <c r="A905" s="3">
        <v>4</v>
      </c>
      <c r="B905" s="3" t="s">
        <v>181</v>
      </c>
      <c r="C905" s="1" t="s">
        <v>12</v>
      </c>
      <c r="D905" s="1" t="s">
        <v>444</v>
      </c>
      <c r="E905" s="11" t="s">
        <v>144</v>
      </c>
      <c r="F905" s="3" t="s">
        <v>8</v>
      </c>
      <c r="G905" s="66" t="s">
        <v>849</v>
      </c>
      <c r="H905" s="8"/>
      <c r="I905" s="8"/>
      <c r="J905" s="6" t="s">
        <v>106</v>
      </c>
      <c r="K905" s="38">
        <v>2000</v>
      </c>
      <c r="L905" s="4" t="s">
        <v>29</v>
      </c>
      <c r="M905" s="11">
        <f>_xlfn.NUMBERVALUE(LEFT(Table613[[#This Row],[Fiscal Year]], 4))</f>
        <v>2015</v>
      </c>
      <c r="N905" s="42">
        <f t="shared" si="20"/>
        <v>2123.4683544303798</v>
      </c>
      <c r="O905" s="3">
        <v>903</v>
      </c>
    </row>
    <row r="906" spans="1:15" x14ac:dyDescent="0.25">
      <c r="A906" s="3">
        <v>4</v>
      </c>
      <c r="B906" s="3" t="s">
        <v>181</v>
      </c>
      <c r="C906" s="1" t="s">
        <v>12</v>
      </c>
      <c r="D906" s="1" t="s">
        <v>444</v>
      </c>
      <c r="E906" s="11" t="s">
        <v>144</v>
      </c>
      <c r="F906" s="3" t="s">
        <v>8</v>
      </c>
      <c r="G906" s="66" t="s">
        <v>850</v>
      </c>
      <c r="H906" s="8"/>
      <c r="I906" s="8"/>
      <c r="J906" s="6" t="s">
        <v>455</v>
      </c>
      <c r="K906" s="38">
        <v>2000</v>
      </c>
      <c r="L906" s="4" t="s">
        <v>29</v>
      </c>
      <c r="M906" s="11">
        <f>_xlfn.NUMBERVALUE(LEFT(Table613[[#This Row],[Fiscal Year]], 4))</f>
        <v>2015</v>
      </c>
      <c r="N906" s="42">
        <f t="shared" si="20"/>
        <v>2123.4683544303798</v>
      </c>
      <c r="O906" s="3">
        <v>904</v>
      </c>
    </row>
    <row r="907" spans="1:15" x14ac:dyDescent="0.25">
      <c r="A907" s="3">
        <v>4</v>
      </c>
      <c r="B907" s="3" t="s">
        <v>181</v>
      </c>
      <c r="C907" s="1" t="s">
        <v>12</v>
      </c>
      <c r="D907" s="1" t="s">
        <v>444</v>
      </c>
      <c r="E907" s="11" t="s">
        <v>144</v>
      </c>
      <c r="F907" s="3" t="s">
        <v>8</v>
      </c>
      <c r="G907" s="66" t="s">
        <v>851</v>
      </c>
      <c r="H907" s="8"/>
      <c r="I907" s="8"/>
      <c r="J907" s="6" t="s">
        <v>76</v>
      </c>
      <c r="K907" s="38">
        <v>0</v>
      </c>
      <c r="L907" s="4" t="s">
        <v>29</v>
      </c>
      <c r="M907" s="11">
        <f>_xlfn.NUMBERVALUE(LEFT(Table613[[#This Row],[Fiscal Year]], 4))</f>
        <v>2015</v>
      </c>
      <c r="N907" s="43">
        <f t="shared" si="20"/>
        <v>0</v>
      </c>
      <c r="O907" s="3">
        <v>905</v>
      </c>
    </row>
    <row r="908" spans="1:15" x14ac:dyDescent="0.25">
      <c r="A908" s="3">
        <v>4</v>
      </c>
      <c r="B908" s="3" t="s">
        <v>181</v>
      </c>
      <c r="C908" s="1" t="s">
        <v>12</v>
      </c>
      <c r="D908" s="1" t="s">
        <v>444</v>
      </c>
      <c r="E908" s="11" t="s">
        <v>144</v>
      </c>
      <c r="F908" s="3" t="s">
        <v>8</v>
      </c>
      <c r="G908" s="66" t="s">
        <v>852</v>
      </c>
      <c r="H908" s="8"/>
      <c r="I908" s="8"/>
      <c r="J908" s="6" t="s">
        <v>76</v>
      </c>
      <c r="K908" s="38">
        <v>0</v>
      </c>
      <c r="L908" s="4" t="s">
        <v>29</v>
      </c>
      <c r="M908" s="11">
        <f>_xlfn.NUMBERVALUE(LEFT(Table613[[#This Row],[Fiscal Year]], 4))</f>
        <v>2015</v>
      </c>
      <c r="N908" s="43">
        <f t="shared" si="20"/>
        <v>0</v>
      </c>
      <c r="O908" s="3">
        <v>906</v>
      </c>
    </row>
    <row r="909" spans="1:15" x14ac:dyDescent="0.25">
      <c r="A909" s="3">
        <v>4</v>
      </c>
      <c r="B909" s="3" t="s">
        <v>181</v>
      </c>
      <c r="C909" s="1" t="s">
        <v>12</v>
      </c>
      <c r="D909" s="1" t="s">
        <v>444</v>
      </c>
      <c r="E909" s="11" t="s">
        <v>144</v>
      </c>
      <c r="F909" s="3" t="s">
        <v>8</v>
      </c>
      <c r="G909" s="66" t="s">
        <v>853</v>
      </c>
      <c r="H909" s="8"/>
      <c r="I909" s="8"/>
      <c r="J909" s="6" t="s">
        <v>76</v>
      </c>
      <c r="K909" s="38">
        <v>0</v>
      </c>
      <c r="L909" s="4" t="s">
        <v>29</v>
      </c>
      <c r="M909" s="11">
        <f>_xlfn.NUMBERVALUE(LEFT(Table613[[#This Row],[Fiscal Year]], 4))</f>
        <v>2015</v>
      </c>
      <c r="N909" s="43">
        <f t="shared" si="20"/>
        <v>0</v>
      </c>
      <c r="O909" s="3">
        <v>907</v>
      </c>
    </row>
    <row r="910" spans="1:15" x14ac:dyDescent="0.25">
      <c r="A910" s="3">
        <v>4</v>
      </c>
      <c r="B910" s="3" t="s">
        <v>181</v>
      </c>
      <c r="C910" s="1" t="s">
        <v>12</v>
      </c>
      <c r="D910" s="1" t="s">
        <v>444</v>
      </c>
      <c r="E910" s="11" t="s">
        <v>144</v>
      </c>
      <c r="F910" s="3" t="s">
        <v>8</v>
      </c>
      <c r="G910" s="63" t="s">
        <v>854</v>
      </c>
      <c r="H910" s="8"/>
      <c r="I910" s="8"/>
      <c r="J910" s="6" t="s">
        <v>47</v>
      </c>
      <c r="K910" s="38">
        <v>40000</v>
      </c>
      <c r="L910" s="4" t="s">
        <v>29</v>
      </c>
      <c r="M910" s="11">
        <f>_xlfn.NUMBERVALUE(LEFT(Table613[[#This Row],[Fiscal Year]], 4))</f>
        <v>2015</v>
      </c>
      <c r="N910" s="42">
        <f t="shared" si="20"/>
        <v>42469.367088607592</v>
      </c>
      <c r="O910" s="3">
        <v>908</v>
      </c>
    </row>
    <row r="911" spans="1:15" x14ac:dyDescent="0.25">
      <c r="A911" s="3">
        <v>4</v>
      </c>
      <c r="B911" s="3" t="s">
        <v>181</v>
      </c>
      <c r="C911" s="1" t="s">
        <v>12</v>
      </c>
      <c r="D911" s="1" t="s">
        <v>444</v>
      </c>
      <c r="E911" s="11" t="s">
        <v>144</v>
      </c>
      <c r="F911" s="3" t="s">
        <v>8</v>
      </c>
      <c r="G911" s="63" t="s">
        <v>855</v>
      </c>
      <c r="H911" s="8"/>
      <c r="I911" s="8"/>
      <c r="J911" s="6" t="s">
        <v>455</v>
      </c>
      <c r="K911" s="38">
        <v>12857</v>
      </c>
      <c r="L911" s="4" t="s">
        <v>29</v>
      </c>
      <c r="M911" s="11">
        <f>_xlfn.NUMBERVALUE(LEFT(Table613[[#This Row],[Fiscal Year]], 4))</f>
        <v>2015</v>
      </c>
      <c r="N911" s="42">
        <f t="shared" si="20"/>
        <v>13650.716316455695</v>
      </c>
      <c r="O911" s="3">
        <v>909</v>
      </c>
    </row>
    <row r="912" spans="1:15" x14ac:dyDescent="0.25">
      <c r="C912" s="1"/>
      <c r="D912" s="1"/>
      <c r="E912" s="11"/>
      <c r="G912" s="66"/>
      <c r="H912" s="8"/>
      <c r="I912" s="8"/>
      <c r="J912" s="6"/>
      <c r="L912" s="4"/>
      <c r="O912" s="3">
        <v>910</v>
      </c>
    </row>
    <row r="913" spans="1:15" x14ac:dyDescent="0.25">
      <c r="A913" s="3">
        <v>4</v>
      </c>
      <c r="B913" s="3" t="s">
        <v>182</v>
      </c>
      <c r="C913" s="1" t="s">
        <v>12</v>
      </c>
      <c r="D913" s="1" t="s">
        <v>444</v>
      </c>
      <c r="E913" s="11" t="s">
        <v>144</v>
      </c>
      <c r="F913" s="3" t="s">
        <v>8</v>
      </c>
      <c r="G913" s="66" t="s">
        <v>908</v>
      </c>
      <c r="H913" s="8"/>
      <c r="I913" s="8"/>
      <c r="J913" s="6" t="s">
        <v>110</v>
      </c>
      <c r="K913" s="38">
        <v>90000</v>
      </c>
      <c r="L913" s="4" t="s">
        <v>29</v>
      </c>
      <c r="M913" s="11">
        <f>_xlfn.NUMBERVALUE(LEFT(Table613[[#This Row],[Fiscal Year]], 4))</f>
        <v>2015</v>
      </c>
      <c r="N913" s="42">
        <f t="shared" si="20"/>
        <v>95556.075949367078</v>
      </c>
      <c r="O913" s="3">
        <v>911</v>
      </c>
    </row>
    <row r="914" spans="1:15" x14ac:dyDescent="0.25">
      <c r="A914" s="3">
        <v>4</v>
      </c>
      <c r="B914" s="3" t="s">
        <v>182</v>
      </c>
      <c r="C914" s="1" t="s">
        <v>12</v>
      </c>
      <c r="D914" s="1" t="s">
        <v>444</v>
      </c>
      <c r="E914" s="11" t="s">
        <v>144</v>
      </c>
      <c r="F914" s="3" t="s">
        <v>8</v>
      </c>
      <c r="G914" s="66" t="s">
        <v>909</v>
      </c>
      <c r="H914" s="8"/>
      <c r="I914" s="8"/>
      <c r="J914" s="6" t="s">
        <v>110</v>
      </c>
      <c r="K914" s="38">
        <v>10000</v>
      </c>
      <c r="L914" s="4" t="s">
        <v>29</v>
      </c>
      <c r="M914" s="11">
        <f>_xlfn.NUMBERVALUE(LEFT(Table613[[#This Row],[Fiscal Year]], 4))</f>
        <v>2015</v>
      </c>
      <c r="N914" s="42">
        <f t="shared" si="20"/>
        <v>10617.341772151898</v>
      </c>
      <c r="O914" s="3">
        <v>912</v>
      </c>
    </row>
    <row r="915" spans="1:15" x14ac:dyDescent="0.25">
      <c r="A915" s="3">
        <v>4</v>
      </c>
      <c r="B915" s="3" t="s">
        <v>182</v>
      </c>
      <c r="C915" s="1" t="s">
        <v>12</v>
      </c>
      <c r="D915" s="1" t="s">
        <v>444</v>
      </c>
      <c r="E915" s="11" t="s">
        <v>144</v>
      </c>
      <c r="F915" s="3" t="s">
        <v>8</v>
      </c>
      <c r="G915" s="66" t="s">
        <v>844</v>
      </c>
      <c r="H915" s="8"/>
      <c r="I915" s="8"/>
      <c r="J915" s="6" t="s">
        <v>453</v>
      </c>
      <c r="K915" s="38">
        <v>10000</v>
      </c>
      <c r="L915" s="4" t="s">
        <v>29</v>
      </c>
      <c r="M915" s="11">
        <f>_xlfn.NUMBERVALUE(LEFT(Table613[[#This Row],[Fiscal Year]], 4))</f>
        <v>2015</v>
      </c>
      <c r="N915" s="42">
        <f t="shared" si="20"/>
        <v>10617.341772151898</v>
      </c>
      <c r="O915" s="3">
        <v>913</v>
      </c>
    </row>
    <row r="916" spans="1:15" x14ac:dyDescent="0.25">
      <c r="A916" s="3">
        <v>4</v>
      </c>
      <c r="B916" s="3" t="s">
        <v>182</v>
      </c>
      <c r="C916" s="1" t="s">
        <v>12</v>
      </c>
      <c r="D916" s="1" t="s">
        <v>444</v>
      </c>
      <c r="E916" s="11" t="s">
        <v>144</v>
      </c>
      <c r="F916" s="3" t="s">
        <v>8</v>
      </c>
      <c r="G916" s="66" t="s">
        <v>845</v>
      </c>
      <c r="H916" s="8"/>
      <c r="I916" s="8"/>
      <c r="J916" s="6" t="s">
        <v>109</v>
      </c>
      <c r="K916" s="38">
        <v>15000</v>
      </c>
      <c r="L916" s="4" t="s">
        <v>29</v>
      </c>
      <c r="M916" s="11">
        <f>_xlfn.NUMBERVALUE(LEFT(Table613[[#This Row],[Fiscal Year]], 4))</f>
        <v>2015</v>
      </c>
      <c r="N916" s="42">
        <f t="shared" si="20"/>
        <v>15926.012658227848</v>
      </c>
      <c r="O916" s="3">
        <v>914</v>
      </c>
    </row>
    <row r="917" spans="1:15" x14ac:dyDescent="0.25">
      <c r="A917" s="3">
        <v>4</v>
      </c>
      <c r="B917" s="3" t="s">
        <v>182</v>
      </c>
      <c r="C917" s="1" t="s">
        <v>12</v>
      </c>
      <c r="D917" s="1" t="s">
        <v>444</v>
      </c>
      <c r="E917" s="11" t="s">
        <v>144</v>
      </c>
      <c r="F917" s="3" t="s">
        <v>8</v>
      </c>
      <c r="G917" s="48" t="s">
        <v>846</v>
      </c>
      <c r="H917" s="8"/>
      <c r="I917" s="8"/>
      <c r="J917" s="6" t="s">
        <v>111</v>
      </c>
      <c r="K917" s="38">
        <v>6500</v>
      </c>
      <c r="L917" s="4" t="s">
        <v>29</v>
      </c>
      <c r="M917" s="11">
        <f>_xlfn.NUMBERVALUE(LEFT(Table613[[#This Row],[Fiscal Year]], 4))</f>
        <v>2015</v>
      </c>
      <c r="N917" s="42">
        <f t="shared" si="20"/>
        <v>6901.2721518987337</v>
      </c>
      <c r="O917" s="3">
        <v>915</v>
      </c>
    </row>
    <row r="918" spans="1:15" x14ac:dyDescent="0.25">
      <c r="A918" s="3">
        <v>4</v>
      </c>
      <c r="B918" s="3" t="s">
        <v>182</v>
      </c>
      <c r="C918" s="1" t="s">
        <v>12</v>
      </c>
      <c r="D918" s="1" t="s">
        <v>444</v>
      </c>
      <c r="E918" s="11" t="s">
        <v>144</v>
      </c>
      <c r="F918" s="3" t="s">
        <v>8</v>
      </c>
      <c r="G918" s="66" t="s">
        <v>847</v>
      </c>
      <c r="H918" s="8"/>
      <c r="I918" s="8"/>
      <c r="J918" s="6" t="s">
        <v>111</v>
      </c>
      <c r="K918" s="38">
        <v>7600</v>
      </c>
      <c r="L918" s="4" t="s">
        <v>29</v>
      </c>
      <c r="M918" s="11">
        <f>_xlfn.NUMBERVALUE(LEFT(Table613[[#This Row],[Fiscal Year]], 4))</f>
        <v>2015</v>
      </c>
      <c r="N918" s="42">
        <f t="shared" si="20"/>
        <v>8069.1797468354425</v>
      </c>
      <c r="O918" s="3">
        <v>916</v>
      </c>
    </row>
    <row r="919" spans="1:15" x14ac:dyDescent="0.25">
      <c r="A919" s="3">
        <v>4</v>
      </c>
      <c r="B919" s="3" t="s">
        <v>182</v>
      </c>
      <c r="C919" s="1" t="s">
        <v>12</v>
      </c>
      <c r="D919" s="1" t="s">
        <v>444</v>
      </c>
      <c r="E919" s="11" t="s">
        <v>144</v>
      </c>
      <c r="F919" s="3" t="s">
        <v>8</v>
      </c>
      <c r="G919" s="48" t="s">
        <v>857</v>
      </c>
      <c r="H919" s="8"/>
      <c r="I919" s="8"/>
      <c r="J919" s="6" t="s">
        <v>108</v>
      </c>
      <c r="K919" s="38">
        <v>506200</v>
      </c>
      <c r="L919" s="4" t="s">
        <v>29</v>
      </c>
      <c r="M919" s="11">
        <f>_xlfn.NUMBERVALUE(LEFT(Table613[[#This Row],[Fiscal Year]], 4))</f>
        <v>2015</v>
      </c>
      <c r="N919" s="42">
        <f t="shared" si="20"/>
        <v>537449.84050632908</v>
      </c>
      <c r="O919" s="3">
        <v>917</v>
      </c>
    </row>
    <row r="920" spans="1:15" x14ac:dyDescent="0.25">
      <c r="A920" s="3">
        <v>4</v>
      </c>
      <c r="B920" s="3" t="s">
        <v>182</v>
      </c>
      <c r="C920" s="1" t="s">
        <v>12</v>
      </c>
      <c r="D920" s="1" t="s">
        <v>444</v>
      </c>
      <c r="E920" s="11" t="s">
        <v>144</v>
      </c>
      <c r="F920" s="3" t="s">
        <v>8</v>
      </c>
      <c r="G920" s="66" t="s">
        <v>849</v>
      </c>
      <c r="H920" s="8"/>
      <c r="I920" s="8"/>
      <c r="J920" s="6" t="s">
        <v>106</v>
      </c>
      <c r="K920" s="38">
        <v>6600</v>
      </c>
      <c r="L920" s="4" t="s">
        <v>29</v>
      </c>
      <c r="M920" s="11">
        <f>_xlfn.NUMBERVALUE(LEFT(Table613[[#This Row],[Fiscal Year]], 4))</f>
        <v>2015</v>
      </c>
      <c r="N920" s="42">
        <f t="shared" si="20"/>
        <v>7007.4455696202531</v>
      </c>
      <c r="O920" s="3">
        <v>918</v>
      </c>
    </row>
    <row r="921" spans="1:15" x14ac:dyDescent="0.25">
      <c r="A921" s="3">
        <v>4</v>
      </c>
      <c r="B921" s="3" t="s">
        <v>182</v>
      </c>
      <c r="C921" s="1" t="s">
        <v>12</v>
      </c>
      <c r="D921" s="1" t="s">
        <v>444</v>
      </c>
      <c r="E921" s="11" t="s">
        <v>144</v>
      </c>
      <c r="F921" s="3" t="s">
        <v>8</v>
      </c>
      <c r="G921" s="66" t="s">
        <v>850</v>
      </c>
      <c r="H921" s="8"/>
      <c r="I921" s="8"/>
      <c r="J921" s="6" t="s">
        <v>455</v>
      </c>
      <c r="K921" s="38">
        <v>10000</v>
      </c>
      <c r="L921" s="4" t="s">
        <v>29</v>
      </c>
      <c r="M921" s="11">
        <f>_xlfn.NUMBERVALUE(LEFT(Table613[[#This Row],[Fiscal Year]], 4))</f>
        <v>2015</v>
      </c>
      <c r="N921" s="42">
        <f t="shared" si="20"/>
        <v>10617.341772151898</v>
      </c>
      <c r="O921" s="3">
        <v>919</v>
      </c>
    </row>
    <row r="922" spans="1:15" x14ac:dyDescent="0.25">
      <c r="A922" s="3">
        <v>4</v>
      </c>
      <c r="B922" s="3" t="s">
        <v>182</v>
      </c>
      <c r="C922" s="1" t="s">
        <v>12</v>
      </c>
      <c r="D922" s="1" t="s">
        <v>444</v>
      </c>
      <c r="E922" s="11" t="s">
        <v>144</v>
      </c>
      <c r="F922" s="3" t="s">
        <v>8</v>
      </c>
      <c r="G922" s="66" t="s">
        <v>851</v>
      </c>
      <c r="H922" s="8"/>
      <c r="I922" s="8"/>
      <c r="J922" s="6" t="s">
        <v>76</v>
      </c>
      <c r="K922" s="38">
        <v>36000</v>
      </c>
      <c r="L922" s="4" t="s">
        <v>29</v>
      </c>
      <c r="M922" s="11">
        <f>_xlfn.NUMBERVALUE(LEFT(Table613[[#This Row],[Fiscal Year]], 4))</f>
        <v>2015</v>
      </c>
      <c r="N922" s="42">
        <f t="shared" si="20"/>
        <v>38222.430379746831</v>
      </c>
      <c r="O922" s="3">
        <v>920</v>
      </c>
    </row>
    <row r="923" spans="1:15" x14ac:dyDescent="0.25">
      <c r="A923" s="3">
        <v>4</v>
      </c>
      <c r="B923" s="3" t="s">
        <v>182</v>
      </c>
      <c r="C923" s="1" t="s">
        <v>12</v>
      </c>
      <c r="D923" s="1" t="s">
        <v>444</v>
      </c>
      <c r="E923" s="11" t="s">
        <v>144</v>
      </c>
      <c r="F923" s="3" t="s">
        <v>8</v>
      </c>
      <c r="G923" s="66" t="s">
        <v>852</v>
      </c>
      <c r="H923" s="8"/>
      <c r="I923" s="8"/>
      <c r="J923" s="6" t="s">
        <v>76</v>
      </c>
      <c r="K923" s="38">
        <v>0</v>
      </c>
      <c r="L923" s="4" t="s">
        <v>29</v>
      </c>
      <c r="M923" s="11">
        <f>_xlfn.NUMBERVALUE(LEFT(Table613[[#This Row],[Fiscal Year]], 4))</f>
        <v>2015</v>
      </c>
      <c r="N923" s="43">
        <f t="shared" si="20"/>
        <v>0</v>
      </c>
      <c r="O923" s="3">
        <v>921</v>
      </c>
    </row>
    <row r="924" spans="1:15" x14ac:dyDescent="0.25">
      <c r="A924" s="3">
        <v>4</v>
      </c>
      <c r="B924" s="3" t="s">
        <v>182</v>
      </c>
      <c r="C924" s="1" t="s">
        <v>12</v>
      </c>
      <c r="D924" s="1" t="s">
        <v>444</v>
      </c>
      <c r="E924" s="11" t="s">
        <v>144</v>
      </c>
      <c r="F924" s="3" t="s">
        <v>8</v>
      </c>
      <c r="G924" s="66" t="s">
        <v>853</v>
      </c>
      <c r="H924" s="8"/>
      <c r="I924" s="8"/>
      <c r="J924" s="6" t="s">
        <v>76</v>
      </c>
      <c r="K924" s="38">
        <v>0</v>
      </c>
      <c r="L924" s="4" t="s">
        <v>29</v>
      </c>
      <c r="M924" s="11">
        <f>_xlfn.NUMBERVALUE(LEFT(Table613[[#This Row],[Fiscal Year]], 4))</f>
        <v>2015</v>
      </c>
      <c r="N924" s="43">
        <f t="shared" si="20"/>
        <v>0</v>
      </c>
      <c r="O924" s="3">
        <v>922</v>
      </c>
    </row>
    <row r="925" spans="1:15" x14ac:dyDescent="0.25">
      <c r="A925" s="3">
        <v>4</v>
      </c>
      <c r="B925" s="3" t="s">
        <v>182</v>
      </c>
      <c r="C925" s="1" t="s">
        <v>12</v>
      </c>
      <c r="D925" s="1" t="s">
        <v>444</v>
      </c>
      <c r="E925" s="11" t="s">
        <v>144</v>
      </c>
      <c r="F925" s="3" t="s">
        <v>8</v>
      </c>
      <c r="G925" s="63" t="s">
        <v>854</v>
      </c>
      <c r="H925" s="8"/>
      <c r="I925" s="8"/>
      <c r="J925" s="6" t="s">
        <v>47</v>
      </c>
      <c r="K925" s="38">
        <v>20000</v>
      </c>
      <c r="L925" s="4" t="s">
        <v>29</v>
      </c>
      <c r="M925" s="11">
        <f>_xlfn.NUMBERVALUE(LEFT(Table613[[#This Row],[Fiscal Year]], 4))</f>
        <v>2015</v>
      </c>
      <c r="N925" s="42">
        <f t="shared" si="20"/>
        <v>21234.683544303796</v>
      </c>
      <c r="O925" s="3">
        <v>923</v>
      </c>
    </row>
    <row r="926" spans="1:15" x14ac:dyDescent="0.25">
      <c r="A926" s="3">
        <v>4</v>
      </c>
      <c r="B926" s="3" t="s">
        <v>182</v>
      </c>
      <c r="C926" s="1" t="s">
        <v>12</v>
      </c>
      <c r="D926" s="1" t="s">
        <v>444</v>
      </c>
      <c r="E926" s="11" t="s">
        <v>144</v>
      </c>
      <c r="F926" s="3" t="s">
        <v>8</v>
      </c>
      <c r="G926" s="63" t="s">
        <v>935</v>
      </c>
      <c r="H926" s="8"/>
      <c r="I926" s="8"/>
      <c r="J926" s="6" t="s">
        <v>605</v>
      </c>
      <c r="K926" s="38">
        <v>20000</v>
      </c>
      <c r="L926" s="4" t="s">
        <v>29</v>
      </c>
      <c r="M926" s="11">
        <f>_xlfn.NUMBERVALUE(LEFT(Table613[[#This Row],[Fiscal Year]], 4))</f>
        <v>2015</v>
      </c>
      <c r="N926" s="42">
        <f t="shared" ref="N926:N963" si="21">K926*(1+VLOOKUP(M926,$AF$8:$AH$31,3,0))</f>
        <v>21234.683544303796</v>
      </c>
      <c r="O926" s="3">
        <v>924</v>
      </c>
    </row>
    <row r="927" spans="1:15" x14ac:dyDescent="0.25">
      <c r="C927" s="1"/>
      <c r="D927" s="1"/>
      <c r="E927" s="11"/>
      <c r="G927" s="66"/>
      <c r="H927" s="8"/>
      <c r="I927" s="8"/>
      <c r="J927" s="6"/>
      <c r="L927" s="4"/>
      <c r="O927" s="3">
        <v>925</v>
      </c>
    </row>
    <row r="928" spans="1:15" x14ac:dyDescent="0.25">
      <c r="A928" s="3">
        <v>4</v>
      </c>
      <c r="B928" s="3" t="s">
        <v>183</v>
      </c>
      <c r="C928" s="1" t="s">
        <v>12</v>
      </c>
      <c r="D928" s="1" t="s">
        <v>444</v>
      </c>
      <c r="E928" s="11" t="s">
        <v>144</v>
      </c>
      <c r="F928" s="3" t="s">
        <v>8</v>
      </c>
      <c r="G928" s="66" t="s">
        <v>908</v>
      </c>
      <c r="H928" s="8"/>
      <c r="I928" s="8"/>
      <c r="J928" s="6" t="s">
        <v>110</v>
      </c>
      <c r="K928" s="38">
        <v>46000</v>
      </c>
      <c r="L928" s="4" t="s">
        <v>29</v>
      </c>
      <c r="M928" s="11">
        <f>_xlfn.NUMBERVALUE(LEFT(Table613[[#This Row],[Fiscal Year]], 4))</f>
        <v>2015</v>
      </c>
      <c r="N928" s="42">
        <f t="shared" si="21"/>
        <v>48839.772151898731</v>
      </c>
      <c r="O928" s="3">
        <v>926</v>
      </c>
    </row>
    <row r="929" spans="1:15" x14ac:dyDescent="0.25">
      <c r="A929" s="3">
        <v>4</v>
      </c>
      <c r="B929" s="3" t="s">
        <v>183</v>
      </c>
      <c r="C929" s="1" t="s">
        <v>12</v>
      </c>
      <c r="D929" s="1" t="s">
        <v>444</v>
      </c>
      <c r="E929" s="11" t="s">
        <v>144</v>
      </c>
      <c r="F929" s="3" t="s">
        <v>8</v>
      </c>
      <c r="G929" s="66" t="s">
        <v>909</v>
      </c>
      <c r="H929" s="8"/>
      <c r="I929" s="8"/>
      <c r="J929" s="6" t="s">
        <v>110</v>
      </c>
      <c r="K929" s="38">
        <v>16000</v>
      </c>
      <c r="L929" s="4" t="s">
        <v>29</v>
      </c>
      <c r="M929" s="11">
        <f>_xlfn.NUMBERVALUE(LEFT(Table613[[#This Row],[Fiscal Year]], 4))</f>
        <v>2015</v>
      </c>
      <c r="N929" s="42">
        <f t="shared" si="21"/>
        <v>16987.746835443038</v>
      </c>
      <c r="O929" s="3">
        <v>927</v>
      </c>
    </row>
    <row r="930" spans="1:15" x14ac:dyDescent="0.25">
      <c r="A930" s="3">
        <v>4</v>
      </c>
      <c r="B930" s="3" t="s">
        <v>183</v>
      </c>
      <c r="C930" s="1" t="s">
        <v>12</v>
      </c>
      <c r="D930" s="1" t="s">
        <v>444</v>
      </c>
      <c r="E930" s="11" t="s">
        <v>144</v>
      </c>
      <c r="F930" s="3" t="s">
        <v>8</v>
      </c>
      <c r="G930" s="66" t="s">
        <v>844</v>
      </c>
      <c r="H930" s="8"/>
      <c r="I930" s="8"/>
      <c r="J930" s="6" t="s">
        <v>453</v>
      </c>
      <c r="K930" s="38">
        <v>16000</v>
      </c>
      <c r="L930" s="4" t="s">
        <v>29</v>
      </c>
      <c r="M930" s="11">
        <f>_xlfn.NUMBERVALUE(LEFT(Table613[[#This Row],[Fiscal Year]], 4))</f>
        <v>2015</v>
      </c>
      <c r="N930" s="42">
        <f t="shared" si="21"/>
        <v>16987.746835443038</v>
      </c>
      <c r="O930" s="3">
        <v>928</v>
      </c>
    </row>
    <row r="931" spans="1:15" x14ac:dyDescent="0.25">
      <c r="A931" s="3">
        <v>4</v>
      </c>
      <c r="B931" s="3" t="s">
        <v>183</v>
      </c>
      <c r="C931" s="1" t="s">
        <v>12</v>
      </c>
      <c r="D931" s="1" t="s">
        <v>444</v>
      </c>
      <c r="E931" s="11" t="s">
        <v>144</v>
      </c>
      <c r="F931" s="3" t="s">
        <v>8</v>
      </c>
      <c r="G931" s="66" t="s">
        <v>845</v>
      </c>
      <c r="H931" s="8"/>
      <c r="I931" s="8"/>
      <c r="J931" s="6" t="s">
        <v>109</v>
      </c>
      <c r="K931" s="38">
        <v>31000</v>
      </c>
      <c r="L931" s="4" t="s">
        <v>29</v>
      </c>
      <c r="M931" s="11">
        <f>_xlfn.NUMBERVALUE(LEFT(Table613[[#This Row],[Fiscal Year]], 4))</f>
        <v>2015</v>
      </c>
      <c r="N931" s="42">
        <f t="shared" si="21"/>
        <v>32913.759493670885</v>
      </c>
      <c r="O931" s="3">
        <v>929</v>
      </c>
    </row>
    <row r="932" spans="1:15" x14ac:dyDescent="0.25">
      <c r="A932" s="3">
        <v>4</v>
      </c>
      <c r="B932" s="3" t="s">
        <v>183</v>
      </c>
      <c r="C932" s="1" t="s">
        <v>12</v>
      </c>
      <c r="D932" s="1" t="s">
        <v>444</v>
      </c>
      <c r="E932" s="11" t="s">
        <v>144</v>
      </c>
      <c r="F932" s="3" t="s">
        <v>8</v>
      </c>
      <c r="G932" s="48" t="s">
        <v>846</v>
      </c>
      <c r="H932" s="8"/>
      <c r="I932" s="8"/>
      <c r="J932" s="6" t="s">
        <v>111</v>
      </c>
      <c r="K932" s="38">
        <v>5300</v>
      </c>
      <c r="L932" s="4" t="s">
        <v>29</v>
      </c>
      <c r="M932" s="11">
        <f>_xlfn.NUMBERVALUE(LEFT(Table613[[#This Row],[Fiscal Year]], 4))</f>
        <v>2015</v>
      </c>
      <c r="N932" s="42">
        <f t="shared" si="21"/>
        <v>5627.1911392405063</v>
      </c>
      <c r="O932" s="3">
        <v>930</v>
      </c>
    </row>
    <row r="933" spans="1:15" x14ac:dyDescent="0.25">
      <c r="A933" s="3">
        <v>4</v>
      </c>
      <c r="B933" s="3" t="s">
        <v>183</v>
      </c>
      <c r="C933" s="1" t="s">
        <v>12</v>
      </c>
      <c r="D933" s="1" t="s">
        <v>444</v>
      </c>
      <c r="E933" s="11" t="s">
        <v>144</v>
      </c>
      <c r="F933" s="3" t="s">
        <v>8</v>
      </c>
      <c r="G933" s="66" t="s">
        <v>847</v>
      </c>
      <c r="H933" s="8"/>
      <c r="I933" s="8"/>
      <c r="J933" s="6" t="s">
        <v>111</v>
      </c>
      <c r="K933" s="38">
        <v>8600</v>
      </c>
      <c r="L933" s="4" t="s">
        <v>29</v>
      </c>
      <c r="M933" s="11">
        <f>_xlfn.NUMBERVALUE(LEFT(Table613[[#This Row],[Fiscal Year]], 4))</f>
        <v>2015</v>
      </c>
      <c r="N933" s="42">
        <f t="shared" si="21"/>
        <v>9130.913924050632</v>
      </c>
      <c r="O933" s="3">
        <v>931</v>
      </c>
    </row>
    <row r="934" spans="1:15" x14ac:dyDescent="0.25">
      <c r="A934" s="3">
        <v>4</v>
      </c>
      <c r="B934" s="3" t="s">
        <v>183</v>
      </c>
      <c r="C934" s="1" t="s">
        <v>12</v>
      </c>
      <c r="D934" s="1" t="s">
        <v>444</v>
      </c>
      <c r="E934" s="11" t="s">
        <v>144</v>
      </c>
      <c r="F934" s="3" t="s">
        <v>8</v>
      </c>
      <c r="G934" s="48" t="s">
        <v>857</v>
      </c>
      <c r="H934" s="8"/>
      <c r="I934" s="8"/>
      <c r="J934" s="6" t="s">
        <v>108</v>
      </c>
      <c r="K934" s="38">
        <v>114000</v>
      </c>
      <c r="L934" s="4" t="s">
        <v>29</v>
      </c>
      <c r="M934" s="11">
        <f>_xlfn.NUMBERVALUE(LEFT(Table613[[#This Row],[Fiscal Year]], 4))</f>
        <v>2015</v>
      </c>
      <c r="N934" s="42">
        <f t="shared" si="21"/>
        <v>121037.69620253163</v>
      </c>
      <c r="O934" s="3">
        <v>932</v>
      </c>
    </row>
    <row r="935" spans="1:15" x14ac:dyDescent="0.25">
      <c r="A935" s="3">
        <v>4</v>
      </c>
      <c r="B935" s="3" t="s">
        <v>183</v>
      </c>
      <c r="C935" s="1" t="s">
        <v>12</v>
      </c>
      <c r="D935" s="1" t="s">
        <v>444</v>
      </c>
      <c r="E935" s="11" t="s">
        <v>144</v>
      </c>
      <c r="F935" s="3" t="s">
        <v>8</v>
      </c>
      <c r="G935" s="56" t="s">
        <v>934</v>
      </c>
      <c r="H935" s="8"/>
      <c r="I935" s="8"/>
      <c r="J935" s="6" t="s">
        <v>108</v>
      </c>
      <c r="K935" s="38">
        <v>207000</v>
      </c>
      <c r="L935" s="4" t="s">
        <v>29</v>
      </c>
      <c r="M935" s="11">
        <f>_xlfn.NUMBERVALUE(LEFT(Table613[[#This Row],[Fiscal Year]], 4))</f>
        <v>2015</v>
      </c>
      <c r="N935" s="42">
        <f t="shared" si="21"/>
        <v>219778.97468354428</v>
      </c>
      <c r="O935" s="3">
        <v>933</v>
      </c>
    </row>
    <row r="936" spans="1:15" x14ac:dyDescent="0.25">
      <c r="A936" s="3">
        <v>4</v>
      </c>
      <c r="B936" s="3" t="s">
        <v>183</v>
      </c>
      <c r="C936" s="1" t="s">
        <v>12</v>
      </c>
      <c r="D936" s="1" t="s">
        <v>444</v>
      </c>
      <c r="E936" s="11" t="s">
        <v>144</v>
      </c>
      <c r="F936" s="3" t="s">
        <v>8</v>
      </c>
      <c r="G936" s="66" t="s">
        <v>849</v>
      </c>
      <c r="H936" s="8"/>
      <c r="I936" s="8"/>
      <c r="J936" s="6" t="s">
        <v>106</v>
      </c>
      <c r="K936" s="38">
        <v>21000</v>
      </c>
      <c r="L936" s="4" t="s">
        <v>29</v>
      </c>
      <c r="M936" s="11">
        <f>_xlfn.NUMBERVALUE(LEFT(Table613[[#This Row],[Fiscal Year]], 4))</f>
        <v>2015</v>
      </c>
      <c r="N936" s="42">
        <f t="shared" si="21"/>
        <v>22296.417721518985</v>
      </c>
      <c r="O936" s="3">
        <v>934</v>
      </c>
    </row>
    <row r="937" spans="1:15" x14ac:dyDescent="0.25">
      <c r="A937" s="3">
        <v>4</v>
      </c>
      <c r="B937" s="3" t="s">
        <v>183</v>
      </c>
      <c r="C937" s="1" t="s">
        <v>12</v>
      </c>
      <c r="D937" s="1" t="s">
        <v>444</v>
      </c>
      <c r="E937" s="11" t="s">
        <v>144</v>
      </c>
      <c r="F937" s="3" t="s">
        <v>8</v>
      </c>
      <c r="G937" s="66" t="s">
        <v>850</v>
      </c>
      <c r="H937" s="8"/>
      <c r="I937" s="8"/>
      <c r="J937" s="6" t="s">
        <v>455</v>
      </c>
      <c r="K937" s="38">
        <v>10000</v>
      </c>
      <c r="L937" s="4" t="s">
        <v>29</v>
      </c>
      <c r="M937" s="11">
        <f>_xlfn.NUMBERVALUE(LEFT(Table613[[#This Row],[Fiscal Year]], 4))</f>
        <v>2015</v>
      </c>
      <c r="N937" s="42">
        <f t="shared" si="21"/>
        <v>10617.341772151898</v>
      </c>
      <c r="O937" s="3">
        <v>935</v>
      </c>
    </row>
    <row r="938" spans="1:15" x14ac:dyDescent="0.25">
      <c r="A938" s="3">
        <v>4</v>
      </c>
      <c r="B938" s="3" t="s">
        <v>183</v>
      </c>
      <c r="C938" s="1" t="s">
        <v>12</v>
      </c>
      <c r="D938" s="1" t="s">
        <v>444</v>
      </c>
      <c r="E938" s="11" t="s">
        <v>144</v>
      </c>
      <c r="F938" s="3" t="s">
        <v>8</v>
      </c>
      <c r="G938" s="66" t="s">
        <v>851</v>
      </c>
      <c r="H938" s="8"/>
      <c r="I938" s="8"/>
      <c r="J938" s="6" t="s">
        <v>76</v>
      </c>
      <c r="K938" s="38">
        <v>0</v>
      </c>
      <c r="L938" s="4" t="s">
        <v>29</v>
      </c>
      <c r="M938" s="11">
        <f>_xlfn.NUMBERVALUE(LEFT(Table613[[#This Row],[Fiscal Year]], 4))</f>
        <v>2015</v>
      </c>
      <c r="N938" s="43">
        <f t="shared" si="21"/>
        <v>0</v>
      </c>
      <c r="O938" s="3">
        <v>936</v>
      </c>
    </row>
    <row r="939" spans="1:15" x14ac:dyDescent="0.25">
      <c r="A939" s="3">
        <v>4</v>
      </c>
      <c r="B939" s="3" t="s">
        <v>183</v>
      </c>
      <c r="C939" s="1" t="s">
        <v>12</v>
      </c>
      <c r="D939" s="1" t="s">
        <v>444</v>
      </c>
      <c r="E939" s="11" t="s">
        <v>144</v>
      </c>
      <c r="F939" s="3" t="s">
        <v>8</v>
      </c>
      <c r="G939" s="66" t="s">
        <v>852</v>
      </c>
      <c r="H939" s="8"/>
      <c r="I939" s="8"/>
      <c r="J939" s="6" t="s">
        <v>76</v>
      </c>
      <c r="K939" s="38">
        <v>0</v>
      </c>
      <c r="L939" s="4" t="s">
        <v>29</v>
      </c>
      <c r="M939" s="11">
        <f>_xlfn.NUMBERVALUE(LEFT(Table613[[#This Row],[Fiscal Year]], 4))</f>
        <v>2015</v>
      </c>
      <c r="N939" s="43">
        <f t="shared" si="21"/>
        <v>0</v>
      </c>
      <c r="O939" s="3">
        <v>937</v>
      </c>
    </row>
    <row r="940" spans="1:15" x14ac:dyDescent="0.25">
      <c r="A940" s="3">
        <v>4</v>
      </c>
      <c r="B940" s="3" t="s">
        <v>183</v>
      </c>
      <c r="C940" s="1" t="s">
        <v>12</v>
      </c>
      <c r="D940" s="1" t="s">
        <v>444</v>
      </c>
      <c r="E940" s="11" t="s">
        <v>144</v>
      </c>
      <c r="F940" s="3" t="s">
        <v>8</v>
      </c>
      <c r="G940" s="66" t="s">
        <v>853</v>
      </c>
      <c r="H940" s="8"/>
      <c r="I940" s="8"/>
      <c r="J940" s="6" t="s">
        <v>76</v>
      </c>
      <c r="K940" s="38">
        <v>0</v>
      </c>
      <c r="L940" s="4" t="s">
        <v>29</v>
      </c>
      <c r="M940" s="11">
        <f>_xlfn.NUMBERVALUE(LEFT(Table613[[#This Row],[Fiscal Year]], 4))</f>
        <v>2015</v>
      </c>
      <c r="N940" s="43">
        <f t="shared" si="21"/>
        <v>0</v>
      </c>
      <c r="O940" s="3">
        <v>938</v>
      </c>
    </row>
    <row r="941" spans="1:15" x14ac:dyDescent="0.25">
      <c r="A941" s="3">
        <v>4</v>
      </c>
      <c r="B941" s="3" t="s">
        <v>183</v>
      </c>
      <c r="C941" s="1" t="s">
        <v>12</v>
      </c>
      <c r="D941" s="1" t="s">
        <v>444</v>
      </c>
      <c r="E941" s="11" t="s">
        <v>144</v>
      </c>
      <c r="F941" s="3" t="s">
        <v>8</v>
      </c>
      <c r="G941" s="63" t="s">
        <v>854</v>
      </c>
      <c r="H941" s="8"/>
      <c r="I941" s="8"/>
      <c r="J941" s="6" t="s">
        <v>47</v>
      </c>
      <c r="K941" s="38">
        <v>139000</v>
      </c>
      <c r="L941" s="4" t="s">
        <v>29</v>
      </c>
      <c r="M941" s="11">
        <f>_xlfn.NUMBERVALUE(LEFT(Table613[[#This Row],[Fiscal Year]], 4))</f>
        <v>2015</v>
      </c>
      <c r="N941" s="42">
        <f t="shared" si="21"/>
        <v>147581.05063291139</v>
      </c>
      <c r="O941" s="3">
        <v>939</v>
      </c>
    </row>
    <row r="942" spans="1:15" x14ac:dyDescent="0.25">
      <c r="A942" s="3">
        <v>4</v>
      </c>
      <c r="B942" s="3" t="s">
        <v>183</v>
      </c>
      <c r="C942" s="1" t="s">
        <v>12</v>
      </c>
      <c r="D942" s="1" t="s">
        <v>444</v>
      </c>
      <c r="E942" s="11" t="s">
        <v>144</v>
      </c>
      <c r="F942" s="3" t="s">
        <v>8</v>
      </c>
      <c r="G942" s="63" t="s">
        <v>855</v>
      </c>
      <c r="H942" s="8"/>
      <c r="I942" s="8"/>
      <c r="J942" s="6" t="s">
        <v>455</v>
      </c>
      <c r="K942" s="38">
        <v>100000</v>
      </c>
      <c r="L942" s="4" t="s">
        <v>29</v>
      </c>
      <c r="M942" s="11">
        <f>_xlfn.NUMBERVALUE(LEFT(Table613[[#This Row],[Fiscal Year]], 4))</f>
        <v>2015</v>
      </c>
      <c r="N942" s="42">
        <f t="shared" si="21"/>
        <v>106173.41772151898</v>
      </c>
      <c r="O942" s="3">
        <v>940</v>
      </c>
    </row>
    <row r="943" spans="1:15" x14ac:dyDescent="0.25">
      <c r="C943" s="1"/>
      <c r="D943" s="1"/>
      <c r="E943" s="11"/>
      <c r="G943" s="66"/>
      <c r="H943" s="8"/>
      <c r="I943" s="8"/>
      <c r="J943" s="6"/>
      <c r="L943" s="4"/>
      <c r="O943" s="3">
        <v>941</v>
      </c>
    </row>
    <row r="944" spans="1:15" x14ac:dyDescent="0.25">
      <c r="A944" s="3">
        <v>4</v>
      </c>
      <c r="B944" s="3" t="s">
        <v>184</v>
      </c>
      <c r="C944" s="1" t="s">
        <v>12</v>
      </c>
      <c r="D944" s="1" t="s">
        <v>444</v>
      </c>
      <c r="E944" s="11" t="s">
        <v>144</v>
      </c>
      <c r="F944" s="3" t="s">
        <v>8</v>
      </c>
      <c r="G944" s="66" t="s">
        <v>908</v>
      </c>
      <c r="H944" s="8"/>
      <c r="I944" s="8"/>
      <c r="J944" s="6" t="s">
        <v>110</v>
      </c>
      <c r="K944" s="38">
        <v>129340</v>
      </c>
      <c r="L944" s="4" t="s">
        <v>29</v>
      </c>
      <c r="M944" s="11">
        <f>_xlfn.NUMBERVALUE(LEFT(Table613[[#This Row],[Fiscal Year]], 4))</f>
        <v>2015</v>
      </c>
      <c r="N944" s="42">
        <f t="shared" si="21"/>
        <v>137324.69848101266</v>
      </c>
      <c r="O944" s="3">
        <v>942</v>
      </c>
    </row>
    <row r="945" spans="1:15" x14ac:dyDescent="0.25">
      <c r="A945" s="3">
        <v>4</v>
      </c>
      <c r="B945" s="3" t="s">
        <v>184</v>
      </c>
      <c r="C945" s="1" t="s">
        <v>12</v>
      </c>
      <c r="D945" s="1" t="s">
        <v>444</v>
      </c>
      <c r="E945" s="11" t="s">
        <v>144</v>
      </c>
      <c r="F945" s="3" t="s">
        <v>8</v>
      </c>
      <c r="G945" s="66" t="s">
        <v>909</v>
      </c>
      <c r="H945" s="8"/>
      <c r="I945" s="8"/>
      <c r="J945" s="6" t="s">
        <v>110</v>
      </c>
      <c r="K945" s="38">
        <v>16000</v>
      </c>
      <c r="L945" s="4" t="s">
        <v>29</v>
      </c>
      <c r="M945" s="11">
        <f>_xlfn.NUMBERVALUE(LEFT(Table613[[#This Row],[Fiscal Year]], 4))</f>
        <v>2015</v>
      </c>
      <c r="N945" s="42">
        <f t="shared" si="21"/>
        <v>16987.746835443038</v>
      </c>
      <c r="O945" s="3">
        <v>943</v>
      </c>
    </row>
    <row r="946" spans="1:15" x14ac:dyDescent="0.25">
      <c r="A946" s="3">
        <v>4</v>
      </c>
      <c r="B946" s="3" t="s">
        <v>184</v>
      </c>
      <c r="C946" s="1" t="s">
        <v>12</v>
      </c>
      <c r="D946" s="1" t="s">
        <v>444</v>
      </c>
      <c r="E946" s="11" t="s">
        <v>144</v>
      </c>
      <c r="F946" s="3" t="s">
        <v>8</v>
      </c>
      <c r="G946" s="66" t="s">
        <v>844</v>
      </c>
      <c r="H946" s="8"/>
      <c r="I946" s="8"/>
      <c r="J946" s="6" t="s">
        <v>453</v>
      </c>
      <c r="K946" s="38">
        <v>500</v>
      </c>
      <c r="L946" s="4" t="s">
        <v>29</v>
      </c>
      <c r="M946" s="11">
        <f>_xlfn.NUMBERVALUE(LEFT(Table613[[#This Row],[Fiscal Year]], 4))</f>
        <v>2015</v>
      </c>
      <c r="N946" s="42">
        <f t="shared" si="21"/>
        <v>530.86708860759495</v>
      </c>
      <c r="O946" s="3">
        <v>944</v>
      </c>
    </row>
    <row r="947" spans="1:15" x14ac:dyDescent="0.25">
      <c r="A947" s="3">
        <v>4</v>
      </c>
      <c r="B947" s="3" t="s">
        <v>184</v>
      </c>
      <c r="C947" s="1" t="s">
        <v>12</v>
      </c>
      <c r="D947" s="1" t="s">
        <v>444</v>
      </c>
      <c r="E947" s="11" t="s">
        <v>144</v>
      </c>
      <c r="F947" s="3" t="s">
        <v>8</v>
      </c>
      <c r="G947" s="66" t="s">
        <v>845</v>
      </c>
      <c r="H947" s="8"/>
      <c r="I947" s="8"/>
      <c r="J947" s="6" t="s">
        <v>109</v>
      </c>
      <c r="K947" s="38">
        <v>4450</v>
      </c>
      <c r="L947" s="4" t="s">
        <v>29</v>
      </c>
      <c r="M947" s="11">
        <f>_xlfn.NUMBERVALUE(LEFT(Table613[[#This Row],[Fiscal Year]], 4))</f>
        <v>2015</v>
      </c>
      <c r="N947" s="42">
        <f t="shared" si="21"/>
        <v>4724.7170886075946</v>
      </c>
      <c r="O947" s="3">
        <v>945</v>
      </c>
    </row>
    <row r="948" spans="1:15" x14ac:dyDescent="0.25">
      <c r="A948" s="3">
        <v>4</v>
      </c>
      <c r="B948" s="3" t="s">
        <v>184</v>
      </c>
      <c r="C948" s="1" t="s">
        <v>12</v>
      </c>
      <c r="D948" s="1" t="s">
        <v>444</v>
      </c>
      <c r="E948" s="11" t="s">
        <v>144</v>
      </c>
      <c r="F948" s="3" t="s">
        <v>8</v>
      </c>
      <c r="G948" s="48" t="s">
        <v>846</v>
      </c>
      <c r="H948" s="8"/>
      <c r="I948" s="8"/>
      <c r="J948" s="6" t="s">
        <v>111</v>
      </c>
      <c r="K948" s="38">
        <v>4000</v>
      </c>
      <c r="L948" s="4" t="s">
        <v>29</v>
      </c>
      <c r="M948" s="11">
        <f>_xlfn.NUMBERVALUE(LEFT(Table613[[#This Row],[Fiscal Year]], 4))</f>
        <v>2015</v>
      </c>
      <c r="N948" s="42">
        <f t="shared" si="21"/>
        <v>4246.9367088607596</v>
      </c>
      <c r="O948" s="3">
        <v>946</v>
      </c>
    </row>
    <row r="949" spans="1:15" x14ac:dyDescent="0.25">
      <c r="A949" s="3">
        <v>4</v>
      </c>
      <c r="B949" s="3" t="s">
        <v>184</v>
      </c>
      <c r="C949" s="1" t="s">
        <v>12</v>
      </c>
      <c r="D949" s="1" t="s">
        <v>444</v>
      </c>
      <c r="E949" s="11" t="s">
        <v>144</v>
      </c>
      <c r="F949" s="3" t="s">
        <v>8</v>
      </c>
      <c r="G949" s="66" t="s">
        <v>847</v>
      </c>
      <c r="H949" s="8"/>
      <c r="I949" s="8"/>
      <c r="J949" s="6" t="s">
        <v>111</v>
      </c>
      <c r="K949" s="38">
        <v>4000</v>
      </c>
      <c r="L949" s="4" t="s">
        <v>29</v>
      </c>
      <c r="M949" s="11">
        <f>_xlfn.NUMBERVALUE(LEFT(Table613[[#This Row],[Fiscal Year]], 4))</f>
        <v>2015</v>
      </c>
      <c r="N949" s="42">
        <f t="shared" si="21"/>
        <v>4246.9367088607596</v>
      </c>
      <c r="O949" s="3">
        <v>947</v>
      </c>
    </row>
    <row r="950" spans="1:15" x14ac:dyDescent="0.25">
      <c r="A950" s="3">
        <v>4</v>
      </c>
      <c r="B950" s="3" t="s">
        <v>184</v>
      </c>
      <c r="C950" s="1" t="s">
        <v>12</v>
      </c>
      <c r="D950" s="1" t="s">
        <v>444</v>
      </c>
      <c r="E950" s="11" t="s">
        <v>144</v>
      </c>
      <c r="F950" s="3" t="s">
        <v>8</v>
      </c>
      <c r="G950" s="48" t="s">
        <v>857</v>
      </c>
      <c r="H950" s="8"/>
      <c r="I950" s="8"/>
      <c r="J950" s="6" t="s">
        <v>108</v>
      </c>
      <c r="K950" s="38">
        <v>750</v>
      </c>
      <c r="L950" s="4" t="s">
        <v>29</v>
      </c>
      <c r="M950" s="11">
        <f>_xlfn.NUMBERVALUE(LEFT(Table613[[#This Row],[Fiscal Year]], 4))</f>
        <v>2015</v>
      </c>
      <c r="N950" s="42">
        <f t="shared" si="21"/>
        <v>796.30063291139231</v>
      </c>
      <c r="O950" s="3">
        <v>948</v>
      </c>
    </row>
    <row r="951" spans="1:15" x14ac:dyDescent="0.25">
      <c r="A951" s="3">
        <v>4</v>
      </c>
      <c r="B951" s="3" t="s">
        <v>184</v>
      </c>
      <c r="C951" s="1" t="s">
        <v>12</v>
      </c>
      <c r="D951" s="1" t="s">
        <v>444</v>
      </c>
      <c r="E951" s="11" t="s">
        <v>144</v>
      </c>
      <c r="F951" s="3" t="s">
        <v>8</v>
      </c>
      <c r="G951" s="56" t="s">
        <v>934</v>
      </c>
      <c r="H951" s="8"/>
      <c r="I951" s="8"/>
      <c r="J951" s="6" t="s">
        <v>108</v>
      </c>
      <c r="K951" s="38">
        <v>92000</v>
      </c>
      <c r="L951" s="4" t="s">
        <v>29</v>
      </c>
      <c r="M951" s="11">
        <f>_xlfn.NUMBERVALUE(LEFT(Table613[[#This Row],[Fiscal Year]], 4))</f>
        <v>2015</v>
      </c>
      <c r="N951" s="42">
        <f t="shared" si="21"/>
        <v>97679.544303797462</v>
      </c>
      <c r="O951" s="3">
        <v>949</v>
      </c>
    </row>
    <row r="952" spans="1:15" x14ac:dyDescent="0.25">
      <c r="A952" s="3">
        <v>4</v>
      </c>
      <c r="B952" s="3" t="s">
        <v>184</v>
      </c>
      <c r="C952" s="1" t="s">
        <v>12</v>
      </c>
      <c r="D952" s="1" t="s">
        <v>444</v>
      </c>
      <c r="E952" s="11" t="s">
        <v>144</v>
      </c>
      <c r="F952" s="3" t="s">
        <v>8</v>
      </c>
      <c r="G952" s="66" t="s">
        <v>849</v>
      </c>
      <c r="H952" s="8"/>
      <c r="I952" s="8"/>
      <c r="J952" s="6" t="s">
        <v>106</v>
      </c>
      <c r="K952" s="39" t="s">
        <v>217</v>
      </c>
      <c r="L952" s="4" t="s">
        <v>29</v>
      </c>
      <c r="M952" s="11">
        <f>_xlfn.NUMBERVALUE(LEFT(Table613[[#This Row],[Fiscal Year]], 4))</f>
        <v>2015</v>
      </c>
      <c r="O952" s="3">
        <v>950</v>
      </c>
    </row>
    <row r="953" spans="1:15" x14ac:dyDescent="0.25">
      <c r="A953" s="3">
        <v>4</v>
      </c>
      <c r="B953" s="3" t="s">
        <v>184</v>
      </c>
      <c r="C953" s="1" t="s">
        <v>12</v>
      </c>
      <c r="D953" s="1" t="s">
        <v>444</v>
      </c>
      <c r="E953" s="11" t="s">
        <v>144</v>
      </c>
      <c r="F953" s="3" t="s">
        <v>8</v>
      </c>
      <c r="G953" s="66" t="s">
        <v>850</v>
      </c>
      <c r="H953" s="8"/>
      <c r="I953" s="8"/>
      <c r="J953" s="6" t="s">
        <v>455</v>
      </c>
      <c r="K953" s="38">
        <v>5000</v>
      </c>
      <c r="L953" s="4" t="s">
        <v>29</v>
      </c>
      <c r="M953" s="11">
        <f>_xlfn.NUMBERVALUE(LEFT(Table613[[#This Row],[Fiscal Year]], 4))</f>
        <v>2015</v>
      </c>
      <c r="N953" s="42">
        <f t="shared" si="21"/>
        <v>5308.6708860759491</v>
      </c>
      <c r="O953" s="3">
        <v>951</v>
      </c>
    </row>
    <row r="954" spans="1:15" x14ac:dyDescent="0.25">
      <c r="A954" s="3">
        <v>4</v>
      </c>
      <c r="B954" s="3" t="s">
        <v>184</v>
      </c>
      <c r="C954" s="1" t="s">
        <v>12</v>
      </c>
      <c r="D954" s="1" t="s">
        <v>444</v>
      </c>
      <c r="E954" s="11" t="s">
        <v>144</v>
      </c>
      <c r="F954" s="3" t="s">
        <v>8</v>
      </c>
      <c r="G954" s="66" t="s">
        <v>851</v>
      </c>
      <c r="H954" s="8"/>
      <c r="I954" s="8"/>
      <c r="J954" s="6" t="s">
        <v>76</v>
      </c>
      <c r="K954" s="38">
        <v>18000</v>
      </c>
      <c r="L954" s="4" t="s">
        <v>29</v>
      </c>
      <c r="M954" s="11">
        <f>_xlfn.NUMBERVALUE(LEFT(Table613[[#This Row],[Fiscal Year]], 4))</f>
        <v>2015</v>
      </c>
      <c r="N954" s="42">
        <f t="shared" si="21"/>
        <v>19111.215189873416</v>
      </c>
      <c r="O954" s="3">
        <v>952</v>
      </c>
    </row>
    <row r="955" spans="1:15" x14ac:dyDescent="0.25">
      <c r="A955" s="3">
        <v>4</v>
      </c>
      <c r="B955" s="3" t="s">
        <v>184</v>
      </c>
      <c r="C955" s="1" t="s">
        <v>12</v>
      </c>
      <c r="D955" s="1" t="s">
        <v>444</v>
      </c>
      <c r="E955" s="11" t="s">
        <v>144</v>
      </c>
      <c r="F955" s="3" t="s">
        <v>8</v>
      </c>
      <c r="G955" s="66" t="s">
        <v>852</v>
      </c>
      <c r="H955" s="8"/>
      <c r="I955" s="8"/>
      <c r="J955" s="6" t="s">
        <v>76</v>
      </c>
      <c r="K955" s="38">
        <v>14402</v>
      </c>
      <c r="L955" s="4" t="s">
        <v>29</v>
      </c>
      <c r="M955" s="11">
        <f>_xlfn.NUMBERVALUE(LEFT(Table613[[#This Row],[Fiscal Year]], 4))</f>
        <v>2015</v>
      </c>
      <c r="N955" s="42">
        <f t="shared" si="21"/>
        <v>15291.095620253163</v>
      </c>
      <c r="O955" s="3">
        <v>953</v>
      </c>
    </row>
    <row r="956" spans="1:15" x14ac:dyDescent="0.25">
      <c r="A956" s="3">
        <v>4</v>
      </c>
      <c r="B956" s="3" t="s">
        <v>184</v>
      </c>
      <c r="C956" s="1" t="s">
        <v>12</v>
      </c>
      <c r="D956" s="1" t="s">
        <v>444</v>
      </c>
      <c r="E956" s="11" t="s">
        <v>144</v>
      </c>
      <c r="F956" s="3" t="s">
        <v>8</v>
      </c>
      <c r="G956" s="66" t="s">
        <v>853</v>
      </c>
      <c r="H956" s="8"/>
      <c r="I956" s="8"/>
      <c r="J956" s="6" t="s">
        <v>76</v>
      </c>
      <c r="K956" s="38">
        <v>0</v>
      </c>
      <c r="L956" s="4" t="s">
        <v>29</v>
      </c>
      <c r="M956" s="11">
        <f>_xlfn.NUMBERVALUE(LEFT(Table613[[#This Row],[Fiscal Year]], 4))</f>
        <v>2015</v>
      </c>
      <c r="N956" s="43">
        <f t="shared" si="21"/>
        <v>0</v>
      </c>
      <c r="O956" s="3">
        <v>954</v>
      </c>
    </row>
    <row r="957" spans="1:15" x14ac:dyDescent="0.25">
      <c r="A957" s="3">
        <v>4</v>
      </c>
      <c r="B957" s="3" t="s">
        <v>184</v>
      </c>
      <c r="C957" s="1" t="s">
        <v>12</v>
      </c>
      <c r="D957" s="1" t="s">
        <v>444</v>
      </c>
      <c r="E957" s="11" t="s">
        <v>144</v>
      </c>
      <c r="F957" s="3" t="s">
        <v>8</v>
      </c>
      <c r="G957" s="63" t="s">
        <v>854</v>
      </c>
      <c r="H957" s="8"/>
      <c r="I957" s="8"/>
      <c r="J957" s="6" t="s">
        <v>47</v>
      </c>
      <c r="K957" s="38">
        <v>42960</v>
      </c>
      <c r="L957" s="4" t="s">
        <v>29</v>
      </c>
      <c r="M957" s="11">
        <f>_xlfn.NUMBERVALUE(LEFT(Table613[[#This Row],[Fiscal Year]], 4))</f>
        <v>2015</v>
      </c>
      <c r="N957" s="42">
        <f>K957*(1+VLOOKUP(M957,$AF$8:$AH$31,3,0))</f>
        <v>45612.100253164557</v>
      </c>
      <c r="O957" s="3">
        <v>955</v>
      </c>
    </row>
    <row r="958" spans="1:15" x14ac:dyDescent="0.25">
      <c r="A958" s="3">
        <v>4</v>
      </c>
      <c r="B958" s="3" t="s">
        <v>184</v>
      </c>
      <c r="C958" s="1" t="s">
        <v>12</v>
      </c>
      <c r="D958" s="1" t="s">
        <v>444</v>
      </c>
      <c r="E958" s="11" t="s">
        <v>144</v>
      </c>
      <c r="F958" s="3" t="s">
        <v>8</v>
      </c>
      <c r="G958" s="63" t="s">
        <v>855</v>
      </c>
      <c r="H958" s="8"/>
      <c r="I958" s="8"/>
      <c r="J958" s="6" t="s">
        <v>455</v>
      </c>
      <c r="K958" s="38">
        <v>0</v>
      </c>
      <c r="L958" s="4" t="s">
        <v>29</v>
      </c>
      <c r="M958" s="11">
        <f>_xlfn.NUMBERVALUE(LEFT(Table613[[#This Row],[Fiscal Year]], 4))</f>
        <v>2015</v>
      </c>
      <c r="N958" s="43">
        <f t="shared" si="21"/>
        <v>0</v>
      </c>
      <c r="O958" s="3">
        <v>956</v>
      </c>
    </row>
    <row r="959" spans="1:15" x14ac:dyDescent="0.25">
      <c r="C959" s="1"/>
      <c r="D959" s="1"/>
      <c r="E959" s="11"/>
      <c r="G959" s="66"/>
      <c r="H959" s="8"/>
      <c r="I959" s="8"/>
      <c r="J959" s="6"/>
      <c r="L959" s="4"/>
      <c r="O959" s="3">
        <v>957</v>
      </c>
    </row>
    <row r="960" spans="1:15" x14ac:dyDescent="0.25">
      <c r="A960" s="3">
        <v>4</v>
      </c>
      <c r="B960" s="3" t="s">
        <v>185</v>
      </c>
      <c r="C960" s="1" t="s">
        <v>12</v>
      </c>
      <c r="D960" s="1" t="s">
        <v>444</v>
      </c>
      <c r="E960" s="11" t="s">
        <v>144</v>
      </c>
      <c r="F960" s="3" t="s">
        <v>8</v>
      </c>
      <c r="G960" s="56" t="s">
        <v>829</v>
      </c>
      <c r="H960" s="8"/>
      <c r="I960" s="8"/>
      <c r="J960" s="6" t="s">
        <v>110</v>
      </c>
      <c r="K960" s="38">
        <v>14720</v>
      </c>
      <c r="L960" s="4" t="s">
        <v>29</v>
      </c>
      <c r="M960" s="11">
        <f>_xlfn.NUMBERVALUE(LEFT(Table613[[#This Row],[Fiscal Year]], 4))</f>
        <v>2015</v>
      </c>
      <c r="N960" s="42">
        <f t="shared" si="21"/>
        <v>15628.727088607595</v>
      </c>
      <c r="O960" s="3">
        <v>958</v>
      </c>
    </row>
    <row r="961" spans="1:15" x14ac:dyDescent="0.25">
      <c r="A961" s="3">
        <v>4</v>
      </c>
      <c r="B961" s="3" t="s">
        <v>185</v>
      </c>
      <c r="C961" s="1" t="s">
        <v>12</v>
      </c>
      <c r="D961" s="1" t="s">
        <v>444</v>
      </c>
      <c r="E961" s="11" t="s">
        <v>144</v>
      </c>
      <c r="F961" s="3" t="s">
        <v>8</v>
      </c>
      <c r="G961" s="66" t="s">
        <v>844</v>
      </c>
      <c r="H961" s="8"/>
      <c r="I961" s="8"/>
      <c r="J961" s="6" t="s">
        <v>453</v>
      </c>
      <c r="K961" s="38">
        <v>2717.5</v>
      </c>
      <c r="L961" s="4" t="s">
        <v>29</v>
      </c>
      <c r="M961" s="11">
        <f>_xlfn.NUMBERVALUE(LEFT(Table613[[#This Row],[Fiscal Year]], 4))</f>
        <v>2015</v>
      </c>
      <c r="N961" s="42">
        <f t="shared" si="21"/>
        <v>2885.2626265822782</v>
      </c>
      <c r="O961" s="3">
        <v>959</v>
      </c>
    </row>
    <row r="962" spans="1:15" x14ac:dyDescent="0.25">
      <c r="A962" s="3">
        <v>4</v>
      </c>
      <c r="B962" s="3" t="s">
        <v>185</v>
      </c>
      <c r="C962" s="1" t="s">
        <v>12</v>
      </c>
      <c r="D962" s="1" t="s">
        <v>444</v>
      </c>
      <c r="E962" s="11" t="s">
        <v>144</v>
      </c>
      <c r="F962" s="3" t="s">
        <v>8</v>
      </c>
      <c r="G962" s="66" t="s">
        <v>845</v>
      </c>
      <c r="H962" s="8"/>
      <c r="I962" s="8"/>
      <c r="J962" s="6" t="s">
        <v>109</v>
      </c>
      <c r="K962" s="38" t="s">
        <v>28</v>
      </c>
      <c r="L962" s="4" t="s">
        <v>29</v>
      </c>
      <c r="M962" s="11">
        <f>_xlfn.NUMBERVALUE(LEFT(Table613[[#This Row],[Fiscal Year]], 4))</f>
        <v>2015</v>
      </c>
      <c r="O962" s="3">
        <v>960</v>
      </c>
    </row>
    <row r="963" spans="1:15" x14ac:dyDescent="0.25">
      <c r="A963" s="3">
        <v>4</v>
      </c>
      <c r="B963" s="3" t="s">
        <v>185</v>
      </c>
      <c r="C963" s="1" t="s">
        <v>12</v>
      </c>
      <c r="D963" s="1" t="s">
        <v>444</v>
      </c>
      <c r="E963" s="11" t="s">
        <v>144</v>
      </c>
      <c r="F963" s="3" t="s">
        <v>8</v>
      </c>
      <c r="G963" s="48" t="s">
        <v>846</v>
      </c>
      <c r="H963" s="8"/>
      <c r="I963" s="8"/>
      <c r="J963" s="6" t="s">
        <v>111</v>
      </c>
      <c r="K963" s="38">
        <v>2302.5</v>
      </c>
      <c r="L963" s="4" t="s">
        <v>29</v>
      </c>
      <c r="M963" s="11">
        <f>_xlfn.NUMBERVALUE(LEFT(Table613[[#This Row],[Fiscal Year]], 4))</f>
        <v>2015</v>
      </c>
      <c r="N963" s="42">
        <f t="shared" si="21"/>
        <v>2444.6429430379744</v>
      </c>
      <c r="O963" s="3">
        <v>961</v>
      </c>
    </row>
    <row r="964" spans="1:15" x14ac:dyDescent="0.25">
      <c r="A964" s="3">
        <v>4</v>
      </c>
      <c r="B964" s="3" t="s">
        <v>185</v>
      </c>
      <c r="C964" s="1" t="s">
        <v>12</v>
      </c>
      <c r="D964" s="1" t="s">
        <v>444</v>
      </c>
      <c r="E964" s="11" t="s">
        <v>144</v>
      </c>
      <c r="F964" s="3" t="s">
        <v>8</v>
      </c>
      <c r="G964" s="66" t="s">
        <v>847</v>
      </c>
      <c r="H964" s="8"/>
      <c r="I964" s="8"/>
      <c r="J964" s="6" t="s">
        <v>111</v>
      </c>
      <c r="K964" s="38">
        <v>0</v>
      </c>
      <c r="L964" s="4" t="s">
        <v>29</v>
      </c>
      <c r="M964" s="11">
        <f>_xlfn.NUMBERVALUE(LEFT(Table613[[#This Row],[Fiscal Year]], 4))</f>
        <v>2015</v>
      </c>
      <c r="N964" s="43">
        <f t="shared" ref="N964:N970" si="22">K964*(1+VLOOKUP(M964,$AF$8:$AH$31,3,0))</f>
        <v>0</v>
      </c>
      <c r="O964" s="3">
        <v>962</v>
      </c>
    </row>
    <row r="965" spans="1:15" x14ac:dyDescent="0.25">
      <c r="A965" s="3">
        <v>4</v>
      </c>
      <c r="B965" s="3" t="s">
        <v>185</v>
      </c>
      <c r="C965" s="1" t="s">
        <v>12</v>
      </c>
      <c r="D965" s="1" t="s">
        <v>444</v>
      </c>
      <c r="E965" s="11" t="s">
        <v>144</v>
      </c>
      <c r="F965" s="3" t="s">
        <v>8</v>
      </c>
      <c r="G965" s="48" t="s">
        <v>857</v>
      </c>
      <c r="H965" s="8"/>
      <c r="I965" s="8"/>
      <c r="J965" s="6" t="s">
        <v>108</v>
      </c>
      <c r="K965" s="38">
        <v>2420</v>
      </c>
      <c r="L965" s="4" t="s">
        <v>29</v>
      </c>
      <c r="M965" s="11">
        <f>_xlfn.NUMBERVALUE(LEFT(Table613[[#This Row],[Fiscal Year]], 4))</f>
        <v>2015</v>
      </c>
      <c r="N965" s="42">
        <f t="shared" si="22"/>
        <v>2569.3967088607592</v>
      </c>
      <c r="O965" s="3">
        <v>963</v>
      </c>
    </row>
    <row r="966" spans="1:15" x14ac:dyDescent="0.25">
      <c r="A966" s="3">
        <v>4</v>
      </c>
      <c r="B966" s="3" t="s">
        <v>185</v>
      </c>
      <c r="C966" s="1" t="s">
        <v>12</v>
      </c>
      <c r="D966" s="1" t="s">
        <v>444</v>
      </c>
      <c r="E966" s="11" t="s">
        <v>144</v>
      </c>
      <c r="F966" s="3" t="s">
        <v>8</v>
      </c>
      <c r="G966" s="66" t="s">
        <v>849</v>
      </c>
      <c r="H966" s="8"/>
      <c r="I966" s="8"/>
      <c r="J966" s="6" t="s">
        <v>106</v>
      </c>
      <c r="K966" s="38">
        <v>0</v>
      </c>
      <c r="L966" s="4" t="s">
        <v>29</v>
      </c>
      <c r="M966" s="11">
        <f>_xlfn.NUMBERVALUE(LEFT(Table613[[#This Row],[Fiscal Year]], 4))</f>
        <v>2015</v>
      </c>
      <c r="N966" s="43">
        <f t="shared" si="22"/>
        <v>0</v>
      </c>
      <c r="O966" s="3">
        <v>964</v>
      </c>
    </row>
    <row r="967" spans="1:15" x14ac:dyDescent="0.25">
      <c r="A967" s="3">
        <v>4</v>
      </c>
      <c r="B967" s="3" t="s">
        <v>185</v>
      </c>
      <c r="C967" s="1" t="s">
        <v>12</v>
      </c>
      <c r="D967" s="1" t="s">
        <v>444</v>
      </c>
      <c r="E967" s="11" t="s">
        <v>144</v>
      </c>
      <c r="F967" s="3" t="s">
        <v>8</v>
      </c>
      <c r="G967" s="66" t="s">
        <v>850</v>
      </c>
      <c r="H967" s="8"/>
      <c r="I967" s="8"/>
      <c r="J967" s="6" t="s">
        <v>455</v>
      </c>
      <c r="K967" s="39" t="s">
        <v>215</v>
      </c>
      <c r="L967" s="4" t="s">
        <v>29</v>
      </c>
      <c r="M967" s="11">
        <f>_xlfn.NUMBERVALUE(LEFT(Table613[[#This Row],[Fiscal Year]], 4))</f>
        <v>2015</v>
      </c>
      <c r="O967" s="3">
        <v>965</v>
      </c>
    </row>
    <row r="968" spans="1:15" x14ac:dyDescent="0.25">
      <c r="A968" s="3">
        <v>4</v>
      </c>
      <c r="B968" s="3" t="s">
        <v>185</v>
      </c>
      <c r="C968" s="1" t="s">
        <v>12</v>
      </c>
      <c r="D968" s="1" t="s">
        <v>444</v>
      </c>
      <c r="E968" s="11" t="s">
        <v>144</v>
      </c>
      <c r="F968" s="3" t="s">
        <v>8</v>
      </c>
      <c r="G968" s="66" t="s">
        <v>851</v>
      </c>
      <c r="H968" s="8"/>
      <c r="I968" s="8"/>
      <c r="J968" s="6" t="s">
        <v>76</v>
      </c>
      <c r="K968" s="38">
        <v>0</v>
      </c>
      <c r="L968" s="4" t="s">
        <v>29</v>
      </c>
      <c r="M968" s="11">
        <f>_xlfn.NUMBERVALUE(LEFT(Table613[[#This Row],[Fiscal Year]], 4))</f>
        <v>2015</v>
      </c>
      <c r="N968" s="43">
        <f t="shared" si="22"/>
        <v>0</v>
      </c>
      <c r="O968" s="3">
        <v>966</v>
      </c>
    </row>
    <row r="969" spans="1:15" x14ac:dyDescent="0.25">
      <c r="A969" s="3">
        <v>4</v>
      </c>
      <c r="B969" s="3" t="s">
        <v>185</v>
      </c>
      <c r="C969" s="1" t="s">
        <v>12</v>
      </c>
      <c r="D969" s="1" t="s">
        <v>444</v>
      </c>
      <c r="E969" s="11" t="s">
        <v>144</v>
      </c>
      <c r="F969" s="3" t="s">
        <v>8</v>
      </c>
      <c r="G969" s="66" t="s">
        <v>852</v>
      </c>
      <c r="H969" s="8"/>
      <c r="I969" s="8"/>
      <c r="J969" s="6" t="s">
        <v>76</v>
      </c>
      <c r="K969" s="38">
        <v>0</v>
      </c>
      <c r="L969" s="4" t="s">
        <v>29</v>
      </c>
      <c r="M969" s="11">
        <f>_xlfn.NUMBERVALUE(LEFT(Table613[[#This Row],[Fiscal Year]], 4))</f>
        <v>2015</v>
      </c>
      <c r="N969" s="43">
        <f t="shared" si="22"/>
        <v>0</v>
      </c>
      <c r="O969" s="3">
        <v>967</v>
      </c>
    </row>
    <row r="970" spans="1:15" x14ac:dyDescent="0.25">
      <c r="A970" s="3">
        <v>4</v>
      </c>
      <c r="B970" s="3" t="s">
        <v>185</v>
      </c>
      <c r="C970" s="1" t="s">
        <v>12</v>
      </c>
      <c r="D970" s="1" t="s">
        <v>444</v>
      </c>
      <c r="E970" s="11" t="s">
        <v>144</v>
      </c>
      <c r="F970" s="3" t="s">
        <v>8</v>
      </c>
      <c r="G970" s="48" t="s">
        <v>853</v>
      </c>
      <c r="H970" s="8"/>
      <c r="I970" s="8"/>
      <c r="J970" s="6" t="s">
        <v>76</v>
      </c>
      <c r="K970" s="38">
        <v>0</v>
      </c>
      <c r="L970" s="4" t="s">
        <v>29</v>
      </c>
      <c r="M970" s="11">
        <f>_xlfn.NUMBERVALUE(LEFT(Table613[[#This Row],[Fiscal Year]], 4))</f>
        <v>2015</v>
      </c>
      <c r="N970" s="43">
        <f t="shared" si="22"/>
        <v>0</v>
      </c>
      <c r="O970" s="3">
        <v>968</v>
      </c>
    </row>
    <row r="971" spans="1:15" x14ac:dyDescent="0.25">
      <c r="A971" s="3">
        <v>4</v>
      </c>
      <c r="B971" s="3" t="s">
        <v>185</v>
      </c>
      <c r="C971" s="1" t="s">
        <v>12</v>
      </c>
      <c r="D971" s="1" t="s">
        <v>444</v>
      </c>
      <c r="E971" s="11" t="s">
        <v>144</v>
      </c>
      <c r="F971" s="3" t="s">
        <v>8</v>
      </c>
      <c r="G971" s="63" t="s">
        <v>936</v>
      </c>
      <c r="H971" s="8"/>
      <c r="I971" s="8"/>
      <c r="J971" s="6" t="s">
        <v>47</v>
      </c>
      <c r="K971" s="38">
        <v>41106.83</v>
      </c>
      <c r="L971" s="4" t="s">
        <v>29</v>
      </c>
      <c r="M971" s="11">
        <f>_xlfn.NUMBERVALUE(LEFT(Table613[[#This Row],[Fiscal Year]], 4))</f>
        <v>2015</v>
      </c>
      <c r="N971" s="42">
        <f t="shared" ref="N971:N1034" si="23">K971*(1+VLOOKUP(M971,$AF$8:$AH$31,3,0))</f>
        <v>43644.52632797468</v>
      </c>
      <c r="O971" s="3">
        <v>969</v>
      </c>
    </row>
    <row r="972" spans="1:15" x14ac:dyDescent="0.25">
      <c r="A972" s="3">
        <v>4</v>
      </c>
      <c r="B972" s="3" t="s">
        <v>185</v>
      </c>
      <c r="C972" s="1" t="s">
        <v>12</v>
      </c>
      <c r="D972" s="1" t="s">
        <v>444</v>
      </c>
      <c r="E972" s="11" t="s">
        <v>144</v>
      </c>
      <c r="F972" s="3" t="s">
        <v>8</v>
      </c>
      <c r="G972" s="63" t="s">
        <v>937</v>
      </c>
      <c r="H972" s="8" t="s">
        <v>938</v>
      </c>
      <c r="I972" s="8" t="s">
        <v>429</v>
      </c>
      <c r="J972" s="6" t="s">
        <v>605</v>
      </c>
      <c r="K972" s="38">
        <v>9626.5</v>
      </c>
      <c r="L972" s="4" t="s">
        <v>29</v>
      </c>
      <c r="M972" s="11">
        <f>_xlfn.NUMBERVALUE(LEFT(Table613[[#This Row],[Fiscal Year]], 4))</f>
        <v>2015</v>
      </c>
      <c r="N972" s="42">
        <f t="shared" si="23"/>
        <v>10220.784056962024</v>
      </c>
      <c r="O972" s="3">
        <v>970</v>
      </c>
    </row>
    <row r="973" spans="1:15" x14ac:dyDescent="0.25">
      <c r="C973" s="1"/>
      <c r="D973" s="1"/>
      <c r="E973" s="11"/>
      <c r="G973" s="66"/>
      <c r="H973" s="8"/>
      <c r="I973" s="8"/>
      <c r="J973" s="6"/>
      <c r="L973" s="4"/>
      <c r="O973" s="3">
        <v>971</v>
      </c>
    </row>
    <row r="974" spans="1:15" x14ac:dyDescent="0.25">
      <c r="A974" s="3">
        <v>4</v>
      </c>
      <c r="B974" s="3" t="s">
        <v>186</v>
      </c>
      <c r="C974" s="1" t="s">
        <v>12</v>
      </c>
      <c r="D974" s="1" t="s">
        <v>444</v>
      </c>
      <c r="E974" s="11" t="s">
        <v>144</v>
      </c>
      <c r="F974" s="3" t="s">
        <v>8</v>
      </c>
      <c r="G974" s="48" t="s">
        <v>32</v>
      </c>
      <c r="H974" s="8"/>
      <c r="I974" s="8"/>
      <c r="J974" s="6" t="s">
        <v>110</v>
      </c>
      <c r="K974" s="38">
        <v>2676242</v>
      </c>
      <c r="L974" s="4" t="s">
        <v>29</v>
      </c>
      <c r="M974" s="11">
        <f>_xlfn.NUMBERVALUE(LEFT(Table613[[#This Row],[Fiscal Year]], 4))</f>
        <v>2015</v>
      </c>
      <c r="N974" s="42">
        <f t="shared" si="23"/>
        <v>2841457.5978987338</v>
      </c>
      <c r="O974" s="3">
        <v>972</v>
      </c>
    </row>
    <row r="975" spans="1:15" x14ac:dyDescent="0.25">
      <c r="A975" s="3">
        <v>4</v>
      </c>
      <c r="B975" s="3" t="s">
        <v>186</v>
      </c>
      <c r="C975" s="1" t="s">
        <v>12</v>
      </c>
      <c r="D975" s="1" t="s">
        <v>444</v>
      </c>
      <c r="E975" s="11" t="s">
        <v>144</v>
      </c>
      <c r="F975" s="3" t="s">
        <v>8</v>
      </c>
      <c r="G975" s="66" t="s">
        <v>58</v>
      </c>
      <c r="H975" s="8"/>
      <c r="I975" s="8"/>
      <c r="J975" s="6" t="s">
        <v>453</v>
      </c>
      <c r="K975" s="38">
        <v>22249</v>
      </c>
      <c r="L975" s="4" t="s">
        <v>29</v>
      </c>
      <c r="M975" s="11">
        <f>_xlfn.NUMBERVALUE(LEFT(Table613[[#This Row],[Fiscal Year]], 4))</f>
        <v>2015</v>
      </c>
      <c r="N975" s="42">
        <f t="shared" si="23"/>
        <v>23622.523708860757</v>
      </c>
      <c r="O975" s="3">
        <v>973</v>
      </c>
    </row>
    <row r="976" spans="1:15" x14ac:dyDescent="0.25">
      <c r="A976" s="3">
        <v>4</v>
      </c>
      <c r="B976" s="3" t="s">
        <v>186</v>
      </c>
      <c r="C976" s="1" t="s">
        <v>12</v>
      </c>
      <c r="D976" s="1" t="s">
        <v>444</v>
      </c>
      <c r="E976" s="11" t="s">
        <v>144</v>
      </c>
      <c r="F976" s="3" t="s">
        <v>8</v>
      </c>
      <c r="G976" s="66" t="s">
        <v>208</v>
      </c>
      <c r="H976" s="8"/>
      <c r="I976" s="8"/>
      <c r="J976" s="6" t="s">
        <v>109</v>
      </c>
      <c r="K976" s="38">
        <v>96752</v>
      </c>
      <c r="L976" s="4" t="s">
        <v>29</v>
      </c>
      <c r="M976" s="11">
        <f>_xlfn.NUMBERVALUE(LEFT(Table613[[#This Row],[Fiscal Year]], 4))</f>
        <v>2015</v>
      </c>
      <c r="N976" s="42">
        <f t="shared" si="23"/>
        <v>102724.90511392405</v>
      </c>
      <c r="O976" s="3">
        <v>974</v>
      </c>
    </row>
    <row r="977" spans="1:15" x14ac:dyDescent="0.25">
      <c r="A977" s="3">
        <v>4</v>
      </c>
      <c r="B977" s="3" t="s">
        <v>186</v>
      </c>
      <c r="C977" s="1" t="s">
        <v>12</v>
      </c>
      <c r="D977" s="1" t="s">
        <v>444</v>
      </c>
      <c r="E977" s="11" t="s">
        <v>144</v>
      </c>
      <c r="F977" s="3" t="s">
        <v>8</v>
      </c>
      <c r="G977" s="48" t="s">
        <v>59</v>
      </c>
      <c r="H977" s="8"/>
      <c r="I977" s="8"/>
      <c r="J977" s="6" t="s">
        <v>111</v>
      </c>
      <c r="K977" s="38">
        <v>0</v>
      </c>
      <c r="L977" s="4" t="s">
        <v>29</v>
      </c>
      <c r="M977" s="11">
        <f>_xlfn.NUMBERVALUE(LEFT(Table613[[#This Row],[Fiscal Year]], 4))</f>
        <v>2015</v>
      </c>
      <c r="N977" s="43">
        <f t="shared" si="23"/>
        <v>0</v>
      </c>
      <c r="O977" s="3">
        <v>975</v>
      </c>
    </row>
    <row r="978" spans="1:15" x14ac:dyDescent="0.25">
      <c r="A978" s="3">
        <v>4</v>
      </c>
      <c r="B978" s="3" t="s">
        <v>186</v>
      </c>
      <c r="C978" s="1" t="s">
        <v>12</v>
      </c>
      <c r="D978" s="1" t="s">
        <v>444</v>
      </c>
      <c r="E978" s="11" t="s">
        <v>144</v>
      </c>
      <c r="F978" s="3" t="s">
        <v>8</v>
      </c>
      <c r="G978" s="66" t="s">
        <v>60</v>
      </c>
      <c r="H978" s="8"/>
      <c r="I978" s="8"/>
      <c r="J978" s="6" t="s">
        <v>111</v>
      </c>
      <c r="K978" s="38">
        <v>0</v>
      </c>
      <c r="L978" s="4" t="s">
        <v>29</v>
      </c>
      <c r="M978" s="11">
        <f>_xlfn.NUMBERVALUE(LEFT(Table613[[#This Row],[Fiscal Year]], 4))</f>
        <v>2015</v>
      </c>
      <c r="N978" s="43">
        <f t="shared" si="23"/>
        <v>0</v>
      </c>
      <c r="O978" s="3">
        <v>976</v>
      </c>
    </row>
    <row r="979" spans="1:15" x14ac:dyDescent="0.25">
      <c r="A979" s="3">
        <v>4</v>
      </c>
      <c r="B979" s="3" t="s">
        <v>186</v>
      </c>
      <c r="C979" s="1" t="s">
        <v>12</v>
      </c>
      <c r="D979" s="1" t="s">
        <v>444</v>
      </c>
      <c r="E979" s="11" t="s">
        <v>144</v>
      </c>
      <c r="F979" s="3" t="s">
        <v>8</v>
      </c>
      <c r="G979" s="48" t="s">
        <v>61</v>
      </c>
      <c r="H979" s="8"/>
      <c r="I979" s="8"/>
      <c r="J979" s="6" t="s">
        <v>108</v>
      </c>
      <c r="K979" s="38">
        <v>6474237</v>
      </c>
      <c r="L979" s="4" t="s">
        <v>29</v>
      </c>
      <c r="M979" s="11">
        <f>_xlfn.NUMBERVALUE(LEFT(Table613[[#This Row],[Fiscal Year]], 4))</f>
        <v>2015</v>
      </c>
      <c r="N979" s="42">
        <f>K979*(1+VLOOKUP(M979,$AF$8:$AH$31,3,0))</f>
        <v>6873918.694291139</v>
      </c>
      <c r="O979" s="3">
        <v>977</v>
      </c>
    </row>
    <row r="980" spans="1:15" x14ac:dyDescent="0.25">
      <c r="A980" s="3">
        <v>4</v>
      </c>
      <c r="B980" s="3" t="s">
        <v>186</v>
      </c>
      <c r="C980" s="1" t="s">
        <v>12</v>
      </c>
      <c r="D980" s="1" t="s">
        <v>444</v>
      </c>
      <c r="E980" s="11" t="s">
        <v>144</v>
      </c>
      <c r="F980" s="3" t="s">
        <v>8</v>
      </c>
      <c r="G980" s="66" t="s">
        <v>62</v>
      </c>
      <c r="H980" s="8"/>
      <c r="I980" s="8"/>
      <c r="J980" s="6" t="s">
        <v>106</v>
      </c>
      <c r="K980" s="38">
        <v>0</v>
      </c>
      <c r="L980" s="4" t="s">
        <v>29</v>
      </c>
      <c r="M980" s="11">
        <f>_xlfn.NUMBERVALUE(LEFT(Table613[[#This Row],[Fiscal Year]], 4))</f>
        <v>2015</v>
      </c>
      <c r="N980" s="43">
        <f t="shared" si="23"/>
        <v>0</v>
      </c>
      <c r="O980" s="3">
        <v>978</v>
      </c>
    </row>
    <row r="981" spans="1:15" x14ac:dyDescent="0.25">
      <c r="A981" s="3">
        <v>4</v>
      </c>
      <c r="B981" s="3" t="s">
        <v>186</v>
      </c>
      <c r="C981" s="1" t="s">
        <v>12</v>
      </c>
      <c r="D981" s="1" t="s">
        <v>444</v>
      </c>
      <c r="E981" s="11" t="s">
        <v>144</v>
      </c>
      <c r="F981" s="3" t="s">
        <v>8</v>
      </c>
      <c r="G981" s="66" t="s">
        <v>211</v>
      </c>
      <c r="H981" s="8"/>
      <c r="I981" s="8"/>
      <c r="J981" s="6" t="s">
        <v>455</v>
      </c>
      <c r="K981" s="38">
        <v>0</v>
      </c>
      <c r="L981" s="4" t="s">
        <v>29</v>
      </c>
      <c r="M981" s="11">
        <f>_xlfn.NUMBERVALUE(LEFT(Table613[[#This Row],[Fiscal Year]], 4))</f>
        <v>2015</v>
      </c>
      <c r="N981" s="43">
        <f t="shared" si="23"/>
        <v>0</v>
      </c>
      <c r="O981" s="3">
        <v>979</v>
      </c>
    </row>
    <row r="982" spans="1:15" x14ac:dyDescent="0.25">
      <c r="A982" s="3">
        <v>4</v>
      </c>
      <c r="B982" s="3" t="s">
        <v>186</v>
      </c>
      <c r="C982" s="1" t="s">
        <v>12</v>
      </c>
      <c r="D982" s="1" t="s">
        <v>444</v>
      </c>
      <c r="E982" s="11" t="s">
        <v>144</v>
      </c>
      <c r="F982" s="3" t="s">
        <v>8</v>
      </c>
      <c r="G982" s="66" t="s">
        <v>64</v>
      </c>
      <c r="H982" s="8"/>
      <c r="I982" s="8"/>
      <c r="J982" s="6" t="s">
        <v>76</v>
      </c>
      <c r="K982" s="38">
        <v>712934</v>
      </c>
      <c r="L982" s="4" t="s">
        <v>29</v>
      </c>
      <c r="M982" s="11">
        <f>_xlfn.NUMBERVALUE(LEFT(Table613[[#This Row],[Fiscal Year]], 4))</f>
        <v>2015</v>
      </c>
      <c r="N982" s="42">
        <f>K982*(1+VLOOKUP(M982,$AF$8:$AH$31,3,0))</f>
        <v>756946.39389873412</v>
      </c>
      <c r="O982" s="3">
        <v>980</v>
      </c>
    </row>
    <row r="983" spans="1:15" x14ac:dyDescent="0.25">
      <c r="A983" s="3">
        <v>4</v>
      </c>
      <c r="B983" s="3" t="s">
        <v>186</v>
      </c>
      <c r="C983" s="1" t="s">
        <v>12</v>
      </c>
      <c r="D983" s="1" t="s">
        <v>444</v>
      </c>
      <c r="E983" s="11" t="s">
        <v>144</v>
      </c>
      <c r="F983" s="3" t="s">
        <v>8</v>
      </c>
      <c r="G983" s="66" t="s">
        <v>65</v>
      </c>
      <c r="H983" s="8"/>
      <c r="I983" s="8"/>
      <c r="J983" s="6" t="s">
        <v>76</v>
      </c>
      <c r="K983" s="38">
        <v>0</v>
      </c>
      <c r="L983" s="4" t="s">
        <v>29</v>
      </c>
      <c r="M983" s="11">
        <f>_xlfn.NUMBERVALUE(LEFT(Table613[[#This Row],[Fiscal Year]], 4))</f>
        <v>2015</v>
      </c>
      <c r="N983" s="43">
        <f t="shared" si="23"/>
        <v>0</v>
      </c>
      <c r="O983" s="3">
        <v>981</v>
      </c>
    </row>
    <row r="984" spans="1:15" x14ac:dyDescent="0.25">
      <c r="A984" s="3">
        <v>4</v>
      </c>
      <c r="B984" s="3" t="s">
        <v>186</v>
      </c>
      <c r="C984" s="1" t="s">
        <v>12</v>
      </c>
      <c r="D984" s="1" t="s">
        <v>444</v>
      </c>
      <c r="E984" s="11" t="s">
        <v>144</v>
      </c>
      <c r="F984" s="3" t="s">
        <v>8</v>
      </c>
      <c r="G984" s="48" t="s">
        <v>66</v>
      </c>
      <c r="H984" s="8"/>
      <c r="I984" s="8"/>
      <c r="J984" s="6" t="s">
        <v>76</v>
      </c>
      <c r="K984" s="38">
        <v>0</v>
      </c>
      <c r="L984" s="4" t="s">
        <v>29</v>
      </c>
      <c r="M984" s="11">
        <f>_xlfn.NUMBERVALUE(LEFT(Table613[[#This Row],[Fiscal Year]], 4))</f>
        <v>2015</v>
      </c>
      <c r="N984" s="43">
        <f t="shared" si="23"/>
        <v>0</v>
      </c>
      <c r="O984" s="3">
        <v>982</v>
      </c>
    </row>
    <row r="985" spans="1:15" x14ac:dyDescent="0.25">
      <c r="A985" s="3">
        <v>4</v>
      </c>
      <c r="B985" s="3" t="s">
        <v>186</v>
      </c>
      <c r="C985" s="1" t="s">
        <v>12</v>
      </c>
      <c r="D985" s="1" t="s">
        <v>444</v>
      </c>
      <c r="E985" s="11" t="s">
        <v>144</v>
      </c>
      <c r="F985" s="3" t="s">
        <v>8</v>
      </c>
      <c r="G985" s="66" t="s">
        <v>33</v>
      </c>
      <c r="H985" s="8"/>
      <c r="I985" s="8"/>
      <c r="J985" s="6" t="s">
        <v>47</v>
      </c>
      <c r="K985" s="38">
        <v>202893</v>
      </c>
      <c r="L985" s="4" t="s">
        <v>29</v>
      </c>
      <c r="M985" s="11">
        <f>_xlfn.NUMBERVALUE(LEFT(Table613[[#This Row],[Fiscal Year]], 4))</f>
        <v>2015</v>
      </c>
      <c r="N985" s="42">
        <f t="shared" si="23"/>
        <v>215418.43241772152</v>
      </c>
      <c r="O985" s="3">
        <v>983</v>
      </c>
    </row>
    <row r="986" spans="1:15" x14ac:dyDescent="0.25">
      <c r="A986" s="3">
        <v>4</v>
      </c>
      <c r="B986" s="3" t="s">
        <v>186</v>
      </c>
      <c r="C986" s="1" t="s">
        <v>12</v>
      </c>
      <c r="D986" s="1" t="s">
        <v>444</v>
      </c>
      <c r="E986" s="11" t="s">
        <v>144</v>
      </c>
      <c r="F986" s="3" t="s">
        <v>8</v>
      </c>
      <c r="G986" s="66" t="s">
        <v>67</v>
      </c>
      <c r="H986" s="8"/>
      <c r="I986" s="8"/>
      <c r="J986" s="6" t="s">
        <v>455</v>
      </c>
      <c r="K986" s="38">
        <v>432650</v>
      </c>
      <c r="L986" s="4" t="s">
        <v>29</v>
      </c>
      <c r="M986" s="11">
        <f>_xlfn.NUMBERVALUE(LEFT(Table613[[#This Row],[Fiscal Year]], 4))</f>
        <v>2015</v>
      </c>
      <c r="N986" s="42">
        <f t="shared" si="23"/>
        <v>459359.29177215189</v>
      </c>
      <c r="O986" s="3">
        <v>984</v>
      </c>
    </row>
    <row r="987" spans="1:15" x14ac:dyDescent="0.25">
      <c r="C987" s="1"/>
      <c r="D987" s="1"/>
      <c r="E987" s="11"/>
      <c r="G987" s="66"/>
      <c r="H987" s="8"/>
      <c r="I987" s="8"/>
      <c r="J987" s="6"/>
      <c r="L987" s="4"/>
      <c r="O987" s="3">
        <v>985</v>
      </c>
    </row>
    <row r="988" spans="1:15" x14ac:dyDescent="0.25">
      <c r="A988" s="3">
        <v>4</v>
      </c>
      <c r="B988" s="3" t="s">
        <v>187</v>
      </c>
      <c r="C988" s="1" t="s">
        <v>12</v>
      </c>
      <c r="D988" s="1" t="s">
        <v>444</v>
      </c>
      <c r="E988" s="11" t="s">
        <v>144</v>
      </c>
      <c r="F988" s="3" t="s">
        <v>8</v>
      </c>
      <c r="G988" s="48" t="s">
        <v>32</v>
      </c>
      <c r="H988" s="8"/>
      <c r="I988" s="8"/>
      <c r="J988" s="6" t="s">
        <v>110</v>
      </c>
      <c r="K988" s="38">
        <v>161389</v>
      </c>
      <c r="L988" s="4" t="s">
        <v>29</v>
      </c>
      <c r="M988" s="11">
        <f>_xlfn.NUMBERVALUE(LEFT(Table613[[#This Row],[Fiscal Year]], 4))</f>
        <v>2015</v>
      </c>
      <c r="N988" s="42">
        <f t="shared" si="23"/>
        <v>171352.21712658225</v>
      </c>
      <c r="O988" s="3">
        <v>986</v>
      </c>
    </row>
    <row r="989" spans="1:15" x14ac:dyDescent="0.25">
      <c r="A989" s="3">
        <v>4</v>
      </c>
      <c r="B989" s="3" t="s">
        <v>187</v>
      </c>
      <c r="C989" s="1" t="s">
        <v>12</v>
      </c>
      <c r="D989" s="1" t="s">
        <v>444</v>
      </c>
      <c r="E989" s="11" t="s">
        <v>144</v>
      </c>
      <c r="F989" s="3" t="s">
        <v>8</v>
      </c>
      <c r="G989" s="66" t="s">
        <v>58</v>
      </c>
      <c r="H989" s="8"/>
      <c r="I989" s="8"/>
      <c r="J989" s="6" t="s">
        <v>453</v>
      </c>
      <c r="K989" s="38">
        <v>1200</v>
      </c>
      <c r="L989" s="4" t="s">
        <v>29</v>
      </c>
      <c r="M989" s="11">
        <f>_xlfn.NUMBERVALUE(LEFT(Table613[[#This Row],[Fiscal Year]], 4))</f>
        <v>2015</v>
      </c>
      <c r="N989" s="42">
        <f t="shared" si="23"/>
        <v>1274.0810126582278</v>
      </c>
      <c r="O989" s="3">
        <v>987</v>
      </c>
    </row>
    <row r="990" spans="1:15" x14ac:dyDescent="0.25">
      <c r="A990" s="3">
        <v>4</v>
      </c>
      <c r="B990" s="3" t="s">
        <v>187</v>
      </c>
      <c r="C990" s="1" t="s">
        <v>12</v>
      </c>
      <c r="D990" s="1" t="s">
        <v>444</v>
      </c>
      <c r="E990" s="11" t="s">
        <v>144</v>
      </c>
      <c r="F990" s="3" t="s">
        <v>8</v>
      </c>
      <c r="G990" s="66" t="s">
        <v>208</v>
      </c>
      <c r="H990" s="8"/>
      <c r="I990" s="8"/>
      <c r="J990" s="6" t="s">
        <v>109</v>
      </c>
      <c r="K990" s="38">
        <v>9300</v>
      </c>
      <c r="L990" s="4" t="s">
        <v>29</v>
      </c>
      <c r="M990" s="11">
        <f>_xlfn.NUMBERVALUE(LEFT(Table613[[#This Row],[Fiscal Year]], 4))</f>
        <v>2015</v>
      </c>
      <c r="N990" s="42">
        <f t="shared" si="23"/>
        <v>9874.127848101265</v>
      </c>
      <c r="O990" s="3">
        <v>988</v>
      </c>
    </row>
    <row r="991" spans="1:15" x14ac:dyDescent="0.25">
      <c r="A991" s="3">
        <v>4</v>
      </c>
      <c r="B991" s="3" t="s">
        <v>187</v>
      </c>
      <c r="C991" s="1" t="s">
        <v>12</v>
      </c>
      <c r="D991" s="1" t="s">
        <v>444</v>
      </c>
      <c r="E991" s="11" t="s">
        <v>144</v>
      </c>
      <c r="F991" s="3" t="s">
        <v>8</v>
      </c>
      <c r="G991" s="48" t="s">
        <v>59</v>
      </c>
      <c r="H991" s="8"/>
      <c r="I991" s="8"/>
      <c r="J991" s="6" t="s">
        <v>111</v>
      </c>
      <c r="K991" s="38">
        <v>9556</v>
      </c>
      <c r="L991" s="4" t="s">
        <v>29</v>
      </c>
      <c r="M991" s="11">
        <f>_xlfn.NUMBERVALUE(LEFT(Table613[[#This Row],[Fiscal Year]], 4))</f>
        <v>2015</v>
      </c>
      <c r="N991" s="42">
        <f t="shared" si="23"/>
        <v>10145.931797468354</v>
      </c>
      <c r="O991" s="3">
        <v>989</v>
      </c>
    </row>
    <row r="992" spans="1:15" x14ac:dyDescent="0.25">
      <c r="A992" s="3">
        <v>4</v>
      </c>
      <c r="B992" s="3" t="s">
        <v>187</v>
      </c>
      <c r="C992" s="1" t="s">
        <v>12</v>
      </c>
      <c r="D992" s="1" t="s">
        <v>444</v>
      </c>
      <c r="E992" s="11" t="s">
        <v>144</v>
      </c>
      <c r="F992" s="3" t="s">
        <v>8</v>
      </c>
      <c r="G992" s="66" t="s">
        <v>60</v>
      </c>
      <c r="H992" s="8"/>
      <c r="I992" s="8"/>
      <c r="J992" s="6" t="s">
        <v>111</v>
      </c>
      <c r="K992" s="38">
        <v>7497</v>
      </c>
      <c r="L992" s="4" t="s">
        <v>29</v>
      </c>
      <c r="M992" s="11">
        <f>_xlfn.NUMBERVALUE(LEFT(Table613[[#This Row],[Fiscal Year]], 4))</f>
        <v>2015</v>
      </c>
      <c r="N992" s="42">
        <f t="shared" si="23"/>
        <v>7959.8211265822783</v>
      </c>
      <c r="O992" s="3">
        <v>990</v>
      </c>
    </row>
    <row r="993" spans="1:15" x14ac:dyDescent="0.25">
      <c r="A993" s="3">
        <v>4</v>
      </c>
      <c r="B993" s="3" t="s">
        <v>187</v>
      </c>
      <c r="C993" s="1" t="s">
        <v>12</v>
      </c>
      <c r="D993" s="1" t="s">
        <v>444</v>
      </c>
      <c r="E993" s="11" t="s">
        <v>144</v>
      </c>
      <c r="F993" s="3" t="s">
        <v>8</v>
      </c>
      <c r="G993" s="48" t="s">
        <v>61</v>
      </c>
      <c r="H993" s="8"/>
      <c r="I993" s="8"/>
      <c r="J993" s="6" t="s">
        <v>108</v>
      </c>
      <c r="K993" s="38">
        <v>404974</v>
      </c>
      <c r="L993" s="4" t="s">
        <v>29</v>
      </c>
      <c r="M993" s="11">
        <f>_xlfn.NUMBERVALUE(LEFT(Table613[[#This Row],[Fiscal Year]], 4))</f>
        <v>2015</v>
      </c>
      <c r="N993" s="42">
        <f t="shared" si="23"/>
        <v>429974.7366835443</v>
      </c>
      <c r="O993" s="3">
        <v>991</v>
      </c>
    </row>
    <row r="994" spans="1:15" x14ac:dyDescent="0.25">
      <c r="A994" s="3">
        <v>4</v>
      </c>
      <c r="B994" s="3" t="s">
        <v>187</v>
      </c>
      <c r="C994" s="1" t="s">
        <v>12</v>
      </c>
      <c r="D994" s="1" t="s">
        <v>444</v>
      </c>
      <c r="E994" s="11" t="s">
        <v>144</v>
      </c>
      <c r="F994" s="3" t="s">
        <v>8</v>
      </c>
      <c r="G994" s="66" t="s">
        <v>62</v>
      </c>
      <c r="H994" s="8"/>
      <c r="I994" s="8"/>
      <c r="J994" s="6" t="s">
        <v>106</v>
      </c>
      <c r="K994" s="38">
        <v>29378</v>
      </c>
      <c r="L994" s="4" t="s">
        <v>29</v>
      </c>
      <c r="M994" s="11">
        <f>_xlfn.NUMBERVALUE(LEFT(Table613[[#This Row],[Fiscal Year]], 4))</f>
        <v>2015</v>
      </c>
      <c r="N994" s="42">
        <f t="shared" si="23"/>
        <v>31191.626658227848</v>
      </c>
      <c r="O994" s="3">
        <v>992</v>
      </c>
    </row>
    <row r="995" spans="1:15" x14ac:dyDescent="0.25">
      <c r="A995" s="3">
        <v>4</v>
      </c>
      <c r="B995" s="3" t="s">
        <v>187</v>
      </c>
      <c r="C995" s="1" t="s">
        <v>12</v>
      </c>
      <c r="D995" s="1" t="s">
        <v>444</v>
      </c>
      <c r="E995" s="11" t="s">
        <v>144</v>
      </c>
      <c r="F995" s="3" t="s">
        <v>8</v>
      </c>
      <c r="G995" s="66" t="s">
        <v>211</v>
      </c>
      <c r="H995" s="8"/>
      <c r="I995" s="8"/>
      <c r="J995" s="6" t="s">
        <v>455</v>
      </c>
      <c r="K995" s="38">
        <v>25000</v>
      </c>
      <c r="L995" s="4" t="s">
        <v>29</v>
      </c>
      <c r="M995" s="11">
        <f>_xlfn.NUMBERVALUE(LEFT(Table613[[#This Row],[Fiscal Year]], 4))</f>
        <v>2015</v>
      </c>
      <c r="N995" s="42">
        <f t="shared" si="23"/>
        <v>26543.354430379746</v>
      </c>
      <c r="O995" s="3">
        <v>993</v>
      </c>
    </row>
    <row r="996" spans="1:15" x14ac:dyDescent="0.25">
      <c r="A996" s="3">
        <v>4</v>
      </c>
      <c r="B996" s="3" t="s">
        <v>187</v>
      </c>
      <c r="C996" s="1" t="s">
        <v>12</v>
      </c>
      <c r="D996" s="1" t="s">
        <v>444</v>
      </c>
      <c r="E996" s="11" t="s">
        <v>144</v>
      </c>
      <c r="F996" s="3" t="s">
        <v>8</v>
      </c>
      <c r="G996" s="66" t="s">
        <v>64</v>
      </c>
      <c r="H996" s="8"/>
      <c r="I996" s="8"/>
      <c r="J996" s="6" t="s">
        <v>76</v>
      </c>
      <c r="K996" s="38">
        <v>0</v>
      </c>
      <c r="L996" s="4" t="s">
        <v>29</v>
      </c>
      <c r="M996" s="11">
        <f>_xlfn.NUMBERVALUE(LEFT(Table613[[#This Row],[Fiscal Year]], 4))</f>
        <v>2015</v>
      </c>
      <c r="N996" s="43">
        <f t="shared" si="23"/>
        <v>0</v>
      </c>
      <c r="O996" s="3">
        <v>994</v>
      </c>
    </row>
    <row r="997" spans="1:15" x14ac:dyDescent="0.25">
      <c r="A997" s="3">
        <v>4</v>
      </c>
      <c r="B997" s="3" t="s">
        <v>187</v>
      </c>
      <c r="C997" s="1" t="s">
        <v>12</v>
      </c>
      <c r="D997" s="1" t="s">
        <v>444</v>
      </c>
      <c r="E997" s="11" t="s">
        <v>144</v>
      </c>
      <c r="F997" s="3" t="s">
        <v>8</v>
      </c>
      <c r="G997" s="66" t="s">
        <v>65</v>
      </c>
      <c r="H997" s="8"/>
      <c r="I997" s="8"/>
      <c r="J997" s="6" t="s">
        <v>76</v>
      </c>
      <c r="K997" s="38">
        <v>0</v>
      </c>
      <c r="L997" s="4" t="s">
        <v>29</v>
      </c>
      <c r="M997" s="11">
        <f>_xlfn.NUMBERVALUE(LEFT(Table613[[#This Row],[Fiscal Year]], 4))</f>
        <v>2015</v>
      </c>
      <c r="N997" s="43">
        <f t="shared" si="23"/>
        <v>0</v>
      </c>
      <c r="O997" s="3">
        <v>995</v>
      </c>
    </row>
    <row r="998" spans="1:15" x14ac:dyDescent="0.25">
      <c r="A998" s="3">
        <v>4</v>
      </c>
      <c r="B998" s="3" t="s">
        <v>187</v>
      </c>
      <c r="C998" s="1" t="s">
        <v>12</v>
      </c>
      <c r="D998" s="1" t="s">
        <v>444</v>
      </c>
      <c r="E998" s="11" t="s">
        <v>144</v>
      </c>
      <c r="F998" s="3" t="s">
        <v>8</v>
      </c>
      <c r="G998" s="48" t="s">
        <v>66</v>
      </c>
      <c r="H998" s="8"/>
      <c r="I998" s="8"/>
      <c r="J998" s="6" t="s">
        <v>76</v>
      </c>
      <c r="K998" s="38">
        <v>0</v>
      </c>
      <c r="L998" s="4" t="s">
        <v>29</v>
      </c>
      <c r="M998" s="11">
        <f>_xlfn.NUMBERVALUE(LEFT(Table613[[#This Row],[Fiscal Year]], 4))</f>
        <v>2015</v>
      </c>
      <c r="N998" s="43">
        <f t="shared" si="23"/>
        <v>0</v>
      </c>
      <c r="O998" s="3">
        <v>996</v>
      </c>
    </row>
    <row r="999" spans="1:15" x14ac:dyDescent="0.25">
      <c r="A999" s="3">
        <v>4</v>
      </c>
      <c r="B999" s="3" t="s">
        <v>187</v>
      </c>
      <c r="C999" s="1" t="s">
        <v>12</v>
      </c>
      <c r="D999" s="1" t="s">
        <v>444</v>
      </c>
      <c r="E999" s="11" t="s">
        <v>144</v>
      </c>
      <c r="F999" s="3" t="s">
        <v>8</v>
      </c>
      <c r="G999" s="66" t="s">
        <v>33</v>
      </c>
      <c r="H999" s="8"/>
      <c r="I999" s="8"/>
      <c r="J999" s="6" t="s">
        <v>47</v>
      </c>
      <c r="K999" s="38">
        <v>72891</v>
      </c>
      <c r="L999" s="4" t="s">
        <v>29</v>
      </c>
      <c r="M999" s="11">
        <f>_xlfn.NUMBERVALUE(LEFT(Table613[[#This Row],[Fiscal Year]], 4))</f>
        <v>2015</v>
      </c>
      <c r="N999" s="42">
        <f>K999*(1+VLOOKUP(M999,$AF$8:$AH$31,3,0))</f>
        <v>77390.865911392408</v>
      </c>
      <c r="O999" s="3">
        <v>997</v>
      </c>
    </row>
    <row r="1000" spans="1:15" x14ac:dyDescent="0.25">
      <c r="A1000" s="3">
        <v>4</v>
      </c>
      <c r="B1000" s="3" t="s">
        <v>187</v>
      </c>
      <c r="C1000" s="1" t="s">
        <v>12</v>
      </c>
      <c r="D1000" s="1" t="s">
        <v>444</v>
      </c>
      <c r="E1000" s="11" t="s">
        <v>144</v>
      </c>
      <c r="F1000" s="3" t="s">
        <v>8</v>
      </c>
      <c r="G1000" s="66" t="s">
        <v>67</v>
      </c>
      <c r="H1000" s="8"/>
      <c r="I1000" s="8"/>
      <c r="J1000" s="6" t="s">
        <v>455</v>
      </c>
      <c r="K1000" s="38">
        <v>0</v>
      </c>
      <c r="L1000" s="4" t="s">
        <v>29</v>
      </c>
      <c r="M1000" s="11">
        <f>_xlfn.NUMBERVALUE(LEFT(Table613[[#This Row],[Fiscal Year]], 4))</f>
        <v>2015</v>
      </c>
      <c r="N1000" s="43">
        <f t="shared" si="23"/>
        <v>0</v>
      </c>
      <c r="O1000" s="3">
        <v>998</v>
      </c>
    </row>
    <row r="1001" spans="1:15" x14ac:dyDescent="0.25">
      <c r="C1001" s="1"/>
      <c r="D1001" s="1"/>
      <c r="E1001" s="11"/>
      <c r="G1001" s="66"/>
      <c r="H1001" s="8"/>
      <c r="I1001" s="8"/>
      <c r="J1001" s="6"/>
      <c r="L1001" s="4"/>
      <c r="O1001" s="3">
        <v>999</v>
      </c>
    </row>
    <row r="1002" spans="1:15" x14ac:dyDescent="0.25">
      <c r="A1002" s="3">
        <v>4</v>
      </c>
      <c r="B1002" s="3" t="s">
        <v>188</v>
      </c>
      <c r="C1002" s="1" t="s">
        <v>12</v>
      </c>
      <c r="D1002" s="1" t="s">
        <v>444</v>
      </c>
      <c r="E1002" s="11" t="s">
        <v>144</v>
      </c>
      <c r="F1002" s="3" t="s">
        <v>8</v>
      </c>
      <c r="G1002" s="56" t="s">
        <v>829</v>
      </c>
      <c r="H1002" s="8"/>
      <c r="I1002" s="8"/>
      <c r="J1002" s="6" t="s">
        <v>110</v>
      </c>
      <c r="K1002" s="38">
        <v>244064</v>
      </c>
      <c r="L1002" s="4" t="s">
        <v>29</v>
      </c>
      <c r="M1002" s="11">
        <f>_xlfn.NUMBERVALUE(LEFT(Table613[[#This Row],[Fiscal Year]], 4))</f>
        <v>2015</v>
      </c>
      <c r="N1002" s="42">
        <f t="shared" si="23"/>
        <v>259131.09022784809</v>
      </c>
      <c r="O1002" s="3">
        <v>1000</v>
      </c>
    </row>
    <row r="1003" spans="1:15" x14ac:dyDescent="0.25">
      <c r="A1003" s="3">
        <v>4</v>
      </c>
      <c r="B1003" s="3" t="s">
        <v>188</v>
      </c>
      <c r="C1003" s="1" t="s">
        <v>12</v>
      </c>
      <c r="D1003" s="1" t="s">
        <v>444</v>
      </c>
      <c r="E1003" s="11" t="s">
        <v>144</v>
      </c>
      <c r="F1003" s="3" t="s">
        <v>8</v>
      </c>
      <c r="G1003" s="66" t="s">
        <v>844</v>
      </c>
      <c r="H1003" s="8"/>
      <c r="I1003" s="8"/>
      <c r="J1003" s="6" t="s">
        <v>453</v>
      </c>
      <c r="K1003" s="38">
        <v>204113</v>
      </c>
      <c r="L1003" s="4" t="s">
        <v>29</v>
      </c>
      <c r="M1003" s="11">
        <f>_xlfn.NUMBERVALUE(LEFT(Table613[[#This Row],[Fiscal Year]], 4))</f>
        <v>2015</v>
      </c>
      <c r="N1003" s="42">
        <f t="shared" si="23"/>
        <v>216713.74811392403</v>
      </c>
      <c r="O1003" s="3">
        <v>1001</v>
      </c>
    </row>
    <row r="1004" spans="1:15" x14ac:dyDescent="0.25">
      <c r="A1004" s="3">
        <v>4</v>
      </c>
      <c r="B1004" s="3" t="s">
        <v>188</v>
      </c>
      <c r="C1004" s="1" t="s">
        <v>12</v>
      </c>
      <c r="D1004" s="1" t="s">
        <v>444</v>
      </c>
      <c r="E1004" s="11" t="s">
        <v>144</v>
      </c>
      <c r="F1004" s="3" t="s">
        <v>8</v>
      </c>
      <c r="G1004" s="66" t="s">
        <v>845</v>
      </c>
      <c r="H1004" s="8"/>
      <c r="I1004" s="8"/>
      <c r="J1004" s="6" t="s">
        <v>109</v>
      </c>
      <c r="K1004" s="38">
        <v>109637</v>
      </c>
      <c r="L1004" s="4" t="s">
        <v>29</v>
      </c>
      <c r="M1004" s="11">
        <f>_xlfn.NUMBERVALUE(LEFT(Table613[[#This Row],[Fiscal Year]], 4))</f>
        <v>2015</v>
      </c>
      <c r="N1004" s="42">
        <f t="shared" si="23"/>
        <v>116405.34998734176</v>
      </c>
      <c r="O1004" s="3">
        <v>1002</v>
      </c>
    </row>
    <row r="1005" spans="1:15" x14ac:dyDescent="0.25">
      <c r="A1005" s="3">
        <v>4</v>
      </c>
      <c r="B1005" s="3" t="s">
        <v>188</v>
      </c>
      <c r="C1005" s="1" t="s">
        <v>12</v>
      </c>
      <c r="D1005" s="1" t="s">
        <v>444</v>
      </c>
      <c r="E1005" s="11" t="s">
        <v>144</v>
      </c>
      <c r="F1005" s="3" t="s">
        <v>8</v>
      </c>
      <c r="G1005" s="48" t="s">
        <v>846</v>
      </c>
      <c r="H1005" s="8"/>
      <c r="I1005" s="8"/>
      <c r="J1005" s="6" t="s">
        <v>111</v>
      </c>
      <c r="K1005" s="38">
        <v>69683</v>
      </c>
      <c r="L1005" s="4" t="s">
        <v>29</v>
      </c>
      <c r="M1005" s="11">
        <f>_xlfn.NUMBERVALUE(LEFT(Table613[[#This Row],[Fiscal Year]], 4))</f>
        <v>2015</v>
      </c>
      <c r="N1005" s="42">
        <f t="shared" si="23"/>
        <v>73984.822670886075</v>
      </c>
      <c r="O1005" s="3">
        <v>1003</v>
      </c>
    </row>
    <row r="1006" spans="1:15" x14ac:dyDescent="0.25">
      <c r="A1006" s="3">
        <v>4</v>
      </c>
      <c r="B1006" s="3" t="s">
        <v>188</v>
      </c>
      <c r="C1006" s="1" t="s">
        <v>12</v>
      </c>
      <c r="D1006" s="1" t="s">
        <v>444</v>
      </c>
      <c r="E1006" s="11" t="s">
        <v>144</v>
      </c>
      <c r="F1006" s="3" t="s">
        <v>8</v>
      </c>
      <c r="G1006" s="66" t="s">
        <v>847</v>
      </c>
      <c r="H1006" s="8"/>
      <c r="I1006" s="8"/>
      <c r="J1006" s="6" t="s">
        <v>111</v>
      </c>
      <c r="K1006" s="38">
        <v>69683</v>
      </c>
      <c r="L1006" s="4" t="s">
        <v>29</v>
      </c>
      <c r="M1006" s="11">
        <f>_xlfn.NUMBERVALUE(LEFT(Table613[[#This Row],[Fiscal Year]], 4))</f>
        <v>2015</v>
      </c>
      <c r="N1006" s="42">
        <f t="shared" si="23"/>
        <v>73984.822670886075</v>
      </c>
      <c r="O1006" s="3">
        <v>1004</v>
      </c>
    </row>
    <row r="1007" spans="1:15" x14ac:dyDescent="0.25">
      <c r="A1007" s="3">
        <v>4</v>
      </c>
      <c r="B1007" s="3" t="s">
        <v>188</v>
      </c>
      <c r="C1007" s="1" t="s">
        <v>12</v>
      </c>
      <c r="D1007" s="1" t="s">
        <v>444</v>
      </c>
      <c r="E1007" s="11" t="s">
        <v>144</v>
      </c>
      <c r="F1007" s="3" t="s">
        <v>8</v>
      </c>
      <c r="G1007" s="48" t="s">
        <v>857</v>
      </c>
      <c r="H1007" s="8"/>
      <c r="I1007" s="8"/>
      <c r="J1007" s="6" t="s">
        <v>108</v>
      </c>
      <c r="K1007" s="38">
        <v>996831</v>
      </c>
      <c r="L1007" s="4" t="s">
        <v>29</v>
      </c>
      <c r="M1007" s="11">
        <f>_xlfn.NUMBERVALUE(LEFT(Table613[[#This Row],[Fiscal Year]], 4))</f>
        <v>2015</v>
      </c>
      <c r="N1007" s="42">
        <f t="shared" si="23"/>
        <v>1058369.5416075948</v>
      </c>
      <c r="O1007" s="3">
        <v>1005</v>
      </c>
    </row>
    <row r="1008" spans="1:15" x14ac:dyDescent="0.25">
      <c r="A1008" s="3">
        <v>4</v>
      </c>
      <c r="B1008" s="3" t="s">
        <v>188</v>
      </c>
      <c r="C1008" s="1" t="s">
        <v>12</v>
      </c>
      <c r="D1008" s="1" t="s">
        <v>444</v>
      </c>
      <c r="E1008" s="11" t="s">
        <v>144</v>
      </c>
      <c r="F1008" s="3" t="s">
        <v>8</v>
      </c>
      <c r="G1008" s="66" t="s">
        <v>849</v>
      </c>
      <c r="H1008" s="8"/>
      <c r="I1008" s="8"/>
      <c r="J1008" s="6" t="s">
        <v>106</v>
      </c>
      <c r="K1008" s="38">
        <v>132489</v>
      </c>
      <c r="L1008" s="4" t="s">
        <v>29</v>
      </c>
      <c r="M1008" s="11">
        <f>_xlfn.NUMBERVALUE(LEFT(Table613[[#This Row],[Fiscal Year]], 4))</f>
        <v>2015</v>
      </c>
      <c r="N1008" s="42">
        <f t="shared" si="23"/>
        <v>140668.09940506329</v>
      </c>
      <c r="O1008" s="3">
        <v>1006</v>
      </c>
    </row>
    <row r="1009" spans="1:15" x14ac:dyDescent="0.25">
      <c r="A1009" s="3">
        <v>4</v>
      </c>
      <c r="B1009" s="3" t="s">
        <v>188</v>
      </c>
      <c r="C1009" s="1" t="s">
        <v>12</v>
      </c>
      <c r="D1009" s="1" t="s">
        <v>444</v>
      </c>
      <c r="E1009" s="11" t="s">
        <v>144</v>
      </c>
      <c r="F1009" s="3" t="s">
        <v>8</v>
      </c>
      <c r="G1009" s="66" t="s">
        <v>850</v>
      </c>
      <c r="H1009" s="8"/>
      <c r="I1009" s="8"/>
      <c r="J1009" s="6" t="s">
        <v>455</v>
      </c>
      <c r="K1009" s="38">
        <v>1586895</v>
      </c>
      <c r="L1009" s="4" t="s">
        <v>29</v>
      </c>
      <c r="M1009" s="11">
        <f>_xlfn.NUMBERVALUE(LEFT(Table613[[#This Row],[Fiscal Year]], 4))</f>
        <v>2015</v>
      </c>
      <c r="N1009" s="42">
        <f t="shared" si="23"/>
        <v>1684860.6571518986</v>
      </c>
      <c r="O1009" s="3">
        <v>1007</v>
      </c>
    </row>
    <row r="1010" spans="1:15" x14ac:dyDescent="0.25">
      <c r="A1010" s="3">
        <v>4</v>
      </c>
      <c r="B1010" s="3" t="s">
        <v>188</v>
      </c>
      <c r="C1010" s="1" t="s">
        <v>12</v>
      </c>
      <c r="D1010" s="1" t="s">
        <v>444</v>
      </c>
      <c r="E1010" s="11" t="s">
        <v>144</v>
      </c>
      <c r="F1010" s="3" t="s">
        <v>8</v>
      </c>
      <c r="G1010" s="66" t="s">
        <v>851</v>
      </c>
      <c r="H1010" s="8"/>
      <c r="I1010" s="8"/>
      <c r="J1010" s="6" t="s">
        <v>76</v>
      </c>
      <c r="K1010" s="38">
        <v>44595</v>
      </c>
      <c r="L1010" s="4" t="s">
        <v>29</v>
      </c>
      <c r="M1010" s="11">
        <f>_xlfn.NUMBERVALUE(LEFT(Table613[[#This Row],[Fiscal Year]], 4))</f>
        <v>2015</v>
      </c>
      <c r="N1010" s="42">
        <f t="shared" si="23"/>
        <v>47348.035632911393</v>
      </c>
      <c r="O1010" s="3">
        <v>1008</v>
      </c>
    </row>
    <row r="1011" spans="1:15" x14ac:dyDescent="0.25">
      <c r="A1011" s="3">
        <v>4</v>
      </c>
      <c r="B1011" s="3" t="s">
        <v>188</v>
      </c>
      <c r="C1011" s="1" t="s">
        <v>12</v>
      </c>
      <c r="D1011" s="1" t="s">
        <v>444</v>
      </c>
      <c r="E1011" s="11" t="s">
        <v>144</v>
      </c>
      <c r="F1011" s="3" t="s">
        <v>8</v>
      </c>
      <c r="G1011" s="66" t="s">
        <v>852</v>
      </c>
      <c r="H1011" s="8"/>
      <c r="I1011" s="8"/>
      <c r="J1011" s="6" t="s">
        <v>76</v>
      </c>
      <c r="K1011" s="38">
        <v>25432</v>
      </c>
      <c r="L1011" s="4" t="s">
        <v>29</v>
      </c>
      <c r="M1011" s="11">
        <f>_xlfn.NUMBERVALUE(LEFT(Table613[[#This Row],[Fiscal Year]], 4))</f>
        <v>2015</v>
      </c>
      <c r="N1011" s="42">
        <f t="shared" si="23"/>
        <v>27002.023594936709</v>
      </c>
      <c r="O1011" s="3">
        <v>1009</v>
      </c>
    </row>
    <row r="1012" spans="1:15" x14ac:dyDescent="0.25">
      <c r="A1012" s="3">
        <v>4</v>
      </c>
      <c r="B1012" s="3" t="s">
        <v>188</v>
      </c>
      <c r="C1012" s="1" t="s">
        <v>12</v>
      </c>
      <c r="D1012" s="1" t="s">
        <v>444</v>
      </c>
      <c r="E1012" s="11" t="s">
        <v>144</v>
      </c>
      <c r="F1012" s="3" t="s">
        <v>8</v>
      </c>
      <c r="G1012" s="48" t="s">
        <v>853</v>
      </c>
      <c r="H1012" s="8"/>
      <c r="I1012" s="8"/>
      <c r="J1012" s="6" t="s">
        <v>76</v>
      </c>
      <c r="K1012" s="38">
        <v>0</v>
      </c>
      <c r="L1012" s="4" t="s">
        <v>29</v>
      </c>
      <c r="M1012" s="11">
        <f>_xlfn.NUMBERVALUE(LEFT(Table613[[#This Row],[Fiscal Year]], 4))</f>
        <v>2015</v>
      </c>
      <c r="N1012" s="43">
        <f t="shared" si="23"/>
        <v>0</v>
      </c>
      <c r="O1012" s="3">
        <v>1010</v>
      </c>
    </row>
    <row r="1013" spans="1:15" x14ac:dyDescent="0.25">
      <c r="A1013" s="3">
        <v>4</v>
      </c>
      <c r="B1013" s="3" t="s">
        <v>188</v>
      </c>
      <c r="C1013" s="1" t="s">
        <v>12</v>
      </c>
      <c r="D1013" s="1" t="s">
        <v>444</v>
      </c>
      <c r="E1013" s="11" t="s">
        <v>144</v>
      </c>
      <c r="F1013" s="3" t="s">
        <v>8</v>
      </c>
      <c r="G1013" s="63" t="s">
        <v>854</v>
      </c>
      <c r="H1013" s="8"/>
      <c r="I1013" s="8"/>
      <c r="J1013" s="6" t="s">
        <v>47</v>
      </c>
      <c r="K1013" s="38">
        <v>54892</v>
      </c>
      <c r="L1013" s="4" t="s">
        <v>29</v>
      </c>
      <c r="M1013" s="11">
        <f>_xlfn.NUMBERVALUE(LEFT(Table613[[#This Row],[Fiscal Year]], 4))</f>
        <v>2015</v>
      </c>
      <c r="N1013" s="42">
        <f t="shared" si="23"/>
        <v>58280.712455696201</v>
      </c>
      <c r="O1013" s="3">
        <v>1011</v>
      </c>
    </row>
    <row r="1014" spans="1:15" x14ac:dyDescent="0.25">
      <c r="A1014" s="3">
        <v>4</v>
      </c>
      <c r="B1014" s="3" t="s">
        <v>188</v>
      </c>
      <c r="C1014" s="1" t="s">
        <v>12</v>
      </c>
      <c r="D1014" s="1" t="s">
        <v>444</v>
      </c>
      <c r="E1014" s="11" t="s">
        <v>144</v>
      </c>
      <c r="F1014" s="3" t="s">
        <v>8</v>
      </c>
      <c r="G1014" s="63" t="s">
        <v>855</v>
      </c>
      <c r="H1014" s="8"/>
      <c r="I1014" s="8"/>
      <c r="J1014" s="6" t="s">
        <v>455</v>
      </c>
      <c r="K1014" s="38">
        <v>72535</v>
      </c>
      <c r="L1014" s="4" t="s">
        <v>29</v>
      </c>
      <c r="M1014" s="11">
        <f>_xlfn.NUMBERVALUE(LEFT(Table613[[#This Row],[Fiscal Year]], 4))</f>
        <v>2015</v>
      </c>
      <c r="N1014" s="42">
        <f t="shared" si="23"/>
        <v>77012.888544303787</v>
      </c>
      <c r="O1014" s="3">
        <v>1012</v>
      </c>
    </row>
    <row r="1015" spans="1:15" x14ac:dyDescent="0.25">
      <c r="C1015" s="1"/>
      <c r="D1015" s="1"/>
      <c r="E1015" s="11"/>
      <c r="G1015" s="66"/>
      <c r="H1015" s="8"/>
      <c r="I1015" s="8"/>
      <c r="J1015" s="6"/>
      <c r="L1015" s="4"/>
      <c r="O1015" s="3">
        <v>1013</v>
      </c>
    </row>
    <row r="1016" spans="1:15" x14ac:dyDescent="0.25">
      <c r="A1016" s="3">
        <v>4</v>
      </c>
      <c r="B1016" s="25" t="s">
        <v>220</v>
      </c>
      <c r="C1016" s="1" t="s">
        <v>12</v>
      </c>
      <c r="D1016" s="1" t="s">
        <v>444</v>
      </c>
      <c r="E1016" s="11" t="s">
        <v>144</v>
      </c>
      <c r="F1016" s="3" t="s">
        <v>8</v>
      </c>
      <c r="G1016" s="48" t="s">
        <v>32</v>
      </c>
      <c r="H1016" s="8"/>
      <c r="I1016" s="8"/>
      <c r="J1016" s="6" t="s">
        <v>110</v>
      </c>
      <c r="K1016" s="38">
        <v>300000</v>
      </c>
      <c r="L1016" s="4" t="s">
        <v>29</v>
      </c>
      <c r="M1016" s="11">
        <f>_xlfn.NUMBERVALUE(LEFT(Table613[[#This Row],[Fiscal Year]], 4))</f>
        <v>2015</v>
      </c>
      <c r="N1016" s="42">
        <f t="shared" si="23"/>
        <v>318520.25316455693</v>
      </c>
      <c r="O1016" s="3">
        <v>1014</v>
      </c>
    </row>
    <row r="1017" spans="1:15" x14ac:dyDescent="0.25">
      <c r="A1017" s="3">
        <v>4</v>
      </c>
      <c r="B1017" s="25" t="s">
        <v>220</v>
      </c>
      <c r="C1017" s="1" t="s">
        <v>12</v>
      </c>
      <c r="D1017" s="1" t="s">
        <v>444</v>
      </c>
      <c r="E1017" s="11" t="s">
        <v>144</v>
      </c>
      <c r="F1017" s="3" t="s">
        <v>8</v>
      </c>
      <c r="G1017" s="66" t="s">
        <v>58</v>
      </c>
      <c r="H1017" s="8"/>
      <c r="I1017" s="8"/>
      <c r="J1017" s="6" t="s">
        <v>453</v>
      </c>
      <c r="K1017" s="38">
        <v>1000</v>
      </c>
      <c r="L1017" s="4" t="s">
        <v>29</v>
      </c>
      <c r="M1017" s="11">
        <f>_xlfn.NUMBERVALUE(LEFT(Table613[[#This Row],[Fiscal Year]], 4))</f>
        <v>2015</v>
      </c>
      <c r="N1017" s="42">
        <f t="shared" si="23"/>
        <v>1061.7341772151899</v>
      </c>
      <c r="O1017" s="3">
        <v>1015</v>
      </c>
    </row>
    <row r="1018" spans="1:15" x14ac:dyDescent="0.25">
      <c r="A1018" s="3">
        <v>4</v>
      </c>
      <c r="B1018" s="25" t="s">
        <v>220</v>
      </c>
      <c r="C1018" s="1" t="s">
        <v>12</v>
      </c>
      <c r="D1018" s="1" t="s">
        <v>444</v>
      </c>
      <c r="E1018" s="11" t="s">
        <v>144</v>
      </c>
      <c r="F1018" s="3" t="s">
        <v>8</v>
      </c>
      <c r="G1018" s="66" t="s">
        <v>208</v>
      </c>
      <c r="H1018" s="8"/>
      <c r="I1018" s="8"/>
      <c r="J1018" s="6" t="s">
        <v>109</v>
      </c>
      <c r="K1018" s="38">
        <v>30000</v>
      </c>
      <c r="L1018" s="4" t="s">
        <v>29</v>
      </c>
      <c r="M1018" s="11">
        <f>_xlfn.NUMBERVALUE(LEFT(Table613[[#This Row],[Fiscal Year]], 4))</f>
        <v>2015</v>
      </c>
      <c r="N1018" s="42">
        <f t="shared" si="23"/>
        <v>31852.025316455696</v>
      </c>
      <c r="O1018" s="3">
        <v>1016</v>
      </c>
    </row>
    <row r="1019" spans="1:15" x14ac:dyDescent="0.25">
      <c r="A1019" s="3">
        <v>4</v>
      </c>
      <c r="B1019" s="25" t="s">
        <v>220</v>
      </c>
      <c r="C1019" s="1" t="s">
        <v>12</v>
      </c>
      <c r="D1019" s="1" t="s">
        <v>444</v>
      </c>
      <c r="E1019" s="11" t="s">
        <v>144</v>
      </c>
      <c r="F1019" s="3" t="s">
        <v>8</v>
      </c>
      <c r="G1019" s="48" t="s">
        <v>59</v>
      </c>
      <c r="H1019" s="8"/>
      <c r="I1019" s="8"/>
      <c r="J1019" s="6" t="s">
        <v>111</v>
      </c>
      <c r="K1019" s="38">
        <v>30000</v>
      </c>
      <c r="L1019" s="4" t="s">
        <v>29</v>
      </c>
      <c r="M1019" s="11">
        <f>_xlfn.NUMBERVALUE(LEFT(Table613[[#This Row],[Fiscal Year]], 4))</f>
        <v>2015</v>
      </c>
      <c r="N1019" s="42">
        <f t="shared" si="23"/>
        <v>31852.025316455696</v>
      </c>
      <c r="O1019" s="3">
        <v>1017</v>
      </c>
    </row>
    <row r="1020" spans="1:15" x14ac:dyDescent="0.25">
      <c r="A1020" s="3">
        <v>4</v>
      </c>
      <c r="B1020" s="25" t="s">
        <v>220</v>
      </c>
      <c r="C1020" s="1" t="s">
        <v>12</v>
      </c>
      <c r="D1020" s="1" t="s">
        <v>444</v>
      </c>
      <c r="E1020" s="11" t="s">
        <v>144</v>
      </c>
      <c r="F1020" s="3" t="s">
        <v>8</v>
      </c>
      <c r="G1020" s="66" t="s">
        <v>60</v>
      </c>
      <c r="H1020" s="8"/>
      <c r="I1020" s="8"/>
      <c r="J1020" s="6" t="s">
        <v>111</v>
      </c>
      <c r="K1020" s="38">
        <v>20000</v>
      </c>
      <c r="L1020" s="4" t="s">
        <v>29</v>
      </c>
      <c r="M1020" s="11">
        <f>_xlfn.NUMBERVALUE(LEFT(Table613[[#This Row],[Fiscal Year]], 4))</f>
        <v>2015</v>
      </c>
      <c r="N1020" s="42">
        <f t="shared" si="23"/>
        <v>21234.683544303796</v>
      </c>
      <c r="O1020" s="3">
        <v>1018</v>
      </c>
    </row>
    <row r="1021" spans="1:15" x14ac:dyDescent="0.25">
      <c r="A1021" s="3">
        <v>4</v>
      </c>
      <c r="B1021" s="25" t="s">
        <v>220</v>
      </c>
      <c r="C1021" s="1" t="s">
        <v>12</v>
      </c>
      <c r="D1021" s="1" t="s">
        <v>444</v>
      </c>
      <c r="E1021" s="11" t="s">
        <v>144</v>
      </c>
      <c r="F1021" s="3" t="s">
        <v>8</v>
      </c>
      <c r="G1021" s="48" t="s">
        <v>61</v>
      </c>
      <c r="H1021" s="8"/>
      <c r="I1021" s="8"/>
      <c r="J1021" s="6" t="s">
        <v>108</v>
      </c>
      <c r="K1021" s="38">
        <v>200000</v>
      </c>
      <c r="L1021" s="4" t="s">
        <v>29</v>
      </c>
      <c r="M1021" s="11">
        <f>_xlfn.NUMBERVALUE(LEFT(Table613[[#This Row],[Fiscal Year]], 4))</f>
        <v>2015</v>
      </c>
      <c r="N1021" s="42">
        <f t="shared" si="23"/>
        <v>212346.83544303797</v>
      </c>
      <c r="O1021" s="3">
        <v>1019</v>
      </c>
    </row>
    <row r="1022" spans="1:15" x14ac:dyDescent="0.25">
      <c r="A1022" s="3">
        <v>4</v>
      </c>
      <c r="B1022" s="25" t="s">
        <v>220</v>
      </c>
      <c r="C1022" s="1" t="s">
        <v>12</v>
      </c>
      <c r="D1022" s="1" t="s">
        <v>444</v>
      </c>
      <c r="E1022" s="11" t="s">
        <v>144</v>
      </c>
      <c r="F1022" s="3" t="s">
        <v>8</v>
      </c>
      <c r="G1022" s="66" t="s">
        <v>62</v>
      </c>
      <c r="H1022" s="8"/>
      <c r="I1022" s="8"/>
      <c r="J1022" s="6" t="s">
        <v>106</v>
      </c>
      <c r="K1022" s="38">
        <v>10000</v>
      </c>
      <c r="L1022" s="4" t="s">
        <v>29</v>
      </c>
      <c r="M1022" s="11">
        <f>_xlfn.NUMBERVALUE(LEFT(Table613[[#This Row],[Fiscal Year]], 4))</f>
        <v>2015</v>
      </c>
      <c r="N1022" s="42">
        <f t="shared" si="23"/>
        <v>10617.341772151898</v>
      </c>
      <c r="O1022" s="3">
        <v>1020</v>
      </c>
    </row>
    <row r="1023" spans="1:15" x14ac:dyDescent="0.25">
      <c r="A1023" s="3">
        <v>4</v>
      </c>
      <c r="B1023" s="25" t="s">
        <v>220</v>
      </c>
      <c r="C1023" s="1" t="s">
        <v>12</v>
      </c>
      <c r="D1023" s="1" t="s">
        <v>444</v>
      </c>
      <c r="E1023" s="11" t="s">
        <v>144</v>
      </c>
      <c r="F1023" s="3" t="s">
        <v>8</v>
      </c>
      <c r="G1023" s="66" t="s">
        <v>211</v>
      </c>
      <c r="H1023" s="8"/>
      <c r="I1023" s="8"/>
      <c r="J1023" s="6" t="s">
        <v>455</v>
      </c>
      <c r="K1023" s="38">
        <v>5000</v>
      </c>
      <c r="L1023" s="4" t="s">
        <v>29</v>
      </c>
      <c r="M1023" s="11">
        <f>_xlfn.NUMBERVALUE(LEFT(Table613[[#This Row],[Fiscal Year]], 4))</f>
        <v>2015</v>
      </c>
      <c r="N1023" s="42">
        <f t="shared" si="23"/>
        <v>5308.6708860759491</v>
      </c>
      <c r="O1023" s="3">
        <v>1021</v>
      </c>
    </row>
    <row r="1024" spans="1:15" x14ac:dyDescent="0.25">
      <c r="A1024" s="3">
        <v>4</v>
      </c>
      <c r="B1024" s="25" t="s">
        <v>220</v>
      </c>
      <c r="C1024" s="1" t="s">
        <v>12</v>
      </c>
      <c r="D1024" s="1" t="s">
        <v>444</v>
      </c>
      <c r="E1024" s="11" t="s">
        <v>144</v>
      </c>
      <c r="F1024" s="3" t="s">
        <v>8</v>
      </c>
      <c r="G1024" s="66" t="s">
        <v>64</v>
      </c>
      <c r="H1024" s="8"/>
      <c r="I1024" s="8"/>
      <c r="J1024" s="6" t="s">
        <v>76</v>
      </c>
      <c r="K1024" s="38" t="s">
        <v>827</v>
      </c>
      <c r="L1024" s="4" t="s">
        <v>29</v>
      </c>
      <c r="M1024" s="11">
        <f>_xlfn.NUMBERVALUE(LEFT(Table613[[#This Row],[Fiscal Year]], 4))</f>
        <v>2015</v>
      </c>
      <c r="O1024" s="3">
        <v>1022</v>
      </c>
    </row>
    <row r="1025" spans="1:15" x14ac:dyDescent="0.25">
      <c r="A1025" s="3">
        <v>4</v>
      </c>
      <c r="B1025" s="25" t="s">
        <v>220</v>
      </c>
      <c r="C1025" s="1" t="s">
        <v>12</v>
      </c>
      <c r="D1025" s="1" t="s">
        <v>444</v>
      </c>
      <c r="E1025" s="11" t="s">
        <v>144</v>
      </c>
      <c r="F1025" s="3" t="s">
        <v>8</v>
      </c>
      <c r="G1025" s="66" t="s">
        <v>65</v>
      </c>
      <c r="H1025" s="8"/>
      <c r="I1025" s="8"/>
      <c r="J1025" s="6" t="s">
        <v>76</v>
      </c>
      <c r="K1025" s="38" t="s">
        <v>827</v>
      </c>
      <c r="L1025" s="4" t="s">
        <v>29</v>
      </c>
      <c r="M1025" s="11">
        <f>_xlfn.NUMBERVALUE(LEFT(Table613[[#This Row],[Fiscal Year]], 4))</f>
        <v>2015</v>
      </c>
      <c r="O1025" s="3">
        <v>1023</v>
      </c>
    </row>
    <row r="1026" spans="1:15" x14ac:dyDescent="0.25">
      <c r="A1026" s="3">
        <v>4</v>
      </c>
      <c r="B1026" s="25" t="s">
        <v>220</v>
      </c>
      <c r="C1026" s="1" t="s">
        <v>12</v>
      </c>
      <c r="D1026" s="1" t="s">
        <v>444</v>
      </c>
      <c r="E1026" s="11" t="s">
        <v>144</v>
      </c>
      <c r="F1026" s="3" t="s">
        <v>8</v>
      </c>
      <c r="G1026" s="48" t="s">
        <v>66</v>
      </c>
      <c r="H1026" s="8"/>
      <c r="I1026" s="8"/>
      <c r="J1026" s="6" t="s">
        <v>76</v>
      </c>
      <c r="K1026" s="38" t="s">
        <v>827</v>
      </c>
      <c r="L1026" s="4" t="s">
        <v>29</v>
      </c>
      <c r="M1026" s="11">
        <f>_xlfn.NUMBERVALUE(LEFT(Table613[[#This Row],[Fiscal Year]], 4))</f>
        <v>2015</v>
      </c>
      <c r="O1026" s="3">
        <v>1024</v>
      </c>
    </row>
    <row r="1027" spans="1:15" x14ac:dyDescent="0.25">
      <c r="A1027" s="3">
        <v>4</v>
      </c>
      <c r="B1027" s="25" t="s">
        <v>220</v>
      </c>
      <c r="C1027" s="1" t="s">
        <v>12</v>
      </c>
      <c r="D1027" s="1" t="s">
        <v>444</v>
      </c>
      <c r="E1027" s="11" t="s">
        <v>144</v>
      </c>
      <c r="F1027" s="3" t="s">
        <v>8</v>
      </c>
      <c r="G1027" s="66" t="s">
        <v>33</v>
      </c>
      <c r="H1027" s="8"/>
      <c r="I1027" s="8"/>
      <c r="J1027" s="6" t="s">
        <v>47</v>
      </c>
      <c r="K1027" s="38">
        <v>97000</v>
      </c>
      <c r="L1027" s="4" t="s">
        <v>29</v>
      </c>
      <c r="M1027" s="11">
        <f>_xlfn.NUMBERVALUE(LEFT(Table613[[#This Row],[Fiscal Year]], 4))</f>
        <v>2015</v>
      </c>
      <c r="N1027" s="42">
        <f t="shared" si="23"/>
        <v>102988.21518987342</v>
      </c>
      <c r="O1027" s="3">
        <v>1025</v>
      </c>
    </row>
    <row r="1028" spans="1:15" x14ac:dyDescent="0.25">
      <c r="A1028" s="3">
        <v>4</v>
      </c>
      <c r="B1028" s="25" t="s">
        <v>220</v>
      </c>
      <c r="C1028" s="1" t="s">
        <v>12</v>
      </c>
      <c r="D1028" s="1" t="s">
        <v>444</v>
      </c>
      <c r="E1028" s="11" t="s">
        <v>144</v>
      </c>
      <c r="F1028" s="3" t="s">
        <v>8</v>
      </c>
      <c r="G1028" s="66" t="s">
        <v>67</v>
      </c>
      <c r="H1028" s="8"/>
      <c r="I1028" s="8"/>
      <c r="J1028" s="6" t="s">
        <v>455</v>
      </c>
      <c r="K1028" s="38">
        <v>30000</v>
      </c>
      <c r="L1028" s="4" t="s">
        <v>29</v>
      </c>
      <c r="M1028" s="11">
        <f>_xlfn.NUMBERVALUE(LEFT(Table613[[#This Row],[Fiscal Year]], 4))</f>
        <v>2015</v>
      </c>
      <c r="N1028" s="42">
        <f t="shared" si="23"/>
        <v>31852.025316455696</v>
      </c>
      <c r="O1028" s="3">
        <v>1026</v>
      </c>
    </row>
    <row r="1029" spans="1:15" x14ac:dyDescent="0.25">
      <c r="C1029" s="1"/>
      <c r="D1029" s="1"/>
      <c r="E1029" s="11"/>
      <c r="G1029" s="66"/>
      <c r="H1029" s="8"/>
      <c r="I1029" s="8"/>
      <c r="J1029" s="6"/>
      <c r="L1029" s="4"/>
      <c r="O1029" s="3">
        <v>1027</v>
      </c>
    </row>
    <row r="1030" spans="1:15" x14ac:dyDescent="0.25">
      <c r="A1030" s="3">
        <v>4</v>
      </c>
      <c r="B1030" s="3" t="s">
        <v>190</v>
      </c>
      <c r="C1030" s="1" t="s">
        <v>12</v>
      </c>
      <c r="D1030" s="1" t="s">
        <v>444</v>
      </c>
      <c r="E1030" s="11" t="s">
        <v>144</v>
      </c>
      <c r="F1030" s="3" t="s">
        <v>8</v>
      </c>
      <c r="G1030" s="48" t="s">
        <v>32</v>
      </c>
      <c r="H1030" s="8"/>
      <c r="I1030" s="8"/>
      <c r="J1030" s="6" t="s">
        <v>110</v>
      </c>
      <c r="K1030" s="38">
        <v>35000</v>
      </c>
      <c r="L1030" s="4" t="s">
        <v>29</v>
      </c>
      <c r="M1030" s="11">
        <f>_xlfn.NUMBERVALUE(LEFT(Table613[[#This Row],[Fiscal Year]], 4))</f>
        <v>2015</v>
      </c>
      <c r="N1030" s="42">
        <f t="shared" si="23"/>
        <v>37160.696202531646</v>
      </c>
      <c r="O1030" s="3">
        <v>1028</v>
      </c>
    </row>
    <row r="1031" spans="1:15" x14ac:dyDescent="0.25">
      <c r="A1031" s="3">
        <v>4</v>
      </c>
      <c r="B1031" s="3" t="s">
        <v>190</v>
      </c>
      <c r="C1031" s="1" t="s">
        <v>12</v>
      </c>
      <c r="D1031" s="1" t="s">
        <v>444</v>
      </c>
      <c r="E1031" s="11" t="s">
        <v>144</v>
      </c>
      <c r="F1031" s="3" t="s">
        <v>8</v>
      </c>
      <c r="G1031" s="66" t="s">
        <v>58</v>
      </c>
      <c r="H1031" s="8"/>
      <c r="I1031" s="8"/>
      <c r="J1031" s="6" t="s">
        <v>453</v>
      </c>
      <c r="K1031" s="38">
        <v>4565</v>
      </c>
      <c r="L1031" s="4" t="s">
        <v>29</v>
      </c>
      <c r="M1031" s="11">
        <f>_xlfn.NUMBERVALUE(LEFT(Table613[[#This Row],[Fiscal Year]], 4))</f>
        <v>2015</v>
      </c>
      <c r="N1031" s="42">
        <f t="shared" si="23"/>
        <v>4846.8165189873416</v>
      </c>
      <c r="O1031" s="3">
        <v>1029</v>
      </c>
    </row>
    <row r="1032" spans="1:15" x14ac:dyDescent="0.25">
      <c r="A1032" s="3">
        <v>4</v>
      </c>
      <c r="B1032" s="3" t="s">
        <v>190</v>
      </c>
      <c r="C1032" s="1" t="s">
        <v>12</v>
      </c>
      <c r="D1032" s="1" t="s">
        <v>444</v>
      </c>
      <c r="E1032" s="11" t="s">
        <v>144</v>
      </c>
      <c r="F1032" s="3" t="s">
        <v>8</v>
      </c>
      <c r="G1032" s="66" t="s">
        <v>208</v>
      </c>
      <c r="H1032" s="8"/>
      <c r="I1032" s="8"/>
      <c r="J1032" s="6" t="s">
        <v>109</v>
      </c>
      <c r="K1032" s="38">
        <v>16850</v>
      </c>
      <c r="L1032" s="4" t="s">
        <v>29</v>
      </c>
      <c r="M1032" s="11">
        <f>_xlfn.NUMBERVALUE(LEFT(Table613[[#This Row],[Fiscal Year]], 4))</f>
        <v>2015</v>
      </c>
      <c r="N1032" s="42">
        <f t="shared" si="23"/>
        <v>17890.220886075949</v>
      </c>
      <c r="O1032" s="3">
        <v>1030</v>
      </c>
    </row>
    <row r="1033" spans="1:15" x14ac:dyDescent="0.25">
      <c r="A1033" s="3">
        <v>4</v>
      </c>
      <c r="B1033" s="3" t="s">
        <v>190</v>
      </c>
      <c r="C1033" s="1" t="s">
        <v>12</v>
      </c>
      <c r="D1033" s="1" t="s">
        <v>444</v>
      </c>
      <c r="E1033" s="11" t="s">
        <v>144</v>
      </c>
      <c r="F1033" s="3" t="s">
        <v>8</v>
      </c>
      <c r="G1033" s="48" t="s">
        <v>59</v>
      </c>
      <c r="H1033" s="8"/>
      <c r="I1033" s="8"/>
      <c r="J1033" s="6" t="s">
        <v>111</v>
      </c>
      <c r="K1033" s="38">
        <v>0</v>
      </c>
      <c r="L1033" s="4" t="s">
        <v>29</v>
      </c>
      <c r="M1033" s="11">
        <f>_xlfn.NUMBERVALUE(LEFT(Table613[[#This Row],[Fiscal Year]], 4))</f>
        <v>2015</v>
      </c>
      <c r="N1033" s="43">
        <f t="shared" si="23"/>
        <v>0</v>
      </c>
      <c r="O1033" s="3">
        <v>1031</v>
      </c>
    </row>
    <row r="1034" spans="1:15" x14ac:dyDescent="0.25">
      <c r="A1034" s="3">
        <v>4</v>
      </c>
      <c r="B1034" s="3" t="s">
        <v>190</v>
      </c>
      <c r="C1034" s="1" t="s">
        <v>12</v>
      </c>
      <c r="D1034" s="1" t="s">
        <v>444</v>
      </c>
      <c r="E1034" s="11" t="s">
        <v>144</v>
      </c>
      <c r="F1034" s="3" t="s">
        <v>8</v>
      </c>
      <c r="G1034" s="66" t="s">
        <v>60</v>
      </c>
      <c r="H1034" s="8"/>
      <c r="I1034" s="8"/>
      <c r="J1034" s="6" t="s">
        <v>111</v>
      </c>
      <c r="K1034" s="38">
        <v>50000</v>
      </c>
      <c r="L1034" s="4" t="s">
        <v>29</v>
      </c>
      <c r="M1034" s="11">
        <f>_xlfn.NUMBERVALUE(LEFT(Table613[[#This Row],[Fiscal Year]], 4))</f>
        <v>2015</v>
      </c>
      <c r="N1034" s="42">
        <f t="shared" si="23"/>
        <v>53086.708860759492</v>
      </c>
      <c r="O1034" s="3">
        <v>1032</v>
      </c>
    </row>
    <row r="1035" spans="1:15" x14ac:dyDescent="0.25">
      <c r="A1035" s="3">
        <v>4</v>
      </c>
      <c r="B1035" s="3" t="s">
        <v>190</v>
      </c>
      <c r="C1035" s="1" t="s">
        <v>12</v>
      </c>
      <c r="D1035" s="1" t="s">
        <v>444</v>
      </c>
      <c r="E1035" s="11" t="s">
        <v>144</v>
      </c>
      <c r="F1035" s="3" t="s">
        <v>8</v>
      </c>
      <c r="G1035" s="48" t="s">
        <v>61</v>
      </c>
      <c r="H1035" s="8"/>
      <c r="I1035" s="8"/>
      <c r="J1035" s="6" t="s">
        <v>108</v>
      </c>
      <c r="K1035" s="38">
        <v>288000</v>
      </c>
      <c r="L1035" s="4" t="s">
        <v>29</v>
      </c>
      <c r="M1035" s="11">
        <f>_xlfn.NUMBERVALUE(LEFT(Table613[[#This Row],[Fiscal Year]], 4))</f>
        <v>2015</v>
      </c>
      <c r="N1035" s="42">
        <f t="shared" ref="N1035:N1098" si="24">K1035*(1+VLOOKUP(M1035,$AF$8:$AH$31,3,0))</f>
        <v>305779.44303797465</v>
      </c>
      <c r="O1035" s="3">
        <v>1033</v>
      </c>
    </row>
    <row r="1036" spans="1:15" x14ac:dyDescent="0.25">
      <c r="A1036" s="3">
        <v>4</v>
      </c>
      <c r="B1036" s="3" t="s">
        <v>190</v>
      </c>
      <c r="C1036" s="1" t="s">
        <v>12</v>
      </c>
      <c r="D1036" s="1" t="s">
        <v>444</v>
      </c>
      <c r="E1036" s="11" t="s">
        <v>144</v>
      </c>
      <c r="F1036" s="3" t="s">
        <v>8</v>
      </c>
      <c r="G1036" s="66" t="s">
        <v>62</v>
      </c>
      <c r="H1036" s="8"/>
      <c r="I1036" s="8"/>
      <c r="J1036" s="6" t="s">
        <v>106</v>
      </c>
      <c r="K1036" s="38">
        <v>2500</v>
      </c>
      <c r="L1036" s="4" t="s">
        <v>29</v>
      </c>
      <c r="M1036" s="11">
        <f>_xlfn.NUMBERVALUE(LEFT(Table613[[#This Row],[Fiscal Year]], 4))</f>
        <v>2015</v>
      </c>
      <c r="N1036" s="42">
        <f t="shared" si="24"/>
        <v>2654.3354430379745</v>
      </c>
      <c r="O1036" s="3">
        <v>1034</v>
      </c>
    </row>
    <row r="1037" spans="1:15" x14ac:dyDescent="0.25">
      <c r="A1037" s="3">
        <v>4</v>
      </c>
      <c r="B1037" s="3" t="s">
        <v>190</v>
      </c>
      <c r="C1037" s="1" t="s">
        <v>12</v>
      </c>
      <c r="D1037" s="1" t="s">
        <v>444</v>
      </c>
      <c r="E1037" s="11" t="s">
        <v>144</v>
      </c>
      <c r="F1037" s="3" t="s">
        <v>8</v>
      </c>
      <c r="G1037" s="66" t="s">
        <v>211</v>
      </c>
      <c r="H1037" s="8"/>
      <c r="I1037" s="8"/>
      <c r="J1037" s="6" t="s">
        <v>455</v>
      </c>
      <c r="K1037" s="38" t="s">
        <v>827</v>
      </c>
      <c r="L1037" s="4" t="s">
        <v>29</v>
      </c>
      <c r="M1037" s="11">
        <f>_xlfn.NUMBERVALUE(LEFT(Table613[[#This Row],[Fiscal Year]], 4))</f>
        <v>2015</v>
      </c>
      <c r="O1037" s="3">
        <v>1035</v>
      </c>
    </row>
    <row r="1038" spans="1:15" x14ac:dyDescent="0.25">
      <c r="A1038" s="3">
        <v>4</v>
      </c>
      <c r="B1038" s="3" t="s">
        <v>190</v>
      </c>
      <c r="C1038" s="1" t="s">
        <v>12</v>
      </c>
      <c r="D1038" s="1" t="s">
        <v>444</v>
      </c>
      <c r="E1038" s="11" t="s">
        <v>144</v>
      </c>
      <c r="F1038" s="3" t="s">
        <v>8</v>
      </c>
      <c r="G1038" s="66" t="s">
        <v>64</v>
      </c>
      <c r="H1038" s="8"/>
      <c r="I1038" s="8"/>
      <c r="J1038" s="6" t="s">
        <v>76</v>
      </c>
      <c r="K1038" s="38">
        <v>25000</v>
      </c>
      <c r="L1038" s="4" t="s">
        <v>29</v>
      </c>
      <c r="M1038" s="11">
        <f>_xlfn.NUMBERVALUE(LEFT(Table613[[#This Row],[Fiscal Year]], 4))</f>
        <v>2015</v>
      </c>
      <c r="N1038" s="42">
        <f t="shared" si="24"/>
        <v>26543.354430379746</v>
      </c>
      <c r="O1038" s="3">
        <v>1036</v>
      </c>
    </row>
    <row r="1039" spans="1:15" x14ac:dyDescent="0.25">
      <c r="A1039" s="3">
        <v>4</v>
      </c>
      <c r="B1039" s="3" t="s">
        <v>190</v>
      </c>
      <c r="C1039" s="1" t="s">
        <v>12</v>
      </c>
      <c r="D1039" s="1" t="s">
        <v>444</v>
      </c>
      <c r="E1039" s="11" t="s">
        <v>144</v>
      </c>
      <c r="F1039" s="3" t="s">
        <v>8</v>
      </c>
      <c r="G1039" s="66" t="s">
        <v>65</v>
      </c>
      <c r="H1039" s="8"/>
      <c r="I1039" s="8"/>
      <c r="J1039" s="6" t="s">
        <v>76</v>
      </c>
      <c r="K1039" s="38" t="s">
        <v>827</v>
      </c>
      <c r="L1039" s="4" t="s">
        <v>29</v>
      </c>
      <c r="M1039" s="11">
        <f>_xlfn.NUMBERVALUE(LEFT(Table613[[#This Row],[Fiscal Year]], 4))</f>
        <v>2015</v>
      </c>
      <c r="O1039" s="3">
        <v>1037</v>
      </c>
    </row>
    <row r="1040" spans="1:15" x14ac:dyDescent="0.25">
      <c r="A1040" s="3">
        <v>4</v>
      </c>
      <c r="B1040" s="3" t="s">
        <v>190</v>
      </c>
      <c r="C1040" s="1" t="s">
        <v>12</v>
      </c>
      <c r="D1040" s="1" t="s">
        <v>444</v>
      </c>
      <c r="E1040" s="11" t="s">
        <v>144</v>
      </c>
      <c r="F1040" s="3" t="s">
        <v>8</v>
      </c>
      <c r="G1040" s="48" t="s">
        <v>66</v>
      </c>
      <c r="H1040" s="8"/>
      <c r="I1040" s="8"/>
      <c r="J1040" s="6" t="s">
        <v>76</v>
      </c>
      <c r="K1040" s="38" t="s">
        <v>827</v>
      </c>
      <c r="L1040" s="4" t="s">
        <v>29</v>
      </c>
      <c r="M1040" s="11">
        <f>_xlfn.NUMBERVALUE(LEFT(Table613[[#This Row],[Fiscal Year]], 4))</f>
        <v>2015</v>
      </c>
      <c r="O1040" s="3">
        <v>1038</v>
      </c>
    </row>
    <row r="1041" spans="1:15" x14ac:dyDescent="0.25">
      <c r="A1041" s="3">
        <v>4</v>
      </c>
      <c r="B1041" s="3" t="s">
        <v>190</v>
      </c>
      <c r="C1041" s="1" t="s">
        <v>12</v>
      </c>
      <c r="D1041" s="1" t="s">
        <v>444</v>
      </c>
      <c r="E1041" s="11" t="s">
        <v>144</v>
      </c>
      <c r="F1041" s="3" t="s">
        <v>8</v>
      </c>
      <c r="G1041" s="66" t="s">
        <v>33</v>
      </c>
      <c r="H1041" s="8"/>
      <c r="I1041" s="8"/>
      <c r="J1041" s="6" t="s">
        <v>47</v>
      </c>
      <c r="K1041" s="38">
        <v>82421</v>
      </c>
      <c r="L1041" s="4" t="s">
        <v>29</v>
      </c>
      <c r="M1041" s="11">
        <f>_xlfn.NUMBERVALUE(LEFT(Table613[[#This Row],[Fiscal Year]], 4))</f>
        <v>2015</v>
      </c>
      <c r="N1041" s="42">
        <f t="shared" si="24"/>
        <v>87509.192620253161</v>
      </c>
      <c r="O1041" s="3">
        <v>1039</v>
      </c>
    </row>
    <row r="1042" spans="1:15" x14ac:dyDescent="0.25">
      <c r="A1042" s="3">
        <v>4</v>
      </c>
      <c r="B1042" s="3" t="s">
        <v>190</v>
      </c>
      <c r="C1042" s="1" t="s">
        <v>12</v>
      </c>
      <c r="D1042" s="1" t="s">
        <v>444</v>
      </c>
      <c r="E1042" s="11" t="s">
        <v>144</v>
      </c>
      <c r="F1042" s="3" t="s">
        <v>8</v>
      </c>
      <c r="G1042" s="66" t="s">
        <v>67</v>
      </c>
      <c r="H1042" s="8"/>
      <c r="I1042" s="8"/>
      <c r="J1042" s="6" t="s">
        <v>455</v>
      </c>
      <c r="K1042" s="38" t="s">
        <v>827</v>
      </c>
      <c r="L1042" s="4" t="s">
        <v>29</v>
      </c>
      <c r="M1042" s="11">
        <f>_xlfn.NUMBERVALUE(LEFT(Table613[[#This Row],[Fiscal Year]], 4))</f>
        <v>2015</v>
      </c>
      <c r="O1042" s="3">
        <v>1040</v>
      </c>
    </row>
    <row r="1043" spans="1:15" x14ac:dyDescent="0.25">
      <c r="C1043" s="1"/>
      <c r="D1043" s="1"/>
      <c r="E1043" s="11"/>
      <c r="G1043" s="66"/>
      <c r="H1043" s="8"/>
      <c r="I1043" s="8"/>
      <c r="J1043" s="6"/>
      <c r="L1043" s="4"/>
      <c r="O1043" s="3">
        <v>1041</v>
      </c>
    </row>
    <row r="1044" spans="1:15" x14ac:dyDescent="0.25">
      <c r="A1044" s="3">
        <v>4</v>
      </c>
      <c r="B1044" s="3" t="s">
        <v>191</v>
      </c>
      <c r="C1044" s="1" t="s">
        <v>12</v>
      </c>
      <c r="D1044" s="1" t="s">
        <v>444</v>
      </c>
      <c r="E1044" s="11" t="s">
        <v>144</v>
      </c>
      <c r="F1044" s="3" t="s">
        <v>8</v>
      </c>
      <c r="G1044" s="48" t="s">
        <v>32</v>
      </c>
      <c r="H1044" s="8"/>
      <c r="I1044" s="8"/>
      <c r="J1044" s="6" t="s">
        <v>110</v>
      </c>
      <c r="K1044" s="38">
        <v>40000</v>
      </c>
      <c r="L1044" s="4" t="s">
        <v>29</v>
      </c>
      <c r="M1044" s="11">
        <f>_xlfn.NUMBERVALUE(LEFT(Table613[[#This Row],[Fiscal Year]], 4))</f>
        <v>2015</v>
      </c>
      <c r="N1044" s="42">
        <f t="shared" si="24"/>
        <v>42469.367088607592</v>
      </c>
      <c r="O1044" s="3">
        <v>1042</v>
      </c>
    </row>
    <row r="1045" spans="1:15" x14ac:dyDescent="0.25">
      <c r="A1045" s="3">
        <v>4</v>
      </c>
      <c r="B1045" s="3" t="s">
        <v>191</v>
      </c>
      <c r="C1045" s="1" t="s">
        <v>12</v>
      </c>
      <c r="D1045" s="1" t="s">
        <v>444</v>
      </c>
      <c r="E1045" s="11" t="s">
        <v>144</v>
      </c>
      <c r="F1045" s="3" t="s">
        <v>8</v>
      </c>
      <c r="G1045" s="66" t="s">
        <v>58</v>
      </c>
      <c r="H1045" s="8"/>
      <c r="I1045" s="8"/>
      <c r="J1045" s="6" t="s">
        <v>453</v>
      </c>
      <c r="K1045" s="38">
        <v>1000</v>
      </c>
      <c r="L1045" s="4" t="s">
        <v>29</v>
      </c>
      <c r="M1045" s="11">
        <f>_xlfn.NUMBERVALUE(LEFT(Table613[[#This Row],[Fiscal Year]], 4))</f>
        <v>2015</v>
      </c>
      <c r="N1045" s="42">
        <f t="shared" si="24"/>
        <v>1061.7341772151899</v>
      </c>
      <c r="O1045" s="3">
        <v>1043</v>
      </c>
    </row>
    <row r="1046" spans="1:15" x14ac:dyDescent="0.25">
      <c r="A1046" s="3">
        <v>4</v>
      </c>
      <c r="B1046" s="3" t="s">
        <v>191</v>
      </c>
      <c r="C1046" s="1" t="s">
        <v>12</v>
      </c>
      <c r="D1046" s="1" t="s">
        <v>444</v>
      </c>
      <c r="E1046" s="11" t="s">
        <v>144</v>
      </c>
      <c r="F1046" s="3" t="s">
        <v>8</v>
      </c>
      <c r="G1046" s="66" t="s">
        <v>208</v>
      </c>
      <c r="H1046" s="8"/>
      <c r="I1046" s="8"/>
      <c r="J1046" s="6" t="s">
        <v>109</v>
      </c>
      <c r="K1046" s="38">
        <v>2500</v>
      </c>
      <c r="L1046" s="4" t="s">
        <v>29</v>
      </c>
      <c r="M1046" s="11">
        <f>_xlfn.NUMBERVALUE(LEFT(Table613[[#This Row],[Fiscal Year]], 4))</f>
        <v>2015</v>
      </c>
      <c r="N1046" s="42">
        <f t="shared" si="24"/>
        <v>2654.3354430379745</v>
      </c>
      <c r="O1046" s="3">
        <v>1044</v>
      </c>
    </row>
    <row r="1047" spans="1:15" x14ac:dyDescent="0.25">
      <c r="A1047" s="3">
        <v>4</v>
      </c>
      <c r="B1047" s="3" t="s">
        <v>191</v>
      </c>
      <c r="C1047" s="1" t="s">
        <v>12</v>
      </c>
      <c r="D1047" s="1" t="s">
        <v>444</v>
      </c>
      <c r="E1047" s="11" t="s">
        <v>144</v>
      </c>
      <c r="F1047" s="3" t="s">
        <v>8</v>
      </c>
      <c r="G1047" s="48" t="s">
        <v>59</v>
      </c>
      <c r="H1047" s="8"/>
      <c r="I1047" s="8"/>
      <c r="J1047" s="6" t="s">
        <v>111</v>
      </c>
      <c r="K1047" s="38">
        <v>0</v>
      </c>
      <c r="L1047" s="4" t="s">
        <v>29</v>
      </c>
      <c r="M1047" s="11">
        <f>_xlfn.NUMBERVALUE(LEFT(Table613[[#This Row],[Fiscal Year]], 4))</f>
        <v>2015</v>
      </c>
      <c r="N1047" s="43">
        <f t="shared" si="24"/>
        <v>0</v>
      </c>
      <c r="O1047" s="3">
        <v>1045</v>
      </c>
    </row>
    <row r="1048" spans="1:15" x14ac:dyDescent="0.25">
      <c r="A1048" s="3">
        <v>4</v>
      </c>
      <c r="B1048" s="3" t="s">
        <v>191</v>
      </c>
      <c r="C1048" s="1" t="s">
        <v>12</v>
      </c>
      <c r="D1048" s="1" t="s">
        <v>444</v>
      </c>
      <c r="E1048" s="11" t="s">
        <v>144</v>
      </c>
      <c r="F1048" s="3" t="s">
        <v>8</v>
      </c>
      <c r="G1048" s="66" t="s">
        <v>60</v>
      </c>
      <c r="H1048" s="8"/>
      <c r="I1048" s="8"/>
      <c r="J1048" s="6" t="s">
        <v>111</v>
      </c>
      <c r="K1048" s="38">
        <v>0</v>
      </c>
      <c r="L1048" s="4" t="s">
        <v>29</v>
      </c>
      <c r="M1048" s="11">
        <f>_xlfn.NUMBERVALUE(LEFT(Table613[[#This Row],[Fiscal Year]], 4))</f>
        <v>2015</v>
      </c>
      <c r="N1048" s="43">
        <f t="shared" si="24"/>
        <v>0</v>
      </c>
      <c r="O1048" s="3">
        <v>1046</v>
      </c>
    </row>
    <row r="1049" spans="1:15" x14ac:dyDescent="0.25">
      <c r="A1049" s="3">
        <v>4</v>
      </c>
      <c r="B1049" s="3" t="s">
        <v>191</v>
      </c>
      <c r="C1049" s="1" t="s">
        <v>12</v>
      </c>
      <c r="D1049" s="1" t="s">
        <v>444</v>
      </c>
      <c r="E1049" s="11" t="s">
        <v>144</v>
      </c>
      <c r="F1049" s="3" t="s">
        <v>8</v>
      </c>
      <c r="G1049" s="48" t="s">
        <v>61</v>
      </c>
      <c r="H1049" s="8"/>
      <c r="I1049" s="8"/>
      <c r="J1049" s="6" t="s">
        <v>108</v>
      </c>
      <c r="K1049" s="38">
        <v>3916533</v>
      </c>
      <c r="L1049" s="4" t="s">
        <v>29</v>
      </c>
      <c r="M1049" s="11">
        <f>_xlfn.NUMBERVALUE(LEFT(Table613[[#This Row],[Fiscal Year]], 4))</f>
        <v>2015</v>
      </c>
      <c r="N1049" s="42">
        <f>K1049*(1+VLOOKUP(M1049,$AF$8:$AH$31,3,0))</f>
        <v>4158316.9422911392</v>
      </c>
      <c r="O1049" s="3">
        <v>1047</v>
      </c>
    </row>
    <row r="1050" spans="1:15" x14ac:dyDescent="0.25">
      <c r="A1050" s="3">
        <v>4</v>
      </c>
      <c r="B1050" s="3" t="s">
        <v>191</v>
      </c>
      <c r="C1050" s="1" t="s">
        <v>12</v>
      </c>
      <c r="D1050" s="1" t="s">
        <v>444</v>
      </c>
      <c r="E1050" s="11" t="s">
        <v>144</v>
      </c>
      <c r="F1050" s="3" t="s">
        <v>8</v>
      </c>
      <c r="G1050" s="66" t="s">
        <v>62</v>
      </c>
      <c r="H1050" s="8"/>
      <c r="I1050" s="8"/>
      <c r="J1050" s="6" t="s">
        <v>106</v>
      </c>
      <c r="K1050" s="38">
        <v>0</v>
      </c>
      <c r="L1050" s="4" t="s">
        <v>29</v>
      </c>
      <c r="M1050" s="11">
        <f>_xlfn.NUMBERVALUE(LEFT(Table613[[#This Row],[Fiscal Year]], 4))</f>
        <v>2015</v>
      </c>
      <c r="N1050" s="43">
        <f t="shared" si="24"/>
        <v>0</v>
      </c>
      <c r="O1050" s="3">
        <v>1048</v>
      </c>
    </row>
    <row r="1051" spans="1:15" x14ac:dyDescent="0.25">
      <c r="A1051" s="3">
        <v>4</v>
      </c>
      <c r="B1051" s="3" t="s">
        <v>191</v>
      </c>
      <c r="C1051" s="1" t="s">
        <v>12</v>
      </c>
      <c r="D1051" s="1" t="s">
        <v>444</v>
      </c>
      <c r="E1051" s="11" t="s">
        <v>144</v>
      </c>
      <c r="F1051" s="3" t="s">
        <v>8</v>
      </c>
      <c r="G1051" s="66" t="s">
        <v>211</v>
      </c>
      <c r="H1051" s="8"/>
      <c r="I1051" s="8"/>
      <c r="J1051" s="6" t="s">
        <v>455</v>
      </c>
      <c r="K1051" s="38">
        <v>0</v>
      </c>
      <c r="L1051" s="4" t="s">
        <v>29</v>
      </c>
      <c r="M1051" s="11">
        <f>_xlfn.NUMBERVALUE(LEFT(Table613[[#This Row],[Fiscal Year]], 4))</f>
        <v>2015</v>
      </c>
      <c r="N1051" s="43">
        <f t="shared" si="24"/>
        <v>0</v>
      </c>
      <c r="O1051" s="3">
        <v>1049</v>
      </c>
    </row>
    <row r="1052" spans="1:15" x14ac:dyDescent="0.25">
      <c r="A1052" s="3">
        <v>4</v>
      </c>
      <c r="B1052" s="3" t="s">
        <v>191</v>
      </c>
      <c r="C1052" s="1" t="s">
        <v>12</v>
      </c>
      <c r="D1052" s="1" t="s">
        <v>444</v>
      </c>
      <c r="E1052" s="11" t="s">
        <v>144</v>
      </c>
      <c r="F1052" s="3" t="s">
        <v>8</v>
      </c>
      <c r="G1052" s="66" t="s">
        <v>64</v>
      </c>
      <c r="H1052" s="8"/>
      <c r="I1052" s="8"/>
      <c r="J1052" s="6" t="s">
        <v>76</v>
      </c>
      <c r="K1052" s="38">
        <v>0</v>
      </c>
      <c r="L1052" s="4" t="s">
        <v>29</v>
      </c>
      <c r="M1052" s="11">
        <f>_xlfn.NUMBERVALUE(LEFT(Table613[[#This Row],[Fiscal Year]], 4))</f>
        <v>2015</v>
      </c>
      <c r="N1052" s="43">
        <f t="shared" si="24"/>
        <v>0</v>
      </c>
      <c r="O1052" s="3">
        <v>1050</v>
      </c>
    </row>
    <row r="1053" spans="1:15" x14ac:dyDescent="0.25">
      <c r="A1053" s="3">
        <v>4</v>
      </c>
      <c r="B1053" s="3" t="s">
        <v>191</v>
      </c>
      <c r="C1053" s="1" t="s">
        <v>12</v>
      </c>
      <c r="D1053" s="1" t="s">
        <v>444</v>
      </c>
      <c r="E1053" s="11" t="s">
        <v>144</v>
      </c>
      <c r="F1053" s="3" t="s">
        <v>8</v>
      </c>
      <c r="G1053" s="66" t="s">
        <v>65</v>
      </c>
      <c r="H1053" s="8"/>
      <c r="I1053" s="8"/>
      <c r="J1053" s="6" t="s">
        <v>76</v>
      </c>
      <c r="K1053" s="38">
        <v>0</v>
      </c>
      <c r="L1053" s="4" t="s">
        <v>29</v>
      </c>
      <c r="M1053" s="11">
        <f>_xlfn.NUMBERVALUE(LEFT(Table613[[#This Row],[Fiscal Year]], 4))</f>
        <v>2015</v>
      </c>
      <c r="N1053" s="43">
        <f t="shared" si="24"/>
        <v>0</v>
      </c>
      <c r="O1053" s="3">
        <v>1051</v>
      </c>
    </row>
    <row r="1054" spans="1:15" x14ac:dyDescent="0.25">
      <c r="A1054" s="3">
        <v>4</v>
      </c>
      <c r="B1054" s="3" t="s">
        <v>191</v>
      </c>
      <c r="C1054" s="1" t="s">
        <v>12</v>
      </c>
      <c r="D1054" s="1" t="s">
        <v>444</v>
      </c>
      <c r="E1054" s="11" t="s">
        <v>144</v>
      </c>
      <c r="F1054" s="3" t="s">
        <v>8</v>
      </c>
      <c r="G1054" s="48" t="s">
        <v>66</v>
      </c>
      <c r="H1054" s="8"/>
      <c r="I1054" s="8"/>
      <c r="J1054" s="6" t="s">
        <v>76</v>
      </c>
      <c r="K1054" s="38">
        <v>0</v>
      </c>
      <c r="L1054" s="4" t="s">
        <v>29</v>
      </c>
      <c r="M1054" s="11">
        <f>_xlfn.NUMBERVALUE(LEFT(Table613[[#This Row],[Fiscal Year]], 4))</f>
        <v>2015</v>
      </c>
      <c r="N1054" s="43">
        <f t="shared" si="24"/>
        <v>0</v>
      </c>
      <c r="O1054" s="3">
        <v>1052</v>
      </c>
    </row>
    <row r="1055" spans="1:15" x14ac:dyDescent="0.25">
      <c r="A1055" s="3">
        <v>4</v>
      </c>
      <c r="B1055" s="3" t="s">
        <v>191</v>
      </c>
      <c r="C1055" s="1" t="s">
        <v>12</v>
      </c>
      <c r="D1055" s="1" t="s">
        <v>444</v>
      </c>
      <c r="E1055" s="11" t="s">
        <v>144</v>
      </c>
      <c r="F1055" s="3" t="s">
        <v>8</v>
      </c>
      <c r="G1055" s="66" t="s">
        <v>33</v>
      </c>
      <c r="H1055" s="8"/>
      <c r="I1055" s="8"/>
      <c r="J1055" s="6" t="s">
        <v>47</v>
      </c>
      <c r="K1055" s="38">
        <v>2500</v>
      </c>
      <c r="L1055" s="4" t="s">
        <v>29</v>
      </c>
      <c r="M1055" s="11">
        <f>_xlfn.NUMBERVALUE(LEFT(Table613[[#This Row],[Fiscal Year]], 4))</f>
        <v>2015</v>
      </c>
      <c r="N1055" s="42">
        <f t="shared" si="24"/>
        <v>2654.3354430379745</v>
      </c>
      <c r="O1055" s="3">
        <v>1053</v>
      </c>
    </row>
    <row r="1056" spans="1:15" x14ac:dyDescent="0.25">
      <c r="A1056" s="3">
        <v>4</v>
      </c>
      <c r="B1056" s="3" t="s">
        <v>191</v>
      </c>
      <c r="C1056" s="1" t="s">
        <v>12</v>
      </c>
      <c r="D1056" s="1" t="s">
        <v>444</v>
      </c>
      <c r="E1056" s="11" t="s">
        <v>144</v>
      </c>
      <c r="F1056" s="3" t="s">
        <v>8</v>
      </c>
      <c r="G1056" s="66" t="s">
        <v>67</v>
      </c>
      <c r="H1056" s="8"/>
      <c r="I1056" s="8"/>
      <c r="J1056" s="6" t="s">
        <v>455</v>
      </c>
      <c r="K1056" s="38">
        <v>15000</v>
      </c>
      <c r="L1056" s="4" t="s">
        <v>29</v>
      </c>
      <c r="M1056" s="11">
        <f>_xlfn.NUMBERVALUE(LEFT(Table613[[#This Row],[Fiscal Year]], 4))</f>
        <v>2015</v>
      </c>
      <c r="N1056" s="42">
        <f t="shared" si="24"/>
        <v>15926.012658227848</v>
      </c>
      <c r="O1056" s="3">
        <v>1054</v>
      </c>
    </row>
    <row r="1057" spans="1:15" x14ac:dyDescent="0.25">
      <c r="C1057" s="1"/>
      <c r="D1057" s="1"/>
      <c r="E1057" s="11"/>
      <c r="G1057" s="66"/>
      <c r="H1057" s="8"/>
      <c r="I1057" s="8"/>
      <c r="J1057" s="6"/>
      <c r="L1057" s="4"/>
      <c r="O1057" s="3">
        <v>1055</v>
      </c>
    </row>
    <row r="1058" spans="1:15" x14ac:dyDescent="0.25">
      <c r="A1058" s="3">
        <v>4</v>
      </c>
      <c r="B1058" s="3" t="s">
        <v>192</v>
      </c>
      <c r="C1058" s="1" t="s">
        <v>12</v>
      </c>
      <c r="D1058" s="1" t="s">
        <v>444</v>
      </c>
      <c r="E1058" s="11" t="s">
        <v>144</v>
      </c>
      <c r="F1058" s="3" t="s">
        <v>8</v>
      </c>
      <c r="G1058" s="48" t="s">
        <v>32</v>
      </c>
      <c r="H1058" s="8"/>
      <c r="I1058" s="8"/>
      <c r="J1058" s="6" t="s">
        <v>110</v>
      </c>
      <c r="K1058" s="38">
        <v>55003</v>
      </c>
      <c r="L1058" s="4" t="s">
        <v>29</v>
      </c>
      <c r="M1058" s="11">
        <f>_xlfn.NUMBERVALUE(LEFT(Table613[[#This Row],[Fiscal Year]], 4))</f>
        <v>2015</v>
      </c>
      <c r="N1058" s="42">
        <f t="shared" si="24"/>
        <v>58398.564949367086</v>
      </c>
      <c r="O1058" s="3">
        <v>1056</v>
      </c>
    </row>
    <row r="1059" spans="1:15" x14ac:dyDescent="0.25">
      <c r="A1059" s="3">
        <v>4</v>
      </c>
      <c r="B1059" s="3" t="s">
        <v>192</v>
      </c>
      <c r="C1059" s="1" t="s">
        <v>12</v>
      </c>
      <c r="D1059" s="1" t="s">
        <v>444</v>
      </c>
      <c r="E1059" s="11" t="s">
        <v>144</v>
      </c>
      <c r="F1059" s="3" t="s">
        <v>8</v>
      </c>
      <c r="G1059" s="66" t="s">
        <v>58</v>
      </c>
      <c r="H1059" s="8"/>
      <c r="I1059" s="8"/>
      <c r="J1059" s="6" t="s">
        <v>453</v>
      </c>
      <c r="K1059" s="38">
        <v>146779</v>
      </c>
      <c r="L1059" s="4" t="s">
        <v>29</v>
      </c>
      <c r="M1059" s="11">
        <f>_xlfn.NUMBERVALUE(LEFT(Table613[[#This Row],[Fiscal Year]], 4))</f>
        <v>2015</v>
      </c>
      <c r="N1059" s="42">
        <f t="shared" si="24"/>
        <v>155840.28079746835</v>
      </c>
      <c r="O1059" s="3">
        <v>1057</v>
      </c>
    </row>
    <row r="1060" spans="1:15" x14ac:dyDescent="0.25">
      <c r="A1060" s="3">
        <v>4</v>
      </c>
      <c r="B1060" s="3" t="s">
        <v>192</v>
      </c>
      <c r="C1060" s="1" t="s">
        <v>12</v>
      </c>
      <c r="D1060" s="1" t="s">
        <v>444</v>
      </c>
      <c r="E1060" s="11" t="s">
        <v>144</v>
      </c>
      <c r="F1060" s="3" t="s">
        <v>8</v>
      </c>
      <c r="G1060" s="66" t="s">
        <v>208</v>
      </c>
      <c r="H1060" s="8"/>
      <c r="I1060" s="8"/>
      <c r="J1060" s="6" t="s">
        <v>109</v>
      </c>
      <c r="K1060" s="38">
        <v>32530</v>
      </c>
      <c r="L1060" s="4" t="s">
        <v>29</v>
      </c>
      <c r="M1060" s="11">
        <f>_xlfn.NUMBERVALUE(LEFT(Table613[[#This Row],[Fiscal Year]], 4))</f>
        <v>2015</v>
      </c>
      <c r="N1060" s="42">
        <f t="shared" si="24"/>
        <v>34538.212784810123</v>
      </c>
      <c r="O1060" s="3">
        <v>1058</v>
      </c>
    </row>
    <row r="1061" spans="1:15" x14ac:dyDescent="0.25">
      <c r="A1061" s="3">
        <v>4</v>
      </c>
      <c r="B1061" s="3" t="s">
        <v>192</v>
      </c>
      <c r="C1061" s="1" t="s">
        <v>12</v>
      </c>
      <c r="D1061" s="1" t="s">
        <v>444</v>
      </c>
      <c r="E1061" s="11" t="s">
        <v>144</v>
      </c>
      <c r="F1061" s="3" t="s">
        <v>8</v>
      </c>
      <c r="G1061" s="48" t="s">
        <v>59</v>
      </c>
      <c r="H1061" s="8"/>
      <c r="I1061" s="8"/>
      <c r="J1061" s="6" t="s">
        <v>111</v>
      </c>
      <c r="K1061" s="38">
        <v>38224</v>
      </c>
      <c r="L1061" s="4" t="s">
        <v>29</v>
      </c>
      <c r="M1061" s="11">
        <f>_xlfn.NUMBERVALUE(LEFT(Table613[[#This Row],[Fiscal Year]], 4))</f>
        <v>2015</v>
      </c>
      <c r="N1061" s="42">
        <f t="shared" si="24"/>
        <v>40583.727189873418</v>
      </c>
      <c r="O1061" s="3">
        <v>1059</v>
      </c>
    </row>
    <row r="1062" spans="1:15" x14ac:dyDescent="0.25">
      <c r="A1062" s="3">
        <v>4</v>
      </c>
      <c r="B1062" s="3" t="s">
        <v>192</v>
      </c>
      <c r="C1062" s="1" t="s">
        <v>12</v>
      </c>
      <c r="D1062" s="1" t="s">
        <v>444</v>
      </c>
      <c r="E1062" s="11" t="s">
        <v>144</v>
      </c>
      <c r="F1062" s="3" t="s">
        <v>8</v>
      </c>
      <c r="G1062" s="66" t="s">
        <v>60</v>
      </c>
      <c r="H1062" s="8"/>
      <c r="I1062" s="8"/>
      <c r="J1062" s="6" t="s">
        <v>111</v>
      </c>
      <c r="K1062" s="38">
        <v>3966</v>
      </c>
      <c r="L1062" s="4" t="s">
        <v>29</v>
      </c>
      <c r="M1062" s="11">
        <f>_xlfn.NUMBERVALUE(LEFT(Table613[[#This Row],[Fiscal Year]], 4))</f>
        <v>2015</v>
      </c>
      <c r="N1062" s="42">
        <f t="shared" si="24"/>
        <v>4210.8377468354429</v>
      </c>
      <c r="O1062" s="3">
        <v>1060</v>
      </c>
    </row>
    <row r="1063" spans="1:15" x14ac:dyDescent="0.25">
      <c r="A1063" s="3">
        <v>4</v>
      </c>
      <c r="B1063" s="3" t="s">
        <v>192</v>
      </c>
      <c r="C1063" s="1" t="s">
        <v>12</v>
      </c>
      <c r="D1063" s="1" t="s">
        <v>444</v>
      </c>
      <c r="E1063" s="11" t="s">
        <v>144</v>
      </c>
      <c r="F1063" s="3" t="s">
        <v>8</v>
      </c>
      <c r="G1063" s="48" t="s">
        <v>61</v>
      </c>
      <c r="H1063" s="8"/>
      <c r="I1063" s="8"/>
      <c r="J1063" s="6" t="s">
        <v>108</v>
      </c>
      <c r="K1063" s="38">
        <v>333928</v>
      </c>
      <c r="L1063" s="4" t="s">
        <v>29</v>
      </c>
      <c r="M1063" s="11">
        <f>_xlfn.NUMBERVALUE(LEFT(Table613[[#This Row],[Fiscal Year]], 4))</f>
        <v>2015</v>
      </c>
      <c r="N1063" s="42">
        <f t="shared" si="24"/>
        <v>354542.77032911388</v>
      </c>
      <c r="O1063" s="3">
        <v>1061</v>
      </c>
    </row>
    <row r="1064" spans="1:15" x14ac:dyDescent="0.25">
      <c r="A1064" s="3">
        <v>4</v>
      </c>
      <c r="B1064" s="3" t="s">
        <v>192</v>
      </c>
      <c r="C1064" s="1" t="s">
        <v>12</v>
      </c>
      <c r="D1064" s="1" t="s">
        <v>444</v>
      </c>
      <c r="E1064" s="11" t="s">
        <v>144</v>
      </c>
      <c r="F1064" s="3" t="s">
        <v>8</v>
      </c>
      <c r="G1064" s="66" t="s">
        <v>62</v>
      </c>
      <c r="H1064" s="8"/>
      <c r="I1064" s="8"/>
      <c r="J1064" s="6" t="s">
        <v>106</v>
      </c>
      <c r="K1064" s="38">
        <v>332.5</v>
      </c>
      <c r="L1064" s="4" t="s">
        <v>29</v>
      </c>
      <c r="M1064" s="11">
        <f>_xlfn.NUMBERVALUE(LEFT(Table613[[#This Row],[Fiscal Year]], 4))</f>
        <v>2015</v>
      </c>
      <c r="N1064" s="42">
        <f t="shared" si="24"/>
        <v>353.02661392405059</v>
      </c>
      <c r="O1064" s="3">
        <v>1062</v>
      </c>
    </row>
    <row r="1065" spans="1:15" x14ac:dyDescent="0.25">
      <c r="A1065" s="3">
        <v>4</v>
      </c>
      <c r="B1065" s="3" t="s">
        <v>192</v>
      </c>
      <c r="C1065" s="1" t="s">
        <v>12</v>
      </c>
      <c r="D1065" s="1" t="s">
        <v>444</v>
      </c>
      <c r="E1065" s="11" t="s">
        <v>144</v>
      </c>
      <c r="F1065" s="3" t="s">
        <v>8</v>
      </c>
      <c r="G1065" s="66" t="s">
        <v>211</v>
      </c>
      <c r="H1065" s="8"/>
      <c r="I1065" s="8"/>
      <c r="J1065" s="6" t="s">
        <v>455</v>
      </c>
      <c r="K1065" s="38">
        <v>31370</v>
      </c>
      <c r="L1065" s="4" t="s">
        <v>29</v>
      </c>
      <c r="M1065" s="11">
        <f>_xlfn.NUMBERVALUE(LEFT(Table613[[#This Row],[Fiscal Year]], 4))</f>
        <v>2015</v>
      </c>
      <c r="N1065" s="42">
        <f t="shared" si="24"/>
        <v>33306.601139240505</v>
      </c>
      <c r="O1065" s="3">
        <v>1063</v>
      </c>
    </row>
    <row r="1066" spans="1:15" x14ac:dyDescent="0.25">
      <c r="A1066" s="3">
        <v>4</v>
      </c>
      <c r="B1066" s="3" t="s">
        <v>192</v>
      </c>
      <c r="C1066" s="1" t="s">
        <v>12</v>
      </c>
      <c r="D1066" s="1" t="s">
        <v>444</v>
      </c>
      <c r="E1066" s="11" t="s">
        <v>144</v>
      </c>
      <c r="F1066" s="3" t="s">
        <v>8</v>
      </c>
      <c r="G1066" s="66" t="s">
        <v>64</v>
      </c>
      <c r="H1066" s="8"/>
      <c r="I1066" s="8"/>
      <c r="J1066" s="6" t="s">
        <v>76</v>
      </c>
      <c r="K1066" s="38" t="s">
        <v>827</v>
      </c>
      <c r="L1066" s="4" t="s">
        <v>29</v>
      </c>
      <c r="M1066" s="11">
        <f>_xlfn.NUMBERVALUE(LEFT(Table613[[#This Row],[Fiscal Year]], 4))</f>
        <v>2015</v>
      </c>
      <c r="O1066" s="3">
        <v>1064</v>
      </c>
    </row>
    <row r="1067" spans="1:15" x14ac:dyDescent="0.25">
      <c r="A1067" s="3">
        <v>4</v>
      </c>
      <c r="B1067" s="3" t="s">
        <v>192</v>
      </c>
      <c r="C1067" s="1" t="s">
        <v>12</v>
      </c>
      <c r="D1067" s="1" t="s">
        <v>444</v>
      </c>
      <c r="E1067" s="11" t="s">
        <v>144</v>
      </c>
      <c r="F1067" s="3" t="s">
        <v>8</v>
      </c>
      <c r="G1067" s="66" t="s">
        <v>65</v>
      </c>
      <c r="H1067" s="8"/>
      <c r="I1067" s="8"/>
      <c r="J1067" s="6" t="s">
        <v>76</v>
      </c>
      <c r="K1067" s="38" t="s">
        <v>827</v>
      </c>
      <c r="L1067" s="4" t="s">
        <v>29</v>
      </c>
      <c r="M1067" s="11">
        <f>_xlfn.NUMBERVALUE(LEFT(Table613[[#This Row],[Fiscal Year]], 4))</f>
        <v>2015</v>
      </c>
      <c r="O1067" s="3">
        <v>1065</v>
      </c>
    </row>
    <row r="1068" spans="1:15" x14ac:dyDescent="0.25">
      <c r="A1068" s="3">
        <v>4</v>
      </c>
      <c r="B1068" s="3" t="s">
        <v>192</v>
      </c>
      <c r="C1068" s="1" t="s">
        <v>12</v>
      </c>
      <c r="D1068" s="1" t="s">
        <v>444</v>
      </c>
      <c r="E1068" s="11" t="s">
        <v>144</v>
      </c>
      <c r="F1068" s="3" t="s">
        <v>8</v>
      </c>
      <c r="G1068" s="48" t="s">
        <v>66</v>
      </c>
      <c r="H1068" s="8"/>
      <c r="I1068" s="8"/>
      <c r="J1068" s="6" t="s">
        <v>76</v>
      </c>
      <c r="K1068" s="38" t="s">
        <v>827</v>
      </c>
      <c r="L1068" s="4" t="s">
        <v>29</v>
      </c>
      <c r="M1068" s="11">
        <f>_xlfn.NUMBERVALUE(LEFT(Table613[[#This Row],[Fiscal Year]], 4))</f>
        <v>2015</v>
      </c>
      <c r="O1068" s="3">
        <v>1066</v>
      </c>
    </row>
    <row r="1069" spans="1:15" x14ac:dyDescent="0.25">
      <c r="A1069" s="3">
        <v>4</v>
      </c>
      <c r="B1069" s="3" t="s">
        <v>192</v>
      </c>
      <c r="C1069" s="1" t="s">
        <v>12</v>
      </c>
      <c r="D1069" s="1" t="s">
        <v>444</v>
      </c>
      <c r="E1069" s="11" t="s">
        <v>144</v>
      </c>
      <c r="F1069" s="3" t="s">
        <v>8</v>
      </c>
      <c r="G1069" s="66" t="s">
        <v>33</v>
      </c>
      <c r="H1069" s="8"/>
      <c r="I1069" s="8"/>
      <c r="J1069" s="6" t="s">
        <v>47</v>
      </c>
      <c r="K1069" s="38">
        <v>58090</v>
      </c>
      <c r="L1069" s="4" t="s">
        <v>29</v>
      </c>
      <c r="M1069" s="11">
        <f>_xlfn.NUMBERVALUE(LEFT(Table613[[#This Row],[Fiscal Year]], 4))</f>
        <v>2015</v>
      </c>
      <c r="N1069" s="42">
        <f t="shared" si="24"/>
        <v>61676.138354430375</v>
      </c>
      <c r="O1069" s="3">
        <v>1067</v>
      </c>
    </row>
    <row r="1070" spans="1:15" x14ac:dyDescent="0.25">
      <c r="A1070" s="3">
        <v>4</v>
      </c>
      <c r="B1070" s="3" t="s">
        <v>192</v>
      </c>
      <c r="C1070" s="1" t="s">
        <v>12</v>
      </c>
      <c r="D1070" s="1" t="s">
        <v>444</v>
      </c>
      <c r="E1070" s="11" t="s">
        <v>144</v>
      </c>
      <c r="F1070" s="3" t="s">
        <v>8</v>
      </c>
      <c r="G1070" s="66" t="s">
        <v>67</v>
      </c>
      <c r="H1070" s="8" t="s">
        <v>939</v>
      </c>
      <c r="I1070" s="8" t="s">
        <v>429</v>
      </c>
      <c r="J1070" s="6" t="s">
        <v>455</v>
      </c>
      <c r="K1070" s="38">
        <v>44850</v>
      </c>
      <c r="L1070" s="4" t="s">
        <v>29</v>
      </c>
      <c r="M1070" s="11">
        <f>_xlfn.NUMBERVALUE(LEFT(Table613[[#This Row],[Fiscal Year]], 4))</f>
        <v>2015</v>
      </c>
      <c r="N1070" s="42">
        <f t="shared" si="24"/>
        <v>47618.777848101265</v>
      </c>
      <c r="O1070" s="3">
        <v>1068</v>
      </c>
    </row>
    <row r="1071" spans="1:15" x14ac:dyDescent="0.25">
      <c r="C1071" s="1"/>
      <c r="D1071" s="1"/>
      <c r="E1071" s="11"/>
      <c r="G1071" s="66"/>
      <c r="H1071" s="8"/>
      <c r="I1071" s="8"/>
      <c r="J1071" s="6"/>
      <c r="L1071" s="4"/>
      <c r="O1071" s="3">
        <v>1069</v>
      </c>
    </row>
    <row r="1072" spans="1:15" x14ac:dyDescent="0.25">
      <c r="A1072" s="3">
        <v>4</v>
      </c>
      <c r="B1072" s="3" t="s">
        <v>193</v>
      </c>
      <c r="C1072" s="1" t="s">
        <v>12</v>
      </c>
      <c r="D1072" s="1" t="s">
        <v>444</v>
      </c>
      <c r="E1072" s="11" t="s">
        <v>144</v>
      </c>
      <c r="F1072" s="3" t="s">
        <v>8</v>
      </c>
      <c r="G1072" s="48" t="s">
        <v>32</v>
      </c>
      <c r="H1072" s="8"/>
      <c r="I1072" s="8"/>
      <c r="J1072" s="6" t="s">
        <v>110</v>
      </c>
      <c r="K1072" s="38">
        <v>230000</v>
      </c>
      <c r="L1072" s="4" t="s">
        <v>29</v>
      </c>
      <c r="M1072" s="11">
        <f>_xlfn.NUMBERVALUE(LEFT(Table613[[#This Row],[Fiscal Year]], 4))</f>
        <v>2015</v>
      </c>
      <c r="N1072" s="42">
        <f t="shared" si="24"/>
        <v>244198.86075949366</v>
      </c>
      <c r="O1072" s="3">
        <v>1070</v>
      </c>
    </row>
    <row r="1073" spans="1:15" x14ac:dyDescent="0.25">
      <c r="A1073" s="3">
        <v>4</v>
      </c>
      <c r="B1073" s="3" t="s">
        <v>193</v>
      </c>
      <c r="C1073" s="1" t="s">
        <v>12</v>
      </c>
      <c r="D1073" s="1" t="s">
        <v>444</v>
      </c>
      <c r="E1073" s="11" t="s">
        <v>144</v>
      </c>
      <c r="F1073" s="3" t="s">
        <v>8</v>
      </c>
      <c r="G1073" s="66" t="s">
        <v>58</v>
      </c>
      <c r="H1073" s="8"/>
      <c r="I1073" s="8"/>
      <c r="J1073" s="6" t="s">
        <v>453</v>
      </c>
      <c r="K1073" s="38">
        <v>40000</v>
      </c>
      <c r="L1073" s="4" t="s">
        <v>29</v>
      </c>
      <c r="M1073" s="11">
        <f>_xlfn.NUMBERVALUE(LEFT(Table613[[#This Row],[Fiscal Year]], 4))</f>
        <v>2015</v>
      </c>
      <c r="N1073" s="42">
        <f t="shared" si="24"/>
        <v>42469.367088607592</v>
      </c>
      <c r="O1073" s="3">
        <v>1071</v>
      </c>
    </row>
    <row r="1074" spans="1:15" x14ac:dyDescent="0.25">
      <c r="A1074" s="3">
        <v>4</v>
      </c>
      <c r="B1074" s="3" t="s">
        <v>193</v>
      </c>
      <c r="C1074" s="1" t="s">
        <v>12</v>
      </c>
      <c r="D1074" s="1" t="s">
        <v>444</v>
      </c>
      <c r="E1074" s="11" t="s">
        <v>144</v>
      </c>
      <c r="F1074" s="3" t="s">
        <v>8</v>
      </c>
      <c r="G1074" s="66" t="s">
        <v>208</v>
      </c>
      <c r="H1074" s="8"/>
      <c r="I1074" s="8"/>
      <c r="J1074" s="6" t="s">
        <v>109</v>
      </c>
      <c r="K1074" s="38">
        <v>45000</v>
      </c>
      <c r="L1074" s="4" t="s">
        <v>29</v>
      </c>
      <c r="M1074" s="11">
        <f>_xlfn.NUMBERVALUE(LEFT(Table613[[#This Row],[Fiscal Year]], 4))</f>
        <v>2015</v>
      </c>
      <c r="N1074" s="42">
        <f t="shared" si="24"/>
        <v>47778.037974683539</v>
      </c>
      <c r="O1074" s="3">
        <v>1072</v>
      </c>
    </row>
    <row r="1075" spans="1:15" x14ac:dyDescent="0.25">
      <c r="A1075" s="3">
        <v>4</v>
      </c>
      <c r="B1075" s="3" t="s">
        <v>193</v>
      </c>
      <c r="C1075" s="1" t="s">
        <v>12</v>
      </c>
      <c r="D1075" s="1" t="s">
        <v>444</v>
      </c>
      <c r="E1075" s="11" t="s">
        <v>144</v>
      </c>
      <c r="F1075" s="3" t="s">
        <v>8</v>
      </c>
      <c r="G1075" s="48" t="s">
        <v>59</v>
      </c>
      <c r="H1075" s="8"/>
      <c r="I1075" s="8"/>
      <c r="J1075" s="6" t="s">
        <v>111</v>
      </c>
      <c r="K1075" s="38">
        <v>170000</v>
      </c>
      <c r="L1075" s="4" t="s">
        <v>29</v>
      </c>
      <c r="M1075" s="11">
        <f>_xlfn.NUMBERVALUE(LEFT(Table613[[#This Row],[Fiscal Year]], 4))</f>
        <v>2015</v>
      </c>
      <c r="N1075" s="42">
        <f t="shared" si="24"/>
        <v>180494.81012658228</v>
      </c>
      <c r="O1075" s="3">
        <v>1073</v>
      </c>
    </row>
    <row r="1076" spans="1:15" x14ac:dyDescent="0.25">
      <c r="A1076" s="3">
        <v>4</v>
      </c>
      <c r="B1076" s="3" t="s">
        <v>193</v>
      </c>
      <c r="C1076" s="1" t="s">
        <v>12</v>
      </c>
      <c r="D1076" s="1" t="s">
        <v>444</v>
      </c>
      <c r="E1076" s="11" t="s">
        <v>144</v>
      </c>
      <c r="F1076" s="3" t="s">
        <v>8</v>
      </c>
      <c r="G1076" s="66" t="s">
        <v>60</v>
      </c>
      <c r="H1076" s="8"/>
      <c r="I1076" s="8"/>
      <c r="J1076" s="6" t="s">
        <v>111</v>
      </c>
      <c r="K1076" s="38">
        <v>80000</v>
      </c>
      <c r="L1076" s="4" t="s">
        <v>29</v>
      </c>
      <c r="M1076" s="11">
        <f>_xlfn.NUMBERVALUE(LEFT(Table613[[#This Row],[Fiscal Year]], 4))</f>
        <v>2015</v>
      </c>
      <c r="N1076" s="42">
        <f t="shared" si="24"/>
        <v>84938.734177215185</v>
      </c>
      <c r="O1076" s="3">
        <v>1074</v>
      </c>
    </row>
    <row r="1077" spans="1:15" x14ac:dyDescent="0.25">
      <c r="A1077" s="3">
        <v>4</v>
      </c>
      <c r="B1077" s="3" t="s">
        <v>193</v>
      </c>
      <c r="C1077" s="1" t="s">
        <v>12</v>
      </c>
      <c r="D1077" s="1" t="s">
        <v>444</v>
      </c>
      <c r="E1077" s="11" t="s">
        <v>144</v>
      </c>
      <c r="F1077" s="3" t="s">
        <v>8</v>
      </c>
      <c r="G1077" s="48" t="s">
        <v>61</v>
      </c>
      <c r="H1077" s="8"/>
      <c r="I1077" s="8"/>
      <c r="J1077" s="6" t="s">
        <v>108</v>
      </c>
      <c r="K1077" s="38">
        <v>15300000</v>
      </c>
      <c r="L1077" s="4" t="s">
        <v>29</v>
      </c>
      <c r="M1077" s="11">
        <f>_xlfn.NUMBERVALUE(LEFT(Table613[[#This Row],[Fiscal Year]], 4))</f>
        <v>2015</v>
      </c>
      <c r="N1077" s="42">
        <f t="shared" si="24"/>
        <v>16244532.911392404</v>
      </c>
      <c r="O1077" s="3">
        <v>1075</v>
      </c>
    </row>
    <row r="1078" spans="1:15" x14ac:dyDescent="0.25">
      <c r="A1078" s="3">
        <v>4</v>
      </c>
      <c r="B1078" s="3" t="s">
        <v>193</v>
      </c>
      <c r="C1078" s="1" t="s">
        <v>12</v>
      </c>
      <c r="D1078" s="1" t="s">
        <v>444</v>
      </c>
      <c r="E1078" s="11" t="s">
        <v>144</v>
      </c>
      <c r="F1078" s="3" t="s">
        <v>8</v>
      </c>
      <c r="G1078" s="66" t="s">
        <v>62</v>
      </c>
      <c r="H1078" s="8"/>
      <c r="I1078" s="8"/>
      <c r="J1078" s="6" t="s">
        <v>106</v>
      </c>
      <c r="K1078" s="38">
        <v>500000</v>
      </c>
      <c r="L1078" s="4" t="s">
        <v>29</v>
      </c>
      <c r="M1078" s="11">
        <f>_xlfn.NUMBERVALUE(LEFT(Table613[[#This Row],[Fiscal Year]], 4))</f>
        <v>2015</v>
      </c>
      <c r="N1078" s="42">
        <f t="shared" si="24"/>
        <v>530867.08860759495</v>
      </c>
      <c r="O1078" s="3">
        <v>1076</v>
      </c>
    </row>
    <row r="1079" spans="1:15" x14ac:dyDescent="0.25">
      <c r="A1079" s="3">
        <v>4</v>
      </c>
      <c r="B1079" s="3" t="s">
        <v>193</v>
      </c>
      <c r="C1079" s="1" t="s">
        <v>12</v>
      </c>
      <c r="D1079" s="1" t="s">
        <v>444</v>
      </c>
      <c r="E1079" s="11" t="s">
        <v>144</v>
      </c>
      <c r="F1079" s="3" t="s">
        <v>8</v>
      </c>
      <c r="G1079" s="66" t="s">
        <v>211</v>
      </c>
      <c r="H1079" s="8"/>
      <c r="I1079" s="8"/>
      <c r="J1079" s="6" t="s">
        <v>455</v>
      </c>
      <c r="K1079" s="38">
        <v>100000</v>
      </c>
      <c r="L1079" s="4" t="s">
        <v>29</v>
      </c>
      <c r="M1079" s="11">
        <f>_xlfn.NUMBERVALUE(LEFT(Table613[[#This Row],[Fiscal Year]], 4))</f>
        <v>2015</v>
      </c>
      <c r="N1079" s="42">
        <f t="shared" si="24"/>
        <v>106173.41772151898</v>
      </c>
      <c r="O1079" s="3">
        <v>1077</v>
      </c>
    </row>
    <row r="1080" spans="1:15" x14ac:dyDescent="0.25">
      <c r="A1080" s="3">
        <v>4</v>
      </c>
      <c r="B1080" s="3" t="s">
        <v>193</v>
      </c>
      <c r="C1080" s="1" t="s">
        <v>12</v>
      </c>
      <c r="D1080" s="1" t="s">
        <v>444</v>
      </c>
      <c r="E1080" s="11" t="s">
        <v>144</v>
      </c>
      <c r="F1080" s="3" t="s">
        <v>8</v>
      </c>
      <c r="G1080" s="66" t="s">
        <v>64</v>
      </c>
      <c r="H1080" s="8"/>
      <c r="I1080" s="8"/>
      <c r="J1080" s="6" t="s">
        <v>76</v>
      </c>
      <c r="K1080" s="38">
        <v>20000</v>
      </c>
      <c r="L1080" s="4" t="s">
        <v>29</v>
      </c>
      <c r="M1080" s="11">
        <f>_xlfn.NUMBERVALUE(LEFT(Table613[[#This Row],[Fiscal Year]], 4))</f>
        <v>2015</v>
      </c>
      <c r="N1080" s="42">
        <f t="shared" si="24"/>
        <v>21234.683544303796</v>
      </c>
      <c r="O1080" s="3">
        <v>1078</v>
      </c>
    </row>
    <row r="1081" spans="1:15" x14ac:dyDescent="0.25">
      <c r="A1081" s="3">
        <v>4</v>
      </c>
      <c r="B1081" s="3" t="s">
        <v>193</v>
      </c>
      <c r="C1081" s="1" t="s">
        <v>12</v>
      </c>
      <c r="D1081" s="1" t="s">
        <v>444</v>
      </c>
      <c r="E1081" s="11" t="s">
        <v>144</v>
      </c>
      <c r="F1081" s="3" t="s">
        <v>8</v>
      </c>
      <c r="G1081" s="66" t="s">
        <v>65</v>
      </c>
      <c r="H1081" s="8"/>
      <c r="I1081" s="8"/>
      <c r="J1081" s="6" t="s">
        <v>76</v>
      </c>
      <c r="K1081" s="38" t="s">
        <v>827</v>
      </c>
      <c r="L1081" s="4" t="s">
        <v>29</v>
      </c>
      <c r="M1081" s="11">
        <f>_xlfn.NUMBERVALUE(LEFT(Table613[[#This Row],[Fiscal Year]], 4))</f>
        <v>2015</v>
      </c>
      <c r="O1081" s="3">
        <v>1079</v>
      </c>
    </row>
    <row r="1082" spans="1:15" x14ac:dyDescent="0.25">
      <c r="A1082" s="3">
        <v>4</v>
      </c>
      <c r="B1082" s="3" t="s">
        <v>193</v>
      </c>
      <c r="C1082" s="1" t="s">
        <v>12</v>
      </c>
      <c r="D1082" s="1" t="s">
        <v>444</v>
      </c>
      <c r="E1082" s="11" t="s">
        <v>144</v>
      </c>
      <c r="F1082" s="3" t="s">
        <v>8</v>
      </c>
      <c r="G1082" s="48" t="s">
        <v>66</v>
      </c>
      <c r="H1082" s="8"/>
      <c r="I1082" s="8"/>
      <c r="J1082" s="6" t="s">
        <v>76</v>
      </c>
      <c r="K1082" s="38" t="s">
        <v>827</v>
      </c>
      <c r="L1082" s="4" t="s">
        <v>29</v>
      </c>
      <c r="M1082" s="11">
        <f>_xlfn.NUMBERVALUE(LEFT(Table613[[#This Row],[Fiscal Year]], 4))</f>
        <v>2015</v>
      </c>
      <c r="O1082" s="3">
        <v>1080</v>
      </c>
    </row>
    <row r="1083" spans="1:15" x14ac:dyDescent="0.25">
      <c r="A1083" s="3">
        <v>4</v>
      </c>
      <c r="B1083" s="3" t="s">
        <v>193</v>
      </c>
      <c r="C1083" s="1" t="s">
        <v>12</v>
      </c>
      <c r="D1083" s="1" t="s">
        <v>444</v>
      </c>
      <c r="E1083" s="11" t="s">
        <v>144</v>
      </c>
      <c r="F1083" s="3" t="s">
        <v>8</v>
      </c>
      <c r="G1083" s="66" t="s">
        <v>33</v>
      </c>
      <c r="H1083" s="8"/>
      <c r="I1083" s="8"/>
      <c r="J1083" s="6" t="s">
        <v>47</v>
      </c>
      <c r="K1083" s="38">
        <v>220000</v>
      </c>
      <c r="L1083" s="4" t="s">
        <v>29</v>
      </c>
      <c r="M1083" s="11">
        <f>_xlfn.NUMBERVALUE(LEFT(Table613[[#This Row],[Fiscal Year]], 4))</f>
        <v>2015</v>
      </c>
      <c r="N1083" s="42">
        <f t="shared" si="24"/>
        <v>233581.51898734175</v>
      </c>
      <c r="O1083" s="3">
        <v>1081</v>
      </c>
    </row>
    <row r="1084" spans="1:15" x14ac:dyDescent="0.25">
      <c r="A1084" s="3">
        <v>4</v>
      </c>
      <c r="B1084" s="3" t="s">
        <v>193</v>
      </c>
      <c r="C1084" s="1" t="s">
        <v>12</v>
      </c>
      <c r="D1084" s="1" t="s">
        <v>444</v>
      </c>
      <c r="E1084" s="11" t="s">
        <v>144</v>
      </c>
      <c r="F1084" s="3" t="s">
        <v>8</v>
      </c>
      <c r="G1084" s="66" t="s">
        <v>67</v>
      </c>
      <c r="H1084" s="8"/>
      <c r="I1084" s="8"/>
      <c r="J1084" s="6" t="s">
        <v>455</v>
      </c>
      <c r="K1084" s="38" t="s">
        <v>827</v>
      </c>
      <c r="L1084" s="4" t="s">
        <v>29</v>
      </c>
      <c r="M1084" s="11">
        <f>_xlfn.NUMBERVALUE(LEFT(Table613[[#This Row],[Fiscal Year]], 4))</f>
        <v>2015</v>
      </c>
      <c r="O1084" s="3">
        <v>1082</v>
      </c>
    </row>
    <row r="1085" spans="1:15" x14ac:dyDescent="0.25">
      <c r="C1085" s="1"/>
      <c r="D1085" s="1"/>
      <c r="E1085" s="11"/>
      <c r="G1085" s="66"/>
      <c r="H1085" s="8"/>
      <c r="I1085" s="8"/>
      <c r="J1085" s="6"/>
      <c r="L1085" s="4"/>
      <c r="O1085" s="3">
        <v>1083</v>
      </c>
    </row>
    <row r="1086" spans="1:15" x14ac:dyDescent="0.25">
      <c r="A1086" s="3">
        <v>4</v>
      </c>
      <c r="B1086" s="3" t="s">
        <v>194</v>
      </c>
      <c r="C1086" s="1" t="s">
        <v>12</v>
      </c>
      <c r="D1086" s="1" t="s">
        <v>444</v>
      </c>
      <c r="E1086" s="11" t="s">
        <v>144</v>
      </c>
      <c r="F1086" s="3" t="s">
        <v>8</v>
      </c>
      <c r="G1086" s="48" t="s">
        <v>32</v>
      </c>
      <c r="H1086" s="8"/>
      <c r="I1086" s="8"/>
      <c r="J1086" s="6" t="s">
        <v>110</v>
      </c>
      <c r="K1086" s="38">
        <v>114536.26</v>
      </c>
      <c r="L1086" s="4" t="s">
        <v>29</v>
      </c>
      <c r="M1086" s="11">
        <f>_xlfn.NUMBERVALUE(LEFT(Table613[[#This Row],[Fiscal Year]], 4))</f>
        <v>2015</v>
      </c>
      <c r="N1086" s="42">
        <f t="shared" si="24"/>
        <v>121607.06177240505</v>
      </c>
      <c r="O1086" s="3">
        <v>1084</v>
      </c>
    </row>
    <row r="1087" spans="1:15" x14ac:dyDescent="0.25">
      <c r="A1087" s="3">
        <v>4</v>
      </c>
      <c r="B1087" s="3" t="s">
        <v>194</v>
      </c>
      <c r="C1087" s="1" t="s">
        <v>12</v>
      </c>
      <c r="D1087" s="1" t="s">
        <v>444</v>
      </c>
      <c r="E1087" s="11" t="s">
        <v>144</v>
      </c>
      <c r="F1087" s="3" t="s">
        <v>8</v>
      </c>
      <c r="G1087" s="66" t="s">
        <v>58</v>
      </c>
      <c r="H1087" s="8"/>
      <c r="I1087" s="8"/>
      <c r="J1087" s="6" t="s">
        <v>453</v>
      </c>
      <c r="K1087" s="38" t="s">
        <v>827</v>
      </c>
      <c r="L1087" s="4" t="s">
        <v>29</v>
      </c>
      <c r="M1087" s="11">
        <f>_xlfn.NUMBERVALUE(LEFT(Table613[[#This Row],[Fiscal Year]], 4))</f>
        <v>2015</v>
      </c>
      <c r="O1087" s="3">
        <v>1085</v>
      </c>
    </row>
    <row r="1088" spans="1:15" x14ac:dyDescent="0.25">
      <c r="A1088" s="3">
        <v>4</v>
      </c>
      <c r="B1088" s="3" t="s">
        <v>194</v>
      </c>
      <c r="C1088" s="1" t="s">
        <v>12</v>
      </c>
      <c r="D1088" s="1" t="s">
        <v>444</v>
      </c>
      <c r="E1088" s="11" t="s">
        <v>144</v>
      </c>
      <c r="F1088" s="3" t="s">
        <v>8</v>
      </c>
      <c r="G1088" s="66" t="s">
        <v>208</v>
      </c>
      <c r="H1088" s="8"/>
      <c r="I1088" s="8"/>
      <c r="J1088" s="6" t="s">
        <v>109</v>
      </c>
      <c r="K1088" s="38" t="s">
        <v>827</v>
      </c>
      <c r="L1088" s="4" t="s">
        <v>29</v>
      </c>
      <c r="M1088" s="11">
        <f>_xlfn.NUMBERVALUE(LEFT(Table613[[#This Row],[Fiscal Year]], 4))</f>
        <v>2015</v>
      </c>
      <c r="O1088" s="3">
        <v>1086</v>
      </c>
    </row>
    <row r="1089" spans="1:15" x14ac:dyDescent="0.25">
      <c r="A1089" s="3">
        <v>4</v>
      </c>
      <c r="B1089" s="3" t="s">
        <v>194</v>
      </c>
      <c r="C1089" s="1" t="s">
        <v>12</v>
      </c>
      <c r="D1089" s="1" t="s">
        <v>444</v>
      </c>
      <c r="E1089" s="11" t="s">
        <v>144</v>
      </c>
      <c r="F1089" s="3" t="s">
        <v>8</v>
      </c>
      <c r="G1089" s="48" t="s">
        <v>59</v>
      </c>
      <c r="H1089" s="8"/>
      <c r="I1089" s="8"/>
      <c r="J1089" s="6" t="s">
        <v>111</v>
      </c>
      <c r="K1089" s="38" t="s">
        <v>827</v>
      </c>
      <c r="L1089" s="4" t="s">
        <v>29</v>
      </c>
      <c r="M1089" s="11">
        <f>_xlfn.NUMBERVALUE(LEFT(Table613[[#This Row],[Fiscal Year]], 4))</f>
        <v>2015</v>
      </c>
      <c r="O1089" s="3">
        <v>1087</v>
      </c>
    </row>
    <row r="1090" spans="1:15" x14ac:dyDescent="0.25">
      <c r="A1090" s="3">
        <v>4</v>
      </c>
      <c r="B1090" s="3" t="s">
        <v>194</v>
      </c>
      <c r="C1090" s="1" t="s">
        <v>12</v>
      </c>
      <c r="D1090" s="1" t="s">
        <v>444</v>
      </c>
      <c r="E1090" s="11" t="s">
        <v>144</v>
      </c>
      <c r="F1090" s="3" t="s">
        <v>8</v>
      </c>
      <c r="G1090" s="66" t="s">
        <v>60</v>
      </c>
      <c r="H1090" s="8"/>
      <c r="I1090" s="8"/>
      <c r="J1090" s="6" t="s">
        <v>111</v>
      </c>
      <c r="K1090" s="38" t="s">
        <v>827</v>
      </c>
      <c r="L1090" s="4" t="s">
        <v>29</v>
      </c>
      <c r="M1090" s="11">
        <f>_xlfn.NUMBERVALUE(LEFT(Table613[[#This Row],[Fiscal Year]], 4))</f>
        <v>2015</v>
      </c>
      <c r="O1090" s="3">
        <v>1088</v>
      </c>
    </row>
    <row r="1091" spans="1:15" x14ac:dyDescent="0.25">
      <c r="A1091" s="3">
        <v>4</v>
      </c>
      <c r="B1091" s="3" t="s">
        <v>194</v>
      </c>
      <c r="C1091" s="1" t="s">
        <v>12</v>
      </c>
      <c r="D1091" s="1" t="s">
        <v>444</v>
      </c>
      <c r="E1091" s="11" t="s">
        <v>144</v>
      </c>
      <c r="F1091" s="3" t="s">
        <v>8</v>
      </c>
      <c r="G1091" s="48" t="s">
        <v>61</v>
      </c>
      <c r="H1091" s="8"/>
      <c r="I1091" s="8"/>
      <c r="J1091" s="6" t="s">
        <v>108</v>
      </c>
      <c r="K1091" s="38">
        <v>232970</v>
      </c>
      <c r="L1091" s="4" t="s">
        <v>29</v>
      </c>
      <c r="M1091" s="11">
        <f>_xlfn.NUMBERVALUE(LEFT(Table613[[#This Row],[Fiscal Year]], 4))</f>
        <v>2015</v>
      </c>
      <c r="N1091" s="42">
        <f t="shared" si="24"/>
        <v>247352.21126582276</v>
      </c>
      <c r="O1091" s="3">
        <v>1089</v>
      </c>
    </row>
    <row r="1092" spans="1:15" x14ac:dyDescent="0.25">
      <c r="A1092" s="3">
        <v>4</v>
      </c>
      <c r="B1092" s="3" t="s">
        <v>194</v>
      </c>
      <c r="C1092" s="1" t="s">
        <v>12</v>
      </c>
      <c r="D1092" s="1" t="s">
        <v>444</v>
      </c>
      <c r="E1092" s="11" t="s">
        <v>144</v>
      </c>
      <c r="F1092" s="3" t="s">
        <v>8</v>
      </c>
      <c r="G1092" s="66" t="s">
        <v>62</v>
      </c>
      <c r="H1092" s="8"/>
      <c r="I1092" s="8"/>
      <c r="J1092" s="6" t="s">
        <v>106</v>
      </c>
      <c r="K1092" s="38" t="s">
        <v>827</v>
      </c>
      <c r="L1092" s="4" t="s">
        <v>29</v>
      </c>
      <c r="M1092" s="11">
        <f>_xlfn.NUMBERVALUE(LEFT(Table613[[#This Row],[Fiscal Year]], 4))</f>
        <v>2015</v>
      </c>
      <c r="O1092" s="3">
        <v>1090</v>
      </c>
    </row>
    <row r="1093" spans="1:15" x14ac:dyDescent="0.25">
      <c r="A1093" s="3">
        <v>4</v>
      </c>
      <c r="B1093" s="3" t="s">
        <v>194</v>
      </c>
      <c r="C1093" s="1" t="s">
        <v>12</v>
      </c>
      <c r="D1093" s="1" t="s">
        <v>444</v>
      </c>
      <c r="E1093" s="11" t="s">
        <v>144</v>
      </c>
      <c r="F1093" s="3" t="s">
        <v>8</v>
      </c>
      <c r="G1093" s="66" t="s">
        <v>211</v>
      </c>
      <c r="H1093" s="8"/>
      <c r="I1093" s="8"/>
      <c r="J1093" s="6" t="s">
        <v>455</v>
      </c>
      <c r="K1093" s="38" t="s">
        <v>827</v>
      </c>
      <c r="L1093" s="4" t="s">
        <v>29</v>
      </c>
      <c r="M1093" s="11">
        <f>_xlfn.NUMBERVALUE(LEFT(Table613[[#This Row],[Fiscal Year]], 4))</f>
        <v>2015</v>
      </c>
      <c r="O1093" s="3">
        <v>1091</v>
      </c>
    </row>
    <row r="1094" spans="1:15" x14ac:dyDescent="0.25">
      <c r="A1094" s="3">
        <v>4</v>
      </c>
      <c r="B1094" s="3" t="s">
        <v>194</v>
      </c>
      <c r="C1094" s="1" t="s">
        <v>12</v>
      </c>
      <c r="D1094" s="1" t="s">
        <v>444</v>
      </c>
      <c r="E1094" s="11" t="s">
        <v>144</v>
      </c>
      <c r="F1094" s="3" t="s">
        <v>8</v>
      </c>
      <c r="G1094" s="66" t="s">
        <v>64</v>
      </c>
      <c r="H1094" s="8"/>
      <c r="I1094" s="8"/>
      <c r="J1094" s="6" t="s">
        <v>76</v>
      </c>
      <c r="K1094" s="38" t="s">
        <v>28</v>
      </c>
      <c r="L1094" s="4" t="s">
        <v>29</v>
      </c>
      <c r="M1094" s="11">
        <f>_xlfn.NUMBERVALUE(LEFT(Table613[[#This Row],[Fiscal Year]], 4))</f>
        <v>2015</v>
      </c>
      <c r="O1094" s="3">
        <v>1092</v>
      </c>
    </row>
    <row r="1095" spans="1:15" x14ac:dyDescent="0.25">
      <c r="A1095" s="3">
        <v>4</v>
      </c>
      <c r="B1095" s="3" t="s">
        <v>194</v>
      </c>
      <c r="C1095" s="1" t="s">
        <v>12</v>
      </c>
      <c r="D1095" s="1" t="s">
        <v>444</v>
      </c>
      <c r="E1095" s="11" t="s">
        <v>144</v>
      </c>
      <c r="F1095" s="3" t="s">
        <v>8</v>
      </c>
      <c r="G1095" s="66" t="s">
        <v>65</v>
      </c>
      <c r="H1095" s="8"/>
      <c r="I1095" s="8"/>
      <c r="J1095" s="6" t="s">
        <v>76</v>
      </c>
      <c r="K1095" s="38" t="s">
        <v>827</v>
      </c>
      <c r="L1095" s="4" t="s">
        <v>29</v>
      </c>
      <c r="M1095" s="11">
        <f>_xlfn.NUMBERVALUE(LEFT(Table613[[#This Row],[Fiscal Year]], 4))</f>
        <v>2015</v>
      </c>
      <c r="O1095" s="3">
        <v>1093</v>
      </c>
    </row>
    <row r="1096" spans="1:15" x14ac:dyDescent="0.25">
      <c r="A1096" s="3">
        <v>4</v>
      </c>
      <c r="B1096" s="3" t="s">
        <v>194</v>
      </c>
      <c r="C1096" s="1" t="s">
        <v>12</v>
      </c>
      <c r="D1096" s="1" t="s">
        <v>444</v>
      </c>
      <c r="E1096" s="11" t="s">
        <v>144</v>
      </c>
      <c r="F1096" s="3" t="s">
        <v>8</v>
      </c>
      <c r="G1096" s="48" t="s">
        <v>66</v>
      </c>
      <c r="H1096" s="8"/>
      <c r="I1096" s="8"/>
      <c r="J1096" s="6" t="s">
        <v>76</v>
      </c>
      <c r="K1096" s="38" t="s">
        <v>827</v>
      </c>
      <c r="L1096" s="4" t="s">
        <v>29</v>
      </c>
      <c r="M1096" s="11">
        <f>_xlfn.NUMBERVALUE(LEFT(Table613[[#This Row],[Fiscal Year]], 4))</f>
        <v>2015</v>
      </c>
      <c r="O1096" s="3">
        <v>1094</v>
      </c>
    </row>
    <row r="1097" spans="1:15" x14ac:dyDescent="0.25">
      <c r="A1097" s="3">
        <v>4</v>
      </c>
      <c r="B1097" s="3" t="s">
        <v>194</v>
      </c>
      <c r="C1097" s="1" t="s">
        <v>12</v>
      </c>
      <c r="D1097" s="1" t="s">
        <v>444</v>
      </c>
      <c r="E1097" s="11" t="s">
        <v>144</v>
      </c>
      <c r="F1097" s="3" t="s">
        <v>8</v>
      </c>
      <c r="G1097" s="66" t="s">
        <v>33</v>
      </c>
      <c r="H1097" s="8"/>
      <c r="I1097" s="8"/>
      <c r="J1097" s="6" t="s">
        <v>47</v>
      </c>
      <c r="K1097" s="38">
        <v>44190</v>
      </c>
      <c r="L1097" s="4" t="s">
        <v>29</v>
      </c>
      <c r="M1097" s="11">
        <f>_xlfn.NUMBERVALUE(LEFT(Table613[[#This Row],[Fiscal Year]], 4))</f>
        <v>2015</v>
      </c>
      <c r="N1097" s="42">
        <f t="shared" si="24"/>
        <v>46918.03329113924</v>
      </c>
      <c r="O1097" s="3">
        <v>1095</v>
      </c>
    </row>
    <row r="1098" spans="1:15" x14ac:dyDescent="0.25">
      <c r="A1098" s="3">
        <v>4</v>
      </c>
      <c r="B1098" s="3" t="s">
        <v>194</v>
      </c>
      <c r="C1098" s="1" t="s">
        <v>12</v>
      </c>
      <c r="D1098" s="1" t="s">
        <v>444</v>
      </c>
      <c r="E1098" s="11" t="s">
        <v>144</v>
      </c>
      <c r="F1098" s="3" t="s">
        <v>8</v>
      </c>
      <c r="G1098" s="66" t="s">
        <v>67</v>
      </c>
      <c r="H1098" s="8" t="s">
        <v>940</v>
      </c>
      <c r="I1098" s="8" t="s">
        <v>429</v>
      </c>
      <c r="J1098" s="6" t="s">
        <v>455</v>
      </c>
      <c r="K1098" s="38">
        <v>2755.74</v>
      </c>
      <c r="L1098" s="4" t="s">
        <v>29</v>
      </c>
      <c r="M1098" s="11">
        <f>_xlfn.NUMBERVALUE(LEFT(Table613[[#This Row],[Fiscal Year]], 4))</f>
        <v>2015</v>
      </c>
      <c r="N1098" s="42">
        <f t="shared" si="24"/>
        <v>2925.863341518987</v>
      </c>
      <c r="O1098" s="3">
        <v>1096</v>
      </c>
    </row>
    <row r="1099" spans="1:15" x14ac:dyDescent="0.25">
      <c r="C1099" s="1"/>
      <c r="D1099" s="1"/>
      <c r="E1099" s="11"/>
      <c r="G1099" s="66"/>
      <c r="H1099" s="8"/>
      <c r="I1099" s="8"/>
      <c r="J1099" s="6"/>
      <c r="L1099" s="4"/>
      <c r="O1099" s="3">
        <v>1097</v>
      </c>
    </row>
    <row r="1100" spans="1:15" x14ac:dyDescent="0.25">
      <c r="A1100" s="3">
        <v>4</v>
      </c>
      <c r="B1100" s="3" t="s">
        <v>195</v>
      </c>
      <c r="C1100" s="1" t="s">
        <v>12</v>
      </c>
      <c r="D1100" s="1" t="s">
        <v>444</v>
      </c>
      <c r="E1100" s="11" t="s">
        <v>144</v>
      </c>
      <c r="F1100" s="3" t="s">
        <v>8</v>
      </c>
      <c r="G1100" s="48" t="s">
        <v>32</v>
      </c>
      <c r="H1100" s="8"/>
      <c r="I1100" s="8"/>
      <c r="J1100" s="6" t="s">
        <v>110</v>
      </c>
      <c r="K1100" s="38">
        <v>30000</v>
      </c>
      <c r="L1100" s="4" t="s">
        <v>29</v>
      </c>
      <c r="M1100" s="11">
        <f>_xlfn.NUMBERVALUE(LEFT(Table613[[#This Row],[Fiscal Year]], 4))</f>
        <v>2015</v>
      </c>
      <c r="N1100" s="42">
        <f t="shared" ref="N1100:N1163" si="25">K1100*(1+VLOOKUP(M1100,$AF$8:$AH$31,3,0))</f>
        <v>31852.025316455696</v>
      </c>
      <c r="O1100" s="3">
        <v>1098</v>
      </c>
    </row>
    <row r="1101" spans="1:15" x14ac:dyDescent="0.25">
      <c r="A1101" s="3">
        <v>4</v>
      </c>
      <c r="B1101" s="3" t="s">
        <v>195</v>
      </c>
      <c r="C1101" s="1" t="s">
        <v>12</v>
      </c>
      <c r="D1101" s="1" t="s">
        <v>444</v>
      </c>
      <c r="E1101" s="11" t="s">
        <v>144</v>
      </c>
      <c r="F1101" s="3" t="s">
        <v>8</v>
      </c>
      <c r="G1101" s="66" t="s">
        <v>58</v>
      </c>
      <c r="H1101" s="8"/>
      <c r="I1101" s="8"/>
      <c r="J1101" s="6" t="s">
        <v>453</v>
      </c>
      <c r="K1101" s="38">
        <v>7500</v>
      </c>
      <c r="L1101" s="4" t="s">
        <v>29</v>
      </c>
      <c r="M1101" s="11">
        <f>_xlfn.NUMBERVALUE(LEFT(Table613[[#This Row],[Fiscal Year]], 4))</f>
        <v>2015</v>
      </c>
      <c r="N1101" s="42">
        <f t="shared" si="25"/>
        <v>7963.006329113924</v>
      </c>
      <c r="O1101" s="3">
        <v>1099</v>
      </c>
    </row>
    <row r="1102" spans="1:15" x14ac:dyDescent="0.25">
      <c r="A1102" s="3">
        <v>4</v>
      </c>
      <c r="B1102" s="3" t="s">
        <v>195</v>
      </c>
      <c r="C1102" s="1" t="s">
        <v>12</v>
      </c>
      <c r="D1102" s="1" t="s">
        <v>444</v>
      </c>
      <c r="E1102" s="11" t="s">
        <v>144</v>
      </c>
      <c r="F1102" s="3" t="s">
        <v>8</v>
      </c>
      <c r="G1102" s="66" t="s">
        <v>208</v>
      </c>
      <c r="H1102" s="8"/>
      <c r="I1102" s="8"/>
      <c r="J1102" s="6" t="s">
        <v>109</v>
      </c>
      <c r="K1102" s="38">
        <v>20000</v>
      </c>
      <c r="L1102" s="4" t="s">
        <v>29</v>
      </c>
      <c r="M1102" s="11">
        <f>_xlfn.NUMBERVALUE(LEFT(Table613[[#This Row],[Fiscal Year]], 4))</f>
        <v>2015</v>
      </c>
      <c r="N1102" s="42">
        <f t="shared" si="25"/>
        <v>21234.683544303796</v>
      </c>
      <c r="O1102" s="3">
        <v>1100</v>
      </c>
    </row>
    <row r="1103" spans="1:15" x14ac:dyDescent="0.25">
      <c r="A1103" s="3">
        <v>4</v>
      </c>
      <c r="B1103" s="3" t="s">
        <v>195</v>
      </c>
      <c r="C1103" s="1" t="s">
        <v>12</v>
      </c>
      <c r="D1103" s="1" t="s">
        <v>444</v>
      </c>
      <c r="E1103" s="11" t="s">
        <v>144</v>
      </c>
      <c r="F1103" s="3" t="s">
        <v>8</v>
      </c>
      <c r="G1103" s="48" t="s">
        <v>59</v>
      </c>
      <c r="H1103" s="8"/>
      <c r="I1103" s="8"/>
      <c r="J1103" s="6" t="s">
        <v>111</v>
      </c>
      <c r="K1103" s="38">
        <v>15000</v>
      </c>
      <c r="L1103" s="4" t="s">
        <v>29</v>
      </c>
      <c r="M1103" s="11">
        <f>_xlfn.NUMBERVALUE(LEFT(Table613[[#This Row],[Fiscal Year]], 4))</f>
        <v>2015</v>
      </c>
      <c r="N1103" s="42">
        <f t="shared" si="25"/>
        <v>15926.012658227848</v>
      </c>
      <c r="O1103" s="3">
        <v>1101</v>
      </c>
    </row>
    <row r="1104" spans="1:15" x14ac:dyDescent="0.25">
      <c r="A1104" s="3">
        <v>4</v>
      </c>
      <c r="B1104" s="3" t="s">
        <v>195</v>
      </c>
      <c r="C1104" s="1" t="s">
        <v>12</v>
      </c>
      <c r="D1104" s="1" t="s">
        <v>444</v>
      </c>
      <c r="E1104" s="11" t="s">
        <v>144</v>
      </c>
      <c r="F1104" s="3" t="s">
        <v>8</v>
      </c>
      <c r="G1104" s="66" t="s">
        <v>60</v>
      </c>
      <c r="H1104" s="8"/>
      <c r="I1104" s="8"/>
      <c r="J1104" s="6" t="s">
        <v>111</v>
      </c>
      <c r="K1104" s="38">
        <v>5000</v>
      </c>
      <c r="L1104" s="4" t="s">
        <v>29</v>
      </c>
      <c r="M1104" s="11">
        <f>_xlfn.NUMBERVALUE(LEFT(Table613[[#This Row],[Fiscal Year]], 4))</f>
        <v>2015</v>
      </c>
      <c r="N1104" s="42">
        <f t="shared" si="25"/>
        <v>5308.6708860759491</v>
      </c>
      <c r="O1104" s="3">
        <v>1102</v>
      </c>
    </row>
    <row r="1105" spans="1:15" x14ac:dyDescent="0.25">
      <c r="A1105" s="3">
        <v>4</v>
      </c>
      <c r="B1105" s="3" t="s">
        <v>195</v>
      </c>
      <c r="C1105" s="1" t="s">
        <v>12</v>
      </c>
      <c r="D1105" s="1" t="s">
        <v>444</v>
      </c>
      <c r="E1105" s="11" t="s">
        <v>144</v>
      </c>
      <c r="F1105" s="3" t="s">
        <v>8</v>
      </c>
      <c r="G1105" s="48" t="s">
        <v>61</v>
      </c>
      <c r="H1105" s="8"/>
      <c r="I1105" s="8"/>
      <c r="J1105" s="6" t="s">
        <v>108</v>
      </c>
      <c r="K1105" s="38">
        <v>289000</v>
      </c>
      <c r="L1105" s="4" t="s">
        <v>29</v>
      </c>
      <c r="M1105" s="11">
        <f>_xlfn.NUMBERVALUE(LEFT(Table613[[#This Row],[Fiscal Year]], 4))</f>
        <v>2015</v>
      </c>
      <c r="N1105" s="42">
        <f t="shared" si="25"/>
        <v>306841.17721518985</v>
      </c>
      <c r="O1105" s="3">
        <v>1103</v>
      </c>
    </row>
    <row r="1106" spans="1:15" x14ac:dyDescent="0.25">
      <c r="A1106" s="3">
        <v>4</v>
      </c>
      <c r="B1106" s="3" t="s">
        <v>195</v>
      </c>
      <c r="C1106" s="1" t="s">
        <v>12</v>
      </c>
      <c r="D1106" s="1" t="s">
        <v>444</v>
      </c>
      <c r="E1106" s="11" t="s">
        <v>144</v>
      </c>
      <c r="F1106" s="3" t="s">
        <v>8</v>
      </c>
      <c r="G1106" s="66" t="s">
        <v>62</v>
      </c>
      <c r="H1106" s="8"/>
      <c r="I1106" s="8"/>
      <c r="J1106" s="6" t="s">
        <v>106</v>
      </c>
      <c r="K1106" s="38">
        <v>8000</v>
      </c>
      <c r="L1106" s="4" t="s">
        <v>29</v>
      </c>
      <c r="M1106" s="11">
        <f>_xlfn.NUMBERVALUE(LEFT(Table613[[#This Row],[Fiscal Year]], 4))</f>
        <v>2015</v>
      </c>
      <c r="N1106" s="42">
        <f t="shared" si="25"/>
        <v>8493.8734177215192</v>
      </c>
      <c r="O1106" s="3">
        <v>1104</v>
      </c>
    </row>
    <row r="1107" spans="1:15" x14ac:dyDescent="0.25">
      <c r="A1107" s="3">
        <v>4</v>
      </c>
      <c r="B1107" s="3" t="s">
        <v>195</v>
      </c>
      <c r="C1107" s="1" t="s">
        <v>12</v>
      </c>
      <c r="D1107" s="1" t="s">
        <v>444</v>
      </c>
      <c r="E1107" s="11" t="s">
        <v>144</v>
      </c>
      <c r="F1107" s="3" t="s">
        <v>8</v>
      </c>
      <c r="G1107" s="66" t="s">
        <v>211</v>
      </c>
      <c r="H1107" s="8"/>
      <c r="I1107" s="8"/>
      <c r="J1107" s="6" t="s">
        <v>455</v>
      </c>
      <c r="K1107" s="38" t="s">
        <v>827</v>
      </c>
      <c r="L1107" s="4" t="s">
        <v>29</v>
      </c>
      <c r="M1107" s="11">
        <f>_xlfn.NUMBERVALUE(LEFT(Table613[[#This Row],[Fiscal Year]], 4))</f>
        <v>2015</v>
      </c>
      <c r="O1107" s="3">
        <v>1105</v>
      </c>
    </row>
    <row r="1108" spans="1:15" x14ac:dyDescent="0.25">
      <c r="A1108" s="3">
        <v>4</v>
      </c>
      <c r="B1108" s="3" t="s">
        <v>195</v>
      </c>
      <c r="C1108" s="1" t="s">
        <v>12</v>
      </c>
      <c r="D1108" s="1" t="s">
        <v>444</v>
      </c>
      <c r="E1108" s="11" t="s">
        <v>144</v>
      </c>
      <c r="F1108" s="3" t="s">
        <v>8</v>
      </c>
      <c r="G1108" s="66" t="s">
        <v>64</v>
      </c>
      <c r="H1108" s="8"/>
      <c r="I1108" s="8"/>
      <c r="J1108" s="6" t="s">
        <v>76</v>
      </c>
      <c r="K1108" s="38" t="s">
        <v>827</v>
      </c>
      <c r="L1108" s="4" t="s">
        <v>29</v>
      </c>
      <c r="M1108" s="11">
        <f>_xlfn.NUMBERVALUE(LEFT(Table613[[#This Row],[Fiscal Year]], 4))</f>
        <v>2015</v>
      </c>
      <c r="O1108" s="3">
        <v>1106</v>
      </c>
    </row>
    <row r="1109" spans="1:15" x14ac:dyDescent="0.25">
      <c r="A1109" s="3">
        <v>4</v>
      </c>
      <c r="B1109" s="3" t="s">
        <v>195</v>
      </c>
      <c r="C1109" s="1" t="s">
        <v>12</v>
      </c>
      <c r="D1109" s="1" t="s">
        <v>444</v>
      </c>
      <c r="E1109" s="11" t="s">
        <v>144</v>
      </c>
      <c r="F1109" s="3" t="s">
        <v>8</v>
      </c>
      <c r="G1109" s="66" t="s">
        <v>65</v>
      </c>
      <c r="H1109" s="8"/>
      <c r="I1109" s="8"/>
      <c r="J1109" s="6" t="s">
        <v>76</v>
      </c>
      <c r="K1109" s="38" t="s">
        <v>827</v>
      </c>
      <c r="L1109" s="4" t="s">
        <v>29</v>
      </c>
      <c r="M1109" s="11">
        <f>_xlfn.NUMBERVALUE(LEFT(Table613[[#This Row],[Fiscal Year]], 4))</f>
        <v>2015</v>
      </c>
      <c r="O1109" s="3">
        <v>1107</v>
      </c>
    </row>
    <row r="1110" spans="1:15" x14ac:dyDescent="0.25">
      <c r="A1110" s="3">
        <v>4</v>
      </c>
      <c r="B1110" s="3" t="s">
        <v>195</v>
      </c>
      <c r="C1110" s="1" t="s">
        <v>12</v>
      </c>
      <c r="D1110" s="1" t="s">
        <v>444</v>
      </c>
      <c r="E1110" s="11" t="s">
        <v>144</v>
      </c>
      <c r="F1110" s="3" t="s">
        <v>8</v>
      </c>
      <c r="G1110" s="48" t="s">
        <v>66</v>
      </c>
      <c r="H1110" s="8"/>
      <c r="I1110" s="8"/>
      <c r="J1110" s="6" t="s">
        <v>76</v>
      </c>
      <c r="K1110" s="38" t="s">
        <v>827</v>
      </c>
      <c r="L1110" s="4" t="s">
        <v>29</v>
      </c>
      <c r="M1110" s="11">
        <f>_xlfn.NUMBERVALUE(LEFT(Table613[[#This Row],[Fiscal Year]], 4))</f>
        <v>2015</v>
      </c>
      <c r="O1110" s="3">
        <v>1108</v>
      </c>
    </row>
    <row r="1111" spans="1:15" x14ac:dyDescent="0.25">
      <c r="A1111" s="3">
        <v>4</v>
      </c>
      <c r="B1111" s="3" t="s">
        <v>195</v>
      </c>
      <c r="C1111" s="1" t="s">
        <v>12</v>
      </c>
      <c r="D1111" s="1" t="s">
        <v>444</v>
      </c>
      <c r="E1111" s="11" t="s">
        <v>144</v>
      </c>
      <c r="F1111" s="3" t="s">
        <v>8</v>
      </c>
      <c r="G1111" s="66" t="s">
        <v>33</v>
      </c>
      <c r="H1111" s="8"/>
      <c r="I1111" s="8"/>
      <c r="J1111" s="6" t="s">
        <v>47</v>
      </c>
      <c r="K1111" s="38">
        <v>10000</v>
      </c>
      <c r="L1111" s="4" t="s">
        <v>29</v>
      </c>
      <c r="M1111" s="11">
        <f>_xlfn.NUMBERVALUE(LEFT(Table613[[#This Row],[Fiscal Year]], 4))</f>
        <v>2015</v>
      </c>
      <c r="N1111" s="42">
        <f t="shared" si="25"/>
        <v>10617.341772151898</v>
      </c>
      <c r="O1111" s="3">
        <v>1109</v>
      </c>
    </row>
    <row r="1112" spans="1:15" x14ac:dyDescent="0.25">
      <c r="A1112" s="3">
        <v>4</v>
      </c>
      <c r="B1112" s="3" t="s">
        <v>195</v>
      </c>
      <c r="C1112" s="1" t="s">
        <v>12</v>
      </c>
      <c r="D1112" s="1" t="s">
        <v>444</v>
      </c>
      <c r="E1112" s="11" t="s">
        <v>144</v>
      </c>
      <c r="F1112" s="3" t="s">
        <v>8</v>
      </c>
      <c r="G1112" s="66" t="s">
        <v>67</v>
      </c>
      <c r="H1112" s="8"/>
      <c r="I1112" s="8"/>
      <c r="J1112" s="6" t="s">
        <v>455</v>
      </c>
      <c r="K1112" s="38" t="s">
        <v>827</v>
      </c>
      <c r="L1112" s="4" t="s">
        <v>29</v>
      </c>
      <c r="M1112" s="11">
        <f>_xlfn.NUMBERVALUE(LEFT(Table613[[#This Row],[Fiscal Year]], 4))</f>
        <v>2015</v>
      </c>
      <c r="O1112" s="3">
        <v>1110</v>
      </c>
    </row>
    <row r="1113" spans="1:15" x14ac:dyDescent="0.25">
      <c r="C1113" s="1"/>
      <c r="D1113" s="1"/>
      <c r="E1113" s="11"/>
      <c r="G1113" s="66"/>
      <c r="H1113" s="8"/>
      <c r="I1113" s="8"/>
      <c r="J1113" s="6"/>
      <c r="L1113" s="4"/>
      <c r="O1113" s="3">
        <v>1111</v>
      </c>
    </row>
    <row r="1114" spans="1:15" x14ac:dyDescent="0.25">
      <c r="A1114" s="3">
        <v>4</v>
      </c>
      <c r="B1114" s="3" t="s">
        <v>196</v>
      </c>
      <c r="C1114" s="1" t="s">
        <v>12</v>
      </c>
      <c r="D1114" s="1" t="s">
        <v>444</v>
      </c>
      <c r="E1114" s="11" t="s">
        <v>144</v>
      </c>
      <c r="F1114" s="3" t="s">
        <v>8</v>
      </c>
      <c r="G1114" s="48" t="s">
        <v>32</v>
      </c>
      <c r="H1114" s="8"/>
      <c r="I1114" s="8"/>
      <c r="J1114" s="6" t="s">
        <v>110</v>
      </c>
      <c r="K1114" s="38" t="s">
        <v>827</v>
      </c>
      <c r="L1114" s="4" t="s">
        <v>29</v>
      </c>
      <c r="M1114" s="11">
        <f>_xlfn.NUMBERVALUE(LEFT(Table613[[#This Row],[Fiscal Year]], 4))</f>
        <v>2015</v>
      </c>
      <c r="O1114" s="3">
        <v>1112</v>
      </c>
    </row>
    <row r="1115" spans="1:15" x14ac:dyDescent="0.25">
      <c r="A1115" s="3">
        <v>4</v>
      </c>
      <c r="B1115" s="3" t="s">
        <v>196</v>
      </c>
      <c r="C1115" s="1" t="s">
        <v>12</v>
      </c>
      <c r="D1115" s="1" t="s">
        <v>444</v>
      </c>
      <c r="E1115" s="11" t="s">
        <v>144</v>
      </c>
      <c r="F1115" s="3" t="s">
        <v>8</v>
      </c>
      <c r="G1115" s="66" t="s">
        <v>58</v>
      </c>
      <c r="H1115" s="8"/>
      <c r="I1115" s="8"/>
      <c r="J1115" s="6" t="s">
        <v>453</v>
      </c>
      <c r="K1115" s="38" t="s">
        <v>827</v>
      </c>
      <c r="L1115" s="4" t="s">
        <v>29</v>
      </c>
      <c r="M1115" s="11">
        <f>_xlfn.NUMBERVALUE(LEFT(Table613[[#This Row],[Fiscal Year]], 4))</f>
        <v>2015</v>
      </c>
      <c r="O1115" s="3">
        <v>1113</v>
      </c>
    </row>
    <row r="1116" spans="1:15" x14ac:dyDescent="0.25">
      <c r="A1116" s="3">
        <v>4</v>
      </c>
      <c r="B1116" s="3" t="s">
        <v>196</v>
      </c>
      <c r="C1116" s="1" t="s">
        <v>12</v>
      </c>
      <c r="D1116" s="1" t="s">
        <v>444</v>
      </c>
      <c r="E1116" s="11" t="s">
        <v>144</v>
      </c>
      <c r="F1116" s="3" t="s">
        <v>8</v>
      </c>
      <c r="G1116" s="66" t="s">
        <v>208</v>
      </c>
      <c r="H1116" s="8"/>
      <c r="I1116" s="8"/>
      <c r="J1116" s="6" t="s">
        <v>109</v>
      </c>
      <c r="K1116" s="38">
        <v>16000</v>
      </c>
      <c r="L1116" s="4" t="s">
        <v>29</v>
      </c>
      <c r="M1116" s="11">
        <f>_xlfn.NUMBERVALUE(LEFT(Table613[[#This Row],[Fiscal Year]], 4))</f>
        <v>2015</v>
      </c>
      <c r="N1116" s="42">
        <f t="shared" si="25"/>
        <v>16987.746835443038</v>
      </c>
      <c r="O1116" s="3">
        <v>1114</v>
      </c>
    </row>
    <row r="1117" spans="1:15" x14ac:dyDescent="0.25">
      <c r="A1117" s="3">
        <v>4</v>
      </c>
      <c r="B1117" s="3" t="s">
        <v>196</v>
      </c>
      <c r="C1117" s="1" t="s">
        <v>12</v>
      </c>
      <c r="D1117" s="1" t="s">
        <v>444</v>
      </c>
      <c r="E1117" s="11" t="s">
        <v>144</v>
      </c>
      <c r="F1117" s="3" t="s">
        <v>8</v>
      </c>
      <c r="G1117" s="48" t="s">
        <v>59</v>
      </c>
      <c r="H1117" s="8"/>
      <c r="I1117" s="8"/>
      <c r="J1117" s="6" t="s">
        <v>111</v>
      </c>
      <c r="K1117" s="38" t="s">
        <v>827</v>
      </c>
      <c r="L1117" s="4" t="s">
        <v>29</v>
      </c>
      <c r="M1117" s="11">
        <f>_xlfn.NUMBERVALUE(LEFT(Table613[[#This Row],[Fiscal Year]], 4))</f>
        <v>2015</v>
      </c>
      <c r="O1117" s="3">
        <v>1115</v>
      </c>
    </row>
    <row r="1118" spans="1:15" x14ac:dyDescent="0.25">
      <c r="A1118" s="3">
        <v>4</v>
      </c>
      <c r="B1118" s="3" t="s">
        <v>196</v>
      </c>
      <c r="C1118" s="1" t="s">
        <v>12</v>
      </c>
      <c r="D1118" s="1" t="s">
        <v>444</v>
      </c>
      <c r="E1118" s="11" t="s">
        <v>144</v>
      </c>
      <c r="F1118" s="3" t="s">
        <v>8</v>
      </c>
      <c r="G1118" s="66" t="s">
        <v>60</v>
      </c>
      <c r="H1118" s="8"/>
      <c r="I1118" s="8"/>
      <c r="J1118" s="6" t="s">
        <v>111</v>
      </c>
      <c r="K1118" s="38">
        <v>25000</v>
      </c>
      <c r="L1118" s="4" t="s">
        <v>29</v>
      </c>
      <c r="M1118" s="11">
        <f>_xlfn.NUMBERVALUE(LEFT(Table613[[#This Row],[Fiscal Year]], 4))</f>
        <v>2015</v>
      </c>
      <c r="N1118" s="42">
        <f t="shared" si="25"/>
        <v>26543.354430379746</v>
      </c>
      <c r="O1118" s="3">
        <v>1116</v>
      </c>
    </row>
    <row r="1119" spans="1:15" x14ac:dyDescent="0.25">
      <c r="A1119" s="3">
        <v>4</v>
      </c>
      <c r="B1119" s="3" t="s">
        <v>196</v>
      </c>
      <c r="C1119" s="1" t="s">
        <v>12</v>
      </c>
      <c r="D1119" s="1" t="s">
        <v>444</v>
      </c>
      <c r="E1119" s="11" t="s">
        <v>144</v>
      </c>
      <c r="F1119" s="3" t="s">
        <v>8</v>
      </c>
      <c r="G1119" s="48" t="s">
        <v>61</v>
      </c>
      <c r="H1119" s="8"/>
      <c r="I1119" s="8"/>
      <c r="J1119" s="6" t="s">
        <v>108</v>
      </c>
      <c r="K1119" s="38">
        <v>224000</v>
      </c>
      <c r="L1119" s="4" t="s">
        <v>29</v>
      </c>
      <c r="M1119" s="11">
        <f>_xlfn.NUMBERVALUE(LEFT(Table613[[#This Row],[Fiscal Year]], 4))</f>
        <v>2015</v>
      </c>
      <c r="N1119" s="42">
        <f t="shared" si="25"/>
        <v>237828.45569620252</v>
      </c>
      <c r="O1119" s="3">
        <v>1117</v>
      </c>
    </row>
    <row r="1120" spans="1:15" x14ac:dyDescent="0.25">
      <c r="A1120" s="3">
        <v>4</v>
      </c>
      <c r="B1120" s="3" t="s">
        <v>196</v>
      </c>
      <c r="C1120" s="1" t="s">
        <v>12</v>
      </c>
      <c r="D1120" s="1" t="s">
        <v>444</v>
      </c>
      <c r="E1120" s="11" t="s">
        <v>144</v>
      </c>
      <c r="F1120" s="3" t="s">
        <v>8</v>
      </c>
      <c r="G1120" s="66" t="s">
        <v>62</v>
      </c>
      <c r="H1120" s="8"/>
      <c r="I1120" s="8"/>
      <c r="J1120" s="6" t="s">
        <v>106</v>
      </c>
      <c r="K1120" s="38">
        <v>10000</v>
      </c>
      <c r="L1120" s="4" t="s">
        <v>29</v>
      </c>
      <c r="M1120" s="11">
        <f>_xlfn.NUMBERVALUE(LEFT(Table613[[#This Row],[Fiscal Year]], 4))</f>
        <v>2015</v>
      </c>
      <c r="N1120" s="42">
        <f t="shared" si="25"/>
        <v>10617.341772151898</v>
      </c>
      <c r="O1120" s="3">
        <v>1118</v>
      </c>
    </row>
    <row r="1121" spans="1:15" x14ac:dyDescent="0.25">
      <c r="A1121" s="3">
        <v>4</v>
      </c>
      <c r="B1121" s="3" t="s">
        <v>196</v>
      </c>
      <c r="C1121" s="1" t="s">
        <v>12</v>
      </c>
      <c r="D1121" s="1" t="s">
        <v>444</v>
      </c>
      <c r="E1121" s="11" t="s">
        <v>144</v>
      </c>
      <c r="F1121" s="3" t="s">
        <v>8</v>
      </c>
      <c r="G1121" s="66" t="s">
        <v>211</v>
      </c>
      <c r="H1121" s="8"/>
      <c r="I1121" s="8"/>
      <c r="J1121" s="6" t="s">
        <v>455</v>
      </c>
      <c r="K1121" s="38" t="s">
        <v>827</v>
      </c>
      <c r="L1121" s="4" t="s">
        <v>29</v>
      </c>
      <c r="M1121" s="11">
        <f>_xlfn.NUMBERVALUE(LEFT(Table613[[#This Row],[Fiscal Year]], 4))</f>
        <v>2015</v>
      </c>
      <c r="O1121" s="3">
        <v>1119</v>
      </c>
    </row>
    <row r="1122" spans="1:15" x14ac:dyDescent="0.25">
      <c r="A1122" s="3">
        <v>4</v>
      </c>
      <c r="B1122" s="3" t="s">
        <v>196</v>
      </c>
      <c r="C1122" s="1" t="s">
        <v>12</v>
      </c>
      <c r="D1122" s="1" t="s">
        <v>444</v>
      </c>
      <c r="E1122" s="11" t="s">
        <v>144</v>
      </c>
      <c r="F1122" s="3" t="s">
        <v>8</v>
      </c>
      <c r="G1122" s="66" t="s">
        <v>64</v>
      </c>
      <c r="H1122" s="8"/>
      <c r="I1122" s="8"/>
      <c r="J1122" s="6" t="s">
        <v>76</v>
      </c>
      <c r="K1122" s="38">
        <v>20000</v>
      </c>
      <c r="L1122" s="4" t="s">
        <v>29</v>
      </c>
      <c r="M1122" s="11">
        <f>_xlfn.NUMBERVALUE(LEFT(Table613[[#This Row],[Fiscal Year]], 4))</f>
        <v>2015</v>
      </c>
      <c r="N1122" s="42">
        <f t="shared" si="25"/>
        <v>21234.683544303796</v>
      </c>
      <c r="O1122" s="3">
        <v>1120</v>
      </c>
    </row>
    <row r="1123" spans="1:15" x14ac:dyDescent="0.25">
      <c r="A1123" s="3">
        <v>4</v>
      </c>
      <c r="B1123" s="3" t="s">
        <v>196</v>
      </c>
      <c r="C1123" s="1" t="s">
        <v>12</v>
      </c>
      <c r="D1123" s="1" t="s">
        <v>444</v>
      </c>
      <c r="E1123" s="11" t="s">
        <v>144</v>
      </c>
      <c r="F1123" s="3" t="s">
        <v>8</v>
      </c>
      <c r="G1123" s="66" t="s">
        <v>65</v>
      </c>
      <c r="H1123" s="8"/>
      <c r="I1123" s="8"/>
      <c r="J1123" s="6" t="s">
        <v>76</v>
      </c>
      <c r="K1123" s="38" t="s">
        <v>827</v>
      </c>
      <c r="L1123" s="4" t="s">
        <v>29</v>
      </c>
      <c r="M1123" s="11">
        <f>_xlfn.NUMBERVALUE(LEFT(Table613[[#This Row],[Fiscal Year]], 4))</f>
        <v>2015</v>
      </c>
      <c r="O1123" s="3">
        <v>1121</v>
      </c>
    </row>
    <row r="1124" spans="1:15" x14ac:dyDescent="0.25">
      <c r="A1124" s="3">
        <v>4</v>
      </c>
      <c r="B1124" s="3" t="s">
        <v>196</v>
      </c>
      <c r="C1124" s="1" t="s">
        <v>12</v>
      </c>
      <c r="D1124" s="1" t="s">
        <v>444</v>
      </c>
      <c r="E1124" s="11" t="s">
        <v>144</v>
      </c>
      <c r="F1124" s="3" t="s">
        <v>8</v>
      </c>
      <c r="G1124" s="48" t="s">
        <v>66</v>
      </c>
      <c r="H1124" s="8"/>
      <c r="I1124" s="8"/>
      <c r="J1124" s="6" t="s">
        <v>76</v>
      </c>
      <c r="K1124" s="38" t="s">
        <v>827</v>
      </c>
      <c r="L1124" s="4" t="s">
        <v>29</v>
      </c>
      <c r="M1124" s="11">
        <f>_xlfn.NUMBERVALUE(LEFT(Table613[[#This Row],[Fiscal Year]], 4))</f>
        <v>2015</v>
      </c>
      <c r="O1124" s="3">
        <v>1122</v>
      </c>
    </row>
    <row r="1125" spans="1:15" x14ac:dyDescent="0.25">
      <c r="A1125" s="3">
        <v>4</v>
      </c>
      <c r="B1125" s="3" t="s">
        <v>196</v>
      </c>
      <c r="C1125" s="1" t="s">
        <v>12</v>
      </c>
      <c r="D1125" s="1" t="s">
        <v>444</v>
      </c>
      <c r="E1125" s="11" t="s">
        <v>144</v>
      </c>
      <c r="F1125" s="3" t="s">
        <v>8</v>
      </c>
      <c r="G1125" s="66" t="s">
        <v>33</v>
      </c>
      <c r="H1125" s="8"/>
      <c r="I1125" s="8"/>
      <c r="J1125" s="6" t="s">
        <v>47</v>
      </c>
      <c r="K1125" s="38">
        <v>66597.3</v>
      </c>
      <c r="L1125" s="4" t="s">
        <v>29</v>
      </c>
      <c r="M1125" s="11">
        <f>_xlfn.NUMBERVALUE(LEFT(Table613[[#This Row],[Fiscal Year]], 4))</f>
        <v>2015</v>
      </c>
      <c r="N1125" s="42">
        <f t="shared" si="25"/>
        <v>70708.629520253162</v>
      </c>
      <c r="O1125" s="3">
        <v>1123</v>
      </c>
    </row>
    <row r="1126" spans="1:15" x14ac:dyDescent="0.25">
      <c r="A1126" s="3">
        <v>4</v>
      </c>
      <c r="B1126" s="3" t="s">
        <v>196</v>
      </c>
      <c r="C1126" s="1" t="s">
        <v>12</v>
      </c>
      <c r="D1126" s="1" t="s">
        <v>444</v>
      </c>
      <c r="E1126" s="11" t="s">
        <v>144</v>
      </c>
      <c r="F1126" s="3" t="s">
        <v>8</v>
      </c>
      <c r="G1126" s="66" t="s">
        <v>67</v>
      </c>
      <c r="H1126" s="8"/>
      <c r="I1126" s="8"/>
      <c r="J1126" s="6" t="s">
        <v>455</v>
      </c>
      <c r="K1126" s="38">
        <v>47235</v>
      </c>
      <c r="L1126" s="4" t="s">
        <v>29</v>
      </c>
      <c r="M1126" s="11">
        <f>_xlfn.NUMBERVALUE(LEFT(Table613[[#This Row],[Fiscal Year]], 4))</f>
        <v>2015</v>
      </c>
      <c r="N1126" s="42">
        <f t="shared" si="25"/>
        <v>50151.013860759493</v>
      </c>
      <c r="O1126" s="3">
        <v>1124</v>
      </c>
    </row>
    <row r="1127" spans="1:15" x14ac:dyDescent="0.25">
      <c r="C1127" s="1"/>
      <c r="D1127" s="1"/>
      <c r="E1127" s="11"/>
      <c r="G1127" s="66"/>
      <c r="H1127" s="8"/>
      <c r="I1127" s="8"/>
      <c r="J1127" s="6"/>
      <c r="L1127" s="4"/>
      <c r="O1127" s="3">
        <v>1125</v>
      </c>
    </row>
    <row r="1128" spans="1:15" x14ac:dyDescent="0.25">
      <c r="A1128" s="3">
        <v>4</v>
      </c>
      <c r="B1128" s="3" t="s">
        <v>197</v>
      </c>
      <c r="C1128" s="1" t="s">
        <v>12</v>
      </c>
      <c r="D1128" s="1" t="s">
        <v>444</v>
      </c>
      <c r="E1128" s="11" t="s">
        <v>144</v>
      </c>
      <c r="F1128" s="3" t="s">
        <v>8</v>
      </c>
      <c r="G1128" s="48" t="s">
        <v>32</v>
      </c>
      <c r="H1128" s="8"/>
      <c r="I1128" s="8"/>
      <c r="J1128" s="6" t="s">
        <v>110</v>
      </c>
      <c r="K1128" s="38">
        <v>164080</v>
      </c>
      <c r="L1128" s="4" t="s">
        <v>29</v>
      </c>
      <c r="M1128" s="11">
        <f>_xlfn.NUMBERVALUE(LEFT(Table613[[#This Row],[Fiscal Year]], 4))</f>
        <v>2015</v>
      </c>
      <c r="N1128" s="42">
        <f t="shared" si="25"/>
        <v>174209.34379746835</v>
      </c>
      <c r="O1128" s="3">
        <v>1126</v>
      </c>
    </row>
    <row r="1129" spans="1:15" x14ac:dyDescent="0.25">
      <c r="A1129" s="3">
        <v>4</v>
      </c>
      <c r="B1129" s="3" t="s">
        <v>197</v>
      </c>
      <c r="C1129" s="1" t="s">
        <v>12</v>
      </c>
      <c r="D1129" s="1" t="s">
        <v>444</v>
      </c>
      <c r="E1129" s="11" t="s">
        <v>144</v>
      </c>
      <c r="F1129" s="3" t="s">
        <v>8</v>
      </c>
      <c r="G1129" s="66" t="s">
        <v>58</v>
      </c>
      <c r="H1129" s="8"/>
      <c r="I1129" s="8"/>
      <c r="J1129" s="6" t="s">
        <v>453</v>
      </c>
      <c r="K1129" s="38">
        <v>1500</v>
      </c>
      <c r="L1129" s="4" t="s">
        <v>29</v>
      </c>
      <c r="M1129" s="11">
        <f>_xlfn.NUMBERVALUE(LEFT(Table613[[#This Row],[Fiscal Year]], 4))</f>
        <v>2015</v>
      </c>
      <c r="N1129" s="42">
        <f t="shared" si="25"/>
        <v>1592.6012658227846</v>
      </c>
      <c r="O1129" s="3">
        <v>1127</v>
      </c>
    </row>
    <row r="1130" spans="1:15" x14ac:dyDescent="0.25">
      <c r="A1130" s="3">
        <v>4</v>
      </c>
      <c r="B1130" s="3" t="s">
        <v>197</v>
      </c>
      <c r="C1130" s="1" t="s">
        <v>12</v>
      </c>
      <c r="D1130" s="1" t="s">
        <v>444</v>
      </c>
      <c r="E1130" s="11" t="s">
        <v>144</v>
      </c>
      <c r="F1130" s="3" t="s">
        <v>8</v>
      </c>
      <c r="G1130" s="66" t="s">
        <v>208</v>
      </c>
      <c r="H1130" s="8"/>
      <c r="I1130" s="8"/>
      <c r="J1130" s="6" t="s">
        <v>109</v>
      </c>
      <c r="K1130" s="38" t="s">
        <v>827</v>
      </c>
      <c r="L1130" s="4" t="s">
        <v>29</v>
      </c>
      <c r="M1130" s="11">
        <f>_xlfn.NUMBERVALUE(LEFT(Table613[[#This Row],[Fiscal Year]], 4))</f>
        <v>2015</v>
      </c>
      <c r="O1130" s="3">
        <v>1128</v>
      </c>
    </row>
    <row r="1131" spans="1:15" x14ac:dyDescent="0.25">
      <c r="A1131" s="3">
        <v>4</v>
      </c>
      <c r="B1131" s="3" t="s">
        <v>197</v>
      </c>
      <c r="C1131" s="1" t="s">
        <v>12</v>
      </c>
      <c r="D1131" s="1" t="s">
        <v>444</v>
      </c>
      <c r="E1131" s="11" t="s">
        <v>144</v>
      </c>
      <c r="F1131" s="3" t="s">
        <v>8</v>
      </c>
      <c r="G1131" s="48" t="s">
        <v>59</v>
      </c>
      <c r="H1131" s="8"/>
      <c r="I1131" s="8"/>
      <c r="J1131" s="6" t="s">
        <v>111</v>
      </c>
      <c r="K1131" s="38" t="s">
        <v>827</v>
      </c>
      <c r="L1131" s="4" t="s">
        <v>29</v>
      </c>
      <c r="M1131" s="11">
        <f>_xlfn.NUMBERVALUE(LEFT(Table613[[#This Row],[Fiscal Year]], 4))</f>
        <v>2015</v>
      </c>
      <c r="O1131" s="3">
        <v>1129</v>
      </c>
    </row>
    <row r="1132" spans="1:15" x14ac:dyDescent="0.25">
      <c r="A1132" s="3">
        <v>4</v>
      </c>
      <c r="B1132" s="3" t="s">
        <v>197</v>
      </c>
      <c r="C1132" s="1" t="s">
        <v>12</v>
      </c>
      <c r="D1132" s="1" t="s">
        <v>444</v>
      </c>
      <c r="E1132" s="11" t="s">
        <v>144</v>
      </c>
      <c r="F1132" s="3" t="s">
        <v>8</v>
      </c>
      <c r="G1132" s="66" t="s">
        <v>60</v>
      </c>
      <c r="H1132" s="8"/>
      <c r="I1132" s="8"/>
      <c r="J1132" s="6" t="s">
        <v>111</v>
      </c>
      <c r="K1132" s="38" t="s">
        <v>827</v>
      </c>
      <c r="L1132" s="4" t="s">
        <v>29</v>
      </c>
      <c r="M1132" s="11">
        <f>_xlfn.NUMBERVALUE(LEFT(Table613[[#This Row],[Fiscal Year]], 4))</f>
        <v>2015</v>
      </c>
      <c r="O1132" s="3">
        <v>1130</v>
      </c>
    </row>
    <row r="1133" spans="1:15" x14ac:dyDescent="0.25">
      <c r="A1133" s="3">
        <v>4</v>
      </c>
      <c r="B1133" s="3" t="s">
        <v>197</v>
      </c>
      <c r="C1133" s="1" t="s">
        <v>12</v>
      </c>
      <c r="D1133" s="1" t="s">
        <v>444</v>
      </c>
      <c r="E1133" s="11" t="s">
        <v>144</v>
      </c>
      <c r="F1133" s="3" t="s">
        <v>8</v>
      </c>
      <c r="G1133" s="48" t="s">
        <v>61</v>
      </c>
      <c r="H1133" s="8"/>
      <c r="I1133" s="8"/>
      <c r="J1133" s="6" t="s">
        <v>108</v>
      </c>
      <c r="K1133" s="38">
        <v>135000</v>
      </c>
      <c r="L1133" s="4" t="s">
        <v>29</v>
      </c>
      <c r="M1133" s="11">
        <f>_xlfn.NUMBERVALUE(LEFT(Table613[[#This Row],[Fiscal Year]], 4))</f>
        <v>2015</v>
      </c>
      <c r="N1133" s="42">
        <f t="shared" si="25"/>
        <v>143334.11392405062</v>
      </c>
      <c r="O1133" s="3">
        <v>1131</v>
      </c>
    </row>
    <row r="1134" spans="1:15" x14ac:dyDescent="0.25">
      <c r="A1134" s="3">
        <v>4</v>
      </c>
      <c r="B1134" s="3" t="s">
        <v>197</v>
      </c>
      <c r="C1134" s="1" t="s">
        <v>12</v>
      </c>
      <c r="D1134" s="1" t="s">
        <v>444</v>
      </c>
      <c r="E1134" s="11" t="s">
        <v>144</v>
      </c>
      <c r="F1134" s="3" t="s">
        <v>8</v>
      </c>
      <c r="G1134" s="66" t="s">
        <v>62</v>
      </c>
      <c r="H1134" s="8"/>
      <c r="I1134" s="8"/>
      <c r="J1134" s="6" t="s">
        <v>106</v>
      </c>
      <c r="K1134" s="38" t="s">
        <v>827</v>
      </c>
      <c r="L1134" s="4" t="s">
        <v>29</v>
      </c>
      <c r="M1134" s="11">
        <f>_xlfn.NUMBERVALUE(LEFT(Table613[[#This Row],[Fiscal Year]], 4))</f>
        <v>2015</v>
      </c>
      <c r="O1134" s="3">
        <v>1132</v>
      </c>
    </row>
    <row r="1135" spans="1:15" x14ac:dyDescent="0.25">
      <c r="A1135" s="3">
        <v>4</v>
      </c>
      <c r="B1135" s="3" t="s">
        <v>197</v>
      </c>
      <c r="C1135" s="1" t="s">
        <v>12</v>
      </c>
      <c r="D1135" s="1" t="s">
        <v>444</v>
      </c>
      <c r="E1135" s="11" t="s">
        <v>144</v>
      </c>
      <c r="F1135" s="3" t="s">
        <v>8</v>
      </c>
      <c r="G1135" s="66" t="s">
        <v>211</v>
      </c>
      <c r="H1135" s="8"/>
      <c r="I1135" s="8"/>
      <c r="J1135" s="6" t="s">
        <v>455</v>
      </c>
      <c r="K1135" s="38" t="s">
        <v>827</v>
      </c>
      <c r="L1135" s="4" t="s">
        <v>29</v>
      </c>
      <c r="M1135" s="11">
        <f>_xlfn.NUMBERVALUE(LEFT(Table613[[#This Row],[Fiscal Year]], 4))</f>
        <v>2015</v>
      </c>
      <c r="O1135" s="3">
        <v>1133</v>
      </c>
    </row>
    <row r="1136" spans="1:15" x14ac:dyDescent="0.25">
      <c r="A1136" s="3">
        <v>4</v>
      </c>
      <c r="B1136" s="3" t="s">
        <v>197</v>
      </c>
      <c r="C1136" s="1" t="s">
        <v>12</v>
      </c>
      <c r="D1136" s="1" t="s">
        <v>444</v>
      </c>
      <c r="E1136" s="11" t="s">
        <v>144</v>
      </c>
      <c r="F1136" s="3" t="s">
        <v>8</v>
      </c>
      <c r="G1136" s="66" t="s">
        <v>64</v>
      </c>
      <c r="H1136" s="8"/>
      <c r="I1136" s="8"/>
      <c r="J1136" s="6" t="s">
        <v>76</v>
      </c>
      <c r="K1136" s="38">
        <v>35000</v>
      </c>
      <c r="L1136" s="4" t="s">
        <v>29</v>
      </c>
      <c r="M1136" s="11">
        <f>_xlfn.NUMBERVALUE(LEFT(Table613[[#This Row],[Fiscal Year]], 4))</f>
        <v>2015</v>
      </c>
      <c r="N1136" s="42">
        <f t="shared" si="25"/>
        <v>37160.696202531646</v>
      </c>
      <c r="O1136" s="3">
        <v>1134</v>
      </c>
    </row>
    <row r="1137" spans="1:15" x14ac:dyDescent="0.25">
      <c r="A1137" s="3">
        <v>4</v>
      </c>
      <c r="B1137" s="3" t="s">
        <v>197</v>
      </c>
      <c r="C1137" s="1" t="s">
        <v>12</v>
      </c>
      <c r="D1137" s="1" t="s">
        <v>444</v>
      </c>
      <c r="E1137" s="11" t="s">
        <v>144</v>
      </c>
      <c r="F1137" s="3" t="s">
        <v>8</v>
      </c>
      <c r="G1137" s="66" t="s">
        <v>65</v>
      </c>
      <c r="H1137" s="8" t="s">
        <v>941</v>
      </c>
      <c r="I1137" s="8" t="s">
        <v>429</v>
      </c>
      <c r="J1137" s="6" t="s">
        <v>76</v>
      </c>
      <c r="K1137" s="38">
        <v>65287</v>
      </c>
      <c r="L1137" s="4" t="s">
        <v>29</v>
      </c>
      <c r="M1137" s="11">
        <f>_xlfn.NUMBERVALUE(LEFT(Table613[[#This Row],[Fiscal Year]], 4))</f>
        <v>2015</v>
      </c>
      <c r="N1137" s="42">
        <f t="shared" si="25"/>
        <v>69317.439227848095</v>
      </c>
      <c r="O1137" s="3">
        <v>1135</v>
      </c>
    </row>
    <row r="1138" spans="1:15" x14ac:dyDescent="0.25">
      <c r="A1138" s="3">
        <v>4</v>
      </c>
      <c r="B1138" s="3" t="s">
        <v>197</v>
      </c>
      <c r="C1138" s="1" t="s">
        <v>12</v>
      </c>
      <c r="D1138" s="1" t="s">
        <v>444</v>
      </c>
      <c r="E1138" s="11" t="s">
        <v>144</v>
      </c>
      <c r="F1138" s="3" t="s">
        <v>8</v>
      </c>
      <c r="G1138" s="48" t="s">
        <v>66</v>
      </c>
      <c r="H1138" s="8"/>
      <c r="I1138" s="8"/>
      <c r="J1138" s="6" t="s">
        <v>76</v>
      </c>
      <c r="K1138" s="38">
        <v>115000</v>
      </c>
      <c r="L1138" s="4" t="s">
        <v>29</v>
      </c>
      <c r="M1138" s="11">
        <f>_xlfn.NUMBERVALUE(LEFT(Table613[[#This Row],[Fiscal Year]], 4))</f>
        <v>2015</v>
      </c>
      <c r="N1138" s="42">
        <f t="shared" si="25"/>
        <v>122099.43037974683</v>
      </c>
      <c r="O1138" s="3">
        <v>1136</v>
      </c>
    </row>
    <row r="1139" spans="1:15" x14ac:dyDescent="0.25">
      <c r="A1139" s="3">
        <v>4</v>
      </c>
      <c r="B1139" s="3" t="s">
        <v>197</v>
      </c>
      <c r="C1139" s="1" t="s">
        <v>12</v>
      </c>
      <c r="D1139" s="1" t="s">
        <v>444</v>
      </c>
      <c r="E1139" s="11" t="s">
        <v>144</v>
      </c>
      <c r="F1139" s="3" t="s">
        <v>8</v>
      </c>
      <c r="G1139" s="66" t="s">
        <v>33</v>
      </c>
      <c r="H1139" s="8"/>
      <c r="I1139" s="8"/>
      <c r="J1139" s="6" t="s">
        <v>47</v>
      </c>
      <c r="K1139" s="38" t="s">
        <v>827</v>
      </c>
      <c r="L1139" s="4" t="s">
        <v>29</v>
      </c>
      <c r="M1139" s="11">
        <f>_xlfn.NUMBERVALUE(LEFT(Table613[[#This Row],[Fiscal Year]], 4))</f>
        <v>2015</v>
      </c>
      <c r="O1139" s="3">
        <v>1137</v>
      </c>
    </row>
    <row r="1140" spans="1:15" x14ac:dyDescent="0.25">
      <c r="A1140" s="3">
        <v>4</v>
      </c>
      <c r="B1140" s="3" t="s">
        <v>197</v>
      </c>
      <c r="C1140" s="1" t="s">
        <v>12</v>
      </c>
      <c r="D1140" s="1" t="s">
        <v>444</v>
      </c>
      <c r="E1140" s="11" t="s">
        <v>144</v>
      </c>
      <c r="F1140" s="3" t="s">
        <v>8</v>
      </c>
      <c r="G1140" s="66" t="s">
        <v>67</v>
      </c>
      <c r="H1140" s="8"/>
      <c r="I1140" s="8"/>
      <c r="J1140" s="6" t="s">
        <v>455</v>
      </c>
      <c r="K1140" s="38">
        <v>18354</v>
      </c>
      <c r="L1140" s="4" t="s">
        <v>29</v>
      </c>
      <c r="M1140" s="11">
        <f>_xlfn.NUMBERVALUE(LEFT(Table613[[#This Row],[Fiscal Year]], 4))</f>
        <v>2015</v>
      </c>
      <c r="N1140" s="42">
        <f t="shared" si="25"/>
        <v>19487.069088607594</v>
      </c>
      <c r="O1140" s="3">
        <v>1138</v>
      </c>
    </row>
    <row r="1141" spans="1:15" x14ac:dyDescent="0.25">
      <c r="C1141" s="1"/>
      <c r="D1141" s="1"/>
      <c r="E1141" s="11"/>
      <c r="G1141" s="66"/>
      <c r="H1141" s="8"/>
      <c r="I1141" s="8"/>
      <c r="J1141" s="6"/>
      <c r="L1141" s="4"/>
      <c r="O1141" s="3">
        <v>1139</v>
      </c>
    </row>
    <row r="1142" spans="1:15" x14ac:dyDescent="0.25">
      <c r="A1142" s="3">
        <v>4</v>
      </c>
      <c r="B1142" s="3" t="s">
        <v>198</v>
      </c>
      <c r="C1142" s="1" t="s">
        <v>12</v>
      </c>
      <c r="D1142" s="1" t="s">
        <v>444</v>
      </c>
      <c r="E1142" s="11" t="s">
        <v>144</v>
      </c>
      <c r="F1142" s="3" t="s">
        <v>8</v>
      </c>
      <c r="G1142" s="48" t="s">
        <v>32</v>
      </c>
      <c r="H1142" s="8"/>
      <c r="I1142" s="8"/>
      <c r="J1142" s="6" t="s">
        <v>110</v>
      </c>
      <c r="K1142" s="38">
        <v>20000</v>
      </c>
      <c r="L1142" s="4" t="s">
        <v>29</v>
      </c>
      <c r="M1142" s="11">
        <f>_xlfn.NUMBERVALUE(LEFT(Table613[[#This Row],[Fiscal Year]], 4))</f>
        <v>2015</v>
      </c>
      <c r="N1142" s="42">
        <f t="shared" si="25"/>
        <v>21234.683544303796</v>
      </c>
      <c r="O1142" s="3">
        <v>1140</v>
      </c>
    </row>
    <row r="1143" spans="1:15" x14ac:dyDescent="0.25">
      <c r="A1143" s="3">
        <v>4</v>
      </c>
      <c r="B1143" s="3" t="s">
        <v>198</v>
      </c>
      <c r="C1143" s="1" t="s">
        <v>12</v>
      </c>
      <c r="D1143" s="1" t="s">
        <v>444</v>
      </c>
      <c r="E1143" s="11" t="s">
        <v>144</v>
      </c>
      <c r="F1143" s="3" t="s">
        <v>8</v>
      </c>
      <c r="G1143" s="66" t="s">
        <v>58</v>
      </c>
      <c r="H1143" s="8"/>
      <c r="I1143" s="8"/>
      <c r="J1143" s="6" t="s">
        <v>453</v>
      </c>
      <c r="K1143" s="38">
        <v>2000</v>
      </c>
      <c r="L1143" s="4" t="s">
        <v>29</v>
      </c>
      <c r="M1143" s="11">
        <f>_xlfn.NUMBERVALUE(LEFT(Table613[[#This Row],[Fiscal Year]], 4))</f>
        <v>2015</v>
      </c>
      <c r="N1143" s="42">
        <f t="shared" si="25"/>
        <v>2123.4683544303798</v>
      </c>
      <c r="O1143" s="3">
        <v>1141</v>
      </c>
    </row>
    <row r="1144" spans="1:15" x14ac:dyDescent="0.25">
      <c r="A1144" s="3">
        <v>4</v>
      </c>
      <c r="B1144" s="3" t="s">
        <v>198</v>
      </c>
      <c r="C1144" s="1" t="s">
        <v>12</v>
      </c>
      <c r="D1144" s="1" t="s">
        <v>444</v>
      </c>
      <c r="E1144" s="11" t="s">
        <v>144</v>
      </c>
      <c r="F1144" s="3" t="s">
        <v>8</v>
      </c>
      <c r="G1144" s="66" t="s">
        <v>208</v>
      </c>
      <c r="H1144" s="8"/>
      <c r="I1144" s="8"/>
      <c r="J1144" s="6" t="s">
        <v>109</v>
      </c>
      <c r="K1144" s="38">
        <v>2500</v>
      </c>
      <c r="L1144" s="4" t="s">
        <v>29</v>
      </c>
      <c r="M1144" s="11">
        <f>_xlfn.NUMBERVALUE(LEFT(Table613[[#This Row],[Fiscal Year]], 4))</f>
        <v>2015</v>
      </c>
      <c r="N1144" s="42">
        <f t="shared" si="25"/>
        <v>2654.3354430379745</v>
      </c>
      <c r="O1144" s="3">
        <v>1142</v>
      </c>
    </row>
    <row r="1145" spans="1:15" x14ac:dyDescent="0.25">
      <c r="A1145" s="3">
        <v>4</v>
      </c>
      <c r="B1145" s="3" t="s">
        <v>198</v>
      </c>
      <c r="C1145" s="1" t="s">
        <v>12</v>
      </c>
      <c r="D1145" s="1" t="s">
        <v>444</v>
      </c>
      <c r="E1145" s="11" t="s">
        <v>144</v>
      </c>
      <c r="F1145" s="3" t="s">
        <v>8</v>
      </c>
      <c r="G1145" s="48" t="s">
        <v>59</v>
      </c>
      <c r="H1145" s="8"/>
      <c r="I1145" s="8"/>
      <c r="J1145" s="6" t="s">
        <v>111</v>
      </c>
      <c r="K1145" s="38">
        <v>1000</v>
      </c>
      <c r="L1145" s="4" t="s">
        <v>29</v>
      </c>
      <c r="M1145" s="11">
        <f>_xlfn.NUMBERVALUE(LEFT(Table613[[#This Row],[Fiscal Year]], 4))</f>
        <v>2015</v>
      </c>
      <c r="N1145" s="42">
        <f t="shared" si="25"/>
        <v>1061.7341772151899</v>
      </c>
      <c r="O1145" s="3">
        <v>1143</v>
      </c>
    </row>
    <row r="1146" spans="1:15" x14ac:dyDescent="0.25">
      <c r="A1146" s="3">
        <v>4</v>
      </c>
      <c r="B1146" s="3" t="s">
        <v>198</v>
      </c>
      <c r="C1146" s="1" t="s">
        <v>12</v>
      </c>
      <c r="D1146" s="1" t="s">
        <v>444</v>
      </c>
      <c r="E1146" s="11" t="s">
        <v>144</v>
      </c>
      <c r="F1146" s="3" t="s">
        <v>8</v>
      </c>
      <c r="G1146" s="66" t="s">
        <v>60</v>
      </c>
      <c r="H1146" s="8"/>
      <c r="I1146" s="8"/>
      <c r="J1146" s="6" t="s">
        <v>111</v>
      </c>
      <c r="K1146" s="38">
        <v>2500</v>
      </c>
      <c r="L1146" s="4" t="s">
        <v>29</v>
      </c>
      <c r="M1146" s="11">
        <f>_xlfn.NUMBERVALUE(LEFT(Table613[[#This Row],[Fiscal Year]], 4))</f>
        <v>2015</v>
      </c>
      <c r="N1146" s="42">
        <f t="shared" si="25"/>
        <v>2654.3354430379745</v>
      </c>
      <c r="O1146" s="3">
        <v>1144</v>
      </c>
    </row>
    <row r="1147" spans="1:15" x14ac:dyDescent="0.25">
      <c r="A1147" s="3">
        <v>4</v>
      </c>
      <c r="B1147" s="3" t="s">
        <v>198</v>
      </c>
      <c r="C1147" s="1" t="s">
        <v>12</v>
      </c>
      <c r="D1147" s="1" t="s">
        <v>444</v>
      </c>
      <c r="E1147" s="11" t="s">
        <v>144</v>
      </c>
      <c r="F1147" s="3" t="s">
        <v>8</v>
      </c>
      <c r="G1147" s="48" t="s">
        <v>61</v>
      </c>
      <c r="H1147" s="8"/>
      <c r="I1147" s="8"/>
      <c r="J1147" s="6" t="s">
        <v>108</v>
      </c>
      <c r="K1147" s="38">
        <v>150000</v>
      </c>
      <c r="L1147" s="4" t="s">
        <v>29</v>
      </c>
      <c r="M1147" s="11">
        <f>_xlfn.NUMBERVALUE(LEFT(Table613[[#This Row],[Fiscal Year]], 4))</f>
        <v>2015</v>
      </c>
      <c r="N1147" s="42">
        <f t="shared" si="25"/>
        <v>159260.12658227846</v>
      </c>
      <c r="O1147" s="3">
        <v>1145</v>
      </c>
    </row>
    <row r="1148" spans="1:15" x14ac:dyDescent="0.25">
      <c r="A1148" s="3">
        <v>4</v>
      </c>
      <c r="B1148" s="3" t="s">
        <v>198</v>
      </c>
      <c r="C1148" s="1" t="s">
        <v>12</v>
      </c>
      <c r="D1148" s="1" t="s">
        <v>444</v>
      </c>
      <c r="E1148" s="11" t="s">
        <v>144</v>
      </c>
      <c r="F1148" s="3" t="s">
        <v>8</v>
      </c>
      <c r="G1148" s="66" t="s">
        <v>62</v>
      </c>
      <c r="H1148" s="8"/>
      <c r="I1148" s="8"/>
      <c r="J1148" s="6" t="s">
        <v>106</v>
      </c>
      <c r="K1148" s="38">
        <v>1000</v>
      </c>
      <c r="L1148" s="4" t="s">
        <v>29</v>
      </c>
      <c r="M1148" s="11">
        <f>_xlfn.NUMBERVALUE(LEFT(Table613[[#This Row],[Fiscal Year]], 4))</f>
        <v>2015</v>
      </c>
      <c r="N1148" s="42">
        <f t="shared" si="25"/>
        <v>1061.7341772151899</v>
      </c>
      <c r="O1148" s="3">
        <v>1146</v>
      </c>
    </row>
    <row r="1149" spans="1:15" x14ac:dyDescent="0.25">
      <c r="A1149" s="3">
        <v>4</v>
      </c>
      <c r="B1149" s="3" t="s">
        <v>198</v>
      </c>
      <c r="C1149" s="1" t="s">
        <v>12</v>
      </c>
      <c r="D1149" s="1" t="s">
        <v>444</v>
      </c>
      <c r="E1149" s="11" t="s">
        <v>144</v>
      </c>
      <c r="F1149" s="3" t="s">
        <v>8</v>
      </c>
      <c r="G1149" s="66" t="s">
        <v>211</v>
      </c>
      <c r="H1149" s="8"/>
      <c r="I1149" s="8"/>
      <c r="J1149" s="6" t="s">
        <v>455</v>
      </c>
      <c r="K1149" s="38">
        <v>0</v>
      </c>
      <c r="L1149" s="4" t="s">
        <v>29</v>
      </c>
      <c r="M1149" s="11">
        <f>_xlfn.NUMBERVALUE(LEFT(Table613[[#This Row],[Fiscal Year]], 4))</f>
        <v>2015</v>
      </c>
      <c r="N1149" s="43">
        <f t="shared" si="25"/>
        <v>0</v>
      </c>
      <c r="O1149" s="3">
        <v>1147</v>
      </c>
    </row>
    <row r="1150" spans="1:15" x14ac:dyDescent="0.25">
      <c r="A1150" s="3">
        <v>4</v>
      </c>
      <c r="B1150" s="3" t="s">
        <v>198</v>
      </c>
      <c r="C1150" s="1" t="s">
        <v>12</v>
      </c>
      <c r="D1150" s="1" t="s">
        <v>444</v>
      </c>
      <c r="E1150" s="11" t="s">
        <v>144</v>
      </c>
      <c r="F1150" s="3" t="s">
        <v>8</v>
      </c>
      <c r="G1150" s="66" t="s">
        <v>64</v>
      </c>
      <c r="H1150" s="8"/>
      <c r="I1150" s="8"/>
      <c r="J1150" s="6" t="s">
        <v>76</v>
      </c>
      <c r="K1150" s="38">
        <v>0</v>
      </c>
      <c r="L1150" s="4" t="s">
        <v>29</v>
      </c>
      <c r="M1150" s="11">
        <f>_xlfn.NUMBERVALUE(LEFT(Table613[[#This Row],[Fiscal Year]], 4))</f>
        <v>2015</v>
      </c>
      <c r="N1150" s="43">
        <f t="shared" si="25"/>
        <v>0</v>
      </c>
      <c r="O1150" s="3">
        <v>1148</v>
      </c>
    </row>
    <row r="1151" spans="1:15" x14ac:dyDescent="0.25">
      <c r="A1151" s="3">
        <v>4</v>
      </c>
      <c r="B1151" s="3" t="s">
        <v>198</v>
      </c>
      <c r="C1151" s="1" t="s">
        <v>12</v>
      </c>
      <c r="D1151" s="1" t="s">
        <v>444</v>
      </c>
      <c r="E1151" s="11" t="s">
        <v>144</v>
      </c>
      <c r="F1151" s="3" t="s">
        <v>8</v>
      </c>
      <c r="G1151" s="66" t="s">
        <v>65</v>
      </c>
      <c r="H1151" s="8"/>
      <c r="I1151" s="8"/>
      <c r="J1151" s="6" t="s">
        <v>76</v>
      </c>
      <c r="K1151" s="38">
        <v>0</v>
      </c>
      <c r="L1151" s="4" t="s">
        <v>29</v>
      </c>
      <c r="M1151" s="11">
        <f>_xlfn.NUMBERVALUE(LEFT(Table613[[#This Row],[Fiscal Year]], 4))</f>
        <v>2015</v>
      </c>
      <c r="N1151" s="43">
        <f t="shared" si="25"/>
        <v>0</v>
      </c>
      <c r="O1151" s="3">
        <v>1149</v>
      </c>
    </row>
    <row r="1152" spans="1:15" x14ac:dyDescent="0.25">
      <c r="A1152" s="3">
        <v>4</v>
      </c>
      <c r="B1152" s="3" t="s">
        <v>198</v>
      </c>
      <c r="C1152" s="1" t="s">
        <v>12</v>
      </c>
      <c r="D1152" s="1" t="s">
        <v>444</v>
      </c>
      <c r="E1152" s="11" t="s">
        <v>144</v>
      </c>
      <c r="F1152" s="3" t="s">
        <v>8</v>
      </c>
      <c r="G1152" s="48" t="s">
        <v>66</v>
      </c>
      <c r="H1152" s="8"/>
      <c r="I1152" s="8"/>
      <c r="J1152" s="6" t="s">
        <v>76</v>
      </c>
      <c r="K1152" s="38">
        <v>0</v>
      </c>
      <c r="L1152" s="4" t="s">
        <v>29</v>
      </c>
      <c r="M1152" s="11">
        <f>_xlfn.NUMBERVALUE(LEFT(Table613[[#This Row],[Fiscal Year]], 4))</f>
        <v>2015</v>
      </c>
      <c r="N1152" s="43">
        <f t="shared" si="25"/>
        <v>0</v>
      </c>
      <c r="O1152" s="3">
        <v>1150</v>
      </c>
    </row>
    <row r="1153" spans="1:15" x14ac:dyDescent="0.25">
      <c r="A1153" s="3">
        <v>4</v>
      </c>
      <c r="B1153" s="3" t="s">
        <v>198</v>
      </c>
      <c r="C1153" s="1" t="s">
        <v>12</v>
      </c>
      <c r="D1153" s="1" t="s">
        <v>444</v>
      </c>
      <c r="E1153" s="11" t="s">
        <v>144</v>
      </c>
      <c r="F1153" s="3" t="s">
        <v>8</v>
      </c>
      <c r="G1153" s="66" t="s">
        <v>33</v>
      </c>
      <c r="H1153" s="8"/>
      <c r="I1153" s="8"/>
      <c r="J1153" s="6" t="s">
        <v>47</v>
      </c>
      <c r="K1153" s="38">
        <v>0</v>
      </c>
      <c r="L1153" s="4" t="s">
        <v>29</v>
      </c>
      <c r="M1153" s="11">
        <f>_xlfn.NUMBERVALUE(LEFT(Table613[[#This Row],[Fiscal Year]], 4))</f>
        <v>2015</v>
      </c>
      <c r="N1153" s="43">
        <f t="shared" si="25"/>
        <v>0</v>
      </c>
      <c r="O1153" s="3">
        <v>1151</v>
      </c>
    </row>
    <row r="1154" spans="1:15" x14ac:dyDescent="0.25">
      <c r="A1154" s="3">
        <v>4</v>
      </c>
      <c r="B1154" s="3" t="s">
        <v>198</v>
      </c>
      <c r="C1154" s="1" t="s">
        <v>12</v>
      </c>
      <c r="D1154" s="1" t="s">
        <v>444</v>
      </c>
      <c r="E1154" s="11" t="s">
        <v>144</v>
      </c>
      <c r="F1154" s="3" t="s">
        <v>8</v>
      </c>
      <c r="G1154" s="48" t="s">
        <v>67</v>
      </c>
      <c r="H1154" s="8" t="s">
        <v>942</v>
      </c>
      <c r="I1154" s="8" t="s">
        <v>429</v>
      </c>
      <c r="J1154" s="6" t="s">
        <v>455</v>
      </c>
      <c r="K1154" s="38">
        <v>28000</v>
      </c>
      <c r="L1154" s="4" t="s">
        <v>29</v>
      </c>
      <c r="M1154" s="11">
        <f>_xlfn.NUMBERVALUE(LEFT(Table613[[#This Row],[Fiscal Year]], 4))</f>
        <v>2015</v>
      </c>
      <c r="N1154" s="42">
        <f t="shared" si="25"/>
        <v>29728.556962025315</v>
      </c>
      <c r="O1154" s="3">
        <v>1152</v>
      </c>
    </row>
    <row r="1155" spans="1:15" x14ac:dyDescent="0.25">
      <c r="C1155" s="1"/>
      <c r="D1155" s="1"/>
      <c r="E1155" s="11"/>
      <c r="G1155" s="66"/>
      <c r="H1155" s="8"/>
      <c r="I1155" s="8"/>
      <c r="J1155" s="6"/>
      <c r="L1155" s="4"/>
      <c r="O1155" s="3">
        <v>1153</v>
      </c>
    </row>
    <row r="1156" spans="1:15" x14ac:dyDescent="0.25">
      <c r="A1156" s="3">
        <v>4</v>
      </c>
      <c r="B1156" s="3" t="s">
        <v>199</v>
      </c>
      <c r="C1156" s="1" t="s">
        <v>12</v>
      </c>
      <c r="D1156" s="1" t="s">
        <v>444</v>
      </c>
      <c r="E1156" s="11" t="s">
        <v>144</v>
      </c>
      <c r="F1156" s="3" t="s">
        <v>8</v>
      </c>
      <c r="G1156" s="48" t="s">
        <v>32</v>
      </c>
      <c r="H1156" s="8"/>
      <c r="I1156" s="8"/>
      <c r="J1156" s="6" t="s">
        <v>110</v>
      </c>
      <c r="K1156" s="38">
        <v>5000</v>
      </c>
      <c r="L1156" s="4" t="s">
        <v>29</v>
      </c>
      <c r="M1156" s="11">
        <f>_xlfn.NUMBERVALUE(LEFT(Table613[[#This Row],[Fiscal Year]], 4))</f>
        <v>2015</v>
      </c>
      <c r="N1156" s="42">
        <f t="shared" si="25"/>
        <v>5308.6708860759491</v>
      </c>
      <c r="O1156" s="3">
        <v>1154</v>
      </c>
    </row>
    <row r="1157" spans="1:15" x14ac:dyDescent="0.25">
      <c r="A1157" s="3">
        <v>4</v>
      </c>
      <c r="B1157" s="3" t="s">
        <v>199</v>
      </c>
      <c r="C1157" s="1" t="s">
        <v>12</v>
      </c>
      <c r="D1157" s="1" t="s">
        <v>444</v>
      </c>
      <c r="E1157" s="11" t="s">
        <v>144</v>
      </c>
      <c r="F1157" s="3" t="s">
        <v>8</v>
      </c>
      <c r="G1157" s="66" t="s">
        <v>58</v>
      </c>
      <c r="H1157" s="8"/>
      <c r="I1157" s="8"/>
      <c r="J1157" s="6" t="s">
        <v>453</v>
      </c>
      <c r="K1157" s="38">
        <v>5000</v>
      </c>
      <c r="L1157" s="4" t="s">
        <v>29</v>
      </c>
      <c r="M1157" s="11">
        <f>_xlfn.NUMBERVALUE(LEFT(Table613[[#This Row],[Fiscal Year]], 4))</f>
        <v>2015</v>
      </c>
      <c r="N1157" s="42">
        <f t="shared" si="25"/>
        <v>5308.6708860759491</v>
      </c>
      <c r="O1157" s="3">
        <v>1155</v>
      </c>
    </row>
    <row r="1158" spans="1:15" x14ac:dyDescent="0.25">
      <c r="A1158" s="3">
        <v>4</v>
      </c>
      <c r="B1158" s="3" t="s">
        <v>199</v>
      </c>
      <c r="C1158" s="1" t="s">
        <v>12</v>
      </c>
      <c r="D1158" s="1" t="s">
        <v>444</v>
      </c>
      <c r="E1158" s="11" t="s">
        <v>144</v>
      </c>
      <c r="F1158" s="3" t="s">
        <v>8</v>
      </c>
      <c r="G1158" s="66" t="s">
        <v>208</v>
      </c>
      <c r="H1158" s="8"/>
      <c r="I1158" s="8"/>
      <c r="J1158" s="6" t="s">
        <v>109</v>
      </c>
      <c r="K1158" s="38">
        <v>15000</v>
      </c>
      <c r="L1158" s="4" t="s">
        <v>29</v>
      </c>
      <c r="M1158" s="11">
        <f>_xlfn.NUMBERVALUE(LEFT(Table613[[#This Row],[Fiscal Year]], 4))</f>
        <v>2015</v>
      </c>
      <c r="N1158" s="42">
        <f t="shared" si="25"/>
        <v>15926.012658227848</v>
      </c>
      <c r="O1158" s="3">
        <v>1156</v>
      </c>
    </row>
    <row r="1159" spans="1:15" x14ac:dyDescent="0.25">
      <c r="A1159" s="3">
        <v>4</v>
      </c>
      <c r="B1159" s="3" t="s">
        <v>199</v>
      </c>
      <c r="C1159" s="1" t="s">
        <v>12</v>
      </c>
      <c r="D1159" s="1" t="s">
        <v>444</v>
      </c>
      <c r="E1159" s="11" t="s">
        <v>144</v>
      </c>
      <c r="F1159" s="3" t="s">
        <v>8</v>
      </c>
      <c r="G1159" s="48" t="s">
        <v>59</v>
      </c>
      <c r="H1159" s="8"/>
      <c r="I1159" s="8"/>
      <c r="J1159" s="6" t="s">
        <v>111</v>
      </c>
      <c r="K1159" s="38">
        <v>500</v>
      </c>
      <c r="L1159" s="4" t="s">
        <v>29</v>
      </c>
      <c r="M1159" s="11">
        <f>_xlfn.NUMBERVALUE(LEFT(Table613[[#This Row],[Fiscal Year]], 4))</f>
        <v>2015</v>
      </c>
      <c r="N1159" s="42">
        <f t="shared" si="25"/>
        <v>530.86708860759495</v>
      </c>
      <c r="O1159" s="3">
        <v>1157</v>
      </c>
    </row>
    <row r="1160" spans="1:15" x14ac:dyDescent="0.25">
      <c r="A1160" s="3">
        <v>4</v>
      </c>
      <c r="B1160" s="3" t="s">
        <v>199</v>
      </c>
      <c r="C1160" s="1" t="s">
        <v>12</v>
      </c>
      <c r="D1160" s="1" t="s">
        <v>444</v>
      </c>
      <c r="E1160" s="11" t="s">
        <v>144</v>
      </c>
      <c r="F1160" s="3" t="s">
        <v>8</v>
      </c>
      <c r="G1160" s="66" t="s">
        <v>60</v>
      </c>
      <c r="H1160" s="8"/>
      <c r="I1160" s="8"/>
      <c r="J1160" s="6" t="s">
        <v>111</v>
      </c>
      <c r="K1160" s="38">
        <v>14500</v>
      </c>
      <c r="L1160" s="4" t="s">
        <v>29</v>
      </c>
      <c r="M1160" s="11">
        <f>_xlfn.NUMBERVALUE(LEFT(Table613[[#This Row],[Fiscal Year]], 4))</f>
        <v>2015</v>
      </c>
      <c r="N1160" s="42">
        <f t="shared" si="25"/>
        <v>15395.145569620252</v>
      </c>
      <c r="O1160" s="3">
        <v>1158</v>
      </c>
    </row>
    <row r="1161" spans="1:15" x14ac:dyDescent="0.25">
      <c r="A1161" s="3">
        <v>4</v>
      </c>
      <c r="B1161" s="3" t="s">
        <v>199</v>
      </c>
      <c r="C1161" s="1" t="s">
        <v>12</v>
      </c>
      <c r="D1161" s="1" t="s">
        <v>444</v>
      </c>
      <c r="E1161" s="11" t="s">
        <v>144</v>
      </c>
      <c r="F1161" s="3" t="s">
        <v>8</v>
      </c>
      <c r="G1161" s="48" t="s">
        <v>61</v>
      </c>
      <c r="H1161" s="8"/>
      <c r="I1161" s="8"/>
      <c r="J1161" s="6" t="s">
        <v>108</v>
      </c>
      <c r="K1161" s="38">
        <v>211000</v>
      </c>
      <c r="L1161" s="4" t="s">
        <v>29</v>
      </c>
      <c r="M1161" s="11">
        <f>_xlfn.NUMBERVALUE(LEFT(Table613[[#This Row],[Fiscal Year]], 4))</f>
        <v>2015</v>
      </c>
      <c r="N1161" s="42">
        <f t="shared" si="25"/>
        <v>224025.91139240505</v>
      </c>
      <c r="O1161" s="3">
        <v>1159</v>
      </c>
    </row>
    <row r="1162" spans="1:15" x14ac:dyDescent="0.25">
      <c r="A1162" s="3">
        <v>4</v>
      </c>
      <c r="B1162" s="3" t="s">
        <v>199</v>
      </c>
      <c r="C1162" s="1" t="s">
        <v>12</v>
      </c>
      <c r="D1162" s="1" t="s">
        <v>444</v>
      </c>
      <c r="E1162" s="11" t="s">
        <v>144</v>
      </c>
      <c r="F1162" s="3" t="s">
        <v>8</v>
      </c>
      <c r="G1162" s="66" t="s">
        <v>62</v>
      </c>
      <c r="H1162" s="8"/>
      <c r="I1162" s="8"/>
      <c r="J1162" s="6" t="s">
        <v>106</v>
      </c>
      <c r="K1162" s="38">
        <v>1500</v>
      </c>
      <c r="L1162" s="4" t="s">
        <v>29</v>
      </c>
      <c r="M1162" s="11">
        <f>_xlfn.NUMBERVALUE(LEFT(Table613[[#This Row],[Fiscal Year]], 4))</f>
        <v>2015</v>
      </c>
      <c r="N1162" s="42">
        <f t="shared" si="25"/>
        <v>1592.6012658227846</v>
      </c>
      <c r="O1162" s="3">
        <v>1160</v>
      </c>
    </row>
    <row r="1163" spans="1:15" x14ac:dyDescent="0.25">
      <c r="A1163" s="3">
        <v>4</v>
      </c>
      <c r="B1163" s="3" t="s">
        <v>199</v>
      </c>
      <c r="C1163" s="1" t="s">
        <v>12</v>
      </c>
      <c r="D1163" s="1" t="s">
        <v>444</v>
      </c>
      <c r="E1163" s="11" t="s">
        <v>144</v>
      </c>
      <c r="F1163" s="3" t="s">
        <v>8</v>
      </c>
      <c r="G1163" s="66" t="s">
        <v>211</v>
      </c>
      <c r="H1163" s="8"/>
      <c r="I1163" s="8"/>
      <c r="J1163" s="6" t="s">
        <v>455</v>
      </c>
      <c r="K1163" s="38">
        <v>24000</v>
      </c>
      <c r="L1163" s="4" t="s">
        <v>29</v>
      </c>
      <c r="M1163" s="11">
        <f>_xlfn.NUMBERVALUE(LEFT(Table613[[#This Row],[Fiscal Year]], 4))</f>
        <v>2015</v>
      </c>
      <c r="N1163" s="42">
        <f t="shared" si="25"/>
        <v>25481.620253164554</v>
      </c>
      <c r="O1163" s="3">
        <v>1161</v>
      </c>
    </row>
    <row r="1164" spans="1:15" x14ac:dyDescent="0.25">
      <c r="A1164" s="3">
        <v>4</v>
      </c>
      <c r="B1164" s="3" t="s">
        <v>199</v>
      </c>
      <c r="C1164" s="1" t="s">
        <v>12</v>
      </c>
      <c r="D1164" s="1" t="s">
        <v>444</v>
      </c>
      <c r="E1164" s="11" t="s">
        <v>144</v>
      </c>
      <c r="F1164" s="3" t="s">
        <v>8</v>
      </c>
      <c r="G1164" s="66" t="s">
        <v>64</v>
      </c>
      <c r="H1164" s="8"/>
      <c r="I1164" s="8"/>
      <c r="J1164" s="6" t="s">
        <v>76</v>
      </c>
      <c r="K1164" s="38" t="s">
        <v>827</v>
      </c>
      <c r="L1164" s="4" t="s">
        <v>29</v>
      </c>
      <c r="M1164" s="11">
        <f>_xlfn.NUMBERVALUE(LEFT(Table613[[#This Row],[Fiscal Year]], 4))</f>
        <v>2015</v>
      </c>
      <c r="O1164" s="3">
        <v>1162</v>
      </c>
    </row>
    <row r="1165" spans="1:15" x14ac:dyDescent="0.25">
      <c r="A1165" s="3">
        <v>4</v>
      </c>
      <c r="B1165" s="3" t="s">
        <v>199</v>
      </c>
      <c r="C1165" s="1" t="s">
        <v>12</v>
      </c>
      <c r="D1165" s="1" t="s">
        <v>444</v>
      </c>
      <c r="E1165" s="11" t="s">
        <v>144</v>
      </c>
      <c r="F1165" s="3" t="s">
        <v>8</v>
      </c>
      <c r="G1165" s="66" t="s">
        <v>65</v>
      </c>
      <c r="H1165" s="8"/>
      <c r="I1165" s="8"/>
      <c r="J1165" s="6" t="s">
        <v>76</v>
      </c>
      <c r="K1165" s="38" t="s">
        <v>827</v>
      </c>
      <c r="L1165" s="4" t="s">
        <v>29</v>
      </c>
      <c r="M1165" s="11">
        <f>_xlfn.NUMBERVALUE(LEFT(Table613[[#This Row],[Fiscal Year]], 4))</f>
        <v>2015</v>
      </c>
      <c r="O1165" s="3">
        <v>1163</v>
      </c>
    </row>
    <row r="1166" spans="1:15" x14ac:dyDescent="0.25">
      <c r="A1166" s="3">
        <v>4</v>
      </c>
      <c r="B1166" s="3" t="s">
        <v>199</v>
      </c>
      <c r="C1166" s="1" t="s">
        <v>12</v>
      </c>
      <c r="D1166" s="1" t="s">
        <v>444</v>
      </c>
      <c r="E1166" s="11" t="s">
        <v>144</v>
      </c>
      <c r="F1166" s="3" t="s">
        <v>8</v>
      </c>
      <c r="G1166" s="48" t="s">
        <v>66</v>
      </c>
      <c r="H1166" s="8"/>
      <c r="I1166" s="8"/>
      <c r="J1166" s="6" t="s">
        <v>76</v>
      </c>
      <c r="K1166" s="38" t="s">
        <v>827</v>
      </c>
      <c r="L1166" s="4" t="s">
        <v>29</v>
      </c>
      <c r="M1166" s="11">
        <f>_xlfn.NUMBERVALUE(LEFT(Table613[[#This Row],[Fiscal Year]], 4))</f>
        <v>2015</v>
      </c>
      <c r="O1166" s="3">
        <v>1164</v>
      </c>
    </row>
    <row r="1167" spans="1:15" x14ac:dyDescent="0.25">
      <c r="A1167" s="3">
        <v>4</v>
      </c>
      <c r="B1167" s="3" t="s">
        <v>199</v>
      </c>
      <c r="C1167" s="1" t="s">
        <v>12</v>
      </c>
      <c r="D1167" s="1" t="s">
        <v>444</v>
      </c>
      <c r="E1167" s="11" t="s">
        <v>144</v>
      </c>
      <c r="F1167" s="3" t="s">
        <v>8</v>
      </c>
      <c r="G1167" s="66" t="s">
        <v>33</v>
      </c>
      <c r="H1167" s="8"/>
      <c r="I1167" s="8"/>
      <c r="J1167" s="6" t="s">
        <v>47</v>
      </c>
      <c r="K1167" s="38">
        <v>34500</v>
      </c>
      <c r="L1167" s="4" t="s">
        <v>29</v>
      </c>
      <c r="M1167" s="11">
        <f>_xlfn.NUMBERVALUE(LEFT(Table613[[#This Row],[Fiscal Year]], 4))</f>
        <v>2015</v>
      </c>
      <c r="N1167" s="42">
        <f t="shared" ref="N1167:N1227" si="26">K1167*(1+VLOOKUP(M1167,$AF$8:$AH$31,3,0))</f>
        <v>36629.829113924046</v>
      </c>
      <c r="O1167" s="3">
        <v>1165</v>
      </c>
    </row>
    <row r="1168" spans="1:15" x14ac:dyDescent="0.25">
      <c r="A1168" s="3">
        <v>4</v>
      </c>
      <c r="B1168" s="3" t="s">
        <v>199</v>
      </c>
      <c r="C1168" s="1" t="s">
        <v>12</v>
      </c>
      <c r="D1168" s="1" t="s">
        <v>444</v>
      </c>
      <c r="E1168" s="11" t="s">
        <v>144</v>
      </c>
      <c r="F1168" s="3" t="s">
        <v>8</v>
      </c>
      <c r="G1168" s="48" t="s">
        <v>67</v>
      </c>
      <c r="H1168" s="8" t="s">
        <v>943</v>
      </c>
      <c r="I1168" s="8" t="s">
        <v>429</v>
      </c>
      <c r="J1168" s="6" t="s">
        <v>455</v>
      </c>
      <c r="K1168" s="38">
        <v>18000</v>
      </c>
      <c r="L1168" s="4" t="s">
        <v>29</v>
      </c>
      <c r="M1168" s="11">
        <f>_xlfn.NUMBERVALUE(LEFT(Table613[[#This Row],[Fiscal Year]], 4))</f>
        <v>2015</v>
      </c>
      <c r="N1168" s="42">
        <f t="shared" si="26"/>
        <v>19111.215189873416</v>
      </c>
      <c r="O1168" s="3">
        <v>1166</v>
      </c>
    </row>
    <row r="1169" spans="1:15" x14ac:dyDescent="0.25">
      <c r="C1169" s="1"/>
      <c r="D1169" s="1"/>
      <c r="E1169" s="11"/>
      <c r="G1169" s="66"/>
      <c r="H1169" s="8"/>
      <c r="I1169" s="8"/>
      <c r="J1169" s="6"/>
      <c r="L1169" s="4"/>
      <c r="O1169" s="3">
        <v>1167</v>
      </c>
    </row>
    <row r="1170" spans="1:15" x14ac:dyDescent="0.25">
      <c r="A1170" s="3">
        <v>4</v>
      </c>
      <c r="B1170" s="3" t="s">
        <v>200</v>
      </c>
      <c r="C1170" s="1" t="s">
        <v>12</v>
      </c>
      <c r="D1170" s="1" t="s">
        <v>444</v>
      </c>
      <c r="E1170" s="11" t="s">
        <v>144</v>
      </c>
      <c r="F1170" s="3" t="s">
        <v>8</v>
      </c>
      <c r="G1170" s="48" t="s">
        <v>32</v>
      </c>
      <c r="H1170" s="8" t="s">
        <v>945</v>
      </c>
      <c r="I1170" s="8" t="s">
        <v>429</v>
      </c>
      <c r="J1170" s="6" t="s">
        <v>110</v>
      </c>
      <c r="K1170" s="38">
        <v>80000</v>
      </c>
      <c r="L1170" s="4" t="s">
        <v>29</v>
      </c>
      <c r="M1170" s="11">
        <f>_xlfn.NUMBERVALUE(LEFT(Table613[[#This Row],[Fiscal Year]], 4))</f>
        <v>2015</v>
      </c>
      <c r="N1170" s="42">
        <f t="shared" si="26"/>
        <v>84938.734177215185</v>
      </c>
      <c r="O1170" s="3">
        <v>1168</v>
      </c>
    </row>
    <row r="1171" spans="1:15" x14ac:dyDescent="0.25">
      <c r="A1171" s="3">
        <v>4</v>
      </c>
      <c r="B1171" s="3" t="s">
        <v>200</v>
      </c>
      <c r="C1171" s="1" t="s">
        <v>12</v>
      </c>
      <c r="D1171" s="1" t="s">
        <v>444</v>
      </c>
      <c r="E1171" s="11" t="s">
        <v>144</v>
      </c>
      <c r="F1171" s="3" t="s">
        <v>8</v>
      </c>
      <c r="G1171" s="66" t="s">
        <v>58</v>
      </c>
      <c r="H1171" s="8"/>
      <c r="I1171" s="8"/>
      <c r="J1171" s="6" t="s">
        <v>453</v>
      </c>
      <c r="K1171" s="38">
        <v>2000</v>
      </c>
      <c r="L1171" s="4" t="s">
        <v>29</v>
      </c>
      <c r="M1171" s="11">
        <f>_xlfn.NUMBERVALUE(LEFT(Table613[[#This Row],[Fiscal Year]], 4))</f>
        <v>2015</v>
      </c>
      <c r="N1171" s="42">
        <f t="shared" si="26"/>
        <v>2123.4683544303798</v>
      </c>
      <c r="O1171" s="3">
        <v>1169</v>
      </c>
    </row>
    <row r="1172" spans="1:15" x14ac:dyDescent="0.25">
      <c r="A1172" s="3">
        <v>4</v>
      </c>
      <c r="B1172" s="3" t="s">
        <v>200</v>
      </c>
      <c r="C1172" s="1" t="s">
        <v>12</v>
      </c>
      <c r="D1172" s="1" t="s">
        <v>444</v>
      </c>
      <c r="E1172" s="11" t="s">
        <v>144</v>
      </c>
      <c r="F1172" s="3" t="s">
        <v>8</v>
      </c>
      <c r="G1172" s="66" t="s">
        <v>208</v>
      </c>
      <c r="H1172" s="8"/>
      <c r="I1172" s="8"/>
      <c r="J1172" s="6" t="s">
        <v>109</v>
      </c>
      <c r="K1172" s="38">
        <v>20000</v>
      </c>
      <c r="L1172" s="4" t="s">
        <v>29</v>
      </c>
      <c r="M1172" s="11">
        <f>_xlfn.NUMBERVALUE(LEFT(Table613[[#This Row],[Fiscal Year]], 4))</f>
        <v>2015</v>
      </c>
      <c r="N1172" s="42">
        <f t="shared" si="26"/>
        <v>21234.683544303796</v>
      </c>
      <c r="O1172" s="3">
        <v>1170</v>
      </c>
    </row>
    <row r="1173" spans="1:15" x14ac:dyDescent="0.25">
      <c r="A1173" s="3">
        <v>4</v>
      </c>
      <c r="B1173" s="3" t="s">
        <v>200</v>
      </c>
      <c r="C1173" s="1" t="s">
        <v>12</v>
      </c>
      <c r="D1173" s="1" t="s">
        <v>444</v>
      </c>
      <c r="E1173" s="11" t="s">
        <v>144</v>
      </c>
      <c r="F1173" s="3" t="s">
        <v>8</v>
      </c>
      <c r="G1173" s="48" t="s">
        <v>59</v>
      </c>
      <c r="H1173" s="8"/>
      <c r="I1173" s="8"/>
      <c r="J1173" s="6" t="s">
        <v>111</v>
      </c>
      <c r="K1173" s="38">
        <v>5000</v>
      </c>
      <c r="L1173" s="4" t="s">
        <v>29</v>
      </c>
      <c r="M1173" s="11">
        <f>_xlfn.NUMBERVALUE(LEFT(Table613[[#This Row],[Fiscal Year]], 4))</f>
        <v>2015</v>
      </c>
      <c r="N1173" s="42">
        <f t="shared" si="26"/>
        <v>5308.6708860759491</v>
      </c>
      <c r="O1173" s="3">
        <v>1171</v>
      </c>
    </row>
    <row r="1174" spans="1:15" x14ac:dyDescent="0.25">
      <c r="A1174" s="3">
        <v>4</v>
      </c>
      <c r="B1174" s="3" t="s">
        <v>200</v>
      </c>
      <c r="C1174" s="1" t="s">
        <v>12</v>
      </c>
      <c r="D1174" s="1" t="s">
        <v>444</v>
      </c>
      <c r="E1174" s="11" t="s">
        <v>144</v>
      </c>
      <c r="F1174" s="3" t="s">
        <v>8</v>
      </c>
      <c r="G1174" s="66" t="s">
        <v>60</v>
      </c>
      <c r="H1174" s="8"/>
      <c r="I1174" s="8"/>
      <c r="J1174" s="6" t="s">
        <v>111</v>
      </c>
      <c r="K1174" s="38">
        <v>2000</v>
      </c>
      <c r="L1174" s="4" t="s">
        <v>29</v>
      </c>
      <c r="M1174" s="11">
        <f>_xlfn.NUMBERVALUE(LEFT(Table613[[#This Row],[Fiscal Year]], 4))</f>
        <v>2015</v>
      </c>
      <c r="N1174" s="42">
        <f t="shared" si="26"/>
        <v>2123.4683544303798</v>
      </c>
      <c r="O1174" s="3">
        <v>1172</v>
      </c>
    </row>
    <row r="1175" spans="1:15" x14ac:dyDescent="0.25">
      <c r="A1175" s="3">
        <v>4</v>
      </c>
      <c r="B1175" s="3" t="s">
        <v>200</v>
      </c>
      <c r="C1175" s="1" t="s">
        <v>12</v>
      </c>
      <c r="D1175" s="1" t="s">
        <v>444</v>
      </c>
      <c r="E1175" s="11" t="s">
        <v>144</v>
      </c>
      <c r="F1175" s="3" t="s">
        <v>8</v>
      </c>
      <c r="G1175" s="48" t="s">
        <v>61</v>
      </c>
      <c r="H1175" s="8"/>
      <c r="I1175" s="8"/>
      <c r="J1175" s="6" t="s">
        <v>108</v>
      </c>
      <c r="K1175" s="38">
        <v>2750000</v>
      </c>
      <c r="L1175" s="4" t="s">
        <v>29</v>
      </c>
      <c r="M1175" s="11">
        <f>_xlfn.NUMBERVALUE(LEFT(Table613[[#This Row],[Fiscal Year]], 4))</f>
        <v>2015</v>
      </c>
      <c r="N1175" s="42">
        <f t="shared" si="26"/>
        <v>2919768.9873417718</v>
      </c>
      <c r="O1175" s="3">
        <v>1173</v>
      </c>
    </row>
    <row r="1176" spans="1:15" x14ac:dyDescent="0.25">
      <c r="A1176" s="3">
        <v>4</v>
      </c>
      <c r="B1176" s="3" t="s">
        <v>200</v>
      </c>
      <c r="C1176" s="1" t="s">
        <v>12</v>
      </c>
      <c r="D1176" s="1" t="s">
        <v>444</v>
      </c>
      <c r="E1176" s="11" t="s">
        <v>144</v>
      </c>
      <c r="F1176" s="3" t="s">
        <v>8</v>
      </c>
      <c r="G1176" s="66" t="s">
        <v>62</v>
      </c>
      <c r="H1176" s="8"/>
      <c r="I1176" s="8"/>
      <c r="J1176" s="6" t="s">
        <v>106</v>
      </c>
      <c r="K1176" s="38">
        <v>30000</v>
      </c>
      <c r="L1176" s="4" t="s">
        <v>29</v>
      </c>
      <c r="M1176" s="11">
        <f>_xlfn.NUMBERVALUE(LEFT(Table613[[#This Row],[Fiscal Year]], 4))</f>
        <v>2015</v>
      </c>
      <c r="N1176" s="42">
        <f t="shared" si="26"/>
        <v>31852.025316455696</v>
      </c>
      <c r="O1176" s="3">
        <v>1174</v>
      </c>
    </row>
    <row r="1177" spans="1:15" x14ac:dyDescent="0.25">
      <c r="A1177" s="3">
        <v>4</v>
      </c>
      <c r="B1177" s="3" t="s">
        <v>200</v>
      </c>
      <c r="C1177" s="1" t="s">
        <v>12</v>
      </c>
      <c r="D1177" s="1" t="s">
        <v>444</v>
      </c>
      <c r="E1177" s="11" t="s">
        <v>144</v>
      </c>
      <c r="F1177" s="3" t="s">
        <v>8</v>
      </c>
      <c r="G1177" s="66" t="s">
        <v>211</v>
      </c>
      <c r="H1177" s="8"/>
      <c r="I1177" s="8"/>
      <c r="J1177" s="6" t="s">
        <v>455</v>
      </c>
      <c r="K1177" s="38">
        <v>0</v>
      </c>
      <c r="L1177" s="4" t="s">
        <v>29</v>
      </c>
      <c r="M1177" s="11">
        <f>_xlfn.NUMBERVALUE(LEFT(Table613[[#This Row],[Fiscal Year]], 4))</f>
        <v>2015</v>
      </c>
      <c r="N1177" s="43">
        <f t="shared" si="26"/>
        <v>0</v>
      </c>
      <c r="O1177" s="3">
        <v>1175</v>
      </c>
    </row>
    <row r="1178" spans="1:15" x14ac:dyDescent="0.25">
      <c r="A1178" s="3">
        <v>4</v>
      </c>
      <c r="B1178" s="3" t="s">
        <v>200</v>
      </c>
      <c r="C1178" s="1" t="s">
        <v>12</v>
      </c>
      <c r="D1178" s="1" t="s">
        <v>444</v>
      </c>
      <c r="E1178" s="11" t="s">
        <v>144</v>
      </c>
      <c r="F1178" s="3" t="s">
        <v>8</v>
      </c>
      <c r="G1178" s="66" t="s">
        <v>64</v>
      </c>
      <c r="H1178" s="8"/>
      <c r="I1178" s="8"/>
      <c r="J1178" s="6" t="s">
        <v>76</v>
      </c>
      <c r="K1178" s="38">
        <v>1000000</v>
      </c>
      <c r="L1178" s="4" t="s">
        <v>29</v>
      </c>
      <c r="M1178" s="11">
        <f>_xlfn.NUMBERVALUE(LEFT(Table613[[#This Row],[Fiscal Year]], 4))</f>
        <v>2015</v>
      </c>
      <c r="N1178" s="42">
        <f>K1178*(1+VLOOKUP(M1178,$AF$8:$AH$31,3,0))</f>
        <v>1061734.1772151899</v>
      </c>
      <c r="O1178" s="3">
        <v>1176</v>
      </c>
    </row>
    <row r="1179" spans="1:15" x14ac:dyDescent="0.25">
      <c r="A1179" s="3">
        <v>4</v>
      </c>
      <c r="B1179" s="3" t="s">
        <v>200</v>
      </c>
      <c r="C1179" s="1" t="s">
        <v>12</v>
      </c>
      <c r="D1179" s="1" t="s">
        <v>444</v>
      </c>
      <c r="E1179" s="11" t="s">
        <v>144</v>
      </c>
      <c r="F1179" s="3" t="s">
        <v>8</v>
      </c>
      <c r="G1179" s="66" t="s">
        <v>65</v>
      </c>
      <c r="H1179" s="8"/>
      <c r="I1179" s="8"/>
      <c r="J1179" s="6" t="s">
        <v>76</v>
      </c>
      <c r="K1179" s="38">
        <v>0</v>
      </c>
      <c r="L1179" s="4" t="s">
        <v>29</v>
      </c>
      <c r="M1179" s="11">
        <f>_xlfn.NUMBERVALUE(LEFT(Table613[[#This Row],[Fiscal Year]], 4))</f>
        <v>2015</v>
      </c>
      <c r="N1179" s="43">
        <f t="shared" si="26"/>
        <v>0</v>
      </c>
      <c r="O1179" s="3">
        <v>1177</v>
      </c>
    </row>
    <row r="1180" spans="1:15" x14ac:dyDescent="0.25">
      <c r="A1180" s="3">
        <v>4</v>
      </c>
      <c r="B1180" s="3" t="s">
        <v>200</v>
      </c>
      <c r="C1180" s="1" t="s">
        <v>12</v>
      </c>
      <c r="D1180" s="1" t="s">
        <v>444</v>
      </c>
      <c r="E1180" s="11" t="s">
        <v>144</v>
      </c>
      <c r="F1180" s="3" t="s">
        <v>8</v>
      </c>
      <c r="G1180" s="48" t="s">
        <v>66</v>
      </c>
      <c r="H1180" s="8"/>
      <c r="I1180" s="8"/>
      <c r="J1180" s="6" t="s">
        <v>76</v>
      </c>
      <c r="K1180" s="38">
        <v>0</v>
      </c>
      <c r="L1180" s="4" t="s">
        <v>29</v>
      </c>
      <c r="M1180" s="11">
        <f>_xlfn.NUMBERVALUE(LEFT(Table613[[#This Row],[Fiscal Year]], 4))</f>
        <v>2015</v>
      </c>
      <c r="N1180" s="43">
        <f t="shared" si="26"/>
        <v>0</v>
      </c>
      <c r="O1180" s="3">
        <v>1178</v>
      </c>
    </row>
    <row r="1181" spans="1:15" x14ac:dyDescent="0.25">
      <c r="A1181" s="3">
        <v>4</v>
      </c>
      <c r="B1181" s="3" t="s">
        <v>200</v>
      </c>
      <c r="C1181" s="1" t="s">
        <v>12</v>
      </c>
      <c r="D1181" s="1" t="s">
        <v>444</v>
      </c>
      <c r="E1181" s="11" t="s">
        <v>144</v>
      </c>
      <c r="F1181" s="3" t="s">
        <v>8</v>
      </c>
      <c r="G1181" s="66" t="s">
        <v>33</v>
      </c>
      <c r="H1181" s="8"/>
      <c r="I1181" s="8"/>
      <c r="J1181" s="6" t="s">
        <v>47</v>
      </c>
      <c r="K1181" s="38">
        <v>40000</v>
      </c>
      <c r="L1181" s="4" t="s">
        <v>29</v>
      </c>
      <c r="M1181" s="11">
        <f>_xlfn.NUMBERVALUE(LEFT(Table613[[#This Row],[Fiscal Year]], 4))</f>
        <v>2015</v>
      </c>
      <c r="N1181" s="42">
        <f t="shared" si="26"/>
        <v>42469.367088607592</v>
      </c>
      <c r="O1181" s="3">
        <v>1179</v>
      </c>
    </row>
    <row r="1182" spans="1:15" x14ac:dyDescent="0.25">
      <c r="A1182" s="3">
        <v>4</v>
      </c>
      <c r="B1182" s="3" t="s">
        <v>200</v>
      </c>
      <c r="C1182" s="1" t="s">
        <v>12</v>
      </c>
      <c r="D1182" s="1" t="s">
        <v>444</v>
      </c>
      <c r="E1182" s="11" t="s">
        <v>144</v>
      </c>
      <c r="F1182" s="3" t="s">
        <v>8</v>
      </c>
      <c r="G1182" s="66" t="s">
        <v>67</v>
      </c>
      <c r="H1182" s="8" t="s">
        <v>944</v>
      </c>
      <c r="I1182" s="8" t="s">
        <v>429</v>
      </c>
      <c r="J1182" s="6" t="s">
        <v>455</v>
      </c>
      <c r="K1182" s="38">
        <v>80000</v>
      </c>
      <c r="L1182" s="4" t="s">
        <v>29</v>
      </c>
      <c r="M1182" s="11">
        <f>_xlfn.NUMBERVALUE(LEFT(Table613[[#This Row],[Fiscal Year]], 4))</f>
        <v>2015</v>
      </c>
      <c r="N1182" s="42">
        <f t="shared" si="26"/>
        <v>84938.734177215185</v>
      </c>
      <c r="O1182" s="3">
        <v>1180</v>
      </c>
    </row>
    <row r="1183" spans="1:15" x14ac:dyDescent="0.25">
      <c r="C1183" s="1"/>
      <c r="D1183" s="1"/>
      <c r="E1183" s="11"/>
      <c r="G1183" s="66"/>
      <c r="H1183" s="8"/>
      <c r="I1183" s="8"/>
      <c r="J1183" s="6"/>
      <c r="L1183" s="4"/>
      <c r="O1183" s="3">
        <v>1181</v>
      </c>
    </row>
    <row r="1184" spans="1:15" x14ac:dyDescent="0.25">
      <c r="A1184" s="3">
        <v>4</v>
      </c>
      <c r="B1184" s="3" t="s">
        <v>201</v>
      </c>
      <c r="C1184" s="1" t="s">
        <v>12</v>
      </c>
      <c r="D1184" s="1" t="s">
        <v>444</v>
      </c>
      <c r="E1184" s="11" t="s">
        <v>144</v>
      </c>
      <c r="F1184" s="3" t="s">
        <v>8</v>
      </c>
      <c r="G1184" s="48" t="s">
        <v>32</v>
      </c>
      <c r="H1184" s="8"/>
      <c r="I1184" s="8"/>
      <c r="J1184" s="6" t="s">
        <v>110</v>
      </c>
      <c r="K1184" s="38">
        <v>146623</v>
      </c>
      <c r="L1184" s="4" t="s">
        <v>29</v>
      </c>
      <c r="M1184" s="11">
        <f>_xlfn.NUMBERVALUE(LEFT(Table613[[#This Row],[Fiscal Year]], 4))</f>
        <v>2015</v>
      </c>
      <c r="N1184" s="42">
        <f t="shared" si="26"/>
        <v>155674.65026582277</v>
      </c>
      <c r="O1184" s="3">
        <v>1182</v>
      </c>
    </row>
    <row r="1185" spans="1:15" x14ac:dyDescent="0.25">
      <c r="A1185" s="3">
        <v>4</v>
      </c>
      <c r="B1185" s="3" t="s">
        <v>201</v>
      </c>
      <c r="C1185" s="1" t="s">
        <v>12</v>
      </c>
      <c r="D1185" s="1" t="s">
        <v>444</v>
      </c>
      <c r="E1185" s="11" t="s">
        <v>144</v>
      </c>
      <c r="F1185" s="3" t="s">
        <v>8</v>
      </c>
      <c r="G1185" s="66" t="s">
        <v>58</v>
      </c>
      <c r="H1185" s="8"/>
      <c r="I1185" s="8"/>
      <c r="J1185" s="6" t="s">
        <v>453</v>
      </c>
      <c r="K1185" s="38">
        <v>22986</v>
      </c>
      <c r="L1185" s="4" t="s">
        <v>29</v>
      </c>
      <c r="M1185" s="11">
        <f>_xlfn.NUMBERVALUE(LEFT(Table613[[#This Row],[Fiscal Year]], 4))</f>
        <v>2015</v>
      </c>
      <c r="N1185" s="42">
        <f t="shared" si="26"/>
        <v>24405.021797468355</v>
      </c>
      <c r="O1185" s="3">
        <v>1183</v>
      </c>
    </row>
    <row r="1186" spans="1:15" x14ac:dyDescent="0.25">
      <c r="A1186" s="3">
        <v>4</v>
      </c>
      <c r="B1186" s="3" t="s">
        <v>201</v>
      </c>
      <c r="C1186" s="1" t="s">
        <v>12</v>
      </c>
      <c r="D1186" s="1" t="s">
        <v>444</v>
      </c>
      <c r="E1186" s="11" t="s">
        <v>144</v>
      </c>
      <c r="F1186" s="3" t="s">
        <v>8</v>
      </c>
      <c r="G1186" s="66" t="s">
        <v>208</v>
      </c>
      <c r="H1186" s="8"/>
      <c r="I1186" s="8"/>
      <c r="J1186" s="6" t="s">
        <v>109</v>
      </c>
      <c r="K1186" s="38">
        <v>17507</v>
      </c>
      <c r="L1186" s="4" t="s">
        <v>29</v>
      </c>
      <c r="M1186" s="11">
        <f>_xlfn.NUMBERVALUE(LEFT(Table613[[#This Row],[Fiscal Year]], 4))</f>
        <v>2015</v>
      </c>
      <c r="N1186" s="42">
        <f t="shared" si="26"/>
        <v>18587.780240506327</v>
      </c>
      <c r="O1186" s="3">
        <v>1184</v>
      </c>
    </row>
    <row r="1187" spans="1:15" x14ac:dyDescent="0.25">
      <c r="A1187" s="3">
        <v>4</v>
      </c>
      <c r="B1187" s="3" t="s">
        <v>201</v>
      </c>
      <c r="C1187" s="1" t="s">
        <v>12</v>
      </c>
      <c r="D1187" s="1" t="s">
        <v>444</v>
      </c>
      <c r="E1187" s="11" t="s">
        <v>144</v>
      </c>
      <c r="F1187" s="3" t="s">
        <v>8</v>
      </c>
      <c r="G1187" s="48" t="s">
        <v>59</v>
      </c>
      <c r="H1187" s="8"/>
      <c r="I1187" s="8"/>
      <c r="J1187" s="6" t="s">
        <v>111</v>
      </c>
      <c r="K1187" s="38">
        <v>50701</v>
      </c>
      <c r="L1187" s="4" t="s">
        <v>29</v>
      </c>
      <c r="M1187" s="11">
        <f>_xlfn.NUMBERVALUE(LEFT(Table613[[#This Row],[Fiscal Year]], 4))</f>
        <v>2015</v>
      </c>
      <c r="N1187" s="42">
        <f t="shared" si="26"/>
        <v>53830.984518987338</v>
      </c>
      <c r="O1187" s="3">
        <v>1185</v>
      </c>
    </row>
    <row r="1188" spans="1:15" x14ac:dyDescent="0.25">
      <c r="A1188" s="3">
        <v>4</v>
      </c>
      <c r="B1188" s="3" t="s">
        <v>201</v>
      </c>
      <c r="C1188" s="1" t="s">
        <v>12</v>
      </c>
      <c r="D1188" s="1" t="s">
        <v>444</v>
      </c>
      <c r="E1188" s="11" t="s">
        <v>144</v>
      </c>
      <c r="F1188" s="3" t="s">
        <v>8</v>
      </c>
      <c r="G1188" s="66" t="s">
        <v>60</v>
      </c>
      <c r="H1188" s="8"/>
      <c r="I1188" s="8"/>
      <c r="J1188" s="6" t="s">
        <v>111</v>
      </c>
      <c r="K1188" s="38">
        <v>11588</v>
      </c>
      <c r="L1188" s="4" t="s">
        <v>29</v>
      </c>
      <c r="M1188" s="11">
        <f>_xlfn.NUMBERVALUE(LEFT(Table613[[#This Row],[Fiscal Year]], 4))</f>
        <v>2015</v>
      </c>
      <c r="N1188" s="42">
        <f t="shared" si="26"/>
        <v>12303.37564556962</v>
      </c>
      <c r="O1188" s="3">
        <v>1186</v>
      </c>
    </row>
    <row r="1189" spans="1:15" x14ac:dyDescent="0.25">
      <c r="A1189" s="3">
        <v>4</v>
      </c>
      <c r="B1189" s="3" t="s">
        <v>201</v>
      </c>
      <c r="C1189" s="1" t="s">
        <v>12</v>
      </c>
      <c r="D1189" s="1" t="s">
        <v>444</v>
      </c>
      <c r="E1189" s="11" t="s">
        <v>144</v>
      </c>
      <c r="F1189" s="3" t="s">
        <v>8</v>
      </c>
      <c r="G1189" s="48" t="s">
        <v>61</v>
      </c>
      <c r="H1189" s="8"/>
      <c r="I1189" s="8"/>
      <c r="J1189" s="6" t="s">
        <v>108</v>
      </c>
      <c r="K1189" s="38">
        <v>200164</v>
      </c>
      <c r="L1189" s="4" t="s">
        <v>29</v>
      </c>
      <c r="M1189" s="11">
        <f>_xlfn.NUMBERVALUE(LEFT(Table613[[#This Row],[Fiscal Year]], 4))</f>
        <v>2015</v>
      </c>
      <c r="N1189" s="42">
        <f t="shared" si="26"/>
        <v>212520.95984810125</v>
      </c>
      <c r="O1189" s="3">
        <v>1187</v>
      </c>
    </row>
    <row r="1190" spans="1:15" x14ac:dyDescent="0.25">
      <c r="A1190" s="3">
        <v>4</v>
      </c>
      <c r="B1190" s="3" t="s">
        <v>201</v>
      </c>
      <c r="C1190" s="1" t="s">
        <v>12</v>
      </c>
      <c r="D1190" s="1" t="s">
        <v>444</v>
      </c>
      <c r="E1190" s="11" t="s">
        <v>144</v>
      </c>
      <c r="F1190" s="3" t="s">
        <v>8</v>
      </c>
      <c r="G1190" s="66" t="s">
        <v>62</v>
      </c>
      <c r="H1190" s="8"/>
      <c r="I1190" s="8"/>
      <c r="J1190" s="6" t="s">
        <v>106</v>
      </c>
      <c r="K1190" s="38">
        <v>30000</v>
      </c>
      <c r="L1190" s="4" t="s">
        <v>29</v>
      </c>
      <c r="M1190" s="11">
        <f>_xlfn.NUMBERVALUE(LEFT(Table613[[#This Row],[Fiscal Year]], 4))</f>
        <v>2015</v>
      </c>
      <c r="N1190" s="42">
        <f t="shared" si="26"/>
        <v>31852.025316455696</v>
      </c>
      <c r="O1190" s="3">
        <v>1188</v>
      </c>
    </row>
    <row r="1191" spans="1:15" x14ac:dyDescent="0.25">
      <c r="A1191" s="3">
        <v>4</v>
      </c>
      <c r="B1191" s="3" t="s">
        <v>201</v>
      </c>
      <c r="C1191" s="1" t="s">
        <v>12</v>
      </c>
      <c r="D1191" s="1" t="s">
        <v>444</v>
      </c>
      <c r="E1191" s="11" t="s">
        <v>144</v>
      </c>
      <c r="F1191" s="3" t="s">
        <v>8</v>
      </c>
      <c r="G1191" s="66" t="s">
        <v>211</v>
      </c>
      <c r="H1191" s="8"/>
      <c r="I1191" s="8"/>
      <c r="J1191" s="6" t="s">
        <v>455</v>
      </c>
      <c r="K1191" s="38">
        <v>151309</v>
      </c>
      <c r="L1191" s="4" t="s">
        <v>29</v>
      </c>
      <c r="M1191" s="11">
        <f>_xlfn.NUMBERVALUE(LEFT(Table613[[#This Row],[Fiscal Year]], 4))</f>
        <v>2015</v>
      </c>
      <c r="N1191" s="42">
        <f t="shared" si="26"/>
        <v>160649.93662025317</v>
      </c>
      <c r="O1191" s="3">
        <v>1189</v>
      </c>
    </row>
    <row r="1192" spans="1:15" x14ac:dyDescent="0.25">
      <c r="A1192" s="3">
        <v>4</v>
      </c>
      <c r="B1192" s="3" t="s">
        <v>201</v>
      </c>
      <c r="C1192" s="1" t="s">
        <v>12</v>
      </c>
      <c r="D1192" s="1" t="s">
        <v>444</v>
      </c>
      <c r="E1192" s="11" t="s">
        <v>144</v>
      </c>
      <c r="F1192" s="3" t="s">
        <v>8</v>
      </c>
      <c r="G1192" s="66" t="s">
        <v>64</v>
      </c>
      <c r="H1192" s="8"/>
      <c r="I1192" s="8"/>
      <c r="J1192" s="6" t="s">
        <v>76</v>
      </c>
      <c r="K1192" s="38">
        <v>0</v>
      </c>
      <c r="L1192" s="4" t="s">
        <v>29</v>
      </c>
      <c r="M1192" s="11">
        <f>_xlfn.NUMBERVALUE(LEFT(Table613[[#This Row],[Fiscal Year]], 4))</f>
        <v>2015</v>
      </c>
      <c r="N1192" s="43">
        <f t="shared" si="26"/>
        <v>0</v>
      </c>
      <c r="O1192" s="3">
        <v>1190</v>
      </c>
    </row>
    <row r="1193" spans="1:15" x14ac:dyDescent="0.25">
      <c r="A1193" s="3">
        <v>4</v>
      </c>
      <c r="B1193" s="3" t="s">
        <v>201</v>
      </c>
      <c r="C1193" s="1" t="s">
        <v>12</v>
      </c>
      <c r="D1193" s="1" t="s">
        <v>444</v>
      </c>
      <c r="E1193" s="11" t="s">
        <v>144</v>
      </c>
      <c r="F1193" s="3" t="s">
        <v>8</v>
      </c>
      <c r="G1193" s="66" t="s">
        <v>65</v>
      </c>
      <c r="H1193" s="8"/>
      <c r="I1193" s="8"/>
      <c r="J1193" s="6" t="s">
        <v>76</v>
      </c>
      <c r="K1193" s="38">
        <v>0</v>
      </c>
      <c r="L1193" s="4" t="s">
        <v>29</v>
      </c>
      <c r="M1193" s="11">
        <f>_xlfn.NUMBERVALUE(LEFT(Table613[[#This Row],[Fiscal Year]], 4))</f>
        <v>2015</v>
      </c>
      <c r="N1193" s="43">
        <f t="shared" si="26"/>
        <v>0</v>
      </c>
      <c r="O1193" s="3">
        <v>1191</v>
      </c>
    </row>
    <row r="1194" spans="1:15" x14ac:dyDescent="0.25">
      <c r="A1194" s="3">
        <v>4</v>
      </c>
      <c r="B1194" s="3" t="s">
        <v>201</v>
      </c>
      <c r="C1194" s="1" t="s">
        <v>12</v>
      </c>
      <c r="D1194" s="1" t="s">
        <v>444</v>
      </c>
      <c r="E1194" s="11" t="s">
        <v>144</v>
      </c>
      <c r="F1194" s="3" t="s">
        <v>8</v>
      </c>
      <c r="G1194" s="48" t="s">
        <v>66</v>
      </c>
      <c r="H1194" s="8"/>
      <c r="I1194" s="8"/>
      <c r="J1194" s="6" t="s">
        <v>76</v>
      </c>
      <c r="K1194" s="38">
        <v>0</v>
      </c>
      <c r="L1194" s="4" t="s">
        <v>29</v>
      </c>
      <c r="M1194" s="11">
        <f>_xlfn.NUMBERVALUE(LEFT(Table613[[#This Row],[Fiscal Year]], 4))</f>
        <v>2015</v>
      </c>
      <c r="N1194" s="43">
        <f t="shared" si="26"/>
        <v>0</v>
      </c>
      <c r="O1194" s="3">
        <v>1192</v>
      </c>
    </row>
    <row r="1195" spans="1:15" x14ac:dyDescent="0.25">
      <c r="A1195" s="3">
        <v>4</v>
      </c>
      <c r="B1195" s="3" t="s">
        <v>201</v>
      </c>
      <c r="C1195" s="1" t="s">
        <v>12</v>
      </c>
      <c r="D1195" s="1" t="s">
        <v>444</v>
      </c>
      <c r="E1195" s="11" t="s">
        <v>144</v>
      </c>
      <c r="F1195" s="3" t="s">
        <v>8</v>
      </c>
      <c r="G1195" s="66" t="s">
        <v>33</v>
      </c>
      <c r="H1195" s="8"/>
      <c r="I1195" s="8"/>
      <c r="J1195" s="6" t="s">
        <v>47</v>
      </c>
      <c r="K1195" s="38">
        <v>67666</v>
      </c>
      <c r="L1195" s="4" t="s">
        <v>29</v>
      </c>
      <c r="M1195" s="11">
        <f>_xlfn.NUMBERVALUE(LEFT(Table613[[#This Row],[Fiscal Year]], 4))</f>
        <v>2015</v>
      </c>
      <c r="N1195" s="42">
        <f t="shared" si="26"/>
        <v>71843.304835443036</v>
      </c>
      <c r="O1195" s="3">
        <v>1193</v>
      </c>
    </row>
    <row r="1196" spans="1:15" x14ac:dyDescent="0.25">
      <c r="A1196" s="3">
        <v>4</v>
      </c>
      <c r="B1196" s="3" t="s">
        <v>201</v>
      </c>
      <c r="C1196" s="1" t="s">
        <v>12</v>
      </c>
      <c r="D1196" s="1" t="s">
        <v>444</v>
      </c>
      <c r="E1196" s="11" t="s">
        <v>144</v>
      </c>
      <c r="F1196" s="3" t="s">
        <v>8</v>
      </c>
      <c r="G1196" s="66" t="s">
        <v>67</v>
      </c>
      <c r="H1196" s="8" t="s">
        <v>946</v>
      </c>
      <c r="I1196" s="8" t="s">
        <v>429</v>
      </c>
      <c r="J1196" s="6" t="s">
        <v>455</v>
      </c>
      <c r="K1196" s="38">
        <v>42587</v>
      </c>
      <c r="L1196" s="4" t="s">
        <v>29</v>
      </c>
      <c r="M1196" s="11">
        <f>_xlfn.NUMBERVALUE(LEFT(Table613[[#This Row],[Fiscal Year]], 4))</f>
        <v>2015</v>
      </c>
      <c r="N1196" s="42">
        <f t="shared" si="26"/>
        <v>45216.073405063289</v>
      </c>
      <c r="O1196" s="3">
        <v>1194</v>
      </c>
    </row>
    <row r="1197" spans="1:15" x14ac:dyDescent="0.25">
      <c r="C1197" s="1"/>
      <c r="D1197" s="1"/>
      <c r="E1197" s="11"/>
      <c r="G1197" s="66"/>
      <c r="H1197" s="8"/>
      <c r="I1197" s="8"/>
      <c r="J1197" s="6"/>
      <c r="L1197" s="4"/>
      <c r="O1197" s="3">
        <v>1195</v>
      </c>
    </row>
    <row r="1198" spans="1:15" x14ac:dyDescent="0.25">
      <c r="A1198" s="3">
        <v>4</v>
      </c>
      <c r="B1198" s="3" t="s">
        <v>202</v>
      </c>
      <c r="C1198" s="1" t="s">
        <v>12</v>
      </c>
      <c r="D1198" s="1" t="s">
        <v>444</v>
      </c>
      <c r="E1198" s="11" t="s">
        <v>144</v>
      </c>
      <c r="F1198" s="3" t="s">
        <v>8</v>
      </c>
      <c r="G1198" s="48" t="s">
        <v>32</v>
      </c>
      <c r="H1198" s="8"/>
      <c r="I1198" s="8"/>
      <c r="J1198" s="6" t="s">
        <v>110</v>
      </c>
      <c r="K1198" s="38">
        <v>100000</v>
      </c>
      <c r="L1198" s="4" t="s">
        <v>29</v>
      </c>
      <c r="M1198" s="11">
        <f>_xlfn.NUMBERVALUE(LEFT(Table613[[#This Row],[Fiscal Year]], 4))</f>
        <v>2015</v>
      </c>
      <c r="N1198" s="42">
        <f t="shared" si="26"/>
        <v>106173.41772151898</v>
      </c>
      <c r="O1198" s="3">
        <v>1196</v>
      </c>
    </row>
    <row r="1199" spans="1:15" x14ac:dyDescent="0.25">
      <c r="A1199" s="3">
        <v>4</v>
      </c>
      <c r="B1199" s="3" t="s">
        <v>202</v>
      </c>
      <c r="C1199" s="1" t="s">
        <v>12</v>
      </c>
      <c r="D1199" s="1" t="s">
        <v>444</v>
      </c>
      <c r="E1199" s="11" t="s">
        <v>144</v>
      </c>
      <c r="F1199" s="3" t="s">
        <v>8</v>
      </c>
      <c r="G1199" s="66" t="s">
        <v>58</v>
      </c>
      <c r="H1199" s="8"/>
      <c r="I1199" s="8"/>
      <c r="J1199" s="6" t="s">
        <v>453</v>
      </c>
      <c r="K1199" s="38">
        <v>1000</v>
      </c>
      <c r="L1199" s="4" t="s">
        <v>29</v>
      </c>
      <c r="M1199" s="11">
        <f>_xlfn.NUMBERVALUE(LEFT(Table613[[#This Row],[Fiscal Year]], 4))</f>
        <v>2015</v>
      </c>
      <c r="N1199" s="42">
        <f t="shared" si="26"/>
        <v>1061.7341772151899</v>
      </c>
      <c r="O1199" s="3">
        <v>1197</v>
      </c>
    </row>
    <row r="1200" spans="1:15" x14ac:dyDescent="0.25">
      <c r="A1200" s="3">
        <v>4</v>
      </c>
      <c r="B1200" s="3" t="s">
        <v>202</v>
      </c>
      <c r="C1200" s="1" t="s">
        <v>12</v>
      </c>
      <c r="D1200" s="1" t="s">
        <v>444</v>
      </c>
      <c r="E1200" s="11" t="s">
        <v>144</v>
      </c>
      <c r="F1200" s="3" t="s">
        <v>8</v>
      </c>
      <c r="G1200" s="66" t="s">
        <v>208</v>
      </c>
      <c r="H1200" s="8"/>
      <c r="I1200" s="8"/>
      <c r="J1200" s="6" t="s">
        <v>109</v>
      </c>
      <c r="K1200" s="38">
        <v>25000</v>
      </c>
      <c r="L1200" s="4" t="s">
        <v>29</v>
      </c>
      <c r="M1200" s="11">
        <f>_xlfn.NUMBERVALUE(LEFT(Table613[[#This Row],[Fiscal Year]], 4))</f>
        <v>2015</v>
      </c>
      <c r="N1200" s="42">
        <f t="shared" si="26"/>
        <v>26543.354430379746</v>
      </c>
      <c r="O1200" s="3">
        <v>1198</v>
      </c>
    </row>
    <row r="1201" spans="1:15" x14ac:dyDescent="0.25">
      <c r="A1201" s="3">
        <v>4</v>
      </c>
      <c r="B1201" s="3" t="s">
        <v>202</v>
      </c>
      <c r="C1201" s="1" t="s">
        <v>12</v>
      </c>
      <c r="D1201" s="1" t="s">
        <v>444</v>
      </c>
      <c r="E1201" s="11" t="s">
        <v>144</v>
      </c>
      <c r="F1201" s="3" t="s">
        <v>8</v>
      </c>
      <c r="G1201" s="48" t="s">
        <v>59</v>
      </c>
      <c r="H1201" s="8"/>
      <c r="I1201" s="8"/>
      <c r="J1201" s="6" t="s">
        <v>111</v>
      </c>
      <c r="K1201" s="38">
        <v>20000</v>
      </c>
      <c r="L1201" s="4" t="s">
        <v>29</v>
      </c>
      <c r="M1201" s="11">
        <f>_xlfn.NUMBERVALUE(LEFT(Table613[[#This Row],[Fiscal Year]], 4))</f>
        <v>2015</v>
      </c>
      <c r="N1201" s="42">
        <f t="shared" si="26"/>
        <v>21234.683544303796</v>
      </c>
      <c r="O1201" s="3">
        <v>1199</v>
      </c>
    </row>
    <row r="1202" spans="1:15" x14ac:dyDescent="0.25">
      <c r="A1202" s="3">
        <v>4</v>
      </c>
      <c r="B1202" s="3" t="s">
        <v>202</v>
      </c>
      <c r="C1202" s="1" t="s">
        <v>12</v>
      </c>
      <c r="D1202" s="1" t="s">
        <v>444</v>
      </c>
      <c r="E1202" s="11" t="s">
        <v>144</v>
      </c>
      <c r="F1202" s="3" t="s">
        <v>8</v>
      </c>
      <c r="G1202" s="66" t="s">
        <v>60</v>
      </c>
      <c r="H1202" s="8"/>
      <c r="I1202" s="8"/>
      <c r="J1202" s="6" t="s">
        <v>111</v>
      </c>
      <c r="K1202" s="38">
        <v>30000</v>
      </c>
      <c r="L1202" s="4" t="s">
        <v>29</v>
      </c>
      <c r="M1202" s="11">
        <f>_xlfn.NUMBERVALUE(LEFT(Table613[[#This Row],[Fiscal Year]], 4))</f>
        <v>2015</v>
      </c>
      <c r="N1202" s="42">
        <f t="shared" si="26"/>
        <v>31852.025316455696</v>
      </c>
      <c r="O1202" s="3">
        <v>1200</v>
      </c>
    </row>
    <row r="1203" spans="1:15" x14ac:dyDescent="0.25">
      <c r="A1203" s="3">
        <v>4</v>
      </c>
      <c r="B1203" s="3" t="s">
        <v>202</v>
      </c>
      <c r="C1203" s="1" t="s">
        <v>12</v>
      </c>
      <c r="D1203" s="1" t="s">
        <v>444</v>
      </c>
      <c r="E1203" s="11" t="s">
        <v>144</v>
      </c>
      <c r="F1203" s="3" t="s">
        <v>8</v>
      </c>
      <c r="G1203" s="48" t="s">
        <v>61</v>
      </c>
      <c r="H1203" s="8" t="s">
        <v>947</v>
      </c>
      <c r="I1203" s="8" t="s">
        <v>429</v>
      </c>
      <c r="J1203" s="6" t="s">
        <v>108</v>
      </c>
      <c r="K1203" s="38">
        <v>26500</v>
      </c>
      <c r="L1203" s="4" t="s">
        <v>29</v>
      </c>
      <c r="M1203" s="11">
        <f>_xlfn.NUMBERVALUE(LEFT(Table613[[#This Row],[Fiscal Year]], 4))</f>
        <v>2015</v>
      </c>
      <c r="N1203" s="42">
        <f t="shared" si="26"/>
        <v>28135.955696202531</v>
      </c>
      <c r="O1203" s="3">
        <v>1201</v>
      </c>
    </row>
    <row r="1204" spans="1:15" x14ac:dyDescent="0.25">
      <c r="A1204" s="3">
        <v>4</v>
      </c>
      <c r="B1204" s="3" t="s">
        <v>202</v>
      </c>
      <c r="C1204" s="1" t="s">
        <v>12</v>
      </c>
      <c r="D1204" s="1" t="s">
        <v>444</v>
      </c>
      <c r="E1204" s="11" t="s">
        <v>144</v>
      </c>
      <c r="F1204" s="3" t="s">
        <v>8</v>
      </c>
      <c r="G1204" s="66" t="s">
        <v>62</v>
      </c>
      <c r="H1204" s="8"/>
      <c r="I1204" s="8"/>
      <c r="J1204" s="6" t="s">
        <v>106</v>
      </c>
      <c r="K1204" s="38">
        <v>50000</v>
      </c>
      <c r="L1204" s="4" t="s">
        <v>29</v>
      </c>
      <c r="M1204" s="11">
        <f>_xlfn.NUMBERVALUE(LEFT(Table613[[#This Row],[Fiscal Year]], 4))</f>
        <v>2015</v>
      </c>
      <c r="N1204" s="42">
        <f t="shared" si="26"/>
        <v>53086.708860759492</v>
      </c>
      <c r="O1204" s="3">
        <v>1202</v>
      </c>
    </row>
    <row r="1205" spans="1:15" x14ac:dyDescent="0.25">
      <c r="A1205" s="3">
        <v>4</v>
      </c>
      <c r="B1205" s="3" t="s">
        <v>202</v>
      </c>
      <c r="C1205" s="1" t="s">
        <v>12</v>
      </c>
      <c r="D1205" s="1" t="s">
        <v>444</v>
      </c>
      <c r="E1205" s="11" t="s">
        <v>144</v>
      </c>
      <c r="F1205" s="3" t="s">
        <v>8</v>
      </c>
      <c r="G1205" s="66" t="s">
        <v>211</v>
      </c>
      <c r="H1205" s="8"/>
      <c r="I1205" s="8"/>
      <c r="J1205" s="6" t="s">
        <v>455</v>
      </c>
      <c r="K1205" s="38">
        <v>0</v>
      </c>
      <c r="L1205" s="4" t="s">
        <v>29</v>
      </c>
      <c r="M1205" s="11">
        <f>_xlfn.NUMBERVALUE(LEFT(Table613[[#This Row],[Fiscal Year]], 4))</f>
        <v>2015</v>
      </c>
      <c r="N1205" s="43">
        <f t="shared" si="26"/>
        <v>0</v>
      </c>
      <c r="O1205" s="3">
        <v>1203</v>
      </c>
    </row>
    <row r="1206" spans="1:15" x14ac:dyDescent="0.25">
      <c r="A1206" s="3">
        <v>4</v>
      </c>
      <c r="B1206" s="3" t="s">
        <v>202</v>
      </c>
      <c r="C1206" s="1" t="s">
        <v>12</v>
      </c>
      <c r="D1206" s="1" t="s">
        <v>444</v>
      </c>
      <c r="E1206" s="11" t="s">
        <v>144</v>
      </c>
      <c r="F1206" s="3" t="s">
        <v>8</v>
      </c>
      <c r="G1206" s="66" t="s">
        <v>64</v>
      </c>
      <c r="H1206" s="8"/>
      <c r="I1206" s="8"/>
      <c r="J1206" s="6" t="s">
        <v>76</v>
      </c>
      <c r="K1206" s="38">
        <v>12000</v>
      </c>
      <c r="L1206" s="4" t="s">
        <v>29</v>
      </c>
      <c r="M1206" s="11">
        <f>_xlfn.NUMBERVALUE(LEFT(Table613[[#This Row],[Fiscal Year]], 4))</f>
        <v>2015</v>
      </c>
      <c r="N1206" s="42">
        <f>K1206*(1+VLOOKUP(M1206,$AF$8:$AH$31,3,0))</f>
        <v>12740.810126582277</v>
      </c>
      <c r="O1206" s="3">
        <v>1204</v>
      </c>
    </row>
    <row r="1207" spans="1:15" x14ac:dyDescent="0.25">
      <c r="A1207" s="3">
        <v>4</v>
      </c>
      <c r="B1207" s="3" t="s">
        <v>202</v>
      </c>
      <c r="C1207" s="1" t="s">
        <v>12</v>
      </c>
      <c r="D1207" s="1" t="s">
        <v>444</v>
      </c>
      <c r="E1207" s="11" t="s">
        <v>144</v>
      </c>
      <c r="F1207" s="3" t="s">
        <v>8</v>
      </c>
      <c r="G1207" s="66" t="s">
        <v>65</v>
      </c>
      <c r="H1207" s="8"/>
      <c r="I1207" s="8"/>
      <c r="J1207" s="6" t="s">
        <v>76</v>
      </c>
      <c r="K1207" s="38">
        <v>0</v>
      </c>
      <c r="L1207" s="4" t="s">
        <v>29</v>
      </c>
      <c r="M1207" s="11">
        <f>_xlfn.NUMBERVALUE(LEFT(Table613[[#This Row],[Fiscal Year]], 4))</f>
        <v>2015</v>
      </c>
      <c r="N1207" s="43">
        <f t="shared" si="26"/>
        <v>0</v>
      </c>
      <c r="O1207" s="3">
        <v>1205</v>
      </c>
    </row>
    <row r="1208" spans="1:15" x14ac:dyDescent="0.25">
      <c r="A1208" s="3">
        <v>4</v>
      </c>
      <c r="B1208" s="3" t="s">
        <v>202</v>
      </c>
      <c r="C1208" s="1" t="s">
        <v>12</v>
      </c>
      <c r="D1208" s="1" t="s">
        <v>444</v>
      </c>
      <c r="E1208" s="11" t="s">
        <v>144</v>
      </c>
      <c r="F1208" s="3" t="s">
        <v>8</v>
      </c>
      <c r="G1208" s="48" t="s">
        <v>66</v>
      </c>
      <c r="H1208" s="8"/>
      <c r="I1208" s="8"/>
      <c r="J1208" s="6" t="s">
        <v>76</v>
      </c>
      <c r="K1208" s="38">
        <v>0</v>
      </c>
      <c r="L1208" s="4" t="s">
        <v>29</v>
      </c>
      <c r="M1208" s="11">
        <f>_xlfn.NUMBERVALUE(LEFT(Table613[[#This Row],[Fiscal Year]], 4))</f>
        <v>2015</v>
      </c>
      <c r="N1208" s="43">
        <f t="shared" si="26"/>
        <v>0</v>
      </c>
      <c r="O1208" s="3">
        <v>1206</v>
      </c>
    </row>
    <row r="1209" spans="1:15" x14ac:dyDescent="0.25">
      <c r="A1209" s="3">
        <v>4</v>
      </c>
      <c r="B1209" s="3" t="s">
        <v>202</v>
      </c>
      <c r="C1209" s="1" t="s">
        <v>12</v>
      </c>
      <c r="D1209" s="1" t="s">
        <v>444</v>
      </c>
      <c r="E1209" s="11" t="s">
        <v>144</v>
      </c>
      <c r="F1209" s="3" t="s">
        <v>8</v>
      </c>
      <c r="G1209" s="66" t="s">
        <v>33</v>
      </c>
      <c r="H1209" s="8"/>
      <c r="I1209" s="8"/>
      <c r="J1209" s="6" t="s">
        <v>47</v>
      </c>
      <c r="K1209" s="38">
        <v>5000</v>
      </c>
      <c r="L1209" s="4" t="s">
        <v>29</v>
      </c>
      <c r="M1209" s="11">
        <f>_xlfn.NUMBERVALUE(LEFT(Table613[[#This Row],[Fiscal Year]], 4))</f>
        <v>2015</v>
      </c>
      <c r="N1209" s="42">
        <f t="shared" si="26"/>
        <v>5308.6708860759491</v>
      </c>
      <c r="O1209" s="3">
        <v>1207</v>
      </c>
    </row>
    <row r="1210" spans="1:15" x14ac:dyDescent="0.25">
      <c r="A1210" s="3">
        <v>4</v>
      </c>
      <c r="B1210" s="3" t="s">
        <v>202</v>
      </c>
      <c r="C1210" s="1" t="s">
        <v>12</v>
      </c>
      <c r="D1210" s="1" t="s">
        <v>444</v>
      </c>
      <c r="E1210" s="11" t="s">
        <v>144</v>
      </c>
      <c r="F1210" s="3" t="s">
        <v>8</v>
      </c>
      <c r="G1210" s="48" t="s">
        <v>67</v>
      </c>
      <c r="H1210" s="8" t="s">
        <v>948</v>
      </c>
      <c r="I1210" s="8" t="s">
        <v>429</v>
      </c>
      <c r="J1210" s="6" t="s">
        <v>455</v>
      </c>
      <c r="K1210" s="38">
        <v>200000</v>
      </c>
      <c r="L1210" s="4" t="s">
        <v>29</v>
      </c>
      <c r="M1210" s="11">
        <f>_xlfn.NUMBERVALUE(LEFT(Table613[[#This Row],[Fiscal Year]], 4))</f>
        <v>2015</v>
      </c>
      <c r="N1210" s="42">
        <f t="shared" si="26"/>
        <v>212346.83544303797</v>
      </c>
      <c r="O1210" s="3">
        <v>1208</v>
      </c>
    </row>
    <row r="1211" spans="1:15" x14ac:dyDescent="0.25">
      <c r="C1211" s="1"/>
      <c r="D1211" s="1"/>
      <c r="E1211" s="11"/>
      <c r="G1211" s="66"/>
      <c r="H1211" s="8"/>
      <c r="I1211" s="8"/>
      <c r="J1211" s="6"/>
      <c r="L1211" s="4"/>
      <c r="O1211" s="3">
        <v>1209</v>
      </c>
    </row>
    <row r="1212" spans="1:15" x14ac:dyDescent="0.25">
      <c r="A1212" s="3">
        <v>4</v>
      </c>
      <c r="B1212" s="3" t="s">
        <v>203</v>
      </c>
      <c r="C1212" s="1" t="s">
        <v>12</v>
      </c>
      <c r="D1212" s="1" t="s">
        <v>444</v>
      </c>
      <c r="E1212" s="11" t="s">
        <v>144</v>
      </c>
      <c r="F1212" s="3" t="s">
        <v>8</v>
      </c>
      <c r="G1212" s="48" t="s">
        <v>32</v>
      </c>
      <c r="H1212" s="8"/>
      <c r="I1212" s="8"/>
      <c r="J1212" s="6" t="s">
        <v>110</v>
      </c>
      <c r="K1212" s="38">
        <v>197502</v>
      </c>
      <c r="L1212" s="4" t="s">
        <v>29</v>
      </c>
      <c r="M1212" s="11">
        <f>_xlfn.NUMBERVALUE(LEFT(Table613[[#This Row],[Fiscal Year]], 4))</f>
        <v>2015</v>
      </c>
      <c r="N1212" s="42">
        <f t="shared" si="26"/>
        <v>209694.62346835443</v>
      </c>
      <c r="O1212" s="3">
        <v>1210</v>
      </c>
    </row>
    <row r="1213" spans="1:15" x14ac:dyDescent="0.25">
      <c r="A1213" s="3">
        <v>4</v>
      </c>
      <c r="B1213" s="3" t="s">
        <v>203</v>
      </c>
      <c r="C1213" s="1" t="s">
        <v>12</v>
      </c>
      <c r="D1213" s="1" t="s">
        <v>444</v>
      </c>
      <c r="E1213" s="11" t="s">
        <v>144</v>
      </c>
      <c r="F1213" s="3" t="s">
        <v>8</v>
      </c>
      <c r="G1213" s="66" t="s">
        <v>58</v>
      </c>
      <c r="H1213" s="8"/>
      <c r="I1213" s="8"/>
      <c r="J1213" s="6" t="s">
        <v>453</v>
      </c>
      <c r="K1213" s="38">
        <v>2071</v>
      </c>
      <c r="L1213" s="4" t="s">
        <v>29</v>
      </c>
      <c r="M1213" s="11">
        <f>_xlfn.NUMBERVALUE(LEFT(Table613[[#This Row],[Fiscal Year]], 4))</f>
        <v>2015</v>
      </c>
      <c r="N1213" s="42">
        <f t="shared" si="26"/>
        <v>2198.851481012658</v>
      </c>
      <c r="O1213" s="3">
        <v>1211</v>
      </c>
    </row>
    <row r="1214" spans="1:15" x14ac:dyDescent="0.25">
      <c r="A1214" s="3">
        <v>4</v>
      </c>
      <c r="B1214" s="3" t="s">
        <v>203</v>
      </c>
      <c r="C1214" s="1" t="s">
        <v>12</v>
      </c>
      <c r="D1214" s="1" t="s">
        <v>444</v>
      </c>
      <c r="E1214" s="11" t="s">
        <v>144</v>
      </c>
      <c r="F1214" s="3" t="s">
        <v>8</v>
      </c>
      <c r="G1214" s="66" t="s">
        <v>208</v>
      </c>
      <c r="H1214" s="8"/>
      <c r="I1214" s="8"/>
      <c r="J1214" s="6" t="s">
        <v>109</v>
      </c>
      <c r="K1214" s="38">
        <v>92952</v>
      </c>
      <c r="L1214" s="4" t="s">
        <v>29</v>
      </c>
      <c r="M1214" s="11">
        <f>_xlfn.NUMBERVALUE(LEFT(Table613[[#This Row],[Fiscal Year]], 4))</f>
        <v>2015</v>
      </c>
      <c r="N1214" s="42">
        <f t="shared" si="26"/>
        <v>98690.31524050633</v>
      </c>
      <c r="O1214" s="3">
        <v>1212</v>
      </c>
    </row>
    <row r="1215" spans="1:15" x14ac:dyDescent="0.25">
      <c r="A1215" s="3">
        <v>4</v>
      </c>
      <c r="B1215" s="3" t="s">
        <v>203</v>
      </c>
      <c r="C1215" s="1" t="s">
        <v>12</v>
      </c>
      <c r="D1215" s="1" t="s">
        <v>444</v>
      </c>
      <c r="E1215" s="11" t="s">
        <v>144</v>
      </c>
      <c r="F1215" s="3" t="s">
        <v>8</v>
      </c>
      <c r="G1215" s="48" t="s">
        <v>59</v>
      </c>
      <c r="H1215" s="8"/>
      <c r="I1215" s="8"/>
      <c r="J1215" s="6" t="s">
        <v>111</v>
      </c>
      <c r="K1215" s="38">
        <v>48281</v>
      </c>
      <c r="L1215" s="4" t="s">
        <v>29</v>
      </c>
      <c r="M1215" s="11">
        <f>_xlfn.NUMBERVALUE(LEFT(Table613[[#This Row],[Fiscal Year]], 4))</f>
        <v>2015</v>
      </c>
      <c r="N1215" s="42">
        <f t="shared" si="26"/>
        <v>51261.587810126577</v>
      </c>
      <c r="O1215" s="3">
        <v>1213</v>
      </c>
    </row>
    <row r="1216" spans="1:15" x14ac:dyDescent="0.25">
      <c r="A1216" s="3">
        <v>4</v>
      </c>
      <c r="B1216" s="3" t="s">
        <v>203</v>
      </c>
      <c r="C1216" s="1" t="s">
        <v>12</v>
      </c>
      <c r="D1216" s="1" t="s">
        <v>444</v>
      </c>
      <c r="E1216" s="11" t="s">
        <v>144</v>
      </c>
      <c r="F1216" s="3" t="s">
        <v>8</v>
      </c>
      <c r="G1216" s="66" t="s">
        <v>60</v>
      </c>
      <c r="H1216" s="8"/>
      <c r="I1216" s="8"/>
      <c r="J1216" s="6" t="s">
        <v>111</v>
      </c>
      <c r="K1216" s="38">
        <v>80022</v>
      </c>
      <c r="L1216" s="4" t="s">
        <v>29</v>
      </c>
      <c r="M1216" s="11">
        <f>_xlfn.NUMBERVALUE(LEFT(Table613[[#This Row],[Fiscal Year]], 4))</f>
        <v>2015</v>
      </c>
      <c r="N1216" s="42">
        <f t="shared" si="26"/>
        <v>84962.092329113919</v>
      </c>
      <c r="O1216" s="3">
        <v>1214</v>
      </c>
    </row>
    <row r="1217" spans="1:15" x14ac:dyDescent="0.25">
      <c r="A1217" s="3">
        <v>4</v>
      </c>
      <c r="B1217" s="3" t="s">
        <v>203</v>
      </c>
      <c r="C1217" s="1" t="s">
        <v>12</v>
      </c>
      <c r="D1217" s="1" t="s">
        <v>444</v>
      </c>
      <c r="E1217" s="11" t="s">
        <v>144</v>
      </c>
      <c r="F1217" s="3" t="s">
        <v>8</v>
      </c>
      <c r="G1217" s="48" t="s">
        <v>61</v>
      </c>
      <c r="H1217" s="8"/>
      <c r="I1217" s="8"/>
      <c r="J1217" s="6" t="s">
        <v>108</v>
      </c>
      <c r="K1217" s="38">
        <v>4443527</v>
      </c>
      <c r="L1217" s="4" t="s">
        <v>29</v>
      </c>
      <c r="M1217" s="11">
        <f>_xlfn.NUMBERVALUE(LEFT(Table613[[#This Row],[Fiscal Year]], 4))</f>
        <v>2015</v>
      </c>
      <c r="N1217" s="42">
        <f t="shared" si="26"/>
        <v>4717844.4832784804</v>
      </c>
      <c r="O1217" s="3">
        <v>1215</v>
      </c>
    </row>
    <row r="1218" spans="1:15" x14ac:dyDescent="0.25">
      <c r="A1218" s="3">
        <v>4</v>
      </c>
      <c r="B1218" s="3" t="s">
        <v>203</v>
      </c>
      <c r="C1218" s="1" t="s">
        <v>12</v>
      </c>
      <c r="D1218" s="1" t="s">
        <v>444</v>
      </c>
      <c r="E1218" s="11" t="s">
        <v>144</v>
      </c>
      <c r="F1218" s="3" t="s">
        <v>8</v>
      </c>
      <c r="G1218" s="66" t="s">
        <v>62</v>
      </c>
      <c r="H1218" s="8"/>
      <c r="I1218" s="8"/>
      <c r="J1218" s="6" t="s">
        <v>106</v>
      </c>
      <c r="K1218" s="38">
        <v>5864</v>
      </c>
      <c r="L1218" s="4" t="s">
        <v>29</v>
      </c>
      <c r="M1218" s="11">
        <f>_xlfn.NUMBERVALUE(LEFT(Table613[[#This Row],[Fiscal Year]], 4))</f>
        <v>2015</v>
      </c>
      <c r="N1218" s="42">
        <f t="shared" si="26"/>
        <v>6226.0092151898734</v>
      </c>
      <c r="O1218" s="3">
        <v>1216</v>
      </c>
    </row>
    <row r="1219" spans="1:15" x14ac:dyDescent="0.25">
      <c r="A1219" s="3">
        <v>4</v>
      </c>
      <c r="B1219" s="3" t="s">
        <v>203</v>
      </c>
      <c r="C1219" s="1" t="s">
        <v>12</v>
      </c>
      <c r="D1219" s="1" t="s">
        <v>444</v>
      </c>
      <c r="E1219" s="11" t="s">
        <v>144</v>
      </c>
      <c r="F1219" s="3" t="s">
        <v>8</v>
      </c>
      <c r="G1219" s="66" t="s">
        <v>211</v>
      </c>
      <c r="H1219" s="8"/>
      <c r="I1219" s="8"/>
      <c r="J1219" s="6" t="s">
        <v>455</v>
      </c>
      <c r="K1219" s="38">
        <v>8796</v>
      </c>
      <c r="L1219" s="4" t="s">
        <v>29</v>
      </c>
      <c r="M1219" s="11">
        <f>_xlfn.NUMBERVALUE(LEFT(Table613[[#This Row],[Fiscal Year]], 4))</f>
        <v>2015</v>
      </c>
      <c r="N1219" s="42">
        <f t="shared" si="26"/>
        <v>9339.0138227848092</v>
      </c>
      <c r="O1219" s="3">
        <v>1217</v>
      </c>
    </row>
    <row r="1220" spans="1:15" x14ac:dyDescent="0.25">
      <c r="A1220" s="3">
        <v>4</v>
      </c>
      <c r="B1220" s="3" t="s">
        <v>203</v>
      </c>
      <c r="C1220" s="1" t="s">
        <v>12</v>
      </c>
      <c r="D1220" s="1" t="s">
        <v>444</v>
      </c>
      <c r="E1220" s="11" t="s">
        <v>144</v>
      </c>
      <c r="F1220" s="3" t="s">
        <v>8</v>
      </c>
      <c r="G1220" s="66" t="s">
        <v>64</v>
      </c>
      <c r="H1220" s="8"/>
      <c r="I1220" s="8"/>
      <c r="J1220" s="6" t="s">
        <v>76</v>
      </c>
      <c r="K1220" s="38">
        <v>0</v>
      </c>
      <c r="L1220" s="4" t="s">
        <v>29</v>
      </c>
      <c r="M1220" s="11">
        <f>_xlfn.NUMBERVALUE(LEFT(Table613[[#This Row],[Fiscal Year]], 4))</f>
        <v>2015</v>
      </c>
      <c r="N1220" s="43">
        <f t="shared" si="26"/>
        <v>0</v>
      </c>
      <c r="O1220" s="3">
        <v>1218</v>
      </c>
    </row>
    <row r="1221" spans="1:15" x14ac:dyDescent="0.25">
      <c r="A1221" s="3">
        <v>4</v>
      </c>
      <c r="B1221" s="3" t="s">
        <v>203</v>
      </c>
      <c r="C1221" s="1" t="s">
        <v>12</v>
      </c>
      <c r="D1221" s="1" t="s">
        <v>444</v>
      </c>
      <c r="E1221" s="11" t="s">
        <v>144</v>
      </c>
      <c r="F1221" s="3" t="s">
        <v>8</v>
      </c>
      <c r="G1221" s="66" t="s">
        <v>65</v>
      </c>
      <c r="H1221" s="8"/>
      <c r="I1221" s="8"/>
      <c r="J1221" s="6" t="s">
        <v>76</v>
      </c>
      <c r="K1221" s="38">
        <v>0</v>
      </c>
      <c r="L1221" s="4" t="s">
        <v>29</v>
      </c>
      <c r="M1221" s="11">
        <f>_xlfn.NUMBERVALUE(LEFT(Table613[[#This Row],[Fiscal Year]], 4))</f>
        <v>2015</v>
      </c>
      <c r="N1221" s="43">
        <f t="shared" si="26"/>
        <v>0</v>
      </c>
      <c r="O1221" s="3">
        <v>1219</v>
      </c>
    </row>
    <row r="1222" spans="1:15" x14ac:dyDescent="0.25">
      <c r="A1222" s="3">
        <v>4</v>
      </c>
      <c r="B1222" s="3" t="s">
        <v>203</v>
      </c>
      <c r="C1222" s="1" t="s">
        <v>12</v>
      </c>
      <c r="D1222" s="1" t="s">
        <v>444</v>
      </c>
      <c r="E1222" s="11" t="s">
        <v>144</v>
      </c>
      <c r="F1222" s="3" t="s">
        <v>8</v>
      </c>
      <c r="G1222" s="48" t="s">
        <v>66</v>
      </c>
      <c r="H1222" s="8"/>
      <c r="I1222" s="8"/>
      <c r="J1222" s="6" t="s">
        <v>76</v>
      </c>
      <c r="K1222" s="38">
        <v>0</v>
      </c>
      <c r="L1222" s="4" t="s">
        <v>29</v>
      </c>
      <c r="M1222" s="11">
        <f>_xlfn.NUMBERVALUE(LEFT(Table613[[#This Row],[Fiscal Year]], 4))</f>
        <v>2015</v>
      </c>
      <c r="N1222" s="43">
        <f t="shared" si="26"/>
        <v>0</v>
      </c>
      <c r="O1222" s="3">
        <v>1220</v>
      </c>
    </row>
    <row r="1223" spans="1:15" x14ac:dyDescent="0.25">
      <c r="A1223" s="3">
        <v>4</v>
      </c>
      <c r="B1223" s="3" t="s">
        <v>203</v>
      </c>
      <c r="C1223" s="1" t="s">
        <v>12</v>
      </c>
      <c r="D1223" s="1" t="s">
        <v>444</v>
      </c>
      <c r="E1223" s="11" t="s">
        <v>144</v>
      </c>
      <c r="F1223" s="3" t="s">
        <v>8</v>
      </c>
      <c r="G1223" s="66" t="s">
        <v>33</v>
      </c>
      <c r="H1223" s="8"/>
      <c r="I1223" s="8"/>
      <c r="J1223" s="6" t="s">
        <v>47</v>
      </c>
      <c r="K1223" s="38">
        <v>108500</v>
      </c>
      <c r="L1223" s="4" t="s">
        <v>29</v>
      </c>
      <c r="M1223" s="11">
        <f>_xlfn.NUMBERVALUE(LEFT(Table613[[#This Row],[Fiscal Year]], 4))</f>
        <v>2015</v>
      </c>
      <c r="N1223" s="42">
        <f>K1223*(1+VLOOKUP(M1223,$AF$8:$AH$31,3,0))</f>
        <v>115198.15822784809</v>
      </c>
      <c r="O1223" s="3">
        <v>1221</v>
      </c>
    </row>
    <row r="1224" spans="1:15" x14ac:dyDescent="0.25">
      <c r="A1224" s="3">
        <v>4</v>
      </c>
      <c r="B1224" s="3" t="s">
        <v>203</v>
      </c>
      <c r="C1224" s="1" t="s">
        <v>12</v>
      </c>
      <c r="D1224" s="1" t="s">
        <v>444</v>
      </c>
      <c r="E1224" s="11" t="s">
        <v>144</v>
      </c>
      <c r="F1224" s="3" t="s">
        <v>8</v>
      </c>
      <c r="G1224" s="66" t="s">
        <v>67</v>
      </c>
      <c r="H1224" s="8"/>
      <c r="I1224" s="8"/>
      <c r="J1224" s="6" t="s">
        <v>455</v>
      </c>
      <c r="K1224" s="38">
        <v>0</v>
      </c>
      <c r="L1224" s="4" t="s">
        <v>29</v>
      </c>
      <c r="M1224" s="11">
        <f>_xlfn.NUMBERVALUE(LEFT(Table613[[#This Row],[Fiscal Year]], 4))</f>
        <v>2015</v>
      </c>
      <c r="N1224" s="43">
        <f t="shared" si="26"/>
        <v>0</v>
      </c>
      <c r="O1224" s="3">
        <v>1222</v>
      </c>
    </row>
    <row r="1225" spans="1:15" x14ac:dyDescent="0.25">
      <c r="C1225" s="1"/>
      <c r="D1225" s="1"/>
      <c r="E1225" s="11"/>
      <c r="G1225" s="66"/>
      <c r="H1225" s="8"/>
      <c r="I1225" s="8"/>
      <c r="J1225" s="6"/>
      <c r="L1225" s="4"/>
      <c r="O1225" s="3">
        <v>1223</v>
      </c>
    </row>
    <row r="1226" spans="1:15" x14ac:dyDescent="0.25">
      <c r="A1226" s="3">
        <v>4</v>
      </c>
      <c r="B1226" s="3" t="s">
        <v>204</v>
      </c>
      <c r="C1226" s="1" t="s">
        <v>12</v>
      </c>
      <c r="D1226" s="1" t="s">
        <v>444</v>
      </c>
      <c r="E1226" s="11" t="s">
        <v>144</v>
      </c>
      <c r="F1226" s="3" t="s">
        <v>8</v>
      </c>
      <c r="G1226" s="48" t="s">
        <v>32</v>
      </c>
      <c r="H1226" s="8"/>
      <c r="I1226" s="8"/>
      <c r="J1226" s="6" t="s">
        <v>110</v>
      </c>
      <c r="K1226" s="38">
        <v>13030</v>
      </c>
      <c r="L1226" s="4" t="s">
        <v>29</v>
      </c>
      <c r="M1226" s="11">
        <f>_xlfn.NUMBERVALUE(LEFT(Table613[[#This Row],[Fiscal Year]], 4))</f>
        <v>2015</v>
      </c>
      <c r="N1226" s="42">
        <f t="shared" si="26"/>
        <v>13834.396329113923</v>
      </c>
      <c r="O1226" s="3">
        <v>1224</v>
      </c>
    </row>
    <row r="1227" spans="1:15" x14ac:dyDescent="0.25">
      <c r="A1227" s="3">
        <v>4</v>
      </c>
      <c r="B1227" s="3" t="s">
        <v>204</v>
      </c>
      <c r="C1227" s="1" t="s">
        <v>12</v>
      </c>
      <c r="D1227" s="1" t="s">
        <v>444</v>
      </c>
      <c r="E1227" s="11" t="s">
        <v>144</v>
      </c>
      <c r="F1227" s="3" t="s">
        <v>8</v>
      </c>
      <c r="G1227" s="48" t="s">
        <v>58</v>
      </c>
      <c r="H1227" s="8"/>
      <c r="I1227" s="8"/>
      <c r="J1227" s="6" t="s">
        <v>453</v>
      </c>
      <c r="K1227" s="38">
        <v>1750</v>
      </c>
      <c r="L1227" s="4" t="s">
        <v>29</v>
      </c>
      <c r="M1227" s="11">
        <f>_xlfn.NUMBERVALUE(LEFT(Table613[[#This Row],[Fiscal Year]], 4))</f>
        <v>2015</v>
      </c>
      <c r="N1227" s="42">
        <f t="shared" si="26"/>
        <v>1858.0348101265822</v>
      </c>
      <c r="O1227" s="3">
        <v>1225</v>
      </c>
    </row>
    <row r="1228" spans="1:15" x14ac:dyDescent="0.25">
      <c r="A1228" s="3">
        <v>4</v>
      </c>
      <c r="B1228" s="3" t="s">
        <v>204</v>
      </c>
      <c r="C1228" s="1" t="s">
        <v>12</v>
      </c>
      <c r="D1228" s="1" t="s">
        <v>444</v>
      </c>
      <c r="E1228" s="11" t="s">
        <v>144</v>
      </c>
      <c r="F1228" s="3" t="s">
        <v>8</v>
      </c>
      <c r="G1228" s="66" t="s">
        <v>208</v>
      </c>
      <c r="H1228" s="8"/>
      <c r="I1228" s="8"/>
      <c r="J1228" s="6" t="s">
        <v>109</v>
      </c>
      <c r="K1228" s="38">
        <v>0</v>
      </c>
      <c r="L1228" s="4" t="s">
        <v>29</v>
      </c>
      <c r="M1228" s="11">
        <f>_xlfn.NUMBERVALUE(LEFT(Table613[[#This Row],[Fiscal Year]], 4))</f>
        <v>2015</v>
      </c>
      <c r="N1228" s="43">
        <f t="shared" ref="N1228:N1291" si="27">K1228*(1+VLOOKUP(M1228,$AF$8:$AH$31,3,0))</f>
        <v>0</v>
      </c>
      <c r="O1228" s="3">
        <v>1226</v>
      </c>
    </row>
    <row r="1229" spans="1:15" x14ac:dyDescent="0.25">
      <c r="A1229" s="3">
        <v>4</v>
      </c>
      <c r="B1229" s="3" t="s">
        <v>204</v>
      </c>
      <c r="C1229" s="1" t="s">
        <v>12</v>
      </c>
      <c r="D1229" s="1" t="s">
        <v>444</v>
      </c>
      <c r="E1229" s="11" t="s">
        <v>144</v>
      </c>
      <c r="F1229" s="3" t="s">
        <v>8</v>
      </c>
      <c r="G1229" s="48" t="s">
        <v>59</v>
      </c>
      <c r="H1229" s="8"/>
      <c r="I1229" s="8"/>
      <c r="J1229" s="6" t="s">
        <v>111</v>
      </c>
      <c r="K1229" s="38">
        <v>0</v>
      </c>
      <c r="L1229" s="4" t="s">
        <v>29</v>
      </c>
      <c r="M1229" s="11">
        <f>_xlfn.NUMBERVALUE(LEFT(Table613[[#This Row],[Fiscal Year]], 4))</f>
        <v>2015</v>
      </c>
      <c r="N1229" s="43">
        <f t="shared" si="27"/>
        <v>0</v>
      </c>
      <c r="O1229" s="3">
        <v>1227</v>
      </c>
    </row>
    <row r="1230" spans="1:15" x14ac:dyDescent="0.25">
      <c r="A1230" s="3">
        <v>4</v>
      </c>
      <c r="B1230" s="3" t="s">
        <v>204</v>
      </c>
      <c r="C1230" s="1" t="s">
        <v>12</v>
      </c>
      <c r="D1230" s="1" t="s">
        <v>444</v>
      </c>
      <c r="E1230" s="11" t="s">
        <v>144</v>
      </c>
      <c r="F1230" s="3" t="s">
        <v>8</v>
      </c>
      <c r="G1230" s="66" t="s">
        <v>60</v>
      </c>
      <c r="H1230" s="8"/>
      <c r="I1230" s="8"/>
      <c r="J1230" s="6" t="s">
        <v>111</v>
      </c>
      <c r="K1230" s="38">
        <v>995</v>
      </c>
      <c r="L1230" s="4" t="s">
        <v>29</v>
      </c>
      <c r="M1230" s="11">
        <f>_xlfn.NUMBERVALUE(LEFT(Table613[[#This Row],[Fiscal Year]], 4))</f>
        <v>2015</v>
      </c>
      <c r="N1230" s="42">
        <f>K1230*(1+VLOOKUP(M1230,$AF$8:$AH$31,3,0))</f>
        <v>1056.4255063291139</v>
      </c>
      <c r="O1230" s="3">
        <v>1228</v>
      </c>
    </row>
    <row r="1231" spans="1:15" x14ac:dyDescent="0.25">
      <c r="A1231" s="3">
        <v>4</v>
      </c>
      <c r="B1231" s="3" t="s">
        <v>204</v>
      </c>
      <c r="C1231" s="1" t="s">
        <v>12</v>
      </c>
      <c r="D1231" s="1" t="s">
        <v>444</v>
      </c>
      <c r="E1231" s="11" t="s">
        <v>144</v>
      </c>
      <c r="F1231" s="3" t="s">
        <v>8</v>
      </c>
      <c r="G1231" s="48" t="s">
        <v>61</v>
      </c>
      <c r="H1231" s="8"/>
      <c r="I1231" s="8"/>
      <c r="J1231" s="6" t="s">
        <v>108</v>
      </c>
      <c r="K1231" s="38">
        <v>0</v>
      </c>
      <c r="L1231" s="4" t="s">
        <v>29</v>
      </c>
      <c r="M1231" s="11">
        <f>_xlfn.NUMBERVALUE(LEFT(Table613[[#This Row],[Fiscal Year]], 4))</f>
        <v>2015</v>
      </c>
      <c r="N1231" s="43">
        <f t="shared" si="27"/>
        <v>0</v>
      </c>
      <c r="O1231" s="3">
        <v>1229</v>
      </c>
    </row>
    <row r="1232" spans="1:15" x14ac:dyDescent="0.25">
      <c r="A1232" s="3">
        <v>4</v>
      </c>
      <c r="B1232" s="3" t="s">
        <v>204</v>
      </c>
      <c r="C1232" s="1" t="s">
        <v>12</v>
      </c>
      <c r="D1232" s="1" t="s">
        <v>444</v>
      </c>
      <c r="E1232" s="11" t="s">
        <v>144</v>
      </c>
      <c r="F1232" s="3" t="s">
        <v>8</v>
      </c>
      <c r="G1232" s="66" t="s">
        <v>62</v>
      </c>
      <c r="H1232" s="8"/>
      <c r="I1232" s="8"/>
      <c r="J1232" s="6" t="s">
        <v>106</v>
      </c>
      <c r="K1232" s="38">
        <v>0</v>
      </c>
      <c r="L1232" s="4" t="s">
        <v>29</v>
      </c>
      <c r="M1232" s="11">
        <f>_xlfn.NUMBERVALUE(LEFT(Table613[[#This Row],[Fiscal Year]], 4))</f>
        <v>2015</v>
      </c>
      <c r="N1232" s="43">
        <f t="shared" si="27"/>
        <v>0</v>
      </c>
      <c r="O1232" s="3">
        <v>1230</v>
      </c>
    </row>
    <row r="1233" spans="1:15" x14ac:dyDescent="0.25">
      <c r="A1233" s="3">
        <v>4</v>
      </c>
      <c r="B1233" s="3" t="s">
        <v>204</v>
      </c>
      <c r="C1233" s="1" t="s">
        <v>12</v>
      </c>
      <c r="D1233" s="1" t="s">
        <v>444</v>
      </c>
      <c r="E1233" s="11" t="s">
        <v>144</v>
      </c>
      <c r="F1233" s="3" t="s">
        <v>8</v>
      </c>
      <c r="G1233" s="66" t="s">
        <v>211</v>
      </c>
      <c r="H1233" s="8"/>
      <c r="I1233" s="8"/>
      <c r="J1233" s="6" t="s">
        <v>455</v>
      </c>
      <c r="K1233" s="38">
        <v>0</v>
      </c>
      <c r="L1233" s="4" t="s">
        <v>29</v>
      </c>
      <c r="M1233" s="11">
        <f>_xlfn.NUMBERVALUE(LEFT(Table613[[#This Row],[Fiscal Year]], 4))</f>
        <v>2015</v>
      </c>
      <c r="N1233" s="43">
        <f t="shared" si="27"/>
        <v>0</v>
      </c>
      <c r="O1233" s="3">
        <v>1231</v>
      </c>
    </row>
    <row r="1234" spans="1:15" x14ac:dyDescent="0.25">
      <c r="A1234" s="3">
        <v>4</v>
      </c>
      <c r="B1234" s="3" t="s">
        <v>204</v>
      </c>
      <c r="C1234" s="1" t="s">
        <v>12</v>
      </c>
      <c r="D1234" s="1" t="s">
        <v>444</v>
      </c>
      <c r="E1234" s="11" t="s">
        <v>144</v>
      </c>
      <c r="F1234" s="3" t="s">
        <v>8</v>
      </c>
      <c r="G1234" s="66" t="s">
        <v>64</v>
      </c>
      <c r="H1234" s="8"/>
      <c r="I1234" s="8"/>
      <c r="J1234" s="6" t="s">
        <v>76</v>
      </c>
      <c r="K1234" s="38">
        <v>0</v>
      </c>
      <c r="L1234" s="4" t="s">
        <v>29</v>
      </c>
      <c r="M1234" s="11">
        <f>_xlfn.NUMBERVALUE(LEFT(Table613[[#This Row],[Fiscal Year]], 4))</f>
        <v>2015</v>
      </c>
      <c r="N1234" s="43">
        <f t="shared" si="27"/>
        <v>0</v>
      </c>
      <c r="O1234" s="3">
        <v>1232</v>
      </c>
    </row>
    <row r="1235" spans="1:15" x14ac:dyDescent="0.25">
      <c r="A1235" s="3">
        <v>4</v>
      </c>
      <c r="B1235" s="3" t="s">
        <v>204</v>
      </c>
      <c r="C1235" s="1" t="s">
        <v>12</v>
      </c>
      <c r="D1235" s="1" t="s">
        <v>444</v>
      </c>
      <c r="E1235" s="11" t="s">
        <v>144</v>
      </c>
      <c r="F1235" s="3" t="s">
        <v>8</v>
      </c>
      <c r="G1235" s="66" t="s">
        <v>65</v>
      </c>
      <c r="H1235" s="8"/>
      <c r="I1235" s="8"/>
      <c r="J1235" s="6" t="s">
        <v>76</v>
      </c>
      <c r="K1235" s="38">
        <v>2000</v>
      </c>
      <c r="L1235" s="4" t="s">
        <v>29</v>
      </c>
      <c r="M1235" s="11">
        <f>_xlfn.NUMBERVALUE(LEFT(Table613[[#This Row],[Fiscal Year]], 4))</f>
        <v>2015</v>
      </c>
      <c r="N1235" s="42">
        <f>K1235*(1+VLOOKUP(M1235,$AF$8:$AH$31,3,0))</f>
        <v>2123.4683544303798</v>
      </c>
      <c r="O1235" s="3">
        <v>1233</v>
      </c>
    </row>
    <row r="1236" spans="1:15" x14ac:dyDescent="0.25">
      <c r="A1236" s="3">
        <v>4</v>
      </c>
      <c r="B1236" s="3" t="s">
        <v>204</v>
      </c>
      <c r="C1236" s="1" t="s">
        <v>12</v>
      </c>
      <c r="D1236" s="1" t="s">
        <v>444</v>
      </c>
      <c r="E1236" s="11" t="s">
        <v>144</v>
      </c>
      <c r="F1236" s="3" t="s">
        <v>8</v>
      </c>
      <c r="G1236" s="48" t="s">
        <v>66</v>
      </c>
      <c r="H1236" s="8"/>
      <c r="I1236" s="8"/>
      <c r="J1236" s="6" t="s">
        <v>76</v>
      </c>
      <c r="K1236" s="38">
        <v>0</v>
      </c>
      <c r="L1236" s="4" t="s">
        <v>29</v>
      </c>
      <c r="M1236" s="11">
        <f>_xlfn.NUMBERVALUE(LEFT(Table613[[#This Row],[Fiscal Year]], 4))</f>
        <v>2015</v>
      </c>
      <c r="N1236" s="43">
        <f t="shared" si="27"/>
        <v>0</v>
      </c>
      <c r="O1236" s="3">
        <v>1234</v>
      </c>
    </row>
    <row r="1237" spans="1:15" x14ac:dyDescent="0.25">
      <c r="A1237" s="3">
        <v>4</v>
      </c>
      <c r="B1237" s="3" t="s">
        <v>204</v>
      </c>
      <c r="C1237" s="1" t="s">
        <v>12</v>
      </c>
      <c r="D1237" s="1" t="s">
        <v>444</v>
      </c>
      <c r="E1237" s="11" t="s">
        <v>144</v>
      </c>
      <c r="F1237" s="3" t="s">
        <v>8</v>
      </c>
      <c r="G1237" s="66" t="s">
        <v>33</v>
      </c>
      <c r="H1237" s="8"/>
      <c r="I1237" s="8"/>
      <c r="J1237" s="6" t="s">
        <v>47</v>
      </c>
      <c r="K1237" s="38">
        <v>32311</v>
      </c>
      <c r="L1237" s="4" t="s">
        <v>29</v>
      </c>
      <c r="M1237" s="11">
        <f>_xlfn.NUMBERVALUE(LEFT(Table613[[#This Row],[Fiscal Year]], 4))</f>
        <v>2015</v>
      </c>
      <c r="N1237" s="42">
        <f>K1237*(1+VLOOKUP(M1237,$AF$8:$AH$31,3,0))</f>
        <v>34305.692999999999</v>
      </c>
      <c r="O1237" s="3">
        <v>1235</v>
      </c>
    </row>
    <row r="1238" spans="1:15" x14ac:dyDescent="0.25">
      <c r="A1238" s="3">
        <v>4</v>
      </c>
      <c r="B1238" s="3" t="s">
        <v>204</v>
      </c>
      <c r="C1238" s="1" t="s">
        <v>12</v>
      </c>
      <c r="D1238" s="1" t="s">
        <v>444</v>
      </c>
      <c r="E1238" s="11" t="s">
        <v>144</v>
      </c>
      <c r="F1238" s="3" t="s">
        <v>8</v>
      </c>
      <c r="G1238" s="66" t="s">
        <v>67</v>
      </c>
      <c r="H1238" s="8" t="s">
        <v>949</v>
      </c>
      <c r="I1238" s="8" t="s">
        <v>429</v>
      </c>
      <c r="J1238" s="6" t="s">
        <v>455</v>
      </c>
      <c r="K1238" s="38">
        <v>0</v>
      </c>
      <c r="L1238" s="4" t="s">
        <v>29</v>
      </c>
      <c r="M1238" s="11">
        <f>_xlfn.NUMBERVALUE(LEFT(Table613[[#This Row],[Fiscal Year]], 4))</f>
        <v>2015</v>
      </c>
      <c r="N1238" s="43">
        <f t="shared" si="27"/>
        <v>0</v>
      </c>
      <c r="O1238" s="3">
        <v>1236</v>
      </c>
    </row>
    <row r="1239" spans="1:15" x14ac:dyDescent="0.25">
      <c r="C1239" s="1"/>
      <c r="D1239" s="1"/>
      <c r="E1239" s="11"/>
      <c r="G1239" s="66"/>
      <c r="H1239" s="8"/>
      <c r="I1239" s="8"/>
      <c r="J1239" s="6"/>
      <c r="L1239" s="4"/>
      <c r="O1239" s="3">
        <v>1237</v>
      </c>
    </row>
    <row r="1240" spans="1:15" x14ac:dyDescent="0.25">
      <c r="A1240" s="3">
        <v>4</v>
      </c>
      <c r="B1240" s="3" t="s">
        <v>205</v>
      </c>
      <c r="C1240" s="1" t="s">
        <v>12</v>
      </c>
      <c r="D1240" s="1" t="s">
        <v>444</v>
      </c>
      <c r="E1240" s="11" t="s">
        <v>144</v>
      </c>
      <c r="F1240" s="3" t="s">
        <v>8</v>
      </c>
      <c r="G1240" s="48" t="s">
        <v>32</v>
      </c>
      <c r="H1240" s="8"/>
      <c r="I1240" s="8"/>
      <c r="J1240" s="6" t="s">
        <v>110</v>
      </c>
      <c r="K1240" s="38">
        <v>2244</v>
      </c>
      <c r="L1240" s="4" t="s">
        <v>29</v>
      </c>
      <c r="M1240" s="11">
        <f>_xlfn.NUMBERVALUE(LEFT(Table613[[#This Row],[Fiscal Year]], 4))</f>
        <v>2015</v>
      </c>
      <c r="N1240" s="42">
        <f t="shared" si="27"/>
        <v>2382.531493670886</v>
      </c>
      <c r="O1240" s="3">
        <v>1238</v>
      </c>
    </row>
    <row r="1241" spans="1:15" x14ac:dyDescent="0.25">
      <c r="A1241" s="3">
        <v>4</v>
      </c>
      <c r="B1241" s="3" t="s">
        <v>205</v>
      </c>
      <c r="C1241" s="1" t="s">
        <v>12</v>
      </c>
      <c r="D1241" s="1" t="s">
        <v>444</v>
      </c>
      <c r="E1241" s="11" t="s">
        <v>144</v>
      </c>
      <c r="F1241" s="3" t="s">
        <v>8</v>
      </c>
      <c r="G1241" s="48" t="s">
        <v>58</v>
      </c>
      <c r="H1241" s="8"/>
      <c r="I1241" s="8"/>
      <c r="J1241" s="6" t="s">
        <v>453</v>
      </c>
      <c r="K1241" s="38">
        <v>3068.65</v>
      </c>
      <c r="L1241" s="4" t="s">
        <v>29</v>
      </c>
      <c r="M1241" s="11">
        <f>_xlfn.NUMBERVALUE(LEFT(Table613[[#This Row],[Fiscal Year]], 4))</f>
        <v>2015</v>
      </c>
      <c r="N1241" s="42">
        <f t="shared" si="27"/>
        <v>3258.0905829113922</v>
      </c>
      <c r="O1241" s="3">
        <v>1239</v>
      </c>
    </row>
    <row r="1242" spans="1:15" x14ac:dyDescent="0.25">
      <c r="A1242" s="3">
        <v>4</v>
      </c>
      <c r="B1242" s="3" t="s">
        <v>205</v>
      </c>
      <c r="C1242" s="1" t="s">
        <v>12</v>
      </c>
      <c r="D1242" s="1" t="s">
        <v>444</v>
      </c>
      <c r="E1242" s="11" t="s">
        <v>144</v>
      </c>
      <c r="F1242" s="3" t="s">
        <v>8</v>
      </c>
      <c r="G1242" s="66" t="s">
        <v>208</v>
      </c>
      <c r="H1242" s="8"/>
      <c r="I1242" s="8"/>
      <c r="J1242" s="6" t="s">
        <v>109</v>
      </c>
      <c r="K1242" s="38">
        <v>60186.2</v>
      </c>
      <c r="L1242" s="4" t="s">
        <v>29</v>
      </c>
      <c r="M1242" s="11">
        <f>_xlfn.NUMBERVALUE(LEFT(Table613[[#This Row],[Fiscal Year]], 4))</f>
        <v>2015</v>
      </c>
      <c r="N1242" s="42">
        <f t="shared" si="27"/>
        <v>63901.745536708855</v>
      </c>
      <c r="O1242" s="3">
        <v>1240</v>
      </c>
    </row>
    <row r="1243" spans="1:15" x14ac:dyDescent="0.25">
      <c r="A1243" s="3">
        <v>4</v>
      </c>
      <c r="B1243" s="3" t="s">
        <v>205</v>
      </c>
      <c r="C1243" s="1" t="s">
        <v>12</v>
      </c>
      <c r="D1243" s="1" t="s">
        <v>444</v>
      </c>
      <c r="E1243" s="11" t="s">
        <v>144</v>
      </c>
      <c r="F1243" s="3" t="s">
        <v>8</v>
      </c>
      <c r="G1243" s="48" t="s">
        <v>59</v>
      </c>
      <c r="H1243" s="8"/>
      <c r="I1243" s="8"/>
      <c r="J1243" s="6" t="s">
        <v>111</v>
      </c>
      <c r="K1243" s="38">
        <v>2895</v>
      </c>
      <c r="L1243" s="4" t="s">
        <v>29</v>
      </c>
      <c r="M1243" s="11">
        <f>_xlfn.NUMBERVALUE(LEFT(Table613[[#This Row],[Fiscal Year]], 4))</f>
        <v>2015</v>
      </c>
      <c r="N1243" s="42">
        <f t="shared" si="27"/>
        <v>3073.7204430379743</v>
      </c>
      <c r="O1243" s="3">
        <v>1241</v>
      </c>
    </row>
    <row r="1244" spans="1:15" x14ac:dyDescent="0.25">
      <c r="A1244" s="3">
        <v>4</v>
      </c>
      <c r="B1244" s="3" t="s">
        <v>205</v>
      </c>
      <c r="C1244" s="1" t="s">
        <v>12</v>
      </c>
      <c r="D1244" s="1" t="s">
        <v>444</v>
      </c>
      <c r="E1244" s="11" t="s">
        <v>144</v>
      </c>
      <c r="F1244" s="3" t="s">
        <v>8</v>
      </c>
      <c r="G1244" s="66" t="s">
        <v>60</v>
      </c>
      <c r="H1244" s="8"/>
      <c r="I1244" s="8"/>
      <c r="J1244" s="6" t="s">
        <v>111</v>
      </c>
      <c r="K1244" s="38">
        <v>7685</v>
      </c>
      <c r="L1244" s="4" t="s">
        <v>29</v>
      </c>
      <c r="M1244" s="11">
        <f>_xlfn.NUMBERVALUE(LEFT(Table613[[#This Row],[Fiscal Year]], 4))</f>
        <v>2015</v>
      </c>
      <c r="N1244" s="42">
        <f t="shared" si="27"/>
        <v>8159.4271518987334</v>
      </c>
      <c r="O1244" s="3">
        <v>1242</v>
      </c>
    </row>
    <row r="1245" spans="1:15" x14ac:dyDescent="0.25">
      <c r="A1245" s="3">
        <v>4</v>
      </c>
      <c r="B1245" s="3" t="s">
        <v>205</v>
      </c>
      <c r="C1245" s="1" t="s">
        <v>12</v>
      </c>
      <c r="D1245" s="1" t="s">
        <v>444</v>
      </c>
      <c r="E1245" s="11" t="s">
        <v>144</v>
      </c>
      <c r="F1245" s="3" t="s">
        <v>8</v>
      </c>
      <c r="G1245" s="48" t="s">
        <v>61</v>
      </c>
      <c r="H1245" s="8"/>
      <c r="I1245" s="8"/>
      <c r="J1245" s="6" t="s">
        <v>108</v>
      </c>
      <c r="K1245" s="38">
        <v>548736.25</v>
      </c>
      <c r="L1245" s="4" t="s">
        <v>29</v>
      </c>
      <c r="M1245" s="11">
        <f>_xlfn.NUMBERVALUE(LEFT(Table613[[#This Row],[Fiscal Year]], 4))</f>
        <v>2015</v>
      </c>
      <c r="N1245" s="42">
        <f t="shared" si="27"/>
        <v>582612.03090189875</v>
      </c>
      <c r="O1245" s="3">
        <v>1243</v>
      </c>
    </row>
    <row r="1246" spans="1:15" x14ac:dyDescent="0.25">
      <c r="A1246" s="3">
        <v>4</v>
      </c>
      <c r="B1246" s="3" t="s">
        <v>205</v>
      </c>
      <c r="C1246" s="1" t="s">
        <v>12</v>
      </c>
      <c r="D1246" s="1" t="s">
        <v>444</v>
      </c>
      <c r="E1246" s="11" t="s">
        <v>144</v>
      </c>
      <c r="F1246" s="3" t="s">
        <v>8</v>
      </c>
      <c r="G1246" s="66" t="s">
        <v>62</v>
      </c>
      <c r="H1246" s="8"/>
      <c r="I1246" s="8"/>
      <c r="J1246" s="6" t="s">
        <v>106</v>
      </c>
      <c r="K1246" s="38">
        <v>4878.75</v>
      </c>
      <c r="L1246" s="4" t="s">
        <v>29</v>
      </c>
      <c r="M1246" s="11">
        <f>_xlfn.NUMBERVALUE(LEFT(Table613[[#This Row],[Fiscal Year]], 4))</f>
        <v>2015</v>
      </c>
      <c r="N1246" s="42">
        <f t="shared" si="27"/>
        <v>5179.9356170886076</v>
      </c>
      <c r="O1246" s="3">
        <v>1244</v>
      </c>
    </row>
    <row r="1247" spans="1:15" x14ac:dyDescent="0.25">
      <c r="A1247" s="3">
        <v>4</v>
      </c>
      <c r="B1247" s="3" t="s">
        <v>205</v>
      </c>
      <c r="C1247" s="1" t="s">
        <v>12</v>
      </c>
      <c r="D1247" s="1" t="s">
        <v>444</v>
      </c>
      <c r="E1247" s="11" t="s">
        <v>144</v>
      </c>
      <c r="F1247" s="3" t="s">
        <v>8</v>
      </c>
      <c r="G1247" s="66" t="s">
        <v>211</v>
      </c>
      <c r="H1247" s="8"/>
      <c r="I1247" s="8"/>
      <c r="J1247" s="6" t="s">
        <v>455</v>
      </c>
      <c r="K1247" s="38">
        <v>40546</v>
      </c>
      <c r="L1247" s="4" t="s">
        <v>29</v>
      </c>
      <c r="M1247" s="11">
        <f>_xlfn.NUMBERVALUE(LEFT(Table613[[#This Row],[Fiscal Year]], 4))</f>
        <v>2015</v>
      </c>
      <c r="N1247" s="42">
        <f t="shared" si="27"/>
        <v>43049.073949367084</v>
      </c>
      <c r="O1247" s="3">
        <v>1245</v>
      </c>
    </row>
    <row r="1248" spans="1:15" x14ac:dyDescent="0.25">
      <c r="A1248" s="3">
        <v>4</v>
      </c>
      <c r="B1248" s="3" t="s">
        <v>205</v>
      </c>
      <c r="C1248" s="1" t="s">
        <v>12</v>
      </c>
      <c r="D1248" s="1" t="s">
        <v>444</v>
      </c>
      <c r="E1248" s="11" t="s">
        <v>144</v>
      </c>
      <c r="F1248" s="3" t="s">
        <v>8</v>
      </c>
      <c r="G1248" s="66" t="s">
        <v>64</v>
      </c>
      <c r="H1248" s="8"/>
      <c r="I1248" s="8"/>
      <c r="J1248" s="6" t="s">
        <v>76</v>
      </c>
      <c r="K1248" s="38" t="s">
        <v>827</v>
      </c>
      <c r="L1248" s="4" t="s">
        <v>29</v>
      </c>
      <c r="M1248" s="11">
        <f>_xlfn.NUMBERVALUE(LEFT(Table613[[#This Row],[Fiscal Year]], 4))</f>
        <v>2015</v>
      </c>
      <c r="O1248" s="3">
        <v>1246</v>
      </c>
    </row>
    <row r="1249" spans="1:15" x14ac:dyDescent="0.25">
      <c r="A1249" s="3">
        <v>4</v>
      </c>
      <c r="B1249" s="3" t="s">
        <v>205</v>
      </c>
      <c r="C1249" s="1" t="s">
        <v>12</v>
      </c>
      <c r="D1249" s="1" t="s">
        <v>444</v>
      </c>
      <c r="E1249" s="11" t="s">
        <v>144</v>
      </c>
      <c r="F1249" s="3" t="s">
        <v>8</v>
      </c>
      <c r="G1249" s="66" t="s">
        <v>65</v>
      </c>
      <c r="H1249" s="8"/>
      <c r="I1249" s="8"/>
      <c r="J1249" s="6" t="s">
        <v>76</v>
      </c>
      <c r="K1249" s="38" t="s">
        <v>827</v>
      </c>
      <c r="L1249" s="4" t="s">
        <v>29</v>
      </c>
      <c r="M1249" s="11">
        <f>_xlfn.NUMBERVALUE(LEFT(Table613[[#This Row],[Fiscal Year]], 4))</f>
        <v>2015</v>
      </c>
      <c r="O1249" s="3">
        <v>1247</v>
      </c>
    </row>
    <row r="1250" spans="1:15" x14ac:dyDescent="0.25">
      <c r="A1250" s="3">
        <v>4</v>
      </c>
      <c r="B1250" s="3" t="s">
        <v>205</v>
      </c>
      <c r="C1250" s="1" t="s">
        <v>12</v>
      </c>
      <c r="D1250" s="1" t="s">
        <v>444</v>
      </c>
      <c r="E1250" s="11" t="s">
        <v>144</v>
      </c>
      <c r="F1250" s="3" t="s">
        <v>8</v>
      </c>
      <c r="G1250" s="48" t="s">
        <v>66</v>
      </c>
      <c r="H1250" s="8"/>
      <c r="I1250" s="8"/>
      <c r="J1250" s="6" t="s">
        <v>76</v>
      </c>
      <c r="K1250" s="38" t="s">
        <v>827</v>
      </c>
      <c r="L1250" s="4" t="s">
        <v>29</v>
      </c>
      <c r="M1250" s="11">
        <f>_xlfn.NUMBERVALUE(LEFT(Table613[[#This Row],[Fiscal Year]], 4))</f>
        <v>2015</v>
      </c>
      <c r="O1250" s="3">
        <v>1248</v>
      </c>
    </row>
    <row r="1251" spans="1:15" x14ac:dyDescent="0.25">
      <c r="A1251" s="3">
        <v>4</v>
      </c>
      <c r="B1251" s="3" t="s">
        <v>205</v>
      </c>
      <c r="C1251" s="1" t="s">
        <v>12</v>
      </c>
      <c r="D1251" s="1" t="s">
        <v>444</v>
      </c>
      <c r="E1251" s="11" t="s">
        <v>144</v>
      </c>
      <c r="F1251" s="3" t="s">
        <v>8</v>
      </c>
      <c r="G1251" s="66" t="s">
        <v>33</v>
      </c>
      <c r="H1251" s="8"/>
      <c r="I1251" s="8"/>
      <c r="J1251" s="6" t="s">
        <v>47</v>
      </c>
      <c r="K1251" s="38">
        <v>199864.5</v>
      </c>
      <c r="L1251" s="4" t="s">
        <v>29</v>
      </c>
      <c r="M1251" s="11">
        <f>_xlfn.NUMBERVALUE(LEFT(Table613[[#This Row],[Fiscal Year]], 4))</f>
        <v>2015</v>
      </c>
      <c r="N1251" s="42">
        <f t="shared" si="27"/>
        <v>212202.97046202532</v>
      </c>
      <c r="O1251" s="3">
        <v>1249</v>
      </c>
    </row>
    <row r="1252" spans="1:15" x14ac:dyDescent="0.25">
      <c r="A1252" s="3">
        <v>4</v>
      </c>
      <c r="B1252" s="3" t="s">
        <v>205</v>
      </c>
      <c r="C1252" s="1" t="s">
        <v>12</v>
      </c>
      <c r="D1252" s="1" t="s">
        <v>444</v>
      </c>
      <c r="E1252" s="11" t="s">
        <v>144</v>
      </c>
      <c r="F1252" s="3" t="s">
        <v>8</v>
      </c>
      <c r="G1252" s="66" t="s">
        <v>67</v>
      </c>
      <c r="H1252" s="8" t="s">
        <v>950</v>
      </c>
      <c r="I1252" s="8"/>
      <c r="J1252" s="6" t="s">
        <v>455</v>
      </c>
      <c r="K1252" s="38">
        <v>160917.5</v>
      </c>
      <c r="L1252" s="4" t="s">
        <v>29</v>
      </c>
      <c r="M1252" s="11">
        <f>_xlfn.NUMBERVALUE(LEFT(Table613[[#This Row],[Fiscal Year]], 4))</f>
        <v>2015</v>
      </c>
      <c r="N1252" s="42">
        <f t="shared" si="27"/>
        <v>170851.60946202531</v>
      </c>
      <c r="O1252" s="3">
        <v>1250</v>
      </c>
    </row>
    <row r="1253" spans="1:15" x14ac:dyDescent="0.25">
      <c r="C1253" s="1"/>
      <c r="D1253" s="1"/>
      <c r="E1253" s="11"/>
      <c r="G1253" s="66"/>
      <c r="H1253" s="8"/>
      <c r="I1253" s="8"/>
      <c r="J1253" s="6"/>
      <c r="L1253" s="4"/>
      <c r="O1253" s="3">
        <v>1251</v>
      </c>
    </row>
    <row r="1254" spans="1:15" x14ac:dyDescent="0.25">
      <c r="A1254" s="3">
        <v>4</v>
      </c>
      <c r="B1254" s="3" t="s">
        <v>206</v>
      </c>
      <c r="C1254" s="1" t="s">
        <v>12</v>
      </c>
      <c r="D1254" s="1" t="s">
        <v>444</v>
      </c>
      <c r="E1254" s="11" t="s">
        <v>144</v>
      </c>
      <c r="F1254" s="3" t="s">
        <v>8</v>
      </c>
      <c r="G1254" s="48" t="s">
        <v>32</v>
      </c>
      <c r="H1254" s="8"/>
      <c r="I1254" s="8"/>
      <c r="J1254" s="6" t="s">
        <v>110</v>
      </c>
      <c r="K1254" s="38">
        <v>1097434</v>
      </c>
      <c r="L1254" s="4" t="s">
        <v>29</v>
      </c>
      <c r="M1254" s="11">
        <f>_xlfn.NUMBERVALUE(LEFT(Table613[[#This Row],[Fiscal Year]], 4))</f>
        <v>2015</v>
      </c>
      <c r="N1254" s="42">
        <f t="shared" si="27"/>
        <v>1165183.1850379745</v>
      </c>
      <c r="O1254" s="3">
        <v>1252</v>
      </c>
    </row>
    <row r="1255" spans="1:15" x14ac:dyDescent="0.25">
      <c r="A1255" s="3">
        <v>4</v>
      </c>
      <c r="B1255" s="3" t="s">
        <v>206</v>
      </c>
      <c r="C1255" s="1" t="s">
        <v>12</v>
      </c>
      <c r="D1255" s="1" t="s">
        <v>444</v>
      </c>
      <c r="E1255" s="11" t="s">
        <v>144</v>
      </c>
      <c r="F1255" s="3" t="s">
        <v>8</v>
      </c>
      <c r="G1255" s="48" t="s">
        <v>58</v>
      </c>
      <c r="H1255" s="8"/>
      <c r="I1255" s="8"/>
      <c r="J1255" s="6" t="s">
        <v>453</v>
      </c>
      <c r="K1255" s="38">
        <v>36514</v>
      </c>
      <c r="L1255" s="4" t="s">
        <v>29</v>
      </c>
      <c r="M1255" s="11">
        <f>_xlfn.NUMBERVALUE(LEFT(Table613[[#This Row],[Fiscal Year]], 4))</f>
        <v>2015</v>
      </c>
      <c r="N1255" s="42">
        <f t="shared" si="27"/>
        <v>38768.161746835438</v>
      </c>
      <c r="O1255" s="3">
        <v>1253</v>
      </c>
    </row>
    <row r="1256" spans="1:15" x14ac:dyDescent="0.25">
      <c r="A1256" s="3">
        <v>4</v>
      </c>
      <c r="B1256" s="3" t="s">
        <v>206</v>
      </c>
      <c r="C1256" s="1" t="s">
        <v>12</v>
      </c>
      <c r="D1256" s="1" t="s">
        <v>444</v>
      </c>
      <c r="E1256" s="11" t="s">
        <v>144</v>
      </c>
      <c r="F1256" s="3" t="s">
        <v>8</v>
      </c>
      <c r="G1256" s="66" t="s">
        <v>208</v>
      </c>
      <c r="H1256" s="8"/>
      <c r="I1256" s="8"/>
      <c r="J1256" s="6" t="s">
        <v>109</v>
      </c>
      <c r="K1256" s="38">
        <v>155172</v>
      </c>
      <c r="L1256" s="4" t="s">
        <v>29</v>
      </c>
      <c r="M1256" s="11">
        <f>_xlfn.NUMBERVALUE(LEFT(Table613[[#This Row],[Fiscal Year]], 4))</f>
        <v>2015</v>
      </c>
      <c r="N1256" s="42">
        <f t="shared" si="27"/>
        <v>164751.41574683544</v>
      </c>
      <c r="O1256" s="3">
        <v>1254</v>
      </c>
    </row>
    <row r="1257" spans="1:15" x14ac:dyDescent="0.25">
      <c r="A1257" s="3">
        <v>4</v>
      </c>
      <c r="B1257" s="3" t="s">
        <v>206</v>
      </c>
      <c r="C1257" s="1" t="s">
        <v>12</v>
      </c>
      <c r="D1257" s="1" t="s">
        <v>444</v>
      </c>
      <c r="E1257" s="11" t="s">
        <v>144</v>
      </c>
      <c r="F1257" s="3" t="s">
        <v>8</v>
      </c>
      <c r="G1257" s="48" t="s">
        <v>59</v>
      </c>
      <c r="H1257" s="8"/>
      <c r="I1257" s="8"/>
      <c r="J1257" s="6" t="s">
        <v>111</v>
      </c>
      <c r="K1257" s="38">
        <v>1333</v>
      </c>
      <c r="L1257" s="4" t="s">
        <v>29</v>
      </c>
      <c r="M1257" s="11">
        <f>_xlfn.NUMBERVALUE(LEFT(Table613[[#This Row],[Fiscal Year]], 4))</f>
        <v>2015</v>
      </c>
      <c r="N1257" s="42">
        <f t="shared" si="27"/>
        <v>1415.2916582278481</v>
      </c>
      <c r="O1257" s="3">
        <v>1255</v>
      </c>
    </row>
    <row r="1258" spans="1:15" x14ac:dyDescent="0.25">
      <c r="A1258" s="3">
        <v>4</v>
      </c>
      <c r="B1258" s="3" t="s">
        <v>206</v>
      </c>
      <c r="C1258" s="1" t="s">
        <v>12</v>
      </c>
      <c r="D1258" s="1" t="s">
        <v>444</v>
      </c>
      <c r="E1258" s="11" t="s">
        <v>144</v>
      </c>
      <c r="F1258" s="3" t="s">
        <v>8</v>
      </c>
      <c r="G1258" s="66" t="s">
        <v>60</v>
      </c>
      <c r="H1258" s="8"/>
      <c r="I1258" s="8"/>
      <c r="J1258" s="6" t="s">
        <v>111</v>
      </c>
      <c r="K1258" s="38">
        <v>61169</v>
      </c>
      <c r="L1258" s="4" t="s">
        <v>29</v>
      </c>
      <c r="M1258" s="11">
        <f>_xlfn.NUMBERVALUE(LEFT(Table613[[#This Row],[Fiscal Year]], 4))</f>
        <v>2015</v>
      </c>
      <c r="N1258" s="42">
        <f t="shared" si="27"/>
        <v>64945.217886075945</v>
      </c>
      <c r="O1258" s="3">
        <v>1256</v>
      </c>
    </row>
    <row r="1259" spans="1:15" x14ac:dyDescent="0.25">
      <c r="A1259" s="3">
        <v>4</v>
      </c>
      <c r="B1259" s="3" t="s">
        <v>206</v>
      </c>
      <c r="C1259" s="1" t="s">
        <v>12</v>
      </c>
      <c r="D1259" s="1" t="s">
        <v>444</v>
      </c>
      <c r="E1259" s="11" t="s">
        <v>144</v>
      </c>
      <c r="F1259" s="3" t="s">
        <v>8</v>
      </c>
      <c r="G1259" s="48" t="s">
        <v>61</v>
      </c>
      <c r="H1259" s="8"/>
      <c r="I1259" s="8"/>
      <c r="J1259" s="6" t="s">
        <v>108</v>
      </c>
      <c r="K1259" s="38">
        <v>571542</v>
      </c>
      <c r="L1259" s="4" t="s">
        <v>29</v>
      </c>
      <c r="M1259" s="11">
        <f>_xlfn.NUMBERVALUE(LEFT(Table613[[#This Row],[Fiscal Year]], 4))</f>
        <v>2015</v>
      </c>
      <c r="N1259" s="42">
        <f t="shared" si="27"/>
        <v>606825.67511392396</v>
      </c>
      <c r="O1259" s="3">
        <v>1257</v>
      </c>
    </row>
    <row r="1260" spans="1:15" x14ac:dyDescent="0.25">
      <c r="A1260" s="3">
        <v>4</v>
      </c>
      <c r="B1260" s="3" t="s">
        <v>206</v>
      </c>
      <c r="C1260" s="1" t="s">
        <v>12</v>
      </c>
      <c r="D1260" s="1" t="s">
        <v>444</v>
      </c>
      <c r="E1260" s="11" t="s">
        <v>144</v>
      </c>
      <c r="F1260" s="3" t="s">
        <v>8</v>
      </c>
      <c r="G1260" s="66" t="s">
        <v>62</v>
      </c>
      <c r="H1260" s="8"/>
      <c r="I1260" s="8"/>
      <c r="J1260" s="6" t="s">
        <v>106</v>
      </c>
      <c r="K1260" s="38">
        <v>91754</v>
      </c>
      <c r="L1260" s="4" t="s">
        <v>29</v>
      </c>
      <c r="M1260" s="11">
        <f>_xlfn.NUMBERVALUE(LEFT(Table613[[#This Row],[Fiscal Year]], 4))</f>
        <v>2015</v>
      </c>
      <c r="N1260" s="42">
        <f t="shared" si="27"/>
        <v>97418.357696202525</v>
      </c>
      <c r="O1260" s="3">
        <v>1258</v>
      </c>
    </row>
    <row r="1261" spans="1:15" x14ac:dyDescent="0.25">
      <c r="A1261" s="3">
        <v>4</v>
      </c>
      <c r="B1261" s="3" t="s">
        <v>206</v>
      </c>
      <c r="C1261" s="1" t="s">
        <v>12</v>
      </c>
      <c r="D1261" s="1" t="s">
        <v>444</v>
      </c>
      <c r="E1261" s="11" t="s">
        <v>144</v>
      </c>
      <c r="F1261" s="3" t="s">
        <v>8</v>
      </c>
      <c r="G1261" s="66" t="s">
        <v>211</v>
      </c>
      <c r="H1261" s="8"/>
      <c r="I1261" s="8"/>
      <c r="J1261" s="6" t="s">
        <v>455</v>
      </c>
      <c r="K1261" s="38" t="s">
        <v>827</v>
      </c>
      <c r="L1261" s="4" t="s">
        <v>29</v>
      </c>
      <c r="M1261" s="11">
        <f>_xlfn.NUMBERVALUE(LEFT(Table613[[#This Row],[Fiscal Year]], 4))</f>
        <v>2015</v>
      </c>
      <c r="O1261" s="3">
        <v>1259</v>
      </c>
    </row>
    <row r="1262" spans="1:15" x14ac:dyDescent="0.25">
      <c r="A1262" s="3">
        <v>4</v>
      </c>
      <c r="B1262" s="3" t="s">
        <v>206</v>
      </c>
      <c r="C1262" s="1" t="s">
        <v>12</v>
      </c>
      <c r="D1262" s="1" t="s">
        <v>444</v>
      </c>
      <c r="E1262" s="11" t="s">
        <v>144</v>
      </c>
      <c r="F1262" s="3" t="s">
        <v>8</v>
      </c>
      <c r="G1262" s="66" t="s">
        <v>64</v>
      </c>
      <c r="H1262" s="8"/>
      <c r="I1262" s="8"/>
      <c r="J1262" s="6" t="s">
        <v>76</v>
      </c>
      <c r="K1262" s="38" t="s">
        <v>827</v>
      </c>
      <c r="L1262" s="4" t="s">
        <v>29</v>
      </c>
      <c r="M1262" s="11">
        <f>_xlfn.NUMBERVALUE(LEFT(Table613[[#This Row],[Fiscal Year]], 4))</f>
        <v>2015</v>
      </c>
      <c r="O1262" s="3">
        <v>1260</v>
      </c>
    </row>
    <row r="1263" spans="1:15" x14ac:dyDescent="0.25">
      <c r="A1263" s="3">
        <v>4</v>
      </c>
      <c r="B1263" s="3" t="s">
        <v>206</v>
      </c>
      <c r="C1263" s="1" t="s">
        <v>12</v>
      </c>
      <c r="D1263" s="1" t="s">
        <v>444</v>
      </c>
      <c r="E1263" s="11" t="s">
        <v>144</v>
      </c>
      <c r="F1263" s="3" t="s">
        <v>8</v>
      </c>
      <c r="G1263" s="66" t="s">
        <v>65</v>
      </c>
      <c r="H1263" s="8"/>
      <c r="I1263" s="8"/>
      <c r="J1263" s="6" t="s">
        <v>76</v>
      </c>
      <c r="K1263" s="38" t="s">
        <v>827</v>
      </c>
      <c r="L1263" s="4" t="s">
        <v>29</v>
      </c>
      <c r="M1263" s="11">
        <f>_xlfn.NUMBERVALUE(LEFT(Table613[[#This Row],[Fiscal Year]], 4))</f>
        <v>2015</v>
      </c>
      <c r="O1263" s="3">
        <v>1261</v>
      </c>
    </row>
    <row r="1264" spans="1:15" x14ac:dyDescent="0.25">
      <c r="A1264" s="3">
        <v>4</v>
      </c>
      <c r="B1264" s="3" t="s">
        <v>206</v>
      </c>
      <c r="C1264" s="1" t="s">
        <v>12</v>
      </c>
      <c r="D1264" s="1" t="s">
        <v>444</v>
      </c>
      <c r="E1264" s="11" t="s">
        <v>144</v>
      </c>
      <c r="F1264" s="3" t="s">
        <v>8</v>
      </c>
      <c r="G1264" s="48" t="s">
        <v>66</v>
      </c>
      <c r="H1264" s="8"/>
      <c r="I1264" s="8"/>
      <c r="J1264" s="6" t="s">
        <v>76</v>
      </c>
      <c r="K1264" s="38" t="s">
        <v>827</v>
      </c>
      <c r="L1264" s="4" t="s">
        <v>29</v>
      </c>
      <c r="M1264" s="11">
        <f>_xlfn.NUMBERVALUE(LEFT(Table613[[#This Row],[Fiscal Year]], 4))</f>
        <v>2015</v>
      </c>
      <c r="O1264" s="3">
        <v>1262</v>
      </c>
    </row>
    <row r="1265" spans="1:15" x14ac:dyDescent="0.25">
      <c r="A1265" s="3">
        <v>4</v>
      </c>
      <c r="B1265" s="3" t="s">
        <v>206</v>
      </c>
      <c r="C1265" s="1" t="s">
        <v>12</v>
      </c>
      <c r="D1265" s="1" t="s">
        <v>444</v>
      </c>
      <c r="E1265" s="11" t="s">
        <v>144</v>
      </c>
      <c r="F1265" s="3" t="s">
        <v>8</v>
      </c>
      <c r="G1265" s="66" t="s">
        <v>33</v>
      </c>
      <c r="H1265" s="8"/>
      <c r="I1265" s="8"/>
      <c r="J1265" s="6" t="s">
        <v>47</v>
      </c>
      <c r="K1265" s="38">
        <v>196991</v>
      </c>
      <c r="L1265" s="4" t="s">
        <v>29</v>
      </c>
      <c r="M1265" s="11">
        <f>_xlfn.NUMBERVALUE(LEFT(Table613[[#This Row],[Fiscal Year]], 4))</f>
        <v>2015</v>
      </c>
      <c r="N1265" s="42">
        <f t="shared" si="27"/>
        <v>209152.07730379744</v>
      </c>
      <c r="O1265" s="3">
        <v>1263</v>
      </c>
    </row>
    <row r="1266" spans="1:15" x14ac:dyDescent="0.25">
      <c r="A1266" s="3">
        <v>4</v>
      </c>
      <c r="B1266" s="3" t="s">
        <v>206</v>
      </c>
      <c r="C1266" s="1" t="s">
        <v>12</v>
      </c>
      <c r="D1266" s="1" t="s">
        <v>444</v>
      </c>
      <c r="E1266" s="11" t="s">
        <v>144</v>
      </c>
      <c r="F1266" s="3" t="s">
        <v>8</v>
      </c>
      <c r="G1266" s="66" t="s">
        <v>67</v>
      </c>
      <c r="H1266" s="8" t="s">
        <v>951</v>
      </c>
      <c r="I1266" s="8"/>
      <c r="J1266" s="6" t="s">
        <v>455</v>
      </c>
      <c r="K1266" s="38">
        <v>759266</v>
      </c>
      <c r="L1266" s="4" t="s">
        <v>29</v>
      </c>
      <c r="M1266" s="11">
        <f>_xlfn.NUMBERVALUE(LEFT(Table613[[#This Row],[Fiscal Year]], 4))</f>
        <v>2015</v>
      </c>
      <c r="N1266" s="42">
        <f t="shared" si="27"/>
        <v>806138.66179746832</v>
      </c>
      <c r="O1266" s="3">
        <v>1264</v>
      </c>
    </row>
    <row r="1267" spans="1:15" x14ac:dyDescent="0.25">
      <c r="C1267" s="1"/>
      <c r="D1267" s="1"/>
      <c r="E1267" s="11"/>
      <c r="G1267" s="66"/>
      <c r="H1267" s="8"/>
      <c r="I1267" s="8"/>
      <c r="J1267" s="6"/>
      <c r="L1267" s="4"/>
      <c r="O1267" s="3">
        <v>1265</v>
      </c>
    </row>
    <row r="1268" spans="1:15" x14ac:dyDescent="0.25">
      <c r="A1268" s="3">
        <v>4</v>
      </c>
      <c r="B1268" s="3" t="s">
        <v>207</v>
      </c>
      <c r="C1268" s="1" t="s">
        <v>12</v>
      </c>
      <c r="D1268" s="1" t="s">
        <v>444</v>
      </c>
      <c r="E1268" s="11" t="s">
        <v>144</v>
      </c>
      <c r="F1268" s="3" t="s">
        <v>8</v>
      </c>
      <c r="G1268" s="56" t="s">
        <v>829</v>
      </c>
      <c r="H1268" s="8"/>
      <c r="I1268" s="8"/>
      <c r="J1268" s="6" t="s">
        <v>110</v>
      </c>
      <c r="K1268" s="38">
        <v>35000</v>
      </c>
      <c r="L1268" s="4" t="s">
        <v>29</v>
      </c>
      <c r="M1268" s="11">
        <f>_xlfn.NUMBERVALUE(LEFT(Table613[[#This Row],[Fiscal Year]], 4))</f>
        <v>2015</v>
      </c>
      <c r="N1268" s="42">
        <f t="shared" si="27"/>
        <v>37160.696202531646</v>
      </c>
      <c r="O1268" s="3">
        <v>1266</v>
      </c>
    </row>
    <row r="1269" spans="1:15" x14ac:dyDescent="0.25">
      <c r="A1269" s="3">
        <v>4</v>
      </c>
      <c r="B1269" s="3" t="s">
        <v>207</v>
      </c>
      <c r="C1269" s="1" t="s">
        <v>12</v>
      </c>
      <c r="D1269" s="1" t="s">
        <v>444</v>
      </c>
      <c r="E1269" s="11" t="s">
        <v>144</v>
      </c>
      <c r="F1269" s="3" t="s">
        <v>8</v>
      </c>
      <c r="G1269" s="48" t="s">
        <v>844</v>
      </c>
      <c r="H1269" s="8"/>
      <c r="I1269" s="8"/>
      <c r="J1269" s="6" t="s">
        <v>453</v>
      </c>
      <c r="K1269" s="38">
        <v>4000</v>
      </c>
      <c r="L1269" s="4" t="s">
        <v>29</v>
      </c>
      <c r="M1269" s="11">
        <f>_xlfn.NUMBERVALUE(LEFT(Table613[[#This Row],[Fiscal Year]], 4))</f>
        <v>2015</v>
      </c>
      <c r="N1269" s="42">
        <f t="shared" si="27"/>
        <v>4246.9367088607596</v>
      </c>
      <c r="O1269" s="3">
        <v>1267</v>
      </c>
    </row>
    <row r="1270" spans="1:15" x14ac:dyDescent="0.25">
      <c r="A1270" s="3">
        <v>4</v>
      </c>
      <c r="B1270" s="3" t="s">
        <v>207</v>
      </c>
      <c r="C1270" s="1" t="s">
        <v>12</v>
      </c>
      <c r="D1270" s="1" t="s">
        <v>444</v>
      </c>
      <c r="E1270" s="11" t="s">
        <v>144</v>
      </c>
      <c r="F1270" s="3" t="s">
        <v>8</v>
      </c>
      <c r="G1270" s="66" t="s">
        <v>845</v>
      </c>
      <c r="H1270" s="8"/>
      <c r="I1270" s="8"/>
      <c r="J1270" s="6" t="s">
        <v>109</v>
      </c>
      <c r="K1270" s="38">
        <v>2000</v>
      </c>
      <c r="L1270" s="4" t="s">
        <v>29</v>
      </c>
      <c r="M1270" s="11">
        <f>_xlfn.NUMBERVALUE(LEFT(Table613[[#This Row],[Fiscal Year]], 4))</f>
        <v>2015</v>
      </c>
      <c r="N1270" s="42">
        <f t="shared" si="27"/>
        <v>2123.4683544303798</v>
      </c>
      <c r="O1270" s="3">
        <v>1268</v>
      </c>
    </row>
    <row r="1271" spans="1:15" x14ac:dyDescent="0.25">
      <c r="A1271" s="3">
        <v>4</v>
      </c>
      <c r="B1271" s="3" t="s">
        <v>207</v>
      </c>
      <c r="C1271" s="1" t="s">
        <v>12</v>
      </c>
      <c r="D1271" s="1" t="s">
        <v>444</v>
      </c>
      <c r="E1271" s="11" t="s">
        <v>144</v>
      </c>
      <c r="F1271" s="3" t="s">
        <v>8</v>
      </c>
      <c r="G1271" s="48" t="s">
        <v>846</v>
      </c>
      <c r="H1271" s="8"/>
      <c r="I1271" s="8"/>
      <c r="J1271" s="6" t="s">
        <v>111</v>
      </c>
      <c r="K1271" s="38">
        <v>3000</v>
      </c>
      <c r="L1271" s="4" t="s">
        <v>29</v>
      </c>
      <c r="M1271" s="11">
        <f>_xlfn.NUMBERVALUE(LEFT(Table613[[#This Row],[Fiscal Year]], 4))</f>
        <v>2015</v>
      </c>
      <c r="N1271" s="42">
        <f t="shared" si="27"/>
        <v>3185.2025316455693</v>
      </c>
      <c r="O1271" s="3">
        <v>1269</v>
      </c>
    </row>
    <row r="1272" spans="1:15" x14ac:dyDescent="0.25">
      <c r="A1272" s="3">
        <v>4</v>
      </c>
      <c r="B1272" s="3" t="s">
        <v>207</v>
      </c>
      <c r="C1272" s="1" t="s">
        <v>12</v>
      </c>
      <c r="D1272" s="1" t="s">
        <v>444</v>
      </c>
      <c r="E1272" s="11" t="s">
        <v>144</v>
      </c>
      <c r="F1272" s="3" t="s">
        <v>8</v>
      </c>
      <c r="G1272" s="66" t="s">
        <v>847</v>
      </c>
      <c r="H1272" s="8"/>
      <c r="I1272" s="8"/>
      <c r="J1272" s="6" t="s">
        <v>111</v>
      </c>
      <c r="K1272" s="38">
        <v>3000</v>
      </c>
      <c r="L1272" s="4" t="s">
        <v>29</v>
      </c>
      <c r="M1272" s="11">
        <f>_xlfn.NUMBERVALUE(LEFT(Table613[[#This Row],[Fiscal Year]], 4))</f>
        <v>2015</v>
      </c>
      <c r="N1272" s="42">
        <f t="shared" si="27"/>
        <v>3185.2025316455693</v>
      </c>
      <c r="O1272" s="3">
        <v>1270</v>
      </c>
    </row>
    <row r="1273" spans="1:15" x14ac:dyDescent="0.25">
      <c r="A1273" s="3">
        <v>4</v>
      </c>
      <c r="B1273" s="3" t="s">
        <v>207</v>
      </c>
      <c r="C1273" s="1" t="s">
        <v>12</v>
      </c>
      <c r="D1273" s="1" t="s">
        <v>444</v>
      </c>
      <c r="E1273" s="11" t="s">
        <v>144</v>
      </c>
      <c r="F1273" s="3" t="s">
        <v>8</v>
      </c>
      <c r="G1273" s="48" t="s">
        <v>857</v>
      </c>
      <c r="H1273" s="8"/>
      <c r="I1273" s="8"/>
      <c r="J1273" s="6" t="s">
        <v>108</v>
      </c>
      <c r="K1273" s="38">
        <v>20000</v>
      </c>
      <c r="L1273" s="4" t="s">
        <v>29</v>
      </c>
      <c r="M1273" s="11">
        <f>_xlfn.NUMBERVALUE(LEFT(Table613[[#This Row],[Fiscal Year]], 4))</f>
        <v>2015</v>
      </c>
      <c r="N1273" s="42">
        <f t="shared" si="27"/>
        <v>21234.683544303796</v>
      </c>
      <c r="O1273" s="3">
        <v>1271</v>
      </c>
    </row>
    <row r="1274" spans="1:15" x14ac:dyDescent="0.25">
      <c r="A1274" s="3">
        <v>4</v>
      </c>
      <c r="B1274" s="3" t="s">
        <v>207</v>
      </c>
      <c r="C1274" s="1" t="s">
        <v>12</v>
      </c>
      <c r="D1274" s="1" t="s">
        <v>444</v>
      </c>
      <c r="E1274" s="11" t="s">
        <v>144</v>
      </c>
      <c r="F1274" s="3" t="s">
        <v>8</v>
      </c>
      <c r="G1274" s="66" t="s">
        <v>849</v>
      </c>
      <c r="H1274" s="8"/>
      <c r="I1274" s="8"/>
      <c r="J1274" s="6" t="s">
        <v>106</v>
      </c>
      <c r="K1274" s="38">
        <v>1000</v>
      </c>
      <c r="L1274" s="4" t="s">
        <v>29</v>
      </c>
      <c r="M1274" s="11">
        <f>_xlfn.NUMBERVALUE(LEFT(Table613[[#This Row],[Fiscal Year]], 4))</f>
        <v>2015</v>
      </c>
      <c r="N1274" s="42">
        <f t="shared" si="27"/>
        <v>1061.7341772151899</v>
      </c>
      <c r="O1274" s="3">
        <v>1272</v>
      </c>
    </row>
    <row r="1275" spans="1:15" x14ac:dyDescent="0.25">
      <c r="A1275" s="3">
        <v>4</v>
      </c>
      <c r="B1275" s="3" t="s">
        <v>207</v>
      </c>
      <c r="C1275" s="1" t="s">
        <v>12</v>
      </c>
      <c r="D1275" s="1" t="s">
        <v>444</v>
      </c>
      <c r="E1275" s="11" t="s">
        <v>144</v>
      </c>
      <c r="F1275" s="3" t="s">
        <v>8</v>
      </c>
      <c r="G1275" s="66" t="s">
        <v>850</v>
      </c>
      <c r="H1275" s="8"/>
      <c r="I1275" s="8"/>
      <c r="J1275" s="6" t="s">
        <v>455</v>
      </c>
      <c r="K1275" s="38">
        <v>0</v>
      </c>
      <c r="L1275" s="4" t="s">
        <v>29</v>
      </c>
      <c r="M1275" s="11">
        <f>_xlfn.NUMBERVALUE(LEFT(Table613[[#This Row],[Fiscal Year]], 4))</f>
        <v>2015</v>
      </c>
      <c r="N1275" s="43">
        <f t="shared" si="27"/>
        <v>0</v>
      </c>
      <c r="O1275" s="3">
        <v>1273</v>
      </c>
    </row>
    <row r="1276" spans="1:15" x14ac:dyDescent="0.25">
      <c r="A1276" s="3">
        <v>4</v>
      </c>
      <c r="B1276" s="3" t="s">
        <v>207</v>
      </c>
      <c r="C1276" s="1" t="s">
        <v>12</v>
      </c>
      <c r="D1276" s="1" t="s">
        <v>444</v>
      </c>
      <c r="E1276" s="11" t="s">
        <v>144</v>
      </c>
      <c r="F1276" s="3" t="s">
        <v>8</v>
      </c>
      <c r="G1276" s="66" t="s">
        <v>851</v>
      </c>
      <c r="H1276" s="8"/>
      <c r="I1276" s="8"/>
      <c r="J1276" s="6" t="s">
        <v>76</v>
      </c>
      <c r="K1276" s="38">
        <v>0</v>
      </c>
      <c r="L1276" s="4" t="s">
        <v>29</v>
      </c>
      <c r="M1276" s="11">
        <f>_xlfn.NUMBERVALUE(LEFT(Table613[[#This Row],[Fiscal Year]], 4))</f>
        <v>2015</v>
      </c>
      <c r="N1276" s="43">
        <f t="shared" si="27"/>
        <v>0</v>
      </c>
      <c r="O1276" s="3">
        <v>1274</v>
      </c>
    </row>
    <row r="1277" spans="1:15" x14ac:dyDescent="0.25">
      <c r="A1277" s="3">
        <v>4</v>
      </c>
      <c r="B1277" s="3" t="s">
        <v>207</v>
      </c>
      <c r="C1277" s="1" t="s">
        <v>12</v>
      </c>
      <c r="D1277" s="1" t="s">
        <v>444</v>
      </c>
      <c r="E1277" s="11" t="s">
        <v>144</v>
      </c>
      <c r="F1277" s="3" t="s">
        <v>8</v>
      </c>
      <c r="G1277" s="66" t="s">
        <v>852</v>
      </c>
      <c r="H1277" s="8"/>
      <c r="I1277" s="8"/>
      <c r="J1277" s="6" t="s">
        <v>76</v>
      </c>
      <c r="K1277" s="38">
        <v>0</v>
      </c>
      <c r="L1277" s="4" t="s">
        <v>29</v>
      </c>
      <c r="M1277" s="11">
        <f>_xlfn.NUMBERVALUE(LEFT(Table613[[#This Row],[Fiscal Year]], 4))</f>
        <v>2015</v>
      </c>
      <c r="N1277" s="43">
        <f t="shared" si="27"/>
        <v>0</v>
      </c>
      <c r="O1277" s="3">
        <v>1275</v>
      </c>
    </row>
    <row r="1278" spans="1:15" x14ac:dyDescent="0.25">
      <c r="A1278" s="3">
        <v>4</v>
      </c>
      <c r="B1278" s="3" t="s">
        <v>207</v>
      </c>
      <c r="C1278" s="1" t="s">
        <v>12</v>
      </c>
      <c r="D1278" s="1" t="s">
        <v>444</v>
      </c>
      <c r="E1278" s="11" t="s">
        <v>144</v>
      </c>
      <c r="F1278" s="3" t="s">
        <v>8</v>
      </c>
      <c r="G1278" s="48" t="s">
        <v>853</v>
      </c>
      <c r="H1278" s="8"/>
      <c r="I1278" s="8"/>
      <c r="J1278" s="6" t="s">
        <v>76</v>
      </c>
      <c r="K1278" s="38">
        <v>0</v>
      </c>
      <c r="L1278" s="4" t="s">
        <v>29</v>
      </c>
      <c r="M1278" s="11">
        <f>_xlfn.NUMBERVALUE(LEFT(Table613[[#This Row],[Fiscal Year]], 4))</f>
        <v>2015</v>
      </c>
      <c r="N1278" s="43">
        <f t="shared" si="27"/>
        <v>0</v>
      </c>
      <c r="O1278" s="3">
        <v>1276</v>
      </c>
    </row>
    <row r="1279" spans="1:15" x14ac:dyDescent="0.25">
      <c r="A1279" s="3">
        <v>4</v>
      </c>
      <c r="B1279" s="3" t="s">
        <v>207</v>
      </c>
      <c r="C1279" s="1" t="s">
        <v>12</v>
      </c>
      <c r="D1279" s="1" t="s">
        <v>444</v>
      </c>
      <c r="E1279" s="11" t="s">
        <v>144</v>
      </c>
      <c r="F1279" s="3" t="s">
        <v>8</v>
      </c>
      <c r="G1279" s="63" t="s">
        <v>854</v>
      </c>
      <c r="H1279" s="8"/>
      <c r="I1279" s="8"/>
      <c r="J1279" s="6" t="s">
        <v>47</v>
      </c>
      <c r="K1279" s="38">
        <v>80000</v>
      </c>
      <c r="L1279" s="4" t="s">
        <v>29</v>
      </c>
      <c r="M1279" s="11">
        <f>_xlfn.NUMBERVALUE(LEFT(Table613[[#This Row],[Fiscal Year]], 4))</f>
        <v>2015</v>
      </c>
      <c r="N1279" s="42">
        <f t="shared" si="27"/>
        <v>84938.734177215185</v>
      </c>
      <c r="O1279" s="3">
        <v>1277</v>
      </c>
    </row>
    <row r="1280" spans="1:15" x14ac:dyDescent="0.25">
      <c r="A1280" s="3">
        <v>4</v>
      </c>
      <c r="B1280" s="3" t="s">
        <v>207</v>
      </c>
      <c r="C1280" s="1" t="s">
        <v>12</v>
      </c>
      <c r="D1280" s="1" t="s">
        <v>444</v>
      </c>
      <c r="E1280" s="11" t="s">
        <v>144</v>
      </c>
      <c r="F1280" s="3" t="s">
        <v>8</v>
      </c>
      <c r="G1280" s="63" t="s">
        <v>855</v>
      </c>
      <c r="H1280" s="8"/>
      <c r="I1280" s="8"/>
      <c r="J1280" s="6" t="s">
        <v>455</v>
      </c>
      <c r="K1280" s="38">
        <v>33400</v>
      </c>
      <c r="L1280" s="4" t="s">
        <v>29</v>
      </c>
      <c r="M1280" s="11">
        <f>_xlfn.NUMBERVALUE(LEFT(Table613[[#This Row],[Fiscal Year]], 4))</f>
        <v>2015</v>
      </c>
      <c r="N1280" s="42">
        <f t="shared" si="27"/>
        <v>35461.921518987343</v>
      </c>
      <c r="O1280" s="3">
        <v>1278</v>
      </c>
    </row>
    <row r="1281" spans="1:15" x14ac:dyDescent="0.25">
      <c r="C1281" s="1"/>
      <c r="D1281" s="1"/>
      <c r="E1281" s="11"/>
      <c r="G1281" s="66"/>
      <c r="H1281" s="8"/>
      <c r="I1281" s="8"/>
      <c r="J1281" s="6"/>
      <c r="L1281" s="4"/>
      <c r="O1281" s="3">
        <v>1279</v>
      </c>
    </row>
    <row r="1282" spans="1:15" x14ac:dyDescent="0.25">
      <c r="A1282" s="3">
        <v>4</v>
      </c>
      <c r="B1282" s="3" t="s">
        <v>253</v>
      </c>
      <c r="C1282" s="1" t="s">
        <v>13</v>
      </c>
      <c r="D1282" s="1" t="s">
        <v>444</v>
      </c>
      <c r="E1282" s="11" t="s">
        <v>144</v>
      </c>
      <c r="F1282" s="3" t="s">
        <v>8</v>
      </c>
      <c r="G1282" s="48" t="s">
        <v>32</v>
      </c>
      <c r="H1282" s="8" t="s">
        <v>608</v>
      </c>
      <c r="I1282" s="70" t="s">
        <v>609</v>
      </c>
      <c r="J1282" s="6" t="s">
        <v>110</v>
      </c>
      <c r="K1282" s="38">
        <v>268092</v>
      </c>
      <c r="L1282" s="4" t="s">
        <v>26</v>
      </c>
      <c r="M1282" s="11">
        <f>_xlfn.NUMBERVALUE(LEFT(Table613[[#This Row],[Fiscal Year]], 4))</f>
        <v>2018</v>
      </c>
      <c r="N1282" s="42">
        <f t="shared" si="27"/>
        <v>268092</v>
      </c>
      <c r="O1282" s="3">
        <v>1280</v>
      </c>
    </row>
    <row r="1283" spans="1:15" x14ac:dyDescent="0.25">
      <c r="A1283" s="3">
        <v>4</v>
      </c>
      <c r="B1283" s="3" t="s">
        <v>253</v>
      </c>
      <c r="C1283" s="1" t="s">
        <v>13</v>
      </c>
      <c r="D1283" s="1" t="s">
        <v>444</v>
      </c>
      <c r="E1283" s="11" t="s">
        <v>144</v>
      </c>
      <c r="F1283" s="3" t="s">
        <v>8</v>
      </c>
      <c r="G1283" s="66" t="s">
        <v>68</v>
      </c>
      <c r="H1283" s="6"/>
      <c r="I1283" s="8"/>
      <c r="J1283" s="6" t="s">
        <v>42</v>
      </c>
      <c r="K1283" s="38">
        <v>52422</v>
      </c>
      <c r="L1283" s="4" t="s">
        <v>26</v>
      </c>
      <c r="M1283" s="11">
        <f>_xlfn.NUMBERVALUE(LEFT(Table613[[#This Row],[Fiscal Year]], 4))</f>
        <v>2018</v>
      </c>
      <c r="N1283" s="42">
        <f t="shared" si="27"/>
        <v>52422</v>
      </c>
      <c r="O1283" s="3">
        <v>1281</v>
      </c>
    </row>
    <row r="1284" spans="1:15" x14ac:dyDescent="0.25">
      <c r="A1284" s="3">
        <v>4</v>
      </c>
      <c r="B1284" s="3" t="s">
        <v>253</v>
      </c>
      <c r="C1284" s="1" t="s">
        <v>13</v>
      </c>
      <c r="D1284" s="1" t="s">
        <v>444</v>
      </c>
      <c r="E1284" s="11" t="s">
        <v>144</v>
      </c>
      <c r="F1284" s="3" t="s">
        <v>8</v>
      </c>
      <c r="G1284" s="48" t="s">
        <v>69</v>
      </c>
      <c r="H1284" s="8"/>
      <c r="I1284" s="8"/>
      <c r="J1284" s="6" t="s">
        <v>109</v>
      </c>
      <c r="K1284" s="38">
        <v>108949</v>
      </c>
      <c r="L1284" s="4" t="s">
        <v>26</v>
      </c>
      <c r="M1284" s="11">
        <f>_xlfn.NUMBERVALUE(LEFT(Table613[[#This Row],[Fiscal Year]], 4))</f>
        <v>2018</v>
      </c>
      <c r="N1284" s="42">
        <f t="shared" si="27"/>
        <v>108949</v>
      </c>
      <c r="O1284" s="3">
        <v>1282</v>
      </c>
    </row>
    <row r="1285" spans="1:15" x14ac:dyDescent="0.25">
      <c r="A1285" s="3">
        <v>4</v>
      </c>
      <c r="B1285" s="3" t="s">
        <v>253</v>
      </c>
      <c r="C1285" s="1" t="s">
        <v>13</v>
      </c>
      <c r="D1285" s="1" t="s">
        <v>444</v>
      </c>
      <c r="E1285" s="11" t="s">
        <v>144</v>
      </c>
      <c r="F1285" s="3" t="s">
        <v>8</v>
      </c>
      <c r="G1285" s="48" t="s">
        <v>59</v>
      </c>
      <c r="H1285" s="8"/>
      <c r="I1285" s="8"/>
      <c r="J1285" s="6" t="s">
        <v>111</v>
      </c>
      <c r="K1285" s="38">
        <v>55783</v>
      </c>
      <c r="L1285" s="4" t="s">
        <v>26</v>
      </c>
      <c r="M1285" s="11">
        <f>_xlfn.NUMBERVALUE(LEFT(Table613[[#This Row],[Fiscal Year]], 4))</f>
        <v>2018</v>
      </c>
      <c r="N1285" s="42">
        <f t="shared" si="27"/>
        <v>55783</v>
      </c>
      <c r="O1285" s="3">
        <v>1283</v>
      </c>
    </row>
    <row r="1286" spans="1:15" x14ac:dyDescent="0.25">
      <c r="A1286" s="3">
        <v>4</v>
      </c>
      <c r="B1286" s="3" t="s">
        <v>253</v>
      </c>
      <c r="C1286" s="1" t="s">
        <v>13</v>
      </c>
      <c r="D1286" s="1" t="s">
        <v>444</v>
      </c>
      <c r="E1286" s="11" t="s">
        <v>144</v>
      </c>
      <c r="F1286" s="3" t="s">
        <v>8</v>
      </c>
      <c r="G1286" s="66" t="s">
        <v>70</v>
      </c>
      <c r="H1286" s="8"/>
      <c r="I1286" s="8"/>
      <c r="J1286" s="6" t="s">
        <v>107</v>
      </c>
      <c r="K1286" s="38">
        <v>106278</v>
      </c>
      <c r="L1286" s="4" t="s">
        <v>26</v>
      </c>
      <c r="M1286" s="11">
        <f>_xlfn.NUMBERVALUE(LEFT(Table613[[#This Row],[Fiscal Year]], 4))</f>
        <v>2018</v>
      </c>
      <c r="N1286" s="42">
        <f t="shared" si="27"/>
        <v>106278</v>
      </c>
      <c r="O1286" s="3">
        <v>1284</v>
      </c>
    </row>
    <row r="1287" spans="1:15" x14ac:dyDescent="0.25">
      <c r="A1287" s="3">
        <v>4</v>
      </c>
      <c r="B1287" s="3" t="s">
        <v>253</v>
      </c>
      <c r="C1287" s="1" t="s">
        <v>13</v>
      </c>
      <c r="D1287" s="1" t="s">
        <v>444</v>
      </c>
      <c r="E1287" s="11" t="s">
        <v>144</v>
      </c>
      <c r="F1287" s="3" t="s">
        <v>8</v>
      </c>
      <c r="G1287" s="48" t="s">
        <v>72</v>
      </c>
      <c r="H1287" s="8" t="s">
        <v>610</v>
      </c>
      <c r="I1287" s="8" t="s">
        <v>458</v>
      </c>
      <c r="J1287" s="6" t="s">
        <v>108</v>
      </c>
      <c r="K1287" s="38" t="s">
        <v>827</v>
      </c>
      <c r="L1287" s="4" t="s">
        <v>26</v>
      </c>
      <c r="M1287" s="11">
        <f>_xlfn.NUMBERVALUE(LEFT(Table613[[#This Row],[Fiscal Year]], 4))</f>
        <v>2018</v>
      </c>
      <c r="O1287" s="3">
        <v>1285</v>
      </c>
    </row>
    <row r="1288" spans="1:15" x14ac:dyDescent="0.25">
      <c r="A1288" s="3">
        <v>4</v>
      </c>
      <c r="B1288" s="3" t="s">
        <v>253</v>
      </c>
      <c r="C1288" s="1" t="s">
        <v>13</v>
      </c>
      <c r="D1288" s="1" t="s">
        <v>444</v>
      </c>
      <c r="E1288" s="11" t="s">
        <v>144</v>
      </c>
      <c r="F1288" s="3" t="s">
        <v>8</v>
      </c>
      <c r="G1288" s="66" t="s">
        <v>71</v>
      </c>
      <c r="H1288" s="8" t="s">
        <v>484</v>
      </c>
      <c r="I1288" s="8" t="s">
        <v>458</v>
      </c>
      <c r="J1288" s="6" t="s">
        <v>108</v>
      </c>
      <c r="K1288" s="38">
        <v>410976</v>
      </c>
      <c r="L1288" s="4" t="s">
        <v>26</v>
      </c>
      <c r="M1288" s="11">
        <f>_xlfn.NUMBERVALUE(LEFT(Table613[[#This Row],[Fiscal Year]], 4))</f>
        <v>2018</v>
      </c>
      <c r="N1288" s="42">
        <f t="shared" si="27"/>
        <v>410976</v>
      </c>
      <c r="O1288" s="3">
        <v>1286</v>
      </c>
    </row>
    <row r="1289" spans="1:15" x14ac:dyDescent="0.25">
      <c r="A1289" s="3">
        <v>4</v>
      </c>
      <c r="B1289" s="3" t="s">
        <v>253</v>
      </c>
      <c r="C1289" s="1" t="s">
        <v>13</v>
      </c>
      <c r="D1289" s="1" t="s">
        <v>444</v>
      </c>
      <c r="E1289" s="11" t="s">
        <v>144</v>
      </c>
      <c r="F1289" s="3" t="s">
        <v>8</v>
      </c>
      <c r="G1289" s="48" t="s">
        <v>73</v>
      </c>
      <c r="H1289" s="8"/>
      <c r="I1289" s="8"/>
      <c r="J1289" s="6" t="s">
        <v>108</v>
      </c>
      <c r="K1289" s="38">
        <v>130000</v>
      </c>
      <c r="L1289" s="4" t="s">
        <v>26</v>
      </c>
      <c r="M1289" s="11">
        <f>_xlfn.NUMBERVALUE(LEFT(Table613[[#This Row],[Fiscal Year]], 4))</f>
        <v>2018</v>
      </c>
      <c r="N1289" s="42">
        <f t="shared" si="27"/>
        <v>130000</v>
      </c>
      <c r="O1289" s="3">
        <v>1287</v>
      </c>
    </row>
    <row r="1290" spans="1:15" x14ac:dyDescent="0.25">
      <c r="A1290" s="3">
        <v>4</v>
      </c>
      <c r="B1290" s="3" t="s">
        <v>253</v>
      </c>
      <c r="C1290" s="1" t="s">
        <v>13</v>
      </c>
      <c r="D1290" s="1" t="s">
        <v>444</v>
      </c>
      <c r="E1290" s="11" t="s">
        <v>144</v>
      </c>
      <c r="F1290" s="3" t="s">
        <v>8</v>
      </c>
      <c r="G1290" s="48" t="s">
        <v>74</v>
      </c>
      <c r="H1290" s="8" t="s">
        <v>611</v>
      </c>
      <c r="I1290" s="8" t="s">
        <v>458</v>
      </c>
      <c r="J1290" s="6" t="s">
        <v>108</v>
      </c>
      <c r="K1290" s="38">
        <v>7259</v>
      </c>
      <c r="L1290" s="4" t="s">
        <v>26</v>
      </c>
      <c r="M1290" s="11">
        <f>_xlfn.NUMBERVALUE(LEFT(Table613[[#This Row],[Fiscal Year]], 4))</f>
        <v>2018</v>
      </c>
      <c r="N1290" s="42">
        <f t="shared" si="27"/>
        <v>7259</v>
      </c>
      <c r="O1290" s="3">
        <v>1288</v>
      </c>
    </row>
    <row r="1291" spans="1:15" x14ac:dyDescent="0.25">
      <c r="A1291" s="3">
        <v>4</v>
      </c>
      <c r="B1291" s="3" t="s">
        <v>253</v>
      </c>
      <c r="C1291" s="1" t="s">
        <v>13</v>
      </c>
      <c r="D1291" s="1" t="s">
        <v>444</v>
      </c>
      <c r="E1291" s="11" t="s">
        <v>144</v>
      </c>
      <c r="F1291" s="3" t="s">
        <v>8</v>
      </c>
      <c r="G1291" s="48" t="s">
        <v>75</v>
      </c>
      <c r="H1291" s="8" t="s">
        <v>485</v>
      </c>
      <c r="I1291" s="8" t="s">
        <v>458</v>
      </c>
      <c r="J1291" s="6" t="s">
        <v>108</v>
      </c>
      <c r="K1291" s="38">
        <v>21398</v>
      </c>
      <c r="L1291" s="4" t="s">
        <v>26</v>
      </c>
      <c r="M1291" s="11">
        <f>_xlfn.NUMBERVALUE(LEFT(Table613[[#This Row],[Fiscal Year]], 4))</f>
        <v>2018</v>
      </c>
      <c r="N1291" s="42">
        <f t="shared" si="27"/>
        <v>21398</v>
      </c>
      <c r="O1291" s="3">
        <v>1289</v>
      </c>
    </row>
    <row r="1292" spans="1:15" x14ac:dyDescent="0.25">
      <c r="A1292" s="3">
        <v>4</v>
      </c>
      <c r="B1292" s="3" t="s">
        <v>253</v>
      </c>
      <c r="C1292" s="1" t="s">
        <v>13</v>
      </c>
      <c r="D1292" s="1" t="s">
        <v>444</v>
      </c>
      <c r="E1292" s="11" t="s">
        <v>144</v>
      </c>
      <c r="F1292" s="3" t="s">
        <v>8</v>
      </c>
      <c r="G1292" s="48" t="s">
        <v>76</v>
      </c>
      <c r="H1292" s="8"/>
      <c r="I1292" s="8"/>
      <c r="J1292" s="6" t="s">
        <v>76</v>
      </c>
      <c r="K1292" s="38">
        <v>25000</v>
      </c>
      <c r="L1292" s="4" t="s">
        <v>26</v>
      </c>
      <c r="M1292" s="11">
        <f>_xlfn.NUMBERVALUE(LEFT(Table613[[#This Row],[Fiscal Year]], 4))</f>
        <v>2018</v>
      </c>
      <c r="N1292" s="42">
        <f t="shared" ref="N1292:N1354" si="28">K1292*(1+VLOOKUP(M1292,$AF$8:$AH$31,3,0))</f>
        <v>25000</v>
      </c>
      <c r="O1292" s="3">
        <v>1290</v>
      </c>
    </row>
    <row r="1293" spans="1:15" x14ac:dyDescent="0.25">
      <c r="A1293" s="3">
        <v>4</v>
      </c>
      <c r="B1293" s="3" t="s">
        <v>253</v>
      </c>
      <c r="C1293" s="1" t="s">
        <v>13</v>
      </c>
      <c r="D1293" s="1" t="s">
        <v>444</v>
      </c>
      <c r="E1293" s="11" t="s">
        <v>144</v>
      </c>
      <c r="F1293" s="3" t="s">
        <v>8</v>
      </c>
      <c r="G1293" s="48" t="s">
        <v>77</v>
      </c>
      <c r="H1293" s="8"/>
      <c r="I1293" s="8"/>
      <c r="J1293" s="6" t="s">
        <v>106</v>
      </c>
      <c r="K1293" s="38">
        <v>112303</v>
      </c>
      <c r="L1293" s="4" t="s">
        <v>26</v>
      </c>
      <c r="M1293" s="11">
        <f>_xlfn.NUMBERVALUE(LEFT(Table613[[#This Row],[Fiscal Year]], 4))</f>
        <v>2018</v>
      </c>
      <c r="N1293" s="42">
        <f t="shared" si="28"/>
        <v>112303</v>
      </c>
      <c r="O1293" s="3">
        <v>1291</v>
      </c>
    </row>
    <row r="1294" spans="1:15" x14ac:dyDescent="0.25">
      <c r="A1294" s="3">
        <v>4</v>
      </c>
      <c r="B1294" s="3" t="s">
        <v>253</v>
      </c>
      <c r="C1294" s="1" t="s">
        <v>13</v>
      </c>
      <c r="D1294" s="1" t="s">
        <v>444</v>
      </c>
      <c r="E1294" s="11" t="s">
        <v>144</v>
      </c>
      <c r="F1294" s="3" t="s">
        <v>8</v>
      </c>
      <c r="G1294" s="48" t="s">
        <v>78</v>
      </c>
      <c r="H1294" s="8"/>
      <c r="I1294" s="8"/>
      <c r="J1294" s="6" t="s">
        <v>47</v>
      </c>
      <c r="K1294" s="38" t="s">
        <v>827</v>
      </c>
      <c r="L1294" s="4" t="s">
        <v>26</v>
      </c>
      <c r="M1294" s="11">
        <f>_xlfn.NUMBERVALUE(LEFT(Table613[[#This Row],[Fiscal Year]], 4))</f>
        <v>2018</v>
      </c>
      <c r="O1294" s="3">
        <v>1292</v>
      </c>
    </row>
    <row r="1295" spans="1:15" x14ac:dyDescent="0.25">
      <c r="A1295" s="3">
        <v>4</v>
      </c>
      <c r="B1295" s="3" t="s">
        <v>253</v>
      </c>
      <c r="C1295" s="1" t="s">
        <v>13</v>
      </c>
      <c r="D1295" s="1" t="s">
        <v>444</v>
      </c>
      <c r="E1295" s="11" t="s">
        <v>144</v>
      </c>
      <c r="F1295" s="3" t="s">
        <v>8</v>
      </c>
      <c r="G1295" s="48" t="s">
        <v>79</v>
      </c>
      <c r="H1295" s="8" t="s">
        <v>483</v>
      </c>
      <c r="I1295" s="8" t="s">
        <v>458</v>
      </c>
      <c r="J1295" s="6" t="s">
        <v>455</v>
      </c>
      <c r="K1295" s="38">
        <v>95000</v>
      </c>
      <c r="L1295" s="4" t="s">
        <v>26</v>
      </c>
      <c r="M1295" s="11">
        <f>_xlfn.NUMBERVALUE(LEFT(Table613[[#This Row],[Fiscal Year]], 4))</f>
        <v>2018</v>
      </c>
      <c r="N1295" s="42">
        <f t="shared" si="28"/>
        <v>95000</v>
      </c>
      <c r="O1295" s="3">
        <v>1293</v>
      </c>
    </row>
    <row r="1296" spans="1:15" x14ac:dyDescent="0.25">
      <c r="A1296" s="3">
        <v>4</v>
      </c>
      <c r="B1296" s="3" t="s">
        <v>253</v>
      </c>
      <c r="C1296" s="1" t="s">
        <v>13</v>
      </c>
      <c r="D1296" s="1" t="s">
        <v>444</v>
      </c>
      <c r="E1296" s="11" t="s">
        <v>144</v>
      </c>
      <c r="F1296" s="3" t="s">
        <v>8</v>
      </c>
      <c r="G1296" s="48" t="s">
        <v>80</v>
      </c>
      <c r="H1296" s="8"/>
      <c r="I1296" s="8"/>
      <c r="J1296" s="6" t="s">
        <v>605</v>
      </c>
      <c r="K1296" s="38">
        <v>118702</v>
      </c>
      <c r="L1296" s="4" t="s">
        <v>26</v>
      </c>
      <c r="M1296" s="11">
        <f>_xlfn.NUMBERVALUE(LEFT(Table613[[#This Row],[Fiscal Year]], 4))</f>
        <v>2018</v>
      </c>
      <c r="N1296" s="42">
        <f t="shared" si="28"/>
        <v>118702</v>
      </c>
      <c r="O1296" s="3">
        <v>1294</v>
      </c>
    </row>
    <row r="1297" spans="1:15" x14ac:dyDescent="0.25">
      <c r="A1297" s="3">
        <v>4</v>
      </c>
      <c r="B1297" s="3" t="s">
        <v>253</v>
      </c>
      <c r="C1297" s="1" t="s">
        <v>13</v>
      </c>
      <c r="D1297" s="1" t="s">
        <v>444</v>
      </c>
      <c r="E1297" s="11" t="s">
        <v>144</v>
      </c>
      <c r="F1297" s="3" t="s">
        <v>8</v>
      </c>
      <c r="G1297" s="48" t="s">
        <v>67</v>
      </c>
      <c r="H1297" s="8"/>
      <c r="I1297" s="8"/>
      <c r="J1297" s="6" t="s">
        <v>455</v>
      </c>
      <c r="K1297" s="38" t="s">
        <v>827</v>
      </c>
      <c r="L1297" s="4" t="s">
        <v>26</v>
      </c>
      <c r="M1297" s="11">
        <f>_xlfn.NUMBERVALUE(LEFT(Table613[[#This Row],[Fiscal Year]], 4))</f>
        <v>2018</v>
      </c>
      <c r="O1297" s="3">
        <v>1295</v>
      </c>
    </row>
    <row r="1298" spans="1:15" x14ac:dyDescent="0.25">
      <c r="C1298" s="1"/>
      <c r="D1298" s="1"/>
      <c r="E1298" s="11"/>
      <c r="G1298" s="66"/>
      <c r="H1298" s="8"/>
      <c r="I1298" s="8"/>
      <c r="J1298" s="6"/>
      <c r="L1298" s="4"/>
      <c r="O1298" s="3">
        <v>1296</v>
      </c>
    </row>
    <row r="1299" spans="1:15" x14ac:dyDescent="0.25">
      <c r="A1299" s="3">
        <v>4</v>
      </c>
      <c r="B1299" s="3" t="s">
        <v>13</v>
      </c>
      <c r="C1299" s="1" t="s">
        <v>13</v>
      </c>
      <c r="D1299" s="1" t="s">
        <v>444</v>
      </c>
      <c r="E1299" s="11" t="s">
        <v>144</v>
      </c>
      <c r="F1299" s="3" t="s">
        <v>5</v>
      </c>
      <c r="G1299" s="48" t="s">
        <v>32</v>
      </c>
      <c r="H1299" s="8" t="s">
        <v>608</v>
      </c>
      <c r="I1299" s="70" t="s">
        <v>609</v>
      </c>
      <c r="J1299" s="6" t="s">
        <v>110</v>
      </c>
      <c r="K1299" s="38">
        <v>349985</v>
      </c>
      <c r="L1299" s="4" t="s">
        <v>26</v>
      </c>
      <c r="M1299" s="11">
        <f>_xlfn.NUMBERVALUE(LEFT(Table613[[#This Row],[Fiscal Year]], 4))</f>
        <v>2018</v>
      </c>
      <c r="N1299" s="42">
        <f t="shared" si="28"/>
        <v>349985</v>
      </c>
      <c r="O1299" s="3">
        <v>1297</v>
      </c>
    </row>
    <row r="1300" spans="1:15" x14ac:dyDescent="0.25">
      <c r="A1300" s="3">
        <v>4</v>
      </c>
      <c r="B1300" s="3" t="s">
        <v>13</v>
      </c>
      <c r="C1300" s="1" t="s">
        <v>13</v>
      </c>
      <c r="D1300" s="1" t="s">
        <v>444</v>
      </c>
      <c r="E1300" s="11" t="s">
        <v>144</v>
      </c>
      <c r="F1300" s="3" t="s">
        <v>5</v>
      </c>
      <c r="G1300" s="66" t="s">
        <v>68</v>
      </c>
      <c r="H1300" s="6"/>
      <c r="I1300" s="8"/>
      <c r="J1300" s="6" t="s">
        <v>42</v>
      </c>
      <c r="K1300" s="38">
        <v>117685</v>
      </c>
      <c r="L1300" s="4" t="s">
        <v>26</v>
      </c>
      <c r="M1300" s="11">
        <f>_xlfn.NUMBERVALUE(LEFT(Table613[[#This Row],[Fiscal Year]], 4))</f>
        <v>2018</v>
      </c>
      <c r="N1300" s="42">
        <f t="shared" si="28"/>
        <v>117685</v>
      </c>
      <c r="O1300" s="3">
        <v>1298</v>
      </c>
    </row>
    <row r="1301" spans="1:15" x14ac:dyDescent="0.25">
      <c r="A1301" s="3">
        <v>4</v>
      </c>
      <c r="B1301" s="3" t="s">
        <v>13</v>
      </c>
      <c r="C1301" s="1" t="s">
        <v>13</v>
      </c>
      <c r="D1301" s="1" t="s">
        <v>444</v>
      </c>
      <c r="E1301" s="11" t="s">
        <v>144</v>
      </c>
      <c r="F1301" s="3" t="s">
        <v>5</v>
      </c>
      <c r="G1301" s="48" t="s">
        <v>69</v>
      </c>
      <c r="H1301" s="8"/>
      <c r="I1301" s="8"/>
      <c r="J1301" s="6" t="s">
        <v>109</v>
      </c>
      <c r="K1301" s="38">
        <v>143580</v>
      </c>
      <c r="L1301" s="4" t="s">
        <v>26</v>
      </c>
      <c r="M1301" s="11">
        <f>_xlfn.NUMBERVALUE(LEFT(Table613[[#This Row],[Fiscal Year]], 4))</f>
        <v>2018</v>
      </c>
      <c r="N1301" s="42">
        <f t="shared" si="28"/>
        <v>143580</v>
      </c>
      <c r="O1301" s="3">
        <v>1299</v>
      </c>
    </row>
    <row r="1302" spans="1:15" x14ac:dyDescent="0.25">
      <c r="A1302" s="3">
        <v>4</v>
      </c>
      <c r="B1302" s="3" t="s">
        <v>13</v>
      </c>
      <c r="C1302" s="1" t="s">
        <v>13</v>
      </c>
      <c r="D1302" s="1" t="s">
        <v>444</v>
      </c>
      <c r="E1302" s="11" t="s">
        <v>144</v>
      </c>
      <c r="F1302" s="3" t="s">
        <v>5</v>
      </c>
      <c r="G1302" s="48" t="s">
        <v>59</v>
      </c>
      <c r="H1302" s="8"/>
      <c r="I1302" s="8"/>
      <c r="J1302" s="6" t="s">
        <v>111</v>
      </c>
      <c r="K1302" s="38">
        <v>157685</v>
      </c>
      <c r="L1302" s="4" t="s">
        <v>26</v>
      </c>
      <c r="M1302" s="11">
        <f>_xlfn.NUMBERVALUE(LEFT(Table613[[#This Row],[Fiscal Year]], 4))</f>
        <v>2018</v>
      </c>
      <c r="N1302" s="42">
        <f t="shared" si="28"/>
        <v>157685</v>
      </c>
      <c r="O1302" s="3">
        <v>1300</v>
      </c>
    </row>
    <row r="1303" spans="1:15" x14ac:dyDescent="0.25">
      <c r="A1303" s="3">
        <v>4</v>
      </c>
      <c r="B1303" s="3" t="s">
        <v>13</v>
      </c>
      <c r="C1303" s="1" t="s">
        <v>13</v>
      </c>
      <c r="D1303" s="1" t="s">
        <v>444</v>
      </c>
      <c r="E1303" s="11" t="s">
        <v>144</v>
      </c>
      <c r="F1303" s="3" t="s">
        <v>5</v>
      </c>
      <c r="G1303" s="66" t="s">
        <v>70</v>
      </c>
      <c r="H1303" s="8"/>
      <c r="I1303" s="8"/>
      <c r="J1303" s="6" t="s">
        <v>107</v>
      </c>
      <c r="K1303" s="38" t="s">
        <v>827</v>
      </c>
      <c r="L1303" s="4" t="s">
        <v>26</v>
      </c>
      <c r="M1303" s="11">
        <f>_xlfn.NUMBERVALUE(LEFT(Table613[[#This Row],[Fiscal Year]], 4))</f>
        <v>2018</v>
      </c>
      <c r="O1303" s="3">
        <v>1301</v>
      </c>
    </row>
    <row r="1304" spans="1:15" x14ac:dyDescent="0.25">
      <c r="A1304" s="3">
        <v>4</v>
      </c>
      <c r="B1304" s="3" t="s">
        <v>13</v>
      </c>
      <c r="C1304" s="1" t="s">
        <v>13</v>
      </c>
      <c r="D1304" s="1" t="s">
        <v>444</v>
      </c>
      <c r="E1304" s="11" t="s">
        <v>144</v>
      </c>
      <c r="F1304" s="3" t="s">
        <v>5</v>
      </c>
      <c r="G1304" s="48" t="s">
        <v>72</v>
      </c>
      <c r="H1304" s="8" t="s">
        <v>610</v>
      </c>
      <c r="I1304" s="8" t="s">
        <v>458</v>
      </c>
      <c r="J1304" s="6" t="s">
        <v>108</v>
      </c>
      <c r="K1304" s="38">
        <v>167000</v>
      </c>
      <c r="L1304" s="4" t="s">
        <v>26</v>
      </c>
      <c r="M1304" s="11">
        <f>_xlfn.NUMBERVALUE(LEFT(Table613[[#This Row],[Fiscal Year]], 4))</f>
        <v>2018</v>
      </c>
      <c r="N1304" s="42">
        <f t="shared" si="28"/>
        <v>167000</v>
      </c>
      <c r="O1304" s="3">
        <v>1302</v>
      </c>
    </row>
    <row r="1305" spans="1:15" x14ac:dyDescent="0.25">
      <c r="A1305" s="3">
        <v>4</v>
      </c>
      <c r="B1305" s="3" t="s">
        <v>13</v>
      </c>
      <c r="C1305" s="1" t="s">
        <v>13</v>
      </c>
      <c r="D1305" s="1" t="s">
        <v>444</v>
      </c>
      <c r="E1305" s="11" t="s">
        <v>144</v>
      </c>
      <c r="F1305" s="3" t="s">
        <v>5</v>
      </c>
      <c r="G1305" s="66" t="s">
        <v>71</v>
      </c>
      <c r="H1305" s="8" t="s">
        <v>484</v>
      </c>
      <c r="I1305" s="8" t="s">
        <v>458</v>
      </c>
      <c r="J1305" s="6" t="s">
        <v>108</v>
      </c>
      <c r="K1305" s="38" t="s">
        <v>431</v>
      </c>
      <c r="L1305" s="4" t="s">
        <v>26</v>
      </c>
      <c r="M1305" s="11">
        <f>_xlfn.NUMBERVALUE(LEFT(Table613[[#This Row],[Fiscal Year]], 4))</f>
        <v>2018</v>
      </c>
      <c r="O1305" s="3">
        <v>1303</v>
      </c>
    </row>
    <row r="1306" spans="1:15" x14ac:dyDescent="0.25">
      <c r="A1306" s="3">
        <v>4</v>
      </c>
      <c r="B1306" s="3" t="s">
        <v>13</v>
      </c>
      <c r="C1306" s="1" t="s">
        <v>13</v>
      </c>
      <c r="D1306" s="1" t="s">
        <v>444</v>
      </c>
      <c r="E1306" s="11" t="s">
        <v>144</v>
      </c>
      <c r="F1306" s="3" t="s">
        <v>5</v>
      </c>
      <c r="G1306" s="48" t="s">
        <v>73</v>
      </c>
      <c r="H1306" s="8"/>
      <c r="I1306" s="8"/>
      <c r="J1306" s="6" t="s">
        <v>108</v>
      </c>
      <c r="K1306" s="38" t="s">
        <v>431</v>
      </c>
      <c r="L1306" s="4" t="s">
        <v>26</v>
      </c>
      <c r="M1306" s="11">
        <f>_xlfn.NUMBERVALUE(LEFT(Table613[[#This Row],[Fiscal Year]], 4))</f>
        <v>2018</v>
      </c>
      <c r="O1306" s="3">
        <v>1304</v>
      </c>
    </row>
    <row r="1307" spans="1:15" x14ac:dyDescent="0.25">
      <c r="A1307" s="3">
        <v>4</v>
      </c>
      <c r="B1307" s="3" t="s">
        <v>13</v>
      </c>
      <c r="C1307" s="1" t="s">
        <v>13</v>
      </c>
      <c r="D1307" s="1" t="s">
        <v>444</v>
      </c>
      <c r="E1307" s="11" t="s">
        <v>144</v>
      </c>
      <c r="F1307" s="3" t="s">
        <v>5</v>
      </c>
      <c r="G1307" s="48" t="s">
        <v>74</v>
      </c>
      <c r="H1307" s="8" t="s">
        <v>611</v>
      </c>
      <c r="I1307" s="8" t="s">
        <v>458</v>
      </c>
      <c r="J1307" s="6" t="s">
        <v>108</v>
      </c>
      <c r="K1307" s="38" t="s">
        <v>431</v>
      </c>
      <c r="L1307" s="4" t="s">
        <v>26</v>
      </c>
      <c r="M1307" s="11">
        <f>_xlfn.NUMBERVALUE(LEFT(Table613[[#This Row],[Fiscal Year]], 4))</f>
        <v>2018</v>
      </c>
      <c r="O1307" s="3">
        <v>1305</v>
      </c>
    </row>
    <row r="1308" spans="1:15" x14ac:dyDescent="0.25">
      <c r="A1308" s="3">
        <v>4</v>
      </c>
      <c r="B1308" s="3" t="s">
        <v>13</v>
      </c>
      <c r="C1308" s="1" t="s">
        <v>13</v>
      </c>
      <c r="D1308" s="1" t="s">
        <v>444</v>
      </c>
      <c r="E1308" s="11" t="s">
        <v>144</v>
      </c>
      <c r="F1308" s="3" t="s">
        <v>5</v>
      </c>
      <c r="G1308" s="66" t="s">
        <v>75</v>
      </c>
      <c r="H1308" s="8" t="s">
        <v>485</v>
      </c>
      <c r="I1308" s="8" t="s">
        <v>458</v>
      </c>
      <c r="J1308" s="6" t="s">
        <v>108</v>
      </c>
      <c r="K1308" s="38" t="s">
        <v>431</v>
      </c>
      <c r="L1308" s="4" t="s">
        <v>26</v>
      </c>
      <c r="M1308" s="11">
        <f>_xlfn.NUMBERVALUE(LEFT(Table613[[#This Row],[Fiscal Year]], 4))</f>
        <v>2018</v>
      </c>
      <c r="O1308" s="3">
        <v>1306</v>
      </c>
    </row>
    <row r="1309" spans="1:15" x14ac:dyDescent="0.25">
      <c r="A1309" s="3">
        <v>4</v>
      </c>
      <c r="B1309" s="3" t="s">
        <v>13</v>
      </c>
      <c r="C1309" s="1" t="s">
        <v>13</v>
      </c>
      <c r="D1309" s="1" t="s">
        <v>444</v>
      </c>
      <c r="E1309" s="11" t="s">
        <v>144</v>
      </c>
      <c r="F1309" s="3" t="s">
        <v>5</v>
      </c>
      <c r="G1309" s="48" t="s">
        <v>76</v>
      </c>
      <c r="H1309" s="8"/>
      <c r="I1309" s="8"/>
      <c r="J1309" s="6" t="s">
        <v>76</v>
      </c>
      <c r="K1309" s="38">
        <v>1460000</v>
      </c>
      <c r="L1309" s="4" t="s">
        <v>26</v>
      </c>
      <c r="M1309" s="11">
        <f>_xlfn.NUMBERVALUE(LEFT(Table613[[#This Row],[Fiscal Year]], 4))</f>
        <v>2018</v>
      </c>
      <c r="N1309" s="42">
        <f t="shared" si="28"/>
        <v>1460000</v>
      </c>
      <c r="O1309" s="3">
        <v>1307</v>
      </c>
    </row>
    <row r="1310" spans="1:15" x14ac:dyDescent="0.25">
      <c r="A1310" s="3">
        <v>4</v>
      </c>
      <c r="B1310" s="3" t="s">
        <v>13</v>
      </c>
      <c r="C1310" s="1" t="s">
        <v>13</v>
      </c>
      <c r="D1310" s="1" t="s">
        <v>444</v>
      </c>
      <c r="E1310" s="11" t="s">
        <v>144</v>
      </c>
      <c r="F1310" s="3" t="s">
        <v>5</v>
      </c>
      <c r="G1310" s="66" t="s">
        <v>77</v>
      </c>
      <c r="H1310" s="8"/>
      <c r="I1310" s="8"/>
      <c r="J1310" s="6" t="s">
        <v>106</v>
      </c>
      <c r="K1310" s="38">
        <v>143580</v>
      </c>
      <c r="L1310" s="4" t="s">
        <v>26</v>
      </c>
      <c r="M1310" s="11">
        <f>_xlfn.NUMBERVALUE(LEFT(Table613[[#This Row],[Fiscal Year]], 4))</f>
        <v>2018</v>
      </c>
      <c r="N1310" s="42">
        <f t="shared" si="28"/>
        <v>143580</v>
      </c>
      <c r="O1310" s="3">
        <v>1308</v>
      </c>
    </row>
    <row r="1311" spans="1:15" x14ac:dyDescent="0.25">
      <c r="A1311" s="3">
        <v>4</v>
      </c>
      <c r="B1311" s="3" t="s">
        <v>13</v>
      </c>
      <c r="C1311" s="1" t="s">
        <v>13</v>
      </c>
      <c r="D1311" s="1" t="s">
        <v>444</v>
      </c>
      <c r="E1311" s="11" t="s">
        <v>144</v>
      </c>
      <c r="F1311" s="3" t="s">
        <v>5</v>
      </c>
      <c r="G1311" s="66" t="s">
        <v>78</v>
      </c>
      <c r="H1311" s="8"/>
      <c r="I1311" s="8"/>
      <c r="J1311" s="6" t="s">
        <v>47</v>
      </c>
      <c r="K1311" s="38">
        <v>0</v>
      </c>
      <c r="L1311" s="4" t="s">
        <v>26</v>
      </c>
      <c r="M1311" s="11">
        <f>_xlfn.NUMBERVALUE(LEFT(Table613[[#This Row],[Fiscal Year]], 4))</f>
        <v>2018</v>
      </c>
      <c r="N1311" s="43">
        <f t="shared" si="28"/>
        <v>0</v>
      </c>
      <c r="O1311" s="3">
        <v>1309</v>
      </c>
    </row>
    <row r="1312" spans="1:15" x14ac:dyDescent="0.25">
      <c r="A1312" s="3">
        <v>4</v>
      </c>
      <c r="B1312" s="3" t="s">
        <v>13</v>
      </c>
      <c r="C1312" s="1" t="s">
        <v>13</v>
      </c>
      <c r="D1312" s="1" t="s">
        <v>444</v>
      </c>
      <c r="E1312" s="11" t="s">
        <v>144</v>
      </c>
      <c r="F1312" s="3" t="s">
        <v>5</v>
      </c>
      <c r="G1312" s="48" t="s">
        <v>79</v>
      </c>
      <c r="H1312" s="8" t="s">
        <v>483</v>
      </c>
      <c r="I1312" s="8" t="s">
        <v>458</v>
      </c>
      <c r="J1312" s="6" t="s">
        <v>455</v>
      </c>
      <c r="K1312" s="38">
        <v>224000</v>
      </c>
      <c r="L1312" s="4" t="s">
        <v>26</v>
      </c>
      <c r="M1312" s="11">
        <f>_xlfn.NUMBERVALUE(LEFT(Table613[[#This Row],[Fiscal Year]], 4))</f>
        <v>2018</v>
      </c>
      <c r="N1312" s="42">
        <f t="shared" si="28"/>
        <v>224000</v>
      </c>
      <c r="O1312" s="3">
        <v>1310</v>
      </c>
    </row>
    <row r="1313" spans="1:15" x14ac:dyDescent="0.25">
      <c r="A1313" s="3">
        <v>4</v>
      </c>
      <c r="B1313" s="3" t="s">
        <v>13</v>
      </c>
      <c r="C1313" s="1" t="s">
        <v>13</v>
      </c>
      <c r="D1313" s="1" t="s">
        <v>444</v>
      </c>
      <c r="E1313" s="11" t="s">
        <v>144</v>
      </c>
      <c r="F1313" s="3" t="s">
        <v>5</v>
      </c>
      <c r="G1313" s="66" t="s">
        <v>80</v>
      </c>
      <c r="H1313" s="8"/>
      <c r="I1313" s="8"/>
      <c r="J1313" s="6" t="s">
        <v>605</v>
      </c>
      <c r="K1313" s="38">
        <v>172685</v>
      </c>
      <c r="L1313" s="4" t="s">
        <v>26</v>
      </c>
      <c r="M1313" s="11">
        <f>_xlfn.NUMBERVALUE(LEFT(Table613[[#This Row],[Fiscal Year]], 4))</f>
        <v>2018</v>
      </c>
      <c r="N1313" s="42">
        <f t="shared" si="28"/>
        <v>172685</v>
      </c>
      <c r="O1313" s="3">
        <v>1311</v>
      </c>
    </row>
    <row r="1314" spans="1:15" x14ac:dyDescent="0.25">
      <c r="A1314" s="3">
        <v>4</v>
      </c>
      <c r="B1314" s="3" t="s">
        <v>13</v>
      </c>
      <c r="C1314" s="1" t="s">
        <v>13</v>
      </c>
      <c r="D1314" s="1" t="s">
        <v>444</v>
      </c>
      <c r="E1314" s="11" t="s">
        <v>144</v>
      </c>
      <c r="F1314" s="3" t="s">
        <v>5</v>
      </c>
      <c r="G1314" s="48" t="s">
        <v>67</v>
      </c>
      <c r="H1314" s="8"/>
      <c r="I1314" s="8"/>
      <c r="J1314" s="6" t="s">
        <v>455</v>
      </c>
      <c r="K1314" s="38" t="s">
        <v>827</v>
      </c>
      <c r="L1314" s="4" t="s">
        <v>26</v>
      </c>
      <c r="M1314" s="11">
        <f>_xlfn.NUMBERVALUE(LEFT(Table613[[#This Row],[Fiscal Year]], 4))</f>
        <v>2018</v>
      </c>
      <c r="O1314" s="3">
        <v>1312</v>
      </c>
    </row>
    <row r="1315" spans="1:15" x14ac:dyDescent="0.25">
      <c r="C1315" s="1"/>
      <c r="D1315" s="1"/>
      <c r="E1315" s="11"/>
      <c r="G1315" s="66"/>
      <c r="H1315" s="8"/>
      <c r="I1315" s="8"/>
      <c r="J1315" s="6"/>
      <c r="L1315" s="4"/>
      <c r="O1315" s="3">
        <v>1313</v>
      </c>
    </row>
    <row r="1316" spans="1:15" x14ac:dyDescent="0.25">
      <c r="A1316" s="3">
        <v>4</v>
      </c>
      <c r="B1316" s="3" t="s">
        <v>254</v>
      </c>
      <c r="C1316" s="1" t="s">
        <v>13</v>
      </c>
      <c r="D1316" s="1" t="s">
        <v>444</v>
      </c>
      <c r="E1316" s="11" t="s">
        <v>144</v>
      </c>
      <c r="F1316" s="3" t="s">
        <v>8</v>
      </c>
      <c r="G1316" s="48" t="s">
        <v>32</v>
      </c>
      <c r="H1316" s="8" t="s">
        <v>608</v>
      </c>
      <c r="I1316" s="70" t="s">
        <v>609</v>
      </c>
      <c r="J1316" s="6" t="s">
        <v>110</v>
      </c>
      <c r="K1316" s="38">
        <v>10456</v>
      </c>
      <c r="L1316" s="4" t="s">
        <v>26</v>
      </c>
      <c r="M1316" s="11">
        <f>_xlfn.NUMBERVALUE(LEFT(Table613[[#This Row],[Fiscal Year]], 4))</f>
        <v>2018</v>
      </c>
      <c r="N1316" s="42">
        <f t="shared" si="28"/>
        <v>10456</v>
      </c>
      <c r="O1316" s="3">
        <v>1314</v>
      </c>
    </row>
    <row r="1317" spans="1:15" x14ac:dyDescent="0.25">
      <c r="A1317" s="3">
        <v>4</v>
      </c>
      <c r="B1317" s="3" t="s">
        <v>254</v>
      </c>
      <c r="C1317" s="1" t="s">
        <v>13</v>
      </c>
      <c r="D1317" s="1" t="s">
        <v>444</v>
      </c>
      <c r="E1317" s="11" t="s">
        <v>144</v>
      </c>
      <c r="F1317" s="3" t="s">
        <v>8</v>
      </c>
      <c r="G1317" s="66" t="s">
        <v>68</v>
      </c>
      <c r="H1317" s="6"/>
      <c r="I1317" s="8"/>
      <c r="J1317" s="6" t="s">
        <v>42</v>
      </c>
      <c r="K1317" s="38">
        <v>4000</v>
      </c>
      <c r="L1317" s="4" t="s">
        <v>26</v>
      </c>
      <c r="M1317" s="11">
        <f>_xlfn.NUMBERVALUE(LEFT(Table613[[#This Row],[Fiscal Year]], 4))</f>
        <v>2018</v>
      </c>
      <c r="N1317" s="42">
        <f t="shared" si="28"/>
        <v>4000</v>
      </c>
      <c r="O1317" s="3">
        <v>1315</v>
      </c>
    </row>
    <row r="1318" spans="1:15" x14ac:dyDescent="0.25">
      <c r="A1318" s="3">
        <v>4</v>
      </c>
      <c r="B1318" s="3" t="s">
        <v>254</v>
      </c>
      <c r="C1318" s="1" t="s">
        <v>13</v>
      </c>
      <c r="D1318" s="1" t="s">
        <v>444</v>
      </c>
      <c r="E1318" s="11" t="s">
        <v>144</v>
      </c>
      <c r="F1318" s="3" t="s">
        <v>8</v>
      </c>
      <c r="G1318" s="48" t="s">
        <v>69</v>
      </c>
      <c r="H1318" s="8"/>
      <c r="I1318" s="8"/>
      <c r="J1318" s="6" t="s">
        <v>109</v>
      </c>
      <c r="K1318" s="38">
        <v>6000</v>
      </c>
      <c r="L1318" s="4" t="s">
        <v>26</v>
      </c>
      <c r="M1318" s="11">
        <f>_xlfn.NUMBERVALUE(LEFT(Table613[[#This Row],[Fiscal Year]], 4))</f>
        <v>2018</v>
      </c>
      <c r="N1318" s="42">
        <f t="shared" si="28"/>
        <v>6000</v>
      </c>
      <c r="O1318" s="3">
        <v>1316</v>
      </c>
    </row>
    <row r="1319" spans="1:15" x14ac:dyDescent="0.25">
      <c r="A1319" s="3">
        <v>4</v>
      </c>
      <c r="B1319" s="3" t="s">
        <v>254</v>
      </c>
      <c r="C1319" s="1" t="s">
        <v>13</v>
      </c>
      <c r="D1319" s="1" t="s">
        <v>444</v>
      </c>
      <c r="E1319" s="11" t="s">
        <v>144</v>
      </c>
      <c r="F1319" s="3" t="s">
        <v>8</v>
      </c>
      <c r="G1319" s="48" t="s">
        <v>59</v>
      </c>
      <c r="H1319" s="8"/>
      <c r="I1319" s="8"/>
      <c r="J1319" s="6" t="s">
        <v>111</v>
      </c>
      <c r="K1319" s="38">
        <v>5000</v>
      </c>
      <c r="L1319" s="4" t="s">
        <v>26</v>
      </c>
      <c r="M1319" s="11">
        <f>_xlfn.NUMBERVALUE(LEFT(Table613[[#This Row],[Fiscal Year]], 4))</f>
        <v>2018</v>
      </c>
      <c r="N1319" s="42">
        <f t="shared" si="28"/>
        <v>5000</v>
      </c>
      <c r="O1319" s="3">
        <v>1317</v>
      </c>
    </row>
    <row r="1320" spans="1:15" x14ac:dyDescent="0.25">
      <c r="A1320" s="3">
        <v>4</v>
      </c>
      <c r="B1320" s="3" t="s">
        <v>254</v>
      </c>
      <c r="C1320" s="1" t="s">
        <v>13</v>
      </c>
      <c r="D1320" s="1" t="s">
        <v>444</v>
      </c>
      <c r="E1320" s="11" t="s">
        <v>144</v>
      </c>
      <c r="F1320" s="3" t="s">
        <v>8</v>
      </c>
      <c r="G1320" s="66" t="s">
        <v>70</v>
      </c>
      <c r="H1320" s="8"/>
      <c r="I1320" s="8"/>
      <c r="J1320" s="6" t="s">
        <v>107</v>
      </c>
      <c r="K1320" s="38">
        <v>4000</v>
      </c>
      <c r="L1320" s="4" t="s">
        <v>26</v>
      </c>
      <c r="M1320" s="11">
        <f>_xlfn.NUMBERVALUE(LEFT(Table613[[#This Row],[Fiscal Year]], 4))</f>
        <v>2018</v>
      </c>
      <c r="N1320" s="42">
        <f t="shared" si="28"/>
        <v>4000</v>
      </c>
      <c r="O1320" s="3">
        <v>1318</v>
      </c>
    </row>
    <row r="1321" spans="1:15" x14ac:dyDescent="0.25">
      <c r="A1321" s="3">
        <v>4</v>
      </c>
      <c r="B1321" s="3" t="s">
        <v>254</v>
      </c>
      <c r="C1321" s="1" t="s">
        <v>13</v>
      </c>
      <c r="D1321" s="1" t="s">
        <v>444</v>
      </c>
      <c r="E1321" s="11" t="s">
        <v>144</v>
      </c>
      <c r="F1321" s="3" t="s">
        <v>8</v>
      </c>
      <c r="G1321" s="48" t="s">
        <v>72</v>
      </c>
      <c r="H1321" s="8" t="s">
        <v>610</v>
      </c>
      <c r="I1321" s="8" t="s">
        <v>458</v>
      </c>
      <c r="J1321" s="6" t="s">
        <v>108</v>
      </c>
      <c r="K1321" s="38" t="s">
        <v>827</v>
      </c>
      <c r="L1321" s="4" t="s">
        <v>26</v>
      </c>
      <c r="M1321" s="11">
        <f>_xlfn.NUMBERVALUE(LEFT(Table613[[#This Row],[Fiscal Year]], 4))</f>
        <v>2018</v>
      </c>
      <c r="O1321" s="3">
        <v>1319</v>
      </c>
    </row>
    <row r="1322" spans="1:15" x14ac:dyDescent="0.25">
      <c r="A1322" s="3">
        <v>4</v>
      </c>
      <c r="B1322" s="3" t="s">
        <v>254</v>
      </c>
      <c r="C1322" s="1" t="s">
        <v>13</v>
      </c>
      <c r="D1322" s="1" t="s">
        <v>444</v>
      </c>
      <c r="E1322" s="11" t="s">
        <v>144</v>
      </c>
      <c r="F1322" s="3" t="s">
        <v>8</v>
      </c>
      <c r="G1322" s="66" t="s">
        <v>71</v>
      </c>
      <c r="H1322" s="8" t="s">
        <v>484</v>
      </c>
      <c r="I1322" s="8" t="s">
        <v>458</v>
      </c>
      <c r="J1322" s="6" t="s">
        <v>108</v>
      </c>
      <c r="K1322" s="38">
        <v>10000</v>
      </c>
      <c r="L1322" s="4" t="s">
        <v>26</v>
      </c>
      <c r="M1322" s="11">
        <f>_xlfn.NUMBERVALUE(LEFT(Table613[[#This Row],[Fiscal Year]], 4))</f>
        <v>2018</v>
      </c>
      <c r="N1322" s="42">
        <f t="shared" si="28"/>
        <v>10000</v>
      </c>
      <c r="O1322" s="3">
        <v>1320</v>
      </c>
    </row>
    <row r="1323" spans="1:15" x14ac:dyDescent="0.25">
      <c r="A1323" s="3">
        <v>4</v>
      </c>
      <c r="B1323" s="3" t="s">
        <v>254</v>
      </c>
      <c r="C1323" s="1" t="s">
        <v>13</v>
      </c>
      <c r="D1323" s="1" t="s">
        <v>444</v>
      </c>
      <c r="E1323" s="11" t="s">
        <v>144</v>
      </c>
      <c r="F1323" s="3" t="s">
        <v>8</v>
      </c>
      <c r="G1323" s="48" t="s">
        <v>73</v>
      </c>
      <c r="H1323" s="8"/>
      <c r="I1323" s="8"/>
      <c r="J1323" s="6" t="s">
        <v>108</v>
      </c>
      <c r="K1323" s="38" t="s">
        <v>827</v>
      </c>
      <c r="L1323" s="4" t="s">
        <v>26</v>
      </c>
      <c r="M1323" s="11">
        <f>_xlfn.NUMBERVALUE(LEFT(Table613[[#This Row],[Fiscal Year]], 4))</f>
        <v>2018</v>
      </c>
      <c r="O1323" s="3">
        <v>1321</v>
      </c>
    </row>
    <row r="1324" spans="1:15" x14ac:dyDescent="0.25">
      <c r="A1324" s="3">
        <v>4</v>
      </c>
      <c r="B1324" s="3" t="s">
        <v>254</v>
      </c>
      <c r="C1324" s="1" t="s">
        <v>13</v>
      </c>
      <c r="D1324" s="1" t="s">
        <v>444</v>
      </c>
      <c r="E1324" s="11" t="s">
        <v>144</v>
      </c>
      <c r="F1324" s="3" t="s">
        <v>8</v>
      </c>
      <c r="G1324" s="48" t="s">
        <v>74</v>
      </c>
      <c r="H1324" s="8" t="s">
        <v>611</v>
      </c>
      <c r="I1324" s="8" t="s">
        <v>458</v>
      </c>
      <c r="J1324" s="6" t="s">
        <v>108</v>
      </c>
      <c r="K1324" s="38">
        <v>7000</v>
      </c>
      <c r="L1324" s="4" t="s">
        <v>26</v>
      </c>
      <c r="M1324" s="11">
        <f>_xlfn.NUMBERVALUE(LEFT(Table613[[#This Row],[Fiscal Year]], 4))</f>
        <v>2018</v>
      </c>
      <c r="N1324" s="42">
        <f t="shared" si="28"/>
        <v>7000</v>
      </c>
      <c r="O1324" s="3">
        <v>1322</v>
      </c>
    </row>
    <row r="1325" spans="1:15" x14ac:dyDescent="0.25">
      <c r="A1325" s="3">
        <v>4</v>
      </c>
      <c r="B1325" s="3" t="s">
        <v>254</v>
      </c>
      <c r="C1325" s="1" t="s">
        <v>13</v>
      </c>
      <c r="D1325" s="1" t="s">
        <v>444</v>
      </c>
      <c r="E1325" s="11" t="s">
        <v>144</v>
      </c>
      <c r="F1325" s="3" t="s">
        <v>8</v>
      </c>
      <c r="G1325" s="66" t="s">
        <v>75</v>
      </c>
      <c r="H1325" s="8" t="s">
        <v>485</v>
      </c>
      <c r="I1325" s="8" t="s">
        <v>458</v>
      </c>
      <c r="J1325" s="6" t="s">
        <v>108</v>
      </c>
      <c r="K1325" s="38">
        <v>3000</v>
      </c>
      <c r="L1325" s="4" t="s">
        <v>26</v>
      </c>
      <c r="M1325" s="11">
        <f>_xlfn.NUMBERVALUE(LEFT(Table613[[#This Row],[Fiscal Year]], 4))</f>
        <v>2018</v>
      </c>
      <c r="N1325" s="42">
        <f t="shared" si="28"/>
        <v>3000</v>
      </c>
      <c r="O1325" s="3">
        <v>1323</v>
      </c>
    </row>
    <row r="1326" spans="1:15" x14ac:dyDescent="0.25">
      <c r="A1326" s="3">
        <v>4</v>
      </c>
      <c r="B1326" s="3" t="s">
        <v>254</v>
      </c>
      <c r="C1326" s="1" t="s">
        <v>13</v>
      </c>
      <c r="D1326" s="1" t="s">
        <v>444</v>
      </c>
      <c r="E1326" s="11" t="s">
        <v>144</v>
      </c>
      <c r="F1326" s="3" t="s">
        <v>8</v>
      </c>
      <c r="G1326" s="48" t="s">
        <v>76</v>
      </c>
      <c r="H1326" s="8"/>
      <c r="I1326" s="8"/>
      <c r="J1326" s="6" t="s">
        <v>76</v>
      </c>
      <c r="K1326" s="38" t="s">
        <v>827</v>
      </c>
      <c r="L1326" s="4" t="s">
        <v>26</v>
      </c>
      <c r="M1326" s="11">
        <f>_xlfn.NUMBERVALUE(LEFT(Table613[[#This Row],[Fiscal Year]], 4))</f>
        <v>2018</v>
      </c>
      <c r="O1326" s="3">
        <v>1324</v>
      </c>
    </row>
    <row r="1327" spans="1:15" x14ac:dyDescent="0.25">
      <c r="A1327" s="3">
        <v>4</v>
      </c>
      <c r="B1327" s="3" t="s">
        <v>254</v>
      </c>
      <c r="C1327" s="1" t="s">
        <v>13</v>
      </c>
      <c r="D1327" s="1" t="s">
        <v>444</v>
      </c>
      <c r="E1327" s="11" t="s">
        <v>144</v>
      </c>
      <c r="F1327" s="3" t="s">
        <v>8</v>
      </c>
      <c r="G1327" s="66" t="s">
        <v>77</v>
      </c>
      <c r="H1327" s="8"/>
      <c r="I1327" s="8"/>
      <c r="J1327" s="6" t="s">
        <v>106</v>
      </c>
      <c r="K1327" s="38">
        <v>3000</v>
      </c>
      <c r="L1327" s="4" t="s">
        <v>26</v>
      </c>
      <c r="M1327" s="11">
        <f>_xlfn.NUMBERVALUE(LEFT(Table613[[#This Row],[Fiscal Year]], 4))</f>
        <v>2018</v>
      </c>
      <c r="N1327" s="42">
        <f t="shared" si="28"/>
        <v>3000</v>
      </c>
      <c r="O1327" s="3">
        <v>1325</v>
      </c>
    </row>
    <row r="1328" spans="1:15" x14ac:dyDescent="0.25">
      <c r="A1328" s="3">
        <v>4</v>
      </c>
      <c r="B1328" s="3" t="s">
        <v>254</v>
      </c>
      <c r="C1328" s="1" t="s">
        <v>13</v>
      </c>
      <c r="D1328" s="1" t="s">
        <v>444</v>
      </c>
      <c r="E1328" s="11" t="s">
        <v>144</v>
      </c>
      <c r="F1328" s="3" t="s">
        <v>8</v>
      </c>
      <c r="G1328" s="66" t="s">
        <v>78</v>
      </c>
      <c r="H1328" s="8"/>
      <c r="I1328" s="8"/>
      <c r="J1328" s="6" t="s">
        <v>47</v>
      </c>
      <c r="K1328" s="38" t="s">
        <v>827</v>
      </c>
      <c r="L1328" s="4" t="s">
        <v>26</v>
      </c>
      <c r="M1328" s="11">
        <f>_xlfn.NUMBERVALUE(LEFT(Table613[[#This Row],[Fiscal Year]], 4))</f>
        <v>2018</v>
      </c>
      <c r="O1328" s="3">
        <v>1326</v>
      </c>
    </row>
    <row r="1329" spans="1:15" x14ac:dyDescent="0.25">
      <c r="A1329" s="3">
        <v>4</v>
      </c>
      <c r="B1329" s="3" t="s">
        <v>254</v>
      </c>
      <c r="C1329" s="1" t="s">
        <v>13</v>
      </c>
      <c r="D1329" s="1" t="s">
        <v>444</v>
      </c>
      <c r="E1329" s="11" t="s">
        <v>144</v>
      </c>
      <c r="F1329" s="3" t="s">
        <v>8</v>
      </c>
      <c r="G1329" s="48" t="s">
        <v>79</v>
      </c>
      <c r="H1329" s="8" t="s">
        <v>483</v>
      </c>
      <c r="I1329" s="8" t="s">
        <v>458</v>
      </c>
      <c r="J1329" s="6" t="s">
        <v>455</v>
      </c>
      <c r="K1329" s="38">
        <v>14600</v>
      </c>
      <c r="L1329" s="4" t="s">
        <v>26</v>
      </c>
      <c r="M1329" s="11">
        <f>_xlfn.NUMBERVALUE(LEFT(Table613[[#This Row],[Fiscal Year]], 4))</f>
        <v>2018</v>
      </c>
      <c r="N1329" s="42">
        <f t="shared" si="28"/>
        <v>14600</v>
      </c>
      <c r="O1329" s="3">
        <v>1327</v>
      </c>
    </row>
    <row r="1330" spans="1:15" x14ac:dyDescent="0.25">
      <c r="A1330" s="3">
        <v>4</v>
      </c>
      <c r="B1330" s="3" t="s">
        <v>254</v>
      </c>
      <c r="C1330" s="1" t="s">
        <v>13</v>
      </c>
      <c r="D1330" s="1" t="s">
        <v>444</v>
      </c>
      <c r="E1330" s="11" t="s">
        <v>144</v>
      </c>
      <c r="F1330" s="3" t="s">
        <v>8</v>
      </c>
      <c r="G1330" s="66" t="s">
        <v>80</v>
      </c>
      <c r="H1330" s="8"/>
      <c r="I1330" s="8"/>
      <c r="J1330" s="6" t="s">
        <v>605</v>
      </c>
      <c r="K1330" s="38">
        <v>23418</v>
      </c>
      <c r="L1330" s="4" t="s">
        <v>26</v>
      </c>
      <c r="M1330" s="11">
        <f>_xlfn.NUMBERVALUE(LEFT(Table613[[#This Row],[Fiscal Year]], 4))</f>
        <v>2018</v>
      </c>
      <c r="N1330" s="42">
        <f t="shared" si="28"/>
        <v>23418</v>
      </c>
      <c r="O1330" s="3">
        <v>1328</v>
      </c>
    </row>
    <row r="1331" spans="1:15" x14ac:dyDescent="0.25">
      <c r="A1331" s="3">
        <v>4</v>
      </c>
      <c r="B1331" s="3" t="s">
        <v>254</v>
      </c>
      <c r="C1331" s="1" t="s">
        <v>13</v>
      </c>
      <c r="D1331" s="1" t="s">
        <v>444</v>
      </c>
      <c r="E1331" s="11" t="s">
        <v>144</v>
      </c>
      <c r="F1331" s="3" t="s">
        <v>8</v>
      </c>
      <c r="G1331" s="66" t="s">
        <v>67</v>
      </c>
      <c r="H1331" s="8"/>
      <c r="I1331" s="8"/>
      <c r="J1331" s="6" t="s">
        <v>455</v>
      </c>
      <c r="K1331" s="38">
        <v>15600</v>
      </c>
      <c r="L1331" s="4" t="s">
        <v>26</v>
      </c>
      <c r="M1331" s="11">
        <f>_xlfn.NUMBERVALUE(LEFT(Table613[[#This Row],[Fiscal Year]], 4))</f>
        <v>2018</v>
      </c>
      <c r="N1331" s="42">
        <f t="shared" si="28"/>
        <v>15600</v>
      </c>
      <c r="O1331" s="3">
        <v>1329</v>
      </c>
    </row>
    <row r="1332" spans="1:15" x14ac:dyDescent="0.25">
      <c r="C1332" s="1"/>
      <c r="D1332" s="1"/>
      <c r="E1332" s="11"/>
      <c r="G1332" s="66"/>
      <c r="H1332" s="8"/>
      <c r="I1332" s="8"/>
      <c r="J1332" s="6"/>
      <c r="L1332" s="4"/>
      <c r="O1332" s="3">
        <v>1330</v>
      </c>
    </row>
    <row r="1333" spans="1:15" x14ac:dyDescent="0.25">
      <c r="A1333" s="3">
        <v>4</v>
      </c>
      <c r="B1333" s="3" t="s">
        <v>255</v>
      </c>
      <c r="C1333" s="1" t="s">
        <v>13</v>
      </c>
      <c r="D1333" s="1" t="s">
        <v>444</v>
      </c>
      <c r="E1333" s="11" t="s">
        <v>144</v>
      </c>
      <c r="F1333" s="3" t="s">
        <v>8</v>
      </c>
      <c r="G1333" s="48" t="s">
        <v>32</v>
      </c>
      <c r="H1333" s="8" t="s">
        <v>608</v>
      </c>
      <c r="I1333" s="70" t="s">
        <v>609</v>
      </c>
      <c r="J1333" s="6" t="s">
        <v>110</v>
      </c>
      <c r="K1333" s="38">
        <v>63799</v>
      </c>
      <c r="L1333" s="4" t="s">
        <v>26</v>
      </c>
      <c r="M1333" s="11">
        <f>_xlfn.NUMBERVALUE(LEFT(Table613[[#This Row],[Fiscal Year]], 4))</f>
        <v>2018</v>
      </c>
      <c r="N1333" s="42">
        <f t="shared" si="28"/>
        <v>63799</v>
      </c>
      <c r="O1333" s="3">
        <v>1331</v>
      </c>
    </row>
    <row r="1334" spans="1:15" x14ac:dyDescent="0.25">
      <c r="A1334" s="3">
        <v>4</v>
      </c>
      <c r="B1334" s="3" t="s">
        <v>255</v>
      </c>
      <c r="C1334" s="1" t="s">
        <v>13</v>
      </c>
      <c r="D1334" s="1" t="s">
        <v>444</v>
      </c>
      <c r="E1334" s="11" t="s">
        <v>144</v>
      </c>
      <c r="F1334" s="3" t="s">
        <v>8</v>
      </c>
      <c r="G1334" s="66" t="s">
        <v>68</v>
      </c>
      <c r="H1334" s="6"/>
      <c r="I1334" s="8"/>
      <c r="J1334" s="6" t="s">
        <v>42</v>
      </c>
      <c r="K1334" s="38">
        <v>2000</v>
      </c>
      <c r="L1334" s="4" t="s">
        <v>26</v>
      </c>
      <c r="M1334" s="11">
        <f>_xlfn.NUMBERVALUE(LEFT(Table613[[#This Row],[Fiscal Year]], 4))</f>
        <v>2018</v>
      </c>
      <c r="N1334" s="42">
        <f t="shared" si="28"/>
        <v>2000</v>
      </c>
      <c r="O1334" s="3">
        <v>1332</v>
      </c>
    </row>
    <row r="1335" spans="1:15" x14ac:dyDescent="0.25">
      <c r="A1335" s="3">
        <v>4</v>
      </c>
      <c r="B1335" s="3" t="s">
        <v>255</v>
      </c>
      <c r="C1335" s="1" t="s">
        <v>13</v>
      </c>
      <c r="D1335" s="1" t="s">
        <v>444</v>
      </c>
      <c r="E1335" s="11" t="s">
        <v>144</v>
      </c>
      <c r="F1335" s="3" t="s">
        <v>8</v>
      </c>
      <c r="G1335" s="48" t="s">
        <v>69</v>
      </c>
      <c r="H1335" s="8"/>
      <c r="I1335" s="8"/>
      <c r="J1335" s="6" t="s">
        <v>109</v>
      </c>
      <c r="K1335" s="38">
        <v>22000</v>
      </c>
      <c r="L1335" s="4" t="s">
        <v>26</v>
      </c>
      <c r="M1335" s="11">
        <f>_xlfn.NUMBERVALUE(LEFT(Table613[[#This Row],[Fiscal Year]], 4))</f>
        <v>2018</v>
      </c>
      <c r="N1335" s="42">
        <f t="shared" si="28"/>
        <v>22000</v>
      </c>
      <c r="O1335" s="3">
        <v>1333</v>
      </c>
    </row>
    <row r="1336" spans="1:15" x14ac:dyDescent="0.25">
      <c r="A1336" s="3">
        <v>4</v>
      </c>
      <c r="B1336" s="3" t="s">
        <v>255</v>
      </c>
      <c r="C1336" s="1" t="s">
        <v>13</v>
      </c>
      <c r="D1336" s="1" t="s">
        <v>444</v>
      </c>
      <c r="E1336" s="11" t="s">
        <v>144</v>
      </c>
      <c r="F1336" s="3" t="s">
        <v>8</v>
      </c>
      <c r="G1336" s="48" t="s">
        <v>59</v>
      </c>
      <c r="H1336" s="8"/>
      <c r="I1336" s="8"/>
      <c r="J1336" s="6" t="s">
        <v>111</v>
      </c>
      <c r="K1336" s="38">
        <v>85000</v>
      </c>
      <c r="L1336" s="4" t="s">
        <v>26</v>
      </c>
      <c r="M1336" s="11">
        <f>_xlfn.NUMBERVALUE(LEFT(Table613[[#This Row],[Fiscal Year]], 4))</f>
        <v>2018</v>
      </c>
      <c r="N1336" s="42">
        <f t="shared" si="28"/>
        <v>85000</v>
      </c>
      <c r="O1336" s="3">
        <v>1334</v>
      </c>
    </row>
    <row r="1337" spans="1:15" x14ac:dyDescent="0.25">
      <c r="A1337" s="3">
        <v>4</v>
      </c>
      <c r="B1337" s="3" t="s">
        <v>255</v>
      </c>
      <c r="C1337" s="1" t="s">
        <v>13</v>
      </c>
      <c r="D1337" s="1" t="s">
        <v>444</v>
      </c>
      <c r="E1337" s="11" t="s">
        <v>144</v>
      </c>
      <c r="F1337" s="3" t="s">
        <v>8</v>
      </c>
      <c r="G1337" s="66" t="s">
        <v>70</v>
      </c>
      <c r="H1337" s="8"/>
      <c r="I1337" s="8"/>
      <c r="J1337" s="6" t="s">
        <v>107</v>
      </c>
      <c r="K1337" s="38">
        <v>75000</v>
      </c>
      <c r="L1337" s="4" t="s">
        <v>26</v>
      </c>
      <c r="M1337" s="11">
        <f>_xlfn.NUMBERVALUE(LEFT(Table613[[#This Row],[Fiscal Year]], 4))</f>
        <v>2018</v>
      </c>
      <c r="N1337" s="42">
        <f t="shared" si="28"/>
        <v>75000</v>
      </c>
      <c r="O1337" s="3">
        <v>1335</v>
      </c>
    </row>
    <row r="1338" spans="1:15" x14ac:dyDescent="0.25">
      <c r="A1338" s="3">
        <v>4</v>
      </c>
      <c r="B1338" s="3" t="s">
        <v>255</v>
      </c>
      <c r="C1338" s="1" t="s">
        <v>13</v>
      </c>
      <c r="D1338" s="1" t="s">
        <v>444</v>
      </c>
      <c r="E1338" s="11" t="s">
        <v>144</v>
      </c>
      <c r="F1338" s="3" t="s">
        <v>8</v>
      </c>
      <c r="G1338" s="48" t="s">
        <v>72</v>
      </c>
      <c r="H1338" s="8" t="s">
        <v>610</v>
      </c>
      <c r="I1338" s="8" t="s">
        <v>458</v>
      </c>
      <c r="J1338" s="6" t="s">
        <v>108</v>
      </c>
      <c r="K1338" s="38" t="s">
        <v>827</v>
      </c>
      <c r="L1338" s="4" t="s">
        <v>26</v>
      </c>
      <c r="M1338" s="11">
        <f>_xlfn.NUMBERVALUE(LEFT(Table613[[#This Row],[Fiscal Year]], 4))</f>
        <v>2018</v>
      </c>
      <c r="O1338" s="3">
        <v>1336</v>
      </c>
    </row>
    <row r="1339" spans="1:15" x14ac:dyDescent="0.25">
      <c r="A1339" s="3">
        <v>4</v>
      </c>
      <c r="B1339" s="3" t="s">
        <v>255</v>
      </c>
      <c r="C1339" s="1" t="s">
        <v>13</v>
      </c>
      <c r="D1339" s="1" t="s">
        <v>444</v>
      </c>
      <c r="E1339" s="11" t="s">
        <v>144</v>
      </c>
      <c r="F1339" s="3" t="s">
        <v>8</v>
      </c>
      <c r="G1339" s="66" t="s">
        <v>71</v>
      </c>
      <c r="H1339" s="8" t="s">
        <v>484</v>
      </c>
      <c r="I1339" s="8" t="s">
        <v>458</v>
      </c>
      <c r="J1339" s="6" t="s">
        <v>108</v>
      </c>
      <c r="K1339" s="38">
        <v>15750</v>
      </c>
      <c r="L1339" s="4" t="s">
        <v>26</v>
      </c>
      <c r="M1339" s="11">
        <f>_xlfn.NUMBERVALUE(LEFT(Table613[[#This Row],[Fiscal Year]], 4))</f>
        <v>2018</v>
      </c>
      <c r="N1339" s="42">
        <f t="shared" si="28"/>
        <v>15750</v>
      </c>
      <c r="O1339" s="3">
        <v>1337</v>
      </c>
    </row>
    <row r="1340" spans="1:15" x14ac:dyDescent="0.25">
      <c r="A1340" s="3">
        <v>4</v>
      </c>
      <c r="B1340" s="3" t="s">
        <v>255</v>
      </c>
      <c r="C1340" s="1" t="s">
        <v>13</v>
      </c>
      <c r="D1340" s="1" t="s">
        <v>444</v>
      </c>
      <c r="E1340" s="11" t="s">
        <v>144</v>
      </c>
      <c r="F1340" s="3" t="s">
        <v>8</v>
      </c>
      <c r="G1340" s="48" t="s">
        <v>73</v>
      </c>
      <c r="H1340" s="8"/>
      <c r="I1340" s="8"/>
      <c r="J1340" s="6" t="s">
        <v>108</v>
      </c>
      <c r="K1340" s="38">
        <v>44700</v>
      </c>
      <c r="L1340" s="4" t="s">
        <v>26</v>
      </c>
      <c r="M1340" s="11">
        <f>_xlfn.NUMBERVALUE(LEFT(Table613[[#This Row],[Fiscal Year]], 4))</f>
        <v>2018</v>
      </c>
      <c r="N1340" s="42">
        <f t="shared" si="28"/>
        <v>44700</v>
      </c>
      <c r="O1340" s="3">
        <v>1338</v>
      </c>
    </row>
    <row r="1341" spans="1:15" x14ac:dyDescent="0.25">
      <c r="A1341" s="3">
        <v>4</v>
      </c>
      <c r="B1341" s="3" t="s">
        <v>255</v>
      </c>
      <c r="C1341" s="1" t="s">
        <v>13</v>
      </c>
      <c r="D1341" s="1" t="s">
        <v>444</v>
      </c>
      <c r="E1341" s="11" t="s">
        <v>144</v>
      </c>
      <c r="F1341" s="3" t="s">
        <v>8</v>
      </c>
      <c r="G1341" s="48" t="s">
        <v>74</v>
      </c>
      <c r="H1341" s="8" t="s">
        <v>611</v>
      </c>
      <c r="I1341" s="8" t="s">
        <v>458</v>
      </c>
      <c r="J1341" s="6" t="s">
        <v>108</v>
      </c>
      <c r="K1341" s="38">
        <v>7920</v>
      </c>
      <c r="L1341" s="4" t="s">
        <v>26</v>
      </c>
      <c r="M1341" s="11">
        <f>_xlfn.NUMBERVALUE(LEFT(Table613[[#This Row],[Fiscal Year]], 4))</f>
        <v>2018</v>
      </c>
      <c r="N1341" s="42">
        <f t="shared" si="28"/>
        <v>7920</v>
      </c>
      <c r="O1341" s="3">
        <v>1339</v>
      </c>
    </row>
    <row r="1342" spans="1:15" x14ac:dyDescent="0.25">
      <c r="A1342" s="3">
        <v>4</v>
      </c>
      <c r="B1342" s="3" t="s">
        <v>255</v>
      </c>
      <c r="C1342" s="1" t="s">
        <v>13</v>
      </c>
      <c r="D1342" s="1" t="s">
        <v>444</v>
      </c>
      <c r="E1342" s="11" t="s">
        <v>144</v>
      </c>
      <c r="F1342" s="3" t="s">
        <v>8</v>
      </c>
      <c r="G1342" s="66" t="s">
        <v>75</v>
      </c>
      <c r="H1342" s="8" t="s">
        <v>485</v>
      </c>
      <c r="I1342" s="8" t="s">
        <v>458</v>
      </c>
      <c r="J1342" s="6" t="s">
        <v>108</v>
      </c>
      <c r="K1342" s="38">
        <v>13000</v>
      </c>
      <c r="L1342" s="4" t="s">
        <v>26</v>
      </c>
      <c r="M1342" s="11">
        <f>_xlfn.NUMBERVALUE(LEFT(Table613[[#This Row],[Fiscal Year]], 4))</f>
        <v>2018</v>
      </c>
      <c r="N1342" s="42">
        <f t="shared" si="28"/>
        <v>13000</v>
      </c>
      <c r="O1342" s="3">
        <v>1340</v>
      </c>
    </row>
    <row r="1343" spans="1:15" x14ac:dyDescent="0.25">
      <c r="A1343" s="3">
        <v>4</v>
      </c>
      <c r="B1343" s="3" t="s">
        <v>255</v>
      </c>
      <c r="C1343" s="1" t="s">
        <v>13</v>
      </c>
      <c r="D1343" s="1" t="s">
        <v>444</v>
      </c>
      <c r="E1343" s="11" t="s">
        <v>144</v>
      </c>
      <c r="F1343" s="3" t="s">
        <v>8</v>
      </c>
      <c r="G1343" s="48" t="s">
        <v>76</v>
      </c>
      <c r="H1343" s="8"/>
      <c r="I1343" s="8"/>
      <c r="J1343" s="6" t="s">
        <v>76</v>
      </c>
      <c r="K1343" s="38">
        <v>128700</v>
      </c>
      <c r="L1343" s="4" t="s">
        <v>26</v>
      </c>
      <c r="M1343" s="11">
        <f>_xlfn.NUMBERVALUE(LEFT(Table613[[#This Row],[Fiscal Year]], 4))</f>
        <v>2018</v>
      </c>
      <c r="N1343" s="42">
        <f t="shared" si="28"/>
        <v>128700</v>
      </c>
      <c r="O1343" s="3">
        <v>1341</v>
      </c>
    </row>
    <row r="1344" spans="1:15" x14ac:dyDescent="0.25">
      <c r="A1344" s="3">
        <v>4</v>
      </c>
      <c r="B1344" s="3" t="s">
        <v>255</v>
      </c>
      <c r="C1344" s="1" t="s">
        <v>13</v>
      </c>
      <c r="D1344" s="1" t="s">
        <v>444</v>
      </c>
      <c r="E1344" s="11" t="s">
        <v>144</v>
      </c>
      <c r="F1344" s="3" t="s">
        <v>8</v>
      </c>
      <c r="G1344" s="66" t="s">
        <v>77</v>
      </c>
      <c r="H1344" s="8"/>
      <c r="I1344" s="8"/>
      <c r="J1344" s="6" t="s">
        <v>106</v>
      </c>
      <c r="K1344" s="38">
        <v>2000</v>
      </c>
      <c r="L1344" s="4" t="s">
        <v>26</v>
      </c>
      <c r="M1344" s="11">
        <f>_xlfn.NUMBERVALUE(LEFT(Table613[[#This Row],[Fiscal Year]], 4))</f>
        <v>2018</v>
      </c>
      <c r="N1344" s="42">
        <f t="shared" si="28"/>
        <v>2000</v>
      </c>
      <c r="O1344" s="3">
        <v>1342</v>
      </c>
    </row>
    <row r="1345" spans="1:15" x14ac:dyDescent="0.25">
      <c r="A1345" s="3">
        <v>4</v>
      </c>
      <c r="B1345" s="3" t="s">
        <v>255</v>
      </c>
      <c r="C1345" s="1" t="s">
        <v>13</v>
      </c>
      <c r="D1345" s="1" t="s">
        <v>444</v>
      </c>
      <c r="E1345" s="11" t="s">
        <v>144</v>
      </c>
      <c r="F1345" s="3" t="s">
        <v>8</v>
      </c>
      <c r="G1345" s="66" t="s">
        <v>78</v>
      </c>
      <c r="H1345" s="8"/>
      <c r="I1345" s="8"/>
      <c r="J1345" s="6" t="s">
        <v>47</v>
      </c>
      <c r="K1345" s="38">
        <v>0</v>
      </c>
      <c r="L1345" s="4" t="s">
        <v>26</v>
      </c>
      <c r="M1345" s="11">
        <f>_xlfn.NUMBERVALUE(LEFT(Table613[[#This Row],[Fiscal Year]], 4))</f>
        <v>2018</v>
      </c>
      <c r="N1345" s="43">
        <f t="shared" si="28"/>
        <v>0</v>
      </c>
      <c r="O1345" s="3">
        <v>1343</v>
      </c>
    </row>
    <row r="1346" spans="1:15" x14ac:dyDescent="0.25">
      <c r="A1346" s="3">
        <v>4</v>
      </c>
      <c r="B1346" s="3" t="s">
        <v>255</v>
      </c>
      <c r="C1346" s="1" t="s">
        <v>13</v>
      </c>
      <c r="D1346" s="1" t="s">
        <v>444</v>
      </c>
      <c r="E1346" s="11" t="s">
        <v>144</v>
      </c>
      <c r="F1346" s="3" t="s">
        <v>8</v>
      </c>
      <c r="G1346" s="48" t="s">
        <v>79</v>
      </c>
      <c r="H1346" s="8" t="s">
        <v>483</v>
      </c>
      <c r="I1346" s="8" t="s">
        <v>458</v>
      </c>
      <c r="J1346" s="6" t="s">
        <v>455</v>
      </c>
      <c r="K1346" s="38">
        <v>40000</v>
      </c>
      <c r="L1346" s="4" t="s">
        <v>26</v>
      </c>
      <c r="M1346" s="11">
        <f>_xlfn.NUMBERVALUE(LEFT(Table613[[#This Row],[Fiscal Year]], 4))</f>
        <v>2018</v>
      </c>
      <c r="N1346" s="42">
        <f t="shared" si="28"/>
        <v>40000</v>
      </c>
      <c r="O1346" s="3">
        <v>1344</v>
      </c>
    </row>
    <row r="1347" spans="1:15" x14ac:dyDescent="0.25">
      <c r="A1347" s="3">
        <v>4</v>
      </c>
      <c r="B1347" s="3" t="s">
        <v>255</v>
      </c>
      <c r="C1347" s="1" t="s">
        <v>13</v>
      </c>
      <c r="D1347" s="1" t="s">
        <v>444</v>
      </c>
      <c r="E1347" s="11" t="s">
        <v>144</v>
      </c>
      <c r="F1347" s="3" t="s">
        <v>8</v>
      </c>
      <c r="G1347" s="66" t="s">
        <v>80</v>
      </c>
      <c r="H1347" s="8"/>
      <c r="I1347" s="8"/>
      <c r="J1347" s="6" t="s">
        <v>605</v>
      </c>
      <c r="K1347" s="38">
        <v>36000</v>
      </c>
      <c r="L1347" s="4" t="s">
        <v>26</v>
      </c>
      <c r="M1347" s="11">
        <f>_xlfn.NUMBERVALUE(LEFT(Table613[[#This Row],[Fiscal Year]], 4))</f>
        <v>2018</v>
      </c>
      <c r="N1347" s="42">
        <f t="shared" si="28"/>
        <v>36000</v>
      </c>
      <c r="O1347" s="3">
        <v>1345</v>
      </c>
    </row>
    <row r="1348" spans="1:15" x14ac:dyDescent="0.25">
      <c r="A1348" s="3">
        <v>4</v>
      </c>
      <c r="B1348" s="3" t="s">
        <v>255</v>
      </c>
      <c r="C1348" s="1" t="s">
        <v>13</v>
      </c>
      <c r="D1348" s="1" t="s">
        <v>444</v>
      </c>
      <c r="E1348" s="11" t="s">
        <v>144</v>
      </c>
      <c r="F1348" s="3" t="s">
        <v>8</v>
      </c>
      <c r="G1348" s="66" t="s">
        <v>67</v>
      </c>
      <c r="H1348" s="8"/>
      <c r="I1348" s="8"/>
      <c r="J1348" s="6" t="s">
        <v>455</v>
      </c>
      <c r="K1348" s="38">
        <v>17000</v>
      </c>
      <c r="L1348" s="4" t="s">
        <v>26</v>
      </c>
      <c r="M1348" s="11">
        <f>_xlfn.NUMBERVALUE(LEFT(Table613[[#This Row],[Fiscal Year]], 4))</f>
        <v>2018</v>
      </c>
      <c r="N1348" s="42">
        <f t="shared" si="28"/>
        <v>17000</v>
      </c>
      <c r="O1348" s="3">
        <v>1346</v>
      </c>
    </row>
    <row r="1349" spans="1:15" x14ac:dyDescent="0.25">
      <c r="C1349" s="1"/>
      <c r="D1349" s="1"/>
      <c r="E1349" s="11"/>
      <c r="G1349" s="66"/>
      <c r="H1349" s="8"/>
      <c r="I1349" s="8"/>
      <c r="J1349" s="6"/>
      <c r="L1349" s="4"/>
      <c r="O1349" s="3">
        <v>1347</v>
      </c>
    </row>
    <row r="1350" spans="1:15" x14ac:dyDescent="0.25">
      <c r="A1350" s="3">
        <v>4</v>
      </c>
      <c r="B1350" s="3" t="s">
        <v>256</v>
      </c>
      <c r="C1350" s="1" t="s">
        <v>13</v>
      </c>
      <c r="D1350" s="1" t="s">
        <v>444</v>
      </c>
      <c r="E1350" s="11" t="s">
        <v>144</v>
      </c>
      <c r="F1350" s="3" t="s">
        <v>8</v>
      </c>
      <c r="G1350" s="48" t="s">
        <v>32</v>
      </c>
      <c r="H1350" s="8" t="s">
        <v>608</v>
      </c>
      <c r="I1350" s="70" t="s">
        <v>609</v>
      </c>
      <c r="J1350" s="6" t="s">
        <v>110</v>
      </c>
      <c r="K1350" s="38">
        <v>12000</v>
      </c>
      <c r="L1350" s="4" t="s">
        <v>26</v>
      </c>
      <c r="M1350" s="11">
        <f>_xlfn.NUMBERVALUE(LEFT(Table613[[#This Row],[Fiscal Year]], 4))</f>
        <v>2018</v>
      </c>
      <c r="N1350" s="42">
        <f t="shared" si="28"/>
        <v>12000</v>
      </c>
      <c r="O1350" s="3">
        <v>1348</v>
      </c>
    </row>
    <row r="1351" spans="1:15" x14ac:dyDescent="0.25">
      <c r="A1351" s="3">
        <v>4</v>
      </c>
      <c r="B1351" s="3" t="s">
        <v>256</v>
      </c>
      <c r="C1351" s="1" t="s">
        <v>13</v>
      </c>
      <c r="D1351" s="1" t="s">
        <v>444</v>
      </c>
      <c r="E1351" s="11" t="s">
        <v>144</v>
      </c>
      <c r="F1351" s="3" t="s">
        <v>8</v>
      </c>
      <c r="G1351" s="66" t="s">
        <v>68</v>
      </c>
      <c r="H1351" s="6"/>
      <c r="I1351" s="8"/>
      <c r="J1351" s="6" t="s">
        <v>42</v>
      </c>
      <c r="K1351" s="38">
        <v>1000</v>
      </c>
      <c r="L1351" s="4" t="s">
        <v>26</v>
      </c>
      <c r="M1351" s="11">
        <f>_xlfn.NUMBERVALUE(LEFT(Table613[[#This Row],[Fiscal Year]], 4))</f>
        <v>2018</v>
      </c>
      <c r="N1351" s="42">
        <f t="shared" si="28"/>
        <v>1000</v>
      </c>
      <c r="O1351" s="3">
        <v>1349</v>
      </c>
    </row>
    <row r="1352" spans="1:15" x14ac:dyDescent="0.25">
      <c r="A1352" s="3">
        <v>4</v>
      </c>
      <c r="B1352" s="3" t="s">
        <v>256</v>
      </c>
      <c r="C1352" s="1" t="s">
        <v>13</v>
      </c>
      <c r="D1352" s="1" t="s">
        <v>444</v>
      </c>
      <c r="E1352" s="11" t="s">
        <v>144</v>
      </c>
      <c r="F1352" s="3" t="s">
        <v>8</v>
      </c>
      <c r="G1352" s="48" t="s">
        <v>69</v>
      </c>
      <c r="H1352" s="8"/>
      <c r="I1352" s="8"/>
      <c r="J1352" s="6" t="s">
        <v>109</v>
      </c>
      <c r="K1352" s="38">
        <v>5000</v>
      </c>
      <c r="L1352" s="4" t="s">
        <v>26</v>
      </c>
      <c r="M1352" s="11">
        <f>_xlfn.NUMBERVALUE(LEFT(Table613[[#This Row],[Fiscal Year]], 4))</f>
        <v>2018</v>
      </c>
      <c r="N1352" s="42">
        <f t="shared" si="28"/>
        <v>5000</v>
      </c>
      <c r="O1352" s="3">
        <v>1350</v>
      </c>
    </row>
    <row r="1353" spans="1:15" x14ac:dyDescent="0.25">
      <c r="A1353" s="3">
        <v>4</v>
      </c>
      <c r="B1353" s="3" t="s">
        <v>256</v>
      </c>
      <c r="C1353" s="1" t="s">
        <v>13</v>
      </c>
      <c r="D1353" s="1" t="s">
        <v>444</v>
      </c>
      <c r="E1353" s="11" t="s">
        <v>144</v>
      </c>
      <c r="F1353" s="3" t="s">
        <v>8</v>
      </c>
      <c r="G1353" s="48" t="s">
        <v>59</v>
      </c>
      <c r="H1353" s="8"/>
      <c r="I1353" s="8"/>
      <c r="J1353" s="6" t="s">
        <v>111</v>
      </c>
      <c r="K1353" s="38">
        <v>5000</v>
      </c>
      <c r="L1353" s="4" t="s">
        <v>26</v>
      </c>
      <c r="M1353" s="11">
        <f>_xlfn.NUMBERVALUE(LEFT(Table613[[#This Row],[Fiscal Year]], 4))</f>
        <v>2018</v>
      </c>
      <c r="N1353" s="42">
        <f t="shared" si="28"/>
        <v>5000</v>
      </c>
      <c r="O1353" s="3">
        <v>1351</v>
      </c>
    </row>
    <row r="1354" spans="1:15" x14ac:dyDescent="0.25">
      <c r="A1354" s="3">
        <v>4</v>
      </c>
      <c r="B1354" s="3" t="s">
        <v>256</v>
      </c>
      <c r="C1354" s="1" t="s">
        <v>13</v>
      </c>
      <c r="D1354" s="1" t="s">
        <v>444</v>
      </c>
      <c r="E1354" s="11" t="s">
        <v>144</v>
      </c>
      <c r="F1354" s="3" t="s">
        <v>8</v>
      </c>
      <c r="G1354" s="66" t="s">
        <v>70</v>
      </c>
      <c r="H1354" s="8"/>
      <c r="I1354" s="8"/>
      <c r="J1354" s="6" t="s">
        <v>107</v>
      </c>
      <c r="K1354" s="38">
        <v>3500</v>
      </c>
      <c r="L1354" s="4" t="s">
        <v>26</v>
      </c>
      <c r="M1354" s="11">
        <f>_xlfn.NUMBERVALUE(LEFT(Table613[[#This Row],[Fiscal Year]], 4))</f>
        <v>2018</v>
      </c>
      <c r="N1354" s="42">
        <f t="shared" si="28"/>
        <v>3500</v>
      </c>
      <c r="O1354" s="3">
        <v>1352</v>
      </c>
    </row>
    <row r="1355" spans="1:15" x14ac:dyDescent="0.25">
      <c r="A1355" s="3">
        <v>4</v>
      </c>
      <c r="B1355" s="3" t="s">
        <v>256</v>
      </c>
      <c r="C1355" s="1" t="s">
        <v>13</v>
      </c>
      <c r="D1355" s="1" t="s">
        <v>444</v>
      </c>
      <c r="E1355" s="11" t="s">
        <v>144</v>
      </c>
      <c r="F1355" s="3" t="s">
        <v>8</v>
      </c>
      <c r="G1355" s="48" t="s">
        <v>72</v>
      </c>
      <c r="H1355" s="8" t="s">
        <v>610</v>
      </c>
      <c r="I1355" s="8" t="s">
        <v>458</v>
      </c>
      <c r="J1355" s="6" t="s">
        <v>108</v>
      </c>
      <c r="K1355" s="38" t="s">
        <v>827</v>
      </c>
      <c r="L1355" s="4" t="s">
        <v>26</v>
      </c>
      <c r="M1355" s="11">
        <f>_xlfn.NUMBERVALUE(LEFT(Table613[[#This Row],[Fiscal Year]], 4))</f>
        <v>2018</v>
      </c>
      <c r="O1355" s="3">
        <v>1353</v>
      </c>
    </row>
    <row r="1356" spans="1:15" x14ac:dyDescent="0.25">
      <c r="A1356" s="3">
        <v>4</v>
      </c>
      <c r="B1356" s="3" t="s">
        <v>256</v>
      </c>
      <c r="C1356" s="1" t="s">
        <v>13</v>
      </c>
      <c r="D1356" s="1" t="s">
        <v>444</v>
      </c>
      <c r="E1356" s="11" t="s">
        <v>144</v>
      </c>
      <c r="F1356" s="3" t="s">
        <v>8</v>
      </c>
      <c r="G1356" s="66" t="s">
        <v>71</v>
      </c>
      <c r="H1356" s="8" t="s">
        <v>484</v>
      </c>
      <c r="I1356" s="8" t="s">
        <v>458</v>
      </c>
      <c r="J1356" s="6" t="s">
        <v>108</v>
      </c>
      <c r="K1356" s="38">
        <v>32690</v>
      </c>
      <c r="L1356" s="4" t="s">
        <v>26</v>
      </c>
      <c r="M1356" s="11">
        <f>_xlfn.NUMBERVALUE(LEFT(Table613[[#This Row],[Fiscal Year]], 4))</f>
        <v>2018</v>
      </c>
      <c r="N1356" s="42">
        <f t="shared" ref="N1356:N1419" si="29">K1356*(1+VLOOKUP(M1356,$AF$8:$AH$31,3,0))</f>
        <v>32690</v>
      </c>
      <c r="O1356" s="3">
        <v>1354</v>
      </c>
    </row>
    <row r="1357" spans="1:15" x14ac:dyDescent="0.25">
      <c r="A1357" s="3">
        <v>4</v>
      </c>
      <c r="B1357" s="3" t="s">
        <v>256</v>
      </c>
      <c r="C1357" s="1" t="s">
        <v>13</v>
      </c>
      <c r="D1357" s="1" t="s">
        <v>444</v>
      </c>
      <c r="E1357" s="11" t="s">
        <v>144</v>
      </c>
      <c r="F1357" s="3" t="s">
        <v>8</v>
      </c>
      <c r="G1357" s="48" t="s">
        <v>73</v>
      </c>
      <c r="H1357" s="8"/>
      <c r="I1357" s="8"/>
      <c r="J1357" s="6" t="s">
        <v>108</v>
      </c>
      <c r="K1357" s="39" t="s">
        <v>432</v>
      </c>
      <c r="L1357" s="4" t="s">
        <v>26</v>
      </c>
      <c r="M1357" s="11">
        <f>_xlfn.NUMBERVALUE(LEFT(Table613[[#This Row],[Fiscal Year]], 4))</f>
        <v>2018</v>
      </c>
      <c r="O1357" s="3">
        <v>1355</v>
      </c>
    </row>
    <row r="1358" spans="1:15" x14ac:dyDescent="0.25">
      <c r="A1358" s="3">
        <v>4</v>
      </c>
      <c r="B1358" s="3" t="s">
        <v>256</v>
      </c>
      <c r="C1358" s="1" t="s">
        <v>13</v>
      </c>
      <c r="D1358" s="1" t="s">
        <v>444</v>
      </c>
      <c r="E1358" s="11" t="s">
        <v>144</v>
      </c>
      <c r="F1358" s="3" t="s">
        <v>8</v>
      </c>
      <c r="G1358" s="48" t="s">
        <v>74</v>
      </c>
      <c r="H1358" s="8" t="s">
        <v>611</v>
      </c>
      <c r="I1358" s="8" t="s">
        <v>458</v>
      </c>
      <c r="J1358" s="6" t="s">
        <v>108</v>
      </c>
      <c r="K1358" s="38">
        <v>2500</v>
      </c>
      <c r="L1358" s="4" t="s">
        <v>26</v>
      </c>
      <c r="M1358" s="11">
        <f>_xlfn.NUMBERVALUE(LEFT(Table613[[#This Row],[Fiscal Year]], 4))</f>
        <v>2018</v>
      </c>
      <c r="N1358" s="42">
        <f t="shared" si="29"/>
        <v>2500</v>
      </c>
      <c r="O1358" s="3">
        <v>1356</v>
      </c>
    </row>
    <row r="1359" spans="1:15" x14ac:dyDescent="0.25">
      <c r="A1359" s="3">
        <v>4</v>
      </c>
      <c r="B1359" s="3" t="s">
        <v>256</v>
      </c>
      <c r="C1359" s="1" t="s">
        <v>13</v>
      </c>
      <c r="D1359" s="1" t="s">
        <v>444</v>
      </c>
      <c r="E1359" s="11" t="s">
        <v>144</v>
      </c>
      <c r="F1359" s="3" t="s">
        <v>8</v>
      </c>
      <c r="G1359" s="66" t="s">
        <v>75</v>
      </c>
      <c r="H1359" s="8" t="s">
        <v>485</v>
      </c>
      <c r="I1359" s="8" t="s">
        <v>458</v>
      </c>
      <c r="J1359" s="6" t="s">
        <v>108</v>
      </c>
      <c r="K1359" s="38">
        <v>2500</v>
      </c>
      <c r="L1359" s="4" t="s">
        <v>26</v>
      </c>
      <c r="M1359" s="11">
        <f>_xlfn.NUMBERVALUE(LEFT(Table613[[#This Row],[Fiscal Year]], 4))</f>
        <v>2018</v>
      </c>
      <c r="N1359" s="42">
        <f t="shared" si="29"/>
        <v>2500</v>
      </c>
      <c r="O1359" s="3">
        <v>1357</v>
      </c>
    </row>
    <row r="1360" spans="1:15" x14ac:dyDescent="0.25">
      <c r="A1360" s="3">
        <v>4</v>
      </c>
      <c r="B1360" s="3" t="s">
        <v>256</v>
      </c>
      <c r="C1360" s="1" t="s">
        <v>13</v>
      </c>
      <c r="D1360" s="1" t="s">
        <v>444</v>
      </c>
      <c r="E1360" s="11" t="s">
        <v>144</v>
      </c>
      <c r="F1360" s="3" t="s">
        <v>8</v>
      </c>
      <c r="G1360" s="48" t="s">
        <v>76</v>
      </c>
      <c r="H1360" s="8"/>
      <c r="I1360" s="8"/>
      <c r="J1360" s="6" t="s">
        <v>76</v>
      </c>
      <c r="K1360" s="38">
        <v>41700</v>
      </c>
      <c r="L1360" s="4" t="s">
        <v>26</v>
      </c>
      <c r="M1360" s="11">
        <f>_xlfn.NUMBERVALUE(LEFT(Table613[[#This Row],[Fiscal Year]], 4))</f>
        <v>2018</v>
      </c>
      <c r="N1360" s="42">
        <f t="shared" si="29"/>
        <v>41700</v>
      </c>
      <c r="O1360" s="3">
        <v>1358</v>
      </c>
    </row>
    <row r="1361" spans="1:15" x14ac:dyDescent="0.25">
      <c r="A1361" s="3">
        <v>4</v>
      </c>
      <c r="B1361" s="3" t="s">
        <v>256</v>
      </c>
      <c r="C1361" s="1" t="s">
        <v>13</v>
      </c>
      <c r="D1361" s="1" t="s">
        <v>444</v>
      </c>
      <c r="E1361" s="11" t="s">
        <v>144</v>
      </c>
      <c r="F1361" s="3" t="s">
        <v>8</v>
      </c>
      <c r="G1361" s="66" t="s">
        <v>77</v>
      </c>
      <c r="H1361" s="8"/>
      <c r="I1361" s="8"/>
      <c r="J1361" s="6" t="s">
        <v>106</v>
      </c>
      <c r="K1361" s="38">
        <v>0</v>
      </c>
      <c r="L1361" s="4" t="s">
        <v>26</v>
      </c>
      <c r="M1361" s="11">
        <f>_xlfn.NUMBERVALUE(LEFT(Table613[[#This Row],[Fiscal Year]], 4))</f>
        <v>2018</v>
      </c>
      <c r="N1361" s="43">
        <f t="shared" si="29"/>
        <v>0</v>
      </c>
      <c r="O1361" s="3">
        <v>1359</v>
      </c>
    </row>
    <row r="1362" spans="1:15" x14ac:dyDescent="0.25">
      <c r="A1362" s="3">
        <v>4</v>
      </c>
      <c r="B1362" s="3" t="s">
        <v>256</v>
      </c>
      <c r="C1362" s="1" t="s">
        <v>13</v>
      </c>
      <c r="D1362" s="1" t="s">
        <v>444</v>
      </c>
      <c r="E1362" s="11" t="s">
        <v>144</v>
      </c>
      <c r="F1362" s="3" t="s">
        <v>8</v>
      </c>
      <c r="G1362" s="66" t="s">
        <v>78</v>
      </c>
      <c r="H1362" s="8"/>
      <c r="I1362" s="8"/>
      <c r="J1362" s="6" t="s">
        <v>47</v>
      </c>
      <c r="K1362" s="38">
        <v>1100</v>
      </c>
      <c r="L1362" s="4" t="s">
        <v>26</v>
      </c>
      <c r="M1362" s="11">
        <f>_xlfn.NUMBERVALUE(LEFT(Table613[[#This Row],[Fiscal Year]], 4))</f>
        <v>2018</v>
      </c>
      <c r="N1362" s="42">
        <f t="shared" si="29"/>
        <v>1100</v>
      </c>
      <c r="O1362" s="3">
        <v>1360</v>
      </c>
    </row>
    <row r="1363" spans="1:15" x14ac:dyDescent="0.25">
      <c r="A1363" s="3">
        <v>4</v>
      </c>
      <c r="B1363" s="3" t="s">
        <v>256</v>
      </c>
      <c r="C1363" s="1" t="s">
        <v>13</v>
      </c>
      <c r="D1363" s="1" t="s">
        <v>444</v>
      </c>
      <c r="E1363" s="11" t="s">
        <v>144</v>
      </c>
      <c r="F1363" s="3" t="s">
        <v>8</v>
      </c>
      <c r="G1363" s="48" t="s">
        <v>79</v>
      </c>
      <c r="H1363" s="8" t="s">
        <v>483</v>
      </c>
      <c r="I1363" s="8" t="s">
        <v>458</v>
      </c>
      <c r="J1363" s="6" t="s">
        <v>455</v>
      </c>
      <c r="K1363" s="38">
        <v>12800</v>
      </c>
      <c r="L1363" s="4" t="s">
        <v>26</v>
      </c>
      <c r="M1363" s="11">
        <f>_xlfn.NUMBERVALUE(LEFT(Table613[[#This Row],[Fiscal Year]], 4))</f>
        <v>2018</v>
      </c>
      <c r="N1363" s="42">
        <f t="shared" si="29"/>
        <v>12800</v>
      </c>
      <c r="O1363" s="3">
        <v>1361</v>
      </c>
    </row>
    <row r="1364" spans="1:15" x14ac:dyDescent="0.25">
      <c r="A1364" s="3">
        <v>4</v>
      </c>
      <c r="B1364" s="3" t="s">
        <v>256</v>
      </c>
      <c r="C1364" s="1" t="s">
        <v>13</v>
      </c>
      <c r="D1364" s="1" t="s">
        <v>444</v>
      </c>
      <c r="E1364" s="11" t="s">
        <v>144</v>
      </c>
      <c r="F1364" s="3" t="s">
        <v>8</v>
      </c>
      <c r="G1364" s="66" t="s">
        <v>80</v>
      </c>
      <c r="H1364" s="8"/>
      <c r="I1364" s="8"/>
      <c r="J1364" s="6" t="s">
        <v>605</v>
      </c>
      <c r="K1364" s="38">
        <v>20000</v>
      </c>
      <c r="L1364" s="4" t="s">
        <v>26</v>
      </c>
      <c r="M1364" s="11">
        <f>_xlfn.NUMBERVALUE(LEFT(Table613[[#This Row],[Fiscal Year]], 4))</f>
        <v>2018</v>
      </c>
      <c r="N1364" s="42">
        <f t="shared" si="29"/>
        <v>20000</v>
      </c>
      <c r="O1364" s="3">
        <v>1362</v>
      </c>
    </row>
    <row r="1365" spans="1:15" x14ac:dyDescent="0.25">
      <c r="A1365" s="3">
        <v>4</v>
      </c>
      <c r="B1365" s="3" t="s">
        <v>256</v>
      </c>
      <c r="C1365" s="1" t="s">
        <v>13</v>
      </c>
      <c r="D1365" s="1" t="s">
        <v>444</v>
      </c>
      <c r="E1365" s="11" t="s">
        <v>144</v>
      </c>
      <c r="F1365" s="3" t="s">
        <v>8</v>
      </c>
      <c r="G1365" s="66" t="s">
        <v>67</v>
      </c>
      <c r="H1365" s="8"/>
      <c r="I1365" s="8"/>
      <c r="J1365" s="6" t="s">
        <v>455</v>
      </c>
      <c r="K1365" s="38">
        <v>0</v>
      </c>
      <c r="L1365" s="4" t="s">
        <v>26</v>
      </c>
      <c r="M1365" s="11">
        <f>_xlfn.NUMBERVALUE(LEFT(Table613[[#This Row],[Fiscal Year]], 4))</f>
        <v>2018</v>
      </c>
      <c r="N1365" s="43">
        <f t="shared" si="29"/>
        <v>0</v>
      </c>
      <c r="O1365" s="3">
        <v>1363</v>
      </c>
    </row>
    <row r="1366" spans="1:15" x14ac:dyDescent="0.25">
      <c r="C1366" s="1"/>
      <c r="D1366" s="1"/>
      <c r="E1366" s="11"/>
      <c r="G1366" s="66"/>
      <c r="H1366" s="8"/>
      <c r="I1366" s="8"/>
      <c r="J1366" s="6"/>
      <c r="L1366" s="4"/>
      <c r="O1366" s="3">
        <v>1364</v>
      </c>
    </row>
    <row r="1367" spans="1:15" x14ac:dyDescent="0.25">
      <c r="A1367" s="3">
        <v>4</v>
      </c>
      <c r="B1367" s="3" t="s">
        <v>257</v>
      </c>
      <c r="C1367" s="1" t="s">
        <v>13</v>
      </c>
      <c r="D1367" s="1" t="s">
        <v>444</v>
      </c>
      <c r="E1367" s="11" t="s">
        <v>144</v>
      </c>
      <c r="F1367" s="3" t="s">
        <v>8</v>
      </c>
      <c r="G1367" s="48" t="s">
        <v>32</v>
      </c>
      <c r="H1367" s="8" t="s">
        <v>608</v>
      </c>
      <c r="I1367" s="70" t="s">
        <v>609</v>
      </c>
      <c r="J1367" s="6" t="s">
        <v>110</v>
      </c>
      <c r="K1367" s="38">
        <v>89000</v>
      </c>
      <c r="L1367" s="4" t="s">
        <v>26</v>
      </c>
      <c r="M1367" s="11">
        <f>_xlfn.NUMBERVALUE(LEFT(Table613[[#This Row],[Fiscal Year]], 4))</f>
        <v>2018</v>
      </c>
      <c r="N1367" s="42">
        <f t="shared" si="29"/>
        <v>89000</v>
      </c>
      <c r="O1367" s="3">
        <v>1365</v>
      </c>
    </row>
    <row r="1368" spans="1:15" x14ac:dyDescent="0.25">
      <c r="A1368" s="3">
        <v>4</v>
      </c>
      <c r="B1368" s="3" t="s">
        <v>257</v>
      </c>
      <c r="C1368" s="1" t="s">
        <v>13</v>
      </c>
      <c r="D1368" s="1" t="s">
        <v>444</v>
      </c>
      <c r="E1368" s="11" t="s">
        <v>144</v>
      </c>
      <c r="F1368" s="3" t="s">
        <v>8</v>
      </c>
      <c r="G1368" s="66" t="s">
        <v>68</v>
      </c>
      <c r="H1368" s="6"/>
      <c r="I1368" s="8"/>
      <c r="J1368" s="6" t="s">
        <v>42</v>
      </c>
      <c r="K1368" s="38">
        <v>30000</v>
      </c>
      <c r="L1368" s="4" t="s">
        <v>26</v>
      </c>
      <c r="M1368" s="11">
        <f>_xlfn.NUMBERVALUE(LEFT(Table613[[#This Row],[Fiscal Year]], 4))</f>
        <v>2018</v>
      </c>
      <c r="N1368" s="42">
        <f t="shared" si="29"/>
        <v>30000</v>
      </c>
      <c r="O1368" s="3">
        <v>1366</v>
      </c>
    </row>
    <row r="1369" spans="1:15" x14ac:dyDescent="0.25">
      <c r="A1369" s="3">
        <v>4</v>
      </c>
      <c r="B1369" s="3" t="s">
        <v>257</v>
      </c>
      <c r="C1369" s="1" t="s">
        <v>13</v>
      </c>
      <c r="D1369" s="1" t="s">
        <v>444</v>
      </c>
      <c r="E1369" s="11" t="s">
        <v>144</v>
      </c>
      <c r="F1369" s="3" t="s">
        <v>8</v>
      </c>
      <c r="G1369" s="48" t="s">
        <v>69</v>
      </c>
      <c r="H1369" s="8"/>
      <c r="I1369" s="8"/>
      <c r="J1369" s="6" t="s">
        <v>109</v>
      </c>
      <c r="K1369" s="38">
        <v>382000</v>
      </c>
      <c r="L1369" s="4" t="s">
        <v>26</v>
      </c>
      <c r="M1369" s="11">
        <f>_xlfn.NUMBERVALUE(LEFT(Table613[[#This Row],[Fiscal Year]], 4))</f>
        <v>2018</v>
      </c>
      <c r="N1369" s="42">
        <f t="shared" si="29"/>
        <v>382000</v>
      </c>
      <c r="O1369" s="3">
        <v>1367</v>
      </c>
    </row>
    <row r="1370" spans="1:15" x14ac:dyDescent="0.25">
      <c r="A1370" s="3">
        <v>4</v>
      </c>
      <c r="B1370" s="3" t="s">
        <v>257</v>
      </c>
      <c r="C1370" s="1" t="s">
        <v>13</v>
      </c>
      <c r="D1370" s="1" t="s">
        <v>444</v>
      </c>
      <c r="E1370" s="11" t="s">
        <v>144</v>
      </c>
      <c r="F1370" s="3" t="s">
        <v>8</v>
      </c>
      <c r="G1370" s="48" t="s">
        <v>59</v>
      </c>
      <c r="H1370" s="8"/>
      <c r="I1370" s="8"/>
      <c r="J1370" s="6" t="s">
        <v>111</v>
      </c>
      <c r="K1370" s="38">
        <v>0</v>
      </c>
      <c r="L1370" s="4" t="s">
        <v>26</v>
      </c>
      <c r="M1370" s="11">
        <f>_xlfn.NUMBERVALUE(LEFT(Table613[[#This Row],[Fiscal Year]], 4))</f>
        <v>2018</v>
      </c>
      <c r="N1370" s="43">
        <f t="shared" si="29"/>
        <v>0</v>
      </c>
      <c r="O1370" s="3">
        <v>1368</v>
      </c>
    </row>
    <row r="1371" spans="1:15" x14ac:dyDescent="0.25">
      <c r="A1371" s="3">
        <v>4</v>
      </c>
      <c r="B1371" s="3" t="s">
        <v>257</v>
      </c>
      <c r="C1371" s="1" t="s">
        <v>13</v>
      </c>
      <c r="D1371" s="1" t="s">
        <v>444</v>
      </c>
      <c r="E1371" s="11" t="s">
        <v>144</v>
      </c>
      <c r="F1371" s="3" t="s">
        <v>8</v>
      </c>
      <c r="G1371" s="66" t="s">
        <v>70</v>
      </c>
      <c r="H1371" s="8"/>
      <c r="I1371" s="8"/>
      <c r="J1371" s="6" t="s">
        <v>107</v>
      </c>
      <c r="K1371" s="38">
        <v>40000</v>
      </c>
      <c r="L1371" s="4" t="s">
        <v>26</v>
      </c>
      <c r="M1371" s="11">
        <f>_xlfn.NUMBERVALUE(LEFT(Table613[[#This Row],[Fiscal Year]], 4))</f>
        <v>2018</v>
      </c>
      <c r="N1371" s="42">
        <f t="shared" si="29"/>
        <v>40000</v>
      </c>
      <c r="O1371" s="3">
        <v>1369</v>
      </c>
    </row>
    <row r="1372" spans="1:15" x14ac:dyDescent="0.25">
      <c r="A1372" s="3">
        <v>4</v>
      </c>
      <c r="B1372" s="3" t="s">
        <v>257</v>
      </c>
      <c r="C1372" s="1" t="s">
        <v>13</v>
      </c>
      <c r="D1372" s="1" t="s">
        <v>444</v>
      </c>
      <c r="E1372" s="11" t="s">
        <v>144</v>
      </c>
      <c r="F1372" s="3" t="s">
        <v>8</v>
      </c>
      <c r="G1372" s="48" t="s">
        <v>72</v>
      </c>
      <c r="H1372" s="8" t="s">
        <v>610</v>
      </c>
      <c r="I1372" s="8" t="s">
        <v>458</v>
      </c>
      <c r="J1372" s="6" t="s">
        <v>108</v>
      </c>
      <c r="K1372" s="38" t="s">
        <v>827</v>
      </c>
      <c r="L1372" s="4" t="s">
        <v>26</v>
      </c>
      <c r="M1372" s="11">
        <f>_xlfn.NUMBERVALUE(LEFT(Table613[[#This Row],[Fiscal Year]], 4))</f>
        <v>2018</v>
      </c>
      <c r="O1372" s="3">
        <v>1370</v>
      </c>
    </row>
    <row r="1373" spans="1:15" x14ac:dyDescent="0.25">
      <c r="A1373" s="3">
        <v>4</v>
      </c>
      <c r="B1373" s="3" t="s">
        <v>257</v>
      </c>
      <c r="C1373" s="1" t="s">
        <v>13</v>
      </c>
      <c r="D1373" s="1" t="s">
        <v>444</v>
      </c>
      <c r="E1373" s="11" t="s">
        <v>144</v>
      </c>
      <c r="F1373" s="3" t="s">
        <v>8</v>
      </c>
      <c r="G1373" s="66" t="s">
        <v>71</v>
      </c>
      <c r="H1373" s="8" t="s">
        <v>484</v>
      </c>
      <c r="I1373" s="8" t="s">
        <v>458</v>
      </c>
      <c r="J1373" s="6" t="s">
        <v>108</v>
      </c>
      <c r="K1373" s="38">
        <v>690000</v>
      </c>
      <c r="L1373" s="4" t="s">
        <v>26</v>
      </c>
      <c r="M1373" s="11">
        <f>_xlfn.NUMBERVALUE(LEFT(Table613[[#This Row],[Fiscal Year]], 4))</f>
        <v>2018</v>
      </c>
      <c r="N1373" s="42">
        <f t="shared" si="29"/>
        <v>690000</v>
      </c>
      <c r="O1373" s="3">
        <v>1371</v>
      </c>
    </row>
    <row r="1374" spans="1:15" x14ac:dyDescent="0.25">
      <c r="A1374" s="3">
        <v>4</v>
      </c>
      <c r="B1374" s="3" t="s">
        <v>257</v>
      </c>
      <c r="C1374" s="1" t="s">
        <v>13</v>
      </c>
      <c r="D1374" s="1" t="s">
        <v>444</v>
      </c>
      <c r="E1374" s="11" t="s">
        <v>144</v>
      </c>
      <c r="F1374" s="3" t="s">
        <v>8</v>
      </c>
      <c r="G1374" s="48" t="s">
        <v>73</v>
      </c>
      <c r="H1374" s="8"/>
      <c r="I1374" s="8"/>
      <c r="J1374" s="6" t="s">
        <v>108</v>
      </c>
      <c r="K1374" s="38">
        <v>0</v>
      </c>
      <c r="L1374" s="4" t="s">
        <v>26</v>
      </c>
      <c r="M1374" s="11">
        <f>_xlfn.NUMBERVALUE(LEFT(Table613[[#This Row],[Fiscal Year]], 4))</f>
        <v>2018</v>
      </c>
      <c r="N1374" s="43">
        <f t="shared" si="29"/>
        <v>0</v>
      </c>
      <c r="O1374" s="3">
        <v>1372</v>
      </c>
    </row>
    <row r="1375" spans="1:15" x14ac:dyDescent="0.25">
      <c r="A1375" s="3">
        <v>4</v>
      </c>
      <c r="B1375" s="3" t="s">
        <v>257</v>
      </c>
      <c r="C1375" s="1" t="s">
        <v>13</v>
      </c>
      <c r="D1375" s="1" t="s">
        <v>444</v>
      </c>
      <c r="E1375" s="11" t="s">
        <v>144</v>
      </c>
      <c r="F1375" s="3" t="s">
        <v>8</v>
      </c>
      <c r="G1375" s="48" t="s">
        <v>74</v>
      </c>
      <c r="H1375" s="8" t="s">
        <v>611</v>
      </c>
      <c r="I1375" s="8" t="s">
        <v>458</v>
      </c>
      <c r="J1375" s="6" t="s">
        <v>108</v>
      </c>
      <c r="K1375" s="38">
        <v>0</v>
      </c>
      <c r="L1375" s="4" t="s">
        <v>26</v>
      </c>
      <c r="M1375" s="11">
        <f>_xlfn.NUMBERVALUE(LEFT(Table613[[#This Row],[Fiscal Year]], 4))</f>
        <v>2018</v>
      </c>
      <c r="N1375" s="43">
        <f t="shared" si="29"/>
        <v>0</v>
      </c>
      <c r="O1375" s="3">
        <v>1373</v>
      </c>
    </row>
    <row r="1376" spans="1:15" x14ac:dyDescent="0.25">
      <c r="A1376" s="3">
        <v>4</v>
      </c>
      <c r="B1376" s="3" t="s">
        <v>257</v>
      </c>
      <c r="C1376" s="1" t="s">
        <v>13</v>
      </c>
      <c r="D1376" s="1" t="s">
        <v>444</v>
      </c>
      <c r="E1376" s="11" t="s">
        <v>144</v>
      </c>
      <c r="F1376" s="3" t="s">
        <v>8</v>
      </c>
      <c r="G1376" s="66" t="s">
        <v>75</v>
      </c>
      <c r="H1376" s="8" t="s">
        <v>485</v>
      </c>
      <c r="I1376" s="8" t="s">
        <v>458</v>
      </c>
      <c r="J1376" s="6" t="s">
        <v>108</v>
      </c>
      <c r="K1376" s="38">
        <v>0</v>
      </c>
      <c r="L1376" s="4" t="s">
        <v>26</v>
      </c>
      <c r="M1376" s="11">
        <f>_xlfn.NUMBERVALUE(LEFT(Table613[[#This Row],[Fiscal Year]], 4))</f>
        <v>2018</v>
      </c>
      <c r="N1376" s="43">
        <f t="shared" si="29"/>
        <v>0</v>
      </c>
      <c r="O1376" s="3">
        <v>1374</v>
      </c>
    </row>
    <row r="1377" spans="1:15" x14ac:dyDescent="0.25">
      <c r="A1377" s="3">
        <v>4</v>
      </c>
      <c r="B1377" s="3" t="s">
        <v>257</v>
      </c>
      <c r="C1377" s="1" t="s">
        <v>13</v>
      </c>
      <c r="D1377" s="1" t="s">
        <v>444</v>
      </c>
      <c r="E1377" s="11" t="s">
        <v>144</v>
      </c>
      <c r="F1377" s="3" t="s">
        <v>8</v>
      </c>
      <c r="G1377" s="48" t="s">
        <v>76</v>
      </c>
      <c r="H1377" s="8"/>
      <c r="I1377" s="8"/>
      <c r="J1377" s="6" t="s">
        <v>76</v>
      </c>
      <c r="K1377" s="38">
        <v>0</v>
      </c>
      <c r="L1377" s="4" t="s">
        <v>26</v>
      </c>
      <c r="M1377" s="11">
        <f>_xlfn.NUMBERVALUE(LEFT(Table613[[#This Row],[Fiscal Year]], 4))</f>
        <v>2018</v>
      </c>
      <c r="N1377" s="43">
        <f t="shared" si="29"/>
        <v>0</v>
      </c>
      <c r="O1377" s="3">
        <v>1375</v>
      </c>
    </row>
    <row r="1378" spans="1:15" x14ac:dyDescent="0.25">
      <c r="A1378" s="3">
        <v>4</v>
      </c>
      <c r="B1378" s="3" t="s">
        <v>257</v>
      </c>
      <c r="C1378" s="1" t="s">
        <v>13</v>
      </c>
      <c r="D1378" s="1" t="s">
        <v>444</v>
      </c>
      <c r="E1378" s="11" t="s">
        <v>144</v>
      </c>
      <c r="F1378" s="3" t="s">
        <v>8</v>
      </c>
      <c r="G1378" s="66" t="s">
        <v>77</v>
      </c>
      <c r="H1378" s="8"/>
      <c r="I1378" s="8"/>
      <c r="J1378" s="6" t="s">
        <v>106</v>
      </c>
      <c r="K1378" s="38">
        <v>36000</v>
      </c>
      <c r="L1378" s="4" t="s">
        <v>26</v>
      </c>
      <c r="M1378" s="11">
        <f>_xlfn.NUMBERVALUE(LEFT(Table613[[#This Row],[Fiscal Year]], 4))</f>
        <v>2018</v>
      </c>
      <c r="N1378" s="42">
        <f t="shared" si="29"/>
        <v>36000</v>
      </c>
      <c r="O1378" s="3">
        <v>1376</v>
      </c>
    </row>
    <row r="1379" spans="1:15" x14ac:dyDescent="0.25">
      <c r="A1379" s="3">
        <v>4</v>
      </c>
      <c r="B1379" s="3" t="s">
        <v>257</v>
      </c>
      <c r="C1379" s="1" t="s">
        <v>13</v>
      </c>
      <c r="D1379" s="1" t="s">
        <v>444</v>
      </c>
      <c r="E1379" s="11" t="s">
        <v>144</v>
      </c>
      <c r="F1379" s="3" t="s">
        <v>8</v>
      </c>
      <c r="G1379" s="66" t="s">
        <v>78</v>
      </c>
      <c r="H1379" s="8"/>
      <c r="I1379" s="8"/>
      <c r="J1379" s="6" t="s">
        <v>47</v>
      </c>
      <c r="K1379" s="38">
        <v>25000</v>
      </c>
      <c r="L1379" s="4" t="s">
        <v>26</v>
      </c>
      <c r="M1379" s="11">
        <f>_xlfn.NUMBERVALUE(LEFT(Table613[[#This Row],[Fiscal Year]], 4))</f>
        <v>2018</v>
      </c>
      <c r="N1379" s="42">
        <f t="shared" si="29"/>
        <v>25000</v>
      </c>
      <c r="O1379" s="3">
        <v>1377</v>
      </c>
    </row>
    <row r="1380" spans="1:15" x14ac:dyDescent="0.25">
      <c r="A1380" s="3">
        <v>4</v>
      </c>
      <c r="B1380" s="3" t="s">
        <v>257</v>
      </c>
      <c r="C1380" s="1" t="s">
        <v>13</v>
      </c>
      <c r="D1380" s="1" t="s">
        <v>444</v>
      </c>
      <c r="E1380" s="11" t="s">
        <v>144</v>
      </c>
      <c r="F1380" s="3" t="s">
        <v>8</v>
      </c>
      <c r="G1380" s="48" t="s">
        <v>79</v>
      </c>
      <c r="H1380" s="8" t="s">
        <v>483</v>
      </c>
      <c r="I1380" s="8" t="s">
        <v>458</v>
      </c>
      <c r="J1380" s="6" t="s">
        <v>455</v>
      </c>
      <c r="K1380" s="38">
        <v>120000</v>
      </c>
      <c r="L1380" s="4" t="s">
        <v>26</v>
      </c>
      <c r="M1380" s="11">
        <f>_xlfn.NUMBERVALUE(LEFT(Table613[[#This Row],[Fiscal Year]], 4))</f>
        <v>2018</v>
      </c>
      <c r="N1380" s="42">
        <f t="shared" si="29"/>
        <v>120000</v>
      </c>
      <c r="O1380" s="3">
        <v>1378</v>
      </c>
    </row>
    <row r="1381" spans="1:15" x14ac:dyDescent="0.25">
      <c r="A1381" s="3">
        <v>4</v>
      </c>
      <c r="B1381" s="3" t="s">
        <v>257</v>
      </c>
      <c r="C1381" s="1" t="s">
        <v>13</v>
      </c>
      <c r="D1381" s="1" t="s">
        <v>444</v>
      </c>
      <c r="E1381" s="11" t="s">
        <v>144</v>
      </c>
      <c r="F1381" s="3" t="s">
        <v>8</v>
      </c>
      <c r="G1381" s="66" t="s">
        <v>80</v>
      </c>
      <c r="H1381" s="8"/>
      <c r="I1381" s="8"/>
      <c r="J1381" s="6" t="s">
        <v>605</v>
      </c>
      <c r="K1381" s="38">
        <v>106000</v>
      </c>
      <c r="L1381" s="4" t="s">
        <v>26</v>
      </c>
      <c r="M1381" s="11">
        <f>_xlfn.NUMBERVALUE(LEFT(Table613[[#This Row],[Fiscal Year]], 4))</f>
        <v>2018</v>
      </c>
      <c r="N1381" s="42">
        <f t="shared" si="29"/>
        <v>106000</v>
      </c>
      <c r="O1381" s="3">
        <v>1379</v>
      </c>
    </row>
    <row r="1382" spans="1:15" x14ac:dyDescent="0.25">
      <c r="A1382" s="3">
        <v>4</v>
      </c>
      <c r="B1382" s="3" t="s">
        <v>257</v>
      </c>
      <c r="C1382" s="1" t="s">
        <v>13</v>
      </c>
      <c r="D1382" s="1" t="s">
        <v>444</v>
      </c>
      <c r="E1382" s="11" t="s">
        <v>144</v>
      </c>
      <c r="F1382" s="3" t="s">
        <v>8</v>
      </c>
      <c r="G1382" s="66" t="s">
        <v>67</v>
      </c>
      <c r="H1382" s="8"/>
      <c r="I1382" s="8"/>
      <c r="J1382" s="6" t="s">
        <v>455</v>
      </c>
      <c r="K1382" s="38">
        <v>49000</v>
      </c>
      <c r="L1382" s="4" t="s">
        <v>26</v>
      </c>
      <c r="M1382" s="11">
        <f>_xlfn.NUMBERVALUE(LEFT(Table613[[#This Row],[Fiscal Year]], 4))</f>
        <v>2018</v>
      </c>
      <c r="N1382" s="42">
        <f t="shared" si="29"/>
        <v>49000</v>
      </c>
      <c r="O1382" s="3">
        <v>1380</v>
      </c>
    </row>
    <row r="1383" spans="1:15" x14ac:dyDescent="0.25">
      <c r="C1383" s="1"/>
      <c r="D1383" s="1"/>
      <c r="E1383" s="11"/>
      <c r="G1383" s="66"/>
      <c r="H1383" s="8"/>
      <c r="I1383" s="8"/>
      <c r="J1383" s="6"/>
      <c r="L1383" s="4"/>
      <c r="O1383" s="3">
        <v>1381</v>
      </c>
    </row>
    <row r="1384" spans="1:15" x14ac:dyDescent="0.25">
      <c r="A1384" s="3">
        <v>4</v>
      </c>
      <c r="B1384" s="3" t="s">
        <v>258</v>
      </c>
      <c r="C1384" s="1" t="s">
        <v>13</v>
      </c>
      <c r="D1384" s="1" t="s">
        <v>444</v>
      </c>
      <c r="E1384" s="11" t="s">
        <v>144</v>
      </c>
      <c r="F1384" s="3" t="s">
        <v>8</v>
      </c>
      <c r="G1384" s="48" t="s">
        <v>32</v>
      </c>
      <c r="H1384" s="8" t="s">
        <v>608</v>
      </c>
      <c r="I1384" s="70" t="s">
        <v>609</v>
      </c>
      <c r="J1384" s="6" t="s">
        <v>110</v>
      </c>
      <c r="K1384" s="38">
        <v>20000</v>
      </c>
      <c r="L1384" s="4" t="s">
        <v>26</v>
      </c>
      <c r="M1384" s="11">
        <f>_xlfn.NUMBERVALUE(LEFT(Table613[[#This Row],[Fiscal Year]], 4))</f>
        <v>2018</v>
      </c>
      <c r="N1384" s="42">
        <f t="shared" si="29"/>
        <v>20000</v>
      </c>
      <c r="O1384" s="3">
        <v>1382</v>
      </c>
    </row>
    <row r="1385" spans="1:15" x14ac:dyDescent="0.25">
      <c r="A1385" s="3">
        <v>4</v>
      </c>
      <c r="B1385" s="3" t="s">
        <v>258</v>
      </c>
      <c r="C1385" s="1" t="s">
        <v>13</v>
      </c>
      <c r="D1385" s="1" t="s">
        <v>444</v>
      </c>
      <c r="E1385" s="11" t="s">
        <v>144</v>
      </c>
      <c r="F1385" s="3" t="s">
        <v>8</v>
      </c>
      <c r="G1385" s="48" t="s">
        <v>68</v>
      </c>
      <c r="H1385" s="6"/>
      <c r="I1385" s="8"/>
      <c r="J1385" s="6" t="s">
        <v>42</v>
      </c>
      <c r="K1385" s="38">
        <v>500</v>
      </c>
      <c r="L1385" s="4" t="s">
        <v>26</v>
      </c>
      <c r="M1385" s="11">
        <f>_xlfn.NUMBERVALUE(LEFT(Table613[[#This Row],[Fiscal Year]], 4))</f>
        <v>2018</v>
      </c>
      <c r="N1385" s="42">
        <f t="shared" si="29"/>
        <v>500</v>
      </c>
      <c r="O1385" s="3">
        <v>1383</v>
      </c>
    </row>
    <row r="1386" spans="1:15" x14ac:dyDescent="0.25">
      <c r="A1386" s="3">
        <v>4</v>
      </c>
      <c r="B1386" s="3" t="s">
        <v>258</v>
      </c>
      <c r="C1386" s="1" t="s">
        <v>13</v>
      </c>
      <c r="D1386" s="1" t="s">
        <v>444</v>
      </c>
      <c r="E1386" s="11" t="s">
        <v>144</v>
      </c>
      <c r="F1386" s="3" t="s">
        <v>8</v>
      </c>
      <c r="G1386" s="48" t="s">
        <v>69</v>
      </c>
      <c r="H1386" s="8"/>
      <c r="I1386" s="8"/>
      <c r="J1386" s="6" t="s">
        <v>109</v>
      </c>
      <c r="K1386" s="38">
        <v>1500</v>
      </c>
      <c r="L1386" s="4" t="s">
        <v>26</v>
      </c>
      <c r="M1386" s="11">
        <f>_xlfn.NUMBERVALUE(LEFT(Table613[[#This Row],[Fiscal Year]], 4))</f>
        <v>2018</v>
      </c>
      <c r="N1386" s="42">
        <f t="shared" si="29"/>
        <v>1500</v>
      </c>
      <c r="O1386" s="3">
        <v>1384</v>
      </c>
    </row>
    <row r="1387" spans="1:15" x14ac:dyDescent="0.25">
      <c r="A1387" s="3">
        <v>4</v>
      </c>
      <c r="B1387" s="3" t="s">
        <v>258</v>
      </c>
      <c r="C1387" s="1" t="s">
        <v>13</v>
      </c>
      <c r="D1387" s="1" t="s">
        <v>444</v>
      </c>
      <c r="E1387" s="11" t="s">
        <v>144</v>
      </c>
      <c r="F1387" s="3" t="s">
        <v>8</v>
      </c>
      <c r="G1387" s="48" t="s">
        <v>59</v>
      </c>
      <c r="H1387" s="8"/>
      <c r="I1387" s="8"/>
      <c r="J1387" s="6" t="s">
        <v>111</v>
      </c>
      <c r="K1387" s="38">
        <v>3000</v>
      </c>
      <c r="L1387" s="4" t="s">
        <v>26</v>
      </c>
      <c r="M1387" s="11">
        <f>_xlfn.NUMBERVALUE(LEFT(Table613[[#This Row],[Fiscal Year]], 4))</f>
        <v>2018</v>
      </c>
      <c r="N1387" s="42">
        <f t="shared" si="29"/>
        <v>3000</v>
      </c>
      <c r="O1387" s="3">
        <v>1385</v>
      </c>
    </row>
    <row r="1388" spans="1:15" x14ac:dyDescent="0.25">
      <c r="A1388" s="3">
        <v>4</v>
      </c>
      <c r="B1388" s="3" t="s">
        <v>258</v>
      </c>
      <c r="C1388" s="1" t="s">
        <v>13</v>
      </c>
      <c r="D1388" s="1" t="s">
        <v>444</v>
      </c>
      <c r="E1388" s="11" t="s">
        <v>144</v>
      </c>
      <c r="F1388" s="3" t="s">
        <v>8</v>
      </c>
      <c r="G1388" s="66" t="s">
        <v>70</v>
      </c>
      <c r="H1388" s="8"/>
      <c r="I1388" s="8"/>
      <c r="J1388" s="6" t="s">
        <v>107</v>
      </c>
      <c r="K1388" s="38">
        <v>3000</v>
      </c>
      <c r="L1388" s="4" t="s">
        <v>26</v>
      </c>
      <c r="M1388" s="11">
        <f>_xlfn.NUMBERVALUE(LEFT(Table613[[#This Row],[Fiscal Year]], 4))</f>
        <v>2018</v>
      </c>
      <c r="N1388" s="42">
        <f t="shared" si="29"/>
        <v>3000</v>
      </c>
      <c r="O1388" s="3">
        <v>1386</v>
      </c>
    </row>
    <row r="1389" spans="1:15" x14ac:dyDescent="0.25">
      <c r="A1389" s="3">
        <v>4</v>
      </c>
      <c r="B1389" s="3" t="s">
        <v>258</v>
      </c>
      <c r="C1389" s="1" t="s">
        <v>13</v>
      </c>
      <c r="D1389" s="1" t="s">
        <v>444</v>
      </c>
      <c r="E1389" s="11" t="s">
        <v>144</v>
      </c>
      <c r="F1389" s="3" t="s">
        <v>8</v>
      </c>
      <c r="G1389" s="48" t="s">
        <v>72</v>
      </c>
      <c r="H1389" s="8" t="s">
        <v>610</v>
      </c>
      <c r="I1389" s="8" t="s">
        <v>458</v>
      </c>
      <c r="J1389" s="6" t="s">
        <v>108</v>
      </c>
      <c r="K1389" s="38" t="s">
        <v>827</v>
      </c>
      <c r="L1389" s="4" t="s">
        <v>26</v>
      </c>
      <c r="M1389" s="11">
        <f>_xlfn.NUMBERVALUE(LEFT(Table613[[#This Row],[Fiscal Year]], 4))</f>
        <v>2018</v>
      </c>
      <c r="O1389" s="3">
        <v>1387</v>
      </c>
    </row>
    <row r="1390" spans="1:15" x14ac:dyDescent="0.25">
      <c r="A1390" s="3">
        <v>4</v>
      </c>
      <c r="B1390" s="3" t="s">
        <v>258</v>
      </c>
      <c r="C1390" s="1" t="s">
        <v>13</v>
      </c>
      <c r="D1390" s="1" t="s">
        <v>444</v>
      </c>
      <c r="E1390" s="11" t="s">
        <v>144</v>
      </c>
      <c r="F1390" s="3" t="s">
        <v>8</v>
      </c>
      <c r="G1390" s="66" t="s">
        <v>71</v>
      </c>
      <c r="H1390" s="8" t="s">
        <v>484</v>
      </c>
      <c r="I1390" s="8" t="s">
        <v>458</v>
      </c>
      <c r="J1390" s="6" t="s">
        <v>108</v>
      </c>
      <c r="K1390" s="38">
        <v>20000</v>
      </c>
      <c r="L1390" s="4" t="s">
        <v>26</v>
      </c>
      <c r="M1390" s="11">
        <f>_xlfn.NUMBERVALUE(LEFT(Table613[[#This Row],[Fiscal Year]], 4))</f>
        <v>2018</v>
      </c>
      <c r="N1390" s="42">
        <f t="shared" si="29"/>
        <v>20000</v>
      </c>
      <c r="O1390" s="3">
        <v>1388</v>
      </c>
    </row>
    <row r="1391" spans="1:15" x14ac:dyDescent="0.25">
      <c r="A1391" s="3">
        <v>4</v>
      </c>
      <c r="B1391" s="3" t="s">
        <v>258</v>
      </c>
      <c r="C1391" s="1" t="s">
        <v>13</v>
      </c>
      <c r="D1391" s="1" t="s">
        <v>444</v>
      </c>
      <c r="E1391" s="11" t="s">
        <v>144</v>
      </c>
      <c r="F1391" s="3" t="s">
        <v>8</v>
      </c>
      <c r="G1391" s="48" t="s">
        <v>73</v>
      </c>
      <c r="H1391" s="8"/>
      <c r="I1391" s="8"/>
      <c r="J1391" s="6" t="s">
        <v>108</v>
      </c>
      <c r="K1391" s="38">
        <v>117000</v>
      </c>
      <c r="L1391" s="4" t="s">
        <v>26</v>
      </c>
      <c r="M1391" s="11">
        <f>_xlfn.NUMBERVALUE(LEFT(Table613[[#This Row],[Fiscal Year]], 4))</f>
        <v>2018</v>
      </c>
      <c r="N1391" s="42">
        <f t="shared" si="29"/>
        <v>117000</v>
      </c>
      <c r="O1391" s="3">
        <v>1389</v>
      </c>
    </row>
    <row r="1392" spans="1:15" x14ac:dyDescent="0.25">
      <c r="A1392" s="3">
        <v>4</v>
      </c>
      <c r="B1392" s="3" t="s">
        <v>258</v>
      </c>
      <c r="C1392" s="1" t="s">
        <v>13</v>
      </c>
      <c r="D1392" s="1" t="s">
        <v>444</v>
      </c>
      <c r="E1392" s="11" t="s">
        <v>144</v>
      </c>
      <c r="F1392" s="3" t="s">
        <v>8</v>
      </c>
      <c r="G1392" s="48" t="s">
        <v>74</v>
      </c>
      <c r="H1392" s="8" t="s">
        <v>611</v>
      </c>
      <c r="I1392" s="8" t="s">
        <v>458</v>
      </c>
      <c r="J1392" s="6" t="s">
        <v>108</v>
      </c>
      <c r="K1392" s="38">
        <v>2000</v>
      </c>
      <c r="L1392" s="4" t="s">
        <v>26</v>
      </c>
      <c r="M1392" s="11">
        <f>_xlfn.NUMBERVALUE(LEFT(Table613[[#This Row],[Fiscal Year]], 4))</f>
        <v>2018</v>
      </c>
      <c r="N1392" s="42">
        <f t="shared" si="29"/>
        <v>2000</v>
      </c>
      <c r="O1392" s="3">
        <v>1390</v>
      </c>
    </row>
    <row r="1393" spans="1:15" x14ac:dyDescent="0.25">
      <c r="A1393" s="3">
        <v>4</v>
      </c>
      <c r="B1393" s="3" t="s">
        <v>258</v>
      </c>
      <c r="C1393" s="1" t="s">
        <v>13</v>
      </c>
      <c r="D1393" s="1" t="s">
        <v>444</v>
      </c>
      <c r="E1393" s="11" t="s">
        <v>144</v>
      </c>
      <c r="F1393" s="3" t="s">
        <v>8</v>
      </c>
      <c r="G1393" s="66" t="s">
        <v>75</v>
      </c>
      <c r="H1393" s="8" t="s">
        <v>485</v>
      </c>
      <c r="I1393" s="8" t="s">
        <v>458</v>
      </c>
      <c r="J1393" s="6" t="s">
        <v>108</v>
      </c>
      <c r="K1393" s="38">
        <v>60000</v>
      </c>
      <c r="L1393" s="4" t="s">
        <v>26</v>
      </c>
      <c r="M1393" s="11">
        <f>_xlfn.NUMBERVALUE(LEFT(Table613[[#This Row],[Fiscal Year]], 4))</f>
        <v>2018</v>
      </c>
      <c r="N1393" s="42">
        <f t="shared" si="29"/>
        <v>60000</v>
      </c>
      <c r="O1393" s="3">
        <v>1391</v>
      </c>
    </row>
    <row r="1394" spans="1:15" x14ac:dyDescent="0.25">
      <c r="A1394" s="3">
        <v>4</v>
      </c>
      <c r="B1394" s="3" t="s">
        <v>258</v>
      </c>
      <c r="C1394" s="1" t="s">
        <v>13</v>
      </c>
      <c r="D1394" s="1" t="s">
        <v>444</v>
      </c>
      <c r="E1394" s="11" t="s">
        <v>144</v>
      </c>
      <c r="F1394" s="3" t="s">
        <v>8</v>
      </c>
      <c r="G1394" s="48" t="s">
        <v>76</v>
      </c>
      <c r="H1394" s="8"/>
      <c r="I1394" s="8"/>
      <c r="J1394" s="6" t="s">
        <v>76</v>
      </c>
      <c r="K1394" s="38">
        <v>0</v>
      </c>
      <c r="L1394" s="4" t="s">
        <v>26</v>
      </c>
      <c r="M1394" s="11">
        <f>_xlfn.NUMBERVALUE(LEFT(Table613[[#This Row],[Fiscal Year]], 4))</f>
        <v>2018</v>
      </c>
      <c r="N1394" s="43">
        <f t="shared" si="29"/>
        <v>0</v>
      </c>
      <c r="O1394" s="3">
        <v>1392</v>
      </c>
    </row>
    <row r="1395" spans="1:15" x14ac:dyDescent="0.25">
      <c r="A1395" s="3">
        <v>4</v>
      </c>
      <c r="B1395" s="3" t="s">
        <v>258</v>
      </c>
      <c r="C1395" s="1" t="s">
        <v>13</v>
      </c>
      <c r="D1395" s="1" t="s">
        <v>444</v>
      </c>
      <c r="E1395" s="11" t="s">
        <v>144</v>
      </c>
      <c r="F1395" s="3" t="s">
        <v>8</v>
      </c>
      <c r="G1395" s="66" t="s">
        <v>77</v>
      </c>
      <c r="H1395" s="8"/>
      <c r="I1395" s="8"/>
      <c r="J1395" s="6" t="s">
        <v>106</v>
      </c>
      <c r="K1395" s="38">
        <v>500</v>
      </c>
      <c r="L1395" s="4" t="s">
        <v>26</v>
      </c>
      <c r="M1395" s="11">
        <f>_xlfn.NUMBERVALUE(LEFT(Table613[[#This Row],[Fiscal Year]], 4))</f>
        <v>2018</v>
      </c>
      <c r="N1395" s="42">
        <f t="shared" si="29"/>
        <v>500</v>
      </c>
      <c r="O1395" s="3">
        <v>1393</v>
      </c>
    </row>
    <row r="1396" spans="1:15" x14ac:dyDescent="0.25">
      <c r="A1396" s="3">
        <v>4</v>
      </c>
      <c r="B1396" s="3" t="s">
        <v>258</v>
      </c>
      <c r="C1396" s="1" t="s">
        <v>13</v>
      </c>
      <c r="D1396" s="1" t="s">
        <v>444</v>
      </c>
      <c r="E1396" s="11" t="s">
        <v>144</v>
      </c>
      <c r="F1396" s="3" t="s">
        <v>8</v>
      </c>
      <c r="G1396" s="66" t="s">
        <v>78</v>
      </c>
      <c r="H1396" s="8"/>
      <c r="I1396" s="8"/>
      <c r="J1396" s="6" t="s">
        <v>47</v>
      </c>
      <c r="K1396" s="38" t="s">
        <v>827</v>
      </c>
      <c r="L1396" s="4" t="s">
        <v>26</v>
      </c>
      <c r="M1396" s="11">
        <f>_xlfn.NUMBERVALUE(LEFT(Table613[[#This Row],[Fiscal Year]], 4))</f>
        <v>2018</v>
      </c>
      <c r="O1396" s="3">
        <v>1394</v>
      </c>
    </row>
    <row r="1397" spans="1:15" x14ac:dyDescent="0.25">
      <c r="A1397" s="3">
        <v>4</v>
      </c>
      <c r="B1397" s="3" t="s">
        <v>258</v>
      </c>
      <c r="C1397" s="1" t="s">
        <v>13</v>
      </c>
      <c r="D1397" s="1" t="s">
        <v>444</v>
      </c>
      <c r="E1397" s="11" t="s">
        <v>144</v>
      </c>
      <c r="F1397" s="3" t="s">
        <v>8</v>
      </c>
      <c r="G1397" s="48" t="s">
        <v>79</v>
      </c>
      <c r="H1397" s="8" t="s">
        <v>483</v>
      </c>
      <c r="I1397" s="8" t="s">
        <v>458</v>
      </c>
      <c r="J1397" s="6" t="s">
        <v>455</v>
      </c>
      <c r="K1397" s="38">
        <v>14000</v>
      </c>
      <c r="L1397" s="4" t="s">
        <v>26</v>
      </c>
      <c r="M1397" s="11">
        <f>_xlfn.NUMBERVALUE(LEFT(Table613[[#This Row],[Fiscal Year]], 4))</f>
        <v>2018</v>
      </c>
      <c r="N1397" s="42">
        <f t="shared" si="29"/>
        <v>14000</v>
      </c>
      <c r="O1397" s="3">
        <v>1395</v>
      </c>
    </row>
    <row r="1398" spans="1:15" x14ac:dyDescent="0.25">
      <c r="A1398" s="3">
        <v>4</v>
      </c>
      <c r="B1398" s="3" t="s">
        <v>258</v>
      </c>
      <c r="C1398" s="1" t="s">
        <v>13</v>
      </c>
      <c r="D1398" s="1" t="s">
        <v>444</v>
      </c>
      <c r="E1398" s="11" t="s">
        <v>144</v>
      </c>
      <c r="F1398" s="3" t="s">
        <v>8</v>
      </c>
      <c r="G1398" s="66" t="s">
        <v>80</v>
      </c>
      <c r="H1398" s="8"/>
      <c r="I1398" s="8"/>
      <c r="J1398" s="6" t="s">
        <v>605</v>
      </c>
      <c r="K1398" s="38" t="s">
        <v>827</v>
      </c>
      <c r="L1398" s="4" t="s">
        <v>26</v>
      </c>
      <c r="M1398" s="11">
        <f>_xlfn.NUMBERVALUE(LEFT(Table613[[#This Row],[Fiscal Year]], 4))</f>
        <v>2018</v>
      </c>
      <c r="O1398" s="3">
        <v>1396</v>
      </c>
    </row>
    <row r="1399" spans="1:15" x14ac:dyDescent="0.25">
      <c r="A1399" s="3">
        <v>4</v>
      </c>
      <c r="B1399" s="3" t="s">
        <v>258</v>
      </c>
      <c r="C1399" s="1" t="s">
        <v>13</v>
      </c>
      <c r="D1399" s="1" t="s">
        <v>444</v>
      </c>
      <c r="E1399" s="11" t="s">
        <v>144</v>
      </c>
      <c r="F1399" s="3" t="s">
        <v>8</v>
      </c>
      <c r="G1399" s="66" t="s">
        <v>67</v>
      </c>
      <c r="H1399" s="8"/>
      <c r="I1399" s="8"/>
      <c r="J1399" s="6" t="s">
        <v>455</v>
      </c>
      <c r="K1399" s="38" t="s">
        <v>827</v>
      </c>
      <c r="L1399" s="4" t="s">
        <v>26</v>
      </c>
      <c r="M1399" s="11">
        <f>_xlfn.NUMBERVALUE(LEFT(Table613[[#This Row],[Fiscal Year]], 4))</f>
        <v>2018</v>
      </c>
      <c r="O1399" s="3">
        <v>1397</v>
      </c>
    </row>
    <row r="1400" spans="1:15" x14ac:dyDescent="0.25">
      <c r="C1400" s="1"/>
      <c r="D1400" s="1"/>
      <c r="E1400" s="11"/>
      <c r="G1400" s="66"/>
      <c r="H1400" s="8"/>
      <c r="I1400" s="8"/>
      <c r="J1400" s="6"/>
      <c r="L1400" s="4"/>
      <c r="O1400" s="3">
        <v>1398</v>
      </c>
    </row>
    <row r="1401" spans="1:15" x14ac:dyDescent="0.25">
      <c r="A1401" s="3">
        <v>4</v>
      </c>
      <c r="B1401" s="3" t="s">
        <v>13</v>
      </c>
      <c r="C1401" s="1" t="s">
        <v>13</v>
      </c>
      <c r="D1401" s="1" t="s">
        <v>444</v>
      </c>
      <c r="E1401" s="11" t="s">
        <v>144</v>
      </c>
      <c r="F1401" s="3" t="s">
        <v>8</v>
      </c>
      <c r="G1401" s="48" t="s">
        <v>32</v>
      </c>
      <c r="H1401" s="8" t="s">
        <v>608</v>
      </c>
      <c r="I1401" s="70" t="s">
        <v>609</v>
      </c>
      <c r="J1401" s="6" t="s">
        <v>110</v>
      </c>
      <c r="K1401" s="38">
        <v>107000</v>
      </c>
      <c r="L1401" s="4" t="s">
        <v>26</v>
      </c>
      <c r="M1401" s="11">
        <f>_xlfn.NUMBERVALUE(LEFT(Table613[[#This Row],[Fiscal Year]], 4))</f>
        <v>2018</v>
      </c>
      <c r="N1401" s="42">
        <f t="shared" si="29"/>
        <v>107000</v>
      </c>
      <c r="O1401" s="3">
        <v>1399</v>
      </c>
    </row>
    <row r="1402" spans="1:15" x14ac:dyDescent="0.25">
      <c r="A1402" s="3">
        <v>4</v>
      </c>
      <c r="B1402" s="3" t="s">
        <v>13</v>
      </c>
      <c r="C1402" s="1" t="s">
        <v>13</v>
      </c>
      <c r="D1402" s="1" t="s">
        <v>444</v>
      </c>
      <c r="E1402" s="11" t="s">
        <v>144</v>
      </c>
      <c r="F1402" s="3" t="s">
        <v>8</v>
      </c>
      <c r="G1402" s="48" t="s">
        <v>68</v>
      </c>
      <c r="H1402" s="6"/>
      <c r="I1402" s="8"/>
      <c r="J1402" s="6" t="s">
        <v>42</v>
      </c>
      <c r="K1402" s="38">
        <v>33000</v>
      </c>
      <c r="L1402" s="4" t="s">
        <v>26</v>
      </c>
      <c r="M1402" s="11">
        <f>_xlfn.NUMBERVALUE(LEFT(Table613[[#This Row],[Fiscal Year]], 4))</f>
        <v>2018</v>
      </c>
      <c r="N1402" s="42">
        <f t="shared" si="29"/>
        <v>33000</v>
      </c>
      <c r="O1402" s="3">
        <v>1400</v>
      </c>
    </row>
    <row r="1403" spans="1:15" x14ac:dyDescent="0.25">
      <c r="A1403" s="3">
        <v>4</v>
      </c>
      <c r="B1403" s="3" t="s">
        <v>13</v>
      </c>
      <c r="C1403" s="1" t="s">
        <v>13</v>
      </c>
      <c r="D1403" s="1" t="s">
        <v>444</v>
      </c>
      <c r="E1403" s="11" t="s">
        <v>144</v>
      </c>
      <c r="F1403" s="3" t="s">
        <v>8</v>
      </c>
      <c r="G1403" s="48" t="s">
        <v>69</v>
      </c>
      <c r="H1403" s="8"/>
      <c r="I1403" s="8"/>
      <c r="J1403" s="6" t="s">
        <v>109</v>
      </c>
      <c r="K1403" s="38">
        <v>120000</v>
      </c>
      <c r="L1403" s="4" t="s">
        <v>26</v>
      </c>
      <c r="M1403" s="11">
        <f>_xlfn.NUMBERVALUE(LEFT(Table613[[#This Row],[Fiscal Year]], 4))</f>
        <v>2018</v>
      </c>
      <c r="N1403" s="42">
        <f t="shared" si="29"/>
        <v>120000</v>
      </c>
      <c r="O1403" s="3">
        <v>1401</v>
      </c>
    </row>
    <row r="1404" spans="1:15" x14ac:dyDescent="0.25">
      <c r="A1404" s="3">
        <v>4</v>
      </c>
      <c r="B1404" s="3" t="s">
        <v>13</v>
      </c>
      <c r="C1404" s="1" t="s">
        <v>13</v>
      </c>
      <c r="D1404" s="1" t="s">
        <v>444</v>
      </c>
      <c r="E1404" s="11" t="s">
        <v>144</v>
      </c>
      <c r="F1404" s="3" t="s">
        <v>8</v>
      </c>
      <c r="G1404" s="48" t="s">
        <v>59</v>
      </c>
      <c r="H1404" s="8"/>
      <c r="I1404" s="8"/>
      <c r="J1404" s="6" t="s">
        <v>111</v>
      </c>
      <c r="K1404" s="38">
        <v>400000</v>
      </c>
      <c r="L1404" s="4" t="s">
        <v>26</v>
      </c>
      <c r="M1404" s="11">
        <f>_xlfn.NUMBERVALUE(LEFT(Table613[[#This Row],[Fiscal Year]], 4))</f>
        <v>2018</v>
      </c>
      <c r="N1404" s="42">
        <f t="shared" si="29"/>
        <v>400000</v>
      </c>
      <c r="O1404" s="3">
        <v>1402</v>
      </c>
    </row>
    <row r="1405" spans="1:15" x14ac:dyDescent="0.25">
      <c r="A1405" s="3">
        <v>4</v>
      </c>
      <c r="B1405" s="3" t="s">
        <v>13</v>
      </c>
      <c r="C1405" s="1" t="s">
        <v>13</v>
      </c>
      <c r="D1405" s="1" t="s">
        <v>444</v>
      </c>
      <c r="E1405" s="11" t="s">
        <v>144</v>
      </c>
      <c r="F1405" s="3" t="s">
        <v>8</v>
      </c>
      <c r="G1405" s="66" t="s">
        <v>70</v>
      </c>
      <c r="H1405" s="8"/>
      <c r="I1405" s="8"/>
      <c r="J1405" s="6" t="s">
        <v>107</v>
      </c>
      <c r="K1405" s="38">
        <v>45000</v>
      </c>
      <c r="L1405" s="4" t="s">
        <v>26</v>
      </c>
      <c r="M1405" s="11">
        <f>_xlfn.NUMBERVALUE(LEFT(Table613[[#This Row],[Fiscal Year]], 4))</f>
        <v>2018</v>
      </c>
      <c r="N1405" s="42">
        <f t="shared" si="29"/>
        <v>45000</v>
      </c>
      <c r="O1405" s="3">
        <v>1403</v>
      </c>
    </row>
    <row r="1406" spans="1:15" x14ac:dyDescent="0.25">
      <c r="A1406" s="3">
        <v>4</v>
      </c>
      <c r="B1406" s="3" t="s">
        <v>13</v>
      </c>
      <c r="C1406" s="1" t="s">
        <v>13</v>
      </c>
      <c r="D1406" s="1" t="s">
        <v>444</v>
      </c>
      <c r="E1406" s="11" t="s">
        <v>144</v>
      </c>
      <c r="F1406" s="3" t="s">
        <v>8</v>
      </c>
      <c r="G1406" s="48" t="s">
        <v>72</v>
      </c>
      <c r="H1406" s="8" t="s">
        <v>610</v>
      </c>
      <c r="I1406" s="8" t="s">
        <v>458</v>
      </c>
      <c r="J1406" s="6" t="s">
        <v>108</v>
      </c>
      <c r="K1406" s="38" t="s">
        <v>827</v>
      </c>
      <c r="L1406" s="4" t="s">
        <v>26</v>
      </c>
      <c r="M1406" s="11">
        <f>_xlfn.NUMBERVALUE(LEFT(Table613[[#This Row],[Fiscal Year]], 4))</f>
        <v>2018</v>
      </c>
      <c r="O1406" s="3">
        <v>1404</v>
      </c>
    </row>
    <row r="1407" spans="1:15" x14ac:dyDescent="0.25">
      <c r="A1407" s="3">
        <v>4</v>
      </c>
      <c r="B1407" s="3" t="s">
        <v>13</v>
      </c>
      <c r="C1407" s="1" t="s">
        <v>13</v>
      </c>
      <c r="D1407" s="1" t="s">
        <v>444</v>
      </c>
      <c r="E1407" s="11" t="s">
        <v>144</v>
      </c>
      <c r="F1407" s="3" t="s">
        <v>8</v>
      </c>
      <c r="G1407" s="66" t="s">
        <v>71</v>
      </c>
      <c r="H1407" s="8" t="s">
        <v>484</v>
      </c>
      <c r="I1407" s="8" t="s">
        <v>458</v>
      </c>
      <c r="J1407" s="6" t="s">
        <v>108</v>
      </c>
      <c r="K1407" s="38">
        <v>325000</v>
      </c>
      <c r="L1407" s="4" t="s">
        <v>26</v>
      </c>
      <c r="M1407" s="11">
        <f>_xlfn.NUMBERVALUE(LEFT(Table613[[#This Row],[Fiscal Year]], 4))</f>
        <v>2018</v>
      </c>
      <c r="N1407" s="42">
        <f t="shared" si="29"/>
        <v>325000</v>
      </c>
      <c r="O1407" s="3">
        <v>1405</v>
      </c>
    </row>
    <row r="1408" spans="1:15" x14ac:dyDescent="0.25">
      <c r="A1408" s="3">
        <v>4</v>
      </c>
      <c r="B1408" s="3" t="s">
        <v>13</v>
      </c>
      <c r="C1408" s="1" t="s">
        <v>13</v>
      </c>
      <c r="D1408" s="1" t="s">
        <v>444</v>
      </c>
      <c r="E1408" s="11" t="s">
        <v>144</v>
      </c>
      <c r="F1408" s="3" t="s">
        <v>8</v>
      </c>
      <c r="G1408" s="48" t="s">
        <v>73</v>
      </c>
      <c r="H1408" s="8"/>
      <c r="I1408" s="8"/>
      <c r="J1408" s="6" t="s">
        <v>108</v>
      </c>
      <c r="K1408" s="38">
        <v>50000</v>
      </c>
      <c r="L1408" s="4" t="s">
        <v>26</v>
      </c>
      <c r="M1408" s="11">
        <f>_xlfn.NUMBERVALUE(LEFT(Table613[[#This Row],[Fiscal Year]], 4))</f>
        <v>2018</v>
      </c>
      <c r="N1408" s="42">
        <f t="shared" si="29"/>
        <v>50000</v>
      </c>
      <c r="O1408" s="3">
        <v>1406</v>
      </c>
    </row>
    <row r="1409" spans="1:15" x14ac:dyDescent="0.25">
      <c r="A1409" s="3">
        <v>4</v>
      </c>
      <c r="B1409" s="3" t="s">
        <v>13</v>
      </c>
      <c r="C1409" s="1" t="s">
        <v>13</v>
      </c>
      <c r="D1409" s="1" t="s">
        <v>444</v>
      </c>
      <c r="E1409" s="11" t="s">
        <v>144</v>
      </c>
      <c r="F1409" s="3" t="s">
        <v>8</v>
      </c>
      <c r="G1409" s="48" t="s">
        <v>74</v>
      </c>
      <c r="H1409" s="8" t="s">
        <v>611</v>
      </c>
      <c r="I1409" s="8" t="s">
        <v>458</v>
      </c>
      <c r="J1409" s="6" t="s">
        <v>108</v>
      </c>
      <c r="K1409" s="38">
        <v>10000</v>
      </c>
      <c r="L1409" s="4" t="s">
        <v>26</v>
      </c>
      <c r="M1409" s="11">
        <f>_xlfn.NUMBERVALUE(LEFT(Table613[[#This Row],[Fiscal Year]], 4))</f>
        <v>2018</v>
      </c>
      <c r="N1409" s="42">
        <f t="shared" si="29"/>
        <v>10000</v>
      </c>
      <c r="O1409" s="3">
        <v>1407</v>
      </c>
    </row>
    <row r="1410" spans="1:15" x14ac:dyDescent="0.25">
      <c r="A1410" s="3">
        <v>4</v>
      </c>
      <c r="B1410" s="3" t="s">
        <v>13</v>
      </c>
      <c r="C1410" s="1" t="s">
        <v>13</v>
      </c>
      <c r="D1410" s="1" t="s">
        <v>444</v>
      </c>
      <c r="E1410" s="11" t="s">
        <v>144</v>
      </c>
      <c r="F1410" s="3" t="s">
        <v>8</v>
      </c>
      <c r="G1410" s="66" t="s">
        <v>75</v>
      </c>
      <c r="H1410" s="8" t="s">
        <v>485</v>
      </c>
      <c r="I1410" s="8" t="s">
        <v>458</v>
      </c>
      <c r="J1410" s="6" t="s">
        <v>108</v>
      </c>
      <c r="K1410" s="38">
        <v>40000</v>
      </c>
      <c r="L1410" s="4" t="s">
        <v>26</v>
      </c>
      <c r="M1410" s="11">
        <f>_xlfn.NUMBERVALUE(LEFT(Table613[[#This Row],[Fiscal Year]], 4))</f>
        <v>2018</v>
      </c>
      <c r="N1410" s="42">
        <f t="shared" si="29"/>
        <v>40000</v>
      </c>
      <c r="O1410" s="3">
        <v>1408</v>
      </c>
    </row>
    <row r="1411" spans="1:15" x14ac:dyDescent="0.25">
      <c r="A1411" s="3">
        <v>4</v>
      </c>
      <c r="B1411" s="3" t="s">
        <v>13</v>
      </c>
      <c r="C1411" s="1" t="s">
        <v>13</v>
      </c>
      <c r="D1411" s="1" t="s">
        <v>444</v>
      </c>
      <c r="E1411" s="11" t="s">
        <v>144</v>
      </c>
      <c r="F1411" s="3" t="s">
        <v>8</v>
      </c>
      <c r="G1411" s="48" t="s">
        <v>76</v>
      </c>
      <c r="H1411" s="8"/>
      <c r="I1411" s="8"/>
      <c r="J1411" s="6" t="s">
        <v>76</v>
      </c>
      <c r="K1411" s="38">
        <v>100000</v>
      </c>
      <c r="L1411" s="4" t="s">
        <v>26</v>
      </c>
      <c r="M1411" s="11">
        <f>_xlfn.NUMBERVALUE(LEFT(Table613[[#This Row],[Fiscal Year]], 4))</f>
        <v>2018</v>
      </c>
      <c r="N1411" s="42">
        <f t="shared" si="29"/>
        <v>100000</v>
      </c>
      <c r="O1411" s="3">
        <v>1409</v>
      </c>
    </row>
    <row r="1412" spans="1:15" x14ac:dyDescent="0.25">
      <c r="A1412" s="3">
        <v>4</v>
      </c>
      <c r="B1412" s="3" t="s">
        <v>13</v>
      </c>
      <c r="C1412" s="1" t="s">
        <v>13</v>
      </c>
      <c r="D1412" s="1" t="s">
        <v>444</v>
      </c>
      <c r="E1412" s="11" t="s">
        <v>144</v>
      </c>
      <c r="F1412" s="3" t="s">
        <v>8</v>
      </c>
      <c r="G1412" s="66" t="s">
        <v>77</v>
      </c>
      <c r="H1412" s="8"/>
      <c r="I1412" s="8"/>
      <c r="J1412" s="6" t="s">
        <v>106</v>
      </c>
      <c r="K1412" s="38">
        <v>30000</v>
      </c>
      <c r="L1412" s="4" t="s">
        <v>26</v>
      </c>
      <c r="M1412" s="11">
        <f>_xlfn.NUMBERVALUE(LEFT(Table613[[#This Row],[Fiscal Year]], 4))</f>
        <v>2018</v>
      </c>
      <c r="N1412" s="42">
        <f t="shared" si="29"/>
        <v>30000</v>
      </c>
      <c r="O1412" s="3">
        <v>1410</v>
      </c>
    </row>
    <row r="1413" spans="1:15" x14ac:dyDescent="0.25">
      <c r="A1413" s="3">
        <v>4</v>
      </c>
      <c r="B1413" s="3" t="s">
        <v>13</v>
      </c>
      <c r="C1413" s="1" t="s">
        <v>13</v>
      </c>
      <c r="D1413" s="1" t="s">
        <v>444</v>
      </c>
      <c r="E1413" s="11" t="s">
        <v>144</v>
      </c>
      <c r="F1413" s="3" t="s">
        <v>8</v>
      </c>
      <c r="G1413" s="66" t="s">
        <v>78</v>
      </c>
      <c r="H1413" s="8"/>
      <c r="I1413" s="8"/>
      <c r="J1413" s="6" t="s">
        <v>47</v>
      </c>
      <c r="K1413" s="38" t="s">
        <v>827</v>
      </c>
      <c r="L1413" s="4" t="s">
        <v>26</v>
      </c>
      <c r="M1413" s="11">
        <f>_xlfn.NUMBERVALUE(LEFT(Table613[[#This Row],[Fiscal Year]], 4))</f>
        <v>2018</v>
      </c>
      <c r="O1413" s="3">
        <v>1411</v>
      </c>
    </row>
    <row r="1414" spans="1:15" x14ac:dyDescent="0.25">
      <c r="A1414" s="3">
        <v>4</v>
      </c>
      <c r="B1414" s="3" t="s">
        <v>13</v>
      </c>
      <c r="C1414" s="1" t="s">
        <v>13</v>
      </c>
      <c r="D1414" s="1" t="s">
        <v>444</v>
      </c>
      <c r="E1414" s="11" t="s">
        <v>144</v>
      </c>
      <c r="F1414" s="3" t="s">
        <v>8</v>
      </c>
      <c r="G1414" s="48" t="s">
        <v>79</v>
      </c>
      <c r="H1414" s="8" t="s">
        <v>483</v>
      </c>
      <c r="I1414" s="8" t="s">
        <v>458</v>
      </c>
      <c r="J1414" s="6" t="s">
        <v>455</v>
      </c>
      <c r="K1414" s="38">
        <v>133000</v>
      </c>
      <c r="L1414" s="4" t="s">
        <v>26</v>
      </c>
      <c r="M1414" s="11">
        <f>_xlfn.NUMBERVALUE(LEFT(Table613[[#This Row],[Fiscal Year]], 4))</f>
        <v>2018</v>
      </c>
      <c r="N1414" s="42">
        <f t="shared" si="29"/>
        <v>133000</v>
      </c>
      <c r="O1414" s="3">
        <v>1412</v>
      </c>
    </row>
    <row r="1415" spans="1:15" x14ac:dyDescent="0.25">
      <c r="A1415" s="3">
        <v>4</v>
      </c>
      <c r="B1415" s="3" t="s">
        <v>13</v>
      </c>
      <c r="C1415" s="1" t="s">
        <v>13</v>
      </c>
      <c r="D1415" s="1" t="s">
        <v>444</v>
      </c>
      <c r="E1415" s="11" t="s">
        <v>144</v>
      </c>
      <c r="F1415" s="3" t="s">
        <v>8</v>
      </c>
      <c r="G1415" s="66" t="s">
        <v>80</v>
      </c>
      <c r="H1415" s="8"/>
      <c r="I1415" s="8"/>
      <c r="J1415" s="6" t="s">
        <v>605</v>
      </c>
      <c r="K1415" s="38">
        <v>75000</v>
      </c>
      <c r="L1415" s="4" t="s">
        <v>26</v>
      </c>
      <c r="M1415" s="11">
        <f>_xlfn.NUMBERVALUE(LEFT(Table613[[#This Row],[Fiscal Year]], 4))</f>
        <v>2018</v>
      </c>
      <c r="N1415" s="42">
        <f t="shared" si="29"/>
        <v>75000</v>
      </c>
      <c r="O1415" s="3">
        <v>1413</v>
      </c>
    </row>
    <row r="1416" spans="1:15" x14ac:dyDescent="0.25">
      <c r="A1416" s="3">
        <v>4</v>
      </c>
      <c r="B1416" s="3" t="s">
        <v>13</v>
      </c>
      <c r="C1416" s="1" t="s">
        <v>13</v>
      </c>
      <c r="D1416" s="1" t="s">
        <v>444</v>
      </c>
      <c r="E1416" s="11" t="s">
        <v>144</v>
      </c>
      <c r="F1416" s="3" t="s">
        <v>8</v>
      </c>
      <c r="G1416" s="66" t="s">
        <v>67</v>
      </c>
      <c r="H1416" s="8"/>
      <c r="I1416" s="8"/>
      <c r="J1416" s="6" t="s">
        <v>455</v>
      </c>
      <c r="K1416" s="38" t="s">
        <v>827</v>
      </c>
      <c r="L1416" s="4" t="s">
        <v>26</v>
      </c>
      <c r="M1416" s="11">
        <f>_xlfn.NUMBERVALUE(LEFT(Table613[[#This Row],[Fiscal Year]], 4))</f>
        <v>2018</v>
      </c>
      <c r="O1416" s="3">
        <v>1414</v>
      </c>
    </row>
    <row r="1417" spans="1:15" x14ac:dyDescent="0.25">
      <c r="C1417" s="1"/>
      <c r="D1417" s="1"/>
      <c r="E1417" s="11"/>
      <c r="G1417" s="66"/>
      <c r="H1417" s="8"/>
      <c r="I1417" s="8"/>
      <c r="J1417" s="6"/>
      <c r="L1417" s="4"/>
      <c r="O1417" s="3">
        <v>1415</v>
      </c>
    </row>
    <row r="1418" spans="1:15" x14ac:dyDescent="0.25">
      <c r="A1418" s="3">
        <v>4</v>
      </c>
      <c r="B1418" s="3" t="s">
        <v>259</v>
      </c>
      <c r="C1418" s="1" t="s">
        <v>13</v>
      </c>
      <c r="D1418" s="1" t="s">
        <v>444</v>
      </c>
      <c r="E1418" s="11" t="s">
        <v>144</v>
      </c>
      <c r="F1418" s="3" t="s">
        <v>8</v>
      </c>
      <c r="G1418" s="48" t="s">
        <v>32</v>
      </c>
      <c r="H1418" s="8" t="s">
        <v>608</v>
      </c>
      <c r="I1418" s="70" t="s">
        <v>609</v>
      </c>
      <c r="J1418" s="6" t="s">
        <v>110</v>
      </c>
      <c r="K1418" s="38">
        <v>40000</v>
      </c>
      <c r="L1418" s="4" t="s">
        <v>26</v>
      </c>
      <c r="M1418" s="11">
        <f>_xlfn.NUMBERVALUE(LEFT(Table613[[#This Row],[Fiscal Year]], 4))</f>
        <v>2018</v>
      </c>
      <c r="N1418" s="42">
        <f t="shared" si="29"/>
        <v>40000</v>
      </c>
      <c r="O1418" s="3">
        <v>1416</v>
      </c>
    </row>
    <row r="1419" spans="1:15" x14ac:dyDescent="0.25">
      <c r="A1419" s="3">
        <v>4</v>
      </c>
      <c r="B1419" s="3" t="s">
        <v>259</v>
      </c>
      <c r="C1419" s="1" t="s">
        <v>13</v>
      </c>
      <c r="D1419" s="1" t="s">
        <v>444</v>
      </c>
      <c r="E1419" s="11" t="s">
        <v>144</v>
      </c>
      <c r="F1419" s="3" t="s">
        <v>8</v>
      </c>
      <c r="G1419" s="48" t="s">
        <v>68</v>
      </c>
      <c r="H1419" s="6"/>
      <c r="I1419" s="8"/>
      <c r="J1419" s="6" t="s">
        <v>42</v>
      </c>
      <c r="K1419" s="38">
        <v>500</v>
      </c>
      <c r="L1419" s="4" t="s">
        <v>26</v>
      </c>
      <c r="M1419" s="11">
        <f>_xlfn.NUMBERVALUE(LEFT(Table613[[#This Row],[Fiscal Year]], 4))</f>
        <v>2018</v>
      </c>
      <c r="N1419" s="42">
        <f t="shared" si="29"/>
        <v>500</v>
      </c>
      <c r="O1419" s="3">
        <v>1417</v>
      </c>
    </row>
    <row r="1420" spans="1:15" x14ac:dyDescent="0.25">
      <c r="A1420" s="3">
        <v>4</v>
      </c>
      <c r="B1420" s="3" t="s">
        <v>259</v>
      </c>
      <c r="C1420" s="1" t="s">
        <v>13</v>
      </c>
      <c r="D1420" s="1" t="s">
        <v>444</v>
      </c>
      <c r="E1420" s="11" t="s">
        <v>144</v>
      </c>
      <c r="F1420" s="3" t="s">
        <v>8</v>
      </c>
      <c r="G1420" s="48" t="s">
        <v>69</v>
      </c>
      <c r="H1420" s="8"/>
      <c r="I1420" s="8"/>
      <c r="J1420" s="6" t="s">
        <v>109</v>
      </c>
      <c r="K1420" s="38">
        <v>3000</v>
      </c>
      <c r="L1420" s="4" t="s">
        <v>26</v>
      </c>
      <c r="M1420" s="11">
        <f>_xlfn.NUMBERVALUE(LEFT(Table613[[#This Row],[Fiscal Year]], 4))</f>
        <v>2018</v>
      </c>
      <c r="N1420" s="42">
        <f t="shared" ref="N1420:N1483" si="30">K1420*(1+VLOOKUP(M1420,$AF$8:$AH$31,3,0))</f>
        <v>3000</v>
      </c>
      <c r="O1420" s="3">
        <v>1418</v>
      </c>
    </row>
    <row r="1421" spans="1:15" x14ac:dyDescent="0.25">
      <c r="A1421" s="3">
        <v>4</v>
      </c>
      <c r="B1421" s="3" t="s">
        <v>259</v>
      </c>
      <c r="C1421" s="1" t="s">
        <v>13</v>
      </c>
      <c r="D1421" s="1" t="s">
        <v>444</v>
      </c>
      <c r="E1421" s="11" t="s">
        <v>144</v>
      </c>
      <c r="F1421" s="3" t="s">
        <v>8</v>
      </c>
      <c r="G1421" s="48" t="s">
        <v>59</v>
      </c>
      <c r="H1421" s="8"/>
      <c r="I1421" s="8"/>
      <c r="J1421" s="6" t="s">
        <v>111</v>
      </c>
      <c r="K1421" s="38">
        <v>0</v>
      </c>
      <c r="L1421" s="4" t="s">
        <v>26</v>
      </c>
      <c r="M1421" s="11">
        <f>_xlfn.NUMBERVALUE(LEFT(Table613[[#This Row],[Fiscal Year]], 4))</f>
        <v>2018</v>
      </c>
      <c r="N1421" s="43">
        <f t="shared" si="30"/>
        <v>0</v>
      </c>
      <c r="O1421" s="3">
        <v>1419</v>
      </c>
    </row>
    <row r="1422" spans="1:15" x14ac:dyDescent="0.25">
      <c r="A1422" s="3">
        <v>4</v>
      </c>
      <c r="B1422" s="3" t="s">
        <v>259</v>
      </c>
      <c r="C1422" s="1" t="s">
        <v>13</v>
      </c>
      <c r="D1422" s="1" t="s">
        <v>444</v>
      </c>
      <c r="E1422" s="11" t="s">
        <v>144</v>
      </c>
      <c r="F1422" s="3" t="s">
        <v>8</v>
      </c>
      <c r="G1422" s="66" t="s">
        <v>70</v>
      </c>
      <c r="H1422" s="8"/>
      <c r="I1422" s="8"/>
      <c r="J1422" s="6" t="s">
        <v>107</v>
      </c>
      <c r="K1422" s="38">
        <v>20000</v>
      </c>
      <c r="L1422" s="4" t="s">
        <v>26</v>
      </c>
      <c r="M1422" s="11">
        <f>_xlfn.NUMBERVALUE(LEFT(Table613[[#This Row],[Fiscal Year]], 4))</f>
        <v>2018</v>
      </c>
      <c r="N1422" s="42">
        <f t="shared" si="30"/>
        <v>20000</v>
      </c>
      <c r="O1422" s="3">
        <v>1420</v>
      </c>
    </row>
    <row r="1423" spans="1:15" x14ac:dyDescent="0.25">
      <c r="A1423" s="3">
        <v>4</v>
      </c>
      <c r="B1423" s="3" t="s">
        <v>259</v>
      </c>
      <c r="C1423" s="1" t="s">
        <v>13</v>
      </c>
      <c r="D1423" s="1" t="s">
        <v>444</v>
      </c>
      <c r="E1423" s="11" t="s">
        <v>144</v>
      </c>
      <c r="F1423" s="3" t="s">
        <v>8</v>
      </c>
      <c r="G1423" s="48" t="s">
        <v>72</v>
      </c>
      <c r="H1423" s="8" t="s">
        <v>610</v>
      </c>
      <c r="I1423" s="8" t="s">
        <v>458</v>
      </c>
      <c r="J1423" s="6" t="s">
        <v>108</v>
      </c>
      <c r="K1423" s="38" t="s">
        <v>827</v>
      </c>
      <c r="L1423" s="4" t="s">
        <v>26</v>
      </c>
      <c r="M1423" s="11">
        <f>_xlfn.NUMBERVALUE(LEFT(Table613[[#This Row],[Fiscal Year]], 4))</f>
        <v>2018</v>
      </c>
      <c r="O1423" s="3">
        <v>1421</v>
      </c>
    </row>
    <row r="1424" spans="1:15" x14ac:dyDescent="0.25">
      <c r="A1424" s="3">
        <v>4</v>
      </c>
      <c r="B1424" s="3" t="s">
        <v>259</v>
      </c>
      <c r="C1424" s="1" t="s">
        <v>13</v>
      </c>
      <c r="D1424" s="1" t="s">
        <v>444</v>
      </c>
      <c r="E1424" s="11" t="s">
        <v>144</v>
      </c>
      <c r="F1424" s="3" t="s">
        <v>8</v>
      </c>
      <c r="G1424" s="66" t="s">
        <v>71</v>
      </c>
      <c r="H1424" s="8" t="s">
        <v>484</v>
      </c>
      <c r="I1424" s="8" t="s">
        <v>458</v>
      </c>
      <c r="J1424" s="6" t="s">
        <v>108</v>
      </c>
      <c r="K1424" s="38">
        <v>30000</v>
      </c>
      <c r="L1424" s="4" t="s">
        <v>26</v>
      </c>
      <c r="M1424" s="11">
        <f>_xlfn.NUMBERVALUE(LEFT(Table613[[#This Row],[Fiscal Year]], 4))</f>
        <v>2018</v>
      </c>
      <c r="N1424" s="42">
        <f t="shared" si="30"/>
        <v>30000</v>
      </c>
      <c r="O1424" s="3">
        <v>1422</v>
      </c>
    </row>
    <row r="1425" spans="1:15" x14ac:dyDescent="0.25">
      <c r="A1425" s="3">
        <v>4</v>
      </c>
      <c r="B1425" s="3" t="s">
        <v>259</v>
      </c>
      <c r="C1425" s="1" t="s">
        <v>13</v>
      </c>
      <c r="D1425" s="1" t="s">
        <v>444</v>
      </c>
      <c r="E1425" s="11" t="s">
        <v>144</v>
      </c>
      <c r="F1425" s="3" t="s">
        <v>8</v>
      </c>
      <c r="G1425" s="48" t="s">
        <v>73</v>
      </c>
      <c r="H1425" s="8"/>
      <c r="I1425" s="8"/>
      <c r="J1425" s="6" t="s">
        <v>108</v>
      </c>
      <c r="K1425" s="38">
        <v>10000</v>
      </c>
      <c r="L1425" s="4" t="s">
        <v>26</v>
      </c>
      <c r="M1425" s="11">
        <f>_xlfn.NUMBERVALUE(LEFT(Table613[[#This Row],[Fiscal Year]], 4))</f>
        <v>2018</v>
      </c>
      <c r="N1425" s="42">
        <f t="shared" si="30"/>
        <v>10000</v>
      </c>
      <c r="O1425" s="3">
        <v>1423</v>
      </c>
    </row>
    <row r="1426" spans="1:15" x14ac:dyDescent="0.25">
      <c r="A1426" s="3">
        <v>4</v>
      </c>
      <c r="B1426" s="3" t="s">
        <v>259</v>
      </c>
      <c r="C1426" s="1" t="s">
        <v>13</v>
      </c>
      <c r="D1426" s="1" t="s">
        <v>444</v>
      </c>
      <c r="E1426" s="11" t="s">
        <v>144</v>
      </c>
      <c r="F1426" s="3" t="s">
        <v>8</v>
      </c>
      <c r="G1426" s="48" t="s">
        <v>74</v>
      </c>
      <c r="H1426" s="8" t="s">
        <v>611</v>
      </c>
      <c r="I1426" s="8" t="s">
        <v>458</v>
      </c>
      <c r="J1426" s="6" t="s">
        <v>108</v>
      </c>
      <c r="K1426" s="38">
        <v>30000</v>
      </c>
      <c r="L1426" s="4" t="s">
        <v>26</v>
      </c>
      <c r="M1426" s="11">
        <f>_xlfn.NUMBERVALUE(LEFT(Table613[[#This Row],[Fiscal Year]], 4))</f>
        <v>2018</v>
      </c>
      <c r="N1426" s="42">
        <f t="shared" si="30"/>
        <v>30000</v>
      </c>
      <c r="O1426" s="3">
        <v>1424</v>
      </c>
    </row>
    <row r="1427" spans="1:15" x14ac:dyDescent="0.25">
      <c r="A1427" s="3">
        <v>4</v>
      </c>
      <c r="B1427" s="3" t="s">
        <v>259</v>
      </c>
      <c r="C1427" s="1" t="s">
        <v>13</v>
      </c>
      <c r="D1427" s="1" t="s">
        <v>444</v>
      </c>
      <c r="E1427" s="11" t="s">
        <v>144</v>
      </c>
      <c r="F1427" s="3" t="s">
        <v>8</v>
      </c>
      <c r="G1427" s="66" t="s">
        <v>75</v>
      </c>
      <c r="H1427" s="8" t="s">
        <v>485</v>
      </c>
      <c r="I1427" s="8" t="s">
        <v>458</v>
      </c>
      <c r="J1427" s="6" t="s">
        <v>108</v>
      </c>
      <c r="K1427" s="38">
        <v>0</v>
      </c>
      <c r="L1427" s="4" t="s">
        <v>26</v>
      </c>
      <c r="M1427" s="11">
        <f>_xlfn.NUMBERVALUE(LEFT(Table613[[#This Row],[Fiscal Year]], 4))</f>
        <v>2018</v>
      </c>
      <c r="N1427" s="43">
        <f t="shared" si="30"/>
        <v>0</v>
      </c>
      <c r="O1427" s="3">
        <v>1425</v>
      </c>
    </row>
    <row r="1428" spans="1:15" x14ac:dyDescent="0.25">
      <c r="A1428" s="3">
        <v>4</v>
      </c>
      <c r="B1428" s="3" t="s">
        <v>259</v>
      </c>
      <c r="C1428" s="1" t="s">
        <v>13</v>
      </c>
      <c r="D1428" s="1" t="s">
        <v>444</v>
      </c>
      <c r="E1428" s="11" t="s">
        <v>144</v>
      </c>
      <c r="F1428" s="3" t="s">
        <v>8</v>
      </c>
      <c r="G1428" s="48" t="s">
        <v>76</v>
      </c>
      <c r="H1428" s="8"/>
      <c r="I1428" s="8"/>
      <c r="J1428" s="6" t="s">
        <v>76</v>
      </c>
      <c r="K1428" s="38">
        <v>20000</v>
      </c>
      <c r="L1428" s="4" t="s">
        <v>26</v>
      </c>
      <c r="M1428" s="11">
        <f>_xlfn.NUMBERVALUE(LEFT(Table613[[#This Row],[Fiscal Year]], 4))</f>
        <v>2018</v>
      </c>
      <c r="N1428" s="42">
        <f t="shared" si="30"/>
        <v>20000</v>
      </c>
      <c r="O1428" s="3">
        <v>1426</v>
      </c>
    </row>
    <row r="1429" spans="1:15" x14ac:dyDescent="0.25">
      <c r="A1429" s="3">
        <v>4</v>
      </c>
      <c r="B1429" s="3" t="s">
        <v>259</v>
      </c>
      <c r="C1429" s="1" t="s">
        <v>13</v>
      </c>
      <c r="D1429" s="1" t="s">
        <v>444</v>
      </c>
      <c r="E1429" s="11" t="s">
        <v>144</v>
      </c>
      <c r="F1429" s="3" t="s">
        <v>8</v>
      </c>
      <c r="G1429" s="48" t="s">
        <v>77</v>
      </c>
      <c r="H1429" s="8"/>
      <c r="I1429" s="8"/>
      <c r="J1429" s="6" t="s">
        <v>106</v>
      </c>
      <c r="K1429" s="38">
        <v>15000</v>
      </c>
      <c r="L1429" s="4" t="s">
        <v>26</v>
      </c>
      <c r="M1429" s="11">
        <f>_xlfn.NUMBERVALUE(LEFT(Table613[[#This Row],[Fiscal Year]], 4))</f>
        <v>2018</v>
      </c>
      <c r="N1429" s="42">
        <f t="shared" si="30"/>
        <v>15000</v>
      </c>
      <c r="O1429" s="3">
        <v>1427</v>
      </c>
    </row>
    <row r="1430" spans="1:15" x14ac:dyDescent="0.25">
      <c r="A1430" s="3">
        <v>4</v>
      </c>
      <c r="B1430" s="3" t="s">
        <v>259</v>
      </c>
      <c r="C1430" s="1" t="s">
        <v>13</v>
      </c>
      <c r="D1430" s="1" t="s">
        <v>444</v>
      </c>
      <c r="E1430" s="11" t="s">
        <v>144</v>
      </c>
      <c r="F1430" s="3" t="s">
        <v>8</v>
      </c>
      <c r="G1430" s="48" t="s">
        <v>78</v>
      </c>
      <c r="H1430" s="8"/>
      <c r="I1430" s="8"/>
      <c r="J1430" s="6" t="s">
        <v>47</v>
      </c>
      <c r="K1430" s="38">
        <v>0</v>
      </c>
      <c r="L1430" s="4" t="s">
        <v>26</v>
      </c>
      <c r="M1430" s="11">
        <f>_xlfn.NUMBERVALUE(LEFT(Table613[[#This Row],[Fiscal Year]], 4))</f>
        <v>2018</v>
      </c>
      <c r="N1430" s="43">
        <f t="shared" si="30"/>
        <v>0</v>
      </c>
      <c r="O1430" s="3">
        <v>1428</v>
      </c>
    </row>
    <row r="1431" spans="1:15" x14ac:dyDescent="0.25">
      <c r="A1431" s="3">
        <v>4</v>
      </c>
      <c r="B1431" s="3" t="s">
        <v>259</v>
      </c>
      <c r="C1431" s="1" t="s">
        <v>13</v>
      </c>
      <c r="D1431" s="1" t="s">
        <v>444</v>
      </c>
      <c r="E1431" s="11" t="s">
        <v>144</v>
      </c>
      <c r="F1431" s="3" t="s">
        <v>8</v>
      </c>
      <c r="G1431" s="48" t="s">
        <v>79</v>
      </c>
      <c r="H1431" s="8" t="s">
        <v>483</v>
      </c>
      <c r="I1431" s="8" t="s">
        <v>458</v>
      </c>
      <c r="J1431" s="6" t="s">
        <v>455</v>
      </c>
      <c r="K1431" s="38">
        <v>21000</v>
      </c>
      <c r="L1431" s="4" t="s">
        <v>26</v>
      </c>
      <c r="M1431" s="11">
        <f>_xlfn.NUMBERVALUE(LEFT(Table613[[#This Row],[Fiscal Year]], 4))</f>
        <v>2018</v>
      </c>
      <c r="N1431" s="42">
        <f t="shared" si="30"/>
        <v>21000</v>
      </c>
      <c r="O1431" s="3">
        <v>1429</v>
      </c>
    </row>
    <row r="1432" spans="1:15" x14ac:dyDescent="0.25">
      <c r="A1432" s="3">
        <v>4</v>
      </c>
      <c r="B1432" s="3" t="s">
        <v>259</v>
      </c>
      <c r="C1432" s="1" t="s">
        <v>13</v>
      </c>
      <c r="D1432" s="1" t="s">
        <v>444</v>
      </c>
      <c r="E1432" s="11" t="s">
        <v>144</v>
      </c>
      <c r="F1432" s="3" t="s">
        <v>8</v>
      </c>
      <c r="G1432" s="66" t="s">
        <v>80</v>
      </c>
      <c r="H1432" s="8"/>
      <c r="I1432" s="8"/>
      <c r="J1432" s="6" t="s">
        <v>605</v>
      </c>
      <c r="K1432" s="38">
        <v>10000</v>
      </c>
      <c r="L1432" s="4" t="s">
        <v>26</v>
      </c>
      <c r="M1432" s="11">
        <f>_xlfn.NUMBERVALUE(LEFT(Table613[[#This Row],[Fiscal Year]], 4))</f>
        <v>2018</v>
      </c>
      <c r="N1432" s="42">
        <f t="shared" si="30"/>
        <v>10000</v>
      </c>
      <c r="O1432" s="3">
        <v>1430</v>
      </c>
    </row>
    <row r="1433" spans="1:15" x14ac:dyDescent="0.25">
      <c r="A1433" s="3">
        <v>4</v>
      </c>
      <c r="B1433" s="3" t="s">
        <v>259</v>
      </c>
      <c r="C1433" s="1" t="s">
        <v>13</v>
      </c>
      <c r="D1433" s="1" t="s">
        <v>444</v>
      </c>
      <c r="E1433" s="11" t="s">
        <v>144</v>
      </c>
      <c r="F1433" s="3" t="s">
        <v>8</v>
      </c>
      <c r="G1433" s="66" t="s">
        <v>67</v>
      </c>
      <c r="H1433" s="8"/>
      <c r="I1433" s="8"/>
      <c r="J1433" s="6" t="s">
        <v>455</v>
      </c>
      <c r="K1433" s="38">
        <v>1000</v>
      </c>
      <c r="L1433" s="4" t="s">
        <v>26</v>
      </c>
      <c r="M1433" s="11">
        <f>_xlfn.NUMBERVALUE(LEFT(Table613[[#This Row],[Fiscal Year]], 4))</f>
        <v>2018</v>
      </c>
      <c r="N1433" s="42">
        <f t="shared" si="30"/>
        <v>1000</v>
      </c>
      <c r="O1433" s="3">
        <v>1431</v>
      </c>
    </row>
    <row r="1434" spans="1:15" x14ac:dyDescent="0.25">
      <c r="C1434" s="1"/>
      <c r="D1434" s="1"/>
      <c r="E1434" s="11"/>
      <c r="G1434" s="66"/>
      <c r="H1434" s="8"/>
      <c r="I1434" s="8"/>
      <c r="J1434" s="6"/>
      <c r="L1434" s="4"/>
      <c r="O1434" s="3">
        <v>1432</v>
      </c>
    </row>
    <row r="1435" spans="1:15" x14ac:dyDescent="0.25">
      <c r="A1435" s="3">
        <v>4</v>
      </c>
      <c r="B1435" s="3" t="s">
        <v>260</v>
      </c>
      <c r="C1435" s="1" t="s">
        <v>13</v>
      </c>
      <c r="D1435" s="1" t="s">
        <v>444</v>
      </c>
      <c r="E1435" s="11" t="s">
        <v>144</v>
      </c>
      <c r="F1435" s="3" t="s">
        <v>8</v>
      </c>
      <c r="G1435" s="48" t="s">
        <v>32</v>
      </c>
      <c r="H1435" s="8" t="s">
        <v>608</v>
      </c>
      <c r="I1435" s="8"/>
      <c r="J1435" s="6" t="s">
        <v>110</v>
      </c>
      <c r="K1435" s="38">
        <v>162257</v>
      </c>
      <c r="L1435" s="4" t="s">
        <v>26</v>
      </c>
      <c r="M1435" s="11">
        <f>_xlfn.NUMBERVALUE(LEFT(Table613[[#This Row],[Fiscal Year]], 4))</f>
        <v>2018</v>
      </c>
      <c r="N1435" s="42">
        <f t="shared" si="30"/>
        <v>162257</v>
      </c>
      <c r="O1435" s="3">
        <v>1433</v>
      </c>
    </row>
    <row r="1436" spans="1:15" x14ac:dyDescent="0.25">
      <c r="A1436" s="3">
        <v>4</v>
      </c>
      <c r="B1436" s="3" t="s">
        <v>260</v>
      </c>
      <c r="C1436" s="1" t="s">
        <v>13</v>
      </c>
      <c r="D1436" s="1" t="s">
        <v>444</v>
      </c>
      <c r="E1436" s="11" t="s">
        <v>144</v>
      </c>
      <c r="F1436" s="3" t="s">
        <v>8</v>
      </c>
      <c r="G1436" s="48" t="s">
        <v>68</v>
      </c>
      <c r="H1436" s="6"/>
      <c r="I1436" s="70" t="s">
        <v>609</v>
      </c>
      <c r="J1436" s="6" t="s">
        <v>42</v>
      </c>
      <c r="K1436" s="38">
        <v>47737</v>
      </c>
      <c r="L1436" s="4" t="s">
        <v>26</v>
      </c>
      <c r="M1436" s="11">
        <f>_xlfn.NUMBERVALUE(LEFT(Table613[[#This Row],[Fiscal Year]], 4))</f>
        <v>2018</v>
      </c>
      <c r="N1436" s="42">
        <f t="shared" si="30"/>
        <v>47737</v>
      </c>
      <c r="O1436" s="3">
        <v>1434</v>
      </c>
    </row>
    <row r="1437" spans="1:15" x14ac:dyDescent="0.25">
      <c r="A1437" s="3">
        <v>4</v>
      </c>
      <c r="B1437" s="3" t="s">
        <v>260</v>
      </c>
      <c r="C1437" s="1" t="s">
        <v>13</v>
      </c>
      <c r="D1437" s="1" t="s">
        <v>444</v>
      </c>
      <c r="E1437" s="11" t="s">
        <v>144</v>
      </c>
      <c r="F1437" s="3" t="s">
        <v>8</v>
      </c>
      <c r="G1437" s="48" t="s">
        <v>69</v>
      </c>
      <c r="H1437" s="8"/>
      <c r="I1437" s="8"/>
      <c r="J1437" s="6" t="s">
        <v>109</v>
      </c>
      <c r="K1437" s="38">
        <v>112538</v>
      </c>
      <c r="L1437" s="4" t="s">
        <v>26</v>
      </c>
      <c r="M1437" s="11">
        <f>_xlfn.NUMBERVALUE(LEFT(Table613[[#This Row],[Fiscal Year]], 4))</f>
        <v>2018</v>
      </c>
      <c r="N1437" s="42">
        <f t="shared" si="30"/>
        <v>112538</v>
      </c>
      <c r="O1437" s="3">
        <v>1435</v>
      </c>
    </row>
    <row r="1438" spans="1:15" x14ac:dyDescent="0.25">
      <c r="A1438" s="3">
        <v>4</v>
      </c>
      <c r="B1438" s="3" t="s">
        <v>260</v>
      </c>
      <c r="C1438" s="1" t="s">
        <v>13</v>
      </c>
      <c r="D1438" s="1" t="s">
        <v>444</v>
      </c>
      <c r="E1438" s="11" t="s">
        <v>144</v>
      </c>
      <c r="F1438" s="3" t="s">
        <v>8</v>
      </c>
      <c r="G1438" s="48" t="s">
        <v>59</v>
      </c>
      <c r="H1438" s="8"/>
      <c r="I1438" s="8"/>
      <c r="J1438" s="6" t="s">
        <v>111</v>
      </c>
      <c r="K1438" s="38">
        <v>25895</v>
      </c>
      <c r="L1438" s="4" t="s">
        <v>26</v>
      </c>
      <c r="M1438" s="11">
        <f>_xlfn.NUMBERVALUE(LEFT(Table613[[#This Row],[Fiscal Year]], 4))</f>
        <v>2018</v>
      </c>
      <c r="N1438" s="42">
        <f t="shared" si="30"/>
        <v>25895</v>
      </c>
      <c r="O1438" s="3">
        <v>1436</v>
      </c>
    </row>
    <row r="1439" spans="1:15" x14ac:dyDescent="0.25">
      <c r="A1439" s="3">
        <v>4</v>
      </c>
      <c r="B1439" s="3" t="s">
        <v>260</v>
      </c>
      <c r="C1439" s="1" t="s">
        <v>13</v>
      </c>
      <c r="D1439" s="1" t="s">
        <v>444</v>
      </c>
      <c r="E1439" s="11" t="s">
        <v>144</v>
      </c>
      <c r="F1439" s="3" t="s">
        <v>8</v>
      </c>
      <c r="G1439" s="66" t="s">
        <v>70</v>
      </c>
      <c r="H1439" s="8"/>
      <c r="I1439" s="8"/>
      <c r="J1439" s="6" t="s">
        <v>107</v>
      </c>
      <c r="K1439" s="38">
        <v>199942</v>
      </c>
      <c r="L1439" s="4" t="s">
        <v>26</v>
      </c>
      <c r="M1439" s="11">
        <f>_xlfn.NUMBERVALUE(LEFT(Table613[[#This Row],[Fiscal Year]], 4))</f>
        <v>2018</v>
      </c>
      <c r="N1439" s="42">
        <f t="shared" si="30"/>
        <v>199942</v>
      </c>
      <c r="O1439" s="3">
        <v>1437</v>
      </c>
    </row>
    <row r="1440" spans="1:15" x14ac:dyDescent="0.25">
      <c r="A1440" s="3">
        <v>4</v>
      </c>
      <c r="B1440" s="3" t="s">
        <v>260</v>
      </c>
      <c r="C1440" s="1" t="s">
        <v>13</v>
      </c>
      <c r="D1440" s="1" t="s">
        <v>444</v>
      </c>
      <c r="E1440" s="11" t="s">
        <v>144</v>
      </c>
      <c r="F1440" s="3" t="s">
        <v>8</v>
      </c>
      <c r="G1440" s="48" t="s">
        <v>72</v>
      </c>
      <c r="H1440" s="8" t="s">
        <v>610</v>
      </c>
      <c r="I1440" s="8" t="s">
        <v>458</v>
      </c>
      <c r="J1440" s="6" t="s">
        <v>108</v>
      </c>
      <c r="K1440" s="38" t="s">
        <v>827</v>
      </c>
      <c r="L1440" s="4" t="s">
        <v>26</v>
      </c>
      <c r="M1440" s="11">
        <f>_xlfn.NUMBERVALUE(LEFT(Table613[[#This Row],[Fiscal Year]], 4))</f>
        <v>2018</v>
      </c>
      <c r="O1440" s="3">
        <v>1438</v>
      </c>
    </row>
    <row r="1441" spans="1:15" x14ac:dyDescent="0.25">
      <c r="A1441" s="3">
        <v>4</v>
      </c>
      <c r="B1441" s="3" t="s">
        <v>260</v>
      </c>
      <c r="C1441" s="1" t="s">
        <v>13</v>
      </c>
      <c r="D1441" s="1" t="s">
        <v>444</v>
      </c>
      <c r="E1441" s="11" t="s">
        <v>144</v>
      </c>
      <c r="F1441" s="3" t="s">
        <v>8</v>
      </c>
      <c r="G1441" s="66" t="s">
        <v>71</v>
      </c>
      <c r="H1441" s="8" t="s">
        <v>484</v>
      </c>
      <c r="I1441" s="8" t="s">
        <v>458</v>
      </c>
      <c r="J1441" s="6" t="s">
        <v>108</v>
      </c>
      <c r="K1441" s="38">
        <v>234775</v>
      </c>
      <c r="L1441" s="4" t="s">
        <v>26</v>
      </c>
      <c r="M1441" s="11">
        <f>_xlfn.NUMBERVALUE(LEFT(Table613[[#This Row],[Fiscal Year]], 4))</f>
        <v>2018</v>
      </c>
      <c r="N1441" s="42">
        <f t="shared" si="30"/>
        <v>234775</v>
      </c>
      <c r="O1441" s="3">
        <v>1439</v>
      </c>
    </row>
    <row r="1442" spans="1:15" x14ac:dyDescent="0.25">
      <c r="A1442" s="3">
        <v>4</v>
      </c>
      <c r="B1442" s="3" t="s">
        <v>260</v>
      </c>
      <c r="C1442" s="1" t="s">
        <v>13</v>
      </c>
      <c r="D1442" s="1" t="s">
        <v>444</v>
      </c>
      <c r="E1442" s="11" t="s">
        <v>144</v>
      </c>
      <c r="F1442" s="3" t="s">
        <v>8</v>
      </c>
      <c r="G1442" s="48" t="s">
        <v>73</v>
      </c>
      <c r="H1442" s="8"/>
      <c r="I1442" s="8"/>
      <c r="J1442" s="6" t="s">
        <v>108</v>
      </c>
      <c r="K1442" s="38">
        <v>107593</v>
      </c>
      <c r="L1442" s="4" t="s">
        <v>26</v>
      </c>
      <c r="M1442" s="11">
        <f>_xlfn.NUMBERVALUE(LEFT(Table613[[#This Row],[Fiscal Year]], 4))</f>
        <v>2018</v>
      </c>
      <c r="N1442" s="42">
        <f t="shared" si="30"/>
        <v>107593</v>
      </c>
      <c r="O1442" s="3">
        <v>1440</v>
      </c>
    </row>
    <row r="1443" spans="1:15" x14ac:dyDescent="0.25">
      <c r="A1443" s="3">
        <v>4</v>
      </c>
      <c r="B1443" s="3" t="s">
        <v>260</v>
      </c>
      <c r="C1443" s="1" t="s">
        <v>13</v>
      </c>
      <c r="D1443" s="1" t="s">
        <v>444</v>
      </c>
      <c r="E1443" s="11" t="s">
        <v>144</v>
      </c>
      <c r="F1443" s="3" t="s">
        <v>8</v>
      </c>
      <c r="G1443" s="48" t="s">
        <v>74</v>
      </c>
      <c r="H1443" s="8" t="s">
        <v>611</v>
      </c>
      <c r="I1443" s="8" t="s">
        <v>458</v>
      </c>
      <c r="J1443" s="6" t="s">
        <v>108</v>
      </c>
      <c r="K1443" s="38">
        <v>17591</v>
      </c>
      <c r="L1443" s="4" t="s">
        <v>26</v>
      </c>
      <c r="M1443" s="11">
        <f>_xlfn.NUMBERVALUE(LEFT(Table613[[#This Row],[Fiscal Year]], 4))</f>
        <v>2018</v>
      </c>
      <c r="N1443" s="42">
        <f t="shared" si="30"/>
        <v>17591</v>
      </c>
      <c r="O1443" s="3">
        <v>1441</v>
      </c>
    </row>
    <row r="1444" spans="1:15" x14ac:dyDescent="0.25">
      <c r="A1444" s="3">
        <v>4</v>
      </c>
      <c r="B1444" s="3" t="s">
        <v>260</v>
      </c>
      <c r="C1444" s="1" t="s">
        <v>13</v>
      </c>
      <c r="D1444" s="1" t="s">
        <v>444</v>
      </c>
      <c r="E1444" s="11" t="s">
        <v>144</v>
      </c>
      <c r="F1444" s="3" t="s">
        <v>8</v>
      </c>
      <c r="G1444" s="66" t="s">
        <v>75</v>
      </c>
      <c r="H1444" s="8" t="s">
        <v>485</v>
      </c>
      <c r="I1444" s="8" t="s">
        <v>458</v>
      </c>
      <c r="J1444" s="6" t="s">
        <v>108</v>
      </c>
      <c r="K1444" s="38">
        <v>85813</v>
      </c>
      <c r="L1444" s="4" t="s">
        <v>26</v>
      </c>
      <c r="M1444" s="11">
        <f>_xlfn.NUMBERVALUE(LEFT(Table613[[#This Row],[Fiscal Year]], 4))</f>
        <v>2018</v>
      </c>
      <c r="N1444" s="42">
        <f t="shared" si="30"/>
        <v>85813</v>
      </c>
      <c r="O1444" s="3">
        <v>1442</v>
      </c>
    </row>
    <row r="1445" spans="1:15" x14ac:dyDescent="0.25">
      <c r="A1445" s="3">
        <v>4</v>
      </c>
      <c r="B1445" s="3" t="s">
        <v>260</v>
      </c>
      <c r="C1445" s="1" t="s">
        <v>13</v>
      </c>
      <c r="D1445" s="1" t="s">
        <v>444</v>
      </c>
      <c r="E1445" s="11" t="s">
        <v>144</v>
      </c>
      <c r="F1445" s="3" t="s">
        <v>8</v>
      </c>
      <c r="G1445" s="48" t="s">
        <v>76</v>
      </c>
      <c r="H1445" s="8"/>
      <c r="I1445" s="8"/>
      <c r="J1445" s="6" t="s">
        <v>76</v>
      </c>
      <c r="K1445" s="38">
        <v>129469</v>
      </c>
      <c r="L1445" s="4" t="s">
        <v>26</v>
      </c>
      <c r="M1445" s="11">
        <f>_xlfn.NUMBERVALUE(LEFT(Table613[[#This Row],[Fiscal Year]], 4))</f>
        <v>2018</v>
      </c>
      <c r="N1445" s="42">
        <f t="shared" si="30"/>
        <v>129469</v>
      </c>
      <c r="O1445" s="3">
        <v>1443</v>
      </c>
    </row>
    <row r="1446" spans="1:15" x14ac:dyDescent="0.25">
      <c r="A1446" s="3">
        <v>4</v>
      </c>
      <c r="B1446" s="3" t="s">
        <v>260</v>
      </c>
      <c r="C1446" s="1" t="s">
        <v>13</v>
      </c>
      <c r="D1446" s="1" t="s">
        <v>444</v>
      </c>
      <c r="E1446" s="11" t="s">
        <v>144</v>
      </c>
      <c r="F1446" s="3" t="s">
        <v>8</v>
      </c>
      <c r="G1446" s="48" t="s">
        <v>77</v>
      </c>
      <c r="H1446" s="8"/>
      <c r="I1446" s="8"/>
      <c r="J1446" s="6" t="s">
        <v>106</v>
      </c>
      <c r="K1446" s="38">
        <v>186342</v>
      </c>
      <c r="L1446" s="4" t="s">
        <v>26</v>
      </c>
      <c r="M1446" s="11">
        <f>_xlfn.NUMBERVALUE(LEFT(Table613[[#This Row],[Fiscal Year]], 4))</f>
        <v>2018</v>
      </c>
      <c r="N1446" s="42">
        <f t="shared" si="30"/>
        <v>186342</v>
      </c>
      <c r="O1446" s="3">
        <v>1444</v>
      </c>
    </row>
    <row r="1447" spans="1:15" x14ac:dyDescent="0.25">
      <c r="A1447" s="3">
        <v>4</v>
      </c>
      <c r="B1447" s="3" t="s">
        <v>260</v>
      </c>
      <c r="C1447" s="1" t="s">
        <v>13</v>
      </c>
      <c r="D1447" s="1" t="s">
        <v>444</v>
      </c>
      <c r="E1447" s="11" t="s">
        <v>144</v>
      </c>
      <c r="F1447" s="3" t="s">
        <v>8</v>
      </c>
      <c r="G1447" s="48" t="s">
        <v>78</v>
      </c>
      <c r="H1447" s="8"/>
      <c r="I1447" s="8"/>
      <c r="J1447" s="6" t="s">
        <v>47</v>
      </c>
      <c r="K1447" s="38">
        <v>10073</v>
      </c>
      <c r="L1447" s="4" t="s">
        <v>26</v>
      </c>
      <c r="M1447" s="11">
        <f>_xlfn.NUMBERVALUE(LEFT(Table613[[#This Row],[Fiscal Year]], 4))</f>
        <v>2018</v>
      </c>
      <c r="N1447" s="42">
        <f t="shared" si="30"/>
        <v>10073</v>
      </c>
      <c r="O1447" s="3">
        <v>1445</v>
      </c>
    </row>
    <row r="1448" spans="1:15" x14ac:dyDescent="0.25">
      <c r="A1448" s="3">
        <v>4</v>
      </c>
      <c r="B1448" s="3" t="s">
        <v>260</v>
      </c>
      <c r="C1448" s="1" t="s">
        <v>13</v>
      </c>
      <c r="D1448" s="1" t="s">
        <v>444</v>
      </c>
      <c r="E1448" s="11" t="s">
        <v>144</v>
      </c>
      <c r="F1448" s="3" t="s">
        <v>8</v>
      </c>
      <c r="G1448" s="48" t="s">
        <v>79</v>
      </c>
      <c r="H1448" s="8" t="s">
        <v>483</v>
      </c>
      <c r="I1448" s="8" t="s">
        <v>458</v>
      </c>
      <c r="J1448" s="6" t="s">
        <v>455</v>
      </c>
      <c r="K1448" s="38">
        <v>149500</v>
      </c>
      <c r="L1448" s="4" t="s">
        <v>26</v>
      </c>
      <c r="M1448" s="11">
        <f>_xlfn.NUMBERVALUE(LEFT(Table613[[#This Row],[Fiscal Year]], 4))</f>
        <v>2018</v>
      </c>
      <c r="N1448" s="42">
        <f t="shared" si="30"/>
        <v>149500</v>
      </c>
      <c r="O1448" s="3">
        <v>1446</v>
      </c>
    </row>
    <row r="1449" spans="1:15" x14ac:dyDescent="0.25">
      <c r="A1449" s="3">
        <v>4</v>
      </c>
      <c r="B1449" s="3" t="s">
        <v>260</v>
      </c>
      <c r="C1449" s="1" t="s">
        <v>13</v>
      </c>
      <c r="D1449" s="1" t="s">
        <v>444</v>
      </c>
      <c r="E1449" s="11" t="s">
        <v>144</v>
      </c>
      <c r="F1449" s="3" t="s">
        <v>8</v>
      </c>
      <c r="G1449" s="48" t="s">
        <v>80</v>
      </c>
      <c r="H1449" s="8"/>
      <c r="I1449" s="8"/>
      <c r="J1449" s="6" t="s">
        <v>605</v>
      </c>
      <c r="K1449" s="38">
        <v>75000</v>
      </c>
      <c r="L1449" s="4" t="s">
        <v>26</v>
      </c>
      <c r="M1449" s="11">
        <f>_xlfn.NUMBERVALUE(LEFT(Table613[[#This Row],[Fiscal Year]], 4))</f>
        <v>2018</v>
      </c>
      <c r="N1449" s="42">
        <f t="shared" si="30"/>
        <v>75000</v>
      </c>
      <c r="O1449" s="3">
        <v>1447</v>
      </c>
    </row>
    <row r="1450" spans="1:15" x14ac:dyDescent="0.25">
      <c r="A1450" s="3">
        <v>4</v>
      </c>
      <c r="B1450" s="3" t="s">
        <v>260</v>
      </c>
      <c r="C1450" s="1" t="s">
        <v>13</v>
      </c>
      <c r="D1450" s="1" t="s">
        <v>444</v>
      </c>
      <c r="E1450" s="11" t="s">
        <v>144</v>
      </c>
      <c r="F1450" s="3" t="s">
        <v>8</v>
      </c>
      <c r="G1450" s="66" t="s">
        <v>67</v>
      </c>
      <c r="H1450" s="8"/>
      <c r="I1450" s="8"/>
      <c r="J1450" s="6" t="s">
        <v>455</v>
      </c>
      <c r="K1450" s="38">
        <v>74803</v>
      </c>
      <c r="L1450" s="4" t="s">
        <v>26</v>
      </c>
      <c r="M1450" s="11">
        <f>_xlfn.NUMBERVALUE(LEFT(Table613[[#This Row],[Fiscal Year]], 4))</f>
        <v>2018</v>
      </c>
      <c r="N1450" s="42">
        <f t="shared" si="30"/>
        <v>74803</v>
      </c>
      <c r="O1450" s="3">
        <v>1448</v>
      </c>
    </row>
    <row r="1451" spans="1:15" x14ac:dyDescent="0.25">
      <c r="C1451" s="1"/>
      <c r="D1451" s="1"/>
      <c r="E1451" s="11"/>
      <c r="G1451" s="66"/>
      <c r="H1451" s="8"/>
      <c r="I1451" s="8"/>
      <c r="J1451" s="6"/>
      <c r="L1451" s="4"/>
      <c r="O1451" s="3">
        <v>1449</v>
      </c>
    </row>
    <row r="1452" spans="1:15" x14ac:dyDescent="0.25">
      <c r="A1452" s="3">
        <v>4</v>
      </c>
      <c r="B1452" s="3" t="s">
        <v>261</v>
      </c>
      <c r="C1452" s="1" t="s">
        <v>13</v>
      </c>
      <c r="D1452" s="1" t="s">
        <v>444</v>
      </c>
      <c r="E1452" s="11" t="s">
        <v>144</v>
      </c>
      <c r="F1452" s="3" t="s">
        <v>8</v>
      </c>
      <c r="G1452" s="48" t="s">
        <v>32</v>
      </c>
      <c r="H1452" s="8" t="s">
        <v>608</v>
      </c>
      <c r="I1452" s="70" t="s">
        <v>609</v>
      </c>
      <c r="J1452" s="6" t="s">
        <v>110</v>
      </c>
      <c r="K1452" s="38">
        <v>160000</v>
      </c>
      <c r="L1452" s="4" t="s">
        <v>26</v>
      </c>
      <c r="M1452" s="11">
        <f>_xlfn.NUMBERVALUE(LEFT(Table613[[#This Row],[Fiscal Year]], 4))</f>
        <v>2018</v>
      </c>
      <c r="N1452" s="42">
        <f t="shared" si="30"/>
        <v>160000</v>
      </c>
      <c r="O1452" s="3">
        <v>1450</v>
      </c>
    </row>
    <row r="1453" spans="1:15" x14ac:dyDescent="0.25">
      <c r="A1453" s="3">
        <v>4</v>
      </c>
      <c r="B1453" s="3" t="s">
        <v>261</v>
      </c>
      <c r="C1453" s="1" t="s">
        <v>13</v>
      </c>
      <c r="D1453" s="1" t="s">
        <v>444</v>
      </c>
      <c r="E1453" s="11" t="s">
        <v>144</v>
      </c>
      <c r="F1453" s="3" t="s">
        <v>8</v>
      </c>
      <c r="G1453" s="48" t="s">
        <v>68</v>
      </c>
      <c r="H1453" s="6"/>
      <c r="I1453" s="8"/>
      <c r="J1453" s="6" t="s">
        <v>42</v>
      </c>
      <c r="K1453" s="38">
        <v>60000</v>
      </c>
      <c r="L1453" s="4" t="s">
        <v>26</v>
      </c>
      <c r="M1453" s="11">
        <f>_xlfn.NUMBERVALUE(LEFT(Table613[[#This Row],[Fiscal Year]], 4))</f>
        <v>2018</v>
      </c>
      <c r="N1453" s="42">
        <f t="shared" si="30"/>
        <v>60000</v>
      </c>
      <c r="O1453" s="3">
        <v>1451</v>
      </c>
    </row>
    <row r="1454" spans="1:15" x14ac:dyDescent="0.25">
      <c r="A1454" s="3">
        <v>4</v>
      </c>
      <c r="B1454" s="3" t="s">
        <v>261</v>
      </c>
      <c r="C1454" s="1" t="s">
        <v>13</v>
      </c>
      <c r="D1454" s="1" t="s">
        <v>444</v>
      </c>
      <c r="E1454" s="11" t="s">
        <v>144</v>
      </c>
      <c r="F1454" s="3" t="s">
        <v>8</v>
      </c>
      <c r="G1454" s="48" t="s">
        <v>69</v>
      </c>
      <c r="H1454" s="8"/>
      <c r="I1454" s="8"/>
      <c r="J1454" s="6" t="s">
        <v>109</v>
      </c>
      <c r="K1454" s="38">
        <v>40000</v>
      </c>
      <c r="L1454" s="4" t="s">
        <v>26</v>
      </c>
      <c r="M1454" s="11">
        <f>_xlfn.NUMBERVALUE(LEFT(Table613[[#This Row],[Fiscal Year]], 4))</f>
        <v>2018</v>
      </c>
      <c r="N1454" s="42">
        <f t="shared" si="30"/>
        <v>40000</v>
      </c>
      <c r="O1454" s="3">
        <v>1452</v>
      </c>
    </row>
    <row r="1455" spans="1:15" ht="15" customHeight="1" x14ac:dyDescent="0.25">
      <c r="A1455" s="3">
        <v>4</v>
      </c>
      <c r="B1455" s="3" t="s">
        <v>261</v>
      </c>
      <c r="C1455" s="1" t="s">
        <v>13</v>
      </c>
      <c r="D1455" s="1" t="s">
        <v>444</v>
      </c>
      <c r="E1455" s="11" t="s">
        <v>144</v>
      </c>
      <c r="F1455" s="3" t="s">
        <v>8</v>
      </c>
      <c r="G1455" s="48" t="s">
        <v>59</v>
      </c>
      <c r="H1455" s="8"/>
      <c r="I1455" s="8"/>
      <c r="J1455" s="6" t="s">
        <v>111</v>
      </c>
      <c r="K1455" s="38">
        <v>70000</v>
      </c>
      <c r="L1455" s="4" t="s">
        <v>26</v>
      </c>
      <c r="M1455" s="11">
        <f>_xlfn.NUMBERVALUE(LEFT(Table613[[#This Row],[Fiscal Year]], 4))</f>
        <v>2018</v>
      </c>
      <c r="N1455" s="42">
        <f t="shared" si="30"/>
        <v>70000</v>
      </c>
      <c r="O1455" s="3">
        <v>1453</v>
      </c>
    </row>
    <row r="1456" spans="1:15" x14ac:dyDescent="0.25">
      <c r="A1456" s="3">
        <v>4</v>
      </c>
      <c r="B1456" s="3" t="s">
        <v>261</v>
      </c>
      <c r="C1456" s="1" t="s">
        <v>13</v>
      </c>
      <c r="D1456" s="1" t="s">
        <v>444</v>
      </c>
      <c r="E1456" s="11" t="s">
        <v>144</v>
      </c>
      <c r="F1456" s="3" t="s">
        <v>8</v>
      </c>
      <c r="G1456" s="48" t="s">
        <v>70</v>
      </c>
      <c r="H1456" s="8"/>
      <c r="I1456" s="8"/>
      <c r="J1456" s="6" t="s">
        <v>107</v>
      </c>
      <c r="K1456" s="38">
        <v>50000</v>
      </c>
      <c r="L1456" s="4" t="s">
        <v>26</v>
      </c>
      <c r="M1456" s="11">
        <f>_xlfn.NUMBERVALUE(LEFT(Table613[[#This Row],[Fiscal Year]], 4))</f>
        <v>2018</v>
      </c>
      <c r="N1456" s="42">
        <f t="shared" si="30"/>
        <v>50000</v>
      </c>
      <c r="O1456" s="3">
        <v>1454</v>
      </c>
    </row>
    <row r="1457" spans="1:15" x14ac:dyDescent="0.25">
      <c r="A1457" s="3">
        <v>4</v>
      </c>
      <c r="B1457" s="3" t="s">
        <v>261</v>
      </c>
      <c r="C1457" s="1" t="s">
        <v>13</v>
      </c>
      <c r="D1457" s="1" t="s">
        <v>444</v>
      </c>
      <c r="E1457" s="11" t="s">
        <v>144</v>
      </c>
      <c r="F1457" s="3" t="s">
        <v>8</v>
      </c>
      <c r="G1457" s="48" t="s">
        <v>72</v>
      </c>
      <c r="H1457" s="8" t="s">
        <v>610</v>
      </c>
      <c r="I1457" s="8" t="s">
        <v>458</v>
      </c>
      <c r="J1457" s="6" t="s">
        <v>108</v>
      </c>
      <c r="K1457" s="38" t="s">
        <v>827</v>
      </c>
      <c r="L1457" s="4" t="s">
        <v>26</v>
      </c>
      <c r="M1457" s="11">
        <f>_xlfn.NUMBERVALUE(LEFT(Table613[[#This Row],[Fiscal Year]], 4))</f>
        <v>2018</v>
      </c>
      <c r="O1457" s="3">
        <v>1455</v>
      </c>
    </row>
    <row r="1458" spans="1:15" x14ac:dyDescent="0.25">
      <c r="A1458" s="3">
        <v>4</v>
      </c>
      <c r="B1458" s="3" t="s">
        <v>261</v>
      </c>
      <c r="C1458" s="1" t="s">
        <v>13</v>
      </c>
      <c r="D1458" s="1" t="s">
        <v>444</v>
      </c>
      <c r="E1458" s="11" t="s">
        <v>144</v>
      </c>
      <c r="F1458" s="3" t="s">
        <v>8</v>
      </c>
      <c r="G1458" s="66" t="s">
        <v>71</v>
      </c>
      <c r="H1458" s="8" t="s">
        <v>484</v>
      </c>
      <c r="I1458" s="8" t="s">
        <v>458</v>
      </c>
      <c r="J1458" s="6" t="s">
        <v>108</v>
      </c>
      <c r="K1458" s="38">
        <v>180000</v>
      </c>
      <c r="L1458" s="4" t="s">
        <v>26</v>
      </c>
      <c r="M1458" s="11">
        <f>_xlfn.NUMBERVALUE(LEFT(Table613[[#This Row],[Fiscal Year]], 4))</f>
        <v>2018</v>
      </c>
      <c r="N1458" s="42">
        <f t="shared" si="30"/>
        <v>180000</v>
      </c>
      <c r="O1458" s="3">
        <v>1456</v>
      </c>
    </row>
    <row r="1459" spans="1:15" x14ac:dyDescent="0.25">
      <c r="A1459" s="3">
        <v>4</v>
      </c>
      <c r="B1459" s="3" t="s">
        <v>261</v>
      </c>
      <c r="C1459" s="1" t="s">
        <v>13</v>
      </c>
      <c r="D1459" s="1" t="s">
        <v>444</v>
      </c>
      <c r="E1459" s="11" t="s">
        <v>144</v>
      </c>
      <c r="F1459" s="3" t="s">
        <v>8</v>
      </c>
      <c r="G1459" s="48" t="s">
        <v>73</v>
      </c>
      <c r="H1459" s="8"/>
      <c r="I1459" s="8"/>
      <c r="J1459" s="6" t="s">
        <v>108</v>
      </c>
      <c r="K1459" s="38">
        <v>0</v>
      </c>
      <c r="L1459" s="4" t="s">
        <v>26</v>
      </c>
      <c r="M1459" s="11">
        <f>_xlfn.NUMBERVALUE(LEFT(Table613[[#This Row],[Fiscal Year]], 4))</f>
        <v>2018</v>
      </c>
      <c r="N1459" s="43">
        <f t="shared" si="30"/>
        <v>0</v>
      </c>
      <c r="O1459" s="3">
        <v>1457</v>
      </c>
    </row>
    <row r="1460" spans="1:15" x14ac:dyDescent="0.25">
      <c r="A1460" s="3">
        <v>4</v>
      </c>
      <c r="B1460" s="3" t="s">
        <v>261</v>
      </c>
      <c r="C1460" s="1" t="s">
        <v>13</v>
      </c>
      <c r="D1460" s="1" t="s">
        <v>444</v>
      </c>
      <c r="E1460" s="11" t="s">
        <v>144</v>
      </c>
      <c r="F1460" s="3" t="s">
        <v>8</v>
      </c>
      <c r="G1460" s="48" t="s">
        <v>74</v>
      </c>
      <c r="H1460" s="8" t="s">
        <v>611</v>
      </c>
      <c r="I1460" s="8" t="s">
        <v>458</v>
      </c>
      <c r="J1460" s="6" t="s">
        <v>108</v>
      </c>
      <c r="K1460" s="38">
        <v>60000</v>
      </c>
      <c r="L1460" s="4" t="s">
        <v>26</v>
      </c>
      <c r="M1460" s="11">
        <f>_xlfn.NUMBERVALUE(LEFT(Table613[[#This Row],[Fiscal Year]], 4))</f>
        <v>2018</v>
      </c>
      <c r="N1460" s="42">
        <f>K1460*(1+VLOOKUP(M1460,$AF$8:$AH$31,3,0))</f>
        <v>60000</v>
      </c>
      <c r="O1460" s="3">
        <v>1458</v>
      </c>
    </row>
    <row r="1461" spans="1:15" x14ac:dyDescent="0.25">
      <c r="A1461" s="3">
        <v>4</v>
      </c>
      <c r="B1461" s="3" t="s">
        <v>261</v>
      </c>
      <c r="C1461" s="1" t="s">
        <v>13</v>
      </c>
      <c r="D1461" s="1" t="s">
        <v>444</v>
      </c>
      <c r="E1461" s="11" t="s">
        <v>144</v>
      </c>
      <c r="F1461" s="3" t="s">
        <v>8</v>
      </c>
      <c r="G1461" s="66" t="s">
        <v>75</v>
      </c>
      <c r="H1461" s="8" t="s">
        <v>485</v>
      </c>
      <c r="I1461" s="8" t="s">
        <v>458</v>
      </c>
      <c r="J1461" s="6" t="s">
        <v>108</v>
      </c>
      <c r="K1461" s="38">
        <v>0</v>
      </c>
      <c r="L1461" s="4" t="s">
        <v>26</v>
      </c>
      <c r="M1461" s="11">
        <f>_xlfn.NUMBERVALUE(LEFT(Table613[[#This Row],[Fiscal Year]], 4))</f>
        <v>2018</v>
      </c>
      <c r="N1461" s="43">
        <f t="shared" si="30"/>
        <v>0</v>
      </c>
      <c r="O1461" s="3">
        <v>1459</v>
      </c>
    </row>
    <row r="1462" spans="1:15" x14ac:dyDescent="0.25">
      <c r="A1462" s="3">
        <v>4</v>
      </c>
      <c r="B1462" s="3" t="s">
        <v>261</v>
      </c>
      <c r="C1462" s="1" t="s">
        <v>13</v>
      </c>
      <c r="D1462" s="1" t="s">
        <v>444</v>
      </c>
      <c r="E1462" s="11" t="s">
        <v>144</v>
      </c>
      <c r="F1462" s="3" t="s">
        <v>8</v>
      </c>
      <c r="G1462" s="48" t="s">
        <v>76</v>
      </c>
      <c r="H1462" s="8"/>
      <c r="I1462" s="8"/>
      <c r="J1462" s="6" t="s">
        <v>76</v>
      </c>
      <c r="K1462" s="38">
        <v>80000</v>
      </c>
      <c r="L1462" s="4" t="s">
        <v>26</v>
      </c>
      <c r="M1462" s="11">
        <f>_xlfn.NUMBERVALUE(LEFT(Table613[[#This Row],[Fiscal Year]], 4))</f>
        <v>2018</v>
      </c>
      <c r="N1462" s="42">
        <f t="shared" si="30"/>
        <v>80000</v>
      </c>
      <c r="O1462" s="3">
        <v>1460</v>
      </c>
    </row>
    <row r="1463" spans="1:15" x14ac:dyDescent="0.25">
      <c r="A1463" s="3">
        <v>4</v>
      </c>
      <c r="B1463" s="3" t="s">
        <v>261</v>
      </c>
      <c r="C1463" s="1" t="s">
        <v>13</v>
      </c>
      <c r="D1463" s="1" t="s">
        <v>444</v>
      </c>
      <c r="E1463" s="11" t="s">
        <v>144</v>
      </c>
      <c r="F1463" s="3" t="s">
        <v>8</v>
      </c>
      <c r="G1463" s="48" t="s">
        <v>77</v>
      </c>
      <c r="H1463" s="8"/>
      <c r="I1463" s="8"/>
      <c r="J1463" s="6" t="s">
        <v>106</v>
      </c>
      <c r="K1463" s="38">
        <v>40000</v>
      </c>
      <c r="L1463" s="4" t="s">
        <v>26</v>
      </c>
      <c r="M1463" s="11">
        <f>_xlfn.NUMBERVALUE(LEFT(Table613[[#This Row],[Fiscal Year]], 4))</f>
        <v>2018</v>
      </c>
      <c r="N1463" s="42">
        <f t="shared" si="30"/>
        <v>40000</v>
      </c>
      <c r="O1463" s="3">
        <v>1461</v>
      </c>
    </row>
    <row r="1464" spans="1:15" x14ac:dyDescent="0.25">
      <c r="A1464" s="3">
        <v>4</v>
      </c>
      <c r="B1464" s="3" t="s">
        <v>261</v>
      </c>
      <c r="C1464" s="1" t="s">
        <v>13</v>
      </c>
      <c r="D1464" s="1" t="s">
        <v>444</v>
      </c>
      <c r="E1464" s="11" t="s">
        <v>144</v>
      </c>
      <c r="F1464" s="3" t="s">
        <v>8</v>
      </c>
      <c r="G1464" s="66" t="s">
        <v>78</v>
      </c>
      <c r="H1464" s="8"/>
      <c r="I1464" s="8"/>
      <c r="J1464" s="6" t="s">
        <v>47</v>
      </c>
      <c r="K1464" s="38">
        <v>0</v>
      </c>
      <c r="L1464" s="4" t="s">
        <v>26</v>
      </c>
      <c r="M1464" s="11">
        <f>_xlfn.NUMBERVALUE(LEFT(Table613[[#This Row],[Fiscal Year]], 4))</f>
        <v>2018</v>
      </c>
      <c r="N1464" s="43">
        <f t="shared" si="30"/>
        <v>0</v>
      </c>
      <c r="O1464" s="3">
        <v>1462</v>
      </c>
    </row>
    <row r="1465" spans="1:15" x14ac:dyDescent="0.25">
      <c r="A1465" s="3">
        <v>4</v>
      </c>
      <c r="B1465" s="3" t="s">
        <v>261</v>
      </c>
      <c r="C1465" s="1" t="s">
        <v>13</v>
      </c>
      <c r="D1465" s="1" t="s">
        <v>444</v>
      </c>
      <c r="E1465" s="11" t="s">
        <v>144</v>
      </c>
      <c r="F1465" s="3" t="s">
        <v>8</v>
      </c>
      <c r="G1465" s="48" t="s">
        <v>79</v>
      </c>
      <c r="H1465" s="8" t="s">
        <v>483</v>
      </c>
      <c r="I1465" s="8" t="s">
        <v>458</v>
      </c>
      <c r="J1465" s="6" t="s">
        <v>455</v>
      </c>
      <c r="K1465" s="38">
        <v>0</v>
      </c>
      <c r="L1465" s="4" t="s">
        <v>26</v>
      </c>
      <c r="M1465" s="11">
        <f>_xlfn.NUMBERVALUE(LEFT(Table613[[#This Row],[Fiscal Year]], 4))</f>
        <v>2018</v>
      </c>
      <c r="N1465" s="43">
        <f t="shared" si="30"/>
        <v>0</v>
      </c>
      <c r="O1465" s="3">
        <v>1463</v>
      </c>
    </row>
    <row r="1466" spans="1:15" x14ac:dyDescent="0.25">
      <c r="A1466" s="3">
        <v>4</v>
      </c>
      <c r="B1466" s="3" t="s">
        <v>261</v>
      </c>
      <c r="C1466" s="1" t="s">
        <v>13</v>
      </c>
      <c r="D1466" s="1" t="s">
        <v>444</v>
      </c>
      <c r="E1466" s="11" t="s">
        <v>144</v>
      </c>
      <c r="F1466" s="3" t="s">
        <v>8</v>
      </c>
      <c r="G1466" s="66" t="s">
        <v>80</v>
      </c>
      <c r="H1466" s="8"/>
      <c r="I1466" s="8"/>
      <c r="J1466" s="6" t="s">
        <v>605</v>
      </c>
      <c r="K1466" s="38">
        <v>240000</v>
      </c>
      <c r="L1466" s="4" t="s">
        <v>26</v>
      </c>
      <c r="M1466" s="11">
        <f>_xlfn.NUMBERVALUE(LEFT(Table613[[#This Row],[Fiscal Year]], 4))</f>
        <v>2018</v>
      </c>
      <c r="N1466" s="42">
        <f>K1466*(1+VLOOKUP(M1466,$AF$8:$AH$31,3,0))</f>
        <v>240000</v>
      </c>
      <c r="O1466" s="3">
        <v>1464</v>
      </c>
    </row>
    <row r="1467" spans="1:15" x14ac:dyDescent="0.25">
      <c r="A1467" s="3">
        <v>4</v>
      </c>
      <c r="B1467" s="3" t="s">
        <v>261</v>
      </c>
      <c r="C1467" s="1" t="s">
        <v>13</v>
      </c>
      <c r="D1467" s="1" t="s">
        <v>444</v>
      </c>
      <c r="E1467" s="11" t="s">
        <v>144</v>
      </c>
      <c r="F1467" s="3" t="s">
        <v>8</v>
      </c>
      <c r="G1467" s="66" t="s">
        <v>67</v>
      </c>
      <c r="H1467" s="8"/>
      <c r="I1467" s="8"/>
      <c r="J1467" s="6" t="s">
        <v>455</v>
      </c>
      <c r="K1467" s="38">
        <v>0</v>
      </c>
      <c r="L1467" s="4" t="s">
        <v>26</v>
      </c>
      <c r="M1467" s="11">
        <f>_xlfn.NUMBERVALUE(LEFT(Table613[[#This Row],[Fiscal Year]], 4))</f>
        <v>2018</v>
      </c>
      <c r="N1467" s="43">
        <f t="shared" si="30"/>
        <v>0</v>
      </c>
      <c r="O1467" s="3">
        <v>1465</v>
      </c>
    </row>
    <row r="1468" spans="1:15" x14ac:dyDescent="0.25">
      <c r="C1468" s="1"/>
      <c r="D1468" s="1"/>
      <c r="E1468" s="11"/>
      <c r="G1468" s="66"/>
      <c r="H1468" s="8"/>
      <c r="I1468" s="8"/>
      <c r="J1468" s="6"/>
      <c r="L1468" s="4"/>
      <c r="O1468" s="3">
        <v>1466</v>
      </c>
    </row>
    <row r="1469" spans="1:15" x14ac:dyDescent="0.25">
      <c r="A1469" s="3">
        <v>4</v>
      </c>
      <c r="B1469" s="18" t="s">
        <v>424</v>
      </c>
      <c r="C1469" s="1" t="s">
        <v>13</v>
      </c>
      <c r="D1469" s="1" t="s">
        <v>444</v>
      </c>
      <c r="E1469" s="11"/>
      <c r="F1469" s="3" t="s">
        <v>122</v>
      </c>
      <c r="G1469" s="48" t="s">
        <v>32</v>
      </c>
      <c r="H1469" s="8" t="s">
        <v>608</v>
      </c>
      <c r="I1469" s="70" t="s">
        <v>609</v>
      </c>
      <c r="J1469" s="6" t="s">
        <v>110</v>
      </c>
      <c r="K1469" s="38" t="s">
        <v>827</v>
      </c>
      <c r="L1469" s="4" t="s">
        <v>26</v>
      </c>
      <c r="M1469" s="11">
        <f>_xlfn.NUMBERVALUE(LEFT(Table613[[#This Row],[Fiscal Year]], 4))</f>
        <v>2018</v>
      </c>
      <c r="O1469" s="3">
        <v>1467</v>
      </c>
    </row>
    <row r="1470" spans="1:15" x14ac:dyDescent="0.25">
      <c r="A1470" s="3">
        <v>4</v>
      </c>
      <c r="B1470" s="3" t="s">
        <v>424</v>
      </c>
      <c r="C1470" s="1" t="s">
        <v>13</v>
      </c>
      <c r="D1470" s="1" t="s">
        <v>444</v>
      </c>
      <c r="E1470" s="11"/>
      <c r="F1470" s="3" t="s">
        <v>122</v>
      </c>
      <c r="G1470" s="48" t="s">
        <v>68</v>
      </c>
      <c r="H1470" s="6"/>
      <c r="I1470" s="8"/>
      <c r="J1470" s="6" t="s">
        <v>42</v>
      </c>
      <c r="K1470" s="38">
        <v>0</v>
      </c>
      <c r="L1470" s="4" t="s">
        <v>26</v>
      </c>
      <c r="M1470" s="11">
        <f>_xlfn.NUMBERVALUE(LEFT(Table613[[#This Row],[Fiscal Year]], 4))</f>
        <v>2018</v>
      </c>
      <c r="N1470" s="43">
        <f t="shared" si="30"/>
        <v>0</v>
      </c>
      <c r="O1470" s="3">
        <v>1468</v>
      </c>
    </row>
    <row r="1471" spans="1:15" x14ac:dyDescent="0.25">
      <c r="A1471" s="3">
        <v>4</v>
      </c>
      <c r="B1471" s="3" t="s">
        <v>424</v>
      </c>
      <c r="C1471" s="1" t="s">
        <v>13</v>
      </c>
      <c r="D1471" s="1" t="s">
        <v>444</v>
      </c>
      <c r="E1471" s="11"/>
      <c r="F1471" s="3" t="s">
        <v>122</v>
      </c>
      <c r="G1471" s="48" t="s">
        <v>69</v>
      </c>
      <c r="H1471" s="8"/>
      <c r="I1471" s="8"/>
      <c r="J1471" s="6" t="s">
        <v>109</v>
      </c>
      <c r="K1471" s="38">
        <v>0</v>
      </c>
      <c r="L1471" s="4" t="s">
        <v>26</v>
      </c>
      <c r="M1471" s="11">
        <f>_xlfn.NUMBERVALUE(LEFT(Table613[[#This Row],[Fiscal Year]], 4))</f>
        <v>2018</v>
      </c>
      <c r="N1471" s="43">
        <f t="shared" si="30"/>
        <v>0</v>
      </c>
      <c r="O1471" s="3">
        <v>1469</v>
      </c>
    </row>
    <row r="1472" spans="1:15" x14ac:dyDescent="0.25">
      <c r="A1472" s="3">
        <v>4</v>
      </c>
      <c r="B1472" s="3" t="s">
        <v>424</v>
      </c>
      <c r="C1472" s="1" t="s">
        <v>13</v>
      </c>
      <c r="D1472" s="1" t="s">
        <v>444</v>
      </c>
      <c r="E1472" s="11"/>
      <c r="F1472" s="3" t="s">
        <v>122</v>
      </c>
      <c r="G1472" s="48" t="s">
        <v>59</v>
      </c>
      <c r="H1472" s="8"/>
      <c r="I1472" s="8"/>
      <c r="J1472" s="6" t="s">
        <v>111</v>
      </c>
      <c r="K1472" s="38">
        <v>0</v>
      </c>
      <c r="L1472" s="4" t="s">
        <v>26</v>
      </c>
      <c r="M1472" s="11">
        <f>_xlfn.NUMBERVALUE(LEFT(Table613[[#This Row],[Fiscal Year]], 4))</f>
        <v>2018</v>
      </c>
      <c r="N1472" s="43">
        <f t="shared" si="30"/>
        <v>0</v>
      </c>
      <c r="O1472" s="3">
        <v>1470</v>
      </c>
    </row>
    <row r="1473" spans="1:15" x14ac:dyDescent="0.25">
      <c r="A1473" s="3">
        <v>4</v>
      </c>
      <c r="B1473" s="3" t="s">
        <v>424</v>
      </c>
      <c r="C1473" s="1" t="s">
        <v>13</v>
      </c>
      <c r="D1473" s="1" t="s">
        <v>444</v>
      </c>
      <c r="E1473" s="11"/>
      <c r="F1473" s="3" t="s">
        <v>122</v>
      </c>
      <c r="G1473" s="48" t="s">
        <v>70</v>
      </c>
      <c r="H1473" s="8"/>
      <c r="I1473" s="8"/>
      <c r="J1473" s="6" t="s">
        <v>107</v>
      </c>
      <c r="K1473" s="38" t="s">
        <v>827</v>
      </c>
      <c r="L1473" s="4" t="s">
        <v>26</v>
      </c>
      <c r="M1473" s="11">
        <f>_xlfn.NUMBERVALUE(LEFT(Table613[[#This Row],[Fiscal Year]], 4))</f>
        <v>2018</v>
      </c>
      <c r="O1473" s="3">
        <v>1471</v>
      </c>
    </row>
    <row r="1474" spans="1:15" x14ac:dyDescent="0.25">
      <c r="A1474" s="3">
        <v>4</v>
      </c>
      <c r="B1474" s="3" t="s">
        <v>424</v>
      </c>
      <c r="C1474" s="1" t="s">
        <v>13</v>
      </c>
      <c r="D1474" s="1" t="s">
        <v>444</v>
      </c>
      <c r="E1474" s="11"/>
      <c r="F1474" s="3" t="s">
        <v>122</v>
      </c>
      <c r="G1474" s="48" t="s">
        <v>72</v>
      </c>
      <c r="H1474" s="8" t="s">
        <v>610</v>
      </c>
      <c r="I1474" s="8" t="s">
        <v>458</v>
      </c>
      <c r="J1474" s="6" t="s">
        <v>108</v>
      </c>
      <c r="K1474" s="38" t="s">
        <v>827</v>
      </c>
      <c r="L1474" s="4" t="s">
        <v>26</v>
      </c>
      <c r="M1474" s="11">
        <f>_xlfn.NUMBERVALUE(LEFT(Table613[[#This Row],[Fiscal Year]], 4))</f>
        <v>2018</v>
      </c>
      <c r="O1474" s="3">
        <v>1472</v>
      </c>
    </row>
    <row r="1475" spans="1:15" x14ac:dyDescent="0.25">
      <c r="A1475" s="3">
        <v>4</v>
      </c>
      <c r="B1475" s="3" t="s">
        <v>424</v>
      </c>
      <c r="C1475" s="1" t="s">
        <v>13</v>
      </c>
      <c r="D1475" s="1" t="s">
        <v>444</v>
      </c>
      <c r="E1475" s="11"/>
      <c r="F1475" s="3" t="s">
        <v>122</v>
      </c>
      <c r="G1475" s="66" t="s">
        <v>71</v>
      </c>
      <c r="H1475" s="8" t="s">
        <v>484</v>
      </c>
      <c r="I1475" s="8" t="s">
        <v>458</v>
      </c>
      <c r="J1475" s="6" t="s">
        <v>108</v>
      </c>
      <c r="K1475" s="38">
        <v>1500000</v>
      </c>
      <c r="L1475" s="4" t="s">
        <v>26</v>
      </c>
      <c r="M1475" s="11">
        <f>_xlfn.NUMBERVALUE(LEFT(Table613[[#This Row],[Fiscal Year]], 4))</f>
        <v>2018</v>
      </c>
      <c r="N1475" s="42">
        <f t="shared" si="30"/>
        <v>1500000</v>
      </c>
      <c r="O1475" s="3">
        <v>1473</v>
      </c>
    </row>
    <row r="1476" spans="1:15" x14ac:dyDescent="0.25">
      <c r="A1476" s="3">
        <v>4</v>
      </c>
      <c r="B1476" s="3" t="s">
        <v>424</v>
      </c>
      <c r="C1476" s="1" t="s">
        <v>13</v>
      </c>
      <c r="D1476" s="1" t="s">
        <v>444</v>
      </c>
      <c r="E1476" s="11"/>
      <c r="F1476" s="3" t="s">
        <v>122</v>
      </c>
      <c r="G1476" s="48" t="s">
        <v>73</v>
      </c>
      <c r="H1476" s="8"/>
      <c r="I1476" s="8"/>
      <c r="J1476" s="6" t="s">
        <v>108</v>
      </c>
      <c r="K1476" s="38" t="s">
        <v>28</v>
      </c>
      <c r="L1476" s="4" t="s">
        <v>26</v>
      </c>
      <c r="M1476" s="11">
        <f>_xlfn.NUMBERVALUE(LEFT(Table613[[#This Row],[Fiscal Year]], 4))</f>
        <v>2018</v>
      </c>
      <c r="O1476" s="3">
        <v>1474</v>
      </c>
    </row>
    <row r="1477" spans="1:15" x14ac:dyDescent="0.25">
      <c r="A1477" s="3">
        <v>4</v>
      </c>
      <c r="B1477" s="3" t="s">
        <v>424</v>
      </c>
      <c r="C1477" s="1" t="s">
        <v>13</v>
      </c>
      <c r="D1477" s="1" t="s">
        <v>444</v>
      </c>
      <c r="E1477" s="11"/>
      <c r="F1477" s="3" t="s">
        <v>122</v>
      </c>
      <c r="G1477" s="48" t="s">
        <v>74</v>
      </c>
      <c r="H1477" s="8" t="s">
        <v>611</v>
      </c>
      <c r="I1477" s="8" t="s">
        <v>458</v>
      </c>
      <c r="J1477" s="6" t="s">
        <v>108</v>
      </c>
      <c r="K1477" s="38" t="s">
        <v>827</v>
      </c>
      <c r="L1477" s="4" t="s">
        <v>26</v>
      </c>
      <c r="M1477" s="11">
        <f>_xlfn.NUMBERVALUE(LEFT(Table613[[#This Row],[Fiscal Year]], 4))</f>
        <v>2018</v>
      </c>
      <c r="O1477" s="3">
        <v>1475</v>
      </c>
    </row>
    <row r="1478" spans="1:15" x14ac:dyDescent="0.25">
      <c r="A1478" s="3">
        <v>4</v>
      </c>
      <c r="B1478" s="3" t="s">
        <v>424</v>
      </c>
      <c r="C1478" s="1" t="s">
        <v>13</v>
      </c>
      <c r="D1478" s="1" t="s">
        <v>444</v>
      </c>
      <c r="E1478" s="11"/>
      <c r="F1478" s="3" t="s">
        <v>122</v>
      </c>
      <c r="G1478" s="66" t="s">
        <v>75</v>
      </c>
      <c r="H1478" s="8" t="s">
        <v>485</v>
      </c>
      <c r="I1478" s="8" t="s">
        <v>458</v>
      </c>
      <c r="J1478" s="6" t="s">
        <v>108</v>
      </c>
      <c r="K1478" s="38" t="s">
        <v>827</v>
      </c>
      <c r="L1478" s="4" t="s">
        <v>26</v>
      </c>
      <c r="M1478" s="11">
        <f>_xlfn.NUMBERVALUE(LEFT(Table613[[#This Row],[Fiscal Year]], 4))</f>
        <v>2018</v>
      </c>
      <c r="O1478" s="3">
        <v>1476</v>
      </c>
    </row>
    <row r="1479" spans="1:15" x14ac:dyDescent="0.25">
      <c r="A1479" s="3">
        <v>4</v>
      </c>
      <c r="B1479" s="3" t="s">
        <v>424</v>
      </c>
      <c r="C1479" s="1" t="s">
        <v>13</v>
      </c>
      <c r="D1479" s="1" t="s">
        <v>444</v>
      </c>
      <c r="E1479" s="11"/>
      <c r="F1479" s="3" t="s">
        <v>122</v>
      </c>
      <c r="G1479" s="48" t="s">
        <v>76</v>
      </c>
      <c r="H1479" s="8"/>
      <c r="I1479" s="8"/>
      <c r="J1479" s="6" t="s">
        <v>76</v>
      </c>
      <c r="K1479" s="38" t="s">
        <v>827</v>
      </c>
      <c r="L1479" s="4" t="s">
        <v>26</v>
      </c>
      <c r="M1479" s="11">
        <f>_xlfn.NUMBERVALUE(LEFT(Table613[[#This Row],[Fiscal Year]], 4))</f>
        <v>2018</v>
      </c>
      <c r="O1479" s="3">
        <v>1477</v>
      </c>
    </row>
    <row r="1480" spans="1:15" x14ac:dyDescent="0.25">
      <c r="A1480" s="3">
        <v>4</v>
      </c>
      <c r="B1480" s="3" t="s">
        <v>424</v>
      </c>
      <c r="C1480" s="1" t="s">
        <v>13</v>
      </c>
      <c r="D1480" s="1" t="s">
        <v>444</v>
      </c>
      <c r="E1480" s="11"/>
      <c r="F1480" s="3" t="s">
        <v>122</v>
      </c>
      <c r="G1480" s="48" t="s">
        <v>77</v>
      </c>
      <c r="H1480" s="8"/>
      <c r="I1480" s="8"/>
      <c r="J1480" s="6" t="s">
        <v>106</v>
      </c>
      <c r="K1480" s="38" t="s">
        <v>827</v>
      </c>
      <c r="L1480" s="4" t="s">
        <v>26</v>
      </c>
      <c r="M1480" s="11">
        <f>_xlfn.NUMBERVALUE(LEFT(Table613[[#This Row],[Fiscal Year]], 4))</f>
        <v>2018</v>
      </c>
      <c r="O1480" s="3">
        <v>1478</v>
      </c>
    </row>
    <row r="1481" spans="1:15" x14ac:dyDescent="0.25">
      <c r="A1481" s="3">
        <v>4</v>
      </c>
      <c r="B1481" s="3" t="s">
        <v>424</v>
      </c>
      <c r="C1481" s="1" t="s">
        <v>13</v>
      </c>
      <c r="D1481" s="1" t="s">
        <v>444</v>
      </c>
      <c r="E1481" s="11"/>
      <c r="F1481" s="3" t="s">
        <v>122</v>
      </c>
      <c r="G1481" s="66" t="s">
        <v>78</v>
      </c>
      <c r="H1481" s="8"/>
      <c r="I1481" s="8"/>
      <c r="J1481" s="6" t="s">
        <v>47</v>
      </c>
      <c r="K1481" s="38">
        <v>0</v>
      </c>
      <c r="L1481" s="4" t="s">
        <v>26</v>
      </c>
      <c r="M1481" s="11">
        <f>_xlfn.NUMBERVALUE(LEFT(Table613[[#This Row],[Fiscal Year]], 4))</f>
        <v>2018</v>
      </c>
      <c r="N1481" s="43">
        <f t="shared" si="30"/>
        <v>0</v>
      </c>
      <c r="O1481" s="3">
        <v>1479</v>
      </c>
    </row>
    <row r="1482" spans="1:15" x14ac:dyDescent="0.25">
      <c r="A1482" s="3">
        <v>4</v>
      </c>
      <c r="B1482" s="3" t="s">
        <v>424</v>
      </c>
      <c r="C1482" s="1" t="s">
        <v>13</v>
      </c>
      <c r="D1482" s="1" t="s">
        <v>444</v>
      </c>
      <c r="E1482" s="11"/>
      <c r="F1482" s="3" t="s">
        <v>122</v>
      </c>
      <c r="G1482" s="48" t="s">
        <v>79</v>
      </c>
      <c r="H1482" s="8" t="s">
        <v>483</v>
      </c>
      <c r="I1482" s="8" t="s">
        <v>458</v>
      </c>
      <c r="J1482" s="6" t="s">
        <v>455</v>
      </c>
      <c r="K1482" s="38">
        <v>999952</v>
      </c>
      <c r="L1482" s="4" t="s">
        <v>26</v>
      </c>
      <c r="M1482" s="11">
        <f>_xlfn.NUMBERVALUE(LEFT(Table613[[#This Row],[Fiscal Year]], 4))</f>
        <v>2018</v>
      </c>
      <c r="N1482" s="42">
        <f t="shared" si="30"/>
        <v>999952</v>
      </c>
      <c r="O1482" s="3">
        <v>1480</v>
      </c>
    </row>
    <row r="1483" spans="1:15" x14ac:dyDescent="0.25">
      <c r="A1483" s="3">
        <v>4</v>
      </c>
      <c r="B1483" s="3" t="s">
        <v>424</v>
      </c>
      <c r="C1483" s="1" t="s">
        <v>13</v>
      </c>
      <c r="D1483" s="1" t="s">
        <v>444</v>
      </c>
      <c r="E1483" s="11"/>
      <c r="F1483" s="3" t="s">
        <v>122</v>
      </c>
      <c r="G1483" s="66" t="s">
        <v>80</v>
      </c>
      <c r="H1483" s="8"/>
      <c r="I1483" s="8"/>
      <c r="J1483" s="6" t="s">
        <v>605</v>
      </c>
      <c r="K1483" s="38">
        <v>240000</v>
      </c>
      <c r="L1483" s="4" t="s">
        <v>26</v>
      </c>
      <c r="M1483" s="11">
        <f>_xlfn.NUMBERVALUE(LEFT(Table613[[#This Row],[Fiscal Year]], 4))</f>
        <v>2018</v>
      </c>
      <c r="N1483" s="42">
        <f t="shared" si="30"/>
        <v>240000</v>
      </c>
      <c r="O1483" s="3">
        <v>1481</v>
      </c>
    </row>
    <row r="1484" spans="1:15" x14ac:dyDescent="0.25">
      <c r="A1484" s="3">
        <v>4</v>
      </c>
      <c r="B1484" s="3" t="s">
        <v>424</v>
      </c>
      <c r="C1484" s="1" t="s">
        <v>13</v>
      </c>
      <c r="D1484" s="1" t="s">
        <v>444</v>
      </c>
      <c r="E1484" s="11"/>
      <c r="F1484" s="3" t="s">
        <v>122</v>
      </c>
      <c r="G1484" s="66" t="s">
        <v>67</v>
      </c>
      <c r="H1484" s="8"/>
      <c r="I1484" s="8"/>
      <c r="J1484" s="6" t="s">
        <v>455</v>
      </c>
      <c r="K1484" s="38">
        <v>210000</v>
      </c>
      <c r="L1484" s="4" t="s">
        <v>26</v>
      </c>
      <c r="M1484" s="11">
        <f>_xlfn.NUMBERVALUE(LEFT(Table613[[#This Row],[Fiscal Year]], 4))</f>
        <v>2018</v>
      </c>
      <c r="N1484" s="42">
        <f t="shared" ref="N1484:N1547" si="31">K1484*(1+VLOOKUP(M1484,$AF$8:$AH$31,3,0))</f>
        <v>210000</v>
      </c>
      <c r="O1484" s="3">
        <v>1482</v>
      </c>
    </row>
    <row r="1485" spans="1:15" x14ac:dyDescent="0.25">
      <c r="C1485" s="1"/>
      <c r="D1485" s="1"/>
      <c r="E1485" s="11"/>
      <c r="G1485" s="66"/>
      <c r="H1485" s="8"/>
      <c r="I1485" s="8"/>
      <c r="J1485" s="6"/>
      <c r="L1485" s="4"/>
      <c r="O1485" s="3">
        <v>1483</v>
      </c>
    </row>
    <row r="1486" spans="1:15" x14ac:dyDescent="0.25">
      <c r="B1486" s="3" t="s">
        <v>425</v>
      </c>
      <c r="C1486" s="1" t="s">
        <v>13</v>
      </c>
      <c r="D1486" s="1" t="s">
        <v>444</v>
      </c>
      <c r="E1486" s="11"/>
      <c r="G1486" s="66"/>
      <c r="H1486" s="8"/>
      <c r="I1486" s="8"/>
      <c r="J1486" s="6"/>
      <c r="L1486" s="4"/>
      <c r="O1486" s="3">
        <v>1484</v>
      </c>
    </row>
    <row r="1487" spans="1:15" x14ac:dyDescent="0.25">
      <c r="C1487" s="1"/>
      <c r="D1487" s="1"/>
      <c r="E1487" s="11"/>
      <c r="G1487" s="66"/>
      <c r="H1487" s="8"/>
      <c r="I1487" s="8"/>
      <c r="J1487" s="6"/>
      <c r="L1487" s="4"/>
      <c r="O1487" s="3">
        <v>1485</v>
      </c>
    </row>
    <row r="1488" spans="1:15" x14ac:dyDescent="0.25">
      <c r="C1488" s="1"/>
      <c r="D1488" s="1"/>
      <c r="E1488" s="11"/>
      <c r="G1488" s="66"/>
      <c r="H1488" s="8"/>
      <c r="I1488" s="8"/>
      <c r="J1488" s="6"/>
      <c r="L1488" s="4"/>
      <c r="O1488" s="3">
        <v>1486</v>
      </c>
    </row>
    <row r="1489" spans="1:15" x14ac:dyDescent="0.25">
      <c r="C1489" s="1"/>
      <c r="D1489" s="1"/>
      <c r="E1489" s="11"/>
      <c r="G1489" s="66"/>
      <c r="H1489" s="8"/>
      <c r="I1489" s="8"/>
      <c r="J1489" s="6"/>
      <c r="L1489" s="4"/>
      <c r="O1489" s="3">
        <v>1487</v>
      </c>
    </row>
    <row r="1490" spans="1:15" x14ac:dyDescent="0.25">
      <c r="C1490" s="1"/>
      <c r="D1490" s="1"/>
      <c r="E1490" s="11"/>
      <c r="G1490" s="66"/>
      <c r="H1490" s="8"/>
      <c r="I1490" s="8"/>
      <c r="J1490" s="6"/>
      <c r="L1490" s="4"/>
      <c r="O1490" s="3">
        <v>1488</v>
      </c>
    </row>
    <row r="1491" spans="1:15" x14ac:dyDescent="0.25">
      <c r="C1491" s="1"/>
      <c r="D1491" s="1"/>
      <c r="E1491" s="11"/>
      <c r="G1491" s="66"/>
      <c r="H1491" s="8"/>
      <c r="I1491" s="8"/>
      <c r="J1491" s="6"/>
      <c r="L1491" s="4"/>
      <c r="O1491" s="3">
        <v>1489</v>
      </c>
    </row>
    <row r="1492" spans="1:15" x14ac:dyDescent="0.25">
      <c r="C1492" s="1"/>
      <c r="D1492" s="1"/>
      <c r="E1492" s="11"/>
      <c r="G1492" s="66"/>
      <c r="H1492" s="8"/>
      <c r="I1492" s="8"/>
      <c r="J1492" s="6"/>
      <c r="L1492" s="4"/>
      <c r="O1492" s="3">
        <v>1490</v>
      </c>
    </row>
    <row r="1493" spans="1:15" x14ac:dyDescent="0.25">
      <c r="C1493" s="1"/>
      <c r="D1493" s="1"/>
      <c r="E1493" s="11"/>
      <c r="G1493" s="66"/>
      <c r="H1493" s="8"/>
      <c r="I1493" s="8"/>
      <c r="J1493" s="6"/>
      <c r="L1493" s="4"/>
      <c r="O1493" s="3">
        <v>1491</v>
      </c>
    </row>
    <row r="1494" spans="1:15" x14ac:dyDescent="0.25">
      <c r="C1494" s="1"/>
      <c r="D1494" s="1"/>
      <c r="E1494" s="11"/>
      <c r="G1494" s="66"/>
      <c r="H1494" s="8"/>
      <c r="I1494" s="8"/>
      <c r="J1494" s="6"/>
      <c r="L1494" s="4"/>
      <c r="O1494" s="3">
        <v>1492</v>
      </c>
    </row>
    <row r="1495" spans="1:15" x14ac:dyDescent="0.25">
      <c r="C1495" s="1"/>
      <c r="D1495" s="1"/>
      <c r="E1495" s="11"/>
      <c r="G1495" s="66"/>
      <c r="H1495" s="8"/>
      <c r="I1495" s="8"/>
      <c r="J1495" s="6"/>
      <c r="L1495" s="4"/>
      <c r="O1495" s="3">
        <v>1493</v>
      </c>
    </row>
    <row r="1496" spans="1:15" x14ac:dyDescent="0.25">
      <c r="C1496" s="1"/>
      <c r="D1496" s="1"/>
      <c r="E1496" s="11"/>
      <c r="G1496" s="66"/>
      <c r="H1496" s="8"/>
      <c r="I1496" s="8"/>
      <c r="J1496" s="6"/>
      <c r="L1496" s="4"/>
      <c r="O1496" s="3">
        <v>1494</v>
      </c>
    </row>
    <row r="1497" spans="1:15" x14ac:dyDescent="0.25">
      <c r="C1497" s="1"/>
      <c r="D1497" s="1"/>
      <c r="E1497" s="11"/>
      <c r="G1497" s="66"/>
      <c r="H1497" s="8"/>
      <c r="I1497" s="8"/>
      <c r="J1497" s="6"/>
      <c r="L1497" s="4"/>
      <c r="O1497" s="3">
        <v>1495</v>
      </c>
    </row>
    <row r="1498" spans="1:15" x14ac:dyDescent="0.25">
      <c r="C1498" s="1"/>
      <c r="D1498" s="1"/>
      <c r="E1498" s="11"/>
      <c r="G1498" s="66"/>
      <c r="H1498" s="8"/>
      <c r="I1498" s="8"/>
      <c r="J1498" s="6"/>
      <c r="L1498" s="4"/>
      <c r="O1498" s="3">
        <v>1496</v>
      </c>
    </row>
    <row r="1499" spans="1:15" x14ac:dyDescent="0.25">
      <c r="C1499" s="1"/>
      <c r="D1499" s="1"/>
      <c r="E1499" s="11"/>
      <c r="G1499" s="66"/>
      <c r="H1499" s="8"/>
      <c r="I1499" s="8"/>
      <c r="J1499" s="6"/>
      <c r="L1499" s="4"/>
      <c r="O1499" s="3">
        <v>1497</v>
      </c>
    </row>
    <row r="1500" spans="1:15" x14ac:dyDescent="0.25">
      <c r="C1500" s="1"/>
      <c r="D1500" s="1"/>
      <c r="E1500" s="11"/>
      <c r="G1500" s="66"/>
      <c r="H1500" s="8"/>
      <c r="I1500" s="8"/>
      <c r="J1500" s="6"/>
      <c r="L1500" s="4"/>
      <c r="O1500" s="3">
        <v>1498</v>
      </c>
    </row>
    <row r="1501" spans="1:15" x14ac:dyDescent="0.25">
      <c r="C1501" s="1"/>
      <c r="D1501" s="1"/>
      <c r="E1501" s="11"/>
      <c r="G1501" s="66"/>
      <c r="H1501" s="8"/>
      <c r="I1501" s="8"/>
      <c r="J1501" s="6"/>
      <c r="L1501" s="4"/>
      <c r="O1501" s="3">
        <v>1499</v>
      </c>
    </row>
    <row r="1502" spans="1:15" x14ac:dyDescent="0.25">
      <c r="C1502" s="1"/>
      <c r="D1502" s="1"/>
      <c r="E1502" s="11"/>
      <c r="G1502" s="66"/>
      <c r="H1502" s="8"/>
      <c r="I1502" s="8"/>
      <c r="J1502" s="6"/>
      <c r="L1502" s="4"/>
      <c r="O1502" s="3">
        <v>1500</v>
      </c>
    </row>
    <row r="1503" spans="1:15" x14ac:dyDescent="0.25">
      <c r="A1503" s="3">
        <v>4</v>
      </c>
      <c r="B1503" s="3" t="s">
        <v>221</v>
      </c>
      <c r="C1503" s="1" t="s">
        <v>12</v>
      </c>
      <c r="D1503" s="1" t="s">
        <v>444</v>
      </c>
      <c r="E1503" s="11" t="s">
        <v>144</v>
      </c>
      <c r="F1503" s="3" t="s">
        <v>8</v>
      </c>
      <c r="G1503" s="48" t="s">
        <v>32</v>
      </c>
      <c r="H1503" s="8"/>
      <c r="I1503" s="8"/>
      <c r="J1503" s="6" t="s">
        <v>110</v>
      </c>
      <c r="K1503" s="38">
        <v>80000</v>
      </c>
      <c r="L1503" s="4" t="s">
        <v>29</v>
      </c>
      <c r="M1503" s="11">
        <f>_xlfn.NUMBERVALUE(LEFT(Table613[[#This Row],[Fiscal Year]], 4))</f>
        <v>2015</v>
      </c>
      <c r="N1503" s="42">
        <f t="shared" si="31"/>
        <v>84938.734177215185</v>
      </c>
      <c r="O1503" s="3">
        <v>1501</v>
      </c>
    </row>
    <row r="1504" spans="1:15" x14ac:dyDescent="0.25">
      <c r="A1504" s="3">
        <v>4</v>
      </c>
      <c r="B1504" s="3" t="s">
        <v>221</v>
      </c>
      <c r="C1504" s="1" t="s">
        <v>12</v>
      </c>
      <c r="D1504" s="1" t="s">
        <v>444</v>
      </c>
      <c r="E1504" s="11" t="s">
        <v>144</v>
      </c>
      <c r="F1504" s="3" t="s">
        <v>8</v>
      </c>
      <c r="G1504" s="48" t="s">
        <v>58</v>
      </c>
      <c r="H1504" s="8"/>
      <c r="I1504" s="8"/>
      <c r="J1504" s="6" t="s">
        <v>453</v>
      </c>
      <c r="K1504" s="38">
        <v>21150</v>
      </c>
      <c r="L1504" s="4" t="s">
        <v>29</v>
      </c>
      <c r="M1504" s="11">
        <f>_xlfn.NUMBERVALUE(LEFT(Table613[[#This Row],[Fiscal Year]], 4))</f>
        <v>2015</v>
      </c>
      <c r="N1504" s="42">
        <f t="shared" si="31"/>
        <v>22455.677848101266</v>
      </c>
      <c r="O1504" s="3">
        <v>1502</v>
      </c>
    </row>
    <row r="1505" spans="1:15" x14ac:dyDescent="0.25">
      <c r="A1505" s="3">
        <v>4</v>
      </c>
      <c r="B1505" s="3" t="s">
        <v>221</v>
      </c>
      <c r="C1505" s="1" t="s">
        <v>12</v>
      </c>
      <c r="D1505" s="1" t="s">
        <v>444</v>
      </c>
      <c r="E1505" s="11" t="s">
        <v>144</v>
      </c>
      <c r="F1505" s="3" t="s">
        <v>8</v>
      </c>
      <c r="G1505" s="66" t="s">
        <v>208</v>
      </c>
      <c r="H1505" s="8"/>
      <c r="I1505" s="8"/>
      <c r="J1505" s="6" t="s">
        <v>109</v>
      </c>
      <c r="K1505" s="38">
        <v>100000</v>
      </c>
      <c r="L1505" s="4" t="s">
        <v>29</v>
      </c>
      <c r="M1505" s="11">
        <f>_xlfn.NUMBERVALUE(LEFT(Table613[[#This Row],[Fiscal Year]], 4))</f>
        <v>2015</v>
      </c>
      <c r="N1505" s="42">
        <f t="shared" si="31"/>
        <v>106173.41772151898</v>
      </c>
      <c r="O1505" s="3">
        <v>1503</v>
      </c>
    </row>
    <row r="1506" spans="1:15" x14ac:dyDescent="0.25">
      <c r="A1506" s="3">
        <v>4</v>
      </c>
      <c r="B1506" s="3" t="s">
        <v>221</v>
      </c>
      <c r="C1506" s="1" t="s">
        <v>12</v>
      </c>
      <c r="D1506" s="1" t="s">
        <v>444</v>
      </c>
      <c r="E1506" s="11" t="s">
        <v>144</v>
      </c>
      <c r="F1506" s="3" t="s">
        <v>8</v>
      </c>
      <c r="G1506" s="48" t="s">
        <v>59</v>
      </c>
      <c r="H1506" s="8"/>
      <c r="I1506" s="8"/>
      <c r="J1506" s="6" t="s">
        <v>111</v>
      </c>
      <c r="K1506" s="38">
        <v>8000</v>
      </c>
      <c r="L1506" s="4" t="s">
        <v>29</v>
      </c>
      <c r="M1506" s="11">
        <f>_xlfn.NUMBERVALUE(LEFT(Table613[[#This Row],[Fiscal Year]], 4))</f>
        <v>2015</v>
      </c>
      <c r="N1506" s="42">
        <f t="shared" si="31"/>
        <v>8493.8734177215192</v>
      </c>
      <c r="O1506" s="3">
        <v>1504</v>
      </c>
    </row>
    <row r="1507" spans="1:15" x14ac:dyDescent="0.25">
      <c r="A1507" s="3">
        <v>4</v>
      </c>
      <c r="B1507" s="3" t="s">
        <v>221</v>
      </c>
      <c r="C1507" s="1" t="s">
        <v>12</v>
      </c>
      <c r="D1507" s="1" t="s">
        <v>444</v>
      </c>
      <c r="E1507" s="11" t="s">
        <v>144</v>
      </c>
      <c r="F1507" s="3" t="s">
        <v>8</v>
      </c>
      <c r="G1507" s="66" t="s">
        <v>60</v>
      </c>
      <c r="H1507" s="8"/>
      <c r="I1507" s="8"/>
      <c r="J1507" s="6" t="s">
        <v>111</v>
      </c>
      <c r="K1507" s="38">
        <v>8000</v>
      </c>
      <c r="L1507" s="4" t="s">
        <v>29</v>
      </c>
      <c r="M1507" s="11">
        <f>_xlfn.NUMBERVALUE(LEFT(Table613[[#This Row],[Fiscal Year]], 4))</f>
        <v>2015</v>
      </c>
      <c r="N1507" s="42">
        <f t="shared" si="31"/>
        <v>8493.8734177215192</v>
      </c>
      <c r="O1507" s="3">
        <v>1505</v>
      </c>
    </row>
    <row r="1508" spans="1:15" x14ac:dyDescent="0.25">
      <c r="A1508" s="3">
        <v>4</v>
      </c>
      <c r="B1508" s="3" t="s">
        <v>221</v>
      </c>
      <c r="C1508" s="1" t="s">
        <v>12</v>
      </c>
      <c r="D1508" s="1" t="s">
        <v>444</v>
      </c>
      <c r="E1508" s="11" t="s">
        <v>144</v>
      </c>
      <c r="F1508" s="3" t="s">
        <v>8</v>
      </c>
      <c r="G1508" s="48" t="s">
        <v>61</v>
      </c>
      <c r="H1508" s="8"/>
      <c r="I1508" s="8"/>
      <c r="J1508" s="6" t="s">
        <v>108</v>
      </c>
      <c r="K1508" s="38">
        <v>0</v>
      </c>
      <c r="L1508" s="4" t="s">
        <v>29</v>
      </c>
      <c r="M1508" s="11">
        <f>_xlfn.NUMBERVALUE(LEFT(Table613[[#This Row],[Fiscal Year]], 4))</f>
        <v>2015</v>
      </c>
      <c r="N1508" s="43">
        <f t="shared" si="31"/>
        <v>0</v>
      </c>
      <c r="O1508" s="3">
        <v>1506</v>
      </c>
    </row>
    <row r="1509" spans="1:15" x14ac:dyDescent="0.25">
      <c r="A1509" s="3">
        <v>4</v>
      </c>
      <c r="B1509" s="3" t="s">
        <v>221</v>
      </c>
      <c r="C1509" s="1" t="s">
        <v>12</v>
      </c>
      <c r="D1509" s="1" t="s">
        <v>444</v>
      </c>
      <c r="E1509" s="11" t="s">
        <v>144</v>
      </c>
      <c r="F1509" s="3" t="s">
        <v>8</v>
      </c>
      <c r="G1509" s="66" t="s">
        <v>62</v>
      </c>
      <c r="H1509" s="8"/>
      <c r="I1509" s="8"/>
      <c r="J1509" s="6" t="s">
        <v>106</v>
      </c>
      <c r="K1509" s="38">
        <v>50000</v>
      </c>
      <c r="L1509" s="4" t="s">
        <v>29</v>
      </c>
      <c r="M1509" s="11">
        <f>_xlfn.NUMBERVALUE(LEFT(Table613[[#This Row],[Fiscal Year]], 4))</f>
        <v>2015</v>
      </c>
      <c r="N1509" s="42">
        <f>K1509*(1+VLOOKUP(M1509,$AF$8:$AH$31,3,0))</f>
        <v>53086.708860759492</v>
      </c>
      <c r="O1509" s="3">
        <v>1507</v>
      </c>
    </row>
    <row r="1510" spans="1:15" x14ac:dyDescent="0.25">
      <c r="A1510" s="3">
        <v>4</v>
      </c>
      <c r="B1510" s="3" t="s">
        <v>221</v>
      </c>
      <c r="C1510" s="1" t="s">
        <v>12</v>
      </c>
      <c r="D1510" s="1" t="s">
        <v>444</v>
      </c>
      <c r="E1510" s="11" t="s">
        <v>144</v>
      </c>
      <c r="F1510" s="3" t="s">
        <v>8</v>
      </c>
      <c r="G1510" s="66" t="s">
        <v>211</v>
      </c>
      <c r="H1510" s="70" t="s">
        <v>647</v>
      </c>
      <c r="I1510" s="8"/>
      <c r="J1510" s="6" t="s">
        <v>455</v>
      </c>
      <c r="K1510" s="38">
        <v>0</v>
      </c>
      <c r="L1510" s="4" t="s">
        <v>29</v>
      </c>
      <c r="M1510" s="11">
        <f>_xlfn.NUMBERVALUE(LEFT(Table613[[#This Row],[Fiscal Year]], 4))</f>
        <v>2015</v>
      </c>
      <c r="N1510" s="43">
        <f t="shared" si="31"/>
        <v>0</v>
      </c>
      <c r="O1510" s="3">
        <v>1508</v>
      </c>
    </row>
    <row r="1511" spans="1:15" x14ac:dyDescent="0.25">
      <c r="A1511" s="3">
        <v>4</v>
      </c>
      <c r="B1511" s="3" t="s">
        <v>221</v>
      </c>
      <c r="C1511" s="1" t="s">
        <v>12</v>
      </c>
      <c r="D1511" s="1" t="s">
        <v>444</v>
      </c>
      <c r="E1511" s="11" t="s">
        <v>144</v>
      </c>
      <c r="F1511" s="3" t="s">
        <v>8</v>
      </c>
      <c r="G1511" s="66" t="s">
        <v>64</v>
      </c>
      <c r="H1511" s="8"/>
      <c r="I1511" s="8"/>
      <c r="J1511" s="6" t="s">
        <v>76</v>
      </c>
      <c r="K1511" s="38">
        <v>152000</v>
      </c>
      <c r="L1511" s="4" t="s">
        <v>29</v>
      </c>
      <c r="M1511" s="11">
        <f>_xlfn.NUMBERVALUE(LEFT(Table613[[#This Row],[Fiscal Year]], 4))</f>
        <v>2015</v>
      </c>
      <c r="N1511" s="42">
        <f t="shared" si="31"/>
        <v>161383.59493670886</v>
      </c>
      <c r="O1511" s="3">
        <v>1509</v>
      </c>
    </row>
    <row r="1512" spans="1:15" x14ac:dyDescent="0.25">
      <c r="A1512" s="3">
        <v>4</v>
      </c>
      <c r="B1512" s="3" t="s">
        <v>221</v>
      </c>
      <c r="C1512" s="1" t="s">
        <v>12</v>
      </c>
      <c r="D1512" s="1" t="s">
        <v>444</v>
      </c>
      <c r="E1512" s="11" t="s">
        <v>144</v>
      </c>
      <c r="F1512" s="3" t="s">
        <v>8</v>
      </c>
      <c r="G1512" s="66" t="s">
        <v>65</v>
      </c>
      <c r="H1512" s="8"/>
      <c r="I1512" s="8"/>
      <c r="J1512" s="6" t="s">
        <v>76</v>
      </c>
      <c r="K1512" s="38">
        <v>800000</v>
      </c>
      <c r="L1512" s="4" t="s">
        <v>29</v>
      </c>
      <c r="M1512" s="11">
        <f>_xlfn.NUMBERVALUE(LEFT(Table613[[#This Row],[Fiscal Year]], 4))</f>
        <v>2015</v>
      </c>
      <c r="N1512" s="42">
        <f t="shared" si="31"/>
        <v>849387.34177215188</v>
      </c>
      <c r="O1512" s="3">
        <v>1510</v>
      </c>
    </row>
    <row r="1513" spans="1:15" x14ac:dyDescent="0.25">
      <c r="A1513" s="3">
        <v>4</v>
      </c>
      <c r="B1513" s="3" t="s">
        <v>221</v>
      </c>
      <c r="C1513" s="1" t="s">
        <v>12</v>
      </c>
      <c r="D1513" s="1" t="s">
        <v>444</v>
      </c>
      <c r="E1513" s="11" t="s">
        <v>144</v>
      </c>
      <c r="F1513" s="3" t="s">
        <v>8</v>
      </c>
      <c r="G1513" s="48" t="s">
        <v>66</v>
      </c>
      <c r="H1513" s="8"/>
      <c r="I1513" s="8"/>
      <c r="J1513" s="6" t="s">
        <v>76</v>
      </c>
      <c r="K1513" s="38">
        <v>0</v>
      </c>
      <c r="L1513" s="4" t="s">
        <v>29</v>
      </c>
      <c r="M1513" s="11">
        <f>_xlfn.NUMBERVALUE(LEFT(Table613[[#This Row],[Fiscal Year]], 4))</f>
        <v>2015</v>
      </c>
      <c r="N1513" s="43">
        <f t="shared" si="31"/>
        <v>0</v>
      </c>
      <c r="O1513" s="3">
        <v>1511</v>
      </c>
    </row>
    <row r="1514" spans="1:15" x14ac:dyDescent="0.25">
      <c r="A1514" s="3">
        <v>4</v>
      </c>
      <c r="B1514" s="3" t="s">
        <v>221</v>
      </c>
      <c r="C1514" s="1" t="s">
        <v>12</v>
      </c>
      <c r="D1514" s="1" t="s">
        <v>444</v>
      </c>
      <c r="E1514" s="11" t="s">
        <v>144</v>
      </c>
      <c r="F1514" s="3" t="s">
        <v>8</v>
      </c>
      <c r="G1514" s="66" t="s">
        <v>33</v>
      </c>
      <c r="H1514" s="8"/>
      <c r="I1514" s="8"/>
      <c r="J1514" s="6" t="s">
        <v>47</v>
      </c>
      <c r="K1514" s="38">
        <v>23000</v>
      </c>
      <c r="L1514" s="4" t="s">
        <v>29</v>
      </c>
      <c r="M1514" s="11">
        <f>_xlfn.NUMBERVALUE(LEFT(Table613[[#This Row],[Fiscal Year]], 4))</f>
        <v>2015</v>
      </c>
      <c r="N1514" s="42">
        <f>K1514*(1+VLOOKUP(M1514,$AF$8:$AH$31,3,0))</f>
        <v>24419.886075949365</v>
      </c>
      <c r="O1514" s="3">
        <v>1512</v>
      </c>
    </row>
    <row r="1515" spans="1:15" x14ac:dyDescent="0.25">
      <c r="A1515" s="3">
        <v>4</v>
      </c>
      <c r="B1515" s="3" t="s">
        <v>221</v>
      </c>
      <c r="C1515" s="1" t="s">
        <v>12</v>
      </c>
      <c r="D1515" s="1" t="s">
        <v>444</v>
      </c>
      <c r="E1515" s="11" t="s">
        <v>144</v>
      </c>
      <c r="F1515" s="3" t="s">
        <v>8</v>
      </c>
      <c r="G1515" s="66" t="s">
        <v>67</v>
      </c>
      <c r="H1515" s="8"/>
      <c r="I1515" s="8"/>
      <c r="J1515" s="6" t="s">
        <v>455</v>
      </c>
      <c r="K1515" s="38">
        <v>0</v>
      </c>
      <c r="L1515" s="4" t="s">
        <v>29</v>
      </c>
      <c r="M1515" s="11">
        <f>_xlfn.NUMBERVALUE(LEFT(Table613[[#This Row],[Fiscal Year]], 4))</f>
        <v>2015</v>
      </c>
      <c r="N1515" s="43">
        <f t="shared" si="31"/>
        <v>0</v>
      </c>
      <c r="O1515" s="3">
        <v>1513</v>
      </c>
    </row>
    <row r="1516" spans="1:15" x14ac:dyDescent="0.25">
      <c r="C1516" s="1"/>
      <c r="D1516" s="1"/>
      <c r="E1516" s="11"/>
      <c r="G1516" s="66"/>
      <c r="H1516" s="8"/>
      <c r="I1516" s="8"/>
      <c r="J1516" s="6"/>
      <c r="L1516" s="4"/>
      <c r="O1516" s="3">
        <v>1514</v>
      </c>
    </row>
    <row r="1517" spans="1:15" x14ac:dyDescent="0.25">
      <c r="A1517" s="3">
        <v>4</v>
      </c>
      <c r="B1517" s="3" t="s">
        <v>222</v>
      </c>
      <c r="C1517" s="1" t="s">
        <v>12</v>
      </c>
      <c r="D1517" s="1" t="s">
        <v>444</v>
      </c>
      <c r="E1517" s="11" t="s">
        <v>144</v>
      </c>
      <c r="F1517" s="3" t="s">
        <v>8</v>
      </c>
      <c r="G1517" s="48" t="s">
        <v>32</v>
      </c>
      <c r="H1517" s="8"/>
      <c r="I1517" s="8"/>
      <c r="J1517" s="6" t="s">
        <v>110</v>
      </c>
      <c r="K1517" s="38">
        <v>540000</v>
      </c>
      <c r="L1517" s="4" t="s">
        <v>29</v>
      </c>
      <c r="M1517" s="11">
        <f>_xlfn.NUMBERVALUE(LEFT(Table613[[#This Row],[Fiscal Year]], 4))</f>
        <v>2015</v>
      </c>
      <c r="N1517" s="42">
        <f t="shared" si="31"/>
        <v>573336.45569620247</v>
      </c>
      <c r="O1517" s="3">
        <v>1515</v>
      </c>
    </row>
    <row r="1518" spans="1:15" x14ac:dyDescent="0.25">
      <c r="A1518" s="3">
        <v>4</v>
      </c>
      <c r="B1518" s="3" t="s">
        <v>222</v>
      </c>
      <c r="C1518" s="1" t="s">
        <v>12</v>
      </c>
      <c r="D1518" s="1" t="s">
        <v>444</v>
      </c>
      <c r="E1518" s="11" t="s">
        <v>144</v>
      </c>
      <c r="F1518" s="3" t="s">
        <v>8</v>
      </c>
      <c r="G1518" s="48" t="s">
        <v>58</v>
      </c>
      <c r="H1518" s="8"/>
      <c r="I1518" s="8"/>
      <c r="J1518" s="6" t="s">
        <v>453</v>
      </c>
      <c r="K1518" s="38">
        <v>20000</v>
      </c>
      <c r="L1518" s="4" t="s">
        <v>29</v>
      </c>
      <c r="M1518" s="11">
        <f>_xlfn.NUMBERVALUE(LEFT(Table613[[#This Row],[Fiscal Year]], 4))</f>
        <v>2015</v>
      </c>
      <c r="N1518" s="42">
        <f t="shared" si="31"/>
        <v>21234.683544303796</v>
      </c>
      <c r="O1518" s="3">
        <v>1516</v>
      </c>
    </row>
    <row r="1519" spans="1:15" x14ac:dyDescent="0.25">
      <c r="A1519" s="3">
        <v>4</v>
      </c>
      <c r="B1519" s="3" t="s">
        <v>222</v>
      </c>
      <c r="C1519" s="1" t="s">
        <v>12</v>
      </c>
      <c r="D1519" s="1" t="s">
        <v>444</v>
      </c>
      <c r="E1519" s="11" t="s">
        <v>144</v>
      </c>
      <c r="F1519" s="3" t="s">
        <v>8</v>
      </c>
      <c r="G1519" s="66" t="s">
        <v>208</v>
      </c>
      <c r="H1519" s="8"/>
      <c r="I1519" s="8"/>
      <c r="J1519" s="6" t="s">
        <v>109</v>
      </c>
      <c r="K1519" s="38">
        <v>50000</v>
      </c>
      <c r="L1519" s="4" t="s">
        <v>29</v>
      </c>
      <c r="M1519" s="11">
        <f>_xlfn.NUMBERVALUE(LEFT(Table613[[#This Row],[Fiscal Year]], 4))</f>
        <v>2015</v>
      </c>
      <c r="N1519" s="42">
        <f t="shared" si="31"/>
        <v>53086.708860759492</v>
      </c>
      <c r="O1519" s="3">
        <v>1517</v>
      </c>
    </row>
    <row r="1520" spans="1:15" x14ac:dyDescent="0.25">
      <c r="A1520" s="3">
        <v>4</v>
      </c>
      <c r="B1520" s="3" t="s">
        <v>222</v>
      </c>
      <c r="C1520" s="1" t="s">
        <v>12</v>
      </c>
      <c r="D1520" s="1" t="s">
        <v>444</v>
      </c>
      <c r="E1520" s="11" t="s">
        <v>144</v>
      </c>
      <c r="F1520" s="3" t="s">
        <v>8</v>
      </c>
      <c r="G1520" s="48" t="s">
        <v>59</v>
      </c>
      <c r="H1520" s="8"/>
      <c r="I1520" s="8"/>
      <c r="J1520" s="6" t="s">
        <v>111</v>
      </c>
      <c r="K1520" s="38">
        <v>7000</v>
      </c>
      <c r="L1520" s="4" t="s">
        <v>29</v>
      </c>
      <c r="M1520" s="11">
        <f>_xlfn.NUMBERVALUE(LEFT(Table613[[#This Row],[Fiscal Year]], 4))</f>
        <v>2015</v>
      </c>
      <c r="N1520" s="42">
        <f t="shared" si="31"/>
        <v>7432.1392405063289</v>
      </c>
      <c r="O1520" s="3">
        <v>1518</v>
      </c>
    </row>
    <row r="1521" spans="1:15" x14ac:dyDescent="0.25">
      <c r="A1521" s="3">
        <v>4</v>
      </c>
      <c r="B1521" s="3" t="s">
        <v>222</v>
      </c>
      <c r="C1521" s="1" t="s">
        <v>12</v>
      </c>
      <c r="D1521" s="1" t="s">
        <v>444</v>
      </c>
      <c r="E1521" s="11" t="s">
        <v>144</v>
      </c>
      <c r="F1521" s="3" t="s">
        <v>8</v>
      </c>
      <c r="G1521" s="66" t="s">
        <v>60</v>
      </c>
      <c r="H1521" s="8"/>
      <c r="I1521" s="8"/>
      <c r="J1521" s="6" t="s">
        <v>111</v>
      </c>
      <c r="K1521" s="38">
        <v>20000</v>
      </c>
      <c r="L1521" s="4" t="s">
        <v>29</v>
      </c>
      <c r="M1521" s="11">
        <f>_xlfn.NUMBERVALUE(LEFT(Table613[[#This Row],[Fiscal Year]], 4))</f>
        <v>2015</v>
      </c>
      <c r="N1521" s="42">
        <f t="shared" si="31"/>
        <v>21234.683544303796</v>
      </c>
      <c r="O1521" s="3">
        <v>1519</v>
      </c>
    </row>
    <row r="1522" spans="1:15" x14ac:dyDescent="0.25">
      <c r="A1522" s="3">
        <v>4</v>
      </c>
      <c r="B1522" s="3" t="s">
        <v>222</v>
      </c>
      <c r="C1522" s="1" t="s">
        <v>12</v>
      </c>
      <c r="D1522" s="1" t="s">
        <v>444</v>
      </c>
      <c r="E1522" s="11" t="s">
        <v>144</v>
      </c>
      <c r="F1522" s="3" t="s">
        <v>8</v>
      </c>
      <c r="G1522" s="48" t="s">
        <v>61</v>
      </c>
      <c r="H1522" s="8"/>
      <c r="I1522" s="8"/>
      <c r="J1522" s="6" t="s">
        <v>108</v>
      </c>
      <c r="K1522" s="38">
        <v>320000</v>
      </c>
      <c r="L1522" s="4" t="s">
        <v>29</v>
      </c>
      <c r="M1522" s="11">
        <f>_xlfn.NUMBERVALUE(LEFT(Table613[[#This Row],[Fiscal Year]], 4))</f>
        <v>2015</v>
      </c>
      <c r="N1522" s="42">
        <f t="shared" si="31"/>
        <v>339754.93670886074</v>
      </c>
      <c r="O1522" s="3">
        <v>1520</v>
      </c>
    </row>
    <row r="1523" spans="1:15" x14ac:dyDescent="0.25">
      <c r="A1523" s="3">
        <v>4</v>
      </c>
      <c r="B1523" s="3" t="s">
        <v>222</v>
      </c>
      <c r="C1523" s="1" t="s">
        <v>12</v>
      </c>
      <c r="D1523" s="1" t="s">
        <v>444</v>
      </c>
      <c r="E1523" s="11" t="s">
        <v>144</v>
      </c>
      <c r="F1523" s="3" t="s">
        <v>8</v>
      </c>
      <c r="G1523" s="66" t="s">
        <v>62</v>
      </c>
      <c r="H1523" s="8"/>
      <c r="I1523" s="8"/>
      <c r="J1523" s="6" t="s">
        <v>106</v>
      </c>
      <c r="K1523" s="38">
        <v>5000</v>
      </c>
      <c r="L1523" s="4" t="s">
        <v>29</v>
      </c>
      <c r="M1523" s="11">
        <f>_xlfn.NUMBERVALUE(LEFT(Table613[[#This Row],[Fiscal Year]], 4))</f>
        <v>2015</v>
      </c>
      <c r="N1523" s="42">
        <f t="shared" si="31"/>
        <v>5308.6708860759491</v>
      </c>
      <c r="O1523" s="3">
        <v>1521</v>
      </c>
    </row>
    <row r="1524" spans="1:15" x14ac:dyDescent="0.25">
      <c r="A1524" s="3">
        <v>4</v>
      </c>
      <c r="B1524" s="3" t="s">
        <v>222</v>
      </c>
      <c r="C1524" s="1" t="s">
        <v>12</v>
      </c>
      <c r="D1524" s="1" t="s">
        <v>444</v>
      </c>
      <c r="E1524" s="11" t="s">
        <v>144</v>
      </c>
      <c r="F1524" s="3" t="s">
        <v>8</v>
      </c>
      <c r="G1524" s="66" t="s">
        <v>211</v>
      </c>
      <c r="H1524" s="70" t="s">
        <v>648</v>
      </c>
      <c r="I1524" s="8"/>
      <c r="J1524" s="6" t="s">
        <v>455</v>
      </c>
      <c r="K1524" s="38" t="s">
        <v>827</v>
      </c>
      <c r="L1524" s="4" t="s">
        <v>29</v>
      </c>
      <c r="M1524" s="11">
        <f>_xlfn.NUMBERVALUE(LEFT(Table613[[#This Row],[Fiscal Year]], 4))</f>
        <v>2015</v>
      </c>
      <c r="O1524" s="3">
        <v>1522</v>
      </c>
    </row>
    <row r="1525" spans="1:15" x14ac:dyDescent="0.25">
      <c r="A1525" s="3">
        <v>4</v>
      </c>
      <c r="B1525" s="3" t="s">
        <v>222</v>
      </c>
      <c r="C1525" s="1" t="s">
        <v>12</v>
      </c>
      <c r="D1525" s="1" t="s">
        <v>444</v>
      </c>
      <c r="E1525" s="11" t="s">
        <v>144</v>
      </c>
      <c r="F1525" s="3" t="s">
        <v>8</v>
      </c>
      <c r="G1525" s="66" t="s">
        <v>64</v>
      </c>
      <c r="H1525" s="8"/>
      <c r="I1525" s="8"/>
      <c r="J1525" s="6" t="s">
        <v>76</v>
      </c>
      <c r="K1525" s="38" t="s">
        <v>827</v>
      </c>
      <c r="L1525" s="4" t="s">
        <v>29</v>
      </c>
      <c r="M1525" s="11">
        <f>_xlfn.NUMBERVALUE(LEFT(Table613[[#This Row],[Fiscal Year]], 4))</f>
        <v>2015</v>
      </c>
      <c r="O1525" s="3">
        <v>1523</v>
      </c>
    </row>
    <row r="1526" spans="1:15" x14ac:dyDescent="0.25">
      <c r="A1526" s="3">
        <v>4</v>
      </c>
      <c r="B1526" s="3" t="s">
        <v>222</v>
      </c>
      <c r="C1526" s="1" t="s">
        <v>12</v>
      </c>
      <c r="D1526" s="1" t="s">
        <v>444</v>
      </c>
      <c r="E1526" s="11" t="s">
        <v>144</v>
      </c>
      <c r="F1526" s="3" t="s">
        <v>8</v>
      </c>
      <c r="G1526" s="66" t="s">
        <v>65</v>
      </c>
      <c r="H1526" s="8"/>
      <c r="I1526" s="8"/>
      <c r="J1526" s="6" t="s">
        <v>76</v>
      </c>
      <c r="K1526" s="38" t="s">
        <v>827</v>
      </c>
      <c r="L1526" s="4" t="s">
        <v>29</v>
      </c>
      <c r="M1526" s="11">
        <f>_xlfn.NUMBERVALUE(LEFT(Table613[[#This Row],[Fiscal Year]], 4))</f>
        <v>2015</v>
      </c>
      <c r="O1526" s="3">
        <v>1524</v>
      </c>
    </row>
    <row r="1527" spans="1:15" x14ac:dyDescent="0.25">
      <c r="A1527" s="3">
        <v>4</v>
      </c>
      <c r="B1527" s="3" t="s">
        <v>222</v>
      </c>
      <c r="C1527" s="1" t="s">
        <v>12</v>
      </c>
      <c r="D1527" s="1" t="s">
        <v>444</v>
      </c>
      <c r="E1527" s="11" t="s">
        <v>144</v>
      </c>
      <c r="F1527" s="3" t="s">
        <v>8</v>
      </c>
      <c r="G1527" s="48" t="s">
        <v>66</v>
      </c>
      <c r="H1527" s="8"/>
      <c r="I1527" s="8"/>
      <c r="J1527" s="6" t="s">
        <v>76</v>
      </c>
      <c r="K1527" s="38" t="s">
        <v>827</v>
      </c>
      <c r="L1527" s="4" t="s">
        <v>29</v>
      </c>
      <c r="M1527" s="11">
        <f>_xlfn.NUMBERVALUE(LEFT(Table613[[#This Row],[Fiscal Year]], 4))</f>
        <v>2015</v>
      </c>
      <c r="O1527" s="3">
        <v>1525</v>
      </c>
    </row>
    <row r="1528" spans="1:15" x14ac:dyDescent="0.25">
      <c r="A1528" s="3">
        <v>4</v>
      </c>
      <c r="B1528" s="3" t="s">
        <v>222</v>
      </c>
      <c r="C1528" s="1" t="s">
        <v>12</v>
      </c>
      <c r="D1528" s="1" t="s">
        <v>444</v>
      </c>
      <c r="E1528" s="11" t="s">
        <v>144</v>
      </c>
      <c r="F1528" s="3" t="s">
        <v>8</v>
      </c>
      <c r="G1528" s="66" t="s">
        <v>33</v>
      </c>
      <c r="H1528" s="8"/>
      <c r="I1528" s="8"/>
      <c r="J1528" s="6" t="s">
        <v>47</v>
      </c>
      <c r="K1528" s="38">
        <v>180000</v>
      </c>
      <c r="L1528" s="4" t="s">
        <v>29</v>
      </c>
      <c r="M1528" s="11">
        <f>_xlfn.NUMBERVALUE(LEFT(Table613[[#This Row],[Fiscal Year]], 4))</f>
        <v>2015</v>
      </c>
      <c r="N1528" s="42">
        <f t="shared" si="31"/>
        <v>191112.15189873416</v>
      </c>
      <c r="O1528" s="3">
        <v>1526</v>
      </c>
    </row>
    <row r="1529" spans="1:15" x14ac:dyDescent="0.25">
      <c r="A1529" s="3">
        <v>4</v>
      </c>
      <c r="B1529" s="3" t="s">
        <v>222</v>
      </c>
      <c r="C1529" s="1" t="s">
        <v>12</v>
      </c>
      <c r="D1529" s="1" t="s">
        <v>444</v>
      </c>
      <c r="E1529" s="11" t="s">
        <v>144</v>
      </c>
      <c r="F1529" s="3" t="s">
        <v>8</v>
      </c>
      <c r="G1529" s="66" t="s">
        <v>67</v>
      </c>
      <c r="H1529" s="8"/>
      <c r="I1529" s="8"/>
      <c r="J1529" s="6" t="s">
        <v>455</v>
      </c>
      <c r="K1529" s="38" t="s">
        <v>827</v>
      </c>
      <c r="L1529" s="4" t="s">
        <v>29</v>
      </c>
      <c r="M1529" s="11">
        <f>_xlfn.NUMBERVALUE(LEFT(Table613[[#This Row],[Fiscal Year]], 4))</f>
        <v>2015</v>
      </c>
      <c r="O1529" s="3">
        <v>1527</v>
      </c>
    </row>
    <row r="1530" spans="1:15" x14ac:dyDescent="0.25">
      <c r="C1530" s="1"/>
      <c r="D1530" s="1"/>
      <c r="E1530" s="11"/>
      <c r="G1530" s="66"/>
      <c r="H1530" s="8"/>
      <c r="I1530" s="8"/>
      <c r="J1530" s="6"/>
      <c r="L1530" s="4"/>
      <c r="O1530" s="3">
        <v>1528</v>
      </c>
    </row>
    <row r="1531" spans="1:15" x14ac:dyDescent="0.25">
      <c r="A1531" s="3">
        <v>4</v>
      </c>
      <c r="B1531" s="3" t="s">
        <v>223</v>
      </c>
      <c r="C1531" s="1" t="s">
        <v>12</v>
      </c>
      <c r="D1531" s="1" t="s">
        <v>444</v>
      </c>
      <c r="E1531" s="11" t="s">
        <v>144</v>
      </c>
      <c r="F1531" s="3" t="s">
        <v>8</v>
      </c>
      <c r="G1531" s="48" t="s">
        <v>32</v>
      </c>
      <c r="H1531" s="8"/>
      <c r="I1531" s="8"/>
      <c r="J1531" s="6" t="s">
        <v>110</v>
      </c>
      <c r="K1531" s="38">
        <v>679600</v>
      </c>
      <c r="L1531" s="4" t="s">
        <v>29</v>
      </c>
      <c r="M1531" s="11">
        <f>_xlfn.NUMBERVALUE(LEFT(Table613[[#This Row],[Fiscal Year]], 4))</f>
        <v>2015</v>
      </c>
      <c r="N1531" s="42">
        <f t="shared" si="31"/>
        <v>721554.546835443</v>
      </c>
      <c r="O1531" s="3">
        <v>1529</v>
      </c>
    </row>
    <row r="1532" spans="1:15" x14ac:dyDescent="0.25">
      <c r="A1532" s="3">
        <v>4</v>
      </c>
      <c r="B1532" s="3" t="s">
        <v>223</v>
      </c>
      <c r="C1532" s="1" t="s">
        <v>12</v>
      </c>
      <c r="D1532" s="1" t="s">
        <v>444</v>
      </c>
      <c r="E1532" s="11" t="s">
        <v>144</v>
      </c>
      <c r="F1532" s="3" t="s">
        <v>8</v>
      </c>
      <c r="G1532" s="48" t="s">
        <v>58</v>
      </c>
      <c r="H1532" s="8"/>
      <c r="I1532" s="8"/>
      <c r="J1532" s="6" t="s">
        <v>453</v>
      </c>
      <c r="K1532" s="38">
        <v>27250</v>
      </c>
      <c r="L1532" s="4" t="s">
        <v>29</v>
      </c>
      <c r="M1532" s="11">
        <f>_xlfn.NUMBERVALUE(LEFT(Table613[[#This Row],[Fiscal Year]], 4))</f>
        <v>2015</v>
      </c>
      <c r="N1532" s="42">
        <f t="shared" si="31"/>
        <v>28932.256329113923</v>
      </c>
      <c r="O1532" s="3">
        <v>1530</v>
      </c>
    </row>
    <row r="1533" spans="1:15" x14ac:dyDescent="0.25">
      <c r="A1533" s="3">
        <v>4</v>
      </c>
      <c r="B1533" s="3" t="s">
        <v>223</v>
      </c>
      <c r="C1533" s="1" t="s">
        <v>12</v>
      </c>
      <c r="D1533" s="1" t="s">
        <v>444</v>
      </c>
      <c r="E1533" s="11" t="s">
        <v>144</v>
      </c>
      <c r="F1533" s="3" t="s">
        <v>8</v>
      </c>
      <c r="G1533" s="66" t="s">
        <v>208</v>
      </c>
      <c r="H1533" s="8"/>
      <c r="I1533" s="8"/>
      <c r="J1533" s="6" t="s">
        <v>109</v>
      </c>
      <c r="K1533" s="38">
        <v>42750</v>
      </c>
      <c r="L1533" s="4" t="s">
        <v>29</v>
      </c>
      <c r="M1533" s="11">
        <f>_xlfn.NUMBERVALUE(LEFT(Table613[[#This Row],[Fiscal Year]], 4))</f>
        <v>2015</v>
      </c>
      <c r="N1533" s="42">
        <f t="shared" si="31"/>
        <v>45389.136075949362</v>
      </c>
      <c r="O1533" s="3">
        <v>1531</v>
      </c>
    </row>
    <row r="1534" spans="1:15" x14ac:dyDescent="0.25">
      <c r="A1534" s="3">
        <v>4</v>
      </c>
      <c r="B1534" s="3" t="s">
        <v>223</v>
      </c>
      <c r="C1534" s="1" t="s">
        <v>12</v>
      </c>
      <c r="D1534" s="1" t="s">
        <v>444</v>
      </c>
      <c r="E1534" s="11" t="s">
        <v>144</v>
      </c>
      <c r="F1534" s="3" t="s">
        <v>8</v>
      </c>
      <c r="G1534" s="48" t="s">
        <v>59</v>
      </c>
      <c r="H1534" s="8"/>
      <c r="I1534" s="8"/>
      <c r="J1534" s="6" t="s">
        <v>111</v>
      </c>
      <c r="K1534" s="38">
        <v>15000</v>
      </c>
      <c r="L1534" s="4" t="s">
        <v>29</v>
      </c>
      <c r="M1534" s="11">
        <f>_xlfn.NUMBERVALUE(LEFT(Table613[[#This Row],[Fiscal Year]], 4))</f>
        <v>2015</v>
      </c>
      <c r="N1534" s="42">
        <f t="shared" si="31"/>
        <v>15926.012658227848</v>
      </c>
      <c r="O1534" s="3">
        <v>1532</v>
      </c>
    </row>
    <row r="1535" spans="1:15" x14ac:dyDescent="0.25">
      <c r="A1535" s="3">
        <v>4</v>
      </c>
      <c r="B1535" s="3" t="s">
        <v>223</v>
      </c>
      <c r="C1535" s="1" t="s">
        <v>12</v>
      </c>
      <c r="D1535" s="1" t="s">
        <v>444</v>
      </c>
      <c r="E1535" s="11" t="s">
        <v>144</v>
      </c>
      <c r="F1535" s="3" t="s">
        <v>8</v>
      </c>
      <c r="G1535" s="66" t="s">
        <v>60</v>
      </c>
      <c r="H1535" s="8"/>
      <c r="I1535" s="8"/>
      <c r="J1535" s="6" t="s">
        <v>111</v>
      </c>
      <c r="K1535" s="38">
        <v>15000</v>
      </c>
      <c r="L1535" s="4" t="s">
        <v>29</v>
      </c>
      <c r="M1535" s="11">
        <f>_xlfn.NUMBERVALUE(LEFT(Table613[[#This Row],[Fiscal Year]], 4))</f>
        <v>2015</v>
      </c>
      <c r="N1535" s="42">
        <f t="shared" si="31"/>
        <v>15926.012658227848</v>
      </c>
      <c r="O1535" s="3">
        <v>1533</v>
      </c>
    </row>
    <row r="1536" spans="1:15" x14ac:dyDescent="0.25">
      <c r="A1536" s="3">
        <v>4</v>
      </c>
      <c r="B1536" s="3" t="s">
        <v>223</v>
      </c>
      <c r="C1536" s="1" t="s">
        <v>12</v>
      </c>
      <c r="D1536" s="1" t="s">
        <v>444</v>
      </c>
      <c r="E1536" s="11" t="s">
        <v>144</v>
      </c>
      <c r="F1536" s="3" t="s">
        <v>8</v>
      </c>
      <c r="G1536" s="48" t="s">
        <v>61</v>
      </c>
      <c r="H1536" s="8"/>
      <c r="I1536" s="8"/>
      <c r="J1536" s="6" t="s">
        <v>108</v>
      </c>
      <c r="K1536" s="38">
        <v>586500</v>
      </c>
      <c r="L1536" s="4" t="s">
        <v>29</v>
      </c>
      <c r="M1536" s="11">
        <f>_xlfn.NUMBERVALUE(LEFT(Table613[[#This Row],[Fiscal Year]], 4))</f>
        <v>2015</v>
      </c>
      <c r="N1536" s="42">
        <f t="shared" si="31"/>
        <v>622707.0949367088</v>
      </c>
      <c r="O1536" s="3">
        <v>1534</v>
      </c>
    </row>
    <row r="1537" spans="1:15" x14ac:dyDescent="0.25">
      <c r="A1537" s="3">
        <v>4</v>
      </c>
      <c r="B1537" s="3" t="s">
        <v>223</v>
      </c>
      <c r="C1537" s="1" t="s">
        <v>12</v>
      </c>
      <c r="D1537" s="1" t="s">
        <v>444</v>
      </c>
      <c r="E1537" s="11" t="s">
        <v>144</v>
      </c>
      <c r="F1537" s="3" t="s">
        <v>8</v>
      </c>
      <c r="G1537" s="66" t="s">
        <v>62</v>
      </c>
      <c r="H1537" s="8"/>
      <c r="I1537" s="8"/>
      <c r="J1537" s="6" t="s">
        <v>106</v>
      </c>
      <c r="K1537" s="38">
        <v>272400</v>
      </c>
      <c r="L1537" s="4" t="s">
        <v>29</v>
      </c>
      <c r="M1537" s="11">
        <f>_xlfn.NUMBERVALUE(LEFT(Table613[[#This Row],[Fiscal Year]], 4))</f>
        <v>2015</v>
      </c>
      <c r="N1537" s="42">
        <f t="shared" si="31"/>
        <v>289216.38987341768</v>
      </c>
      <c r="O1537" s="3">
        <v>1535</v>
      </c>
    </row>
    <row r="1538" spans="1:15" x14ac:dyDescent="0.25">
      <c r="A1538" s="3">
        <v>4</v>
      </c>
      <c r="B1538" s="3" t="s">
        <v>223</v>
      </c>
      <c r="C1538" s="1" t="s">
        <v>12</v>
      </c>
      <c r="D1538" s="1" t="s">
        <v>444</v>
      </c>
      <c r="E1538" s="11" t="s">
        <v>144</v>
      </c>
      <c r="F1538" s="3" t="s">
        <v>8</v>
      </c>
      <c r="G1538" s="66" t="s">
        <v>211</v>
      </c>
      <c r="H1538" s="8"/>
      <c r="I1538" s="8"/>
      <c r="J1538" s="6" t="s">
        <v>455</v>
      </c>
      <c r="K1538" s="38" t="s">
        <v>28</v>
      </c>
      <c r="L1538" s="4" t="s">
        <v>29</v>
      </c>
      <c r="M1538" s="11">
        <f>_xlfn.NUMBERVALUE(LEFT(Table613[[#This Row],[Fiscal Year]], 4))</f>
        <v>2015</v>
      </c>
      <c r="O1538" s="3">
        <v>1536</v>
      </c>
    </row>
    <row r="1539" spans="1:15" x14ac:dyDescent="0.25">
      <c r="A1539" s="3">
        <v>4</v>
      </c>
      <c r="B1539" s="3" t="s">
        <v>223</v>
      </c>
      <c r="C1539" s="1" t="s">
        <v>12</v>
      </c>
      <c r="D1539" s="1" t="s">
        <v>444</v>
      </c>
      <c r="E1539" s="11" t="s">
        <v>144</v>
      </c>
      <c r="F1539" s="3" t="s">
        <v>8</v>
      </c>
      <c r="G1539" s="66" t="s">
        <v>64</v>
      </c>
      <c r="H1539" s="8"/>
      <c r="I1539" s="8"/>
      <c r="J1539" s="6" t="s">
        <v>76</v>
      </c>
      <c r="K1539" s="38">
        <v>44000</v>
      </c>
      <c r="L1539" s="4" t="s">
        <v>29</v>
      </c>
      <c r="M1539" s="11">
        <f>_xlfn.NUMBERVALUE(LEFT(Table613[[#This Row],[Fiscal Year]], 4))</f>
        <v>2015</v>
      </c>
      <c r="N1539" s="42">
        <f t="shared" si="31"/>
        <v>46716.303797468354</v>
      </c>
      <c r="O1539" s="3">
        <v>1537</v>
      </c>
    </row>
    <row r="1540" spans="1:15" x14ac:dyDescent="0.25">
      <c r="A1540" s="3">
        <v>4</v>
      </c>
      <c r="B1540" s="3" t="s">
        <v>223</v>
      </c>
      <c r="C1540" s="1" t="s">
        <v>12</v>
      </c>
      <c r="D1540" s="1" t="s">
        <v>444</v>
      </c>
      <c r="E1540" s="11" t="s">
        <v>144</v>
      </c>
      <c r="F1540" s="3" t="s">
        <v>8</v>
      </c>
      <c r="G1540" s="66" t="s">
        <v>65</v>
      </c>
      <c r="H1540" s="8"/>
      <c r="I1540" s="8"/>
      <c r="J1540" s="6" t="s">
        <v>76</v>
      </c>
      <c r="K1540" s="38" t="s">
        <v>28</v>
      </c>
      <c r="L1540" s="4" t="s">
        <v>29</v>
      </c>
      <c r="M1540" s="11">
        <f>_xlfn.NUMBERVALUE(LEFT(Table613[[#This Row],[Fiscal Year]], 4))</f>
        <v>2015</v>
      </c>
      <c r="O1540" s="3">
        <v>1538</v>
      </c>
    </row>
    <row r="1541" spans="1:15" x14ac:dyDescent="0.25">
      <c r="A1541" s="3">
        <v>4</v>
      </c>
      <c r="B1541" s="3" t="s">
        <v>223</v>
      </c>
      <c r="C1541" s="1" t="s">
        <v>12</v>
      </c>
      <c r="D1541" s="1" t="s">
        <v>444</v>
      </c>
      <c r="E1541" s="11" t="s">
        <v>144</v>
      </c>
      <c r="F1541" s="3" t="s">
        <v>8</v>
      </c>
      <c r="G1541" s="48" t="s">
        <v>66</v>
      </c>
      <c r="H1541" s="8"/>
      <c r="I1541" s="8"/>
      <c r="J1541" s="6" t="s">
        <v>76</v>
      </c>
      <c r="K1541" s="38" t="s">
        <v>28</v>
      </c>
      <c r="L1541" s="4" t="s">
        <v>29</v>
      </c>
      <c r="M1541" s="11">
        <f>_xlfn.NUMBERVALUE(LEFT(Table613[[#This Row],[Fiscal Year]], 4))</f>
        <v>2015</v>
      </c>
      <c r="O1541" s="3">
        <v>1539</v>
      </c>
    </row>
    <row r="1542" spans="1:15" x14ac:dyDescent="0.25">
      <c r="A1542" s="3">
        <v>4</v>
      </c>
      <c r="B1542" s="3" t="s">
        <v>223</v>
      </c>
      <c r="C1542" s="1" t="s">
        <v>12</v>
      </c>
      <c r="D1542" s="1" t="s">
        <v>444</v>
      </c>
      <c r="E1542" s="11" t="s">
        <v>144</v>
      </c>
      <c r="F1542" s="3" t="s">
        <v>8</v>
      </c>
      <c r="G1542" s="66" t="s">
        <v>33</v>
      </c>
      <c r="H1542" s="8"/>
      <c r="I1542" s="8"/>
      <c r="J1542" s="6" t="s">
        <v>47</v>
      </c>
      <c r="K1542" s="38">
        <v>67400</v>
      </c>
      <c r="L1542" s="4" t="s">
        <v>29</v>
      </c>
      <c r="M1542" s="11">
        <f>_xlfn.NUMBERVALUE(LEFT(Table613[[#This Row],[Fiscal Year]], 4))</f>
        <v>2015</v>
      </c>
      <c r="N1542" s="42">
        <f t="shared" si="31"/>
        <v>71560.883544303797</v>
      </c>
      <c r="O1542" s="3">
        <v>1540</v>
      </c>
    </row>
    <row r="1543" spans="1:15" x14ac:dyDescent="0.25">
      <c r="A1543" s="3">
        <v>4</v>
      </c>
      <c r="B1543" s="3" t="s">
        <v>223</v>
      </c>
      <c r="C1543" s="1" t="s">
        <v>12</v>
      </c>
      <c r="D1543" s="1" t="s">
        <v>444</v>
      </c>
      <c r="E1543" s="11" t="s">
        <v>144</v>
      </c>
      <c r="F1543" s="3" t="s">
        <v>8</v>
      </c>
      <c r="G1543" s="66" t="s">
        <v>67</v>
      </c>
      <c r="H1543" s="8"/>
      <c r="I1543" s="8"/>
      <c r="J1543" s="6" t="s">
        <v>455</v>
      </c>
      <c r="K1543" s="38">
        <v>747650</v>
      </c>
      <c r="L1543" s="4" t="s">
        <v>29</v>
      </c>
      <c r="M1543" s="11">
        <f>_xlfn.NUMBERVALUE(LEFT(Table613[[#This Row],[Fiscal Year]], 4))</f>
        <v>2015</v>
      </c>
      <c r="N1543" s="42">
        <f t="shared" si="31"/>
        <v>793805.55759493669</v>
      </c>
      <c r="O1543" s="3">
        <v>1541</v>
      </c>
    </row>
    <row r="1544" spans="1:15" x14ac:dyDescent="0.25">
      <c r="C1544" s="1"/>
      <c r="D1544" s="1"/>
      <c r="E1544" s="11"/>
      <c r="G1544" s="66"/>
      <c r="H1544" s="8"/>
      <c r="I1544" s="8"/>
      <c r="J1544" s="6"/>
      <c r="L1544" s="4"/>
      <c r="O1544" s="3">
        <v>1542</v>
      </c>
    </row>
    <row r="1545" spans="1:15" x14ac:dyDescent="0.25">
      <c r="A1545" s="3">
        <v>4</v>
      </c>
      <c r="B1545" s="3" t="s">
        <v>224</v>
      </c>
      <c r="C1545" s="1" t="s">
        <v>12</v>
      </c>
      <c r="D1545" s="1" t="s">
        <v>444</v>
      </c>
      <c r="E1545" s="11" t="s">
        <v>144</v>
      </c>
      <c r="F1545" s="3" t="s">
        <v>8</v>
      </c>
      <c r="G1545" s="48" t="s">
        <v>32</v>
      </c>
      <c r="H1545" s="8"/>
      <c r="I1545" s="8"/>
      <c r="J1545" s="6" t="s">
        <v>110</v>
      </c>
      <c r="K1545" s="38">
        <v>24663</v>
      </c>
      <c r="L1545" s="4" t="s">
        <v>29</v>
      </c>
      <c r="M1545" s="11">
        <f>_xlfn.NUMBERVALUE(LEFT(Table613[[#This Row],[Fiscal Year]], 4))</f>
        <v>2015</v>
      </c>
      <c r="N1545" s="42">
        <f t="shared" si="31"/>
        <v>26185.550012658226</v>
      </c>
      <c r="O1545" s="3">
        <v>1543</v>
      </c>
    </row>
    <row r="1546" spans="1:15" x14ac:dyDescent="0.25">
      <c r="A1546" s="3">
        <v>4</v>
      </c>
      <c r="B1546" s="3" t="s">
        <v>224</v>
      </c>
      <c r="C1546" s="1" t="s">
        <v>12</v>
      </c>
      <c r="D1546" s="1" t="s">
        <v>444</v>
      </c>
      <c r="E1546" s="11" t="s">
        <v>144</v>
      </c>
      <c r="F1546" s="3" t="s">
        <v>8</v>
      </c>
      <c r="G1546" s="48" t="s">
        <v>58</v>
      </c>
      <c r="H1546" s="8"/>
      <c r="I1546" s="8"/>
      <c r="J1546" s="6" t="s">
        <v>453</v>
      </c>
      <c r="K1546" s="38">
        <v>870</v>
      </c>
      <c r="L1546" s="4" t="s">
        <v>29</v>
      </c>
      <c r="M1546" s="11">
        <f>_xlfn.NUMBERVALUE(LEFT(Table613[[#This Row],[Fiscal Year]], 4))</f>
        <v>2015</v>
      </c>
      <c r="N1546" s="42">
        <f t="shared" si="31"/>
        <v>923.70873417721509</v>
      </c>
      <c r="O1546" s="3">
        <v>1544</v>
      </c>
    </row>
    <row r="1547" spans="1:15" x14ac:dyDescent="0.25">
      <c r="A1547" s="3">
        <v>4</v>
      </c>
      <c r="B1547" s="3" t="s">
        <v>224</v>
      </c>
      <c r="C1547" s="1" t="s">
        <v>12</v>
      </c>
      <c r="D1547" s="1" t="s">
        <v>444</v>
      </c>
      <c r="E1547" s="11" t="s">
        <v>144</v>
      </c>
      <c r="F1547" s="3" t="s">
        <v>8</v>
      </c>
      <c r="G1547" s="66" t="s">
        <v>208</v>
      </c>
      <c r="H1547" s="8"/>
      <c r="I1547" s="8"/>
      <c r="J1547" s="6" t="s">
        <v>109</v>
      </c>
      <c r="K1547" s="38">
        <v>0</v>
      </c>
      <c r="L1547" s="4" t="s">
        <v>29</v>
      </c>
      <c r="M1547" s="11">
        <f>_xlfn.NUMBERVALUE(LEFT(Table613[[#This Row],[Fiscal Year]], 4))</f>
        <v>2015</v>
      </c>
      <c r="N1547" s="43">
        <f t="shared" si="31"/>
        <v>0</v>
      </c>
      <c r="O1547" s="3">
        <v>1545</v>
      </c>
    </row>
    <row r="1548" spans="1:15" x14ac:dyDescent="0.25">
      <c r="A1548" s="3">
        <v>4</v>
      </c>
      <c r="B1548" s="3" t="s">
        <v>224</v>
      </c>
      <c r="C1548" s="1" t="s">
        <v>12</v>
      </c>
      <c r="D1548" s="1" t="s">
        <v>444</v>
      </c>
      <c r="E1548" s="11" t="s">
        <v>144</v>
      </c>
      <c r="F1548" s="3" t="s">
        <v>8</v>
      </c>
      <c r="G1548" s="48" t="s">
        <v>59</v>
      </c>
      <c r="H1548" s="8"/>
      <c r="I1548" s="8"/>
      <c r="J1548" s="6" t="s">
        <v>111</v>
      </c>
      <c r="K1548" s="38">
        <v>1500</v>
      </c>
      <c r="L1548" s="4" t="s">
        <v>29</v>
      </c>
      <c r="M1548" s="11">
        <f>_xlfn.NUMBERVALUE(LEFT(Table613[[#This Row],[Fiscal Year]], 4))</f>
        <v>2015</v>
      </c>
      <c r="N1548" s="42">
        <f t="shared" ref="N1548:N1611" si="32">K1548*(1+VLOOKUP(M1548,$AF$8:$AH$31,3,0))</f>
        <v>1592.6012658227846</v>
      </c>
      <c r="O1548" s="3">
        <v>1546</v>
      </c>
    </row>
    <row r="1549" spans="1:15" x14ac:dyDescent="0.25">
      <c r="A1549" s="3">
        <v>4</v>
      </c>
      <c r="B1549" s="3" t="s">
        <v>224</v>
      </c>
      <c r="C1549" s="1" t="s">
        <v>12</v>
      </c>
      <c r="D1549" s="1" t="s">
        <v>444</v>
      </c>
      <c r="E1549" s="11" t="s">
        <v>144</v>
      </c>
      <c r="F1549" s="3" t="s">
        <v>8</v>
      </c>
      <c r="G1549" s="66" t="s">
        <v>60</v>
      </c>
      <c r="H1549" s="8"/>
      <c r="I1549" s="8"/>
      <c r="J1549" s="6" t="s">
        <v>111</v>
      </c>
      <c r="K1549" s="38">
        <v>2000</v>
      </c>
      <c r="L1549" s="4" t="s">
        <v>29</v>
      </c>
      <c r="M1549" s="11">
        <f>_xlfn.NUMBERVALUE(LEFT(Table613[[#This Row],[Fiscal Year]], 4))</f>
        <v>2015</v>
      </c>
      <c r="N1549" s="42">
        <f t="shared" si="32"/>
        <v>2123.4683544303798</v>
      </c>
      <c r="O1549" s="3">
        <v>1547</v>
      </c>
    </row>
    <row r="1550" spans="1:15" x14ac:dyDescent="0.25">
      <c r="A1550" s="3">
        <v>4</v>
      </c>
      <c r="B1550" s="3" t="s">
        <v>224</v>
      </c>
      <c r="C1550" s="1" t="s">
        <v>12</v>
      </c>
      <c r="D1550" s="1" t="s">
        <v>444</v>
      </c>
      <c r="E1550" s="11" t="s">
        <v>144</v>
      </c>
      <c r="F1550" s="3" t="s">
        <v>8</v>
      </c>
      <c r="G1550" s="48" t="s">
        <v>61</v>
      </c>
      <c r="H1550" s="8"/>
      <c r="I1550" s="8"/>
      <c r="J1550" s="6" t="s">
        <v>108</v>
      </c>
      <c r="K1550" s="38">
        <v>11445</v>
      </c>
      <c r="L1550" s="4" t="s">
        <v>29</v>
      </c>
      <c r="M1550" s="11">
        <f>_xlfn.NUMBERVALUE(LEFT(Table613[[#This Row],[Fiscal Year]], 4))</f>
        <v>2015</v>
      </c>
      <c r="N1550" s="42">
        <f t="shared" si="32"/>
        <v>12151.547658227848</v>
      </c>
      <c r="O1550" s="3">
        <v>1548</v>
      </c>
    </row>
    <row r="1551" spans="1:15" x14ac:dyDescent="0.25">
      <c r="A1551" s="3">
        <v>4</v>
      </c>
      <c r="B1551" s="3" t="s">
        <v>224</v>
      </c>
      <c r="C1551" s="1" t="s">
        <v>12</v>
      </c>
      <c r="D1551" s="1" t="s">
        <v>444</v>
      </c>
      <c r="E1551" s="11" t="s">
        <v>144</v>
      </c>
      <c r="F1551" s="3" t="s">
        <v>8</v>
      </c>
      <c r="G1551" s="66" t="s">
        <v>62</v>
      </c>
      <c r="H1551" s="8"/>
      <c r="I1551" s="8"/>
      <c r="J1551" s="6" t="s">
        <v>106</v>
      </c>
      <c r="K1551" s="38">
        <v>1000</v>
      </c>
      <c r="L1551" s="4" t="s">
        <v>29</v>
      </c>
      <c r="M1551" s="11">
        <f>_xlfn.NUMBERVALUE(LEFT(Table613[[#This Row],[Fiscal Year]], 4))</f>
        <v>2015</v>
      </c>
      <c r="N1551" s="42">
        <f t="shared" si="32"/>
        <v>1061.7341772151899</v>
      </c>
      <c r="O1551" s="3">
        <v>1549</v>
      </c>
    </row>
    <row r="1552" spans="1:15" x14ac:dyDescent="0.25">
      <c r="A1552" s="3">
        <v>4</v>
      </c>
      <c r="B1552" s="3" t="s">
        <v>224</v>
      </c>
      <c r="C1552" s="1" t="s">
        <v>12</v>
      </c>
      <c r="D1552" s="1" t="s">
        <v>444</v>
      </c>
      <c r="E1552" s="11" t="s">
        <v>144</v>
      </c>
      <c r="F1552" s="3" t="s">
        <v>8</v>
      </c>
      <c r="G1552" s="66" t="s">
        <v>211</v>
      </c>
      <c r="H1552" s="8"/>
      <c r="I1552" s="8"/>
      <c r="J1552" s="6" t="s">
        <v>455</v>
      </c>
      <c r="K1552" s="38">
        <v>0</v>
      </c>
      <c r="L1552" s="4" t="s">
        <v>29</v>
      </c>
      <c r="M1552" s="11">
        <f>_xlfn.NUMBERVALUE(LEFT(Table613[[#This Row],[Fiscal Year]], 4))</f>
        <v>2015</v>
      </c>
      <c r="N1552" s="43">
        <f t="shared" si="32"/>
        <v>0</v>
      </c>
      <c r="O1552" s="3">
        <v>1550</v>
      </c>
    </row>
    <row r="1553" spans="1:15" x14ac:dyDescent="0.25">
      <c r="A1553" s="3">
        <v>4</v>
      </c>
      <c r="B1553" s="3" t="s">
        <v>224</v>
      </c>
      <c r="C1553" s="1" t="s">
        <v>12</v>
      </c>
      <c r="D1553" s="1" t="s">
        <v>444</v>
      </c>
      <c r="E1553" s="11" t="s">
        <v>144</v>
      </c>
      <c r="F1553" s="3" t="s">
        <v>8</v>
      </c>
      <c r="G1553" s="66" t="s">
        <v>64</v>
      </c>
      <c r="H1553" s="8"/>
      <c r="I1553" s="8"/>
      <c r="J1553" s="6" t="s">
        <v>76</v>
      </c>
      <c r="K1553" s="38">
        <v>0</v>
      </c>
      <c r="L1553" s="4" t="s">
        <v>29</v>
      </c>
      <c r="M1553" s="11">
        <f>_xlfn.NUMBERVALUE(LEFT(Table613[[#This Row],[Fiscal Year]], 4))</f>
        <v>2015</v>
      </c>
      <c r="N1553" s="43">
        <f t="shared" si="32"/>
        <v>0</v>
      </c>
      <c r="O1553" s="3">
        <v>1551</v>
      </c>
    </row>
    <row r="1554" spans="1:15" x14ac:dyDescent="0.25">
      <c r="A1554" s="3">
        <v>4</v>
      </c>
      <c r="B1554" s="3" t="s">
        <v>224</v>
      </c>
      <c r="C1554" s="1" t="s">
        <v>12</v>
      </c>
      <c r="D1554" s="1" t="s">
        <v>444</v>
      </c>
      <c r="E1554" s="11" t="s">
        <v>144</v>
      </c>
      <c r="F1554" s="3" t="s">
        <v>8</v>
      </c>
      <c r="G1554" s="66" t="s">
        <v>65</v>
      </c>
      <c r="H1554" s="8"/>
      <c r="I1554" s="8"/>
      <c r="J1554" s="6" t="s">
        <v>76</v>
      </c>
      <c r="K1554" s="38">
        <v>0</v>
      </c>
      <c r="L1554" s="4" t="s">
        <v>29</v>
      </c>
      <c r="M1554" s="11">
        <f>_xlfn.NUMBERVALUE(LEFT(Table613[[#This Row],[Fiscal Year]], 4))</f>
        <v>2015</v>
      </c>
      <c r="N1554" s="43">
        <f t="shared" si="32"/>
        <v>0</v>
      </c>
      <c r="O1554" s="3">
        <v>1552</v>
      </c>
    </row>
    <row r="1555" spans="1:15" x14ac:dyDescent="0.25">
      <c r="A1555" s="3">
        <v>4</v>
      </c>
      <c r="B1555" s="3" t="s">
        <v>224</v>
      </c>
      <c r="C1555" s="1" t="s">
        <v>12</v>
      </c>
      <c r="D1555" s="1" t="s">
        <v>444</v>
      </c>
      <c r="E1555" s="11" t="s">
        <v>144</v>
      </c>
      <c r="F1555" s="3" t="s">
        <v>8</v>
      </c>
      <c r="G1555" s="48" t="s">
        <v>66</v>
      </c>
      <c r="H1555" s="8"/>
      <c r="I1555" s="8"/>
      <c r="J1555" s="6" t="s">
        <v>76</v>
      </c>
      <c r="K1555" s="38">
        <v>0</v>
      </c>
      <c r="L1555" s="4" t="s">
        <v>29</v>
      </c>
      <c r="M1555" s="11">
        <f>_xlfn.NUMBERVALUE(LEFT(Table613[[#This Row],[Fiscal Year]], 4))</f>
        <v>2015</v>
      </c>
      <c r="N1555" s="43">
        <f t="shared" si="32"/>
        <v>0</v>
      </c>
      <c r="O1555" s="3">
        <v>1553</v>
      </c>
    </row>
    <row r="1556" spans="1:15" x14ac:dyDescent="0.25">
      <c r="A1556" s="3">
        <v>4</v>
      </c>
      <c r="B1556" s="3" t="s">
        <v>224</v>
      </c>
      <c r="C1556" s="1" t="s">
        <v>12</v>
      </c>
      <c r="D1556" s="1" t="s">
        <v>444</v>
      </c>
      <c r="E1556" s="11" t="s">
        <v>144</v>
      </c>
      <c r="F1556" s="3" t="s">
        <v>8</v>
      </c>
      <c r="G1556" s="66" t="s">
        <v>33</v>
      </c>
      <c r="H1556" s="8"/>
      <c r="I1556" s="8"/>
      <c r="J1556" s="6" t="s">
        <v>47</v>
      </c>
      <c r="K1556" s="38">
        <v>28500</v>
      </c>
      <c r="L1556" s="4" t="s">
        <v>29</v>
      </c>
      <c r="M1556" s="11">
        <f>_xlfn.NUMBERVALUE(LEFT(Table613[[#This Row],[Fiscal Year]], 4))</f>
        <v>2015</v>
      </c>
      <c r="N1556" s="42">
        <f t="shared" si="32"/>
        <v>30259.424050632908</v>
      </c>
      <c r="O1556" s="3">
        <v>1554</v>
      </c>
    </row>
    <row r="1557" spans="1:15" x14ac:dyDescent="0.25">
      <c r="A1557" s="3">
        <v>4</v>
      </c>
      <c r="B1557" s="3" t="s">
        <v>224</v>
      </c>
      <c r="C1557" s="1" t="s">
        <v>12</v>
      </c>
      <c r="D1557" s="1" t="s">
        <v>444</v>
      </c>
      <c r="E1557" s="11" t="s">
        <v>144</v>
      </c>
      <c r="F1557" s="3" t="s">
        <v>8</v>
      </c>
      <c r="G1557" s="66" t="s">
        <v>67</v>
      </c>
      <c r="H1557" s="8" t="s">
        <v>952</v>
      </c>
      <c r="I1557" s="8" t="s">
        <v>953</v>
      </c>
      <c r="J1557" s="6" t="s">
        <v>455</v>
      </c>
      <c r="K1557" s="38">
        <v>15338</v>
      </c>
      <c r="L1557" s="4" t="s">
        <v>29</v>
      </c>
      <c r="M1557" s="11">
        <f>_xlfn.NUMBERVALUE(LEFT(Table613[[#This Row],[Fiscal Year]], 4))</f>
        <v>2015</v>
      </c>
      <c r="N1557" s="42">
        <f t="shared" si="32"/>
        <v>16284.878810126582</v>
      </c>
      <c r="O1557" s="3">
        <v>1555</v>
      </c>
    </row>
    <row r="1558" spans="1:15" x14ac:dyDescent="0.25">
      <c r="C1558" s="1"/>
      <c r="D1558" s="1"/>
      <c r="E1558" s="11"/>
      <c r="G1558" s="66"/>
      <c r="H1558" s="8"/>
      <c r="I1558" s="8"/>
      <c r="J1558" s="6"/>
      <c r="L1558" s="4"/>
      <c r="O1558" s="3">
        <v>1556</v>
      </c>
    </row>
    <row r="1559" spans="1:15" x14ac:dyDescent="0.25">
      <c r="A1559" s="3">
        <v>4</v>
      </c>
      <c r="B1559" s="3" t="s">
        <v>225</v>
      </c>
      <c r="C1559" s="1" t="s">
        <v>12</v>
      </c>
      <c r="D1559" s="1" t="s">
        <v>444</v>
      </c>
      <c r="E1559" s="11" t="s">
        <v>144</v>
      </c>
      <c r="F1559" s="3" t="s">
        <v>8</v>
      </c>
      <c r="G1559" s="48" t="s">
        <v>32</v>
      </c>
      <c r="H1559" s="8"/>
      <c r="I1559" s="8"/>
      <c r="J1559" s="6" t="s">
        <v>110</v>
      </c>
      <c r="K1559" s="38">
        <v>2000</v>
      </c>
      <c r="L1559" s="4" t="s">
        <v>29</v>
      </c>
      <c r="M1559" s="11">
        <f>_xlfn.NUMBERVALUE(LEFT(Table613[[#This Row],[Fiscal Year]], 4))</f>
        <v>2015</v>
      </c>
      <c r="N1559" s="42">
        <f t="shared" si="32"/>
        <v>2123.4683544303798</v>
      </c>
      <c r="O1559" s="3">
        <v>1557</v>
      </c>
    </row>
    <row r="1560" spans="1:15" x14ac:dyDescent="0.25">
      <c r="A1560" s="3">
        <v>4</v>
      </c>
      <c r="B1560" s="3" t="s">
        <v>225</v>
      </c>
      <c r="C1560" s="1" t="s">
        <v>12</v>
      </c>
      <c r="D1560" s="1" t="s">
        <v>444</v>
      </c>
      <c r="E1560" s="11" t="s">
        <v>144</v>
      </c>
      <c r="F1560" s="3" t="s">
        <v>8</v>
      </c>
      <c r="G1560" s="48" t="s">
        <v>58</v>
      </c>
      <c r="H1560" s="8"/>
      <c r="I1560" s="8"/>
      <c r="J1560" s="6" t="s">
        <v>453</v>
      </c>
      <c r="K1560" s="38">
        <v>7000</v>
      </c>
      <c r="L1560" s="4" t="s">
        <v>29</v>
      </c>
      <c r="M1560" s="11">
        <f>_xlfn.NUMBERVALUE(LEFT(Table613[[#This Row],[Fiscal Year]], 4))</f>
        <v>2015</v>
      </c>
      <c r="N1560" s="42">
        <f t="shared" si="32"/>
        <v>7432.1392405063289</v>
      </c>
      <c r="O1560" s="3">
        <v>1558</v>
      </c>
    </row>
    <row r="1561" spans="1:15" x14ac:dyDescent="0.25">
      <c r="A1561" s="3">
        <v>4</v>
      </c>
      <c r="B1561" s="3" t="s">
        <v>225</v>
      </c>
      <c r="C1561" s="1" t="s">
        <v>12</v>
      </c>
      <c r="D1561" s="1" t="s">
        <v>444</v>
      </c>
      <c r="E1561" s="11" t="s">
        <v>144</v>
      </c>
      <c r="F1561" s="3" t="s">
        <v>8</v>
      </c>
      <c r="G1561" s="66" t="s">
        <v>208</v>
      </c>
      <c r="H1561" s="8"/>
      <c r="I1561" s="8"/>
      <c r="J1561" s="6" t="s">
        <v>109</v>
      </c>
      <c r="K1561" s="38">
        <v>20000</v>
      </c>
      <c r="L1561" s="4" t="s">
        <v>29</v>
      </c>
      <c r="M1561" s="11">
        <f>_xlfn.NUMBERVALUE(LEFT(Table613[[#This Row],[Fiscal Year]], 4))</f>
        <v>2015</v>
      </c>
      <c r="N1561" s="42">
        <f t="shared" si="32"/>
        <v>21234.683544303796</v>
      </c>
      <c r="O1561" s="3">
        <v>1559</v>
      </c>
    </row>
    <row r="1562" spans="1:15" x14ac:dyDescent="0.25">
      <c r="A1562" s="3">
        <v>4</v>
      </c>
      <c r="B1562" s="3" t="s">
        <v>225</v>
      </c>
      <c r="C1562" s="1" t="s">
        <v>12</v>
      </c>
      <c r="D1562" s="1" t="s">
        <v>444</v>
      </c>
      <c r="E1562" s="11" t="s">
        <v>144</v>
      </c>
      <c r="F1562" s="3" t="s">
        <v>8</v>
      </c>
      <c r="G1562" s="48" t="s">
        <v>59</v>
      </c>
      <c r="H1562" s="8"/>
      <c r="I1562" s="8"/>
      <c r="J1562" s="6" t="s">
        <v>111</v>
      </c>
      <c r="K1562" s="38">
        <v>5000</v>
      </c>
      <c r="L1562" s="4" t="s">
        <v>29</v>
      </c>
      <c r="M1562" s="11">
        <f>_xlfn.NUMBERVALUE(LEFT(Table613[[#This Row],[Fiscal Year]], 4))</f>
        <v>2015</v>
      </c>
      <c r="N1562" s="42">
        <f t="shared" si="32"/>
        <v>5308.6708860759491</v>
      </c>
      <c r="O1562" s="3">
        <v>1560</v>
      </c>
    </row>
    <row r="1563" spans="1:15" x14ac:dyDescent="0.25">
      <c r="A1563" s="3">
        <v>4</v>
      </c>
      <c r="B1563" s="3" t="s">
        <v>225</v>
      </c>
      <c r="C1563" s="1" t="s">
        <v>12</v>
      </c>
      <c r="D1563" s="1" t="s">
        <v>444</v>
      </c>
      <c r="E1563" s="11" t="s">
        <v>144</v>
      </c>
      <c r="F1563" s="3" t="s">
        <v>8</v>
      </c>
      <c r="G1563" s="66" t="s">
        <v>60</v>
      </c>
      <c r="H1563" s="8"/>
      <c r="I1563" s="8"/>
      <c r="J1563" s="6" t="s">
        <v>111</v>
      </c>
      <c r="K1563" s="38">
        <v>1000</v>
      </c>
      <c r="L1563" s="4" t="s">
        <v>29</v>
      </c>
      <c r="M1563" s="11">
        <f>_xlfn.NUMBERVALUE(LEFT(Table613[[#This Row],[Fiscal Year]], 4))</f>
        <v>2015</v>
      </c>
      <c r="N1563" s="42">
        <f t="shared" si="32"/>
        <v>1061.7341772151899</v>
      </c>
      <c r="O1563" s="3">
        <v>1561</v>
      </c>
    </row>
    <row r="1564" spans="1:15" x14ac:dyDescent="0.25">
      <c r="A1564" s="3">
        <v>4</v>
      </c>
      <c r="B1564" s="3" t="s">
        <v>225</v>
      </c>
      <c r="C1564" s="1" t="s">
        <v>12</v>
      </c>
      <c r="D1564" s="1" t="s">
        <v>444</v>
      </c>
      <c r="E1564" s="11" t="s">
        <v>144</v>
      </c>
      <c r="F1564" s="3" t="s">
        <v>8</v>
      </c>
      <c r="G1564" s="48" t="s">
        <v>61</v>
      </c>
      <c r="H1564" s="8" t="s">
        <v>954</v>
      </c>
      <c r="I1564" s="8" t="s">
        <v>953</v>
      </c>
      <c r="J1564" s="6" t="s">
        <v>108</v>
      </c>
      <c r="K1564" s="38">
        <v>92000</v>
      </c>
      <c r="L1564" s="4" t="s">
        <v>29</v>
      </c>
      <c r="M1564" s="11">
        <f>_xlfn.NUMBERVALUE(LEFT(Table613[[#This Row],[Fiscal Year]], 4))</f>
        <v>2015</v>
      </c>
      <c r="N1564" s="42">
        <f t="shared" si="32"/>
        <v>97679.544303797462</v>
      </c>
      <c r="O1564" s="3">
        <v>1562</v>
      </c>
    </row>
    <row r="1565" spans="1:15" x14ac:dyDescent="0.25">
      <c r="A1565" s="3">
        <v>4</v>
      </c>
      <c r="B1565" s="3" t="s">
        <v>225</v>
      </c>
      <c r="C1565" s="1" t="s">
        <v>12</v>
      </c>
      <c r="D1565" s="1" t="s">
        <v>444</v>
      </c>
      <c r="E1565" s="11" t="s">
        <v>144</v>
      </c>
      <c r="F1565" s="3" t="s">
        <v>8</v>
      </c>
      <c r="G1565" s="66" t="s">
        <v>62</v>
      </c>
      <c r="H1565" s="8"/>
      <c r="I1565" s="8"/>
      <c r="J1565" s="6" t="s">
        <v>106</v>
      </c>
      <c r="K1565" s="38">
        <v>2000</v>
      </c>
      <c r="L1565" s="4" t="s">
        <v>29</v>
      </c>
      <c r="M1565" s="11">
        <f>_xlfn.NUMBERVALUE(LEFT(Table613[[#This Row],[Fiscal Year]], 4))</f>
        <v>2015</v>
      </c>
      <c r="N1565" s="42">
        <f t="shared" si="32"/>
        <v>2123.4683544303798</v>
      </c>
      <c r="O1565" s="3">
        <v>1563</v>
      </c>
    </row>
    <row r="1566" spans="1:15" x14ac:dyDescent="0.25">
      <c r="A1566" s="3">
        <v>4</v>
      </c>
      <c r="B1566" s="3" t="s">
        <v>225</v>
      </c>
      <c r="C1566" s="1" t="s">
        <v>12</v>
      </c>
      <c r="D1566" s="1" t="s">
        <v>444</v>
      </c>
      <c r="E1566" s="11" t="s">
        <v>144</v>
      </c>
      <c r="F1566" s="3" t="s">
        <v>8</v>
      </c>
      <c r="G1566" s="66" t="s">
        <v>211</v>
      </c>
      <c r="H1566" s="8"/>
      <c r="I1566" s="8"/>
      <c r="J1566" s="6" t="s">
        <v>455</v>
      </c>
      <c r="K1566" s="38">
        <v>60000</v>
      </c>
      <c r="L1566" s="4" t="s">
        <v>29</v>
      </c>
      <c r="M1566" s="11">
        <f>_xlfn.NUMBERVALUE(LEFT(Table613[[#This Row],[Fiscal Year]], 4))</f>
        <v>2015</v>
      </c>
      <c r="N1566" s="42">
        <f t="shared" si="32"/>
        <v>63704.050632911392</v>
      </c>
      <c r="O1566" s="3">
        <v>1564</v>
      </c>
    </row>
    <row r="1567" spans="1:15" x14ac:dyDescent="0.25">
      <c r="A1567" s="3">
        <v>4</v>
      </c>
      <c r="B1567" s="3" t="s">
        <v>225</v>
      </c>
      <c r="C1567" s="1" t="s">
        <v>12</v>
      </c>
      <c r="D1567" s="1" t="s">
        <v>444</v>
      </c>
      <c r="E1567" s="11" t="s">
        <v>144</v>
      </c>
      <c r="F1567" s="3" t="s">
        <v>8</v>
      </c>
      <c r="G1567" s="66" t="s">
        <v>64</v>
      </c>
      <c r="H1567" s="8"/>
      <c r="I1567" s="8"/>
      <c r="J1567" s="6" t="s">
        <v>76</v>
      </c>
      <c r="K1567" s="38" t="s">
        <v>827</v>
      </c>
      <c r="L1567" s="4" t="s">
        <v>29</v>
      </c>
      <c r="M1567" s="11">
        <f>_xlfn.NUMBERVALUE(LEFT(Table613[[#This Row],[Fiscal Year]], 4))</f>
        <v>2015</v>
      </c>
      <c r="O1567" s="3">
        <v>1565</v>
      </c>
    </row>
    <row r="1568" spans="1:15" x14ac:dyDescent="0.25">
      <c r="A1568" s="3">
        <v>4</v>
      </c>
      <c r="B1568" s="3" t="s">
        <v>225</v>
      </c>
      <c r="C1568" s="1" t="s">
        <v>12</v>
      </c>
      <c r="D1568" s="1" t="s">
        <v>444</v>
      </c>
      <c r="E1568" s="11" t="s">
        <v>144</v>
      </c>
      <c r="F1568" s="3" t="s">
        <v>8</v>
      </c>
      <c r="G1568" s="66" t="s">
        <v>65</v>
      </c>
      <c r="H1568" s="8"/>
      <c r="I1568" s="8"/>
      <c r="J1568" s="6" t="s">
        <v>76</v>
      </c>
      <c r="K1568" s="38" t="s">
        <v>827</v>
      </c>
      <c r="L1568" s="4" t="s">
        <v>29</v>
      </c>
      <c r="M1568" s="11">
        <f>_xlfn.NUMBERVALUE(LEFT(Table613[[#This Row],[Fiscal Year]], 4))</f>
        <v>2015</v>
      </c>
      <c r="O1568" s="3">
        <v>1566</v>
      </c>
    </row>
    <row r="1569" spans="1:15" x14ac:dyDescent="0.25">
      <c r="A1569" s="3">
        <v>4</v>
      </c>
      <c r="B1569" s="3" t="s">
        <v>225</v>
      </c>
      <c r="C1569" s="1" t="s">
        <v>12</v>
      </c>
      <c r="D1569" s="1" t="s">
        <v>444</v>
      </c>
      <c r="E1569" s="11" t="s">
        <v>144</v>
      </c>
      <c r="F1569" s="3" t="s">
        <v>8</v>
      </c>
      <c r="G1569" s="48" t="s">
        <v>66</v>
      </c>
      <c r="H1569" s="8"/>
      <c r="I1569" s="8"/>
      <c r="J1569" s="6" t="s">
        <v>76</v>
      </c>
      <c r="K1569" s="38" t="s">
        <v>827</v>
      </c>
      <c r="L1569" s="4" t="s">
        <v>29</v>
      </c>
      <c r="M1569" s="11">
        <f>_xlfn.NUMBERVALUE(LEFT(Table613[[#This Row],[Fiscal Year]], 4))</f>
        <v>2015</v>
      </c>
      <c r="O1569" s="3">
        <v>1567</v>
      </c>
    </row>
    <row r="1570" spans="1:15" x14ac:dyDescent="0.25">
      <c r="A1570" s="3">
        <v>4</v>
      </c>
      <c r="B1570" s="3" t="s">
        <v>225</v>
      </c>
      <c r="C1570" s="1" t="s">
        <v>12</v>
      </c>
      <c r="D1570" s="1" t="s">
        <v>444</v>
      </c>
      <c r="E1570" s="11" t="s">
        <v>144</v>
      </c>
      <c r="F1570" s="3" t="s">
        <v>8</v>
      </c>
      <c r="G1570" s="66" t="s">
        <v>33</v>
      </c>
      <c r="H1570" s="8"/>
      <c r="I1570" s="8"/>
      <c r="J1570" s="6" t="s">
        <v>47</v>
      </c>
      <c r="K1570" s="38">
        <v>3000</v>
      </c>
      <c r="L1570" s="4" t="s">
        <v>29</v>
      </c>
      <c r="M1570" s="11">
        <f>_xlfn.NUMBERVALUE(LEFT(Table613[[#This Row],[Fiscal Year]], 4))</f>
        <v>2015</v>
      </c>
      <c r="N1570" s="42">
        <f t="shared" si="32"/>
        <v>3185.2025316455693</v>
      </c>
      <c r="O1570" s="3">
        <v>1568</v>
      </c>
    </row>
    <row r="1571" spans="1:15" x14ac:dyDescent="0.25">
      <c r="A1571" s="3">
        <v>4</v>
      </c>
      <c r="B1571" s="3" t="s">
        <v>225</v>
      </c>
      <c r="C1571" s="1" t="s">
        <v>12</v>
      </c>
      <c r="D1571" s="1" t="s">
        <v>444</v>
      </c>
      <c r="E1571" s="11" t="s">
        <v>144</v>
      </c>
      <c r="F1571" s="3" t="s">
        <v>8</v>
      </c>
      <c r="G1571" s="66" t="s">
        <v>67</v>
      </c>
      <c r="H1571" s="8"/>
      <c r="I1571" s="8"/>
      <c r="J1571" s="6" t="s">
        <v>455</v>
      </c>
      <c r="K1571" s="38">
        <v>9000</v>
      </c>
      <c r="L1571" s="4" t="s">
        <v>29</v>
      </c>
      <c r="M1571" s="11">
        <f>_xlfn.NUMBERVALUE(LEFT(Table613[[#This Row],[Fiscal Year]], 4))</f>
        <v>2015</v>
      </c>
      <c r="N1571" s="42">
        <f t="shared" si="32"/>
        <v>9555.6075949367078</v>
      </c>
      <c r="O1571" s="3">
        <v>1569</v>
      </c>
    </row>
    <row r="1572" spans="1:15" x14ac:dyDescent="0.25">
      <c r="E1572" s="11"/>
      <c r="G1572" s="66"/>
      <c r="H1572" s="6"/>
      <c r="I1572" s="8"/>
      <c r="J1572" s="6"/>
      <c r="L1572" s="4"/>
      <c r="O1572" s="3">
        <v>1570</v>
      </c>
    </row>
    <row r="1573" spans="1:15" x14ac:dyDescent="0.25">
      <c r="A1573" s="3">
        <v>8</v>
      </c>
      <c r="B1573" s="3" t="s">
        <v>262</v>
      </c>
      <c r="C1573" s="3" t="s">
        <v>262</v>
      </c>
      <c r="D1573" s="3" t="s">
        <v>444</v>
      </c>
      <c r="E1573" s="11" t="s">
        <v>144</v>
      </c>
      <c r="F1573" s="3" t="s">
        <v>5</v>
      </c>
      <c r="G1573" s="48" t="s">
        <v>486</v>
      </c>
      <c r="H1573" s="8" t="s">
        <v>639</v>
      </c>
      <c r="I1573" s="47" t="s">
        <v>612</v>
      </c>
      <c r="J1573" s="6" t="s">
        <v>76</v>
      </c>
      <c r="K1573" s="38">
        <v>1119993</v>
      </c>
      <c r="L1573" s="4" t="s">
        <v>25</v>
      </c>
      <c r="M1573" s="11">
        <v>2017</v>
      </c>
      <c r="N1573" s="42">
        <f t="shared" si="32"/>
        <v>1149836.6323255815</v>
      </c>
      <c r="O1573" s="3">
        <v>1571</v>
      </c>
    </row>
    <row r="1574" spans="1:15" x14ac:dyDescent="0.25">
      <c r="A1574" s="3">
        <v>8</v>
      </c>
      <c r="B1574" s="3" t="s">
        <v>262</v>
      </c>
      <c r="C1574" s="1" t="s">
        <v>262</v>
      </c>
      <c r="D1574" s="1" t="s">
        <v>444</v>
      </c>
      <c r="E1574" s="11" t="s">
        <v>144</v>
      </c>
      <c r="F1574" s="3" t="s">
        <v>5</v>
      </c>
      <c r="G1574" s="48" t="s">
        <v>319</v>
      </c>
      <c r="H1574" s="8" t="s">
        <v>487</v>
      </c>
      <c r="I1574" s="8" t="s">
        <v>641</v>
      </c>
      <c r="J1574" s="6" t="s">
        <v>76</v>
      </c>
      <c r="K1574" s="38">
        <v>455485</v>
      </c>
      <c r="L1574" s="4" t="s">
        <v>25</v>
      </c>
      <c r="M1574" s="11">
        <v>2017</v>
      </c>
      <c r="N1574" s="42">
        <f t="shared" si="32"/>
        <v>467621.97484700126</v>
      </c>
      <c r="O1574" s="3">
        <v>1572</v>
      </c>
    </row>
    <row r="1575" spans="1:15" x14ac:dyDescent="0.25">
      <c r="A1575" s="3">
        <v>8</v>
      </c>
      <c r="B1575" s="3" t="s">
        <v>262</v>
      </c>
      <c r="C1575" s="1" t="s">
        <v>262</v>
      </c>
      <c r="D1575" s="1" t="s">
        <v>444</v>
      </c>
      <c r="E1575" s="11" t="s">
        <v>144</v>
      </c>
      <c r="F1575" s="3" t="s">
        <v>5</v>
      </c>
      <c r="G1575" s="48" t="s">
        <v>318</v>
      </c>
      <c r="H1575" s="6"/>
      <c r="I1575" s="8" t="s">
        <v>502</v>
      </c>
      <c r="J1575" s="6" t="s">
        <v>76</v>
      </c>
      <c r="K1575" s="38">
        <v>150000</v>
      </c>
      <c r="L1575" s="4" t="s">
        <v>25</v>
      </c>
      <c r="M1575" s="11">
        <v>2017</v>
      </c>
      <c r="N1575" s="42">
        <f t="shared" si="32"/>
        <v>153996.94002447982</v>
      </c>
      <c r="O1575" s="3">
        <v>1573</v>
      </c>
    </row>
    <row r="1576" spans="1:15" x14ac:dyDescent="0.25">
      <c r="A1576" s="3">
        <v>8</v>
      </c>
      <c r="B1576" s="3" t="s">
        <v>262</v>
      </c>
      <c r="C1576" s="1" t="s">
        <v>262</v>
      </c>
      <c r="D1576" s="1" t="s">
        <v>444</v>
      </c>
      <c r="E1576" s="11" t="s">
        <v>144</v>
      </c>
      <c r="F1576" s="3" t="s">
        <v>5</v>
      </c>
      <c r="G1576" s="66" t="s">
        <v>955</v>
      </c>
      <c r="H1576" s="8" t="s">
        <v>488</v>
      </c>
      <c r="I1576" s="8" t="s">
        <v>502</v>
      </c>
      <c r="J1576" s="6" t="s">
        <v>110</v>
      </c>
      <c r="K1576" s="38">
        <v>951234</v>
      </c>
      <c r="L1576" s="4" t="s">
        <v>25</v>
      </c>
      <c r="M1576" s="11">
        <f>_xlfn.NUMBERVALUE(LEFT(Table613[[#This Row],[Fiscal Year]], 4))</f>
        <v>2017</v>
      </c>
      <c r="N1576" s="42">
        <f t="shared" si="32"/>
        <v>976580.83498164022</v>
      </c>
      <c r="O1576" s="3">
        <v>1574</v>
      </c>
    </row>
    <row r="1577" spans="1:15" x14ac:dyDescent="0.25">
      <c r="A1577" s="3">
        <v>8</v>
      </c>
      <c r="B1577" s="3" t="s">
        <v>262</v>
      </c>
      <c r="C1577" s="1" t="s">
        <v>262</v>
      </c>
      <c r="D1577" s="1" t="s">
        <v>444</v>
      </c>
      <c r="E1577" s="11" t="s">
        <v>144</v>
      </c>
      <c r="F1577" s="3" t="s">
        <v>5</v>
      </c>
      <c r="G1577" s="66" t="s">
        <v>956</v>
      </c>
      <c r="H1577" s="8" t="s">
        <v>489</v>
      </c>
      <c r="I1577" s="8" t="s">
        <v>502</v>
      </c>
      <c r="J1577" s="6" t="s">
        <v>111</v>
      </c>
      <c r="K1577" s="38">
        <v>717246</v>
      </c>
      <c r="L1577" s="4" t="s">
        <v>25</v>
      </c>
      <c r="M1577" s="11">
        <f>_xlfn.NUMBERVALUE(LEFT(Table613[[#This Row],[Fiscal Year]], 4))</f>
        <v>2017</v>
      </c>
      <c r="N1577" s="42">
        <f t="shared" si="32"/>
        <v>736357.92829865369</v>
      </c>
      <c r="O1577" s="3">
        <v>1575</v>
      </c>
    </row>
    <row r="1578" spans="1:15" x14ac:dyDescent="0.25">
      <c r="A1578" s="3">
        <v>8</v>
      </c>
      <c r="B1578" s="3" t="s">
        <v>262</v>
      </c>
      <c r="C1578" s="1" t="s">
        <v>262</v>
      </c>
      <c r="D1578" s="1" t="s">
        <v>444</v>
      </c>
      <c r="E1578" s="11" t="s">
        <v>144</v>
      </c>
      <c r="F1578" s="3" t="s">
        <v>5</v>
      </c>
      <c r="G1578" s="66" t="s">
        <v>957</v>
      </c>
      <c r="H1578" s="8" t="s">
        <v>490</v>
      </c>
      <c r="I1578" s="8" t="s">
        <v>502</v>
      </c>
      <c r="J1578" s="6" t="s">
        <v>108</v>
      </c>
      <c r="K1578" s="38">
        <v>2550984</v>
      </c>
      <c r="L1578" s="4" t="s">
        <v>25</v>
      </c>
      <c r="M1578" s="11">
        <f>_xlfn.NUMBERVALUE(LEFT(Table613[[#This Row],[Fiscal Year]], 4))</f>
        <v>2017</v>
      </c>
      <c r="N1578" s="42">
        <f t="shared" si="32"/>
        <v>2618958.2003427176</v>
      </c>
      <c r="O1578" s="3">
        <v>1576</v>
      </c>
    </row>
    <row r="1579" spans="1:15" x14ac:dyDescent="0.25">
      <c r="A1579" s="3">
        <v>8</v>
      </c>
      <c r="B1579" s="3" t="s">
        <v>262</v>
      </c>
      <c r="C1579" s="1" t="s">
        <v>262</v>
      </c>
      <c r="D1579" s="1" t="s">
        <v>444</v>
      </c>
      <c r="E1579" s="11" t="s">
        <v>144</v>
      </c>
      <c r="F1579" s="3" t="s">
        <v>5</v>
      </c>
      <c r="G1579" s="66" t="s">
        <v>958</v>
      </c>
      <c r="H1579" s="8" t="s">
        <v>490</v>
      </c>
      <c r="I1579" s="8" t="s">
        <v>502</v>
      </c>
      <c r="J1579" s="6" t="s">
        <v>108</v>
      </c>
      <c r="K1579" s="38">
        <v>4516885</v>
      </c>
      <c r="L1579" s="4" t="s">
        <v>25</v>
      </c>
      <c r="M1579" s="11">
        <f>_xlfn.NUMBERVALUE(LEFT(Table613[[#This Row],[Fiscal Year]], 4))</f>
        <v>2017</v>
      </c>
      <c r="N1579" s="42">
        <f t="shared" si="32"/>
        <v>4637243.1229498172</v>
      </c>
      <c r="O1579" s="3">
        <v>1577</v>
      </c>
    </row>
    <row r="1580" spans="1:15" x14ac:dyDescent="0.25">
      <c r="A1580" s="3">
        <v>8</v>
      </c>
      <c r="B1580" s="3" t="s">
        <v>262</v>
      </c>
      <c r="C1580" s="1" t="s">
        <v>262</v>
      </c>
      <c r="D1580" s="1" t="s">
        <v>444</v>
      </c>
      <c r="E1580" s="11" t="s">
        <v>144</v>
      </c>
      <c r="F1580" s="3" t="s">
        <v>5</v>
      </c>
      <c r="G1580" s="66" t="s">
        <v>959</v>
      </c>
      <c r="H1580" s="8" t="s">
        <v>490</v>
      </c>
      <c r="I1580" s="8" t="s">
        <v>502</v>
      </c>
      <c r="J1580" s="6" t="s">
        <v>108</v>
      </c>
      <c r="K1580" s="38">
        <v>8236513</v>
      </c>
      <c r="L1580" s="4" t="s">
        <v>25</v>
      </c>
      <c r="M1580" s="11">
        <f>_xlfn.NUMBERVALUE(LEFT(Table613[[#This Row],[Fiscal Year]], 4))</f>
        <v>2017</v>
      </c>
      <c r="N1580" s="42">
        <f t="shared" si="32"/>
        <v>8455985.3231456559</v>
      </c>
      <c r="O1580" s="3">
        <v>1578</v>
      </c>
    </row>
    <row r="1581" spans="1:15" x14ac:dyDescent="0.25">
      <c r="A1581" s="3">
        <v>8</v>
      </c>
      <c r="B1581" s="3" t="s">
        <v>262</v>
      </c>
      <c r="C1581" s="1" t="s">
        <v>262</v>
      </c>
      <c r="D1581" s="1" t="s">
        <v>444</v>
      </c>
      <c r="E1581" s="11" t="s">
        <v>144</v>
      </c>
      <c r="F1581" s="3" t="s">
        <v>5</v>
      </c>
      <c r="G1581" s="48" t="s">
        <v>960</v>
      </c>
      <c r="H1581" s="8" t="s">
        <v>490</v>
      </c>
      <c r="I1581" s="8" t="s">
        <v>502</v>
      </c>
      <c r="J1581" s="6" t="s">
        <v>108</v>
      </c>
      <c r="K1581" s="38">
        <v>575332</v>
      </c>
      <c r="L1581" s="4" t="s">
        <v>25</v>
      </c>
      <c r="M1581" s="11">
        <f>_xlfn.NUMBERVALUE(LEFT(Table613[[#This Row],[Fiscal Year]], 4))</f>
        <v>2017</v>
      </c>
      <c r="N1581" s="42">
        <f t="shared" si="32"/>
        <v>590662.44998776016</v>
      </c>
      <c r="O1581" s="3">
        <v>1579</v>
      </c>
    </row>
    <row r="1582" spans="1:15" x14ac:dyDescent="0.25">
      <c r="A1582" s="3">
        <v>8</v>
      </c>
      <c r="B1582" s="3" t="s">
        <v>262</v>
      </c>
      <c r="C1582" s="1" t="s">
        <v>262</v>
      </c>
      <c r="D1582" s="1" t="s">
        <v>444</v>
      </c>
      <c r="E1582" s="11" t="s">
        <v>144</v>
      </c>
      <c r="F1582" s="3" t="s">
        <v>5</v>
      </c>
      <c r="G1582" s="61" t="s">
        <v>961</v>
      </c>
      <c r="H1582" s="8" t="s">
        <v>490</v>
      </c>
      <c r="I1582" s="8" t="s">
        <v>502</v>
      </c>
      <c r="J1582" s="6" t="s">
        <v>108</v>
      </c>
      <c r="K1582" s="38">
        <v>2935498</v>
      </c>
      <c r="L1582" s="4" t="s">
        <v>25</v>
      </c>
      <c r="M1582" s="11">
        <f>_xlfn.NUMBERVALUE(LEFT(Table613[[#This Row],[Fiscal Year]], 4))</f>
        <v>2017</v>
      </c>
      <c r="N1582" s="42">
        <f t="shared" si="32"/>
        <v>3013718.0629865364</v>
      </c>
      <c r="O1582" s="3">
        <v>1580</v>
      </c>
    </row>
    <row r="1583" spans="1:15" x14ac:dyDescent="0.25">
      <c r="A1583" s="3">
        <v>8</v>
      </c>
      <c r="B1583" s="3" t="s">
        <v>262</v>
      </c>
      <c r="C1583" s="1" t="s">
        <v>262</v>
      </c>
      <c r="D1583" s="1" t="s">
        <v>444</v>
      </c>
      <c r="E1583" s="11" t="s">
        <v>144</v>
      </c>
      <c r="F1583" s="3" t="s">
        <v>5</v>
      </c>
      <c r="G1583" s="61" t="s">
        <v>962</v>
      </c>
      <c r="H1583" s="8" t="s">
        <v>490</v>
      </c>
      <c r="I1583" s="8" t="s">
        <v>502</v>
      </c>
      <c r="J1583" s="6" t="s">
        <v>108</v>
      </c>
      <c r="K1583" s="38">
        <v>560667</v>
      </c>
      <c r="L1583" s="4" t="s">
        <v>25</v>
      </c>
      <c r="M1583" s="11">
        <f>_xlfn.NUMBERVALUE(LEFT(Table613[[#This Row],[Fiscal Year]], 4))</f>
        <v>2017</v>
      </c>
      <c r="N1583" s="42">
        <f t="shared" si="32"/>
        <v>575606.68248470023</v>
      </c>
      <c r="O1583" s="3">
        <v>1581</v>
      </c>
    </row>
    <row r="1584" spans="1:15" x14ac:dyDescent="0.25">
      <c r="A1584" s="3">
        <v>8</v>
      </c>
      <c r="B1584" s="3" t="s">
        <v>262</v>
      </c>
      <c r="C1584" s="1" t="s">
        <v>262</v>
      </c>
      <c r="D1584" s="1" t="s">
        <v>444</v>
      </c>
      <c r="E1584" s="11" t="s">
        <v>144</v>
      </c>
      <c r="F1584" s="3" t="s">
        <v>5</v>
      </c>
      <c r="G1584" s="61" t="s">
        <v>963</v>
      </c>
      <c r="H1584" s="8" t="s">
        <v>490</v>
      </c>
      <c r="I1584" s="8" t="s">
        <v>502</v>
      </c>
      <c r="J1584" s="6" t="s">
        <v>108</v>
      </c>
      <c r="K1584" s="38">
        <v>611729</v>
      </c>
      <c r="L1584" s="4" t="s">
        <v>25</v>
      </c>
      <c r="M1584" s="11">
        <f>_xlfn.NUMBERVALUE(LEFT(Table613[[#This Row],[Fiscal Year]], 4))</f>
        <v>2017</v>
      </c>
      <c r="N1584" s="42">
        <f t="shared" si="32"/>
        <v>628029.29416156677</v>
      </c>
      <c r="O1584" s="3">
        <v>1582</v>
      </c>
    </row>
    <row r="1585" spans="1:15" x14ac:dyDescent="0.25">
      <c r="A1585" s="3">
        <v>8</v>
      </c>
      <c r="B1585" s="3" t="s">
        <v>262</v>
      </c>
      <c r="C1585" s="1" t="s">
        <v>262</v>
      </c>
      <c r="D1585" s="1" t="s">
        <v>444</v>
      </c>
      <c r="E1585" s="11" t="s">
        <v>144</v>
      </c>
      <c r="F1585" s="3" t="s">
        <v>5</v>
      </c>
      <c r="G1585" s="61" t="s">
        <v>964</v>
      </c>
      <c r="H1585" s="8" t="s">
        <v>601</v>
      </c>
      <c r="I1585" s="8" t="s">
        <v>502</v>
      </c>
      <c r="J1585" s="6" t="s">
        <v>455</v>
      </c>
      <c r="K1585" s="38">
        <v>212483</v>
      </c>
      <c r="L1585" s="4" t="s">
        <v>25</v>
      </c>
      <c r="M1585" s="11">
        <f>_xlfn.NUMBERVALUE(LEFT(Table613[[#This Row],[Fiscal Year]], 4))</f>
        <v>2017</v>
      </c>
      <c r="N1585" s="42">
        <f t="shared" si="32"/>
        <v>218144.8787148103</v>
      </c>
      <c r="O1585" s="3">
        <v>1583</v>
      </c>
    </row>
    <row r="1586" spans="1:15" x14ac:dyDescent="0.25">
      <c r="A1586" s="3">
        <v>8</v>
      </c>
      <c r="B1586" s="3" t="s">
        <v>262</v>
      </c>
      <c r="C1586" s="1" t="s">
        <v>262</v>
      </c>
      <c r="D1586" s="1" t="s">
        <v>444</v>
      </c>
      <c r="E1586" s="11" t="s">
        <v>144</v>
      </c>
      <c r="F1586" s="3" t="s">
        <v>5</v>
      </c>
      <c r="G1586" s="61" t="s">
        <v>965</v>
      </c>
      <c r="H1586" s="8" t="s">
        <v>490</v>
      </c>
      <c r="I1586" s="8" t="s">
        <v>502</v>
      </c>
      <c r="J1586" s="6" t="s">
        <v>108</v>
      </c>
      <c r="K1586" s="38">
        <v>806605</v>
      </c>
      <c r="L1586" s="4" t="s">
        <v>25</v>
      </c>
      <c r="M1586" s="11">
        <f>_xlfn.NUMBERVALUE(LEFT(Table613[[#This Row],[Fiscal Year]], 4))</f>
        <v>2017</v>
      </c>
      <c r="N1586" s="42">
        <f t="shared" si="32"/>
        <v>828098.01205630368</v>
      </c>
      <c r="O1586" s="3">
        <v>1584</v>
      </c>
    </row>
    <row r="1587" spans="1:15" x14ac:dyDescent="0.25">
      <c r="A1587" s="3">
        <v>8</v>
      </c>
      <c r="B1587" s="3" t="s">
        <v>262</v>
      </c>
      <c r="C1587" s="1" t="s">
        <v>262</v>
      </c>
      <c r="D1587" s="1" t="s">
        <v>444</v>
      </c>
      <c r="E1587" s="11" t="s">
        <v>144</v>
      </c>
      <c r="F1587" s="3" t="s">
        <v>5</v>
      </c>
      <c r="G1587" s="66" t="s">
        <v>966</v>
      </c>
      <c r="H1587" s="8" t="s">
        <v>490</v>
      </c>
      <c r="I1587" s="8" t="s">
        <v>502</v>
      </c>
      <c r="J1587" s="6" t="s">
        <v>108</v>
      </c>
      <c r="K1587" s="38">
        <v>86205</v>
      </c>
      <c r="L1587" s="4" t="s">
        <v>25</v>
      </c>
      <c r="M1587" s="11">
        <f>_xlfn.NUMBERVALUE(LEFT(Table613[[#This Row],[Fiscal Year]], 4))</f>
        <v>2017</v>
      </c>
      <c r="N1587" s="42">
        <f t="shared" si="32"/>
        <v>88502.041432068552</v>
      </c>
      <c r="O1587" s="3">
        <v>1585</v>
      </c>
    </row>
    <row r="1588" spans="1:15" x14ac:dyDescent="0.25">
      <c r="A1588" s="3">
        <v>8</v>
      </c>
      <c r="B1588" s="3" t="s">
        <v>262</v>
      </c>
      <c r="C1588" s="1" t="s">
        <v>262</v>
      </c>
      <c r="D1588" s="1" t="s">
        <v>444</v>
      </c>
      <c r="E1588" s="11" t="s">
        <v>144</v>
      </c>
      <c r="F1588" s="3" t="s">
        <v>5</v>
      </c>
      <c r="G1588" s="66" t="s">
        <v>967</v>
      </c>
      <c r="H1588" s="8" t="s">
        <v>491</v>
      </c>
      <c r="I1588" s="8" t="s">
        <v>502</v>
      </c>
      <c r="J1588" s="6" t="s">
        <v>42</v>
      </c>
      <c r="K1588" s="38">
        <v>39166</v>
      </c>
      <c r="L1588" s="4" t="s">
        <v>25</v>
      </c>
      <c r="M1588" s="11">
        <f>_xlfn.NUMBERVALUE(LEFT(Table613[[#This Row],[Fiscal Year]], 4))</f>
        <v>2017</v>
      </c>
      <c r="N1588" s="42">
        <f t="shared" si="32"/>
        <v>40209.62768665851</v>
      </c>
      <c r="O1588" s="3">
        <v>1586</v>
      </c>
    </row>
    <row r="1589" spans="1:15" x14ac:dyDescent="0.25">
      <c r="A1589" s="3">
        <v>8</v>
      </c>
      <c r="B1589" s="3" t="s">
        <v>262</v>
      </c>
      <c r="C1589" s="1" t="s">
        <v>262</v>
      </c>
      <c r="D1589" s="1" t="s">
        <v>444</v>
      </c>
      <c r="E1589" s="11" t="s">
        <v>144</v>
      </c>
      <c r="F1589" s="3" t="s">
        <v>5</v>
      </c>
      <c r="G1589" s="66" t="s">
        <v>968</v>
      </c>
      <c r="H1589" s="8" t="s">
        <v>491</v>
      </c>
      <c r="I1589" s="8" t="s">
        <v>502</v>
      </c>
      <c r="J1589" s="6" t="s">
        <v>453</v>
      </c>
      <c r="K1589" s="38">
        <v>5458</v>
      </c>
      <c r="L1589" s="4" t="s">
        <v>25</v>
      </c>
      <c r="M1589" s="11">
        <f>_xlfn.NUMBERVALUE(LEFT(Table613[[#This Row],[Fiscal Year]], 4))</f>
        <v>2017</v>
      </c>
      <c r="N1589" s="42">
        <f t="shared" si="32"/>
        <v>5603.435324357406</v>
      </c>
      <c r="O1589" s="3">
        <v>1587</v>
      </c>
    </row>
    <row r="1590" spans="1:15" x14ac:dyDescent="0.25">
      <c r="A1590" s="3">
        <v>8</v>
      </c>
      <c r="B1590" s="3" t="s">
        <v>262</v>
      </c>
      <c r="C1590" s="1" t="s">
        <v>262</v>
      </c>
      <c r="D1590" s="1" t="s">
        <v>444</v>
      </c>
      <c r="E1590" s="11" t="s">
        <v>144</v>
      </c>
      <c r="F1590" s="3" t="s">
        <v>5</v>
      </c>
      <c r="G1590" s="66" t="s">
        <v>969</v>
      </c>
      <c r="H1590" s="8" t="s">
        <v>492</v>
      </c>
      <c r="I1590" s="8" t="s">
        <v>502</v>
      </c>
      <c r="J1590" s="6" t="s">
        <v>111</v>
      </c>
      <c r="K1590" s="38">
        <v>191230</v>
      </c>
      <c r="L1590" s="4" t="s">
        <v>25</v>
      </c>
      <c r="M1590" s="11">
        <f>_xlfn.NUMBERVALUE(LEFT(Table613[[#This Row],[Fiscal Year]], 4))</f>
        <v>2017</v>
      </c>
      <c r="N1590" s="42">
        <f t="shared" si="32"/>
        <v>196325.56560587516</v>
      </c>
      <c r="O1590" s="3">
        <v>1588</v>
      </c>
    </row>
    <row r="1591" spans="1:15" x14ac:dyDescent="0.25">
      <c r="A1591" s="3">
        <v>8</v>
      </c>
      <c r="B1591" s="3" t="s">
        <v>262</v>
      </c>
      <c r="C1591" s="1" t="s">
        <v>262</v>
      </c>
      <c r="D1591" s="1" t="s">
        <v>444</v>
      </c>
      <c r="E1591" s="11" t="s">
        <v>144</v>
      </c>
      <c r="F1591" s="3" t="s">
        <v>5</v>
      </c>
      <c r="G1591" s="66" t="s">
        <v>970</v>
      </c>
      <c r="H1591" s="6" t="s">
        <v>493</v>
      </c>
      <c r="I1591" s="8" t="s">
        <v>502</v>
      </c>
      <c r="J1591" s="6" t="s">
        <v>107</v>
      </c>
      <c r="K1591" s="38">
        <v>505423</v>
      </c>
      <c r="L1591" s="4" t="s">
        <v>25</v>
      </c>
      <c r="M1591" s="11">
        <f>_xlfn.NUMBERVALUE(LEFT(Table613[[#This Row],[Fiscal Year]], 4))</f>
        <v>2017</v>
      </c>
      <c r="N1591" s="42">
        <f t="shared" si="32"/>
        <v>518890.63611995109</v>
      </c>
      <c r="O1591" s="3">
        <v>1589</v>
      </c>
    </row>
    <row r="1592" spans="1:15" x14ac:dyDescent="0.25">
      <c r="A1592" s="3">
        <v>8</v>
      </c>
      <c r="B1592" s="3" t="s">
        <v>262</v>
      </c>
      <c r="C1592" s="1" t="s">
        <v>262</v>
      </c>
      <c r="D1592" s="1" t="s">
        <v>444</v>
      </c>
      <c r="E1592" s="11" t="s">
        <v>144</v>
      </c>
      <c r="F1592" s="3" t="s">
        <v>5</v>
      </c>
      <c r="G1592" s="66" t="s">
        <v>971</v>
      </c>
      <c r="H1592" s="6" t="s">
        <v>493</v>
      </c>
      <c r="I1592" s="8" t="s">
        <v>502</v>
      </c>
      <c r="J1592" s="6" t="s">
        <v>107</v>
      </c>
      <c r="K1592" s="38">
        <v>410604</v>
      </c>
      <c r="L1592" s="4" t="s">
        <v>25</v>
      </c>
      <c r="M1592" s="11">
        <f>_xlfn.NUMBERVALUE(LEFT(Table613[[#This Row],[Fiscal Year]], 4))</f>
        <v>2017</v>
      </c>
      <c r="N1592" s="42">
        <f t="shared" si="32"/>
        <v>421545.06374541007</v>
      </c>
      <c r="O1592" s="3">
        <v>1590</v>
      </c>
    </row>
    <row r="1593" spans="1:15" x14ac:dyDescent="0.25">
      <c r="A1593" s="3">
        <v>8</v>
      </c>
      <c r="B1593" s="3" t="s">
        <v>262</v>
      </c>
      <c r="C1593" s="1" t="s">
        <v>262</v>
      </c>
      <c r="D1593" s="1" t="s">
        <v>444</v>
      </c>
      <c r="E1593" s="11" t="s">
        <v>144</v>
      </c>
      <c r="F1593" s="3" t="s">
        <v>5</v>
      </c>
      <c r="G1593" s="66" t="s">
        <v>972</v>
      </c>
      <c r="H1593" s="8" t="s">
        <v>494</v>
      </c>
      <c r="I1593" s="8" t="s">
        <v>502</v>
      </c>
      <c r="J1593" s="6" t="s">
        <v>109</v>
      </c>
      <c r="K1593" s="38">
        <v>9298</v>
      </c>
      <c r="L1593" s="4" t="s">
        <v>25</v>
      </c>
      <c r="M1593" s="11">
        <f>_xlfn.NUMBERVALUE(LEFT(Table613[[#This Row],[Fiscal Year]], 4))</f>
        <v>2017</v>
      </c>
      <c r="N1593" s="42">
        <f t="shared" si="32"/>
        <v>9545.7569889840888</v>
      </c>
      <c r="O1593" s="3">
        <v>1591</v>
      </c>
    </row>
    <row r="1594" spans="1:15" x14ac:dyDescent="0.25">
      <c r="A1594" s="3">
        <v>8</v>
      </c>
      <c r="B1594" s="3" t="s">
        <v>262</v>
      </c>
      <c r="C1594" s="1" t="s">
        <v>262</v>
      </c>
      <c r="D1594" s="1" t="s">
        <v>444</v>
      </c>
      <c r="E1594" s="11" t="s">
        <v>144</v>
      </c>
      <c r="F1594" s="3" t="s">
        <v>5</v>
      </c>
      <c r="G1594" s="66" t="s">
        <v>973</v>
      </c>
      <c r="H1594" s="8" t="s">
        <v>495</v>
      </c>
      <c r="I1594" s="8" t="s">
        <v>502</v>
      </c>
      <c r="J1594" s="6" t="s">
        <v>106</v>
      </c>
      <c r="K1594" s="38">
        <v>0</v>
      </c>
      <c r="L1594" s="4" t="s">
        <v>25</v>
      </c>
      <c r="M1594" s="11">
        <f>_xlfn.NUMBERVALUE(LEFT(Table613[[#This Row],[Fiscal Year]], 4))</f>
        <v>2017</v>
      </c>
      <c r="N1594" s="43">
        <f t="shared" si="32"/>
        <v>0</v>
      </c>
      <c r="O1594" s="3">
        <v>1592</v>
      </c>
    </row>
    <row r="1595" spans="1:15" x14ac:dyDescent="0.25">
      <c r="A1595" s="3">
        <v>8</v>
      </c>
      <c r="B1595" s="3" t="s">
        <v>262</v>
      </c>
      <c r="C1595" s="1" t="s">
        <v>262</v>
      </c>
      <c r="D1595" s="1" t="s">
        <v>444</v>
      </c>
      <c r="E1595" s="11" t="s">
        <v>144</v>
      </c>
      <c r="F1595" s="3" t="s">
        <v>5</v>
      </c>
      <c r="G1595" s="66" t="s">
        <v>974</v>
      </c>
      <c r="H1595" s="8" t="s">
        <v>495</v>
      </c>
      <c r="I1595" s="8" t="s">
        <v>502</v>
      </c>
      <c r="J1595" s="6" t="s">
        <v>106</v>
      </c>
      <c r="K1595" s="38">
        <v>300537</v>
      </c>
      <c r="L1595" s="4" t="s">
        <v>25</v>
      </c>
      <c r="M1595" s="11">
        <f>_xlfn.NUMBERVALUE(LEFT(Table613[[#This Row],[Fiscal Year]], 4))</f>
        <v>2017</v>
      </c>
      <c r="N1595" s="42">
        <f t="shared" si="32"/>
        <v>308545.1890942473</v>
      </c>
      <c r="O1595" s="3">
        <v>1593</v>
      </c>
    </row>
    <row r="1596" spans="1:15" x14ac:dyDescent="0.25">
      <c r="A1596" s="3">
        <v>8</v>
      </c>
      <c r="B1596" s="3" t="s">
        <v>262</v>
      </c>
      <c r="C1596" s="1" t="s">
        <v>262</v>
      </c>
      <c r="D1596" s="1" t="s">
        <v>444</v>
      </c>
      <c r="E1596" s="11" t="s">
        <v>144</v>
      </c>
      <c r="F1596" s="3" t="s">
        <v>5</v>
      </c>
      <c r="G1596" s="69" t="s">
        <v>975</v>
      </c>
      <c r="H1596" s="8"/>
      <c r="I1596" s="8"/>
      <c r="J1596" s="6"/>
      <c r="K1596" s="38">
        <v>1459561</v>
      </c>
      <c r="L1596" s="4" t="s">
        <v>25</v>
      </c>
      <c r="M1596" s="11">
        <v>2017</v>
      </c>
      <c r="N1596" s="42">
        <f t="shared" si="32"/>
        <v>1498452.8518604652</v>
      </c>
      <c r="O1596" s="3">
        <v>1594</v>
      </c>
    </row>
    <row r="1597" spans="1:15" x14ac:dyDescent="0.25">
      <c r="C1597" s="1"/>
      <c r="D1597" s="1"/>
      <c r="E1597" s="11"/>
      <c r="G1597" s="66"/>
      <c r="H1597" s="8"/>
      <c r="I1597" s="8"/>
      <c r="J1597" s="6"/>
      <c r="L1597" s="4"/>
      <c r="O1597" s="3">
        <v>1595</v>
      </c>
    </row>
    <row r="1598" spans="1:15" x14ac:dyDescent="0.25">
      <c r="A1598" s="3">
        <v>9</v>
      </c>
      <c r="B1598" s="3" t="s">
        <v>263</v>
      </c>
      <c r="C1598" s="1" t="s">
        <v>262</v>
      </c>
      <c r="D1598" s="1" t="s">
        <v>444</v>
      </c>
      <c r="E1598" s="11" t="s">
        <v>144</v>
      </c>
      <c r="F1598" s="3" t="s">
        <v>8</v>
      </c>
      <c r="G1598" s="48" t="s">
        <v>1008</v>
      </c>
      <c r="H1598" s="8" t="s">
        <v>76</v>
      </c>
      <c r="I1598" s="8" t="s">
        <v>640</v>
      </c>
      <c r="J1598" s="6" t="s">
        <v>76</v>
      </c>
      <c r="K1598" s="38">
        <v>394780</v>
      </c>
      <c r="L1598" s="4" t="s">
        <v>25</v>
      </c>
      <c r="M1598" s="11">
        <f>_xlfn.NUMBERVALUE(LEFT(Table613[[#This Row],[Fiscal Year]], 4))</f>
        <v>2017</v>
      </c>
      <c r="N1598" s="42">
        <f t="shared" si="32"/>
        <v>405299.41321909428</v>
      </c>
      <c r="O1598" s="3">
        <v>1596</v>
      </c>
    </row>
    <row r="1599" spans="1:15" x14ac:dyDescent="0.25">
      <c r="A1599" s="3">
        <v>9</v>
      </c>
      <c r="B1599" s="3" t="s">
        <v>263</v>
      </c>
      <c r="C1599" s="1" t="s">
        <v>262</v>
      </c>
      <c r="D1599" s="1" t="s">
        <v>444</v>
      </c>
      <c r="E1599" s="11" t="s">
        <v>144</v>
      </c>
      <c r="F1599" s="3" t="s">
        <v>8</v>
      </c>
      <c r="G1599" s="48" t="s">
        <v>1009</v>
      </c>
      <c r="H1599" s="8" t="s">
        <v>76</v>
      </c>
      <c r="I1599" s="8" t="s">
        <v>502</v>
      </c>
      <c r="J1599" s="6" t="s">
        <v>76</v>
      </c>
      <c r="K1599" s="38">
        <v>1800</v>
      </c>
      <c r="L1599" s="4" t="s">
        <v>25</v>
      </c>
      <c r="M1599" s="11">
        <f>_xlfn.NUMBERVALUE(LEFT(Table613[[#This Row],[Fiscal Year]], 4))</f>
        <v>2017</v>
      </c>
      <c r="N1599" s="42">
        <f t="shared" si="32"/>
        <v>1847.9632802937579</v>
      </c>
      <c r="O1599" s="3">
        <v>1597</v>
      </c>
    </row>
    <row r="1600" spans="1:15" x14ac:dyDescent="0.25">
      <c r="A1600" s="3">
        <v>9</v>
      </c>
      <c r="B1600" s="3" t="s">
        <v>263</v>
      </c>
      <c r="C1600" s="1" t="s">
        <v>262</v>
      </c>
      <c r="D1600" s="1" t="s">
        <v>444</v>
      </c>
      <c r="E1600" s="11" t="s">
        <v>144</v>
      </c>
      <c r="F1600" s="3" t="s">
        <v>8</v>
      </c>
      <c r="G1600" s="48" t="s">
        <v>1010</v>
      </c>
      <c r="H1600" s="8" t="s">
        <v>76</v>
      </c>
      <c r="I1600" s="8" t="s">
        <v>502</v>
      </c>
      <c r="J1600" s="6" t="s">
        <v>76</v>
      </c>
      <c r="K1600" s="38">
        <v>0</v>
      </c>
      <c r="L1600" s="4" t="s">
        <v>25</v>
      </c>
      <c r="M1600" s="11">
        <f>_xlfn.NUMBERVALUE(LEFT(Table613[[#This Row],[Fiscal Year]], 4))</f>
        <v>2017</v>
      </c>
      <c r="N1600" s="43">
        <f t="shared" si="32"/>
        <v>0</v>
      </c>
      <c r="O1600" s="3">
        <v>1598</v>
      </c>
    </row>
    <row r="1601" spans="1:15" x14ac:dyDescent="0.25">
      <c r="A1601" s="3">
        <v>9</v>
      </c>
      <c r="B1601" s="3" t="s">
        <v>263</v>
      </c>
      <c r="C1601" s="1" t="s">
        <v>262</v>
      </c>
      <c r="D1601" s="1" t="s">
        <v>444</v>
      </c>
      <c r="E1601" s="11" t="s">
        <v>144</v>
      </c>
      <c r="F1601" s="3" t="s">
        <v>8</v>
      </c>
      <c r="G1601" s="48" t="s">
        <v>1011</v>
      </c>
      <c r="H1601" s="8" t="s">
        <v>496</v>
      </c>
      <c r="I1601" s="8" t="s">
        <v>502</v>
      </c>
      <c r="J1601" s="6" t="s">
        <v>110</v>
      </c>
      <c r="K1601" s="38">
        <v>151595</v>
      </c>
      <c r="L1601" s="4" t="s">
        <v>25</v>
      </c>
      <c r="M1601" s="11">
        <f>_xlfn.NUMBERVALUE(LEFT(Table613[[#This Row],[Fiscal Year]], 4))</f>
        <v>2017</v>
      </c>
      <c r="N1601" s="42">
        <f t="shared" si="32"/>
        <v>155634.44082007345</v>
      </c>
      <c r="O1601" s="3">
        <v>1599</v>
      </c>
    </row>
    <row r="1602" spans="1:15" x14ac:dyDescent="0.25">
      <c r="A1602" s="3">
        <v>9</v>
      </c>
      <c r="B1602" s="3" t="s">
        <v>263</v>
      </c>
      <c r="C1602" s="1" t="s">
        <v>262</v>
      </c>
      <c r="D1602" s="1" t="s">
        <v>444</v>
      </c>
      <c r="E1602" s="11" t="s">
        <v>144</v>
      </c>
      <c r="F1602" s="3" t="s">
        <v>8</v>
      </c>
      <c r="G1602" s="48" t="s">
        <v>1012</v>
      </c>
      <c r="H1602" s="8" t="s">
        <v>498</v>
      </c>
      <c r="I1602" s="8" t="s">
        <v>502</v>
      </c>
      <c r="J1602" s="6" t="s">
        <v>108</v>
      </c>
      <c r="K1602" s="38">
        <v>12128</v>
      </c>
      <c r="L1602" s="4" t="s">
        <v>25</v>
      </c>
      <c r="M1602" s="11">
        <f>_xlfn.NUMBERVALUE(LEFT(Table613[[#This Row],[Fiscal Year]], 4))</f>
        <v>2017</v>
      </c>
      <c r="N1602" s="42">
        <f t="shared" si="32"/>
        <v>12451.165924112609</v>
      </c>
      <c r="O1602" s="3">
        <v>1600</v>
      </c>
    </row>
    <row r="1603" spans="1:15" x14ac:dyDescent="0.25">
      <c r="A1603" s="3">
        <v>9</v>
      </c>
      <c r="B1603" s="3" t="s">
        <v>263</v>
      </c>
      <c r="C1603" s="1" t="s">
        <v>262</v>
      </c>
      <c r="D1603" s="1" t="s">
        <v>444</v>
      </c>
      <c r="E1603" s="11" t="s">
        <v>144</v>
      </c>
      <c r="F1603" s="3" t="s">
        <v>8</v>
      </c>
      <c r="G1603" s="48" t="s">
        <v>1013</v>
      </c>
      <c r="H1603" s="8" t="s">
        <v>498</v>
      </c>
      <c r="I1603" s="8" t="s">
        <v>502</v>
      </c>
      <c r="J1603" s="6" t="s">
        <v>108</v>
      </c>
      <c r="K1603" s="38">
        <v>15159</v>
      </c>
      <c r="L1603" s="4" t="s">
        <v>25</v>
      </c>
      <c r="M1603" s="11">
        <f>_xlfn.NUMBERVALUE(LEFT(Table613[[#This Row],[Fiscal Year]], 4))</f>
        <v>2017</v>
      </c>
      <c r="N1603" s="42">
        <f t="shared" si="32"/>
        <v>15562.93075887393</v>
      </c>
      <c r="O1603" s="3">
        <v>1601</v>
      </c>
    </row>
    <row r="1604" spans="1:15" x14ac:dyDescent="0.25">
      <c r="A1604" s="3">
        <v>9</v>
      </c>
      <c r="B1604" s="3" t="s">
        <v>263</v>
      </c>
      <c r="C1604" s="1" t="s">
        <v>262</v>
      </c>
      <c r="D1604" s="1" t="s">
        <v>444</v>
      </c>
      <c r="E1604" s="11" t="s">
        <v>144</v>
      </c>
      <c r="F1604" s="3" t="s">
        <v>8</v>
      </c>
      <c r="G1604" s="48" t="s">
        <v>1014</v>
      </c>
      <c r="H1604" s="8" t="s">
        <v>498</v>
      </c>
      <c r="I1604" s="8" t="s">
        <v>502</v>
      </c>
      <c r="J1604" s="6" t="s">
        <v>108</v>
      </c>
      <c r="K1604" s="38">
        <v>68505</v>
      </c>
      <c r="L1604" s="4" t="s">
        <v>25</v>
      </c>
      <c r="M1604" s="11">
        <f>_xlfn.NUMBERVALUE(LEFT(Table613[[#This Row],[Fiscal Year]], 4))</f>
        <v>2017</v>
      </c>
      <c r="N1604" s="42">
        <f t="shared" si="32"/>
        <v>70330.402509179941</v>
      </c>
      <c r="O1604" s="3">
        <v>1602</v>
      </c>
    </row>
    <row r="1605" spans="1:15" x14ac:dyDescent="0.25">
      <c r="A1605" s="3">
        <v>9</v>
      </c>
      <c r="B1605" s="3" t="s">
        <v>263</v>
      </c>
      <c r="C1605" s="1" t="s">
        <v>262</v>
      </c>
      <c r="D1605" s="1" t="s">
        <v>444</v>
      </c>
      <c r="E1605" s="11" t="s">
        <v>144</v>
      </c>
      <c r="F1605" s="3" t="s">
        <v>8</v>
      </c>
      <c r="G1605" s="48" t="s">
        <v>1015</v>
      </c>
      <c r="H1605" s="8" t="s">
        <v>498</v>
      </c>
      <c r="I1605" s="8" t="s">
        <v>502</v>
      </c>
      <c r="J1605" s="6" t="s">
        <v>108</v>
      </c>
      <c r="K1605" s="38">
        <v>7580</v>
      </c>
      <c r="L1605" s="4" t="s">
        <v>25</v>
      </c>
      <c r="M1605" s="11">
        <f>_xlfn.NUMBERVALUE(LEFT(Table613[[#This Row],[Fiscal Year]], 4))</f>
        <v>2017</v>
      </c>
      <c r="N1605" s="42">
        <f t="shared" si="32"/>
        <v>7781.9787025703799</v>
      </c>
      <c r="O1605" s="3">
        <v>1603</v>
      </c>
    </row>
    <row r="1606" spans="1:15" x14ac:dyDescent="0.25">
      <c r="A1606" s="3">
        <v>9</v>
      </c>
      <c r="B1606" s="3" t="s">
        <v>263</v>
      </c>
      <c r="C1606" s="1" t="s">
        <v>262</v>
      </c>
      <c r="D1606" s="1" t="s">
        <v>444</v>
      </c>
      <c r="E1606" s="11" t="s">
        <v>144</v>
      </c>
      <c r="F1606" s="3" t="s">
        <v>8</v>
      </c>
      <c r="G1606" s="48" t="s">
        <v>1016</v>
      </c>
      <c r="H1606" s="8" t="s">
        <v>498</v>
      </c>
      <c r="I1606" s="8" t="s">
        <v>502</v>
      </c>
      <c r="J1606" s="6" t="s">
        <v>108</v>
      </c>
      <c r="K1606" s="38">
        <v>2426</v>
      </c>
      <c r="L1606" s="4" t="s">
        <v>25</v>
      </c>
      <c r="M1606" s="11">
        <f>_xlfn.NUMBERVALUE(LEFT(Table613[[#This Row],[Fiscal Year]], 4))</f>
        <v>2017</v>
      </c>
      <c r="N1606" s="42">
        <f t="shared" si="32"/>
        <v>2490.6438433292537</v>
      </c>
      <c r="O1606" s="3">
        <v>1604</v>
      </c>
    </row>
    <row r="1607" spans="1:15" x14ac:dyDescent="0.25">
      <c r="A1607" s="3">
        <v>9</v>
      </c>
      <c r="B1607" s="3" t="s">
        <v>263</v>
      </c>
      <c r="C1607" s="1" t="s">
        <v>262</v>
      </c>
      <c r="D1607" s="1" t="s">
        <v>444</v>
      </c>
      <c r="E1607" s="11" t="s">
        <v>144</v>
      </c>
      <c r="F1607" s="3" t="s">
        <v>8</v>
      </c>
      <c r="G1607" s="66" t="s">
        <v>1017</v>
      </c>
      <c r="H1607" s="8" t="s">
        <v>499</v>
      </c>
      <c r="I1607" s="8" t="s">
        <v>502</v>
      </c>
      <c r="J1607" s="6" t="s">
        <v>42</v>
      </c>
      <c r="K1607" s="38">
        <v>7580</v>
      </c>
      <c r="L1607" s="4" t="s">
        <v>25</v>
      </c>
      <c r="M1607" s="11">
        <f>_xlfn.NUMBERVALUE(LEFT(Table613[[#This Row],[Fiscal Year]], 4))</f>
        <v>2017</v>
      </c>
      <c r="N1607" s="42">
        <f t="shared" si="32"/>
        <v>7781.9787025703799</v>
      </c>
      <c r="O1607" s="3">
        <v>1605</v>
      </c>
    </row>
    <row r="1608" spans="1:15" x14ac:dyDescent="0.25">
      <c r="A1608" s="3">
        <v>9</v>
      </c>
      <c r="B1608" s="3" t="s">
        <v>263</v>
      </c>
      <c r="C1608" s="1" t="s">
        <v>262</v>
      </c>
      <c r="D1608" s="1" t="s">
        <v>444</v>
      </c>
      <c r="E1608" s="11" t="s">
        <v>144</v>
      </c>
      <c r="F1608" s="3" t="s">
        <v>8</v>
      </c>
      <c r="G1608" s="48" t="s">
        <v>1018</v>
      </c>
      <c r="H1608" s="8" t="s">
        <v>499</v>
      </c>
      <c r="I1608" s="8" t="s">
        <v>502</v>
      </c>
      <c r="J1608" s="6" t="s">
        <v>453</v>
      </c>
      <c r="K1608" s="38">
        <v>7580</v>
      </c>
      <c r="L1608" s="4" t="s">
        <v>25</v>
      </c>
      <c r="M1608" s="11">
        <f>_xlfn.NUMBERVALUE(LEFT(Table613[[#This Row],[Fiscal Year]], 4))</f>
        <v>2017</v>
      </c>
      <c r="N1608" s="42">
        <f t="shared" si="32"/>
        <v>7781.9787025703799</v>
      </c>
      <c r="O1608" s="3">
        <v>1606</v>
      </c>
    </row>
    <row r="1609" spans="1:15" x14ac:dyDescent="0.25">
      <c r="A1609" s="3">
        <v>9</v>
      </c>
      <c r="B1609" s="3" t="s">
        <v>263</v>
      </c>
      <c r="C1609" s="1" t="s">
        <v>262</v>
      </c>
      <c r="D1609" s="1" t="s">
        <v>444</v>
      </c>
      <c r="E1609" s="11" t="s">
        <v>144</v>
      </c>
      <c r="F1609" s="3" t="s">
        <v>8</v>
      </c>
      <c r="G1609" s="66" t="s">
        <v>1019</v>
      </c>
      <c r="H1609" s="8" t="s">
        <v>497</v>
      </c>
      <c r="I1609" s="8" t="s">
        <v>502</v>
      </c>
      <c r="J1609" s="6" t="s">
        <v>111</v>
      </c>
      <c r="K1609" s="38">
        <v>10308</v>
      </c>
      <c r="L1609" s="4" t="s">
        <v>25</v>
      </c>
      <c r="M1609" s="11">
        <f>_xlfn.NUMBERVALUE(LEFT(Table613[[#This Row],[Fiscal Year]], 4))</f>
        <v>2017</v>
      </c>
      <c r="N1609" s="42">
        <f t="shared" si="32"/>
        <v>10582.669718482253</v>
      </c>
      <c r="O1609" s="3">
        <v>1607</v>
      </c>
    </row>
    <row r="1610" spans="1:15" x14ac:dyDescent="0.25">
      <c r="A1610" s="3">
        <v>9</v>
      </c>
      <c r="B1610" s="3" t="s">
        <v>263</v>
      </c>
      <c r="C1610" s="1" t="s">
        <v>262</v>
      </c>
      <c r="D1610" s="1" t="s">
        <v>444</v>
      </c>
      <c r="E1610" s="11" t="s">
        <v>144</v>
      </c>
      <c r="F1610" s="3" t="s">
        <v>8</v>
      </c>
      <c r="G1610" s="66" t="s">
        <v>1020</v>
      </c>
      <c r="H1610" s="8" t="s">
        <v>500</v>
      </c>
      <c r="I1610" s="8" t="s">
        <v>502</v>
      </c>
      <c r="J1610" s="6" t="s">
        <v>109</v>
      </c>
      <c r="K1610" s="38">
        <v>12734</v>
      </c>
      <c r="L1610" s="4" t="s">
        <v>25</v>
      </c>
      <c r="M1610" s="11">
        <f>_xlfn.NUMBERVALUE(LEFT(Table613[[#This Row],[Fiscal Year]], 4))</f>
        <v>2017</v>
      </c>
      <c r="N1610" s="42">
        <f t="shared" si="32"/>
        <v>13073.313561811507</v>
      </c>
      <c r="O1610" s="3">
        <v>1608</v>
      </c>
    </row>
    <row r="1611" spans="1:15" x14ac:dyDescent="0.25">
      <c r="A1611" s="3">
        <v>9</v>
      </c>
      <c r="B1611" s="3" t="s">
        <v>263</v>
      </c>
      <c r="C1611" s="1" t="s">
        <v>262</v>
      </c>
      <c r="D1611" s="1" t="s">
        <v>444</v>
      </c>
      <c r="E1611" s="11" t="s">
        <v>144</v>
      </c>
      <c r="F1611" s="3" t="s">
        <v>8</v>
      </c>
      <c r="G1611" s="66" t="s">
        <v>1021</v>
      </c>
      <c r="H1611" s="8" t="s">
        <v>501</v>
      </c>
      <c r="I1611" s="8" t="s">
        <v>502</v>
      </c>
      <c r="J1611" s="6" t="s">
        <v>106</v>
      </c>
      <c r="K1611" s="38">
        <v>12734</v>
      </c>
      <c r="L1611" s="4" t="s">
        <v>25</v>
      </c>
      <c r="M1611" s="11">
        <f>_xlfn.NUMBERVALUE(LEFT(Table613[[#This Row],[Fiscal Year]], 4))</f>
        <v>2017</v>
      </c>
      <c r="N1611" s="42">
        <f t="shared" si="32"/>
        <v>13073.313561811507</v>
      </c>
      <c r="O1611" s="3">
        <v>1609</v>
      </c>
    </row>
    <row r="1612" spans="1:15" x14ac:dyDescent="0.25">
      <c r="A1612" s="3">
        <v>9</v>
      </c>
      <c r="B1612" s="3" t="s">
        <v>263</v>
      </c>
      <c r="C1612" s="1" t="s">
        <v>262</v>
      </c>
      <c r="D1612" s="1" t="s">
        <v>444</v>
      </c>
      <c r="E1612" s="11" t="s">
        <v>144</v>
      </c>
      <c r="F1612" s="3" t="s">
        <v>8</v>
      </c>
      <c r="G1612" s="66" t="s">
        <v>1022</v>
      </c>
      <c r="H1612" s="8"/>
      <c r="I1612" s="8"/>
      <c r="J1612" s="6" t="s">
        <v>455</v>
      </c>
      <c r="K1612" s="38">
        <v>216799</v>
      </c>
      <c r="L1612" s="4" t="s">
        <v>25</v>
      </c>
      <c r="M1612" s="11">
        <f>_xlfn.NUMBERVALUE(LEFT(Table613[[#This Row],[Fiscal Year]], 4))</f>
        <v>2017</v>
      </c>
      <c r="N1612" s="42">
        <f>K1612*(1+VLOOKUP(M1612,$AF$8:$AH$31,3,0))</f>
        <v>222575.884002448</v>
      </c>
      <c r="O1612" s="3">
        <v>1610</v>
      </c>
    </row>
    <row r="1613" spans="1:15" x14ac:dyDescent="0.25">
      <c r="A1613" s="3">
        <v>9</v>
      </c>
      <c r="B1613" s="3" t="s">
        <v>263</v>
      </c>
      <c r="C1613" s="1" t="s">
        <v>262</v>
      </c>
      <c r="D1613" s="1" t="s">
        <v>444</v>
      </c>
      <c r="E1613" s="11" t="s">
        <v>144</v>
      </c>
      <c r="F1613" s="3" t="s">
        <v>8</v>
      </c>
      <c r="G1613" s="48" t="s">
        <v>1023</v>
      </c>
      <c r="H1613" s="8"/>
      <c r="I1613" s="8"/>
      <c r="J1613" s="6" t="s">
        <v>453</v>
      </c>
      <c r="K1613" s="38">
        <v>37947864</v>
      </c>
      <c r="L1613" s="4" t="s">
        <v>25</v>
      </c>
      <c r="M1613" s="11">
        <f>_xlfn.NUMBERVALUE(LEFT(Table613[[#This Row],[Fiscal Year]], 4))</f>
        <v>2017</v>
      </c>
      <c r="N1613" s="42">
        <f>K1613*(1+VLOOKUP(M1613,$AF$8:$AH$31,3,0))</f>
        <v>38959032.909767449</v>
      </c>
      <c r="O1613" s="3">
        <v>1611</v>
      </c>
    </row>
    <row r="1614" spans="1:15" x14ac:dyDescent="0.25">
      <c r="A1614" s="3">
        <v>9</v>
      </c>
      <c r="B1614" s="3" t="s">
        <v>263</v>
      </c>
      <c r="C1614" s="1" t="s">
        <v>262</v>
      </c>
      <c r="D1614" s="1" t="s">
        <v>444</v>
      </c>
      <c r="E1614" s="11" t="s">
        <v>144</v>
      </c>
      <c r="F1614" s="3" t="s">
        <v>8</v>
      </c>
      <c r="G1614" s="66" t="s">
        <v>1024</v>
      </c>
      <c r="H1614" s="8"/>
      <c r="I1614" s="8"/>
      <c r="J1614" s="6" t="s">
        <v>455</v>
      </c>
      <c r="K1614" s="38">
        <v>54000</v>
      </c>
      <c r="L1614" s="4" t="s">
        <v>25</v>
      </c>
      <c r="M1614" s="11">
        <f>_xlfn.NUMBERVALUE(LEFT(Table613[[#This Row],[Fiscal Year]], 4))</f>
        <v>2017</v>
      </c>
      <c r="N1614" s="42">
        <f>K1614*(1+VLOOKUP(M1614,$AF$8:$AH$31,3,0))</f>
        <v>55438.898408812733</v>
      </c>
      <c r="O1614" s="3">
        <v>1612</v>
      </c>
    </row>
    <row r="1615" spans="1:15" x14ac:dyDescent="0.25">
      <c r="A1615" s="3">
        <v>9</v>
      </c>
      <c r="B1615" s="3" t="s">
        <v>263</v>
      </c>
      <c r="C1615" s="1" t="s">
        <v>262</v>
      </c>
      <c r="D1615" s="1" t="s">
        <v>444</v>
      </c>
      <c r="E1615" s="11" t="s">
        <v>144</v>
      </c>
      <c r="F1615" s="3" t="s">
        <v>8</v>
      </c>
      <c r="G1615" s="66" t="s">
        <v>1025</v>
      </c>
      <c r="H1615" s="8" t="s">
        <v>500</v>
      </c>
      <c r="I1615" s="8" t="s">
        <v>502</v>
      </c>
      <c r="J1615" s="6" t="s">
        <v>107</v>
      </c>
      <c r="K1615" s="38">
        <v>12734</v>
      </c>
      <c r="L1615" s="4" t="s">
        <v>25</v>
      </c>
      <c r="M1615" s="11">
        <f>_xlfn.NUMBERVALUE(LEFT(Table613[[#This Row],[Fiscal Year]], 4))</f>
        <v>2017</v>
      </c>
      <c r="N1615" s="42">
        <f>K1615*(1+VLOOKUP(M1615,$AF$8:$AH$31,3,0))</f>
        <v>13073.313561811507</v>
      </c>
      <c r="O1615" s="3">
        <v>1613</v>
      </c>
    </row>
    <row r="1616" spans="1:15" x14ac:dyDescent="0.25">
      <c r="C1616" s="1"/>
      <c r="D1616" s="1"/>
      <c r="E1616" s="11"/>
      <c r="G1616" s="66"/>
      <c r="H1616" s="8"/>
      <c r="I1616" s="8"/>
      <c r="J1616" s="6"/>
      <c r="L1616" s="4"/>
      <c r="O1616" s="3">
        <v>1614</v>
      </c>
    </row>
    <row r="1617" spans="1:15" x14ac:dyDescent="0.25">
      <c r="A1617" s="3">
        <v>8</v>
      </c>
      <c r="B1617" s="3" t="s">
        <v>265</v>
      </c>
      <c r="C1617" s="1" t="s">
        <v>262</v>
      </c>
      <c r="D1617" s="1" t="s">
        <v>444</v>
      </c>
      <c r="E1617" s="11" t="s">
        <v>144</v>
      </c>
      <c r="F1617" s="3" t="s">
        <v>8</v>
      </c>
      <c r="G1617" s="48" t="s">
        <v>976</v>
      </c>
      <c r="H1617" s="8" t="s">
        <v>503</v>
      </c>
      <c r="I1617" s="8" t="s">
        <v>640</v>
      </c>
      <c r="J1617" s="6" t="s">
        <v>110</v>
      </c>
      <c r="K1617" s="38">
        <v>0</v>
      </c>
      <c r="L1617" s="4" t="s">
        <v>264</v>
      </c>
      <c r="M1617" s="11">
        <f>_xlfn.NUMBERVALUE(LEFT(Table613[[#This Row],[Fiscal Year]], 4))</f>
        <v>2001</v>
      </c>
      <c r="N1617" s="43">
        <f t="shared" ref="N1617:N1680" si="33">K1617*(1+VLOOKUP(M1617,$AF$8:$AH$31,3,0))</f>
        <v>0</v>
      </c>
      <c r="O1617" s="3">
        <v>1615</v>
      </c>
    </row>
    <row r="1618" spans="1:15" x14ac:dyDescent="0.25">
      <c r="A1618" s="3">
        <v>8</v>
      </c>
      <c r="B1618" s="3" t="s">
        <v>265</v>
      </c>
      <c r="C1618" s="1" t="s">
        <v>262</v>
      </c>
      <c r="D1618" s="1" t="s">
        <v>444</v>
      </c>
      <c r="E1618" s="11" t="s">
        <v>144</v>
      </c>
      <c r="F1618" s="3" t="s">
        <v>8</v>
      </c>
      <c r="G1618" s="66" t="s">
        <v>977</v>
      </c>
      <c r="H1618" s="8" t="s">
        <v>504</v>
      </c>
      <c r="I1618" s="8"/>
      <c r="J1618" s="6" t="s">
        <v>108</v>
      </c>
      <c r="K1618" s="38">
        <v>0</v>
      </c>
      <c r="L1618" s="4" t="s">
        <v>264</v>
      </c>
      <c r="M1618" s="11">
        <f>_xlfn.NUMBERVALUE(LEFT(Table613[[#This Row],[Fiscal Year]], 4))</f>
        <v>2001</v>
      </c>
      <c r="N1618" s="43">
        <f t="shared" si="33"/>
        <v>0</v>
      </c>
      <c r="O1618" s="3">
        <v>1616</v>
      </c>
    </row>
    <row r="1619" spans="1:15" x14ac:dyDescent="0.25">
      <c r="A1619" s="3">
        <v>8</v>
      </c>
      <c r="B1619" s="3" t="s">
        <v>265</v>
      </c>
      <c r="C1619" s="1" t="s">
        <v>262</v>
      </c>
      <c r="D1619" s="1" t="s">
        <v>444</v>
      </c>
      <c r="E1619" s="11" t="s">
        <v>144</v>
      </c>
      <c r="F1619" s="3" t="s">
        <v>8</v>
      </c>
      <c r="G1619" s="66" t="s">
        <v>978</v>
      </c>
      <c r="H1619" s="8" t="s">
        <v>602</v>
      </c>
      <c r="I1619" s="8"/>
      <c r="J1619" s="6" t="s">
        <v>108</v>
      </c>
      <c r="K1619" s="38">
        <v>0</v>
      </c>
      <c r="L1619" s="4" t="s">
        <v>264</v>
      </c>
      <c r="M1619" s="11">
        <f>_xlfn.NUMBERVALUE(LEFT(Table613[[#This Row],[Fiscal Year]], 4))</f>
        <v>2001</v>
      </c>
      <c r="N1619" s="43">
        <f t="shared" si="33"/>
        <v>0</v>
      </c>
      <c r="O1619" s="3">
        <v>1617</v>
      </c>
    </row>
    <row r="1620" spans="1:15" x14ac:dyDescent="0.25">
      <c r="A1620" s="3">
        <v>8</v>
      </c>
      <c r="B1620" s="3" t="s">
        <v>265</v>
      </c>
      <c r="C1620" s="1" t="s">
        <v>262</v>
      </c>
      <c r="D1620" s="1" t="s">
        <v>444</v>
      </c>
      <c r="E1620" s="11" t="s">
        <v>144</v>
      </c>
      <c r="F1620" s="3" t="s">
        <v>8</v>
      </c>
      <c r="G1620" s="66" t="s">
        <v>979</v>
      </c>
      <c r="H1620" s="8" t="s">
        <v>504</v>
      </c>
      <c r="I1620" s="8"/>
      <c r="J1620" s="6" t="s">
        <v>108</v>
      </c>
      <c r="K1620" s="38">
        <v>0</v>
      </c>
      <c r="L1620" s="4" t="s">
        <v>264</v>
      </c>
      <c r="M1620" s="11">
        <f>_xlfn.NUMBERVALUE(LEFT(Table613[[#This Row],[Fiscal Year]], 4))</f>
        <v>2001</v>
      </c>
      <c r="N1620" s="43">
        <f t="shared" si="33"/>
        <v>0</v>
      </c>
      <c r="O1620" s="3">
        <v>1618</v>
      </c>
    </row>
    <row r="1621" spans="1:15" x14ac:dyDescent="0.25">
      <c r="A1621" s="3">
        <v>8</v>
      </c>
      <c r="B1621" s="3" t="s">
        <v>265</v>
      </c>
      <c r="C1621" s="1" t="s">
        <v>262</v>
      </c>
      <c r="D1621" s="1" t="s">
        <v>444</v>
      </c>
      <c r="E1621" s="11" t="s">
        <v>144</v>
      </c>
      <c r="F1621" s="3" t="s">
        <v>8</v>
      </c>
      <c r="G1621" s="66" t="s">
        <v>980</v>
      </c>
      <c r="H1621" s="8" t="s">
        <v>504</v>
      </c>
      <c r="I1621" s="8"/>
      <c r="J1621" s="6" t="s">
        <v>108</v>
      </c>
      <c r="K1621" s="38">
        <v>0</v>
      </c>
      <c r="L1621" s="4" t="s">
        <v>264</v>
      </c>
      <c r="M1621" s="11">
        <f>_xlfn.NUMBERVALUE(LEFT(Table613[[#This Row],[Fiscal Year]], 4))</f>
        <v>2001</v>
      </c>
      <c r="N1621" s="43">
        <f t="shared" si="33"/>
        <v>0</v>
      </c>
      <c r="O1621" s="3">
        <v>1619</v>
      </c>
    </row>
    <row r="1622" spans="1:15" x14ac:dyDescent="0.25">
      <c r="A1622" s="3">
        <v>8</v>
      </c>
      <c r="B1622" s="3" t="s">
        <v>265</v>
      </c>
      <c r="C1622" s="1" t="s">
        <v>262</v>
      </c>
      <c r="D1622" s="1" t="s">
        <v>444</v>
      </c>
      <c r="E1622" s="11" t="s">
        <v>144</v>
      </c>
      <c r="F1622" s="3" t="s">
        <v>8</v>
      </c>
      <c r="G1622" s="48" t="s">
        <v>981</v>
      </c>
      <c r="H1622" s="8" t="s">
        <v>504</v>
      </c>
      <c r="I1622" s="8"/>
      <c r="J1622" s="6" t="s">
        <v>108</v>
      </c>
      <c r="K1622" s="38">
        <v>0</v>
      </c>
      <c r="L1622" s="4" t="s">
        <v>264</v>
      </c>
      <c r="M1622" s="11">
        <f>_xlfn.NUMBERVALUE(LEFT(Table613[[#This Row],[Fiscal Year]], 4))</f>
        <v>2001</v>
      </c>
      <c r="N1622" s="43">
        <f t="shared" si="33"/>
        <v>0</v>
      </c>
      <c r="O1622" s="3">
        <v>1620</v>
      </c>
    </row>
    <row r="1623" spans="1:15" x14ac:dyDescent="0.25">
      <c r="A1623" s="3">
        <v>8</v>
      </c>
      <c r="B1623" s="3" t="s">
        <v>265</v>
      </c>
      <c r="C1623" s="1" t="s">
        <v>262</v>
      </c>
      <c r="D1623" s="1" t="s">
        <v>444</v>
      </c>
      <c r="E1623" s="11" t="s">
        <v>144</v>
      </c>
      <c r="F1623" s="3" t="s">
        <v>8</v>
      </c>
      <c r="G1623" s="66" t="s">
        <v>982</v>
      </c>
      <c r="H1623" s="8" t="s">
        <v>593</v>
      </c>
      <c r="I1623" s="8"/>
      <c r="J1623" s="6" t="s">
        <v>108</v>
      </c>
      <c r="K1623" s="38">
        <v>0</v>
      </c>
      <c r="L1623" s="4" t="s">
        <v>264</v>
      </c>
      <c r="M1623" s="11">
        <f>_xlfn.NUMBERVALUE(LEFT(Table613[[#This Row],[Fiscal Year]], 4))</f>
        <v>2001</v>
      </c>
      <c r="N1623" s="43">
        <f t="shared" si="33"/>
        <v>0</v>
      </c>
      <c r="O1623" s="3">
        <v>1621</v>
      </c>
    </row>
    <row r="1624" spans="1:15" x14ac:dyDescent="0.25">
      <c r="A1624" s="3">
        <v>8</v>
      </c>
      <c r="B1624" s="3" t="s">
        <v>265</v>
      </c>
      <c r="C1624" s="1" t="s">
        <v>262</v>
      </c>
      <c r="D1624" s="1" t="s">
        <v>444</v>
      </c>
      <c r="E1624" s="11" t="s">
        <v>144</v>
      </c>
      <c r="F1624" s="3" t="s">
        <v>8</v>
      </c>
      <c r="G1624" s="66" t="s">
        <v>983</v>
      </c>
      <c r="H1624" s="8" t="s">
        <v>504</v>
      </c>
      <c r="I1624" s="8"/>
      <c r="J1624" s="6" t="s">
        <v>108</v>
      </c>
      <c r="K1624" s="38">
        <v>0</v>
      </c>
      <c r="L1624" s="4" t="s">
        <v>264</v>
      </c>
      <c r="M1624" s="11">
        <f>_xlfn.NUMBERVALUE(LEFT(Table613[[#This Row],[Fiscal Year]], 4))</f>
        <v>2001</v>
      </c>
      <c r="N1624" s="43">
        <f t="shared" si="33"/>
        <v>0</v>
      </c>
      <c r="O1624" s="3">
        <v>1622</v>
      </c>
    </row>
    <row r="1625" spans="1:15" x14ac:dyDescent="0.25">
      <c r="A1625" s="3">
        <v>8</v>
      </c>
      <c r="B1625" s="3" t="s">
        <v>265</v>
      </c>
      <c r="C1625" s="1" t="s">
        <v>262</v>
      </c>
      <c r="D1625" s="1" t="s">
        <v>444</v>
      </c>
      <c r="E1625" s="11" t="s">
        <v>144</v>
      </c>
      <c r="F1625" s="3" t="s">
        <v>8</v>
      </c>
      <c r="G1625" s="66" t="s">
        <v>984</v>
      </c>
      <c r="H1625" s="8" t="s">
        <v>504</v>
      </c>
      <c r="I1625" s="8"/>
      <c r="J1625" s="6" t="s">
        <v>108</v>
      </c>
      <c r="K1625" s="38">
        <v>0</v>
      </c>
      <c r="L1625" s="4" t="s">
        <v>264</v>
      </c>
      <c r="M1625" s="11">
        <f>_xlfn.NUMBERVALUE(LEFT(Table613[[#This Row],[Fiscal Year]], 4))</f>
        <v>2001</v>
      </c>
      <c r="N1625" s="43">
        <f t="shared" si="33"/>
        <v>0</v>
      </c>
      <c r="O1625" s="3">
        <v>1623</v>
      </c>
    </row>
    <row r="1626" spans="1:15" x14ac:dyDescent="0.25">
      <c r="A1626" s="3">
        <v>8</v>
      </c>
      <c r="B1626" s="3" t="s">
        <v>265</v>
      </c>
      <c r="C1626" s="1" t="s">
        <v>262</v>
      </c>
      <c r="D1626" s="1" t="s">
        <v>444</v>
      </c>
      <c r="E1626" s="11" t="s">
        <v>144</v>
      </c>
      <c r="F1626" s="3" t="s">
        <v>8</v>
      </c>
      <c r="G1626" s="66" t="s">
        <v>985</v>
      </c>
      <c r="H1626" s="8" t="s">
        <v>505</v>
      </c>
      <c r="I1626" s="8"/>
      <c r="J1626" s="6" t="s">
        <v>42</v>
      </c>
      <c r="K1626" s="38">
        <v>0</v>
      </c>
      <c r="L1626" s="4" t="s">
        <v>264</v>
      </c>
      <c r="M1626" s="11">
        <f>_xlfn.NUMBERVALUE(LEFT(Table613[[#This Row],[Fiscal Year]], 4))</f>
        <v>2001</v>
      </c>
      <c r="N1626" s="43">
        <f t="shared" si="33"/>
        <v>0</v>
      </c>
      <c r="O1626" s="3">
        <v>1624</v>
      </c>
    </row>
    <row r="1627" spans="1:15" x14ac:dyDescent="0.25">
      <c r="A1627" s="3">
        <v>8</v>
      </c>
      <c r="B1627" s="3" t="s">
        <v>265</v>
      </c>
      <c r="C1627" s="1" t="s">
        <v>262</v>
      </c>
      <c r="D1627" s="1" t="s">
        <v>444</v>
      </c>
      <c r="E1627" s="11" t="s">
        <v>144</v>
      </c>
      <c r="F1627" s="3" t="s">
        <v>8</v>
      </c>
      <c r="G1627" s="66" t="s">
        <v>986</v>
      </c>
      <c r="H1627" s="8" t="s">
        <v>599</v>
      </c>
      <c r="I1627" s="8"/>
      <c r="J1627" s="6" t="s">
        <v>42</v>
      </c>
      <c r="K1627" s="38">
        <v>0</v>
      </c>
      <c r="L1627" s="4" t="s">
        <v>264</v>
      </c>
      <c r="M1627" s="11">
        <f>_xlfn.NUMBERVALUE(LEFT(Table613[[#This Row],[Fiscal Year]], 4))</f>
        <v>2001</v>
      </c>
      <c r="N1627" s="43">
        <f t="shared" si="33"/>
        <v>0</v>
      </c>
      <c r="O1627" s="3">
        <v>1625</v>
      </c>
    </row>
    <row r="1628" spans="1:15" x14ac:dyDescent="0.25">
      <c r="A1628" s="3">
        <v>8</v>
      </c>
      <c r="B1628" s="3" t="s">
        <v>265</v>
      </c>
      <c r="C1628" s="1" t="s">
        <v>262</v>
      </c>
      <c r="D1628" s="1" t="s">
        <v>444</v>
      </c>
      <c r="E1628" s="11" t="s">
        <v>144</v>
      </c>
      <c r="F1628" s="3" t="s">
        <v>8</v>
      </c>
      <c r="G1628" s="66" t="s">
        <v>987</v>
      </c>
      <c r="H1628" s="8"/>
      <c r="I1628" s="8"/>
      <c r="J1628" s="6" t="s">
        <v>111</v>
      </c>
      <c r="K1628" s="38">
        <v>0</v>
      </c>
      <c r="L1628" s="4" t="s">
        <v>264</v>
      </c>
      <c r="M1628" s="11">
        <f>_xlfn.NUMBERVALUE(LEFT(Table613[[#This Row],[Fiscal Year]], 4))</f>
        <v>2001</v>
      </c>
      <c r="N1628" s="43">
        <f t="shared" si="33"/>
        <v>0</v>
      </c>
      <c r="O1628" s="3">
        <v>1626</v>
      </c>
    </row>
    <row r="1629" spans="1:15" x14ac:dyDescent="0.25">
      <c r="A1629" s="3">
        <v>8</v>
      </c>
      <c r="B1629" s="3" t="s">
        <v>265</v>
      </c>
      <c r="C1629" s="1" t="s">
        <v>262</v>
      </c>
      <c r="D1629" s="1" t="s">
        <v>444</v>
      </c>
      <c r="E1629" s="11" t="s">
        <v>144</v>
      </c>
      <c r="F1629" s="3" t="s">
        <v>8</v>
      </c>
      <c r="G1629" s="66" t="s">
        <v>988</v>
      </c>
      <c r="H1629" s="8"/>
      <c r="I1629" s="8"/>
      <c r="J1629" s="6" t="s">
        <v>107</v>
      </c>
      <c r="K1629" s="38">
        <v>12347</v>
      </c>
      <c r="L1629" s="4" t="s">
        <v>264</v>
      </c>
      <c r="M1629" s="11">
        <f>_xlfn.NUMBERVALUE(LEFT(Table613[[#This Row],[Fiscal Year]], 4))</f>
        <v>2001</v>
      </c>
      <c r="N1629" s="42">
        <f>K1629*(1+VLOOKUP(M1629,$AF$8:$AH$31,3,0))</f>
        <v>17543.127933370975</v>
      </c>
      <c r="O1629" s="3">
        <v>1627</v>
      </c>
    </row>
    <row r="1630" spans="1:15" x14ac:dyDescent="0.25">
      <c r="A1630" s="3">
        <v>8</v>
      </c>
      <c r="B1630" s="3" t="s">
        <v>265</v>
      </c>
      <c r="C1630" s="1" t="s">
        <v>262</v>
      </c>
      <c r="D1630" s="1" t="s">
        <v>444</v>
      </c>
      <c r="E1630" s="11" t="s">
        <v>144</v>
      </c>
      <c r="F1630" s="3" t="s">
        <v>8</v>
      </c>
      <c r="G1630" s="66" t="s">
        <v>989</v>
      </c>
      <c r="H1630" s="8" t="s">
        <v>597</v>
      </c>
      <c r="I1630" s="8" t="s">
        <v>594</v>
      </c>
      <c r="J1630" s="6" t="s">
        <v>108</v>
      </c>
      <c r="K1630" s="38">
        <v>0</v>
      </c>
      <c r="L1630" s="4" t="s">
        <v>264</v>
      </c>
      <c r="M1630" s="11">
        <f>_xlfn.NUMBERVALUE(LEFT(Table613[[#This Row],[Fiscal Year]], 4))</f>
        <v>2001</v>
      </c>
      <c r="N1630" s="43">
        <f t="shared" si="33"/>
        <v>0</v>
      </c>
      <c r="O1630" s="3">
        <v>1628</v>
      </c>
    </row>
    <row r="1631" spans="1:15" x14ac:dyDescent="0.25">
      <c r="A1631" s="3">
        <v>8</v>
      </c>
      <c r="B1631" s="3" t="s">
        <v>265</v>
      </c>
      <c r="C1631" s="1" t="s">
        <v>262</v>
      </c>
      <c r="D1631" s="1" t="s">
        <v>444</v>
      </c>
      <c r="E1631" s="11" t="s">
        <v>144</v>
      </c>
      <c r="F1631" s="3" t="s">
        <v>8</v>
      </c>
      <c r="G1631" s="66" t="s">
        <v>990</v>
      </c>
      <c r="H1631" s="8" t="s">
        <v>506</v>
      </c>
      <c r="I1631" s="8"/>
      <c r="J1631" s="6" t="s">
        <v>106</v>
      </c>
      <c r="K1631" s="38">
        <v>0</v>
      </c>
      <c r="L1631" s="4" t="s">
        <v>264</v>
      </c>
      <c r="M1631" s="11">
        <f>_xlfn.NUMBERVALUE(LEFT(Table613[[#This Row],[Fiscal Year]], 4))</f>
        <v>2001</v>
      </c>
      <c r="N1631" s="43">
        <f t="shared" si="33"/>
        <v>0</v>
      </c>
      <c r="O1631" s="3">
        <v>1629</v>
      </c>
    </row>
    <row r="1632" spans="1:15" x14ac:dyDescent="0.25">
      <c r="A1632" s="3">
        <v>8</v>
      </c>
      <c r="B1632" s="3" t="s">
        <v>265</v>
      </c>
      <c r="C1632" s="1" t="s">
        <v>262</v>
      </c>
      <c r="D1632" s="1" t="s">
        <v>444</v>
      </c>
      <c r="E1632" s="11" t="s">
        <v>144</v>
      </c>
      <c r="F1632" s="3" t="s">
        <v>8</v>
      </c>
      <c r="G1632" s="66" t="s">
        <v>1004</v>
      </c>
      <c r="H1632" s="8"/>
      <c r="I1632" s="8"/>
      <c r="J1632" s="6" t="s">
        <v>76</v>
      </c>
      <c r="K1632" s="38">
        <v>123477</v>
      </c>
      <c r="L1632" s="4" t="s">
        <v>264</v>
      </c>
      <c r="M1632" s="11">
        <f>_xlfn.NUMBERVALUE(LEFT(Table613[[#This Row],[Fiscal Year]], 4))</f>
        <v>2001</v>
      </c>
      <c r="N1632" s="42">
        <f t="shared" si="33"/>
        <v>175441.22522303782</v>
      </c>
      <c r="O1632" s="3">
        <v>1630</v>
      </c>
    </row>
    <row r="1633" spans="1:15" x14ac:dyDescent="0.25">
      <c r="A1633" s="3">
        <v>8</v>
      </c>
      <c r="B1633" s="3" t="s">
        <v>265</v>
      </c>
      <c r="C1633" s="1" t="s">
        <v>262</v>
      </c>
      <c r="D1633" s="1" t="s">
        <v>444</v>
      </c>
      <c r="E1633" s="11" t="s">
        <v>144</v>
      </c>
      <c r="F1633" s="3" t="s">
        <v>8</v>
      </c>
      <c r="G1633" s="48" t="s">
        <v>991</v>
      </c>
      <c r="H1633" s="8" t="s">
        <v>503</v>
      </c>
      <c r="I1633" s="8"/>
      <c r="J1633" s="6" t="s">
        <v>110</v>
      </c>
      <c r="K1633" s="38">
        <v>450000</v>
      </c>
      <c r="L1633" s="4" t="s">
        <v>264</v>
      </c>
      <c r="M1633" s="11">
        <f>_xlfn.NUMBERVALUE(LEFT(Table613[[#This Row],[Fiscal Year]], 4))</f>
        <v>2001</v>
      </c>
      <c r="N1633" s="42">
        <f t="shared" si="33"/>
        <v>639378.59966120834</v>
      </c>
      <c r="O1633" s="3">
        <v>1631</v>
      </c>
    </row>
    <row r="1634" spans="1:15" x14ac:dyDescent="0.25">
      <c r="A1634" s="3">
        <v>8</v>
      </c>
      <c r="B1634" s="3" t="s">
        <v>265</v>
      </c>
      <c r="C1634" s="1" t="s">
        <v>262</v>
      </c>
      <c r="D1634" s="1" t="s">
        <v>444</v>
      </c>
      <c r="E1634" s="11" t="s">
        <v>144</v>
      </c>
      <c r="F1634" s="3" t="s">
        <v>8</v>
      </c>
      <c r="G1634" s="66" t="s">
        <v>992</v>
      </c>
      <c r="H1634" s="8" t="s">
        <v>504</v>
      </c>
      <c r="I1634" s="8"/>
      <c r="J1634" s="6" t="s">
        <v>108</v>
      </c>
      <c r="K1634" s="38">
        <v>0</v>
      </c>
      <c r="L1634" s="4" t="s">
        <v>264</v>
      </c>
      <c r="M1634" s="11">
        <f>_xlfn.NUMBERVALUE(LEFT(Table613[[#This Row],[Fiscal Year]], 4))</f>
        <v>2001</v>
      </c>
      <c r="N1634" s="43">
        <f t="shared" si="33"/>
        <v>0</v>
      </c>
      <c r="O1634" s="3">
        <v>1632</v>
      </c>
    </row>
    <row r="1635" spans="1:15" x14ac:dyDescent="0.25">
      <c r="A1635" s="3">
        <v>8</v>
      </c>
      <c r="B1635" s="3" t="s">
        <v>265</v>
      </c>
      <c r="C1635" s="1" t="s">
        <v>262</v>
      </c>
      <c r="D1635" s="1" t="s">
        <v>444</v>
      </c>
      <c r="E1635" s="11" t="s">
        <v>144</v>
      </c>
      <c r="F1635" s="3" t="s">
        <v>8</v>
      </c>
      <c r="G1635" s="66" t="s">
        <v>993</v>
      </c>
      <c r="H1635" s="8" t="s">
        <v>602</v>
      </c>
      <c r="I1635" s="8"/>
      <c r="J1635" s="6" t="s">
        <v>108</v>
      </c>
      <c r="K1635" s="38">
        <v>0</v>
      </c>
      <c r="L1635" s="4" t="s">
        <v>264</v>
      </c>
      <c r="M1635" s="11">
        <f>_xlfn.NUMBERVALUE(LEFT(Table613[[#This Row],[Fiscal Year]], 4))</f>
        <v>2001</v>
      </c>
      <c r="N1635" s="43">
        <f t="shared" si="33"/>
        <v>0</v>
      </c>
      <c r="O1635" s="3">
        <v>1633</v>
      </c>
    </row>
    <row r="1636" spans="1:15" x14ac:dyDescent="0.25">
      <c r="A1636" s="3">
        <v>8</v>
      </c>
      <c r="B1636" s="3" t="s">
        <v>265</v>
      </c>
      <c r="C1636" s="1" t="s">
        <v>262</v>
      </c>
      <c r="D1636" s="1" t="s">
        <v>444</v>
      </c>
      <c r="E1636" s="11" t="s">
        <v>144</v>
      </c>
      <c r="F1636" s="3" t="s">
        <v>8</v>
      </c>
      <c r="G1636" s="66" t="s">
        <v>994</v>
      </c>
      <c r="H1636" s="8" t="s">
        <v>504</v>
      </c>
      <c r="I1636" s="8"/>
      <c r="J1636" s="6" t="s">
        <v>108</v>
      </c>
      <c r="K1636" s="38">
        <v>200000</v>
      </c>
      <c r="L1636" s="4" t="s">
        <v>264</v>
      </c>
      <c r="M1636" s="11">
        <f>_xlfn.NUMBERVALUE(LEFT(Table613[[#This Row],[Fiscal Year]], 4))</f>
        <v>2001</v>
      </c>
      <c r="N1636" s="42">
        <f>K1636*(1+VLOOKUP(M1636,$AF$8:$AH$31,3,0))</f>
        <v>284168.26651609258</v>
      </c>
      <c r="O1636" s="3">
        <v>1634</v>
      </c>
    </row>
    <row r="1637" spans="1:15" x14ac:dyDescent="0.25">
      <c r="A1637" s="3">
        <v>8</v>
      </c>
      <c r="B1637" s="3" t="s">
        <v>265</v>
      </c>
      <c r="C1637" s="1" t="s">
        <v>262</v>
      </c>
      <c r="D1637" s="1" t="s">
        <v>444</v>
      </c>
      <c r="E1637" s="11" t="s">
        <v>144</v>
      </c>
      <c r="F1637" s="3" t="s">
        <v>8</v>
      </c>
      <c r="G1637" s="66" t="s">
        <v>995</v>
      </c>
      <c r="H1637" s="8" t="s">
        <v>504</v>
      </c>
      <c r="I1637" s="8"/>
      <c r="J1637" s="6" t="s">
        <v>108</v>
      </c>
      <c r="K1637" s="38">
        <v>0</v>
      </c>
      <c r="L1637" s="4" t="s">
        <v>264</v>
      </c>
      <c r="M1637" s="11">
        <f>_xlfn.NUMBERVALUE(LEFT(Table613[[#This Row],[Fiscal Year]], 4))</f>
        <v>2001</v>
      </c>
      <c r="N1637" s="43">
        <f t="shared" si="33"/>
        <v>0</v>
      </c>
      <c r="O1637" s="3">
        <v>1635</v>
      </c>
    </row>
    <row r="1638" spans="1:15" x14ac:dyDescent="0.25">
      <c r="A1638" s="3">
        <v>8</v>
      </c>
      <c r="B1638" s="3" t="s">
        <v>265</v>
      </c>
      <c r="C1638" s="1" t="s">
        <v>262</v>
      </c>
      <c r="D1638" s="1" t="s">
        <v>444</v>
      </c>
      <c r="E1638" s="11" t="s">
        <v>144</v>
      </c>
      <c r="F1638" s="3" t="s">
        <v>8</v>
      </c>
      <c r="G1638" s="48" t="s">
        <v>996</v>
      </c>
      <c r="H1638" s="8" t="s">
        <v>504</v>
      </c>
      <c r="I1638" s="8"/>
      <c r="J1638" s="6" t="s">
        <v>108</v>
      </c>
      <c r="K1638" s="38">
        <v>713953</v>
      </c>
      <c r="L1638" s="4" t="s">
        <v>264</v>
      </c>
      <c r="M1638" s="11">
        <f>_xlfn.NUMBERVALUE(LEFT(Table613[[#This Row],[Fiscal Year]], 4))</f>
        <v>2001</v>
      </c>
      <c r="N1638" s="42">
        <f t="shared" si="33"/>
        <v>1014413.9319198193</v>
      </c>
      <c r="O1638" s="3">
        <v>1636</v>
      </c>
    </row>
    <row r="1639" spans="1:15" x14ac:dyDescent="0.25">
      <c r="A1639" s="3">
        <v>8</v>
      </c>
      <c r="B1639" s="3" t="s">
        <v>265</v>
      </c>
      <c r="C1639" s="1" t="s">
        <v>262</v>
      </c>
      <c r="D1639" s="1" t="s">
        <v>444</v>
      </c>
      <c r="E1639" s="11" t="s">
        <v>144</v>
      </c>
      <c r="F1639" s="3" t="s">
        <v>8</v>
      </c>
      <c r="G1639" s="66" t="s">
        <v>997</v>
      </c>
      <c r="H1639" s="8" t="s">
        <v>593</v>
      </c>
      <c r="I1639" s="8"/>
      <c r="J1639" s="6" t="s">
        <v>108</v>
      </c>
      <c r="K1639" s="38">
        <v>20000</v>
      </c>
      <c r="L1639" s="4" t="s">
        <v>264</v>
      </c>
      <c r="M1639" s="11">
        <f>_xlfn.NUMBERVALUE(LEFT(Table613[[#This Row],[Fiscal Year]], 4))</f>
        <v>2001</v>
      </c>
      <c r="N1639" s="42">
        <f t="shared" si="33"/>
        <v>28416.826651609259</v>
      </c>
      <c r="O1639" s="3">
        <v>1637</v>
      </c>
    </row>
    <row r="1640" spans="1:15" x14ac:dyDescent="0.25">
      <c r="A1640" s="3">
        <v>8</v>
      </c>
      <c r="B1640" s="3" t="s">
        <v>265</v>
      </c>
      <c r="C1640" s="1" t="s">
        <v>262</v>
      </c>
      <c r="D1640" s="1" t="s">
        <v>444</v>
      </c>
      <c r="E1640" s="11" t="s">
        <v>144</v>
      </c>
      <c r="F1640" s="3" t="s">
        <v>8</v>
      </c>
      <c r="G1640" s="66" t="s">
        <v>998</v>
      </c>
      <c r="H1640" s="8" t="s">
        <v>504</v>
      </c>
      <c r="I1640" s="8"/>
      <c r="J1640" s="6" t="s">
        <v>108</v>
      </c>
      <c r="K1640" s="38">
        <v>230000</v>
      </c>
      <c r="L1640" s="4" t="s">
        <v>264</v>
      </c>
      <c r="M1640" s="11">
        <f>_xlfn.NUMBERVALUE(LEFT(Table613[[#This Row],[Fiscal Year]], 4))</f>
        <v>2001</v>
      </c>
      <c r="N1640" s="42">
        <f t="shared" si="33"/>
        <v>326793.50649350649</v>
      </c>
      <c r="O1640" s="3">
        <v>1638</v>
      </c>
    </row>
    <row r="1641" spans="1:15" x14ac:dyDescent="0.25">
      <c r="A1641" s="3">
        <v>8</v>
      </c>
      <c r="B1641" s="3" t="s">
        <v>265</v>
      </c>
      <c r="C1641" s="1" t="s">
        <v>262</v>
      </c>
      <c r="D1641" s="1" t="s">
        <v>444</v>
      </c>
      <c r="E1641" s="11" t="s">
        <v>144</v>
      </c>
      <c r="F1641" s="3" t="s">
        <v>8</v>
      </c>
      <c r="G1641" s="66" t="s">
        <v>999</v>
      </c>
      <c r="H1641" s="8" t="s">
        <v>504</v>
      </c>
      <c r="I1641" s="8"/>
      <c r="J1641" s="6" t="s">
        <v>108</v>
      </c>
      <c r="K1641" s="38">
        <v>0</v>
      </c>
      <c r="L1641" s="4" t="s">
        <v>264</v>
      </c>
      <c r="M1641" s="11">
        <f>_xlfn.NUMBERVALUE(LEFT(Table613[[#This Row],[Fiscal Year]], 4))</f>
        <v>2001</v>
      </c>
      <c r="N1641" s="43">
        <f t="shared" si="33"/>
        <v>0</v>
      </c>
      <c r="O1641" s="3">
        <v>1639</v>
      </c>
    </row>
    <row r="1642" spans="1:15" x14ac:dyDescent="0.25">
      <c r="A1642" s="3">
        <v>8</v>
      </c>
      <c r="B1642" s="3" t="s">
        <v>265</v>
      </c>
      <c r="C1642" s="1" t="s">
        <v>262</v>
      </c>
      <c r="D1642" s="1" t="s">
        <v>444</v>
      </c>
      <c r="E1642" s="11" t="s">
        <v>144</v>
      </c>
      <c r="F1642" s="3" t="s">
        <v>8</v>
      </c>
      <c r="G1642" s="66" t="s">
        <v>1000</v>
      </c>
      <c r="H1642" s="8" t="s">
        <v>505</v>
      </c>
      <c r="I1642" s="8"/>
      <c r="J1642" s="6" t="s">
        <v>42</v>
      </c>
      <c r="K1642" s="38">
        <v>10000</v>
      </c>
      <c r="L1642" s="4" t="s">
        <v>264</v>
      </c>
      <c r="M1642" s="11">
        <f>_xlfn.NUMBERVALUE(LEFT(Table613[[#This Row],[Fiscal Year]], 4))</f>
        <v>2001</v>
      </c>
      <c r="N1642" s="42">
        <f>K1642*(1+VLOOKUP(M1642,$AF$8:$AH$31,3,0))</f>
        <v>14208.413325804629</v>
      </c>
      <c r="O1642" s="3">
        <v>1640</v>
      </c>
    </row>
    <row r="1643" spans="1:15" x14ac:dyDescent="0.25">
      <c r="A1643" s="3">
        <v>8</v>
      </c>
      <c r="B1643" s="3" t="s">
        <v>265</v>
      </c>
      <c r="C1643" s="1" t="s">
        <v>262</v>
      </c>
      <c r="D1643" s="1" t="s">
        <v>444</v>
      </c>
      <c r="E1643" s="11" t="s">
        <v>144</v>
      </c>
      <c r="F1643" s="3" t="s">
        <v>8</v>
      </c>
      <c r="G1643" s="66" t="s">
        <v>1001</v>
      </c>
      <c r="H1643" s="8" t="s">
        <v>599</v>
      </c>
      <c r="I1643" s="8"/>
      <c r="J1643" s="6" t="s">
        <v>42</v>
      </c>
      <c r="K1643" s="38">
        <v>0</v>
      </c>
      <c r="L1643" s="4" t="s">
        <v>264</v>
      </c>
      <c r="M1643" s="11">
        <f>_xlfn.NUMBERVALUE(LEFT(Table613[[#This Row],[Fiscal Year]], 4))</f>
        <v>2001</v>
      </c>
      <c r="N1643" s="43">
        <f t="shared" si="33"/>
        <v>0</v>
      </c>
      <c r="O1643" s="3">
        <v>1641</v>
      </c>
    </row>
    <row r="1644" spans="1:15" x14ac:dyDescent="0.25">
      <c r="A1644" s="3">
        <v>8</v>
      </c>
      <c r="B1644" s="3" t="s">
        <v>265</v>
      </c>
      <c r="C1644" s="1" t="s">
        <v>262</v>
      </c>
      <c r="D1644" s="1" t="s">
        <v>444</v>
      </c>
      <c r="E1644" s="11" t="s">
        <v>144</v>
      </c>
      <c r="F1644" s="3" t="s">
        <v>8</v>
      </c>
      <c r="G1644" s="66" t="s">
        <v>1005</v>
      </c>
      <c r="H1644" s="8"/>
      <c r="I1644" s="8"/>
      <c r="J1644" s="6" t="s">
        <v>111</v>
      </c>
      <c r="K1644" s="38">
        <v>0</v>
      </c>
      <c r="L1644" s="4" t="s">
        <v>264</v>
      </c>
      <c r="M1644" s="11">
        <f>_xlfn.NUMBERVALUE(LEFT(Table613[[#This Row],[Fiscal Year]], 4))</f>
        <v>2001</v>
      </c>
      <c r="N1644" s="43">
        <f t="shared" si="33"/>
        <v>0</v>
      </c>
      <c r="O1644" s="3">
        <v>1642</v>
      </c>
    </row>
    <row r="1645" spans="1:15" x14ac:dyDescent="0.25">
      <c r="A1645" s="3">
        <v>8</v>
      </c>
      <c r="B1645" s="3" t="s">
        <v>265</v>
      </c>
      <c r="C1645" s="1" t="s">
        <v>262</v>
      </c>
      <c r="D1645" s="1" t="s">
        <v>444</v>
      </c>
      <c r="E1645" s="11" t="s">
        <v>144</v>
      </c>
      <c r="F1645" s="3" t="s">
        <v>8</v>
      </c>
      <c r="G1645" s="66" t="s">
        <v>1006</v>
      </c>
      <c r="H1645" s="8"/>
      <c r="I1645" s="8"/>
      <c r="J1645" s="6" t="s">
        <v>107</v>
      </c>
      <c r="K1645" s="38">
        <v>0</v>
      </c>
      <c r="L1645" s="4" t="s">
        <v>264</v>
      </c>
      <c r="M1645" s="11">
        <f>_xlfn.NUMBERVALUE(LEFT(Table613[[#This Row],[Fiscal Year]], 4))</f>
        <v>2001</v>
      </c>
      <c r="N1645" s="43">
        <f t="shared" si="33"/>
        <v>0</v>
      </c>
      <c r="O1645" s="3">
        <v>1643</v>
      </c>
    </row>
    <row r="1646" spans="1:15" x14ac:dyDescent="0.25">
      <c r="A1646" s="3">
        <v>8</v>
      </c>
      <c r="B1646" s="3" t="s">
        <v>265</v>
      </c>
      <c r="C1646" s="1" t="s">
        <v>262</v>
      </c>
      <c r="D1646" s="1" t="s">
        <v>444</v>
      </c>
      <c r="E1646" s="11" t="s">
        <v>144</v>
      </c>
      <c r="F1646" s="3" t="s">
        <v>8</v>
      </c>
      <c r="G1646" s="66" t="s">
        <v>1002</v>
      </c>
      <c r="H1646" s="8" t="s">
        <v>597</v>
      </c>
      <c r="I1646" s="8" t="s">
        <v>594</v>
      </c>
      <c r="J1646" s="6" t="s">
        <v>108</v>
      </c>
      <c r="K1646" s="38">
        <v>150</v>
      </c>
      <c r="L1646" s="4" t="s">
        <v>264</v>
      </c>
      <c r="M1646" s="11">
        <f>_xlfn.NUMBERVALUE(LEFT(Table613[[#This Row],[Fiscal Year]], 4))</f>
        <v>2001</v>
      </c>
      <c r="N1646" s="42">
        <f>K1646*(1+VLOOKUP(M1646,$AF$8:$AH$31,3,0))</f>
        <v>213.12619988706945</v>
      </c>
      <c r="O1646" s="3">
        <v>1644</v>
      </c>
    </row>
    <row r="1647" spans="1:15" x14ac:dyDescent="0.25">
      <c r="A1647" s="3">
        <v>8</v>
      </c>
      <c r="B1647" s="3" t="s">
        <v>265</v>
      </c>
      <c r="C1647" s="1" t="s">
        <v>262</v>
      </c>
      <c r="D1647" s="1" t="s">
        <v>444</v>
      </c>
      <c r="E1647" s="11" t="s">
        <v>144</v>
      </c>
      <c r="F1647" s="3" t="s">
        <v>8</v>
      </c>
      <c r="G1647" s="66" t="s">
        <v>1003</v>
      </c>
      <c r="H1647" s="8" t="s">
        <v>506</v>
      </c>
      <c r="I1647" s="8"/>
      <c r="J1647" s="6" t="s">
        <v>106</v>
      </c>
      <c r="K1647" s="38">
        <v>0</v>
      </c>
      <c r="L1647" s="4" t="s">
        <v>264</v>
      </c>
      <c r="M1647" s="11">
        <f>_xlfn.NUMBERVALUE(LEFT(Table613[[#This Row],[Fiscal Year]], 4))</f>
        <v>2001</v>
      </c>
      <c r="N1647" s="43">
        <f t="shared" si="33"/>
        <v>0</v>
      </c>
      <c r="O1647" s="3">
        <v>1645</v>
      </c>
    </row>
    <row r="1648" spans="1:15" x14ac:dyDescent="0.25">
      <c r="A1648" s="3">
        <v>8</v>
      </c>
      <c r="B1648" s="3" t="s">
        <v>265</v>
      </c>
      <c r="C1648" s="1" t="s">
        <v>262</v>
      </c>
      <c r="D1648" s="1" t="s">
        <v>444</v>
      </c>
      <c r="E1648" s="11" t="s">
        <v>144</v>
      </c>
      <c r="F1648" s="3" t="s">
        <v>8</v>
      </c>
      <c r="G1648" s="66" t="s">
        <v>1007</v>
      </c>
      <c r="H1648" s="8"/>
      <c r="I1648" s="8"/>
      <c r="J1648" s="6" t="s">
        <v>76</v>
      </c>
      <c r="K1648" s="38">
        <v>500</v>
      </c>
      <c r="L1648" s="4" t="s">
        <v>264</v>
      </c>
      <c r="M1648" s="11">
        <f>_xlfn.NUMBERVALUE(LEFT(Table613[[#This Row],[Fiscal Year]], 4))</f>
        <v>2001</v>
      </c>
      <c r="N1648" s="42">
        <f t="shared" si="33"/>
        <v>710.42066629023145</v>
      </c>
      <c r="O1648" s="3">
        <v>1646</v>
      </c>
    </row>
    <row r="1649" spans="1:15" x14ac:dyDescent="0.25">
      <c r="C1649" s="1"/>
      <c r="D1649" s="1"/>
      <c r="E1649" s="11"/>
      <c r="G1649" s="66"/>
      <c r="H1649" s="8"/>
      <c r="I1649" s="8"/>
      <c r="J1649" s="6"/>
      <c r="L1649" s="4"/>
      <c r="O1649" s="3">
        <v>1647</v>
      </c>
    </row>
    <row r="1650" spans="1:15" x14ac:dyDescent="0.25">
      <c r="A1650" s="3">
        <v>8</v>
      </c>
      <c r="B1650" s="3" t="s">
        <v>266</v>
      </c>
      <c r="C1650" s="1" t="s">
        <v>262</v>
      </c>
      <c r="D1650" s="1" t="s">
        <v>444</v>
      </c>
      <c r="E1650" s="11" t="s">
        <v>144</v>
      </c>
      <c r="F1650" s="3" t="s">
        <v>8</v>
      </c>
      <c r="G1650" s="48" t="s">
        <v>976</v>
      </c>
      <c r="H1650" s="8" t="s">
        <v>503</v>
      </c>
      <c r="I1650" s="8" t="s">
        <v>640</v>
      </c>
      <c r="J1650" s="6" t="s">
        <v>110</v>
      </c>
      <c r="K1650" s="38">
        <v>0</v>
      </c>
      <c r="L1650" s="4" t="s">
        <v>264</v>
      </c>
      <c r="M1650" s="11">
        <v>2001</v>
      </c>
      <c r="N1650" s="43">
        <f t="shared" si="33"/>
        <v>0</v>
      </c>
      <c r="O1650" s="3">
        <v>1648</v>
      </c>
    </row>
    <row r="1651" spans="1:15" x14ac:dyDescent="0.25">
      <c r="A1651" s="3">
        <v>8</v>
      </c>
      <c r="B1651" s="3" t="s">
        <v>266</v>
      </c>
      <c r="C1651" s="1" t="s">
        <v>262</v>
      </c>
      <c r="D1651" s="1" t="s">
        <v>444</v>
      </c>
      <c r="E1651" s="11" t="s">
        <v>144</v>
      </c>
      <c r="F1651" s="3" t="s">
        <v>8</v>
      </c>
      <c r="G1651" s="66" t="s">
        <v>977</v>
      </c>
      <c r="H1651" s="8" t="s">
        <v>504</v>
      </c>
      <c r="I1651" s="8"/>
      <c r="J1651" s="6" t="s">
        <v>108</v>
      </c>
      <c r="K1651" s="38">
        <v>0</v>
      </c>
      <c r="L1651" s="4" t="s">
        <v>264</v>
      </c>
      <c r="M1651" s="11">
        <f>_xlfn.NUMBERVALUE(LEFT(Table613[[#This Row],[Fiscal Year]], 4))</f>
        <v>2001</v>
      </c>
      <c r="N1651" s="43">
        <f t="shared" si="33"/>
        <v>0</v>
      </c>
      <c r="O1651" s="3">
        <v>1649</v>
      </c>
    </row>
    <row r="1652" spans="1:15" x14ac:dyDescent="0.25">
      <c r="A1652" s="3">
        <v>8</v>
      </c>
      <c r="B1652" s="3" t="s">
        <v>266</v>
      </c>
      <c r="C1652" s="1" t="s">
        <v>262</v>
      </c>
      <c r="D1652" s="1" t="s">
        <v>444</v>
      </c>
      <c r="E1652" s="11" t="s">
        <v>144</v>
      </c>
      <c r="F1652" s="3" t="s">
        <v>8</v>
      </c>
      <c r="G1652" s="66" t="s">
        <v>978</v>
      </c>
      <c r="H1652" s="8" t="s">
        <v>602</v>
      </c>
      <c r="I1652" s="8"/>
      <c r="J1652" s="6" t="s">
        <v>108</v>
      </c>
      <c r="K1652" s="38">
        <v>0</v>
      </c>
      <c r="L1652" s="4" t="s">
        <v>264</v>
      </c>
      <c r="M1652" s="11">
        <f>_xlfn.NUMBERVALUE(LEFT(Table613[[#This Row],[Fiscal Year]], 4))</f>
        <v>2001</v>
      </c>
      <c r="N1652" s="43">
        <f t="shared" si="33"/>
        <v>0</v>
      </c>
      <c r="O1652" s="3">
        <v>1650</v>
      </c>
    </row>
    <row r="1653" spans="1:15" x14ac:dyDescent="0.25">
      <c r="A1653" s="3">
        <v>8</v>
      </c>
      <c r="B1653" s="3" t="s">
        <v>266</v>
      </c>
      <c r="C1653" s="1" t="s">
        <v>262</v>
      </c>
      <c r="D1653" s="1" t="s">
        <v>444</v>
      </c>
      <c r="E1653" s="11" t="s">
        <v>144</v>
      </c>
      <c r="F1653" s="3" t="s">
        <v>8</v>
      </c>
      <c r="G1653" s="66" t="s">
        <v>979</v>
      </c>
      <c r="H1653" s="8" t="s">
        <v>504</v>
      </c>
      <c r="I1653" s="8"/>
      <c r="J1653" s="6" t="s">
        <v>108</v>
      </c>
      <c r="K1653" s="38">
        <v>0</v>
      </c>
      <c r="L1653" s="4" t="s">
        <v>264</v>
      </c>
      <c r="M1653" s="11">
        <f>_xlfn.NUMBERVALUE(LEFT(Table613[[#This Row],[Fiscal Year]], 4))</f>
        <v>2001</v>
      </c>
      <c r="N1653" s="43">
        <f t="shared" si="33"/>
        <v>0</v>
      </c>
      <c r="O1653" s="3">
        <v>1651</v>
      </c>
    </row>
    <row r="1654" spans="1:15" x14ac:dyDescent="0.25">
      <c r="A1654" s="3">
        <v>8</v>
      </c>
      <c r="B1654" s="3" t="s">
        <v>266</v>
      </c>
      <c r="C1654" s="1" t="s">
        <v>262</v>
      </c>
      <c r="D1654" s="1" t="s">
        <v>444</v>
      </c>
      <c r="E1654" s="11" t="s">
        <v>144</v>
      </c>
      <c r="F1654" s="3" t="s">
        <v>8</v>
      </c>
      <c r="G1654" s="66" t="s">
        <v>980</v>
      </c>
      <c r="H1654" s="8" t="s">
        <v>504</v>
      </c>
      <c r="I1654" s="8"/>
      <c r="J1654" s="6" t="s">
        <v>108</v>
      </c>
      <c r="K1654" s="38">
        <v>0</v>
      </c>
      <c r="L1654" s="4" t="s">
        <v>264</v>
      </c>
      <c r="M1654" s="11">
        <f>_xlfn.NUMBERVALUE(LEFT(Table613[[#This Row],[Fiscal Year]], 4))</f>
        <v>2001</v>
      </c>
      <c r="N1654" s="43">
        <f t="shared" si="33"/>
        <v>0</v>
      </c>
      <c r="O1654" s="3">
        <v>1652</v>
      </c>
    </row>
    <row r="1655" spans="1:15" x14ac:dyDescent="0.25">
      <c r="A1655" s="3">
        <v>8</v>
      </c>
      <c r="B1655" s="3" t="s">
        <v>266</v>
      </c>
      <c r="C1655" s="1" t="s">
        <v>262</v>
      </c>
      <c r="D1655" s="1" t="s">
        <v>444</v>
      </c>
      <c r="E1655" s="11" t="s">
        <v>144</v>
      </c>
      <c r="F1655" s="3" t="s">
        <v>8</v>
      </c>
      <c r="G1655" s="48" t="s">
        <v>981</v>
      </c>
      <c r="H1655" s="8" t="s">
        <v>504</v>
      </c>
      <c r="I1655" s="8"/>
      <c r="J1655" s="6" t="s">
        <v>108</v>
      </c>
      <c r="K1655" s="38">
        <v>0</v>
      </c>
      <c r="L1655" s="4" t="s">
        <v>264</v>
      </c>
      <c r="M1655" s="11">
        <f>_xlfn.NUMBERVALUE(LEFT(Table613[[#This Row],[Fiscal Year]], 4))</f>
        <v>2001</v>
      </c>
      <c r="N1655" s="43">
        <f t="shared" si="33"/>
        <v>0</v>
      </c>
      <c r="O1655" s="3">
        <v>1653</v>
      </c>
    </row>
    <row r="1656" spans="1:15" x14ac:dyDescent="0.25">
      <c r="A1656" s="3">
        <v>8</v>
      </c>
      <c r="B1656" s="3" t="s">
        <v>266</v>
      </c>
      <c r="C1656" s="1" t="s">
        <v>262</v>
      </c>
      <c r="D1656" s="1" t="s">
        <v>444</v>
      </c>
      <c r="E1656" s="11" t="s">
        <v>144</v>
      </c>
      <c r="F1656" s="3" t="s">
        <v>8</v>
      </c>
      <c r="G1656" s="66" t="s">
        <v>982</v>
      </c>
      <c r="H1656" s="8" t="s">
        <v>593</v>
      </c>
      <c r="I1656" s="8"/>
      <c r="J1656" s="6" t="s">
        <v>108</v>
      </c>
      <c r="K1656" s="38">
        <v>127882</v>
      </c>
      <c r="L1656" s="4" t="s">
        <v>264</v>
      </c>
      <c r="M1656" s="11">
        <f>_xlfn.NUMBERVALUE(LEFT(Table613[[#This Row],[Fiscal Year]], 4))</f>
        <v>2001</v>
      </c>
      <c r="N1656" s="42">
        <f>K1656*(1+VLOOKUP(M1656,$AF$8:$AH$31,3,0))</f>
        <v>181700.03129305475</v>
      </c>
      <c r="O1656" s="3">
        <v>1654</v>
      </c>
    </row>
    <row r="1657" spans="1:15" x14ac:dyDescent="0.25">
      <c r="A1657" s="3">
        <v>8</v>
      </c>
      <c r="B1657" s="3" t="s">
        <v>266</v>
      </c>
      <c r="C1657" s="1" t="s">
        <v>262</v>
      </c>
      <c r="D1657" s="1" t="s">
        <v>444</v>
      </c>
      <c r="E1657" s="11" t="s">
        <v>144</v>
      </c>
      <c r="F1657" s="3" t="s">
        <v>8</v>
      </c>
      <c r="G1657" s="66" t="s">
        <v>983</v>
      </c>
      <c r="H1657" s="8" t="s">
        <v>504</v>
      </c>
      <c r="I1657" s="8"/>
      <c r="J1657" s="6" t="s">
        <v>108</v>
      </c>
      <c r="K1657" s="38">
        <v>0</v>
      </c>
      <c r="L1657" s="4" t="s">
        <v>264</v>
      </c>
      <c r="M1657" s="11">
        <f>_xlfn.NUMBERVALUE(LEFT(Table613[[#This Row],[Fiscal Year]], 4))</f>
        <v>2001</v>
      </c>
      <c r="N1657" s="43">
        <f t="shared" si="33"/>
        <v>0</v>
      </c>
      <c r="O1657" s="3">
        <v>1655</v>
      </c>
    </row>
    <row r="1658" spans="1:15" x14ac:dyDescent="0.25">
      <c r="A1658" s="3">
        <v>8</v>
      </c>
      <c r="B1658" s="3" t="s">
        <v>266</v>
      </c>
      <c r="C1658" s="1" t="s">
        <v>262</v>
      </c>
      <c r="D1658" s="1" t="s">
        <v>444</v>
      </c>
      <c r="E1658" s="11" t="s">
        <v>144</v>
      </c>
      <c r="F1658" s="3" t="s">
        <v>8</v>
      </c>
      <c r="G1658" s="66" t="s">
        <v>984</v>
      </c>
      <c r="H1658" s="8" t="s">
        <v>504</v>
      </c>
      <c r="I1658" s="8"/>
      <c r="J1658" s="6" t="s">
        <v>108</v>
      </c>
      <c r="K1658" s="38">
        <v>0</v>
      </c>
      <c r="L1658" s="4" t="s">
        <v>264</v>
      </c>
      <c r="M1658" s="11">
        <f>_xlfn.NUMBERVALUE(LEFT(Table613[[#This Row],[Fiscal Year]], 4))</f>
        <v>2001</v>
      </c>
      <c r="N1658" s="43">
        <f t="shared" si="33"/>
        <v>0</v>
      </c>
      <c r="O1658" s="3">
        <v>1656</v>
      </c>
    </row>
    <row r="1659" spans="1:15" x14ac:dyDescent="0.25">
      <c r="A1659" s="3">
        <v>8</v>
      </c>
      <c r="B1659" s="3" t="s">
        <v>266</v>
      </c>
      <c r="C1659" s="1" t="s">
        <v>262</v>
      </c>
      <c r="D1659" s="1" t="s">
        <v>444</v>
      </c>
      <c r="E1659" s="11" t="s">
        <v>144</v>
      </c>
      <c r="F1659" s="3" t="s">
        <v>8</v>
      </c>
      <c r="G1659" s="66" t="s">
        <v>985</v>
      </c>
      <c r="H1659" s="8" t="s">
        <v>505</v>
      </c>
      <c r="I1659" s="8"/>
      <c r="J1659" s="6" t="s">
        <v>42</v>
      </c>
      <c r="K1659" s="38">
        <v>0</v>
      </c>
      <c r="L1659" s="4" t="s">
        <v>264</v>
      </c>
      <c r="M1659" s="11">
        <f>_xlfn.NUMBERVALUE(LEFT(Table613[[#This Row],[Fiscal Year]], 4))</f>
        <v>2001</v>
      </c>
      <c r="N1659" s="43">
        <f t="shared" si="33"/>
        <v>0</v>
      </c>
      <c r="O1659" s="3">
        <v>1657</v>
      </c>
    </row>
    <row r="1660" spans="1:15" x14ac:dyDescent="0.25">
      <c r="A1660" s="3">
        <v>8</v>
      </c>
      <c r="B1660" s="3" t="s">
        <v>266</v>
      </c>
      <c r="C1660" s="1" t="s">
        <v>262</v>
      </c>
      <c r="D1660" s="1" t="s">
        <v>444</v>
      </c>
      <c r="E1660" s="11" t="s">
        <v>144</v>
      </c>
      <c r="F1660" s="3" t="s">
        <v>8</v>
      </c>
      <c r="G1660" s="66" t="s">
        <v>986</v>
      </c>
      <c r="H1660" s="8" t="s">
        <v>599</v>
      </c>
      <c r="I1660" s="8"/>
      <c r="J1660" s="6" t="s">
        <v>42</v>
      </c>
      <c r="K1660" s="38">
        <v>0</v>
      </c>
      <c r="L1660" s="4" t="s">
        <v>264</v>
      </c>
      <c r="M1660" s="11">
        <f>_xlfn.NUMBERVALUE(LEFT(Table613[[#This Row],[Fiscal Year]], 4))</f>
        <v>2001</v>
      </c>
      <c r="N1660" s="43">
        <f t="shared" si="33"/>
        <v>0</v>
      </c>
      <c r="O1660" s="3">
        <v>1658</v>
      </c>
    </row>
    <row r="1661" spans="1:15" x14ac:dyDescent="0.25">
      <c r="A1661" s="3">
        <v>8</v>
      </c>
      <c r="B1661" s="3" t="s">
        <v>266</v>
      </c>
      <c r="C1661" s="1" t="s">
        <v>262</v>
      </c>
      <c r="D1661" s="1" t="s">
        <v>444</v>
      </c>
      <c r="E1661" s="11" t="s">
        <v>144</v>
      </c>
      <c r="F1661" s="3" t="s">
        <v>8</v>
      </c>
      <c r="G1661" s="66" t="s">
        <v>987</v>
      </c>
      <c r="H1661" s="8"/>
      <c r="I1661" s="8"/>
      <c r="J1661" s="6" t="s">
        <v>111</v>
      </c>
      <c r="K1661" s="38">
        <v>0</v>
      </c>
      <c r="L1661" s="4" t="s">
        <v>264</v>
      </c>
      <c r="M1661" s="11">
        <f>_xlfn.NUMBERVALUE(LEFT(Table613[[#This Row],[Fiscal Year]], 4))</f>
        <v>2001</v>
      </c>
      <c r="N1661" s="43">
        <f t="shared" si="33"/>
        <v>0</v>
      </c>
      <c r="O1661" s="3">
        <v>1659</v>
      </c>
    </row>
    <row r="1662" spans="1:15" x14ac:dyDescent="0.25">
      <c r="A1662" s="3">
        <v>8</v>
      </c>
      <c r="B1662" s="3" t="s">
        <v>266</v>
      </c>
      <c r="C1662" s="1" t="s">
        <v>262</v>
      </c>
      <c r="D1662" s="1" t="s">
        <v>444</v>
      </c>
      <c r="E1662" s="11" t="s">
        <v>144</v>
      </c>
      <c r="F1662" s="3" t="s">
        <v>8</v>
      </c>
      <c r="G1662" s="66" t="s">
        <v>988</v>
      </c>
      <c r="H1662" s="8"/>
      <c r="I1662" s="8"/>
      <c r="J1662" s="6" t="s">
        <v>107</v>
      </c>
      <c r="K1662" s="38">
        <v>0</v>
      </c>
      <c r="L1662" s="4" t="s">
        <v>264</v>
      </c>
      <c r="M1662" s="11">
        <f>_xlfn.NUMBERVALUE(LEFT(Table613[[#This Row],[Fiscal Year]], 4))</f>
        <v>2001</v>
      </c>
      <c r="N1662" s="43">
        <f t="shared" si="33"/>
        <v>0</v>
      </c>
      <c r="O1662" s="3">
        <v>1660</v>
      </c>
    </row>
    <row r="1663" spans="1:15" x14ac:dyDescent="0.25">
      <c r="A1663" s="3">
        <v>8</v>
      </c>
      <c r="B1663" s="3" t="s">
        <v>266</v>
      </c>
      <c r="C1663" s="1" t="s">
        <v>262</v>
      </c>
      <c r="D1663" s="1" t="s">
        <v>444</v>
      </c>
      <c r="E1663" s="11" t="s">
        <v>144</v>
      </c>
      <c r="F1663" s="3" t="s">
        <v>8</v>
      </c>
      <c r="G1663" s="66" t="s">
        <v>989</v>
      </c>
      <c r="H1663" s="8" t="s">
        <v>597</v>
      </c>
      <c r="I1663" s="8" t="s">
        <v>594</v>
      </c>
      <c r="J1663" s="6" t="s">
        <v>108</v>
      </c>
      <c r="K1663" s="38">
        <v>0</v>
      </c>
      <c r="L1663" s="4" t="s">
        <v>264</v>
      </c>
      <c r="M1663" s="11">
        <f>_xlfn.NUMBERVALUE(LEFT(Table613[[#This Row],[Fiscal Year]], 4))</f>
        <v>2001</v>
      </c>
      <c r="N1663" s="43">
        <f t="shared" si="33"/>
        <v>0</v>
      </c>
      <c r="O1663" s="3">
        <v>1661</v>
      </c>
    </row>
    <row r="1664" spans="1:15" x14ac:dyDescent="0.25">
      <c r="A1664" s="3">
        <v>8</v>
      </c>
      <c r="B1664" s="3" t="s">
        <v>266</v>
      </c>
      <c r="C1664" s="1" t="s">
        <v>262</v>
      </c>
      <c r="D1664" s="1" t="s">
        <v>444</v>
      </c>
      <c r="E1664" s="11" t="s">
        <v>144</v>
      </c>
      <c r="F1664" s="3" t="s">
        <v>8</v>
      </c>
      <c r="G1664" s="66" t="s">
        <v>990</v>
      </c>
      <c r="H1664" s="8" t="s">
        <v>506</v>
      </c>
      <c r="I1664" s="8"/>
      <c r="J1664" s="6" t="s">
        <v>106</v>
      </c>
      <c r="K1664" s="38">
        <v>0</v>
      </c>
      <c r="L1664" s="4" t="s">
        <v>264</v>
      </c>
      <c r="M1664" s="11">
        <f>_xlfn.NUMBERVALUE(LEFT(Table613[[#This Row],[Fiscal Year]], 4))</f>
        <v>2001</v>
      </c>
      <c r="N1664" s="43">
        <f t="shared" si="33"/>
        <v>0</v>
      </c>
      <c r="O1664" s="3">
        <v>1662</v>
      </c>
    </row>
    <row r="1665" spans="1:15" x14ac:dyDescent="0.25">
      <c r="A1665" s="3">
        <v>8</v>
      </c>
      <c r="B1665" s="3" t="s">
        <v>266</v>
      </c>
      <c r="C1665" s="1" t="s">
        <v>262</v>
      </c>
      <c r="D1665" s="1" t="s">
        <v>444</v>
      </c>
      <c r="E1665" s="11" t="s">
        <v>144</v>
      </c>
      <c r="F1665" s="3" t="s">
        <v>8</v>
      </c>
      <c r="G1665" s="66" t="s">
        <v>1004</v>
      </c>
      <c r="H1665" s="8"/>
      <c r="I1665" s="8"/>
      <c r="J1665" s="6" t="s">
        <v>76</v>
      </c>
      <c r="K1665" s="38">
        <v>0</v>
      </c>
      <c r="L1665" s="4" t="s">
        <v>264</v>
      </c>
      <c r="M1665" s="11">
        <f>_xlfn.NUMBERVALUE(LEFT(Table613[[#This Row],[Fiscal Year]], 4))</f>
        <v>2001</v>
      </c>
      <c r="N1665" s="43">
        <f t="shared" si="33"/>
        <v>0</v>
      </c>
      <c r="O1665" s="3">
        <v>1663</v>
      </c>
    </row>
    <row r="1666" spans="1:15" x14ac:dyDescent="0.25">
      <c r="A1666" s="3">
        <v>8</v>
      </c>
      <c r="B1666" s="3" t="s">
        <v>266</v>
      </c>
      <c r="C1666" s="1" t="s">
        <v>262</v>
      </c>
      <c r="D1666" s="1" t="s">
        <v>444</v>
      </c>
      <c r="E1666" s="11" t="s">
        <v>144</v>
      </c>
      <c r="F1666" s="3" t="s">
        <v>8</v>
      </c>
      <c r="G1666" s="48" t="s">
        <v>991</v>
      </c>
      <c r="H1666" s="8" t="s">
        <v>504</v>
      </c>
      <c r="I1666" s="8"/>
      <c r="J1666" s="6" t="s">
        <v>108</v>
      </c>
      <c r="K1666" s="38">
        <v>0</v>
      </c>
      <c r="L1666" s="4" t="s">
        <v>264</v>
      </c>
      <c r="M1666" s="11">
        <f>_xlfn.NUMBERVALUE(LEFT(Table613[[#This Row],[Fiscal Year]], 4))</f>
        <v>2001</v>
      </c>
      <c r="N1666" s="43">
        <f t="shared" si="33"/>
        <v>0</v>
      </c>
      <c r="O1666" s="3">
        <v>1664</v>
      </c>
    </row>
    <row r="1667" spans="1:15" x14ac:dyDescent="0.25">
      <c r="A1667" s="3">
        <v>8</v>
      </c>
      <c r="B1667" s="3" t="s">
        <v>266</v>
      </c>
      <c r="C1667" s="1" t="s">
        <v>262</v>
      </c>
      <c r="D1667" s="1" t="s">
        <v>444</v>
      </c>
      <c r="E1667" s="11" t="s">
        <v>144</v>
      </c>
      <c r="F1667" s="3" t="s">
        <v>8</v>
      </c>
      <c r="G1667" s="66" t="s">
        <v>992</v>
      </c>
      <c r="H1667" s="8" t="s">
        <v>602</v>
      </c>
      <c r="I1667" s="8"/>
      <c r="J1667" s="6" t="s">
        <v>108</v>
      </c>
      <c r="K1667" s="38">
        <v>0</v>
      </c>
      <c r="L1667" s="4" t="s">
        <v>264</v>
      </c>
      <c r="M1667" s="11">
        <f>_xlfn.NUMBERVALUE(LEFT(Table613[[#This Row],[Fiscal Year]], 4))</f>
        <v>2001</v>
      </c>
      <c r="N1667" s="43">
        <f t="shared" si="33"/>
        <v>0</v>
      </c>
      <c r="O1667" s="3">
        <v>1665</v>
      </c>
    </row>
    <row r="1668" spans="1:15" x14ac:dyDescent="0.25">
      <c r="A1668" s="3">
        <v>8</v>
      </c>
      <c r="B1668" s="3" t="s">
        <v>266</v>
      </c>
      <c r="C1668" s="1" t="s">
        <v>262</v>
      </c>
      <c r="D1668" s="1" t="s">
        <v>444</v>
      </c>
      <c r="E1668" s="11" t="s">
        <v>144</v>
      </c>
      <c r="F1668" s="3" t="s">
        <v>8</v>
      </c>
      <c r="G1668" s="66" t="s">
        <v>993</v>
      </c>
      <c r="H1668" s="8" t="s">
        <v>504</v>
      </c>
      <c r="I1668" s="8"/>
      <c r="J1668" s="6" t="s">
        <v>108</v>
      </c>
      <c r="K1668" s="38">
        <v>0</v>
      </c>
      <c r="L1668" s="4" t="s">
        <v>264</v>
      </c>
      <c r="M1668" s="11">
        <f>_xlfn.NUMBERVALUE(LEFT(Table613[[#This Row],[Fiscal Year]], 4))</f>
        <v>2001</v>
      </c>
      <c r="N1668" s="43">
        <f t="shared" si="33"/>
        <v>0</v>
      </c>
      <c r="O1668" s="3">
        <v>1666</v>
      </c>
    </row>
    <row r="1669" spans="1:15" x14ac:dyDescent="0.25">
      <c r="A1669" s="3">
        <v>8</v>
      </c>
      <c r="B1669" s="3" t="s">
        <v>266</v>
      </c>
      <c r="C1669" s="1" t="s">
        <v>262</v>
      </c>
      <c r="D1669" s="1" t="s">
        <v>444</v>
      </c>
      <c r="E1669" s="11" t="s">
        <v>144</v>
      </c>
      <c r="F1669" s="3" t="s">
        <v>8</v>
      </c>
      <c r="G1669" s="66" t="s">
        <v>994</v>
      </c>
      <c r="H1669" s="8" t="s">
        <v>504</v>
      </c>
      <c r="I1669" s="8"/>
      <c r="J1669" s="6" t="s">
        <v>108</v>
      </c>
      <c r="K1669" s="38">
        <v>0</v>
      </c>
      <c r="L1669" s="4" t="s">
        <v>264</v>
      </c>
      <c r="M1669" s="11">
        <f>_xlfn.NUMBERVALUE(LEFT(Table613[[#This Row],[Fiscal Year]], 4))</f>
        <v>2001</v>
      </c>
      <c r="N1669" s="43">
        <f t="shared" si="33"/>
        <v>0</v>
      </c>
      <c r="O1669" s="3">
        <v>1667</v>
      </c>
    </row>
    <row r="1670" spans="1:15" x14ac:dyDescent="0.25">
      <c r="A1670" s="3">
        <v>8</v>
      </c>
      <c r="B1670" s="3" t="s">
        <v>266</v>
      </c>
      <c r="C1670" s="1" t="s">
        <v>262</v>
      </c>
      <c r="D1670" s="1" t="s">
        <v>444</v>
      </c>
      <c r="E1670" s="11" t="s">
        <v>144</v>
      </c>
      <c r="F1670" s="3" t="s">
        <v>8</v>
      </c>
      <c r="G1670" s="66" t="s">
        <v>995</v>
      </c>
      <c r="H1670" s="8" t="s">
        <v>504</v>
      </c>
      <c r="I1670" s="8"/>
      <c r="J1670" s="6" t="s">
        <v>108</v>
      </c>
      <c r="K1670" s="38">
        <v>344931</v>
      </c>
      <c r="L1670" s="4" t="s">
        <v>264</v>
      </c>
      <c r="M1670" s="11">
        <f>_xlfn.NUMBERVALUE(LEFT(Table613[[#This Row],[Fiscal Year]], 4))</f>
        <v>2001</v>
      </c>
      <c r="N1670" s="42">
        <f>K1670*(1+VLOOKUP(M1670,$AF$8:$AH$31,3,0))</f>
        <v>490092.22168831166</v>
      </c>
      <c r="O1670" s="3">
        <v>1668</v>
      </c>
    </row>
    <row r="1671" spans="1:15" x14ac:dyDescent="0.25">
      <c r="A1671" s="3">
        <v>8</v>
      </c>
      <c r="B1671" s="3" t="s">
        <v>266</v>
      </c>
      <c r="C1671" s="1" t="s">
        <v>262</v>
      </c>
      <c r="D1671" s="1" t="s">
        <v>444</v>
      </c>
      <c r="E1671" s="11" t="s">
        <v>144</v>
      </c>
      <c r="F1671" s="3" t="s">
        <v>8</v>
      </c>
      <c r="G1671" s="48" t="s">
        <v>996</v>
      </c>
      <c r="H1671" s="8" t="s">
        <v>593</v>
      </c>
      <c r="I1671" s="8"/>
      <c r="J1671" s="6" t="s">
        <v>108</v>
      </c>
      <c r="K1671" s="38">
        <v>0</v>
      </c>
      <c r="L1671" s="4" t="s">
        <v>264</v>
      </c>
      <c r="M1671" s="11">
        <f>_xlfn.NUMBERVALUE(LEFT(Table613[[#This Row],[Fiscal Year]], 4))</f>
        <v>2001</v>
      </c>
      <c r="N1671" s="43">
        <f t="shared" si="33"/>
        <v>0</v>
      </c>
      <c r="O1671" s="3">
        <v>1669</v>
      </c>
    </row>
    <row r="1672" spans="1:15" x14ac:dyDescent="0.25">
      <c r="A1672" s="3">
        <v>8</v>
      </c>
      <c r="B1672" s="3" t="s">
        <v>266</v>
      </c>
      <c r="C1672" s="1" t="s">
        <v>262</v>
      </c>
      <c r="D1672" s="1" t="s">
        <v>444</v>
      </c>
      <c r="E1672" s="11" t="s">
        <v>144</v>
      </c>
      <c r="F1672" s="3" t="s">
        <v>8</v>
      </c>
      <c r="G1672" s="66" t="s">
        <v>997</v>
      </c>
      <c r="H1672" s="8" t="s">
        <v>504</v>
      </c>
      <c r="I1672" s="8"/>
      <c r="J1672" s="6" t="s">
        <v>108</v>
      </c>
      <c r="K1672" s="38">
        <v>0</v>
      </c>
      <c r="L1672" s="4" t="s">
        <v>264</v>
      </c>
      <c r="M1672" s="11">
        <f>_xlfn.NUMBERVALUE(LEFT(Table613[[#This Row],[Fiscal Year]], 4))</f>
        <v>2001</v>
      </c>
      <c r="N1672" s="43">
        <f t="shared" si="33"/>
        <v>0</v>
      </c>
      <c r="O1672" s="3">
        <v>1670</v>
      </c>
    </row>
    <row r="1673" spans="1:15" x14ac:dyDescent="0.25">
      <c r="A1673" s="3">
        <v>8</v>
      </c>
      <c r="B1673" s="3" t="s">
        <v>266</v>
      </c>
      <c r="C1673" s="1" t="s">
        <v>262</v>
      </c>
      <c r="D1673" s="1" t="s">
        <v>444</v>
      </c>
      <c r="E1673" s="11" t="s">
        <v>144</v>
      </c>
      <c r="F1673" s="3" t="s">
        <v>8</v>
      </c>
      <c r="G1673" s="66" t="s">
        <v>998</v>
      </c>
      <c r="H1673" s="8" t="s">
        <v>504</v>
      </c>
      <c r="I1673" s="8"/>
      <c r="J1673" s="6" t="s">
        <v>108</v>
      </c>
      <c r="K1673" s="38">
        <v>0</v>
      </c>
      <c r="L1673" s="4" t="s">
        <v>264</v>
      </c>
      <c r="M1673" s="11">
        <f>_xlfn.NUMBERVALUE(LEFT(Table613[[#This Row],[Fiscal Year]], 4))</f>
        <v>2001</v>
      </c>
      <c r="N1673" s="43">
        <f t="shared" si="33"/>
        <v>0</v>
      </c>
      <c r="O1673" s="3">
        <v>1671</v>
      </c>
    </row>
    <row r="1674" spans="1:15" x14ac:dyDescent="0.25">
      <c r="A1674" s="3">
        <v>8</v>
      </c>
      <c r="B1674" s="3" t="s">
        <v>266</v>
      </c>
      <c r="C1674" s="1" t="s">
        <v>262</v>
      </c>
      <c r="D1674" s="1" t="s">
        <v>444</v>
      </c>
      <c r="E1674" s="11" t="s">
        <v>144</v>
      </c>
      <c r="F1674" s="3" t="s">
        <v>8</v>
      </c>
      <c r="G1674" s="66" t="s">
        <v>999</v>
      </c>
      <c r="H1674" s="8" t="s">
        <v>505</v>
      </c>
      <c r="I1674" s="8"/>
      <c r="J1674" s="6" t="s">
        <v>42</v>
      </c>
      <c r="K1674" s="38">
        <v>0</v>
      </c>
      <c r="L1674" s="4" t="s">
        <v>264</v>
      </c>
      <c r="M1674" s="11">
        <f>_xlfn.NUMBERVALUE(LEFT(Table613[[#This Row],[Fiscal Year]], 4))</f>
        <v>2001</v>
      </c>
      <c r="N1674" s="43">
        <f t="shared" si="33"/>
        <v>0</v>
      </c>
      <c r="O1674" s="3">
        <v>1672</v>
      </c>
    </row>
    <row r="1675" spans="1:15" x14ac:dyDescent="0.25">
      <c r="A1675" s="3">
        <v>8</v>
      </c>
      <c r="B1675" s="3" t="s">
        <v>266</v>
      </c>
      <c r="C1675" s="1" t="s">
        <v>262</v>
      </c>
      <c r="D1675" s="1" t="s">
        <v>444</v>
      </c>
      <c r="E1675" s="11" t="s">
        <v>144</v>
      </c>
      <c r="F1675" s="3" t="s">
        <v>8</v>
      </c>
      <c r="G1675" s="66" t="s">
        <v>1000</v>
      </c>
      <c r="H1675" s="8" t="s">
        <v>599</v>
      </c>
      <c r="I1675" s="8"/>
      <c r="J1675" s="6" t="s">
        <v>42</v>
      </c>
      <c r="K1675" s="38">
        <v>0</v>
      </c>
      <c r="L1675" s="4" t="s">
        <v>264</v>
      </c>
      <c r="M1675" s="11">
        <f>_xlfn.NUMBERVALUE(LEFT(Table613[[#This Row],[Fiscal Year]], 4))</f>
        <v>2001</v>
      </c>
      <c r="N1675" s="43">
        <f t="shared" si="33"/>
        <v>0</v>
      </c>
      <c r="O1675" s="3">
        <v>1673</v>
      </c>
    </row>
    <row r="1676" spans="1:15" x14ac:dyDescent="0.25">
      <c r="A1676" s="3">
        <v>8</v>
      </c>
      <c r="B1676" s="3" t="s">
        <v>266</v>
      </c>
      <c r="C1676" s="1" t="s">
        <v>262</v>
      </c>
      <c r="D1676" s="1" t="s">
        <v>444</v>
      </c>
      <c r="E1676" s="11" t="s">
        <v>144</v>
      </c>
      <c r="F1676" s="3" t="s">
        <v>8</v>
      </c>
      <c r="G1676" s="66" t="s">
        <v>1001</v>
      </c>
      <c r="H1676" s="8"/>
      <c r="I1676" s="8"/>
      <c r="J1676" s="6" t="s">
        <v>111</v>
      </c>
      <c r="K1676" s="38">
        <v>0</v>
      </c>
      <c r="L1676" s="4" t="s">
        <v>264</v>
      </c>
      <c r="M1676" s="11">
        <f>_xlfn.NUMBERVALUE(LEFT(Table613[[#This Row],[Fiscal Year]], 4))</f>
        <v>2001</v>
      </c>
      <c r="N1676" s="43">
        <f t="shared" si="33"/>
        <v>0</v>
      </c>
      <c r="O1676" s="3">
        <v>1674</v>
      </c>
    </row>
    <row r="1677" spans="1:15" x14ac:dyDescent="0.25">
      <c r="A1677" s="3">
        <v>8</v>
      </c>
      <c r="B1677" s="3" t="s">
        <v>266</v>
      </c>
      <c r="C1677" s="1" t="s">
        <v>262</v>
      </c>
      <c r="D1677" s="1" t="s">
        <v>444</v>
      </c>
      <c r="E1677" s="11" t="s">
        <v>144</v>
      </c>
      <c r="F1677" s="3" t="s">
        <v>8</v>
      </c>
      <c r="G1677" s="66" t="s">
        <v>1005</v>
      </c>
      <c r="H1677" s="8"/>
      <c r="I1677" s="8"/>
      <c r="J1677" s="6" t="s">
        <v>107</v>
      </c>
      <c r="K1677" s="38">
        <v>0</v>
      </c>
      <c r="L1677" s="4" t="s">
        <v>264</v>
      </c>
      <c r="M1677" s="11">
        <f>_xlfn.NUMBERVALUE(LEFT(Table613[[#This Row],[Fiscal Year]], 4))</f>
        <v>2001</v>
      </c>
      <c r="N1677" s="43">
        <f t="shared" si="33"/>
        <v>0</v>
      </c>
      <c r="O1677" s="3">
        <v>1675</v>
      </c>
    </row>
    <row r="1678" spans="1:15" x14ac:dyDescent="0.25">
      <c r="A1678" s="3">
        <v>8</v>
      </c>
      <c r="B1678" s="3" t="s">
        <v>266</v>
      </c>
      <c r="C1678" s="1" t="s">
        <v>262</v>
      </c>
      <c r="D1678" s="1" t="s">
        <v>444</v>
      </c>
      <c r="E1678" s="11" t="s">
        <v>144</v>
      </c>
      <c r="F1678" s="3" t="s">
        <v>8</v>
      </c>
      <c r="G1678" s="66" t="s">
        <v>1006</v>
      </c>
      <c r="H1678" s="8" t="s">
        <v>597</v>
      </c>
      <c r="I1678" s="8" t="s">
        <v>594</v>
      </c>
      <c r="J1678" s="6" t="s">
        <v>108</v>
      </c>
      <c r="K1678" s="38">
        <v>0</v>
      </c>
      <c r="L1678" s="4" t="s">
        <v>264</v>
      </c>
      <c r="M1678" s="11">
        <f>_xlfn.NUMBERVALUE(LEFT(Table613[[#This Row],[Fiscal Year]], 4))</f>
        <v>2001</v>
      </c>
      <c r="N1678" s="43">
        <f t="shared" si="33"/>
        <v>0</v>
      </c>
      <c r="O1678" s="3">
        <v>1676</v>
      </c>
    </row>
    <row r="1679" spans="1:15" x14ac:dyDescent="0.25">
      <c r="A1679" s="3">
        <v>8</v>
      </c>
      <c r="B1679" s="3" t="s">
        <v>266</v>
      </c>
      <c r="C1679" s="1" t="s">
        <v>262</v>
      </c>
      <c r="D1679" s="1" t="s">
        <v>444</v>
      </c>
      <c r="E1679" s="11" t="s">
        <v>144</v>
      </c>
      <c r="F1679" s="3" t="s">
        <v>8</v>
      </c>
      <c r="G1679" s="66" t="s">
        <v>1002</v>
      </c>
      <c r="H1679" s="8" t="s">
        <v>506</v>
      </c>
      <c r="I1679" s="8"/>
      <c r="J1679" s="6" t="s">
        <v>106</v>
      </c>
      <c r="K1679" s="38">
        <v>0</v>
      </c>
      <c r="L1679" s="4" t="s">
        <v>264</v>
      </c>
      <c r="M1679" s="11">
        <f>_xlfn.NUMBERVALUE(LEFT(Table613[[#This Row],[Fiscal Year]], 4))</f>
        <v>2001</v>
      </c>
      <c r="N1679" s="43">
        <f t="shared" si="33"/>
        <v>0</v>
      </c>
      <c r="O1679" s="3">
        <v>1677</v>
      </c>
    </row>
    <row r="1680" spans="1:15" x14ac:dyDescent="0.25">
      <c r="A1680" s="3">
        <v>8</v>
      </c>
      <c r="B1680" s="3" t="s">
        <v>266</v>
      </c>
      <c r="C1680" s="1" t="s">
        <v>262</v>
      </c>
      <c r="D1680" s="1" t="s">
        <v>444</v>
      </c>
      <c r="E1680" s="11" t="s">
        <v>144</v>
      </c>
      <c r="F1680" s="3" t="s">
        <v>8</v>
      </c>
      <c r="G1680" s="66" t="s">
        <v>1003</v>
      </c>
      <c r="H1680" s="8"/>
      <c r="I1680" s="8"/>
      <c r="J1680" s="6" t="s">
        <v>76</v>
      </c>
      <c r="K1680" s="38">
        <v>0</v>
      </c>
      <c r="L1680" s="4" t="s">
        <v>264</v>
      </c>
      <c r="M1680" s="11">
        <f>_xlfn.NUMBERVALUE(LEFT(Table613[[#This Row],[Fiscal Year]], 4))</f>
        <v>2001</v>
      </c>
      <c r="N1680" s="43">
        <f t="shared" si="33"/>
        <v>0</v>
      </c>
      <c r="O1680" s="3">
        <v>1678</v>
      </c>
    </row>
    <row r="1681" spans="1:15" x14ac:dyDescent="0.25">
      <c r="A1681" s="3">
        <v>8</v>
      </c>
      <c r="B1681" s="3" t="s">
        <v>266</v>
      </c>
      <c r="C1681" s="1" t="s">
        <v>262</v>
      </c>
      <c r="D1681" s="1" t="s">
        <v>444</v>
      </c>
      <c r="E1681" s="11" t="s">
        <v>144</v>
      </c>
      <c r="F1681" s="3" t="s">
        <v>8</v>
      </c>
      <c r="G1681" s="66" t="s">
        <v>1007</v>
      </c>
      <c r="H1681" s="8" t="s">
        <v>503</v>
      </c>
      <c r="I1681" s="8"/>
      <c r="J1681" s="6" t="s">
        <v>110</v>
      </c>
      <c r="K1681" s="38">
        <v>0</v>
      </c>
      <c r="L1681" s="4" t="s">
        <v>264</v>
      </c>
      <c r="M1681" s="11">
        <v>2001</v>
      </c>
      <c r="N1681" s="43">
        <f t="shared" ref="N1681:N1714" si="34">K1681*(1+VLOOKUP(M1681,$AF$8:$AH$31,3,0))</f>
        <v>0</v>
      </c>
      <c r="O1681" s="3">
        <v>1679</v>
      </c>
    </row>
    <row r="1682" spans="1:15" x14ac:dyDescent="0.25">
      <c r="C1682" s="1"/>
      <c r="D1682" s="1"/>
      <c r="E1682" s="11"/>
      <c r="G1682" s="48"/>
      <c r="H1682" s="8"/>
      <c r="I1682" s="8"/>
      <c r="J1682" s="6"/>
      <c r="L1682" s="4"/>
      <c r="O1682" s="3">
        <v>1680</v>
      </c>
    </row>
    <row r="1683" spans="1:15" x14ac:dyDescent="0.25">
      <c r="A1683" s="3">
        <v>8</v>
      </c>
      <c r="B1683" s="3" t="s">
        <v>267</v>
      </c>
      <c r="C1683" s="1" t="s">
        <v>262</v>
      </c>
      <c r="D1683" s="1" t="s">
        <v>444</v>
      </c>
      <c r="E1683" s="11" t="s">
        <v>144</v>
      </c>
      <c r="F1683" s="3" t="s">
        <v>8</v>
      </c>
      <c r="G1683" s="48" t="s">
        <v>976</v>
      </c>
      <c r="H1683" s="8" t="s">
        <v>503</v>
      </c>
      <c r="I1683" s="8" t="s">
        <v>640</v>
      </c>
      <c r="J1683" s="6" t="s">
        <v>110</v>
      </c>
      <c r="K1683" s="38">
        <v>0</v>
      </c>
      <c r="L1683" s="4" t="s">
        <v>264</v>
      </c>
      <c r="M1683" s="11">
        <f>_xlfn.NUMBERVALUE(LEFT(Table613[[#This Row],[Fiscal Year]], 4))</f>
        <v>2001</v>
      </c>
      <c r="N1683" s="43">
        <f t="shared" si="34"/>
        <v>0</v>
      </c>
      <c r="O1683" s="3">
        <v>1681</v>
      </c>
    </row>
    <row r="1684" spans="1:15" x14ac:dyDescent="0.25">
      <c r="A1684" s="3">
        <v>8</v>
      </c>
      <c r="B1684" s="3" t="s">
        <v>267</v>
      </c>
      <c r="C1684" s="1" t="s">
        <v>262</v>
      </c>
      <c r="D1684" s="1" t="s">
        <v>444</v>
      </c>
      <c r="E1684" s="11" t="s">
        <v>144</v>
      </c>
      <c r="F1684" s="3" t="s">
        <v>8</v>
      </c>
      <c r="G1684" s="66" t="s">
        <v>977</v>
      </c>
      <c r="H1684" s="8" t="s">
        <v>504</v>
      </c>
      <c r="I1684" s="8"/>
      <c r="J1684" s="6" t="s">
        <v>108</v>
      </c>
      <c r="K1684" s="38">
        <v>0</v>
      </c>
      <c r="L1684" s="4" t="s">
        <v>264</v>
      </c>
      <c r="M1684" s="11">
        <f>_xlfn.NUMBERVALUE(LEFT(Table613[[#This Row],[Fiscal Year]], 4))</f>
        <v>2001</v>
      </c>
      <c r="N1684" s="43">
        <f t="shared" si="34"/>
        <v>0</v>
      </c>
      <c r="O1684" s="3">
        <v>1682</v>
      </c>
    </row>
    <row r="1685" spans="1:15" x14ac:dyDescent="0.25">
      <c r="A1685" s="3">
        <v>8</v>
      </c>
      <c r="B1685" s="3" t="s">
        <v>267</v>
      </c>
      <c r="C1685" s="1" t="s">
        <v>262</v>
      </c>
      <c r="D1685" s="1" t="s">
        <v>444</v>
      </c>
      <c r="E1685" s="11" t="s">
        <v>144</v>
      </c>
      <c r="F1685" s="3" t="s">
        <v>8</v>
      </c>
      <c r="G1685" s="66" t="s">
        <v>978</v>
      </c>
      <c r="H1685" s="8" t="s">
        <v>602</v>
      </c>
      <c r="I1685" s="8"/>
      <c r="J1685" s="6" t="s">
        <v>108</v>
      </c>
      <c r="K1685" s="38">
        <v>0</v>
      </c>
      <c r="L1685" s="4" t="s">
        <v>264</v>
      </c>
      <c r="M1685" s="11">
        <f>_xlfn.NUMBERVALUE(LEFT(Table613[[#This Row],[Fiscal Year]], 4))</f>
        <v>2001</v>
      </c>
      <c r="N1685" s="43">
        <f t="shared" si="34"/>
        <v>0</v>
      </c>
      <c r="O1685" s="3">
        <v>1683</v>
      </c>
    </row>
    <row r="1686" spans="1:15" x14ac:dyDescent="0.25">
      <c r="A1686" s="3">
        <v>8</v>
      </c>
      <c r="B1686" s="3" t="s">
        <v>267</v>
      </c>
      <c r="C1686" s="1" t="s">
        <v>262</v>
      </c>
      <c r="D1686" s="1" t="s">
        <v>444</v>
      </c>
      <c r="E1686" s="11" t="s">
        <v>144</v>
      </c>
      <c r="F1686" s="3" t="s">
        <v>8</v>
      </c>
      <c r="G1686" s="66" t="s">
        <v>979</v>
      </c>
      <c r="H1686" s="8" t="s">
        <v>504</v>
      </c>
      <c r="I1686" s="8"/>
      <c r="J1686" s="6" t="s">
        <v>108</v>
      </c>
      <c r="K1686" s="38">
        <v>0</v>
      </c>
      <c r="L1686" s="4" t="s">
        <v>264</v>
      </c>
      <c r="M1686" s="11">
        <f>_xlfn.NUMBERVALUE(LEFT(Table613[[#This Row],[Fiscal Year]], 4))</f>
        <v>2001</v>
      </c>
      <c r="N1686" s="43">
        <f t="shared" si="34"/>
        <v>0</v>
      </c>
      <c r="O1686" s="3">
        <v>1684</v>
      </c>
    </row>
    <row r="1687" spans="1:15" x14ac:dyDescent="0.25">
      <c r="A1687" s="3">
        <v>8</v>
      </c>
      <c r="B1687" s="3" t="s">
        <v>267</v>
      </c>
      <c r="C1687" s="1" t="s">
        <v>262</v>
      </c>
      <c r="D1687" s="1" t="s">
        <v>444</v>
      </c>
      <c r="E1687" s="11" t="s">
        <v>144</v>
      </c>
      <c r="F1687" s="3" t="s">
        <v>8</v>
      </c>
      <c r="G1687" s="66" t="s">
        <v>980</v>
      </c>
      <c r="H1687" s="8" t="s">
        <v>504</v>
      </c>
      <c r="I1687" s="8"/>
      <c r="J1687" s="6" t="s">
        <v>108</v>
      </c>
      <c r="K1687" s="38">
        <v>0</v>
      </c>
      <c r="L1687" s="4" t="s">
        <v>264</v>
      </c>
      <c r="M1687" s="11">
        <f>_xlfn.NUMBERVALUE(LEFT(Table613[[#This Row],[Fiscal Year]], 4))</f>
        <v>2001</v>
      </c>
      <c r="N1687" s="43">
        <f t="shared" si="34"/>
        <v>0</v>
      </c>
      <c r="O1687" s="3">
        <v>1685</v>
      </c>
    </row>
    <row r="1688" spans="1:15" x14ac:dyDescent="0.25">
      <c r="A1688" s="3">
        <v>8</v>
      </c>
      <c r="B1688" s="3" t="s">
        <v>267</v>
      </c>
      <c r="C1688" s="1" t="s">
        <v>262</v>
      </c>
      <c r="D1688" s="1" t="s">
        <v>444</v>
      </c>
      <c r="E1688" s="11" t="s">
        <v>144</v>
      </c>
      <c r="F1688" s="3" t="s">
        <v>8</v>
      </c>
      <c r="G1688" s="48" t="s">
        <v>981</v>
      </c>
      <c r="H1688" s="8" t="s">
        <v>504</v>
      </c>
      <c r="I1688" s="8"/>
      <c r="J1688" s="6" t="s">
        <v>108</v>
      </c>
      <c r="K1688" s="38">
        <v>0</v>
      </c>
      <c r="L1688" s="4" t="s">
        <v>264</v>
      </c>
      <c r="M1688" s="11">
        <f>_xlfn.NUMBERVALUE(LEFT(Table613[[#This Row],[Fiscal Year]], 4))</f>
        <v>2001</v>
      </c>
      <c r="N1688" s="43">
        <f t="shared" si="34"/>
        <v>0</v>
      </c>
      <c r="O1688" s="3">
        <v>1686</v>
      </c>
    </row>
    <row r="1689" spans="1:15" x14ac:dyDescent="0.25">
      <c r="A1689" s="3">
        <v>8</v>
      </c>
      <c r="B1689" s="3" t="s">
        <v>267</v>
      </c>
      <c r="C1689" s="1" t="s">
        <v>262</v>
      </c>
      <c r="D1689" s="1" t="s">
        <v>444</v>
      </c>
      <c r="E1689" s="11" t="s">
        <v>144</v>
      </c>
      <c r="F1689" s="3" t="s">
        <v>8</v>
      </c>
      <c r="G1689" s="66" t="s">
        <v>982</v>
      </c>
      <c r="H1689" s="8" t="s">
        <v>593</v>
      </c>
      <c r="I1689" s="8"/>
      <c r="J1689" s="6" t="s">
        <v>108</v>
      </c>
      <c r="K1689" s="38">
        <v>0</v>
      </c>
      <c r="L1689" s="4" t="s">
        <v>264</v>
      </c>
      <c r="M1689" s="11">
        <f>_xlfn.NUMBERVALUE(LEFT(Table613[[#This Row],[Fiscal Year]], 4))</f>
        <v>2001</v>
      </c>
      <c r="N1689" s="43">
        <f t="shared" si="34"/>
        <v>0</v>
      </c>
      <c r="O1689" s="3">
        <v>1687</v>
      </c>
    </row>
    <row r="1690" spans="1:15" x14ac:dyDescent="0.25">
      <c r="A1690" s="3">
        <v>8</v>
      </c>
      <c r="B1690" s="3" t="s">
        <v>267</v>
      </c>
      <c r="C1690" s="1" t="s">
        <v>262</v>
      </c>
      <c r="D1690" s="1" t="s">
        <v>444</v>
      </c>
      <c r="E1690" s="11" t="s">
        <v>144</v>
      </c>
      <c r="F1690" s="3" t="s">
        <v>8</v>
      </c>
      <c r="G1690" s="66" t="s">
        <v>983</v>
      </c>
      <c r="H1690" s="8" t="s">
        <v>504</v>
      </c>
      <c r="I1690" s="8"/>
      <c r="J1690" s="6" t="s">
        <v>108</v>
      </c>
      <c r="K1690" s="38">
        <v>0</v>
      </c>
      <c r="L1690" s="4" t="s">
        <v>264</v>
      </c>
      <c r="M1690" s="11">
        <f>_xlfn.NUMBERVALUE(LEFT(Table613[[#This Row],[Fiscal Year]], 4))</f>
        <v>2001</v>
      </c>
      <c r="N1690" s="43">
        <f t="shared" si="34"/>
        <v>0</v>
      </c>
      <c r="O1690" s="3">
        <v>1688</v>
      </c>
    </row>
    <row r="1691" spans="1:15" x14ac:dyDescent="0.25">
      <c r="A1691" s="3">
        <v>8</v>
      </c>
      <c r="B1691" s="3" t="s">
        <v>267</v>
      </c>
      <c r="C1691" s="1" t="s">
        <v>262</v>
      </c>
      <c r="D1691" s="1" t="s">
        <v>444</v>
      </c>
      <c r="E1691" s="11" t="s">
        <v>144</v>
      </c>
      <c r="F1691" s="3" t="s">
        <v>8</v>
      </c>
      <c r="G1691" s="66" t="s">
        <v>984</v>
      </c>
      <c r="H1691" s="8" t="s">
        <v>504</v>
      </c>
      <c r="I1691" s="8"/>
      <c r="J1691" s="6" t="s">
        <v>108</v>
      </c>
      <c r="K1691" s="38">
        <v>0</v>
      </c>
      <c r="L1691" s="4" t="s">
        <v>264</v>
      </c>
      <c r="M1691" s="11">
        <f>_xlfn.NUMBERVALUE(LEFT(Table613[[#This Row],[Fiscal Year]], 4))</f>
        <v>2001</v>
      </c>
      <c r="N1691" s="43">
        <f t="shared" si="34"/>
        <v>0</v>
      </c>
      <c r="O1691" s="3">
        <v>1689</v>
      </c>
    </row>
    <row r="1692" spans="1:15" x14ac:dyDescent="0.25">
      <c r="A1692" s="3">
        <v>8</v>
      </c>
      <c r="B1692" s="3" t="s">
        <v>267</v>
      </c>
      <c r="C1692" s="1" t="s">
        <v>262</v>
      </c>
      <c r="D1692" s="1" t="s">
        <v>444</v>
      </c>
      <c r="E1692" s="11" t="s">
        <v>144</v>
      </c>
      <c r="F1692" s="3" t="s">
        <v>8</v>
      </c>
      <c r="G1692" s="66" t="s">
        <v>985</v>
      </c>
      <c r="H1692" s="8" t="s">
        <v>505</v>
      </c>
      <c r="I1692" s="8"/>
      <c r="J1692" s="6" t="s">
        <v>42</v>
      </c>
      <c r="K1692" s="38">
        <v>0</v>
      </c>
      <c r="L1692" s="4" t="s">
        <v>264</v>
      </c>
      <c r="M1692" s="11">
        <f>_xlfn.NUMBERVALUE(LEFT(Table613[[#This Row],[Fiscal Year]], 4))</f>
        <v>2001</v>
      </c>
      <c r="N1692" s="43">
        <f t="shared" si="34"/>
        <v>0</v>
      </c>
      <c r="O1692" s="3">
        <v>1690</v>
      </c>
    </row>
    <row r="1693" spans="1:15" x14ac:dyDescent="0.25">
      <c r="A1693" s="3">
        <v>8</v>
      </c>
      <c r="B1693" s="3" t="s">
        <v>267</v>
      </c>
      <c r="C1693" s="1" t="s">
        <v>262</v>
      </c>
      <c r="D1693" s="1" t="s">
        <v>444</v>
      </c>
      <c r="E1693" s="11" t="s">
        <v>144</v>
      </c>
      <c r="F1693" s="3" t="s">
        <v>8</v>
      </c>
      <c r="G1693" s="66" t="s">
        <v>986</v>
      </c>
      <c r="H1693" s="8" t="s">
        <v>599</v>
      </c>
      <c r="I1693" s="8"/>
      <c r="J1693" s="6" t="s">
        <v>42</v>
      </c>
      <c r="K1693" s="38">
        <v>0</v>
      </c>
      <c r="L1693" s="4" t="s">
        <v>264</v>
      </c>
      <c r="M1693" s="11">
        <f>_xlfn.NUMBERVALUE(LEFT(Table613[[#This Row],[Fiscal Year]], 4))</f>
        <v>2001</v>
      </c>
      <c r="N1693" s="43">
        <f t="shared" si="34"/>
        <v>0</v>
      </c>
      <c r="O1693" s="3">
        <v>1691</v>
      </c>
    </row>
    <row r="1694" spans="1:15" x14ac:dyDescent="0.25">
      <c r="A1694" s="3">
        <v>8</v>
      </c>
      <c r="B1694" s="3" t="s">
        <v>267</v>
      </c>
      <c r="C1694" s="1" t="s">
        <v>262</v>
      </c>
      <c r="D1694" s="1" t="s">
        <v>444</v>
      </c>
      <c r="E1694" s="11" t="s">
        <v>144</v>
      </c>
      <c r="F1694" s="3" t="s">
        <v>8</v>
      </c>
      <c r="G1694" s="66" t="s">
        <v>987</v>
      </c>
      <c r="H1694" s="8"/>
      <c r="I1694" s="8"/>
      <c r="J1694" s="6" t="s">
        <v>111</v>
      </c>
      <c r="K1694" s="38">
        <v>0</v>
      </c>
      <c r="L1694" s="4" t="s">
        <v>264</v>
      </c>
      <c r="M1694" s="11">
        <f>_xlfn.NUMBERVALUE(LEFT(Table613[[#This Row],[Fiscal Year]], 4))</f>
        <v>2001</v>
      </c>
      <c r="N1694" s="43">
        <f t="shared" si="34"/>
        <v>0</v>
      </c>
      <c r="O1694" s="3">
        <v>1692</v>
      </c>
    </row>
    <row r="1695" spans="1:15" x14ac:dyDescent="0.25">
      <c r="A1695" s="3">
        <v>8</v>
      </c>
      <c r="B1695" s="3" t="s">
        <v>267</v>
      </c>
      <c r="C1695" s="1" t="s">
        <v>262</v>
      </c>
      <c r="D1695" s="1" t="s">
        <v>444</v>
      </c>
      <c r="E1695" s="11" t="s">
        <v>144</v>
      </c>
      <c r="F1695" s="3" t="s">
        <v>8</v>
      </c>
      <c r="G1695" s="66" t="s">
        <v>988</v>
      </c>
      <c r="H1695" s="8"/>
      <c r="I1695" s="8"/>
      <c r="J1695" s="6" t="s">
        <v>107</v>
      </c>
      <c r="K1695" s="38">
        <v>0</v>
      </c>
      <c r="L1695" s="4" t="s">
        <v>264</v>
      </c>
      <c r="M1695" s="11">
        <f>_xlfn.NUMBERVALUE(LEFT(Table613[[#This Row],[Fiscal Year]], 4))</f>
        <v>2001</v>
      </c>
      <c r="N1695" s="43">
        <f t="shared" si="34"/>
        <v>0</v>
      </c>
      <c r="O1695" s="3">
        <v>1693</v>
      </c>
    </row>
    <row r="1696" spans="1:15" x14ac:dyDescent="0.25">
      <c r="A1696" s="3">
        <v>8</v>
      </c>
      <c r="B1696" s="3" t="s">
        <v>267</v>
      </c>
      <c r="C1696" s="1" t="s">
        <v>262</v>
      </c>
      <c r="D1696" s="1" t="s">
        <v>444</v>
      </c>
      <c r="E1696" s="11" t="s">
        <v>144</v>
      </c>
      <c r="F1696" s="3" t="s">
        <v>8</v>
      </c>
      <c r="G1696" s="66" t="s">
        <v>989</v>
      </c>
      <c r="H1696" s="8" t="s">
        <v>597</v>
      </c>
      <c r="I1696" s="8" t="s">
        <v>594</v>
      </c>
      <c r="J1696" s="6" t="s">
        <v>108</v>
      </c>
      <c r="K1696" s="38">
        <v>0</v>
      </c>
      <c r="L1696" s="4" t="s">
        <v>264</v>
      </c>
      <c r="M1696" s="11">
        <f>_xlfn.NUMBERVALUE(LEFT(Table613[[#This Row],[Fiscal Year]], 4))</f>
        <v>2001</v>
      </c>
      <c r="N1696" s="43">
        <f t="shared" si="34"/>
        <v>0</v>
      </c>
      <c r="O1696" s="3">
        <v>1694</v>
      </c>
    </row>
    <row r="1697" spans="1:15" x14ac:dyDescent="0.25">
      <c r="A1697" s="3">
        <v>8</v>
      </c>
      <c r="B1697" s="3" t="s">
        <v>267</v>
      </c>
      <c r="C1697" s="1" t="s">
        <v>262</v>
      </c>
      <c r="D1697" s="1" t="s">
        <v>444</v>
      </c>
      <c r="E1697" s="11" t="s">
        <v>144</v>
      </c>
      <c r="F1697" s="3" t="s">
        <v>8</v>
      </c>
      <c r="G1697" s="66" t="s">
        <v>990</v>
      </c>
      <c r="H1697" s="8" t="s">
        <v>506</v>
      </c>
      <c r="I1697" s="8"/>
      <c r="J1697" s="6" t="s">
        <v>106</v>
      </c>
      <c r="K1697" s="38">
        <v>0</v>
      </c>
      <c r="L1697" s="4" t="s">
        <v>264</v>
      </c>
      <c r="M1697" s="11">
        <f>_xlfn.NUMBERVALUE(LEFT(Table613[[#This Row],[Fiscal Year]], 4))</f>
        <v>2001</v>
      </c>
      <c r="N1697" s="43">
        <f t="shared" si="34"/>
        <v>0</v>
      </c>
      <c r="O1697" s="3">
        <v>1695</v>
      </c>
    </row>
    <row r="1698" spans="1:15" x14ac:dyDescent="0.25">
      <c r="A1698" s="3">
        <v>8</v>
      </c>
      <c r="B1698" s="3" t="s">
        <v>267</v>
      </c>
      <c r="C1698" s="1" t="s">
        <v>262</v>
      </c>
      <c r="D1698" s="1" t="s">
        <v>444</v>
      </c>
      <c r="E1698" s="11" t="s">
        <v>144</v>
      </c>
      <c r="F1698" s="3" t="s">
        <v>8</v>
      </c>
      <c r="G1698" s="66" t="s">
        <v>1004</v>
      </c>
      <c r="H1698" s="8"/>
      <c r="I1698" s="8"/>
      <c r="J1698" s="6" t="s">
        <v>76</v>
      </c>
      <c r="K1698" s="38">
        <v>0</v>
      </c>
      <c r="L1698" s="4" t="s">
        <v>264</v>
      </c>
      <c r="M1698" s="11">
        <f>_xlfn.NUMBERVALUE(LEFT(Table613[[#This Row],[Fiscal Year]], 4))</f>
        <v>2001</v>
      </c>
      <c r="N1698" s="43">
        <f t="shared" si="34"/>
        <v>0</v>
      </c>
      <c r="O1698" s="3">
        <v>1696</v>
      </c>
    </row>
    <row r="1699" spans="1:15" x14ac:dyDescent="0.25">
      <c r="A1699" s="3">
        <v>8</v>
      </c>
      <c r="B1699" s="3" t="s">
        <v>267</v>
      </c>
      <c r="C1699" s="1" t="s">
        <v>262</v>
      </c>
      <c r="D1699" s="1" t="s">
        <v>444</v>
      </c>
      <c r="E1699" s="11" t="s">
        <v>144</v>
      </c>
      <c r="F1699" s="3" t="s">
        <v>8</v>
      </c>
      <c r="G1699" s="48" t="s">
        <v>991</v>
      </c>
      <c r="H1699" s="8" t="s">
        <v>503</v>
      </c>
      <c r="I1699" s="8"/>
      <c r="J1699" s="6" t="s">
        <v>110</v>
      </c>
      <c r="K1699" s="38">
        <v>0</v>
      </c>
      <c r="L1699" s="4" t="s">
        <v>264</v>
      </c>
      <c r="M1699" s="11">
        <f>_xlfn.NUMBERVALUE(LEFT(Table613[[#This Row],[Fiscal Year]], 4))</f>
        <v>2001</v>
      </c>
      <c r="N1699" s="43">
        <f t="shared" si="34"/>
        <v>0</v>
      </c>
      <c r="O1699" s="3">
        <v>1697</v>
      </c>
    </row>
    <row r="1700" spans="1:15" x14ac:dyDescent="0.25">
      <c r="A1700" s="3">
        <v>8</v>
      </c>
      <c r="B1700" s="3" t="s">
        <v>267</v>
      </c>
      <c r="C1700" s="1" t="s">
        <v>262</v>
      </c>
      <c r="D1700" s="1" t="s">
        <v>444</v>
      </c>
      <c r="E1700" s="11" t="s">
        <v>144</v>
      </c>
      <c r="F1700" s="3" t="s">
        <v>8</v>
      </c>
      <c r="G1700" s="66" t="s">
        <v>992</v>
      </c>
      <c r="H1700" s="8" t="s">
        <v>504</v>
      </c>
      <c r="I1700" s="8"/>
      <c r="J1700" s="6" t="s">
        <v>108</v>
      </c>
      <c r="K1700" s="38">
        <v>0</v>
      </c>
      <c r="L1700" s="4" t="s">
        <v>264</v>
      </c>
      <c r="M1700" s="11">
        <f>_xlfn.NUMBERVALUE(LEFT(Table613[[#This Row],[Fiscal Year]], 4))</f>
        <v>2001</v>
      </c>
      <c r="N1700" s="43">
        <f t="shared" si="34"/>
        <v>0</v>
      </c>
      <c r="O1700" s="3">
        <v>1698</v>
      </c>
    </row>
    <row r="1701" spans="1:15" x14ac:dyDescent="0.25">
      <c r="A1701" s="3">
        <v>8</v>
      </c>
      <c r="B1701" s="3" t="s">
        <v>267</v>
      </c>
      <c r="C1701" s="1" t="s">
        <v>262</v>
      </c>
      <c r="D1701" s="1" t="s">
        <v>444</v>
      </c>
      <c r="E1701" s="11" t="s">
        <v>144</v>
      </c>
      <c r="F1701" s="3" t="s">
        <v>8</v>
      </c>
      <c r="G1701" s="66" t="s">
        <v>993</v>
      </c>
      <c r="H1701" s="8" t="s">
        <v>602</v>
      </c>
      <c r="I1701" s="8"/>
      <c r="J1701" s="6" t="s">
        <v>108</v>
      </c>
      <c r="K1701" s="38">
        <v>0</v>
      </c>
      <c r="L1701" s="4" t="s">
        <v>264</v>
      </c>
      <c r="M1701" s="11">
        <f>_xlfn.NUMBERVALUE(LEFT(Table613[[#This Row],[Fiscal Year]], 4))</f>
        <v>2001</v>
      </c>
      <c r="N1701" s="43">
        <f t="shared" si="34"/>
        <v>0</v>
      </c>
      <c r="O1701" s="3">
        <v>1699</v>
      </c>
    </row>
    <row r="1702" spans="1:15" x14ac:dyDescent="0.25">
      <c r="A1702" s="3">
        <v>8</v>
      </c>
      <c r="B1702" s="3" t="s">
        <v>267</v>
      </c>
      <c r="C1702" s="1" t="s">
        <v>262</v>
      </c>
      <c r="D1702" s="1" t="s">
        <v>444</v>
      </c>
      <c r="E1702" s="11" t="s">
        <v>144</v>
      </c>
      <c r="F1702" s="3" t="s">
        <v>8</v>
      </c>
      <c r="G1702" s="66" t="s">
        <v>994</v>
      </c>
      <c r="H1702" s="8" t="s">
        <v>504</v>
      </c>
      <c r="I1702" s="8"/>
      <c r="J1702" s="6" t="s">
        <v>108</v>
      </c>
      <c r="K1702" s="38">
        <v>10500</v>
      </c>
      <c r="L1702" s="4" t="s">
        <v>264</v>
      </c>
      <c r="M1702" s="11">
        <f>_xlfn.NUMBERVALUE(LEFT(Table613[[#This Row],[Fiscal Year]], 4))</f>
        <v>2001</v>
      </c>
      <c r="N1702" s="42">
        <f t="shared" si="34"/>
        <v>14918.833992094862</v>
      </c>
      <c r="O1702" s="3">
        <v>1700</v>
      </c>
    </row>
    <row r="1703" spans="1:15" x14ac:dyDescent="0.25">
      <c r="A1703" s="3">
        <v>8</v>
      </c>
      <c r="B1703" s="3" t="s">
        <v>267</v>
      </c>
      <c r="C1703" s="1" t="s">
        <v>262</v>
      </c>
      <c r="D1703" s="1" t="s">
        <v>444</v>
      </c>
      <c r="E1703" s="11" t="s">
        <v>144</v>
      </c>
      <c r="F1703" s="3" t="s">
        <v>8</v>
      </c>
      <c r="G1703" s="66" t="s">
        <v>995</v>
      </c>
      <c r="H1703" s="8" t="s">
        <v>504</v>
      </c>
      <c r="I1703" s="8"/>
      <c r="J1703" s="6" t="s">
        <v>108</v>
      </c>
      <c r="K1703" s="38">
        <v>10000</v>
      </c>
      <c r="L1703" s="4" t="s">
        <v>264</v>
      </c>
      <c r="M1703" s="11">
        <f>_xlfn.NUMBERVALUE(LEFT(Table613[[#This Row],[Fiscal Year]], 4))</f>
        <v>2001</v>
      </c>
      <c r="N1703" s="42">
        <f t="shared" si="34"/>
        <v>14208.413325804629</v>
      </c>
      <c r="O1703" s="3">
        <v>1701</v>
      </c>
    </row>
    <row r="1704" spans="1:15" x14ac:dyDescent="0.25">
      <c r="A1704" s="3">
        <v>8</v>
      </c>
      <c r="B1704" s="3" t="s">
        <v>267</v>
      </c>
      <c r="C1704" s="1" t="s">
        <v>262</v>
      </c>
      <c r="D1704" s="1" t="s">
        <v>444</v>
      </c>
      <c r="E1704" s="11" t="s">
        <v>144</v>
      </c>
      <c r="F1704" s="3" t="s">
        <v>8</v>
      </c>
      <c r="G1704" s="48" t="s">
        <v>996</v>
      </c>
      <c r="H1704" s="8" t="s">
        <v>504</v>
      </c>
      <c r="I1704" s="8"/>
      <c r="J1704" s="6" t="s">
        <v>108</v>
      </c>
      <c r="K1704" s="38">
        <v>221000</v>
      </c>
      <c r="L1704" s="4" t="s">
        <v>264</v>
      </c>
      <c r="M1704" s="11">
        <f>_xlfn.NUMBERVALUE(LEFT(Table613[[#This Row],[Fiscal Year]], 4))</f>
        <v>2001</v>
      </c>
      <c r="N1704" s="42">
        <f t="shared" si="34"/>
        <v>314005.93450028234</v>
      </c>
      <c r="O1704" s="3">
        <v>1702</v>
      </c>
    </row>
    <row r="1705" spans="1:15" x14ac:dyDescent="0.25">
      <c r="A1705" s="3">
        <v>8</v>
      </c>
      <c r="B1705" s="3" t="s">
        <v>267</v>
      </c>
      <c r="C1705" s="1" t="s">
        <v>262</v>
      </c>
      <c r="D1705" s="1" t="s">
        <v>444</v>
      </c>
      <c r="E1705" s="11" t="s">
        <v>144</v>
      </c>
      <c r="F1705" s="3" t="s">
        <v>8</v>
      </c>
      <c r="G1705" s="66" t="s">
        <v>997</v>
      </c>
      <c r="H1705" s="8" t="s">
        <v>593</v>
      </c>
      <c r="I1705" s="8"/>
      <c r="J1705" s="6" t="s">
        <v>108</v>
      </c>
      <c r="K1705" s="38">
        <v>0</v>
      </c>
      <c r="L1705" s="4" t="s">
        <v>264</v>
      </c>
      <c r="M1705" s="11">
        <f>_xlfn.NUMBERVALUE(LEFT(Table613[[#This Row],[Fiscal Year]], 4))</f>
        <v>2001</v>
      </c>
      <c r="N1705" s="43">
        <f t="shared" si="34"/>
        <v>0</v>
      </c>
      <c r="O1705" s="3">
        <v>1703</v>
      </c>
    </row>
    <row r="1706" spans="1:15" x14ac:dyDescent="0.25">
      <c r="A1706" s="3">
        <v>8</v>
      </c>
      <c r="B1706" s="3" t="s">
        <v>267</v>
      </c>
      <c r="C1706" s="1" t="s">
        <v>262</v>
      </c>
      <c r="D1706" s="1" t="s">
        <v>444</v>
      </c>
      <c r="E1706" s="11" t="s">
        <v>144</v>
      </c>
      <c r="F1706" s="3" t="s">
        <v>8</v>
      </c>
      <c r="G1706" s="66" t="s">
        <v>998</v>
      </c>
      <c r="H1706" s="8" t="s">
        <v>504</v>
      </c>
      <c r="I1706" s="8"/>
      <c r="J1706" s="6" t="s">
        <v>108</v>
      </c>
      <c r="K1706" s="38">
        <v>0</v>
      </c>
      <c r="L1706" s="4" t="s">
        <v>264</v>
      </c>
      <c r="M1706" s="11">
        <f>_xlfn.NUMBERVALUE(LEFT(Table613[[#This Row],[Fiscal Year]], 4))</f>
        <v>2001</v>
      </c>
      <c r="N1706" s="43">
        <f t="shared" si="34"/>
        <v>0</v>
      </c>
      <c r="O1706" s="3">
        <v>1704</v>
      </c>
    </row>
    <row r="1707" spans="1:15" x14ac:dyDescent="0.25">
      <c r="A1707" s="3">
        <v>8</v>
      </c>
      <c r="B1707" s="3" t="s">
        <v>267</v>
      </c>
      <c r="C1707" s="1" t="s">
        <v>262</v>
      </c>
      <c r="D1707" s="1" t="s">
        <v>444</v>
      </c>
      <c r="E1707" s="11" t="s">
        <v>144</v>
      </c>
      <c r="F1707" s="3" t="s">
        <v>8</v>
      </c>
      <c r="G1707" s="66" t="s">
        <v>999</v>
      </c>
      <c r="H1707" s="8" t="s">
        <v>504</v>
      </c>
      <c r="I1707" s="8"/>
      <c r="J1707" s="6" t="s">
        <v>108</v>
      </c>
      <c r="K1707" s="38">
        <v>18000</v>
      </c>
      <c r="L1707" s="4" t="s">
        <v>264</v>
      </c>
      <c r="M1707" s="11">
        <f>_xlfn.NUMBERVALUE(LEFT(Table613[[#This Row],[Fiscal Year]], 4))</f>
        <v>2001</v>
      </c>
      <c r="N1707" s="42">
        <f>K1707*(1+VLOOKUP(M1707,$AF$8:$AH$31,3,0))</f>
        <v>25575.143986448333</v>
      </c>
      <c r="O1707" s="3">
        <v>1705</v>
      </c>
    </row>
    <row r="1708" spans="1:15" x14ac:dyDescent="0.25">
      <c r="A1708" s="3">
        <v>8</v>
      </c>
      <c r="B1708" s="3" t="s">
        <v>267</v>
      </c>
      <c r="C1708" s="1" t="s">
        <v>262</v>
      </c>
      <c r="D1708" s="1" t="s">
        <v>444</v>
      </c>
      <c r="E1708" s="11" t="s">
        <v>144</v>
      </c>
      <c r="F1708" s="3" t="s">
        <v>8</v>
      </c>
      <c r="G1708" s="66" t="s">
        <v>1000</v>
      </c>
      <c r="H1708" s="8" t="s">
        <v>505</v>
      </c>
      <c r="I1708" s="8"/>
      <c r="J1708" s="6" t="s">
        <v>42</v>
      </c>
      <c r="K1708" s="38">
        <v>0</v>
      </c>
      <c r="L1708" s="4" t="s">
        <v>264</v>
      </c>
      <c r="M1708" s="11">
        <f>_xlfn.NUMBERVALUE(LEFT(Table613[[#This Row],[Fiscal Year]], 4))</f>
        <v>2001</v>
      </c>
      <c r="N1708" s="43">
        <f t="shared" si="34"/>
        <v>0</v>
      </c>
      <c r="O1708" s="3">
        <v>1706</v>
      </c>
    </row>
    <row r="1709" spans="1:15" x14ac:dyDescent="0.25">
      <c r="A1709" s="3">
        <v>8</v>
      </c>
      <c r="B1709" s="3" t="s">
        <v>267</v>
      </c>
      <c r="C1709" s="1" t="s">
        <v>262</v>
      </c>
      <c r="D1709" s="1" t="s">
        <v>444</v>
      </c>
      <c r="E1709" s="11" t="s">
        <v>144</v>
      </c>
      <c r="F1709" s="3" t="s">
        <v>8</v>
      </c>
      <c r="G1709" s="66" t="s">
        <v>1001</v>
      </c>
      <c r="H1709" s="8" t="s">
        <v>599</v>
      </c>
      <c r="I1709" s="8"/>
      <c r="J1709" s="6" t="s">
        <v>42</v>
      </c>
      <c r="K1709" s="38">
        <v>0</v>
      </c>
      <c r="L1709" s="4" t="s">
        <v>264</v>
      </c>
      <c r="M1709" s="11">
        <f>_xlfn.NUMBERVALUE(LEFT(Table613[[#This Row],[Fiscal Year]], 4))</f>
        <v>2001</v>
      </c>
      <c r="N1709" s="43">
        <f t="shared" si="34"/>
        <v>0</v>
      </c>
      <c r="O1709" s="3">
        <v>1707</v>
      </c>
    </row>
    <row r="1710" spans="1:15" x14ac:dyDescent="0.25">
      <c r="A1710" s="3">
        <v>8</v>
      </c>
      <c r="B1710" s="3" t="s">
        <v>267</v>
      </c>
      <c r="C1710" s="1" t="s">
        <v>262</v>
      </c>
      <c r="D1710" s="1" t="s">
        <v>444</v>
      </c>
      <c r="E1710" s="11" t="s">
        <v>144</v>
      </c>
      <c r="F1710" s="3" t="s">
        <v>8</v>
      </c>
      <c r="G1710" s="66" t="s">
        <v>1005</v>
      </c>
      <c r="H1710" s="8"/>
      <c r="I1710" s="8"/>
      <c r="J1710" s="6" t="s">
        <v>111</v>
      </c>
      <c r="K1710" s="38">
        <v>0</v>
      </c>
      <c r="L1710" s="4" t="s">
        <v>264</v>
      </c>
      <c r="M1710" s="11">
        <f>_xlfn.NUMBERVALUE(LEFT(Table613[[#This Row],[Fiscal Year]], 4))</f>
        <v>2001</v>
      </c>
      <c r="N1710" s="43">
        <f t="shared" si="34"/>
        <v>0</v>
      </c>
      <c r="O1710" s="3">
        <v>1708</v>
      </c>
    </row>
    <row r="1711" spans="1:15" x14ac:dyDescent="0.25">
      <c r="A1711" s="3">
        <v>8</v>
      </c>
      <c r="B1711" s="3" t="s">
        <v>267</v>
      </c>
      <c r="C1711" s="1" t="s">
        <v>262</v>
      </c>
      <c r="D1711" s="1" t="s">
        <v>444</v>
      </c>
      <c r="E1711" s="11" t="s">
        <v>144</v>
      </c>
      <c r="F1711" s="3" t="s">
        <v>8</v>
      </c>
      <c r="G1711" s="66" t="s">
        <v>1006</v>
      </c>
      <c r="H1711" s="8"/>
      <c r="I1711" s="8"/>
      <c r="J1711" s="6" t="s">
        <v>107</v>
      </c>
      <c r="K1711" s="38">
        <v>0</v>
      </c>
      <c r="L1711" s="4" t="s">
        <v>264</v>
      </c>
      <c r="M1711" s="11">
        <f>_xlfn.NUMBERVALUE(LEFT(Table613[[#This Row],[Fiscal Year]], 4))</f>
        <v>2001</v>
      </c>
      <c r="N1711" s="43">
        <f t="shared" si="34"/>
        <v>0</v>
      </c>
      <c r="O1711" s="3">
        <v>1709</v>
      </c>
    </row>
    <row r="1712" spans="1:15" x14ac:dyDescent="0.25">
      <c r="A1712" s="3">
        <v>8</v>
      </c>
      <c r="B1712" s="3" t="s">
        <v>267</v>
      </c>
      <c r="C1712" s="1" t="s">
        <v>262</v>
      </c>
      <c r="D1712" s="1" t="s">
        <v>444</v>
      </c>
      <c r="E1712" s="11" t="s">
        <v>144</v>
      </c>
      <c r="F1712" s="3" t="s">
        <v>8</v>
      </c>
      <c r="G1712" s="66" t="s">
        <v>1002</v>
      </c>
      <c r="H1712" s="8" t="s">
        <v>597</v>
      </c>
      <c r="I1712" s="8" t="s">
        <v>594</v>
      </c>
      <c r="J1712" s="6" t="s">
        <v>108</v>
      </c>
      <c r="K1712" s="38">
        <v>0</v>
      </c>
      <c r="L1712" s="4" t="s">
        <v>264</v>
      </c>
      <c r="M1712" s="11">
        <f>_xlfn.NUMBERVALUE(LEFT(Table613[[#This Row],[Fiscal Year]], 4))</f>
        <v>2001</v>
      </c>
      <c r="N1712" s="43">
        <f t="shared" si="34"/>
        <v>0</v>
      </c>
      <c r="O1712" s="3">
        <v>1710</v>
      </c>
    </row>
    <row r="1713" spans="1:15" x14ac:dyDescent="0.25">
      <c r="A1713" s="3">
        <v>8</v>
      </c>
      <c r="B1713" s="3" t="s">
        <v>267</v>
      </c>
      <c r="C1713" s="1" t="s">
        <v>262</v>
      </c>
      <c r="D1713" s="1" t="s">
        <v>444</v>
      </c>
      <c r="E1713" s="11" t="s">
        <v>144</v>
      </c>
      <c r="F1713" s="3" t="s">
        <v>8</v>
      </c>
      <c r="G1713" s="66" t="s">
        <v>1003</v>
      </c>
      <c r="H1713" s="8" t="s">
        <v>506</v>
      </c>
      <c r="I1713" s="8"/>
      <c r="J1713" s="6" t="s">
        <v>106</v>
      </c>
      <c r="K1713" s="38">
        <v>0</v>
      </c>
      <c r="L1713" s="4" t="s">
        <v>264</v>
      </c>
      <c r="M1713" s="11">
        <f>_xlfn.NUMBERVALUE(LEFT(Table613[[#This Row],[Fiscal Year]], 4))</f>
        <v>2001</v>
      </c>
      <c r="N1713" s="43">
        <f t="shared" si="34"/>
        <v>0</v>
      </c>
      <c r="O1713" s="3">
        <v>1711</v>
      </c>
    </row>
    <row r="1714" spans="1:15" x14ac:dyDescent="0.25">
      <c r="A1714" s="3">
        <v>8</v>
      </c>
      <c r="B1714" s="3" t="s">
        <v>267</v>
      </c>
      <c r="C1714" s="1" t="s">
        <v>262</v>
      </c>
      <c r="D1714" s="1" t="s">
        <v>444</v>
      </c>
      <c r="E1714" s="11" t="s">
        <v>144</v>
      </c>
      <c r="F1714" s="3" t="s">
        <v>8</v>
      </c>
      <c r="G1714" s="66" t="s">
        <v>1007</v>
      </c>
      <c r="H1714" s="8"/>
      <c r="I1714" s="8"/>
      <c r="J1714" s="6" t="s">
        <v>76</v>
      </c>
      <c r="K1714" s="38">
        <v>0</v>
      </c>
      <c r="L1714" s="4" t="s">
        <v>264</v>
      </c>
      <c r="M1714" s="11">
        <f>_xlfn.NUMBERVALUE(LEFT(Table613[[#This Row],[Fiscal Year]], 4))</f>
        <v>2001</v>
      </c>
      <c r="N1714" s="43">
        <f t="shared" si="34"/>
        <v>0</v>
      </c>
      <c r="O1714" s="3">
        <v>1712</v>
      </c>
    </row>
    <row r="1715" spans="1:15" x14ac:dyDescent="0.25">
      <c r="C1715" s="1"/>
      <c r="D1715" s="1"/>
      <c r="E1715" s="11"/>
      <c r="G1715" s="66"/>
      <c r="H1715" s="8"/>
      <c r="I1715" s="8"/>
      <c r="J1715" s="6"/>
      <c r="L1715" s="4"/>
      <c r="O1715" s="3">
        <v>1713</v>
      </c>
    </row>
    <row r="1716" spans="1:15" x14ac:dyDescent="0.25">
      <c r="A1716" s="3">
        <v>8</v>
      </c>
      <c r="B1716" s="3" t="s">
        <v>268</v>
      </c>
      <c r="C1716" s="1" t="s">
        <v>262</v>
      </c>
      <c r="D1716" s="1" t="s">
        <v>444</v>
      </c>
      <c r="E1716" s="11" t="s">
        <v>144</v>
      </c>
      <c r="F1716" s="3" t="s">
        <v>8</v>
      </c>
      <c r="G1716" s="48" t="s">
        <v>976</v>
      </c>
      <c r="H1716" s="8" t="s">
        <v>503</v>
      </c>
      <c r="I1716" s="8" t="s">
        <v>640</v>
      </c>
      <c r="J1716" s="6" t="s">
        <v>110</v>
      </c>
      <c r="K1716" s="38">
        <v>0</v>
      </c>
      <c r="L1716" s="4" t="s">
        <v>264</v>
      </c>
      <c r="M1716" s="11">
        <f>_xlfn.NUMBERVALUE(LEFT(Table613[[#This Row],[Fiscal Year]], 4))</f>
        <v>2001</v>
      </c>
      <c r="N1716" s="43">
        <f t="shared" ref="N1716:N1747" si="35">K1716*(1+VLOOKUP(M1716,$AF$8:$AH$31,3,0))</f>
        <v>0</v>
      </c>
      <c r="O1716" s="3">
        <v>1714</v>
      </c>
    </row>
    <row r="1717" spans="1:15" x14ac:dyDescent="0.25">
      <c r="A1717" s="3">
        <v>8</v>
      </c>
      <c r="B1717" s="3" t="s">
        <v>268</v>
      </c>
      <c r="C1717" s="1" t="s">
        <v>262</v>
      </c>
      <c r="D1717" s="1" t="s">
        <v>444</v>
      </c>
      <c r="E1717" s="11" t="s">
        <v>144</v>
      </c>
      <c r="F1717" s="3" t="s">
        <v>8</v>
      </c>
      <c r="G1717" s="66" t="s">
        <v>977</v>
      </c>
      <c r="H1717" s="8" t="s">
        <v>504</v>
      </c>
      <c r="I1717" s="8"/>
      <c r="J1717" s="6" t="s">
        <v>108</v>
      </c>
      <c r="K1717" s="38">
        <v>0</v>
      </c>
      <c r="L1717" s="4" t="s">
        <v>264</v>
      </c>
      <c r="M1717" s="11">
        <f>_xlfn.NUMBERVALUE(LEFT(Table613[[#This Row],[Fiscal Year]], 4))</f>
        <v>2001</v>
      </c>
      <c r="N1717" s="43">
        <f t="shared" si="35"/>
        <v>0</v>
      </c>
      <c r="O1717" s="3">
        <v>1715</v>
      </c>
    </row>
    <row r="1718" spans="1:15" x14ac:dyDescent="0.25">
      <c r="A1718" s="3">
        <v>8</v>
      </c>
      <c r="B1718" s="3" t="s">
        <v>268</v>
      </c>
      <c r="C1718" s="1" t="s">
        <v>262</v>
      </c>
      <c r="D1718" s="1" t="s">
        <v>444</v>
      </c>
      <c r="E1718" s="11" t="s">
        <v>144</v>
      </c>
      <c r="F1718" s="3" t="s">
        <v>8</v>
      </c>
      <c r="G1718" s="66" t="s">
        <v>978</v>
      </c>
      <c r="H1718" s="8" t="s">
        <v>602</v>
      </c>
      <c r="I1718" s="8"/>
      <c r="J1718" s="6" t="s">
        <v>108</v>
      </c>
      <c r="K1718" s="38">
        <v>0</v>
      </c>
      <c r="L1718" s="4" t="s">
        <v>264</v>
      </c>
      <c r="M1718" s="11">
        <f>_xlfn.NUMBERVALUE(LEFT(Table613[[#This Row],[Fiscal Year]], 4))</f>
        <v>2001</v>
      </c>
      <c r="N1718" s="43">
        <f t="shared" si="35"/>
        <v>0</v>
      </c>
      <c r="O1718" s="3">
        <v>1716</v>
      </c>
    </row>
    <row r="1719" spans="1:15" x14ac:dyDescent="0.25">
      <c r="A1719" s="3">
        <v>8</v>
      </c>
      <c r="B1719" s="3" t="s">
        <v>268</v>
      </c>
      <c r="C1719" s="1" t="s">
        <v>262</v>
      </c>
      <c r="D1719" s="1" t="s">
        <v>444</v>
      </c>
      <c r="E1719" s="11" t="s">
        <v>144</v>
      </c>
      <c r="F1719" s="3" t="s">
        <v>8</v>
      </c>
      <c r="G1719" s="66" t="s">
        <v>979</v>
      </c>
      <c r="H1719" s="8" t="s">
        <v>504</v>
      </c>
      <c r="I1719" s="8"/>
      <c r="J1719" s="6" t="s">
        <v>108</v>
      </c>
      <c r="K1719" s="38">
        <v>0</v>
      </c>
      <c r="L1719" s="4" t="s">
        <v>264</v>
      </c>
      <c r="M1719" s="11">
        <f>_xlfn.NUMBERVALUE(LEFT(Table613[[#This Row],[Fiscal Year]], 4))</f>
        <v>2001</v>
      </c>
      <c r="N1719" s="43">
        <f t="shared" si="35"/>
        <v>0</v>
      </c>
      <c r="O1719" s="3">
        <v>1717</v>
      </c>
    </row>
    <row r="1720" spans="1:15" x14ac:dyDescent="0.25">
      <c r="A1720" s="3">
        <v>8</v>
      </c>
      <c r="B1720" s="3" t="s">
        <v>268</v>
      </c>
      <c r="C1720" s="1" t="s">
        <v>262</v>
      </c>
      <c r="D1720" s="1" t="s">
        <v>444</v>
      </c>
      <c r="E1720" s="11" t="s">
        <v>144</v>
      </c>
      <c r="F1720" s="3" t="s">
        <v>8</v>
      </c>
      <c r="G1720" s="66" t="s">
        <v>980</v>
      </c>
      <c r="H1720" s="8" t="s">
        <v>504</v>
      </c>
      <c r="I1720" s="8"/>
      <c r="J1720" s="6" t="s">
        <v>108</v>
      </c>
      <c r="K1720" s="38">
        <v>0</v>
      </c>
      <c r="L1720" s="4" t="s">
        <v>264</v>
      </c>
      <c r="M1720" s="11">
        <f>_xlfn.NUMBERVALUE(LEFT(Table613[[#This Row],[Fiscal Year]], 4))</f>
        <v>2001</v>
      </c>
      <c r="N1720" s="43">
        <f t="shared" si="35"/>
        <v>0</v>
      </c>
      <c r="O1720" s="3">
        <v>1718</v>
      </c>
    </row>
    <row r="1721" spans="1:15" x14ac:dyDescent="0.25">
      <c r="A1721" s="3">
        <v>8</v>
      </c>
      <c r="B1721" s="3" t="s">
        <v>268</v>
      </c>
      <c r="C1721" s="1" t="s">
        <v>262</v>
      </c>
      <c r="D1721" s="1" t="s">
        <v>444</v>
      </c>
      <c r="E1721" s="11" t="s">
        <v>144</v>
      </c>
      <c r="F1721" s="3" t="s">
        <v>8</v>
      </c>
      <c r="G1721" s="48" t="s">
        <v>981</v>
      </c>
      <c r="H1721" s="8" t="s">
        <v>504</v>
      </c>
      <c r="I1721" s="8"/>
      <c r="J1721" s="6" t="s">
        <v>108</v>
      </c>
      <c r="K1721" s="38">
        <v>115000</v>
      </c>
      <c r="L1721" s="4" t="s">
        <v>264</v>
      </c>
      <c r="M1721" s="11">
        <f>_xlfn.NUMBERVALUE(LEFT(Table613[[#This Row],[Fiscal Year]], 4))</f>
        <v>2001</v>
      </c>
      <c r="N1721" s="42">
        <f>K1721*(1+VLOOKUP(M1721,$AF$8:$AH$31,3,0))</f>
        <v>163396.75324675324</v>
      </c>
      <c r="O1721" s="3">
        <v>1719</v>
      </c>
    </row>
    <row r="1722" spans="1:15" x14ac:dyDescent="0.25">
      <c r="A1722" s="3">
        <v>8</v>
      </c>
      <c r="B1722" s="3" t="s">
        <v>268</v>
      </c>
      <c r="C1722" s="1" t="s">
        <v>262</v>
      </c>
      <c r="D1722" s="1" t="s">
        <v>444</v>
      </c>
      <c r="E1722" s="11" t="s">
        <v>144</v>
      </c>
      <c r="F1722" s="3" t="s">
        <v>8</v>
      </c>
      <c r="G1722" s="66" t="s">
        <v>982</v>
      </c>
      <c r="H1722" s="8" t="s">
        <v>593</v>
      </c>
      <c r="I1722" s="8" t="s">
        <v>594</v>
      </c>
      <c r="J1722" s="6" t="s">
        <v>108</v>
      </c>
      <c r="K1722" s="38">
        <v>0</v>
      </c>
      <c r="L1722" s="4" t="s">
        <v>264</v>
      </c>
      <c r="M1722" s="11">
        <f>_xlfn.NUMBERVALUE(LEFT(Table613[[#This Row],[Fiscal Year]], 4))</f>
        <v>2001</v>
      </c>
      <c r="N1722" s="43">
        <f t="shared" si="35"/>
        <v>0</v>
      </c>
      <c r="O1722" s="3">
        <v>1720</v>
      </c>
    </row>
    <row r="1723" spans="1:15" x14ac:dyDescent="0.25">
      <c r="A1723" s="3">
        <v>8</v>
      </c>
      <c r="B1723" s="3" t="s">
        <v>268</v>
      </c>
      <c r="C1723" s="1" t="s">
        <v>262</v>
      </c>
      <c r="D1723" s="1" t="s">
        <v>444</v>
      </c>
      <c r="E1723" s="11" t="s">
        <v>144</v>
      </c>
      <c r="F1723" s="3" t="s">
        <v>8</v>
      </c>
      <c r="G1723" s="66" t="s">
        <v>983</v>
      </c>
      <c r="H1723" s="8" t="s">
        <v>504</v>
      </c>
      <c r="I1723" s="8"/>
      <c r="J1723" s="6" t="s">
        <v>108</v>
      </c>
      <c r="K1723" s="38">
        <v>0</v>
      </c>
      <c r="L1723" s="4" t="s">
        <v>264</v>
      </c>
      <c r="M1723" s="11">
        <f>_xlfn.NUMBERVALUE(LEFT(Table613[[#This Row],[Fiscal Year]], 4))</f>
        <v>2001</v>
      </c>
      <c r="N1723" s="43">
        <f t="shared" si="35"/>
        <v>0</v>
      </c>
      <c r="O1723" s="3">
        <v>1721</v>
      </c>
    </row>
    <row r="1724" spans="1:15" x14ac:dyDescent="0.25">
      <c r="A1724" s="3">
        <v>8</v>
      </c>
      <c r="B1724" s="3" t="s">
        <v>268</v>
      </c>
      <c r="C1724" s="1" t="s">
        <v>262</v>
      </c>
      <c r="D1724" s="1" t="s">
        <v>444</v>
      </c>
      <c r="E1724" s="11" t="s">
        <v>144</v>
      </c>
      <c r="F1724" s="3" t="s">
        <v>8</v>
      </c>
      <c r="G1724" s="66" t="s">
        <v>984</v>
      </c>
      <c r="H1724" s="8" t="s">
        <v>504</v>
      </c>
      <c r="I1724" s="8"/>
      <c r="J1724" s="6" t="s">
        <v>108</v>
      </c>
      <c r="K1724" s="38">
        <v>0</v>
      </c>
      <c r="L1724" s="4" t="s">
        <v>264</v>
      </c>
      <c r="M1724" s="11">
        <f>_xlfn.NUMBERVALUE(LEFT(Table613[[#This Row],[Fiscal Year]], 4))</f>
        <v>2001</v>
      </c>
      <c r="N1724" s="43">
        <f t="shared" si="35"/>
        <v>0</v>
      </c>
      <c r="O1724" s="3">
        <v>1722</v>
      </c>
    </row>
    <row r="1725" spans="1:15" x14ac:dyDescent="0.25">
      <c r="A1725" s="3">
        <v>8</v>
      </c>
      <c r="B1725" s="3" t="s">
        <v>268</v>
      </c>
      <c r="C1725" s="1" t="s">
        <v>262</v>
      </c>
      <c r="D1725" s="1" t="s">
        <v>444</v>
      </c>
      <c r="E1725" s="11" t="s">
        <v>144</v>
      </c>
      <c r="F1725" s="3" t="s">
        <v>8</v>
      </c>
      <c r="G1725" s="66" t="s">
        <v>985</v>
      </c>
      <c r="H1725" s="8" t="s">
        <v>505</v>
      </c>
      <c r="I1725" s="8"/>
      <c r="J1725" s="6" t="s">
        <v>42</v>
      </c>
      <c r="K1725" s="38">
        <v>0</v>
      </c>
      <c r="L1725" s="4" t="s">
        <v>264</v>
      </c>
      <c r="M1725" s="11">
        <f>_xlfn.NUMBERVALUE(LEFT(Table613[[#This Row],[Fiscal Year]], 4))</f>
        <v>2001</v>
      </c>
      <c r="N1725" s="43">
        <f t="shared" si="35"/>
        <v>0</v>
      </c>
      <c r="O1725" s="3">
        <v>1723</v>
      </c>
    </row>
    <row r="1726" spans="1:15" x14ac:dyDescent="0.25">
      <c r="A1726" s="3">
        <v>8</v>
      </c>
      <c r="B1726" s="3" t="s">
        <v>268</v>
      </c>
      <c r="C1726" s="1" t="s">
        <v>262</v>
      </c>
      <c r="D1726" s="1" t="s">
        <v>444</v>
      </c>
      <c r="E1726" s="11" t="s">
        <v>144</v>
      </c>
      <c r="F1726" s="3" t="s">
        <v>8</v>
      </c>
      <c r="G1726" s="66" t="s">
        <v>986</v>
      </c>
      <c r="H1726" s="8" t="s">
        <v>599</v>
      </c>
      <c r="I1726" s="8"/>
      <c r="J1726" s="6" t="s">
        <v>42</v>
      </c>
      <c r="K1726" s="38">
        <v>0</v>
      </c>
      <c r="L1726" s="4" t="s">
        <v>264</v>
      </c>
      <c r="M1726" s="11">
        <f>_xlfn.NUMBERVALUE(LEFT(Table613[[#This Row],[Fiscal Year]], 4))</f>
        <v>2001</v>
      </c>
      <c r="N1726" s="43">
        <f t="shared" si="35"/>
        <v>0</v>
      </c>
      <c r="O1726" s="3">
        <v>1724</v>
      </c>
    </row>
    <row r="1727" spans="1:15" x14ac:dyDescent="0.25">
      <c r="A1727" s="3">
        <v>8</v>
      </c>
      <c r="B1727" s="3" t="s">
        <v>268</v>
      </c>
      <c r="C1727" s="1" t="s">
        <v>262</v>
      </c>
      <c r="D1727" s="1" t="s">
        <v>444</v>
      </c>
      <c r="E1727" s="11" t="s">
        <v>144</v>
      </c>
      <c r="F1727" s="3" t="s">
        <v>8</v>
      </c>
      <c r="G1727" s="66" t="s">
        <v>987</v>
      </c>
      <c r="H1727" s="8"/>
      <c r="I1727" s="8"/>
      <c r="J1727" s="6" t="s">
        <v>111</v>
      </c>
      <c r="K1727" s="38">
        <v>0</v>
      </c>
      <c r="L1727" s="4" t="s">
        <v>264</v>
      </c>
      <c r="M1727" s="11">
        <f>_xlfn.NUMBERVALUE(LEFT(Table613[[#This Row],[Fiscal Year]], 4))</f>
        <v>2001</v>
      </c>
      <c r="N1727" s="43">
        <f t="shared" si="35"/>
        <v>0</v>
      </c>
      <c r="O1727" s="3">
        <v>1725</v>
      </c>
    </row>
    <row r="1728" spans="1:15" x14ac:dyDescent="0.25">
      <c r="A1728" s="3">
        <v>8</v>
      </c>
      <c r="B1728" s="3" t="s">
        <v>268</v>
      </c>
      <c r="C1728" s="1" t="s">
        <v>262</v>
      </c>
      <c r="D1728" s="1" t="s">
        <v>444</v>
      </c>
      <c r="E1728" s="11" t="s">
        <v>144</v>
      </c>
      <c r="F1728" s="3" t="s">
        <v>8</v>
      </c>
      <c r="G1728" s="66" t="s">
        <v>988</v>
      </c>
      <c r="H1728" s="8"/>
      <c r="I1728" s="8"/>
      <c r="J1728" s="6" t="s">
        <v>107</v>
      </c>
      <c r="K1728" s="38">
        <v>0</v>
      </c>
      <c r="L1728" s="4" t="s">
        <v>264</v>
      </c>
      <c r="M1728" s="11">
        <f>_xlfn.NUMBERVALUE(LEFT(Table613[[#This Row],[Fiscal Year]], 4))</f>
        <v>2001</v>
      </c>
      <c r="N1728" s="43">
        <f t="shared" si="35"/>
        <v>0</v>
      </c>
      <c r="O1728" s="3">
        <v>1726</v>
      </c>
    </row>
    <row r="1729" spans="1:15" x14ac:dyDescent="0.25">
      <c r="A1729" s="3">
        <v>8</v>
      </c>
      <c r="B1729" s="3" t="s">
        <v>268</v>
      </c>
      <c r="C1729" s="1" t="s">
        <v>262</v>
      </c>
      <c r="D1729" s="1" t="s">
        <v>444</v>
      </c>
      <c r="E1729" s="11" t="s">
        <v>144</v>
      </c>
      <c r="F1729" s="3" t="s">
        <v>8</v>
      </c>
      <c r="G1729" s="66" t="s">
        <v>989</v>
      </c>
      <c r="H1729" s="8" t="s">
        <v>597</v>
      </c>
      <c r="I1729" s="8" t="s">
        <v>594</v>
      </c>
      <c r="J1729" s="6" t="s">
        <v>108</v>
      </c>
      <c r="K1729" s="38">
        <v>0</v>
      </c>
      <c r="L1729" s="4" t="s">
        <v>264</v>
      </c>
      <c r="M1729" s="11">
        <f>_xlfn.NUMBERVALUE(LEFT(Table613[[#This Row],[Fiscal Year]], 4))</f>
        <v>2001</v>
      </c>
      <c r="N1729" s="43">
        <f t="shared" si="35"/>
        <v>0</v>
      </c>
      <c r="O1729" s="3">
        <v>1727</v>
      </c>
    </row>
    <row r="1730" spans="1:15" x14ac:dyDescent="0.25">
      <c r="A1730" s="3">
        <v>8</v>
      </c>
      <c r="B1730" s="3" t="s">
        <v>268</v>
      </c>
      <c r="C1730" s="1" t="s">
        <v>262</v>
      </c>
      <c r="D1730" s="1" t="s">
        <v>444</v>
      </c>
      <c r="E1730" s="11" t="s">
        <v>144</v>
      </c>
      <c r="F1730" s="3" t="s">
        <v>8</v>
      </c>
      <c r="G1730" s="66" t="s">
        <v>990</v>
      </c>
      <c r="H1730" s="8" t="s">
        <v>506</v>
      </c>
      <c r="I1730" s="8"/>
      <c r="J1730" s="6" t="s">
        <v>106</v>
      </c>
      <c r="K1730" s="38">
        <v>0</v>
      </c>
      <c r="L1730" s="4" t="s">
        <v>264</v>
      </c>
      <c r="M1730" s="11">
        <f>_xlfn.NUMBERVALUE(LEFT(Table613[[#This Row],[Fiscal Year]], 4))</f>
        <v>2001</v>
      </c>
      <c r="N1730" s="43">
        <f t="shared" si="35"/>
        <v>0</v>
      </c>
      <c r="O1730" s="3">
        <v>1728</v>
      </c>
    </row>
    <row r="1731" spans="1:15" x14ac:dyDescent="0.25">
      <c r="A1731" s="3">
        <v>8</v>
      </c>
      <c r="B1731" s="3" t="s">
        <v>268</v>
      </c>
      <c r="C1731" s="1" t="s">
        <v>262</v>
      </c>
      <c r="D1731" s="1" t="s">
        <v>444</v>
      </c>
      <c r="E1731" s="11" t="s">
        <v>144</v>
      </c>
      <c r="F1731" s="3" t="s">
        <v>8</v>
      </c>
      <c r="G1731" s="66" t="s">
        <v>1004</v>
      </c>
      <c r="H1731" s="8"/>
      <c r="I1731" s="8"/>
      <c r="J1731" s="6" t="s">
        <v>76</v>
      </c>
      <c r="K1731" s="38">
        <v>0</v>
      </c>
      <c r="L1731" s="4" t="s">
        <v>264</v>
      </c>
      <c r="M1731" s="11">
        <f>_xlfn.NUMBERVALUE(LEFT(Table613[[#This Row],[Fiscal Year]], 4))</f>
        <v>2001</v>
      </c>
      <c r="N1731" s="43">
        <f t="shared" si="35"/>
        <v>0</v>
      </c>
      <c r="O1731" s="3">
        <v>1729</v>
      </c>
    </row>
    <row r="1732" spans="1:15" x14ac:dyDescent="0.25">
      <c r="A1732" s="3">
        <v>8</v>
      </c>
      <c r="B1732" s="3" t="s">
        <v>268</v>
      </c>
      <c r="C1732" s="1" t="s">
        <v>262</v>
      </c>
      <c r="D1732" s="1" t="s">
        <v>444</v>
      </c>
      <c r="E1732" s="11" t="s">
        <v>144</v>
      </c>
      <c r="F1732" s="3" t="s">
        <v>8</v>
      </c>
      <c r="G1732" s="48" t="s">
        <v>991</v>
      </c>
      <c r="H1732" s="71" t="s">
        <v>503</v>
      </c>
      <c r="I1732" s="8"/>
      <c r="J1732" s="6" t="s">
        <v>110</v>
      </c>
      <c r="K1732" s="38">
        <v>25000</v>
      </c>
      <c r="L1732" s="4" t="s">
        <v>264</v>
      </c>
      <c r="M1732" s="11">
        <f>_xlfn.NUMBERVALUE(LEFT(Table613[[#This Row],[Fiscal Year]], 4))</f>
        <v>2001</v>
      </c>
      <c r="N1732" s="42">
        <f t="shared" si="35"/>
        <v>35521.033314511573</v>
      </c>
      <c r="O1732" s="3">
        <v>1730</v>
      </c>
    </row>
    <row r="1733" spans="1:15" x14ac:dyDescent="0.25">
      <c r="A1733" s="3">
        <v>8</v>
      </c>
      <c r="B1733" s="3" t="s">
        <v>268</v>
      </c>
      <c r="C1733" s="1" t="s">
        <v>262</v>
      </c>
      <c r="D1733" s="1" t="s">
        <v>444</v>
      </c>
      <c r="E1733" s="11" t="s">
        <v>144</v>
      </c>
      <c r="F1733" s="3" t="s">
        <v>8</v>
      </c>
      <c r="G1733" s="66" t="s">
        <v>992</v>
      </c>
      <c r="H1733" s="8" t="s">
        <v>504</v>
      </c>
      <c r="I1733" s="8"/>
      <c r="J1733" s="6" t="s">
        <v>108</v>
      </c>
      <c r="K1733" s="38">
        <v>149181</v>
      </c>
      <c r="L1733" s="4" t="s">
        <v>264</v>
      </c>
      <c r="M1733" s="11">
        <f>_xlfn.NUMBERVALUE(LEFT(Table613[[#This Row],[Fiscal Year]], 4))</f>
        <v>2001</v>
      </c>
      <c r="N1733" s="42">
        <f t="shared" si="35"/>
        <v>211962.53083568605</v>
      </c>
      <c r="O1733" s="3">
        <v>1731</v>
      </c>
    </row>
    <row r="1734" spans="1:15" x14ac:dyDescent="0.25">
      <c r="A1734" s="3">
        <v>8</v>
      </c>
      <c r="B1734" s="3" t="s">
        <v>268</v>
      </c>
      <c r="C1734" s="1" t="s">
        <v>262</v>
      </c>
      <c r="D1734" s="1" t="s">
        <v>444</v>
      </c>
      <c r="E1734" s="11" t="s">
        <v>144</v>
      </c>
      <c r="F1734" s="3" t="s">
        <v>8</v>
      </c>
      <c r="G1734" s="66" t="s">
        <v>993</v>
      </c>
      <c r="H1734" s="8" t="s">
        <v>602</v>
      </c>
      <c r="I1734" s="8"/>
      <c r="J1734" s="6" t="s">
        <v>108</v>
      </c>
      <c r="K1734" s="38">
        <v>112998</v>
      </c>
      <c r="L1734" s="4" t="s">
        <v>264</v>
      </c>
      <c r="M1734" s="11">
        <f>_xlfn.NUMBERVALUE(LEFT(Table613[[#This Row],[Fiscal Year]], 4))</f>
        <v>2001</v>
      </c>
      <c r="N1734" s="42">
        <f t="shared" si="35"/>
        <v>160552.22889892716</v>
      </c>
      <c r="O1734" s="3">
        <v>1732</v>
      </c>
    </row>
    <row r="1735" spans="1:15" x14ac:dyDescent="0.25">
      <c r="A1735" s="3">
        <v>8</v>
      </c>
      <c r="B1735" s="3" t="s">
        <v>268</v>
      </c>
      <c r="C1735" s="1" t="s">
        <v>262</v>
      </c>
      <c r="D1735" s="1" t="s">
        <v>444</v>
      </c>
      <c r="E1735" s="11" t="s">
        <v>144</v>
      </c>
      <c r="F1735" s="3" t="s">
        <v>8</v>
      </c>
      <c r="G1735" s="66" t="s">
        <v>994</v>
      </c>
      <c r="H1735" s="8" t="s">
        <v>504</v>
      </c>
      <c r="I1735" s="8"/>
      <c r="J1735" s="6" t="s">
        <v>108</v>
      </c>
      <c r="K1735" s="38">
        <v>50238</v>
      </c>
      <c r="L1735" s="4" t="s">
        <v>264</v>
      </c>
      <c r="M1735" s="11">
        <f>_xlfn.NUMBERVALUE(LEFT(Table613[[#This Row],[Fiscal Year]], 4))</f>
        <v>2001</v>
      </c>
      <c r="N1735" s="42">
        <f t="shared" si="35"/>
        <v>71380.226866177298</v>
      </c>
      <c r="O1735" s="3">
        <v>1733</v>
      </c>
    </row>
    <row r="1736" spans="1:15" x14ac:dyDescent="0.25">
      <c r="A1736" s="3">
        <v>8</v>
      </c>
      <c r="B1736" s="3" t="s">
        <v>268</v>
      </c>
      <c r="C1736" s="1" t="s">
        <v>262</v>
      </c>
      <c r="D1736" s="1" t="s">
        <v>444</v>
      </c>
      <c r="E1736" s="11" t="s">
        <v>144</v>
      </c>
      <c r="F1736" s="3" t="s">
        <v>8</v>
      </c>
      <c r="G1736" s="66" t="s">
        <v>995</v>
      </c>
      <c r="H1736" s="8" t="s">
        <v>504</v>
      </c>
      <c r="I1736" s="8"/>
      <c r="J1736" s="6" t="s">
        <v>108</v>
      </c>
      <c r="K1736" s="38">
        <v>0</v>
      </c>
      <c r="L1736" s="4" t="s">
        <v>264</v>
      </c>
      <c r="M1736" s="11">
        <f>_xlfn.NUMBERVALUE(LEFT(Table613[[#This Row],[Fiscal Year]], 4))</f>
        <v>2001</v>
      </c>
      <c r="N1736" s="43">
        <f t="shared" si="35"/>
        <v>0</v>
      </c>
      <c r="O1736" s="3">
        <v>1734</v>
      </c>
    </row>
    <row r="1737" spans="1:15" x14ac:dyDescent="0.25">
      <c r="A1737" s="3">
        <v>8</v>
      </c>
      <c r="B1737" s="3" t="s">
        <v>268</v>
      </c>
      <c r="C1737" s="1" t="s">
        <v>262</v>
      </c>
      <c r="D1737" s="1" t="s">
        <v>444</v>
      </c>
      <c r="E1737" s="11" t="s">
        <v>144</v>
      </c>
      <c r="F1737" s="3" t="s">
        <v>8</v>
      </c>
      <c r="G1737" s="48" t="s">
        <v>996</v>
      </c>
      <c r="H1737" s="8" t="s">
        <v>504</v>
      </c>
      <c r="I1737" s="8"/>
      <c r="J1737" s="6" t="s">
        <v>108</v>
      </c>
      <c r="K1737" s="38">
        <v>549972</v>
      </c>
      <c r="L1737" s="4" t="s">
        <v>264</v>
      </c>
      <c r="M1737" s="11">
        <f>_xlfn.NUMBERVALUE(LEFT(Table613[[#This Row],[Fiscal Year]], 4))</f>
        <v>2001</v>
      </c>
      <c r="N1737" s="42">
        <f>K1737*(1+VLOOKUP(M1737,$AF$8:$AH$31,3,0))</f>
        <v>781422.94936194236</v>
      </c>
      <c r="O1737" s="3">
        <v>1735</v>
      </c>
    </row>
    <row r="1738" spans="1:15" x14ac:dyDescent="0.25">
      <c r="A1738" s="3">
        <v>8</v>
      </c>
      <c r="B1738" s="3" t="s">
        <v>268</v>
      </c>
      <c r="C1738" s="1" t="s">
        <v>262</v>
      </c>
      <c r="D1738" s="1" t="s">
        <v>444</v>
      </c>
      <c r="E1738" s="11" t="s">
        <v>144</v>
      </c>
      <c r="F1738" s="3" t="s">
        <v>8</v>
      </c>
      <c r="G1738" s="66" t="s">
        <v>997</v>
      </c>
      <c r="H1738" s="8" t="s">
        <v>593</v>
      </c>
      <c r="I1738" s="8" t="s">
        <v>594</v>
      </c>
      <c r="J1738" s="6" t="s">
        <v>108</v>
      </c>
      <c r="K1738" s="38">
        <v>0</v>
      </c>
      <c r="L1738" s="4" t="s">
        <v>264</v>
      </c>
      <c r="M1738" s="11">
        <f>_xlfn.NUMBERVALUE(LEFT(Table613[[#This Row],[Fiscal Year]], 4))</f>
        <v>2001</v>
      </c>
      <c r="N1738" s="43">
        <f t="shared" si="35"/>
        <v>0</v>
      </c>
      <c r="O1738" s="3">
        <v>1736</v>
      </c>
    </row>
    <row r="1739" spans="1:15" x14ac:dyDescent="0.25">
      <c r="A1739" s="3">
        <v>8</v>
      </c>
      <c r="B1739" s="3" t="s">
        <v>268</v>
      </c>
      <c r="C1739" s="1" t="s">
        <v>262</v>
      </c>
      <c r="D1739" s="1" t="s">
        <v>444</v>
      </c>
      <c r="E1739" s="11" t="s">
        <v>144</v>
      </c>
      <c r="F1739" s="3" t="s">
        <v>8</v>
      </c>
      <c r="G1739" s="66" t="s">
        <v>998</v>
      </c>
      <c r="H1739" s="8" t="s">
        <v>504</v>
      </c>
      <c r="I1739" s="8"/>
      <c r="J1739" s="6" t="s">
        <v>108</v>
      </c>
      <c r="K1739" s="38">
        <v>25000</v>
      </c>
      <c r="L1739" s="4" t="s">
        <v>264</v>
      </c>
      <c r="M1739" s="11">
        <f>_xlfn.NUMBERVALUE(LEFT(Table613[[#This Row],[Fiscal Year]], 4))</f>
        <v>2001</v>
      </c>
      <c r="N1739" s="42">
        <f t="shared" si="35"/>
        <v>35521.033314511573</v>
      </c>
      <c r="O1739" s="3">
        <v>1737</v>
      </c>
    </row>
    <row r="1740" spans="1:15" x14ac:dyDescent="0.25">
      <c r="A1740" s="3">
        <v>8</v>
      </c>
      <c r="B1740" s="3" t="s">
        <v>268</v>
      </c>
      <c r="C1740" s="1" t="s">
        <v>262</v>
      </c>
      <c r="D1740" s="1" t="s">
        <v>444</v>
      </c>
      <c r="E1740" s="11" t="s">
        <v>144</v>
      </c>
      <c r="F1740" s="3" t="s">
        <v>8</v>
      </c>
      <c r="G1740" s="66" t="s">
        <v>999</v>
      </c>
      <c r="H1740" s="8" t="s">
        <v>504</v>
      </c>
      <c r="I1740" s="8"/>
      <c r="J1740" s="6" t="s">
        <v>108</v>
      </c>
      <c r="K1740" s="38">
        <v>44951</v>
      </c>
      <c r="L1740" s="4" t="s">
        <v>264</v>
      </c>
      <c r="M1740" s="11">
        <f>_xlfn.NUMBERVALUE(LEFT(Table613[[#This Row],[Fiscal Year]], 4))</f>
        <v>2001</v>
      </c>
      <c r="N1740" s="42">
        <f t="shared" si="35"/>
        <v>63868.238740824389</v>
      </c>
      <c r="O1740" s="3">
        <v>1738</v>
      </c>
    </row>
    <row r="1741" spans="1:15" x14ac:dyDescent="0.25">
      <c r="A1741" s="3">
        <v>8</v>
      </c>
      <c r="B1741" s="3" t="s">
        <v>268</v>
      </c>
      <c r="C1741" s="1" t="s">
        <v>262</v>
      </c>
      <c r="D1741" s="1" t="s">
        <v>444</v>
      </c>
      <c r="E1741" s="11" t="s">
        <v>144</v>
      </c>
      <c r="F1741" s="3" t="s">
        <v>8</v>
      </c>
      <c r="G1741" s="66" t="s">
        <v>1000</v>
      </c>
      <c r="H1741" s="8" t="s">
        <v>505</v>
      </c>
      <c r="I1741" s="8"/>
      <c r="J1741" s="6" t="s">
        <v>42</v>
      </c>
      <c r="K1741" s="38">
        <v>0</v>
      </c>
      <c r="L1741" s="4" t="s">
        <v>264</v>
      </c>
      <c r="M1741" s="11">
        <f>_xlfn.NUMBERVALUE(LEFT(Table613[[#This Row],[Fiscal Year]], 4))</f>
        <v>2001</v>
      </c>
      <c r="N1741" s="43">
        <f t="shared" si="35"/>
        <v>0</v>
      </c>
      <c r="O1741" s="3">
        <v>1739</v>
      </c>
    </row>
    <row r="1742" spans="1:15" x14ac:dyDescent="0.25">
      <c r="A1742" s="3">
        <v>8</v>
      </c>
      <c r="B1742" s="3" t="s">
        <v>268</v>
      </c>
      <c r="C1742" s="1" t="s">
        <v>262</v>
      </c>
      <c r="D1742" s="1" t="s">
        <v>444</v>
      </c>
      <c r="E1742" s="11" t="s">
        <v>144</v>
      </c>
      <c r="F1742" s="3" t="s">
        <v>8</v>
      </c>
      <c r="G1742" s="66" t="s">
        <v>1001</v>
      </c>
      <c r="H1742" s="8" t="s">
        <v>599</v>
      </c>
      <c r="I1742" s="8"/>
      <c r="J1742" s="6" t="s">
        <v>42</v>
      </c>
      <c r="K1742" s="38">
        <v>0</v>
      </c>
      <c r="L1742" s="4" t="s">
        <v>264</v>
      </c>
      <c r="M1742" s="11">
        <f>_xlfn.NUMBERVALUE(LEFT(Table613[[#This Row],[Fiscal Year]], 4))</f>
        <v>2001</v>
      </c>
      <c r="N1742" s="43">
        <f t="shared" si="35"/>
        <v>0</v>
      </c>
      <c r="O1742" s="3">
        <v>1740</v>
      </c>
    </row>
    <row r="1743" spans="1:15" x14ac:dyDescent="0.25">
      <c r="A1743" s="3">
        <v>8</v>
      </c>
      <c r="B1743" s="3" t="s">
        <v>268</v>
      </c>
      <c r="C1743" s="1" t="s">
        <v>262</v>
      </c>
      <c r="D1743" s="1" t="s">
        <v>444</v>
      </c>
      <c r="E1743" s="11" t="s">
        <v>144</v>
      </c>
      <c r="F1743" s="3" t="s">
        <v>8</v>
      </c>
      <c r="G1743" s="66" t="s">
        <v>1005</v>
      </c>
      <c r="H1743" s="8"/>
      <c r="I1743" s="8"/>
      <c r="J1743" s="6" t="s">
        <v>111</v>
      </c>
      <c r="K1743" s="38">
        <v>5000</v>
      </c>
      <c r="L1743" s="4" t="s">
        <v>264</v>
      </c>
      <c r="M1743" s="11">
        <f>_xlfn.NUMBERVALUE(LEFT(Table613[[#This Row],[Fiscal Year]], 4))</f>
        <v>2001</v>
      </c>
      <c r="N1743" s="42">
        <f t="shared" si="35"/>
        <v>7104.2066629023147</v>
      </c>
      <c r="O1743" s="3">
        <v>1741</v>
      </c>
    </row>
    <row r="1744" spans="1:15" x14ac:dyDescent="0.25">
      <c r="A1744" s="3">
        <v>8</v>
      </c>
      <c r="B1744" s="3" t="s">
        <v>268</v>
      </c>
      <c r="C1744" s="1" t="s">
        <v>262</v>
      </c>
      <c r="D1744" s="1" t="s">
        <v>444</v>
      </c>
      <c r="E1744" s="11" t="s">
        <v>144</v>
      </c>
      <c r="F1744" s="3" t="s">
        <v>8</v>
      </c>
      <c r="G1744" s="66" t="s">
        <v>1006</v>
      </c>
      <c r="H1744" s="8"/>
      <c r="I1744" s="8"/>
      <c r="J1744" s="6" t="s">
        <v>107</v>
      </c>
      <c r="K1744" s="38">
        <v>5000</v>
      </c>
      <c r="L1744" s="4" t="s">
        <v>264</v>
      </c>
      <c r="M1744" s="11">
        <f>_xlfn.NUMBERVALUE(LEFT(Table613[[#This Row],[Fiscal Year]], 4))</f>
        <v>2001</v>
      </c>
      <c r="N1744" s="42">
        <f t="shared" si="35"/>
        <v>7104.2066629023147</v>
      </c>
      <c r="O1744" s="3">
        <v>1742</v>
      </c>
    </row>
    <row r="1745" spans="1:15" x14ac:dyDescent="0.25">
      <c r="A1745" s="3">
        <v>8</v>
      </c>
      <c r="B1745" s="3" t="s">
        <v>268</v>
      </c>
      <c r="C1745" s="1" t="s">
        <v>262</v>
      </c>
      <c r="D1745" s="1" t="s">
        <v>444</v>
      </c>
      <c r="E1745" s="11" t="s">
        <v>144</v>
      </c>
      <c r="F1745" s="3" t="s">
        <v>8</v>
      </c>
      <c r="G1745" s="66" t="s">
        <v>1002</v>
      </c>
      <c r="H1745" s="8" t="s">
        <v>597</v>
      </c>
      <c r="I1745" s="8" t="s">
        <v>594</v>
      </c>
      <c r="J1745" s="6" t="s">
        <v>108</v>
      </c>
      <c r="K1745" s="38">
        <v>0</v>
      </c>
      <c r="L1745" s="4" t="s">
        <v>264</v>
      </c>
      <c r="M1745" s="11">
        <f>_xlfn.NUMBERVALUE(LEFT(Table613[[#This Row],[Fiscal Year]], 4))</f>
        <v>2001</v>
      </c>
      <c r="N1745" s="43">
        <f t="shared" si="35"/>
        <v>0</v>
      </c>
      <c r="O1745" s="3">
        <v>1743</v>
      </c>
    </row>
    <row r="1746" spans="1:15" x14ac:dyDescent="0.25">
      <c r="A1746" s="3">
        <v>8</v>
      </c>
      <c r="B1746" s="3" t="s">
        <v>268</v>
      </c>
      <c r="C1746" s="1" t="s">
        <v>262</v>
      </c>
      <c r="D1746" s="1" t="s">
        <v>444</v>
      </c>
      <c r="E1746" s="11" t="s">
        <v>144</v>
      </c>
      <c r="F1746" s="3" t="s">
        <v>8</v>
      </c>
      <c r="G1746" s="66" t="s">
        <v>1003</v>
      </c>
      <c r="H1746" s="8" t="s">
        <v>506</v>
      </c>
      <c r="I1746" s="8"/>
      <c r="J1746" s="6" t="s">
        <v>106</v>
      </c>
      <c r="K1746" s="38">
        <v>0</v>
      </c>
      <c r="L1746" s="4" t="s">
        <v>264</v>
      </c>
      <c r="M1746" s="11">
        <f>_xlfn.NUMBERVALUE(LEFT(Table613[[#This Row],[Fiscal Year]], 4))</f>
        <v>2001</v>
      </c>
      <c r="N1746" s="43">
        <f t="shared" si="35"/>
        <v>0</v>
      </c>
      <c r="O1746" s="3">
        <v>1744</v>
      </c>
    </row>
    <row r="1747" spans="1:15" x14ac:dyDescent="0.25">
      <c r="A1747" s="3">
        <v>8</v>
      </c>
      <c r="B1747" s="3" t="s">
        <v>268</v>
      </c>
      <c r="C1747" s="1" t="s">
        <v>262</v>
      </c>
      <c r="D1747" s="1" t="s">
        <v>444</v>
      </c>
      <c r="E1747" s="11" t="s">
        <v>144</v>
      </c>
      <c r="F1747" s="3" t="s">
        <v>8</v>
      </c>
      <c r="G1747" s="66" t="s">
        <v>1007</v>
      </c>
      <c r="H1747" s="8"/>
      <c r="I1747" s="8"/>
      <c r="J1747" s="6" t="s">
        <v>76</v>
      </c>
      <c r="K1747" s="38">
        <v>0</v>
      </c>
      <c r="L1747" s="4" t="s">
        <v>264</v>
      </c>
      <c r="M1747" s="11">
        <f>_xlfn.NUMBERVALUE(LEFT(Table613[[#This Row],[Fiscal Year]], 4))</f>
        <v>2001</v>
      </c>
      <c r="N1747" s="43">
        <f t="shared" si="35"/>
        <v>0</v>
      </c>
      <c r="O1747" s="3">
        <v>1745</v>
      </c>
    </row>
    <row r="1748" spans="1:15" x14ac:dyDescent="0.25">
      <c r="C1748" s="1"/>
      <c r="D1748" s="1"/>
      <c r="E1748" s="11"/>
      <c r="G1748" s="66"/>
      <c r="H1748" s="8"/>
      <c r="I1748" s="8"/>
      <c r="J1748" s="6"/>
      <c r="L1748" s="4"/>
      <c r="O1748" s="3">
        <v>1746</v>
      </c>
    </row>
    <row r="1749" spans="1:15" x14ac:dyDescent="0.25">
      <c r="A1749" s="3">
        <v>9</v>
      </c>
      <c r="B1749" s="3" t="s">
        <v>270</v>
      </c>
      <c r="C1749" s="1" t="s">
        <v>262</v>
      </c>
      <c r="D1749" s="1" t="s">
        <v>444</v>
      </c>
      <c r="E1749" s="11" t="s">
        <v>144</v>
      </c>
      <c r="F1749" s="3" t="s">
        <v>8</v>
      </c>
      <c r="G1749" s="48" t="s">
        <v>1026</v>
      </c>
      <c r="H1749" s="8"/>
      <c r="I1749" s="8" t="s">
        <v>640</v>
      </c>
      <c r="J1749" s="6" t="s">
        <v>76</v>
      </c>
      <c r="K1749" s="38">
        <v>0</v>
      </c>
      <c r="L1749" s="4" t="s">
        <v>25</v>
      </c>
      <c r="M1749" s="11">
        <f>_xlfn.NUMBERVALUE(LEFT(Table613[[#This Row],[Fiscal Year]], 4))</f>
        <v>2017</v>
      </c>
      <c r="N1749" s="43">
        <f t="shared" ref="N1749:N1760" si="36">K1749*(1+VLOOKUP(M1749,$AF$8:$AH$31,3,0))</f>
        <v>0</v>
      </c>
      <c r="O1749" s="3">
        <v>1747</v>
      </c>
    </row>
    <row r="1750" spans="1:15" x14ac:dyDescent="0.25">
      <c r="A1750" s="3">
        <v>9</v>
      </c>
      <c r="B1750" s="3" t="s">
        <v>270</v>
      </c>
      <c r="C1750" s="1" t="s">
        <v>262</v>
      </c>
      <c r="D1750" s="1" t="s">
        <v>444</v>
      </c>
      <c r="E1750" s="11" t="s">
        <v>144</v>
      </c>
      <c r="F1750" s="3" t="s">
        <v>8</v>
      </c>
      <c r="G1750" s="66" t="s">
        <v>1010</v>
      </c>
      <c r="H1750" s="8"/>
      <c r="I1750" s="8"/>
      <c r="J1750" s="6" t="s">
        <v>76</v>
      </c>
      <c r="K1750" s="38">
        <v>90169</v>
      </c>
      <c r="L1750" s="4" t="s">
        <v>25</v>
      </c>
      <c r="M1750" s="11">
        <f>_xlfn.NUMBERVALUE(LEFT(Table613[[#This Row],[Fiscal Year]], 4))</f>
        <v>2017</v>
      </c>
      <c r="N1750" s="42">
        <f t="shared" si="36"/>
        <v>92571.667233782136</v>
      </c>
      <c r="O1750" s="3">
        <v>1748</v>
      </c>
    </row>
    <row r="1751" spans="1:15" x14ac:dyDescent="0.25">
      <c r="A1751" s="3">
        <v>9</v>
      </c>
      <c r="B1751" s="3" t="s">
        <v>270</v>
      </c>
      <c r="C1751" s="1" t="s">
        <v>262</v>
      </c>
      <c r="D1751" s="1" t="s">
        <v>444</v>
      </c>
      <c r="E1751" s="11" t="s">
        <v>144</v>
      </c>
      <c r="F1751" s="3" t="s">
        <v>8</v>
      </c>
      <c r="G1751" s="48" t="s">
        <v>1027</v>
      </c>
      <c r="H1751" s="62"/>
      <c r="I1751" s="62"/>
      <c r="J1751" s="6" t="s">
        <v>110</v>
      </c>
      <c r="K1751" s="38">
        <v>33973</v>
      </c>
      <c r="L1751" s="4" t="s">
        <v>25</v>
      </c>
      <c r="M1751" s="11">
        <f>_xlfn.NUMBERVALUE(LEFT(Table613[[#This Row],[Fiscal Year]], 4))</f>
        <v>2017</v>
      </c>
      <c r="N1751" s="42">
        <f t="shared" si="36"/>
        <v>34878.25362301102</v>
      </c>
      <c r="O1751" s="3">
        <v>1749</v>
      </c>
    </row>
    <row r="1752" spans="1:15" x14ac:dyDescent="0.25">
      <c r="A1752" s="3">
        <v>9</v>
      </c>
      <c r="B1752" s="3" t="s">
        <v>270</v>
      </c>
      <c r="C1752" s="1" t="s">
        <v>262</v>
      </c>
      <c r="D1752" s="1" t="s">
        <v>444</v>
      </c>
      <c r="E1752" s="11" t="s">
        <v>144</v>
      </c>
      <c r="F1752" s="3" t="s">
        <v>8</v>
      </c>
      <c r="G1752" s="48" t="s">
        <v>1028</v>
      </c>
      <c r="H1752" s="8"/>
      <c r="I1752" s="8"/>
      <c r="J1752" s="6" t="s">
        <v>110</v>
      </c>
      <c r="K1752" s="38">
        <v>672718</v>
      </c>
      <c r="L1752" s="4" t="s">
        <v>25</v>
      </c>
      <c r="M1752" s="11">
        <f>_xlfn.NUMBERVALUE(LEFT(Table613[[#This Row],[Fiscal Year]], 4))</f>
        <v>2017</v>
      </c>
      <c r="N1752" s="42">
        <f t="shared" si="36"/>
        <v>690643.42332925345</v>
      </c>
      <c r="O1752" s="3">
        <v>1750</v>
      </c>
    </row>
    <row r="1753" spans="1:15" x14ac:dyDescent="0.25">
      <c r="A1753" s="3">
        <v>9</v>
      </c>
      <c r="B1753" s="3" t="s">
        <v>270</v>
      </c>
      <c r="C1753" s="1" t="s">
        <v>262</v>
      </c>
      <c r="D1753" s="1" t="s">
        <v>444</v>
      </c>
      <c r="E1753" s="11" t="s">
        <v>144</v>
      </c>
      <c r="F1753" s="3" t="s">
        <v>8</v>
      </c>
      <c r="G1753" s="48" t="s">
        <v>1029</v>
      </c>
      <c r="H1753" s="62" t="s">
        <v>507</v>
      </c>
      <c r="I1753" s="62"/>
      <c r="J1753" s="6" t="s">
        <v>108</v>
      </c>
      <c r="K1753" s="38">
        <v>866562</v>
      </c>
      <c r="L1753" s="4" t="s">
        <v>25</v>
      </c>
      <c r="M1753" s="11">
        <f>_xlfn.NUMBERVALUE(LEFT(Table613[[#This Row],[Fiscal Year]], 4))</f>
        <v>2017</v>
      </c>
      <c r="N1753" s="42">
        <f t="shared" si="36"/>
        <v>889652.64227662189</v>
      </c>
      <c r="O1753" s="3">
        <v>1751</v>
      </c>
    </row>
    <row r="1754" spans="1:15" x14ac:dyDescent="0.25">
      <c r="A1754" s="3">
        <v>9</v>
      </c>
      <c r="B1754" s="3" t="s">
        <v>270</v>
      </c>
      <c r="C1754" s="1" t="s">
        <v>262</v>
      </c>
      <c r="D1754" s="1" t="s">
        <v>444</v>
      </c>
      <c r="E1754" s="11" t="s">
        <v>144</v>
      </c>
      <c r="F1754" s="3" t="s">
        <v>8</v>
      </c>
      <c r="G1754" s="48" t="s">
        <v>1030</v>
      </c>
      <c r="H1754" s="8" t="s">
        <v>507</v>
      </c>
      <c r="I1754" s="8"/>
      <c r="J1754" s="6" t="s">
        <v>108</v>
      </c>
      <c r="K1754" s="38">
        <v>253165</v>
      </c>
      <c r="L1754" s="4" t="s">
        <v>25</v>
      </c>
      <c r="M1754" s="11">
        <f>_xlfn.NUMBERVALUE(LEFT(Table613[[#This Row],[Fiscal Year]], 4))</f>
        <v>2017</v>
      </c>
      <c r="N1754" s="42">
        <f t="shared" si="36"/>
        <v>259910.90214198289</v>
      </c>
      <c r="O1754" s="3">
        <v>1752</v>
      </c>
    </row>
    <row r="1755" spans="1:15" x14ac:dyDescent="0.25">
      <c r="A1755" s="3">
        <v>9</v>
      </c>
      <c r="B1755" s="3" t="s">
        <v>270</v>
      </c>
      <c r="C1755" s="1" t="s">
        <v>262</v>
      </c>
      <c r="D1755" s="1" t="s">
        <v>444</v>
      </c>
      <c r="E1755" s="11" t="s">
        <v>144</v>
      </c>
      <c r="F1755" s="3" t="s">
        <v>8</v>
      </c>
      <c r="G1755" s="66" t="s">
        <v>1031</v>
      </c>
      <c r="H1755" s="62" t="s">
        <v>508</v>
      </c>
      <c r="I1755" s="62"/>
      <c r="J1755" s="6" t="s">
        <v>42</v>
      </c>
      <c r="K1755" s="38">
        <v>5693</v>
      </c>
      <c r="L1755" s="4" t="s">
        <v>25</v>
      </c>
      <c r="M1755" s="11">
        <f>_xlfn.NUMBERVALUE(LEFT(Table613[[#This Row],[Fiscal Year]], 4))</f>
        <v>2017</v>
      </c>
      <c r="N1755" s="42">
        <f t="shared" si="36"/>
        <v>5844.6971970624245</v>
      </c>
      <c r="O1755" s="3">
        <v>1753</v>
      </c>
    </row>
    <row r="1756" spans="1:15" x14ac:dyDescent="0.25">
      <c r="A1756" s="3">
        <v>9</v>
      </c>
      <c r="B1756" s="3" t="s">
        <v>270</v>
      </c>
      <c r="C1756" s="1" t="s">
        <v>262</v>
      </c>
      <c r="D1756" s="1" t="s">
        <v>444</v>
      </c>
      <c r="E1756" s="11" t="s">
        <v>144</v>
      </c>
      <c r="F1756" s="3" t="s">
        <v>8</v>
      </c>
      <c r="G1756" s="66" t="s">
        <v>1032</v>
      </c>
      <c r="H1756" s="62" t="s">
        <v>509</v>
      </c>
      <c r="I1756" s="62"/>
      <c r="J1756" s="6" t="s">
        <v>109</v>
      </c>
      <c r="K1756" s="38">
        <v>11460</v>
      </c>
      <c r="L1756" s="4" t="s">
        <v>25</v>
      </c>
      <c r="M1756" s="11">
        <f>_xlfn.NUMBERVALUE(LEFT(Table613[[#This Row],[Fiscal Year]], 4))</f>
        <v>2017</v>
      </c>
      <c r="N1756" s="42">
        <f t="shared" si="36"/>
        <v>11765.366217870258</v>
      </c>
      <c r="O1756" s="3">
        <v>1754</v>
      </c>
    </row>
    <row r="1757" spans="1:15" x14ac:dyDescent="0.25">
      <c r="A1757" s="3">
        <v>9</v>
      </c>
      <c r="B1757" s="3" t="s">
        <v>270</v>
      </c>
      <c r="C1757" s="1" t="s">
        <v>262</v>
      </c>
      <c r="D1757" s="1" t="s">
        <v>444</v>
      </c>
      <c r="E1757" s="11" t="s">
        <v>144</v>
      </c>
      <c r="F1757" s="3" t="s">
        <v>8</v>
      </c>
      <c r="G1757" s="66" t="s">
        <v>1033</v>
      </c>
      <c r="H1757" s="62" t="s">
        <v>510</v>
      </c>
      <c r="I1757" s="62"/>
      <c r="J1757" s="6" t="s">
        <v>106</v>
      </c>
      <c r="K1757" s="38">
        <v>0</v>
      </c>
      <c r="L1757" s="4" t="s">
        <v>25</v>
      </c>
      <c r="M1757" s="11">
        <f>_xlfn.NUMBERVALUE(LEFT(Table613[[#This Row],[Fiscal Year]], 4))</f>
        <v>2017</v>
      </c>
      <c r="N1757" s="43">
        <f t="shared" si="36"/>
        <v>0</v>
      </c>
      <c r="O1757" s="3">
        <v>1755</v>
      </c>
    </row>
    <row r="1758" spans="1:15" x14ac:dyDescent="0.25">
      <c r="A1758" s="3">
        <v>9</v>
      </c>
      <c r="B1758" s="3" t="s">
        <v>270</v>
      </c>
      <c r="C1758" s="1" t="s">
        <v>262</v>
      </c>
      <c r="D1758" s="1" t="s">
        <v>444</v>
      </c>
      <c r="E1758" s="11" t="s">
        <v>144</v>
      </c>
      <c r="F1758" s="3" t="s">
        <v>8</v>
      </c>
      <c r="G1758" s="66" t="s">
        <v>1034</v>
      </c>
      <c r="H1758" s="8"/>
      <c r="I1758" s="8"/>
      <c r="J1758" s="6" t="s">
        <v>455</v>
      </c>
      <c r="K1758" s="38">
        <v>60857</v>
      </c>
      <c r="L1758" s="4" t="s">
        <v>25</v>
      </c>
      <c r="M1758" s="11">
        <f>_xlfn.NUMBERVALUE(LEFT(Table613[[#This Row],[Fiscal Year]], 4))</f>
        <v>2017</v>
      </c>
      <c r="N1758" s="42">
        <f t="shared" si="36"/>
        <v>62478.61186046512</v>
      </c>
      <c r="O1758" s="3">
        <v>1756</v>
      </c>
    </row>
    <row r="1759" spans="1:15" x14ac:dyDescent="0.25">
      <c r="A1759" s="3">
        <v>9</v>
      </c>
      <c r="B1759" s="3" t="s">
        <v>270</v>
      </c>
      <c r="C1759" s="1" t="s">
        <v>262</v>
      </c>
      <c r="D1759" s="1" t="s">
        <v>444</v>
      </c>
      <c r="E1759" s="11" t="s">
        <v>144</v>
      </c>
      <c r="F1759" s="3" t="s">
        <v>8</v>
      </c>
      <c r="G1759" s="66" t="s">
        <v>1035</v>
      </c>
      <c r="H1759" s="8" t="s">
        <v>624</v>
      </c>
      <c r="I1759" s="70" t="s">
        <v>623</v>
      </c>
      <c r="J1759" s="6" t="s">
        <v>455</v>
      </c>
      <c r="K1759" s="38">
        <v>59960</v>
      </c>
      <c r="L1759" s="4" t="s">
        <v>25</v>
      </c>
      <c r="M1759" s="11">
        <f>_xlfn.NUMBERVALUE(LEFT(Table613[[#This Row],[Fiscal Year]], 4))</f>
        <v>2017</v>
      </c>
      <c r="N1759" s="42">
        <f t="shared" si="36"/>
        <v>61557.710159118731</v>
      </c>
      <c r="O1759" s="3">
        <v>1757</v>
      </c>
    </row>
    <row r="1760" spans="1:15" x14ac:dyDescent="0.25">
      <c r="A1760" s="3">
        <v>9</v>
      </c>
      <c r="B1760" s="3" t="s">
        <v>270</v>
      </c>
      <c r="C1760" s="1" t="s">
        <v>262</v>
      </c>
      <c r="D1760" s="1" t="s">
        <v>444</v>
      </c>
      <c r="E1760" s="11" t="s">
        <v>144</v>
      </c>
      <c r="F1760" s="3" t="s">
        <v>8</v>
      </c>
      <c r="G1760" s="66" t="s">
        <v>1036</v>
      </c>
      <c r="H1760" s="8"/>
      <c r="I1760" s="8"/>
      <c r="J1760" s="6" t="s">
        <v>107</v>
      </c>
      <c r="K1760" s="38">
        <v>29448</v>
      </c>
      <c r="L1760" s="4" t="s">
        <v>25</v>
      </c>
      <c r="M1760" s="11">
        <f>_xlfn.NUMBERVALUE(LEFT(Table613[[#This Row],[Fiscal Year]], 4))</f>
        <v>2017</v>
      </c>
      <c r="N1760" s="42">
        <f t="shared" si="36"/>
        <v>30232.679265605879</v>
      </c>
      <c r="O1760" s="3">
        <v>1758</v>
      </c>
    </row>
    <row r="1761" spans="1:15" x14ac:dyDescent="0.25">
      <c r="C1761" s="1"/>
      <c r="D1761" s="1"/>
      <c r="E1761" s="11"/>
      <c r="G1761" s="66"/>
      <c r="H1761" s="8"/>
      <c r="I1761" s="8"/>
      <c r="J1761" s="6"/>
      <c r="L1761" s="4"/>
      <c r="O1761" s="3">
        <v>1759</v>
      </c>
    </row>
    <row r="1762" spans="1:15" x14ac:dyDescent="0.25">
      <c r="A1762" s="3">
        <v>8</v>
      </c>
      <c r="B1762" s="3" t="s">
        <v>271</v>
      </c>
      <c r="C1762" s="1" t="s">
        <v>262</v>
      </c>
      <c r="D1762" s="1" t="s">
        <v>444</v>
      </c>
      <c r="E1762" s="11" t="s">
        <v>144</v>
      </c>
      <c r="F1762" s="3" t="s">
        <v>8</v>
      </c>
      <c r="G1762" s="48" t="s">
        <v>976</v>
      </c>
      <c r="H1762" s="71" t="s">
        <v>503</v>
      </c>
      <c r="I1762" s="8" t="s">
        <v>640</v>
      </c>
      <c r="J1762" s="6" t="s">
        <v>110</v>
      </c>
      <c r="K1762" s="38">
        <v>0</v>
      </c>
      <c r="L1762" s="4" t="s">
        <v>264</v>
      </c>
      <c r="M1762" s="11">
        <f>_xlfn.NUMBERVALUE(LEFT(Table613[[#This Row],[Fiscal Year]], 4))</f>
        <v>2001</v>
      </c>
      <c r="N1762" s="43">
        <f t="shared" ref="N1762:N1793" si="37">K1762*(1+VLOOKUP(M1762,$AF$8:$AH$31,3,0))</f>
        <v>0</v>
      </c>
      <c r="O1762" s="3">
        <v>1760</v>
      </c>
    </row>
    <row r="1763" spans="1:15" x14ac:dyDescent="0.25">
      <c r="A1763" s="3">
        <v>8</v>
      </c>
      <c r="B1763" s="3" t="s">
        <v>271</v>
      </c>
      <c r="C1763" s="1" t="s">
        <v>262</v>
      </c>
      <c r="D1763" s="1" t="s">
        <v>444</v>
      </c>
      <c r="E1763" s="11" t="s">
        <v>144</v>
      </c>
      <c r="F1763" s="3" t="s">
        <v>8</v>
      </c>
      <c r="G1763" s="66" t="s">
        <v>977</v>
      </c>
      <c r="H1763" s="8" t="s">
        <v>504</v>
      </c>
      <c r="I1763" s="8"/>
      <c r="J1763" s="6" t="s">
        <v>108</v>
      </c>
      <c r="K1763" s="38">
        <v>0</v>
      </c>
      <c r="L1763" s="4" t="s">
        <v>264</v>
      </c>
      <c r="M1763" s="11">
        <f>_xlfn.NUMBERVALUE(LEFT(Table613[[#This Row],[Fiscal Year]], 4))</f>
        <v>2001</v>
      </c>
      <c r="N1763" s="43">
        <f t="shared" si="37"/>
        <v>0</v>
      </c>
      <c r="O1763" s="3">
        <v>1761</v>
      </c>
    </row>
    <row r="1764" spans="1:15" x14ac:dyDescent="0.25">
      <c r="A1764" s="3">
        <v>8</v>
      </c>
      <c r="B1764" s="3" t="s">
        <v>271</v>
      </c>
      <c r="C1764" s="1" t="s">
        <v>262</v>
      </c>
      <c r="D1764" s="1" t="s">
        <v>444</v>
      </c>
      <c r="E1764" s="11" t="s">
        <v>144</v>
      </c>
      <c r="F1764" s="3" t="s">
        <v>8</v>
      </c>
      <c r="G1764" s="66" t="s">
        <v>978</v>
      </c>
      <c r="H1764" s="8" t="s">
        <v>602</v>
      </c>
      <c r="I1764" s="8"/>
      <c r="J1764" s="6" t="s">
        <v>108</v>
      </c>
      <c r="K1764" s="38">
        <v>0</v>
      </c>
      <c r="L1764" s="4" t="s">
        <v>264</v>
      </c>
      <c r="M1764" s="11">
        <f>_xlfn.NUMBERVALUE(LEFT(Table613[[#This Row],[Fiscal Year]], 4))</f>
        <v>2001</v>
      </c>
      <c r="N1764" s="43">
        <f t="shared" si="37"/>
        <v>0</v>
      </c>
      <c r="O1764" s="3">
        <v>1762</v>
      </c>
    </row>
    <row r="1765" spans="1:15" x14ac:dyDescent="0.25">
      <c r="A1765" s="3">
        <v>8</v>
      </c>
      <c r="B1765" s="3" t="s">
        <v>271</v>
      </c>
      <c r="C1765" s="1" t="s">
        <v>262</v>
      </c>
      <c r="D1765" s="1" t="s">
        <v>444</v>
      </c>
      <c r="E1765" s="11" t="s">
        <v>144</v>
      </c>
      <c r="F1765" s="3" t="s">
        <v>8</v>
      </c>
      <c r="G1765" s="66" t="s">
        <v>979</v>
      </c>
      <c r="H1765" s="8" t="s">
        <v>504</v>
      </c>
      <c r="I1765" s="8"/>
      <c r="J1765" s="6" t="s">
        <v>108</v>
      </c>
      <c r="K1765" s="38">
        <v>20000</v>
      </c>
      <c r="L1765" s="4" t="s">
        <v>264</v>
      </c>
      <c r="M1765" s="11">
        <f>_xlfn.NUMBERVALUE(LEFT(Table613[[#This Row],[Fiscal Year]], 4))</f>
        <v>2001</v>
      </c>
      <c r="N1765" s="42">
        <f>K1765*(1+VLOOKUP(M1765,$AF$8:$AH$31,3,0))</f>
        <v>28416.826651609259</v>
      </c>
      <c r="O1765" s="3">
        <v>1763</v>
      </c>
    </row>
    <row r="1766" spans="1:15" x14ac:dyDescent="0.25">
      <c r="A1766" s="3">
        <v>8</v>
      </c>
      <c r="B1766" s="3" t="s">
        <v>271</v>
      </c>
      <c r="C1766" s="1" t="s">
        <v>262</v>
      </c>
      <c r="D1766" s="1" t="s">
        <v>444</v>
      </c>
      <c r="E1766" s="11" t="s">
        <v>144</v>
      </c>
      <c r="F1766" s="3" t="s">
        <v>8</v>
      </c>
      <c r="G1766" s="66" t="s">
        <v>980</v>
      </c>
      <c r="H1766" s="8" t="s">
        <v>504</v>
      </c>
      <c r="I1766" s="8"/>
      <c r="J1766" s="6" t="s">
        <v>108</v>
      </c>
      <c r="K1766" s="38">
        <v>0</v>
      </c>
      <c r="L1766" s="4" t="s">
        <v>264</v>
      </c>
      <c r="M1766" s="11">
        <f>_xlfn.NUMBERVALUE(LEFT(Table613[[#This Row],[Fiscal Year]], 4))</f>
        <v>2001</v>
      </c>
      <c r="N1766" s="43">
        <f t="shared" si="37"/>
        <v>0</v>
      </c>
      <c r="O1766" s="3">
        <v>1764</v>
      </c>
    </row>
    <row r="1767" spans="1:15" x14ac:dyDescent="0.25">
      <c r="A1767" s="3">
        <v>8</v>
      </c>
      <c r="B1767" s="3" t="s">
        <v>271</v>
      </c>
      <c r="C1767" s="3" t="s">
        <v>262</v>
      </c>
      <c r="D1767" s="3" t="s">
        <v>444</v>
      </c>
      <c r="E1767" s="11" t="s">
        <v>144</v>
      </c>
      <c r="F1767" s="3" t="s">
        <v>8</v>
      </c>
      <c r="G1767" s="48" t="s">
        <v>981</v>
      </c>
      <c r="H1767" s="8" t="s">
        <v>504</v>
      </c>
      <c r="I1767" s="8"/>
      <c r="J1767" s="6" t="s">
        <v>108</v>
      </c>
      <c r="K1767" s="38">
        <v>0</v>
      </c>
      <c r="L1767" s="4" t="s">
        <v>264</v>
      </c>
      <c r="M1767" s="11">
        <f>_xlfn.NUMBERVALUE(LEFT(Table613[[#This Row],[Fiscal Year]], 4))</f>
        <v>2001</v>
      </c>
      <c r="N1767" s="42">
        <f t="shared" si="37"/>
        <v>0</v>
      </c>
      <c r="O1767" s="3">
        <v>1765</v>
      </c>
    </row>
    <row r="1768" spans="1:15" x14ac:dyDescent="0.25">
      <c r="A1768" s="3">
        <v>8</v>
      </c>
      <c r="B1768" s="3" t="s">
        <v>271</v>
      </c>
      <c r="C1768" s="3" t="s">
        <v>262</v>
      </c>
      <c r="D1768" s="3" t="s">
        <v>444</v>
      </c>
      <c r="E1768" s="11" t="s">
        <v>144</v>
      </c>
      <c r="F1768" s="3" t="s">
        <v>8</v>
      </c>
      <c r="G1768" s="66" t="s">
        <v>982</v>
      </c>
      <c r="H1768" s="8" t="s">
        <v>593</v>
      </c>
      <c r="I1768" s="8" t="s">
        <v>594</v>
      </c>
      <c r="J1768" s="6" t="s">
        <v>108</v>
      </c>
      <c r="K1768" s="38">
        <v>0</v>
      </c>
      <c r="L1768" s="4" t="s">
        <v>264</v>
      </c>
      <c r="M1768" s="11">
        <f>_xlfn.NUMBERVALUE(LEFT(Table613[[#This Row],[Fiscal Year]], 4))</f>
        <v>2001</v>
      </c>
      <c r="N1768" s="42">
        <f t="shared" si="37"/>
        <v>0</v>
      </c>
      <c r="O1768" s="3">
        <v>1766</v>
      </c>
    </row>
    <row r="1769" spans="1:15" x14ac:dyDescent="0.25">
      <c r="A1769" s="3">
        <v>8</v>
      </c>
      <c r="B1769" s="3" t="s">
        <v>271</v>
      </c>
      <c r="C1769" s="3" t="s">
        <v>262</v>
      </c>
      <c r="D1769" s="3" t="s">
        <v>444</v>
      </c>
      <c r="E1769" s="11" t="s">
        <v>144</v>
      </c>
      <c r="F1769" s="3" t="s">
        <v>8</v>
      </c>
      <c r="G1769" s="66" t="s">
        <v>983</v>
      </c>
      <c r="H1769" s="8" t="s">
        <v>504</v>
      </c>
      <c r="I1769" s="8"/>
      <c r="J1769" s="6" t="s">
        <v>108</v>
      </c>
      <c r="K1769" s="38">
        <v>0</v>
      </c>
      <c r="L1769" s="4" t="s">
        <v>264</v>
      </c>
      <c r="M1769" s="11">
        <f>_xlfn.NUMBERVALUE(LEFT(Table613[[#This Row],[Fiscal Year]], 4))</f>
        <v>2001</v>
      </c>
      <c r="N1769" s="42">
        <f t="shared" si="37"/>
        <v>0</v>
      </c>
      <c r="O1769" s="3">
        <v>1767</v>
      </c>
    </row>
    <row r="1770" spans="1:15" x14ac:dyDescent="0.25">
      <c r="A1770" s="3">
        <v>8</v>
      </c>
      <c r="B1770" s="3" t="s">
        <v>271</v>
      </c>
      <c r="C1770" s="3" t="s">
        <v>262</v>
      </c>
      <c r="D1770" s="3" t="s">
        <v>444</v>
      </c>
      <c r="E1770" s="11" t="s">
        <v>144</v>
      </c>
      <c r="F1770" s="3" t="s">
        <v>8</v>
      </c>
      <c r="G1770" s="66" t="s">
        <v>984</v>
      </c>
      <c r="H1770" s="8" t="s">
        <v>504</v>
      </c>
      <c r="I1770" s="8"/>
      <c r="J1770" s="6" t="s">
        <v>108</v>
      </c>
      <c r="K1770" s="38">
        <v>0</v>
      </c>
      <c r="L1770" s="4" t="s">
        <v>264</v>
      </c>
      <c r="M1770" s="11">
        <f>_xlfn.NUMBERVALUE(LEFT(Table613[[#This Row],[Fiscal Year]], 4))</f>
        <v>2001</v>
      </c>
      <c r="N1770" s="42">
        <f t="shared" si="37"/>
        <v>0</v>
      </c>
      <c r="O1770" s="3">
        <v>1768</v>
      </c>
    </row>
    <row r="1771" spans="1:15" x14ac:dyDescent="0.25">
      <c r="A1771" s="3">
        <v>8</v>
      </c>
      <c r="B1771" s="3" t="s">
        <v>271</v>
      </c>
      <c r="C1771" s="3" t="s">
        <v>262</v>
      </c>
      <c r="D1771" s="3" t="s">
        <v>444</v>
      </c>
      <c r="E1771" s="11" t="s">
        <v>144</v>
      </c>
      <c r="F1771" s="3" t="s">
        <v>8</v>
      </c>
      <c r="G1771" s="66" t="s">
        <v>985</v>
      </c>
      <c r="H1771" s="8" t="s">
        <v>505</v>
      </c>
      <c r="I1771" s="8"/>
      <c r="J1771" s="6" t="s">
        <v>42</v>
      </c>
      <c r="K1771" s="38">
        <v>4000</v>
      </c>
      <c r="L1771" s="4" t="s">
        <v>264</v>
      </c>
      <c r="M1771" s="11">
        <f>_xlfn.NUMBERVALUE(LEFT(Table613[[#This Row],[Fiscal Year]], 4))</f>
        <v>2001</v>
      </c>
      <c r="N1771" s="42">
        <f t="shared" si="37"/>
        <v>5683.3653303218516</v>
      </c>
      <c r="O1771" s="3">
        <v>1769</v>
      </c>
    </row>
    <row r="1772" spans="1:15" x14ac:dyDescent="0.25">
      <c r="A1772" s="3">
        <v>8</v>
      </c>
      <c r="B1772" s="3" t="s">
        <v>271</v>
      </c>
      <c r="C1772" s="3" t="s">
        <v>262</v>
      </c>
      <c r="D1772" s="3" t="s">
        <v>444</v>
      </c>
      <c r="E1772" s="11" t="s">
        <v>144</v>
      </c>
      <c r="F1772" s="3" t="s">
        <v>8</v>
      </c>
      <c r="G1772" s="66" t="s">
        <v>986</v>
      </c>
      <c r="H1772" s="8" t="s">
        <v>599</v>
      </c>
      <c r="I1772" s="8"/>
      <c r="J1772" s="6" t="s">
        <v>42</v>
      </c>
      <c r="K1772" s="38">
        <v>4000</v>
      </c>
      <c r="L1772" s="4" t="s">
        <v>264</v>
      </c>
      <c r="M1772" s="11">
        <f>_xlfn.NUMBERVALUE(LEFT(Table613[[#This Row],[Fiscal Year]], 4))</f>
        <v>2001</v>
      </c>
      <c r="N1772" s="42">
        <f t="shared" si="37"/>
        <v>5683.3653303218516</v>
      </c>
      <c r="O1772" s="3">
        <v>1770</v>
      </c>
    </row>
    <row r="1773" spans="1:15" x14ac:dyDescent="0.25">
      <c r="A1773" s="3">
        <v>8</v>
      </c>
      <c r="B1773" s="3" t="s">
        <v>271</v>
      </c>
      <c r="C1773" s="3" t="s">
        <v>262</v>
      </c>
      <c r="D1773" s="3" t="s">
        <v>444</v>
      </c>
      <c r="E1773" s="11" t="s">
        <v>144</v>
      </c>
      <c r="F1773" s="3" t="s">
        <v>8</v>
      </c>
      <c r="G1773" s="66" t="s">
        <v>987</v>
      </c>
      <c r="H1773" s="8"/>
      <c r="I1773" s="8"/>
      <c r="J1773" s="6" t="s">
        <v>111</v>
      </c>
      <c r="K1773" s="38">
        <v>0</v>
      </c>
      <c r="L1773" s="4" t="s">
        <v>264</v>
      </c>
      <c r="M1773" s="11">
        <f>_xlfn.NUMBERVALUE(LEFT(Table613[[#This Row],[Fiscal Year]], 4))</f>
        <v>2001</v>
      </c>
      <c r="N1773" s="42">
        <f t="shared" si="37"/>
        <v>0</v>
      </c>
      <c r="O1773" s="3">
        <v>1771</v>
      </c>
    </row>
    <row r="1774" spans="1:15" x14ac:dyDescent="0.25">
      <c r="A1774" s="3">
        <v>8</v>
      </c>
      <c r="B1774" s="3" t="s">
        <v>271</v>
      </c>
      <c r="C1774" s="3" t="s">
        <v>262</v>
      </c>
      <c r="D1774" s="3" t="s">
        <v>444</v>
      </c>
      <c r="E1774" s="11" t="s">
        <v>144</v>
      </c>
      <c r="F1774" s="3" t="s">
        <v>8</v>
      </c>
      <c r="G1774" s="66" t="s">
        <v>988</v>
      </c>
      <c r="H1774" s="8"/>
      <c r="I1774" s="8"/>
      <c r="J1774" s="6" t="s">
        <v>107</v>
      </c>
      <c r="K1774" s="38">
        <v>0</v>
      </c>
      <c r="L1774" s="4" t="s">
        <v>264</v>
      </c>
      <c r="M1774" s="11">
        <f>_xlfn.NUMBERVALUE(LEFT(Table613[[#This Row],[Fiscal Year]], 4))</f>
        <v>2001</v>
      </c>
      <c r="N1774" s="42">
        <f t="shared" si="37"/>
        <v>0</v>
      </c>
      <c r="O1774" s="3">
        <v>1772</v>
      </c>
    </row>
    <row r="1775" spans="1:15" x14ac:dyDescent="0.25">
      <c r="A1775" s="3">
        <v>8</v>
      </c>
      <c r="B1775" s="3" t="s">
        <v>271</v>
      </c>
      <c r="C1775" s="3" t="s">
        <v>262</v>
      </c>
      <c r="D1775" s="3" t="s">
        <v>444</v>
      </c>
      <c r="E1775" s="11" t="s">
        <v>144</v>
      </c>
      <c r="F1775" s="3" t="s">
        <v>8</v>
      </c>
      <c r="G1775" s="66" t="s">
        <v>989</v>
      </c>
      <c r="H1775" s="8" t="s">
        <v>597</v>
      </c>
      <c r="I1775" s="8" t="s">
        <v>594</v>
      </c>
      <c r="J1775" s="6" t="s">
        <v>108</v>
      </c>
      <c r="K1775" s="38">
        <v>295000</v>
      </c>
      <c r="L1775" s="4" t="s">
        <v>264</v>
      </c>
      <c r="M1775" s="11">
        <f>_xlfn.NUMBERVALUE(LEFT(Table613[[#This Row],[Fiscal Year]], 4))</f>
        <v>2001</v>
      </c>
      <c r="N1775" s="42">
        <f t="shared" si="37"/>
        <v>419148.19311123656</v>
      </c>
      <c r="O1775" s="3">
        <v>1773</v>
      </c>
    </row>
    <row r="1776" spans="1:15" x14ac:dyDescent="0.25">
      <c r="A1776" s="3">
        <v>8</v>
      </c>
      <c r="B1776" s="3" t="s">
        <v>271</v>
      </c>
      <c r="C1776" s="3" t="s">
        <v>262</v>
      </c>
      <c r="D1776" s="3" t="s">
        <v>444</v>
      </c>
      <c r="E1776" s="11" t="s">
        <v>144</v>
      </c>
      <c r="F1776" s="3" t="s">
        <v>8</v>
      </c>
      <c r="G1776" s="66" t="s">
        <v>990</v>
      </c>
      <c r="H1776" s="8" t="s">
        <v>506</v>
      </c>
      <c r="I1776" s="8"/>
      <c r="J1776" s="6" t="s">
        <v>106</v>
      </c>
      <c r="K1776" s="38">
        <v>175000</v>
      </c>
      <c r="L1776" s="4" t="s">
        <v>264</v>
      </c>
      <c r="M1776" s="11">
        <f>_xlfn.NUMBERVALUE(LEFT(Table613[[#This Row],[Fiscal Year]], 4))</f>
        <v>2001</v>
      </c>
      <c r="N1776" s="42">
        <f t="shared" si="37"/>
        <v>248647.23320158102</v>
      </c>
      <c r="O1776" s="3">
        <v>1774</v>
      </c>
    </row>
    <row r="1777" spans="1:15" x14ac:dyDescent="0.25">
      <c r="A1777" s="3">
        <v>8</v>
      </c>
      <c r="B1777" s="3" t="s">
        <v>271</v>
      </c>
      <c r="C1777" s="3" t="s">
        <v>262</v>
      </c>
      <c r="D1777" s="3" t="s">
        <v>444</v>
      </c>
      <c r="E1777" s="11" t="s">
        <v>144</v>
      </c>
      <c r="F1777" s="3" t="s">
        <v>8</v>
      </c>
      <c r="G1777" s="66" t="s">
        <v>1004</v>
      </c>
      <c r="H1777" s="8"/>
      <c r="I1777" s="8"/>
      <c r="J1777" s="6" t="s">
        <v>76</v>
      </c>
      <c r="K1777" s="38">
        <v>0</v>
      </c>
      <c r="L1777" s="4" t="s">
        <v>264</v>
      </c>
      <c r="M1777" s="11">
        <f>_xlfn.NUMBERVALUE(LEFT(Table613[[#This Row],[Fiscal Year]], 4))</f>
        <v>2001</v>
      </c>
      <c r="N1777" s="42">
        <f t="shared" si="37"/>
        <v>0</v>
      </c>
      <c r="O1777" s="3">
        <v>1775</v>
      </c>
    </row>
    <row r="1778" spans="1:15" x14ac:dyDescent="0.25">
      <c r="A1778" s="3">
        <v>8</v>
      </c>
      <c r="B1778" s="3" t="s">
        <v>271</v>
      </c>
      <c r="C1778" s="3" t="s">
        <v>262</v>
      </c>
      <c r="D1778" s="3" t="s">
        <v>444</v>
      </c>
      <c r="E1778" s="11" t="s">
        <v>144</v>
      </c>
      <c r="F1778" s="3" t="s">
        <v>8</v>
      </c>
      <c r="G1778" s="48" t="s">
        <v>991</v>
      </c>
      <c r="H1778" s="8" t="s">
        <v>503</v>
      </c>
      <c r="I1778" s="8"/>
      <c r="J1778" s="6" t="s">
        <v>110</v>
      </c>
      <c r="K1778" s="38">
        <v>26438</v>
      </c>
      <c r="L1778" s="4" t="s">
        <v>264</v>
      </c>
      <c r="M1778" s="11">
        <f>_xlfn.NUMBERVALUE(LEFT(Table613[[#This Row],[Fiscal Year]], 4))</f>
        <v>2001</v>
      </c>
      <c r="N1778" s="42">
        <f t="shared" si="37"/>
        <v>37564.203150762281</v>
      </c>
      <c r="O1778" s="3">
        <v>1776</v>
      </c>
    </row>
    <row r="1779" spans="1:15" x14ac:dyDescent="0.25">
      <c r="A1779" s="3">
        <v>8</v>
      </c>
      <c r="B1779" s="3" t="s">
        <v>271</v>
      </c>
      <c r="C1779" s="3" t="s">
        <v>262</v>
      </c>
      <c r="D1779" s="3" t="s">
        <v>444</v>
      </c>
      <c r="E1779" s="11" t="s">
        <v>144</v>
      </c>
      <c r="F1779" s="3" t="s">
        <v>8</v>
      </c>
      <c r="G1779" s="66" t="s">
        <v>992</v>
      </c>
      <c r="H1779" s="8" t="s">
        <v>504</v>
      </c>
      <c r="I1779" s="8"/>
      <c r="J1779" s="6" t="s">
        <v>108</v>
      </c>
      <c r="K1779" s="38">
        <v>61929</v>
      </c>
      <c r="L1779" s="4" t="s">
        <v>264</v>
      </c>
      <c r="M1779" s="11">
        <f>_xlfn.NUMBERVALUE(LEFT(Table613[[#This Row],[Fiscal Year]], 4))</f>
        <v>2001</v>
      </c>
      <c r="N1779" s="42">
        <f t="shared" si="37"/>
        <v>87991.282885375491</v>
      </c>
      <c r="O1779" s="3">
        <v>1777</v>
      </c>
    </row>
    <row r="1780" spans="1:15" x14ac:dyDescent="0.25">
      <c r="A1780" s="3">
        <v>8</v>
      </c>
      <c r="B1780" s="3" t="s">
        <v>271</v>
      </c>
      <c r="C1780" s="3" t="s">
        <v>262</v>
      </c>
      <c r="D1780" s="3" t="s">
        <v>444</v>
      </c>
      <c r="E1780" s="11" t="s">
        <v>144</v>
      </c>
      <c r="F1780" s="3" t="s">
        <v>8</v>
      </c>
      <c r="G1780" s="66" t="s">
        <v>993</v>
      </c>
      <c r="H1780" s="8" t="s">
        <v>602</v>
      </c>
      <c r="I1780" s="8"/>
      <c r="J1780" s="6" t="s">
        <v>108</v>
      </c>
      <c r="K1780" s="38">
        <v>457574</v>
      </c>
      <c r="L1780" s="4" t="s">
        <v>264</v>
      </c>
      <c r="M1780" s="11">
        <f>_xlfn.NUMBERVALUE(LEFT(Table613[[#This Row],[Fiscal Year]], 4))</f>
        <v>2001</v>
      </c>
      <c r="N1780" s="42">
        <f t="shared" si="37"/>
        <v>650140.05191417271</v>
      </c>
      <c r="O1780" s="3">
        <v>1778</v>
      </c>
    </row>
    <row r="1781" spans="1:15" x14ac:dyDescent="0.25">
      <c r="A1781" s="3">
        <v>8</v>
      </c>
      <c r="B1781" s="3" t="s">
        <v>271</v>
      </c>
      <c r="C1781" s="3" t="s">
        <v>262</v>
      </c>
      <c r="D1781" s="3" t="s">
        <v>444</v>
      </c>
      <c r="E1781" s="11" t="s">
        <v>144</v>
      </c>
      <c r="F1781" s="3" t="s">
        <v>8</v>
      </c>
      <c r="G1781" s="66" t="s">
        <v>994</v>
      </c>
      <c r="H1781" s="8" t="s">
        <v>504</v>
      </c>
      <c r="I1781" s="8"/>
      <c r="J1781" s="6" t="s">
        <v>108</v>
      </c>
      <c r="K1781" s="38">
        <v>198016</v>
      </c>
      <c r="L1781" s="4" t="s">
        <v>264</v>
      </c>
      <c r="M1781" s="11">
        <f>_xlfn.NUMBERVALUE(LEFT(Table613[[#This Row],[Fiscal Year]], 4))</f>
        <v>2001</v>
      </c>
      <c r="N1781" s="42">
        <f t="shared" si="37"/>
        <v>281349.31731225294</v>
      </c>
      <c r="O1781" s="3">
        <v>1779</v>
      </c>
    </row>
    <row r="1782" spans="1:15" x14ac:dyDescent="0.25">
      <c r="A1782" s="3">
        <v>8</v>
      </c>
      <c r="B1782" s="3" t="s">
        <v>271</v>
      </c>
      <c r="C1782" s="3" t="s">
        <v>262</v>
      </c>
      <c r="D1782" s="3" t="s">
        <v>444</v>
      </c>
      <c r="E1782" s="11" t="s">
        <v>144</v>
      </c>
      <c r="F1782" s="3" t="s">
        <v>8</v>
      </c>
      <c r="G1782" s="66" t="s">
        <v>995</v>
      </c>
      <c r="H1782" s="8" t="s">
        <v>504</v>
      </c>
      <c r="I1782" s="8"/>
      <c r="J1782" s="6" t="s">
        <v>108</v>
      </c>
      <c r="K1782" s="38">
        <v>2100</v>
      </c>
      <c r="L1782" s="4" t="s">
        <v>264</v>
      </c>
      <c r="M1782" s="11">
        <f>_xlfn.NUMBERVALUE(LEFT(Table613[[#This Row],[Fiscal Year]], 4))</f>
        <v>2001</v>
      </c>
      <c r="N1782" s="42">
        <f t="shared" si="37"/>
        <v>2983.766798418972</v>
      </c>
      <c r="O1782" s="3">
        <v>1780</v>
      </c>
    </row>
    <row r="1783" spans="1:15" x14ac:dyDescent="0.25">
      <c r="A1783" s="3">
        <v>8</v>
      </c>
      <c r="B1783" s="3" t="s">
        <v>271</v>
      </c>
      <c r="C1783" s="3" t="s">
        <v>262</v>
      </c>
      <c r="D1783" s="3" t="s">
        <v>444</v>
      </c>
      <c r="E1783" s="11" t="s">
        <v>144</v>
      </c>
      <c r="F1783" s="3" t="s">
        <v>8</v>
      </c>
      <c r="G1783" s="48" t="s">
        <v>996</v>
      </c>
      <c r="H1783" s="8" t="s">
        <v>504</v>
      </c>
      <c r="I1783" s="8"/>
      <c r="J1783" s="6" t="s">
        <v>108</v>
      </c>
      <c r="K1783" s="38">
        <v>291180</v>
      </c>
      <c r="L1783" s="4" t="s">
        <v>264</v>
      </c>
      <c r="M1783" s="11">
        <f>_xlfn.NUMBERVALUE(LEFT(Table613[[#This Row],[Fiscal Year]], 4))</f>
        <v>2001</v>
      </c>
      <c r="N1783" s="42">
        <f t="shared" si="37"/>
        <v>413720.57922077918</v>
      </c>
      <c r="O1783" s="3">
        <v>1781</v>
      </c>
    </row>
    <row r="1784" spans="1:15" x14ac:dyDescent="0.25">
      <c r="A1784" s="3">
        <v>8</v>
      </c>
      <c r="B1784" s="3" t="s">
        <v>271</v>
      </c>
      <c r="C1784" s="3" t="s">
        <v>262</v>
      </c>
      <c r="D1784" s="3" t="s">
        <v>444</v>
      </c>
      <c r="E1784" s="11" t="s">
        <v>144</v>
      </c>
      <c r="F1784" s="3" t="s">
        <v>8</v>
      </c>
      <c r="G1784" s="66" t="s">
        <v>997</v>
      </c>
      <c r="H1784" s="8" t="s">
        <v>593</v>
      </c>
      <c r="I1784" s="8" t="s">
        <v>594</v>
      </c>
      <c r="J1784" s="6" t="s">
        <v>108</v>
      </c>
      <c r="K1784" s="38">
        <v>10000</v>
      </c>
      <c r="L1784" s="4" t="s">
        <v>264</v>
      </c>
      <c r="M1784" s="11">
        <f>_xlfn.NUMBERVALUE(LEFT(Table613[[#This Row],[Fiscal Year]], 4))</f>
        <v>2001</v>
      </c>
      <c r="N1784" s="42">
        <f t="shared" si="37"/>
        <v>14208.413325804629</v>
      </c>
      <c r="O1784" s="3">
        <v>1782</v>
      </c>
    </row>
    <row r="1785" spans="1:15" x14ac:dyDescent="0.25">
      <c r="A1785" s="3">
        <v>8</v>
      </c>
      <c r="B1785" s="3" t="s">
        <v>271</v>
      </c>
      <c r="C1785" s="3" t="s">
        <v>262</v>
      </c>
      <c r="D1785" s="3" t="s">
        <v>444</v>
      </c>
      <c r="E1785" s="11" t="s">
        <v>144</v>
      </c>
      <c r="F1785" s="3" t="s">
        <v>8</v>
      </c>
      <c r="G1785" s="66" t="s">
        <v>998</v>
      </c>
      <c r="H1785" s="8" t="s">
        <v>504</v>
      </c>
      <c r="I1785" s="8"/>
      <c r="J1785" s="6" t="s">
        <v>108</v>
      </c>
      <c r="K1785" s="38">
        <v>20000</v>
      </c>
      <c r="L1785" s="4" t="s">
        <v>264</v>
      </c>
      <c r="M1785" s="11">
        <f>_xlfn.NUMBERVALUE(LEFT(Table613[[#This Row],[Fiscal Year]], 4))</f>
        <v>2001</v>
      </c>
      <c r="N1785" s="42">
        <f t="shared" si="37"/>
        <v>28416.826651609259</v>
      </c>
      <c r="O1785" s="3">
        <v>1783</v>
      </c>
    </row>
    <row r="1786" spans="1:15" x14ac:dyDescent="0.25">
      <c r="A1786" s="3">
        <v>8</v>
      </c>
      <c r="B1786" s="3" t="s">
        <v>271</v>
      </c>
      <c r="C1786" s="3" t="s">
        <v>262</v>
      </c>
      <c r="D1786" s="3" t="s">
        <v>444</v>
      </c>
      <c r="E1786" s="11" t="s">
        <v>144</v>
      </c>
      <c r="F1786" s="3" t="s">
        <v>8</v>
      </c>
      <c r="G1786" s="66" t="s">
        <v>999</v>
      </c>
      <c r="H1786" s="8" t="s">
        <v>504</v>
      </c>
      <c r="I1786" s="8"/>
      <c r="J1786" s="6" t="s">
        <v>108</v>
      </c>
      <c r="K1786" s="38">
        <v>213581</v>
      </c>
      <c r="L1786" s="4" t="s">
        <v>264</v>
      </c>
      <c r="M1786" s="11">
        <f>_xlfn.NUMBERVALUE(LEFT(Table613[[#This Row],[Fiscal Year]], 4))</f>
        <v>2001</v>
      </c>
      <c r="N1786" s="42">
        <f t="shared" si="37"/>
        <v>303464.71265386784</v>
      </c>
      <c r="O1786" s="3">
        <v>1784</v>
      </c>
    </row>
    <row r="1787" spans="1:15" x14ac:dyDescent="0.25">
      <c r="A1787" s="3">
        <v>8</v>
      </c>
      <c r="B1787" s="3" t="s">
        <v>271</v>
      </c>
      <c r="C1787" s="3" t="s">
        <v>262</v>
      </c>
      <c r="D1787" s="3" t="s">
        <v>444</v>
      </c>
      <c r="E1787" s="11" t="s">
        <v>144</v>
      </c>
      <c r="F1787" s="3" t="s">
        <v>8</v>
      </c>
      <c r="G1787" s="66" t="s">
        <v>1000</v>
      </c>
      <c r="H1787" s="8" t="s">
        <v>505</v>
      </c>
      <c r="I1787" s="8"/>
      <c r="J1787" s="6" t="s">
        <v>42</v>
      </c>
      <c r="K1787" s="38">
        <v>1000</v>
      </c>
      <c r="L1787" s="4" t="s">
        <v>264</v>
      </c>
      <c r="M1787" s="11">
        <f>_xlfn.NUMBERVALUE(LEFT(Table613[[#This Row],[Fiscal Year]], 4))</f>
        <v>2001</v>
      </c>
      <c r="N1787" s="42">
        <f t="shared" si="37"/>
        <v>1420.8413325804629</v>
      </c>
      <c r="O1787" s="3">
        <v>1785</v>
      </c>
    </row>
    <row r="1788" spans="1:15" x14ac:dyDescent="0.25">
      <c r="A1788" s="3">
        <v>8</v>
      </c>
      <c r="B1788" s="3" t="s">
        <v>271</v>
      </c>
      <c r="C1788" s="3" t="s">
        <v>262</v>
      </c>
      <c r="D1788" s="3" t="s">
        <v>444</v>
      </c>
      <c r="E1788" s="11" t="s">
        <v>144</v>
      </c>
      <c r="F1788" s="3" t="s">
        <v>8</v>
      </c>
      <c r="G1788" s="66" t="s">
        <v>1001</v>
      </c>
      <c r="H1788" s="8" t="s">
        <v>599</v>
      </c>
      <c r="I1788" s="8"/>
      <c r="J1788" s="6" t="s">
        <v>42</v>
      </c>
      <c r="K1788" s="38">
        <v>26000</v>
      </c>
      <c r="L1788" s="4" t="s">
        <v>264</v>
      </c>
      <c r="M1788" s="11">
        <f>_xlfn.NUMBERVALUE(LEFT(Table613[[#This Row],[Fiscal Year]], 4))</f>
        <v>2001</v>
      </c>
      <c r="N1788" s="42">
        <f t="shared" si="37"/>
        <v>36941.874647092038</v>
      </c>
      <c r="O1788" s="3">
        <v>1786</v>
      </c>
    </row>
    <row r="1789" spans="1:15" x14ac:dyDescent="0.25">
      <c r="A1789" s="3">
        <v>8</v>
      </c>
      <c r="B1789" s="3" t="s">
        <v>271</v>
      </c>
      <c r="C1789" s="3" t="s">
        <v>262</v>
      </c>
      <c r="D1789" s="3" t="s">
        <v>444</v>
      </c>
      <c r="E1789" s="11" t="s">
        <v>144</v>
      </c>
      <c r="F1789" s="3" t="s">
        <v>8</v>
      </c>
      <c r="G1789" s="66" t="s">
        <v>1005</v>
      </c>
      <c r="H1789" s="8"/>
      <c r="I1789" s="8"/>
      <c r="J1789" s="6" t="s">
        <v>111</v>
      </c>
      <c r="K1789" s="38">
        <v>6406</v>
      </c>
      <c r="L1789" s="4" t="s">
        <v>264</v>
      </c>
      <c r="M1789" s="11">
        <f>_xlfn.NUMBERVALUE(LEFT(Table613[[#This Row],[Fiscal Year]], 4))</f>
        <v>2001</v>
      </c>
      <c r="N1789" s="42">
        <f t="shared" si="37"/>
        <v>9101.9095765104466</v>
      </c>
      <c r="O1789" s="3">
        <v>1787</v>
      </c>
    </row>
    <row r="1790" spans="1:15" x14ac:dyDescent="0.25">
      <c r="A1790" s="3">
        <v>8</v>
      </c>
      <c r="B1790" s="3" t="s">
        <v>271</v>
      </c>
      <c r="C1790" s="3" t="s">
        <v>262</v>
      </c>
      <c r="D1790" s="3" t="s">
        <v>444</v>
      </c>
      <c r="E1790" s="11" t="s">
        <v>144</v>
      </c>
      <c r="F1790" s="3" t="s">
        <v>8</v>
      </c>
      <c r="G1790" s="66" t="s">
        <v>1006</v>
      </c>
      <c r="H1790" s="8"/>
      <c r="I1790" s="8"/>
      <c r="J1790" s="6" t="s">
        <v>107</v>
      </c>
      <c r="K1790" s="38">
        <v>4724</v>
      </c>
      <c r="L1790" s="4" t="s">
        <v>264</v>
      </c>
      <c r="M1790" s="11">
        <f>_xlfn.NUMBERVALUE(LEFT(Table613[[#This Row],[Fiscal Year]], 4))</f>
        <v>2001</v>
      </c>
      <c r="N1790" s="42">
        <f t="shared" si="37"/>
        <v>6712.0544551101075</v>
      </c>
      <c r="O1790" s="3">
        <v>1788</v>
      </c>
    </row>
    <row r="1791" spans="1:15" x14ac:dyDescent="0.25">
      <c r="A1791" s="3">
        <v>8</v>
      </c>
      <c r="B1791" s="3" t="s">
        <v>271</v>
      </c>
      <c r="C1791" s="3" t="s">
        <v>262</v>
      </c>
      <c r="D1791" s="3" t="s">
        <v>444</v>
      </c>
      <c r="E1791" s="11" t="s">
        <v>144</v>
      </c>
      <c r="F1791" s="3" t="s">
        <v>8</v>
      </c>
      <c r="G1791" s="66" t="s">
        <v>1002</v>
      </c>
      <c r="H1791" s="8" t="s">
        <v>597</v>
      </c>
      <c r="I1791" s="8" t="s">
        <v>594</v>
      </c>
      <c r="J1791" s="6" t="s">
        <v>108</v>
      </c>
      <c r="K1791" s="38">
        <v>9866</v>
      </c>
      <c r="L1791" s="4" t="s">
        <v>264</v>
      </c>
      <c r="M1791" s="11">
        <f>_xlfn.NUMBERVALUE(LEFT(Table613[[#This Row],[Fiscal Year]], 4))</f>
        <v>2001</v>
      </c>
      <c r="N1791" s="42">
        <f t="shared" si="37"/>
        <v>14018.020587238847</v>
      </c>
      <c r="O1791" s="3">
        <v>1789</v>
      </c>
    </row>
    <row r="1792" spans="1:15" x14ac:dyDescent="0.25">
      <c r="A1792" s="3">
        <v>8</v>
      </c>
      <c r="B1792" s="3" t="s">
        <v>271</v>
      </c>
      <c r="C1792" s="3" t="s">
        <v>262</v>
      </c>
      <c r="D1792" s="3" t="s">
        <v>444</v>
      </c>
      <c r="E1792" s="11" t="s">
        <v>144</v>
      </c>
      <c r="F1792" s="3" t="s">
        <v>8</v>
      </c>
      <c r="G1792" s="66" t="s">
        <v>1003</v>
      </c>
      <c r="H1792" s="8" t="s">
        <v>506</v>
      </c>
      <c r="I1792" s="8"/>
      <c r="J1792" s="6" t="s">
        <v>106</v>
      </c>
      <c r="K1792" s="38">
        <v>0</v>
      </c>
      <c r="L1792" s="4" t="s">
        <v>264</v>
      </c>
      <c r="M1792" s="11">
        <f>_xlfn.NUMBERVALUE(LEFT(Table613[[#This Row],[Fiscal Year]], 4))</f>
        <v>2001</v>
      </c>
      <c r="N1792" s="42">
        <f t="shared" si="37"/>
        <v>0</v>
      </c>
      <c r="O1792" s="3">
        <v>1790</v>
      </c>
    </row>
    <row r="1793" spans="1:15" x14ac:dyDescent="0.25">
      <c r="A1793" s="3">
        <v>8</v>
      </c>
      <c r="B1793" s="3" t="s">
        <v>271</v>
      </c>
      <c r="C1793" s="3" t="s">
        <v>262</v>
      </c>
      <c r="D1793" s="3" t="s">
        <v>444</v>
      </c>
      <c r="E1793" s="11" t="s">
        <v>144</v>
      </c>
      <c r="F1793" s="3" t="s">
        <v>8</v>
      </c>
      <c r="G1793" s="66" t="s">
        <v>1007</v>
      </c>
      <c r="H1793" s="8"/>
      <c r="I1793" s="8"/>
      <c r="J1793" s="6" t="s">
        <v>76</v>
      </c>
      <c r="K1793" s="38">
        <v>10000</v>
      </c>
      <c r="L1793" s="4" t="s">
        <v>264</v>
      </c>
      <c r="M1793" s="11">
        <f>_xlfn.NUMBERVALUE(LEFT(Table613[[#This Row],[Fiscal Year]], 4))</f>
        <v>2001</v>
      </c>
      <c r="N1793" s="42">
        <f t="shared" si="37"/>
        <v>14208.413325804629</v>
      </c>
      <c r="O1793" s="3">
        <v>1791</v>
      </c>
    </row>
    <row r="1794" spans="1:15" x14ac:dyDescent="0.25">
      <c r="E1794" s="11"/>
      <c r="G1794" s="66"/>
      <c r="H1794" s="8"/>
      <c r="I1794" s="8"/>
      <c r="J1794" s="6"/>
      <c r="L1794" s="4"/>
      <c r="O1794" s="3">
        <v>1792</v>
      </c>
    </row>
    <row r="1795" spans="1:15" x14ac:dyDescent="0.25">
      <c r="A1795" s="3">
        <v>8</v>
      </c>
      <c r="B1795" s="3" t="s">
        <v>272</v>
      </c>
      <c r="C1795" s="3" t="s">
        <v>262</v>
      </c>
      <c r="D1795" s="3" t="s">
        <v>444</v>
      </c>
      <c r="E1795" s="11" t="s">
        <v>144</v>
      </c>
      <c r="F1795" s="3" t="s">
        <v>8</v>
      </c>
      <c r="G1795" s="48" t="s">
        <v>976</v>
      </c>
      <c r="H1795" s="8" t="s">
        <v>503</v>
      </c>
      <c r="I1795" s="8" t="s">
        <v>640</v>
      </c>
      <c r="J1795" s="6" t="s">
        <v>110</v>
      </c>
      <c r="K1795" s="38">
        <v>0</v>
      </c>
      <c r="L1795" s="4" t="s">
        <v>264</v>
      </c>
      <c r="M1795" s="11">
        <f>_xlfn.NUMBERVALUE(LEFT(Table613[[#This Row],[Fiscal Year]], 4))</f>
        <v>2001</v>
      </c>
      <c r="N1795" s="42">
        <f t="shared" ref="N1795:N1826" si="38">K1795*(1+VLOOKUP(M1795,$AF$8:$AH$31,3,0))</f>
        <v>0</v>
      </c>
      <c r="O1795" s="3">
        <v>1793</v>
      </c>
    </row>
    <row r="1796" spans="1:15" x14ac:dyDescent="0.25">
      <c r="A1796" s="3">
        <v>8</v>
      </c>
      <c r="B1796" s="3" t="s">
        <v>272</v>
      </c>
      <c r="C1796" s="3" t="s">
        <v>262</v>
      </c>
      <c r="D1796" s="3" t="s">
        <v>444</v>
      </c>
      <c r="E1796" s="11" t="s">
        <v>144</v>
      </c>
      <c r="F1796" s="3" t="s">
        <v>8</v>
      </c>
      <c r="G1796" s="66" t="s">
        <v>977</v>
      </c>
      <c r="H1796" s="8" t="s">
        <v>504</v>
      </c>
      <c r="I1796" s="8"/>
      <c r="J1796" s="6" t="s">
        <v>108</v>
      </c>
      <c r="K1796" s="38">
        <v>0</v>
      </c>
      <c r="L1796" s="4" t="s">
        <v>264</v>
      </c>
      <c r="M1796" s="11">
        <f>_xlfn.NUMBERVALUE(LEFT(Table613[[#This Row],[Fiscal Year]], 4))</f>
        <v>2001</v>
      </c>
      <c r="N1796" s="42">
        <f t="shared" si="38"/>
        <v>0</v>
      </c>
      <c r="O1796" s="3">
        <v>1794</v>
      </c>
    </row>
    <row r="1797" spans="1:15" x14ac:dyDescent="0.25">
      <c r="A1797" s="3">
        <v>8</v>
      </c>
      <c r="B1797" s="3" t="s">
        <v>272</v>
      </c>
      <c r="C1797" s="3" t="s">
        <v>262</v>
      </c>
      <c r="D1797" s="3" t="s">
        <v>444</v>
      </c>
      <c r="E1797" s="11" t="s">
        <v>144</v>
      </c>
      <c r="F1797" s="3" t="s">
        <v>8</v>
      </c>
      <c r="G1797" s="66" t="s">
        <v>978</v>
      </c>
      <c r="H1797" s="8" t="s">
        <v>602</v>
      </c>
      <c r="I1797" s="8"/>
      <c r="J1797" s="6" t="s">
        <v>108</v>
      </c>
      <c r="K1797" s="38">
        <v>0</v>
      </c>
      <c r="L1797" s="4" t="s">
        <v>264</v>
      </c>
      <c r="M1797" s="11">
        <f>_xlfn.NUMBERVALUE(LEFT(Table613[[#This Row],[Fiscal Year]], 4))</f>
        <v>2001</v>
      </c>
      <c r="N1797" s="42">
        <f t="shared" si="38"/>
        <v>0</v>
      </c>
      <c r="O1797" s="3">
        <v>1795</v>
      </c>
    </row>
    <row r="1798" spans="1:15" x14ac:dyDescent="0.25">
      <c r="A1798" s="3">
        <v>8</v>
      </c>
      <c r="B1798" s="3" t="s">
        <v>272</v>
      </c>
      <c r="C1798" s="3" t="s">
        <v>262</v>
      </c>
      <c r="D1798" s="3" t="s">
        <v>444</v>
      </c>
      <c r="E1798" s="11" t="s">
        <v>144</v>
      </c>
      <c r="F1798" s="3" t="s">
        <v>8</v>
      </c>
      <c r="G1798" s="66" t="s">
        <v>979</v>
      </c>
      <c r="H1798" s="8" t="s">
        <v>504</v>
      </c>
      <c r="I1798" s="8"/>
      <c r="J1798" s="6" t="s">
        <v>108</v>
      </c>
      <c r="K1798" s="38">
        <v>0</v>
      </c>
      <c r="L1798" s="4" t="s">
        <v>264</v>
      </c>
      <c r="M1798" s="11">
        <f>_xlfn.NUMBERVALUE(LEFT(Table613[[#This Row],[Fiscal Year]], 4))</f>
        <v>2001</v>
      </c>
      <c r="N1798" s="42">
        <f t="shared" si="38"/>
        <v>0</v>
      </c>
      <c r="O1798" s="3">
        <v>1796</v>
      </c>
    </row>
    <row r="1799" spans="1:15" x14ac:dyDescent="0.25">
      <c r="A1799" s="3">
        <v>8</v>
      </c>
      <c r="B1799" s="3" t="s">
        <v>272</v>
      </c>
      <c r="C1799" s="3" t="s">
        <v>262</v>
      </c>
      <c r="D1799" s="3" t="s">
        <v>444</v>
      </c>
      <c r="E1799" s="11" t="s">
        <v>144</v>
      </c>
      <c r="F1799" s="3" t="s">
        <v>8</v>
      </c>
      <c r="G1799" s="66" t="s">
        <v>980</v>
      </c>
      <c r="H1799" s="8" t="s">
        <v>504</v>
      </c>
      <c r="I1799" s="8"/>
      <c r="J1799" s="6" t="s">
        <v>108</v>
      </c>
      <c r="K1799" s="38">
        <v>0</v>
      </c>
      <c r="L1799" s="4" t="s">
        <v>264</v>
      </c>
      <c r="M1799" s="11">
        <f>_xlfn.NUMBERVALUE(LEFT(Table613[[#This Row],[Fiscal Year]], 4))</f>
        <v>2001</v>
      </c>
      <c r="N1799" s="42">
        <f t="shared" si="38"/>
        <v>0</v>
      </c>
      <c r="O1799" s="3">
        <v>1797</v>
      </c>
    </row>
    <row r="1800" spans="1:15" x14ac:dyDescent="0.25">
      <c r="A1800" s="3">
        <v>8</v>
      </c>
      <c r="B1800" s="3" t="s">
        <v>272</v>
      </c>
      <c r="C1800" s="3" t="s">
        <v>262</v>
      </c>
      <c r="D1800" s="3" t="s">
        <v>444</v>
      </c>
      <c r="E1800" s="11" t="s">
        <v>144</v>
      </c>
      <c r="F1800" s="3" t="s">
        <v>8</v>
      </c>
      <c r="G1800" s="48" t="s">
        <v>981</v>
      </c>
      <c r="H1800" s="8" t="s">
        <v>504</v>
      </c>
      <c r="I1800" s="8"/>
      <c r="J1800" s="6" t="s">
        <v>108</v>
      </c>
      <c r="K1800" s="38">
        <v>0</v>
      </c>
      <c r="L1800" s="4" t="s">
        <v>264</v>
      </c>
      <c r="M1800" s="11">
        <f>_xlfn.NUMBERVALUE(LEFT(Table613[[#This Row],[Fiscal Year]], 4))</f>
        <v>2001</v>
      </c>
      <c r="N1800" s="42">
        <f t="shared" si="38"/>
        <v>0</v>
      </c>
      <c r="O1800" s="3">
        <v>1798</v>
      </c>
    </row>
    <row r="1801" spans="1:15" x14ac:dyDescent="0.25">
      <c r="A1801" s="3">
        <v>8</v>
      </c>
      <c r="B1801" s="3" t="s">
        <v>272</v>
      </c>
      <c r="C1801" s="3" t="s">
        <v>262</v>
      </c>
      <c r="D1801" s="3" t="s">
        <v>444</v>
      </c>
      <c r="E1801" s="11" t="s">
        <v>144</v>
      </c>
      <c r="F1801" s="3" t="s">
        <v>8</v>
      </c>
      <c r="G1801" s="66" t="s">
        <v>982</v>
      </c>
      <c r="H1801" s="8" t="s">
        <v>593</v>
      </c>
      <c r="I1801" s="8" t="s">
        <v>594</v>
      </c>
      <c r="J1801" s="6" t="s">
        <v>108</v>
      </c>
      <c r="K1801" s="38">
        <v>0</v>
      </c>
      <c r="L1801" s="4" t="s">
        <v>264</v>
      </c>
      <c r="M1801" s="11">
        <f>_xlfn.NUMBERVALUE(LEFT(Table613[[#This Row],[Fiscal Year]], 4))</f>
        <v>2001</v>
      </c>
      <c r="N1801" s="42">
        <f t="shared" si="38"/>
        <v>0</v>
      </c>
      <c r="O1801" s="3">
        <v>1799</v>
      </c>
    </row>
    <row r="1802" spans="1:15" x14ac:dyDescent="0.25">
      <c r="A1802" s="3">
        <v>8</v>
      </c>
      <c r="B1802" s="3" t="s">
        <v>272</v>
      </c>
      <c r="C1802" s="3" t="s">
        <v>262</v>
      </c>
      <c r="D1802" s="3" t="s">
        <v>444</v>
      </c>
      <c r="E1802" s="11" t="s">
        <v>144</v>
      </c>
      <c r="F1802" s="3" t="s">
        <v>8</v>
      </c>
      <c r="G1802" s="66" t="s">
        <v>983</v>
      </c>
      <c r="H1802" s="8" t="s">
        <v>504</v>
      </c>
      <c r="I1802" s="8"/>
      <c r="J1802" s="6" t="s">
        <v>108</v>
      </c>
      <c r="K1802" s="38">
        <v>0</v>
      </c>
      <c r="L1802" s="4" t="s">
        <v>264</v>
      </c>
      <c r="M1802" s="11">
        <f>_xlfn.NUMBERVALUE(LEFT(Table613[[#This Row],[Fiscal Year]], 4))</f>
        <v>2001</v>
      </c>
      <c r="N1802" s="42">
        <f t="shared" si="38"/>
        <v>0</v>
      </c>
      <c r="O1802" s="3">
        <v>1800</v>
      </c>
    </row>
    <row r="1803" spans="1:15" x14ac:dyDescent="0.25">
      <c r="A1803" s="3">
        <v>8</v>
      </c>
      <c r="B1803" s="3" t="s">
        <v>272</v>
      </c>
      <c r="C1803" s="3" t="s">
        <v>262</v>
      </c>
      <c r="D1803" s="3" t="s">
        <v>444</v>
      </c>
      <c r="E1803" s="11" t="s">
        <v>144</v>
      </c>
      <c r="F1803" s="3" t="s">
        <v>8</v>
      </c>
      <c r="G1803" s="66" t="s">
        <v>984</v>
      </c>
      <c r="H1803" s="8" t="s">
        <v>504</v>
      </c>
      <c r="I1803" s="8"/>
      <c r="J1803" s="6" t="s">
        <v>108</v>
      </c>
      <c r="K1803" s="38">
        <v>0</v>
      </c>
      <c r="L1803" s="4" t="s">
        <v>264</v>
      </c>
      <c r="M1803" s="11">
        <f>_xlfn.NUMBERVALUE(LEFT(Table613[[#This Row],[Fiscal Year]], 4))</f>
        <v>2001</v>
      </c>
      <c r="N1803" s="42">
        <f t="shared" si="38"/>
        <v>0</v>
      </c>
      <c r="O1803" s="3">
        <v>1801</v>
      </c>
    </row>
    <row r="1804" spans="1:15" x14ac:dyDescent="0.25">
      <c r="A1804" s="3">
        <v>8</v>
      </c>
      <c r="B1804" s="3" t="s">
        <v>272</v>
      </c>
      <c r="C1804" s="3" t="s">
        <v>262</v>
      </c>
      <c r="D1804" s="3" t="s">
        <v>444</v>
      </c>
      <c r="E1804" s="11" t="s">
        <v>144</v>
      </c>
      <c r="F1804" s="3" t="s">
        <v>8</v>
      </c>
      <c r="G1804" s="66" t="s">
        <v>985</v>
      </c>
      <c r="H1804" s="8" t="s">
        <v>505</v>
      </c>
      <c r="I1804" s="8"/>
      <c r="J1804" s="6" t="s">
        <v>42</v>
      </c>
      <c r="K1804" s="38">
        <v>0</v>
      </c>
      <c r="L1804" s="4" t="s">
        <v>264</v>
      </c>
      <c r="M1804" s="11">
        <f>_xlfn.NUMBERVALUE(LEFT(Table613[[#This Row],[Fiscal Year]], 4))</f>
        <v>2001</v>
      </c>
      <c r="N1804" s="42">
        <f t="shared" si="38"/>
        <v>0</v>
      </c>
      <c r="O1804" s="3">
        <v>1802</v>
      </c>
    </row>
    <row r="1805" spans="1:15" x14ac:dyDescent="0.25">
      <c r="A1805" s="3">
        <v>8</v>
      </c>
      <c r="B1805" s="3" t="s">
        <v>272</v>
      </c>
      <c r="C1805" s="3" t="s">
        <v>262</v>
      </c>
      <c r="D1805" s="3" t="s">
        <v>444</v>
      </c>
      <c r="E1805" s="11" t="s">
        <v>144</v>
      </c>
      <c r="F1805" s="3" t="s">
        <v>8</v>
      </c>
      <c r="G1805" s="66" t="s">
        <v>986</v>
      </c>
      <c r="H1805" s="8" t="s">
        <v>599</v>
      </c>
      <c r="I1805" s="8"/>
      <c r="J1805" s="6" t="s">
        <v>42</v>
      </c>
      <c r="K1805" s="38">
        <v>0</v>
      </c>
      <c r="L1805" s="4" t="s">
        <v>264</v>
      </c>
      <c r="M1805" s="11">
        <f>_xlfn.NUMBERVALUE(LEFT(Table613[[#This Row],[Fiscal Year]], 4))</f>
        <v>2001</v>
      </c>
      <c r="N1805" s="42">
        <f t="shared" si="38"/>
        <v>0</v>
      </c>
      <c r="O1805" s="3">
        <v>1803</v>
      </c>
    </row>
    <row r="1806" spans="1:15" x14ac:dyDescent="0.25">
      <c r="A1806" s="3">
        <v>8</v>
      </c>
      <c r="B1806" s="3" t="s">
        <v>272</v>
      </c>
      <c r="C1806" s="3" t="s">
        <v>262</v>
      </c>
      <c r="D1806" s="3" t="s">
        <v>444</v>
      </c>
      <c r="E1806" s="11" t="s">
        <v>144</v>
      </c>
      <c r="F1806" s="3" t="s">
        <v>8</v>
      </c>
      <c r="G1806" s="66" t="s">
        <v>987</v>
      </c>
      <c r="H1806" s="8"/>
      <c r="I1806" s="8"/>
      <c r="J1806" s="6" t="s">
        <v>111</v>
      </c>
      <c r="K1806" s="38">
        <v>0</v>
      </c>
      <c r="L1806" s="4" t="s">
        <v>264</v>
      </c>
      <c r="M1806" s="11">
        <f>_xlfn.NUMBERVALUE(LEFT(Table613[[#This Row],[Fiscal Year]], 4))</f>
        <v>2001</v>
      </c>
      <c r="N1806" s="42">
        <f t="shared" si="38"/>
        <v>0</v>
      </c>
      <c r="O1806" s="3">
        <v>1804</v>
      </c>
    </row>
    <row r="1807" spans="1:15" x14ac:dyDescent="0.25">
      <c r="A1807" s="3">
        <v>8</v>
      </c>
      <c r="B1807" s="3" t="s">
        <v>272</v>
      </c>
      <c r="C1807" s="3" t="s">
        <v>262</v>
      </c>
      <c r="D1807" s="3" t="s">
        <v>444</v>
      </c>
      <c r="E1807" s="11" t="s">
        <v>144</v>
      </c>
      <c r="F1807" s="3" t="s">
        <v>8</v>
      </c>
      <c r="G1807" s="66" t="s">
        <v>988</v>
      </c>
      <c r="H1807" s="8"/>
      <c r="I1807" s="8"/>
      <c r="J1807" s="6" t="s">
        <v>107</v>
      </c>
      <c r="K1807" s="38">
        <v>0</v>
      </c>
      <c r="L1807" s="4" t="s">
        <v>264</v>
      </c>
      <c r="M1807" s="11">
        <f>_xlfn.NUMBERVALUE(LEFT(Table613[[#This Row],[Fiscal Year]], 4))</f>
        <v>2001</v>
      </c>
      <c r="N1807" s="42">
        <f t="shared" si="38"/>
        <v>0</v>
      </c>
      <c r="O1807" s="3">
        <v>1805</v>
      </c>
    </row>
    <row r="1808" spans="1:15" x14ac:dyDescent="0.25">
      <c r="A1808" s="3">
        <v>8</v>
      </c>
      <c r="B1808" s="3" t="s">
        <v>272</v>
      </c>
      <c r="C1808" s="3" t="s">
        <v>262</v>
      </c>
      <c r="D1808" s="3" t="s">
        <v>444</v>
      </c>
      <c r="E1808" s="11" t="s">
        <v>144</v>
      </c>
      <c r="F1808" s="3" t="s">
        <v>8</v>
      </c>
      <c r="G1808" s="66" t="s">
        <v>989</v>
      </c>
      <c r="H1808" s="8" t="s">
        <v>597</v>
      </c>
      <c r="I1808" s="8" t="s">
        <v>594</v>
      </c>
      <c r="J1808" s="6" t="s">
        <v>108</v>
      </c>
      <c r="K1808" s="38">
        <v>0</v>
      </c>
      <c r="L1808" s="4" t="s">
        <v>264</v>
      </c>
      <c r="M1808" s="11">
        <f>_xlfn.NUMBERVALUE(LEFT(Table613[[#This Row],[Fiscal Year]], 4))</f>
        <v>2001</v>
      </c>
      <c r="N1808" s="42">
        <f t="shared" si="38"/>
        <v>0</v>
      </c>
      <c r="O1808" s="3">
        <v>1806</v>
      </c>
    </row>
    <row r="1809" spans="1:15" x14ac:dyDescent="0.25">
      <c r="A1809" s="3">
        <v>8</v>
      </c>
      <c r="B1809" s="3" t="s">
        <v>272</v>
      </c>
      <c r="C1809" s="3" t="s">
        <v>262</v>
      </c>
      <c r="D1809" s="3" t="s">
        <v>444</v>
      </c>
      <c r="E1809" s="11" t="s">
        <v>144</v>
      </c>
      <c r="F1809" s="3" t="s">
        <v>8</v>
      </c>
      <c r="G1809" s="66" t="s">
        <v>990</v>
      </c>
      <c r="H1809" s="8" t="s">
        <v>506</v>
      </c>
      <c r="I1809" s="8"/>
      <c r="J1809" s="6" t="s">
        <v>106</v>
      </c>
      <c r="K1809" s="38">
        <v>0</v>
      </c>
      <c r="L1809" s="4" t="s">
        <v>264</v>
      </c>
      <c r="M1809" s="11">
        <f>_xlfn.NUMBERVALUE(LEFT(Table613[[#This Row],[Fiscal Year]], 4))</f>
        <v>2001</v>
      </c>
      <c r="N1809" s="42">
        <f t="shared" si="38"/>
        <v>0</v>
      </c>
      <c r="O1809" s="3">
        <v>1807</v>
      </c>
    </row>
    <row r="1810" spans="1:15" x14ac:dyDescent="0.25">
      <c r="A1810" s="3">
        <v>8</v>
      </c>
      <c r="B1810" s="3" t="s">
        <v>272</v>
      </c>
      <c r="C1810" s="3" t="s">
        <v>262</v>
      </c>
      <c r="D1810" s="3" t="s">
        <v>444</v>
      </c>
      <c r="E1810" s="11" t="s">
        <v>144</v>
      </c>
      <c r="F1810" s="3" t="s">
        <v>8</v>
      </c>
      <c r="G1810" s="66" t="s">
        <v>1004</v>
      </c>
      <c r="H1810" s="8"/>
      <c r="I1810" s="8"/>
      <c r="J1810" s="6" t="s">
        <v>76</v>
      </c>
      <c r="K1810" s="38">
        <v>0</v>
      </c>
      <c r="L1810" s="4" t="s">
        <v>264</v>
      </c>
      <c r="M1810" s="11">
        <f>_xlfn.NUMBERVALUE(LEFT(Table613[[#This Row],[Fiscal Year]], 4))</f>
        <v>2001</v>
      </c>
      <c r="N1810" s="42">
        <f t="shared" si="38"/>
        <v>0</v>
      </c>
      <c r="O1810" s="3">
        <v>1808</v>
      </c>
    </row>
    <row r="1811" spans="1:15" x14ac:dyDescent="0.25">
      <c r="A1811" s="3">
        <v>8</v>
      </c>
      <c r="B1811" s="3" t="s">
        <v>272</v>
      </c>
      <c r="C1811" s="3" t="s">
        <v>262</v>
      </c>
      <c r="D1811" s="3" t="s">
        <v>444</v>
      </c>
      <c r="E1811" s="11" t="s">
        <v>144</v>
      </c>
      <c r="F1811" s="3" t="s">
        <v>8</v>
      </c>
      <c r="G1811" s="48" t="s">
        <v>991</v>
      </c>
      <c r="H1811" s="8" t="s">
        <v>503</v>
      </c>
      <c r="I1811" s="8"/>
      <c r="J1811" s="6" t="s">
        <v>110</v>
      </c>
      <c r="K1811" s="38">
        <v>249309</v>
      </c>
      <c r="L1811" s="4" t="s">
        <v>264</v>
      </c>
      <c r="M1811" s="11">
        <f>_xlfn.NUMBERVALUE(LEFT(Table613[[#This Row],[Fiscal Year]], 4))</f>
        <v>2001</v>
      </c>
      <c r="N1811" s="42">
        <f t="shared" si="38"/>
        <v>354228.53178430261</v>
      </c>
      <c r="O1811" s="3">
        <v>1809</v>
      </c>
    </row>
    <row r="1812" spans="1:15" x14ac:dyDescent="0.25">
      <c r="A1812" s="3">
        <v>8</v>
      </c>
      <c r="B1812" s="3" t="s">
        <v>272</v>
      </c>
      <c r="C1812" s="3" t="s">
        <v>262</v>
      </c>
      <c r="D1812" s="3" t="s">
        <v>444</v>
      </c>
      <c r="E1812" s="11" t="s">
        <v>144</v>
      </c>
      <c r="F1812" s="3" t="s">
        <v>8</v>
      </c>
      <c r="G1812" s="66" t="s">
        <v>992</v>
      </c>
      <c r="H1812" s="8" t="s">
        <v>504</v>
      </c>
      <c r="I1812" s="8"/>
      <c r="J1812" s="6" t="s">
        <v>108</v>
      </c>
      <c r="K1812" s="38">
        <v>73730</v>
      </c>
      <c r="L1812" s="4" t="s">
        <v>264</v>
      </c>
      <c r="M1812" s="11">
        <f>_xlfn.NUMBERVALUE(LEFT(Table613[[#This Row],[Fiscal Year]], 4))</f>
        <v>2001</v>
      </c>
      <c r="N1812" s="42">
        <f t="shared" si="38"/>
        <v>104758.63145115753</v>
      </c>
      <c r="O1812" s="3">
        <v>1810</v>
      </c>
    </row>
    <row r="1813" spans="1:15" x14ac:dyDescent="0.25">
      <c r="A1813" s="3">
        <v>8</v>
      </c>
      <c r="B1813" s="3" t="s">
        <v>272</v>
      </c>
      <c r="C1813" s="3" t="s">
        <v>262</v>
      </c>
      <c r="D1813" s="3" t="s">
        <v>444</v>
      </c>
      <c r="E1813" s="11" t="s">
        <v>144</v>
      </c>
      <c r="F1813" s="3" t="s">
        <v>8</v>
      </c>
      <c r="G1813" s="66" t="s">
        <v>993</v>
      </c>
      <c r="H1813" s="8" t="s">
        <v>602</v>
      </c>
      <c r="I1813" s="8"/>
      <c r="J1813" s="6" t="s">
        <v>108</v>
      </c>
      <c r="K1813" s="38">
        <v>0</v>
      </c>
      <c r="L1813" s="4" t="s">
        <v>264</v>
      </c>
      <c r="M1813" s="11">
        <f>_xlfn.NUMBERVALUE(LEFT(Table613[[#This Row],[Fiscal Year]], 4))</f>
        <v>2001</v>
      </c>
      <c r="N1813" s="42">
        <f t="shared" si="38"/>
        <v>0</v>
      </c>
      <c r="O1813" s="3">
        <v>1811</v>
      </c>
    </row>
    <row r="1814" spans="1:15" x14ac:dyDescent="0.25">
      <c r="A1814" s="3">
        <v>8</v>
      </c>
      <c r="B1814" s="3" t="s">
        <v>272</v>
      </c>
      <c r="C1814" s="3" t="s">
        <v>262</v>
      </c>
      <c r="D1814" s="3" t="s">
        <v>444</v>
      </c>
      <c r="E1814" s="11" t="s">
        <v>144</v>
      </c>
      <c r="F1814" s="3" t="s">
        <v>8</v>
      </c>
      <c r="G1814" s="66" t="s">
        <v>994</v>
      </c>
      <c r="H1814" s="8" t="s">
        <v>504</v>
      </c>
      <c r="I1814" s="8"/>
      <c r="J1814" s="6" t="s">
        <v>108</v>
      </c>
      <c r="K1814" s="38">
        <v>579100</v>
      </c>
      <c r="L1814" s="4" t="s">
        <v>264</v>
      </c>
      <c r="M1814" s="11">
        <f>_xlfn.NUMBERVALUE(LEFT(Table613[[#This Row],[Fiscal Year]], 4))</f>
        <v>2001</v>
      </c>
      <c r="N1814" s="42">
        <f>K1814*(1+VLOOKUP(M1814,$AF$8:$AH$31,3,0))</f>
        <v>822809.21569734614</v>
      </c>
      <c r="O1814" s="3">
        <v>1812</v>
      </c>
    </row>
    <row r="1815" spans="1:15" x14ac:dyDescent="0.25">
      <c r="A1815" s="3">
        <v>8</v>
      </c>
      <c r="B1815" s="3" t="s">
        <v>272</v>
      </c>
      <c r="C1815" s="3" t="s">
        <v>262</v>
      </c>
      <c r="D1815" s="3" t="s">
        <v>444</v>
      </c>
      <c r="E1815" s="11" t="s">
        <v>144</v>
      </c>
      <c r="F1815" s="3" t="s">
        <v>8</v>
      </c>
      <c r="G1815" s="66" t="s">
        <v>995</v>
      </c>
      <c r="H1815" s="8" t="s">
        <v>504</v>
      </c>
      <c r="I1815" s="8"/>
      <c r="J1815" s="6" t="s">
        <v>108</v>
      </c>
      <c r="K1815" s="38">
        <v>0</v>
      </c>
      <c r="L1815" s="4" t="s">
        <v>264</v>
      </c>
      <c r="M1815" s="11">
        <f>_xlfn.NUMBERVALUE(LEFT(Table613[[#This Row],[Fiscal Year]], 4))</f>
        <v>2001</v>
      </c>
      <c r="N1815" s="42">
        <f t="shared" si="38"/>
        <v>0</v>
      </c>
      <c r="O1815" s="3">
        <v>1813</v>
      </c>
    </row>
    <row r="1816" spans="1:15" x14ac:dyDescent="0.25">
      <c r="A1816" s="3">
        <v>8</v>
      </c>
      <c r="B1816" s="3" t="s">
        <v>272</v>
      </c>
      <c r="C1816" s="3" t="s">
        <v>262</v>
      </c>
      <c r="D1816" s="3" t="s">
        <v>444</v>
      </c>
      <c r="E1816" s="11" t="s">
        <v>144</v>
      </c>
      <c r="F1816" s="3" t="s">
        <v>8</v>
      </c>
      <c r="G1816" s="48" t="s">
        <v>996</v>
      </c>
      <c r="H1816" s="8" t="s">
        <v>504</v>
      </c>
      <c r="I1816" s="8"/>
      <c r="J1816" s="6" t="s">
        <v>108</v>
      </c>
      <c r="K1816" s="38">
        <v>519130</v>
      </c>
      <c r="L1816" s="4" t="s">
        <v>264</v>
      </c>
      <c r="M1816" s="11">
        <f>_xlfn.NUMBERVALUE(LEFT(Table613[[#This Row],[Fiscal Year]], 4))</f>
        <v>2001</v>
      </c>
      <c r="N1816" s="42">
        <f>K1816*(1+VLOOKUP(M1816,$AF$8:$AH$31,3,0))</f>
        <v>737601.36098249571</v>
      </c>
      <c r="O1816" s="3">
        <v>1814</v>
      </c>
    </row>
    <row r="1817" spans="1:15" x14ac:dyDescent="0.25">
      <c r="A1817" s="3">
        <v>8</v>
      </c>
      <c r="B1817" s="3" t="s">
        <v>272</v>
      </c>
      <c r="C1817" s="3" t="s">
        <v>262</v>
      </c>
      <c r="D1817" s="3" t="s">
        <v>444</v>
      </c>
      <c r="E1817" s="11" t="s">
        <v>144</v>
      </c>
      <c r="F1817" s="3" t="s">
        <v>8</v>
      </c>
      <c r="G1817" s="66" t="s">
        <v>997</v>
      </c>
      <c r="H1817" s="8" t="s">
        <v>593</v>
      </c>
      <c r="I1817" s="8" t="s">
        <v>594</v>
      </c>
      <c r="J1817" s="6" t="s">
        <v>108</v>
      </c>
      <c r="K1817" s="38">
        <v>0</v>
      </c>
      <c r="L1817" s="4" t="s">
        <v>264</v>
      </c>
      <c r="M1817" s="11">
        <f>_xlfn.NUMBERVALUE(LEFT(Table613[[#This Row],[Fiscal Year]], 4))</f>
        <v>2001</v>
      </c>
      <c r="N1817" s="42">
        <f t="shared" si="38"/>
        <v>0</v>
      </c>
      <c r="O1817" s="3">
        <v>1815</v>
      </c>
    </row>
    <row r="1818" spans="1:15" x14ac:dyDescent="0.25">
      <c r="A1818" s="3">
        <v>8</v>
      </c>
      <c r="B1818" s="3" t="s">
        <v>272</v>
      </c>
      <c r="C1818" s="3" t="s">
        <v>262</v>
      </c>
      <c r="D1818" s="3" t="s">
        <v>444</v>
      </c>
      <c r="E1818" s="11" t="s">
        <v>144</v>
      </c>
      <c r="F1818" s="3" t="s">
        <v>8</v>
      </c>
      <c r="G1818" s="66" t="s">
        <v>998</v>
      </c>
      <c r="H1818" s="8" t="s">
        <v>504</v>
      </c>
      <c r="I1818" s="8"/>
      <c r="J1818" s="6" t="s">
        <v>108</v>
      </c>
      <c r="K1818" s="38">
        <v>90380</v>
      </c>
      <c r="L1818" s="4" t="s">
        <v>264</v>
      </c>
      <c r="M1818" s="11">
        <f>_xlfn.NUMBERVALUE(LEFT(Table613[[#This Row],[Fiscal Year]], 4))</f>
        <v>2001</v>
      </c>
      <c r="N1818" s="42">
        <f t="shared" si="38"/>
        <v>128415.63963862225</v>
      </c>
      <c r="O1818" s="3">
        <v>1816</v>
      </c>
    </row>
    <row r="1819" spans="1:15" x14ac:dyDescent="0.25">
      <c r="A1819" s="3">
        <v>8</v>
      </c>
      <c r="B1819" s="3" t="s">
        <v>272</v>
      </c>
      <c r="C1819" s="3" t="s">
        <v>262</v>
      </c>
      <c r="D1819" s="3" t="s">
        <v>444</v>
      </c>
      <c r="E1819" s="11" t="s">
        <v>144</v>
      </c>
      <c r="F1819" s="3" t="s">
        <v>8</v>
      </c>
      <c r="G1819" s="66" t="s">
        <v>999</v>
      </c>
      <c r="H1819" s="8" t="s">
        <v>504</v>
      </c>
      <c r="I1819" s="8"/>
      <c r="J1819" s="6" t="s">
        <v>108</v>
      </c>
      <c r="K1819" s="38">
        <v>138590</v>
      </c>
      <c r="L1819" s="4" t="s">
        <v>264</v>
      </c>
      <c r="M1819" s="11">
        <f>_xlfn.NUMBERVALUE(LEFT(Table613[[#This Row],[Fiscal Year]], 4))</f>
        <v>2001</v>
      </c>
      <c r="N1819" s="42">
        <f t="shared" si="38"/>
        <v>196914.40028232636</v>
      </c>
      <c r="O1819" s="3">
        <v>1817</v>
      </c>
    </row>
    <row r="1820" spans="1:15" x14ac:dyDescent="0.25">
      <c r="A1820" s="3">
        <v>8</v>
      </c>
      <c r="B1820" s="3" t="s">
        <v>272</v>
      </c>
      <c r="C1820" s="3" t="s">
        <v>262</v>
      </c>
      <c r="D1820" s="3" t="s">
        <v>444</v>
      </c>
      <c r="E1820" s="11" t="s">
        <v>144</v>
      </c>
      <c r="F1820" s="3" t="s">
        <v>8</v>
      </c>
      <c r="G1820" s="66" t="s">
        <v>1000</v>
      </c>
      <c r="H1820" s="8" t="s">
        <v>505</v>
      </c>
      <c r="I1820" s="8"/>
      <c r="J1820" s="6" t="s">
        <v>42</v>
      </c>
      <c r="K1820" s="38">
        <v>0</v>
      </c>
      <c r="L1820" s="4" t="s">
        <v>264</v>
      </c>
      <c r="M1820" s="11">
        <f>_xlfn.NUMBERVALUE(LEFT(Table613[[#This Row],[Fiscal Year]], 4))</f>
        <v>2001</v>
      </c>
      <c r="N1820" s="42">
        <f t="shared" si="38"/>
        <v>0</v>
      </c>
      <c r="O1820" s="3">
        <v>1818</v>
      </c>
    </row>
    <row r="1821" spans="1:15" x14ac:dyDescent="0.25">
      <c r="A1821" s="3">
        <v>8</v>
      </c>
      <c r="B1821" s="3" t="s">
        <v>272</v>
      </c>
      <c r="C1821" s="3" t="s">
        <v>262</v>
      </c>
      <c r="D1821" s="3" t="s">
        <v>444</v>
      </c>
      <c r="E1821" s="11" t="s">
        <v>144</v>
      </c>
      <c r="F1821" s="3" t="s">
        <v>8</v>
      </c>
      <c r="G1821" s="66" t="s">
        <v>1001</v>
      </c>
      <c r="H1821" s="8" t="s">
        <v>599</v>
      </c>
      <c r="I1821" s="8"/>
      <c r="J1821" s="6" t="s">
        <v>42</v>
      </c>
      <c r="K1821" s="38">
        <v>0</v>
      </c>
      <c r="L1821" s="4" t="s">
        <v>264</v>
      </c>
      <c r="M1821" s="11">
        <f>_xlfn.NUMBERVALUE(LEFT(Table613[[#This Row],[Fiscal Year]], 4))</f>
        <v>2001</v>
      </c>
      <c r="N1821" s="42">
        <f t="shared" si="38"/>
        <v>0</v>
      </c>
      <c r="O1821" s="3">
        <v>1819</v>
      </c>
    </row>
    <row r="1822" spans="1:15" x14ac:dyDescent="0.25">
      <c r="A1822" s="3">
        <v>8</v>
      </c>
      <c r="B1822" s="3" t="s">
        <v>272</v>
      </c>
      <c r="C1822" s="3" t="s">
        <v>262</v>
      </c>
      <c r="D1822" s="3" t="s">
        <v>444</v>
      </c>
      <c r="E1822" s="11" t="s">
        <v>144</v>
      </c>
      <c r="F1822" s="3" t="s">
        <v>8</v>
      </c>
      <c r="G1822" s="66" t="s">
        <v>1005</v>
      </c>
      <c r="H1822" s="8"/>
      <c r="I1822" s="8"/>
      <c r="J1822" s="6" t="s">
        <v>111</v>
      </c>
      <c r="K1822" s="38">
        <v>0</v>
      </c>
      <c r="L1822" s="4" t="s">
        <v>264</v>
      </c>
      <c r="M1822" s="11">
        <f>_xlfn.NUMBERVALUE(LEFT(Table613[[#This Row],[Fiscal Year]], 4))</f>
        <v>2001</v>
      </c>
      <c r="N1822" s="42">
        <f t="shared" si="38"/>
        <v>0</v>
      </c>
      <c r="O1822" s="3">
        <v>1820</v>
      </c>
    </row>
    <row r="1823" spans="1:15" x14ac:dyDescent="0.25">
      <c r="A1823" s="3">
        <v>8</v>
      </c>
      <c r="B1823" s="3" t="s">
        <v>272</v>
      </c>
      <c r="C1823" s="3" t="s">
        <v>262</v>
      </c>
      <c r="D1823" s="3" t="s">
        <v>444</v>
      </c>
      <c r="E1823" s="11" t="s">
        <v>144</v>
      </c>
      <c r="F1823" s="3" t="s">
        <v>8</v>
      </c>
      <c r="G1823" s="66" t="s">
        <v>1006</v>
      </c>
      <c r="H1823" s="8"/>
      <c r="I1823" s="8"/>
      <c r="J1823" s="6" t="s">
        <v>107</v>
      </c>
      <c r="K1823" s="38">
        <v>10000</v>
      </c>
      <c r="L1823" s="4" t="s">
        <v>264</v>
      </c>
      <c r="M1823" s="11">
        <f>_xlfn.NUMBERVALUE(LEFT(Table613[[#This Row],[Fiscal Year]], 4))</f>
        <v>2001</v>
      </c>
      <c r="N1823" s="42">
        <f>K1823*(1+VLOOKUP(M1823,$AF$8:$AH$31,3,0))</f>
        <v>14208.413325804629</v>
      </c>
      <c r="O1823" s="3">
        <v>1821</v>
      </c>
    </row>
    <row r="1824" spans="1:15" x14ac:dyDescent="0.25">
      <c r="A1824" s="3">
        <v>8</v>
      </c>
      <c r="B1824" s="3" t="s">
        <v>272</v>
      </c>
      <c r="C1824" s="3" t="s">
        <v>262</v>
      </c>
      <c r="D1824" s="3" t="s">
        <v>444</v>
      </c>
      <c r="E1824" s="11" t="s">
        <v>144</v>
      </c>
      <c r="F1824" s="3" t="s">
        <v>8</v>
      </c>
      <c r="G1824" s="66" t="s">
        <v>1002</v>
      </c>
      <c r="H1824" s="8" t="s">
        <v>597</v>
      </c>
      <c r="I1824" s="8" t="s">
        <v>594</v>
      </c>
      <c r="J1824" s="6" t="s">
        <v>108</v>
      </c>
      <c r="K1824" s="38">
        <v>0</v>
      </c>
      <c r="L1824" s="4" t="s">
        <v>264</v>
      </c>
      <c r="M1824" s="11">
        <f>_xlfn.NUMBERVALUE(LEFT(Table613[[#This Row],[Fiscal Year]], 4))</f>
        <v>2001</v>
      </c>
      <c r="N1824" s="42">
        <f t="shared" si="38"/>
        <v>0</v>
      </c>
      <c r="O1824" s="3">
        <v>1822</v>
      </c>
    </row>
    <row r="1825" spans="1:15" x14ac:dyDescent="0.25">
      <c r="A1825" s="3">
        <v>8</v>
      </c>
      <c r="B1825" s="3" t="s">
        <v>272</v>
      </c>
      <c r="C1825" s="3" t="s">
        <v>262</v>
      </c>
      <c r="D1825" s="3" t="s">
        <v>444</v>
      </c>
      <c r="E1825" s="11" t="s">
        <v>144</v>
      </c>
      <c r="F1825" s="3" t="s">
        <v>8</v>
      </c>
      <c r="G1825" s="66" t="s">
        <v>1003</v>
      </c>
      <c r="H1825" s="8" t="s">
        <v>506</v>
      </c>
      <c r="I1825" s="8"/>
      <c r="J1825" s="6" t="s">
        <v>106</v>
      </c>
      <c r="K1825" s="38">
        <v>0</v>
      </c>
      <c r="L1825" s="4" t="s">
        <v>264</v>
      </c>
      <c r="M1825" s="11">
        <f>_xlfn.NUMBERVALUE(LEFT(Table613[[#This Row],[Fiscal Year]], 4))</f>
        <v>2001</v>
      </c>
      <c r="N1825" s="42">
        <f t="shared" si="38"/>
        <v>0</v>
      </c>
      <c r="O1825" s="3">
        <v>1823</v>
      </c>
    </row>
    <row r="1826" spans="1:15" x14ac:dyDescent="0.25">
      <c r="A1826" s="3">
        <v>8</v>
      </c>
      <c r="B1826" s="3" t="s">
        <v>272</v>
      </c>
      <c r="C1826" s="3" t="s">
        <v>262</v>
      </c>
      <c r="D1826" s="3" t="s">
        <v>444</v>
      </c>
      <c r="E1826" s="11" t="s">
        <v>144</v>
      </c>
      <c r="F1826" s="3" t="s">
        <v>8</v>
      </c>
      <c r="G1826" s="66" t="s">
        <v>1007</v>
      </c>
      <c r="H1826" s="8"/>
      <c r="I1826" s="8"/>
      <c r="J1826" s="6" t="s">
        <v>76</v>
      </c>
      <c r="K1826" s="38">
        <v>0</v>
      </c>
      <c r="L1826" s="4" t="s">
        <v>264</v>
      </c>
      <c r="M1826" s="11">
        <f>_xlfn.NUMBERVALUE(LEFT(Table613[[#This Row],[Fiscal Year]], 4))</f>
        <v>2001</v>
      </c>
      <c r="N1826" s="42">
        <f t="shared" si="38"/>
        <v>0</v>
      </c>
      <c r="O1826" s="3">
        <v>1824</v>
      </c>
    </row>
    <row r="1827" spans="1:15" x14ac:dyDescent="0.25">
      <c r="E1827" s="11"/>
      <c r="G1827" s="66"/>
      <c r="H1827" s="8"/>
      <c r="I1827" s="8"/>
      <c r="J1827" s="6"/>
      <c r="L1827" s="4"/>
      <c r="O1827" s="3">
        <v>1825</v>
      </c>
    </row>
    <row r="1828" spans="1:15" x14ac:dyDescent="0.25">
      <c r="A1828" s="3">
        <v>8</v>
      </c>
      <c r="B1828" s="3" t="s">
        <v>273</v>
      </c>
      <c r="C1828" s="3" t="s">
        <v>262</v>
      </c>
      <c r="D1828" s="3" t="s">
        <v>444</v>
      </c>
      <c r="E1828" s="11" t="s">
        <v>144</v>
      </c>
      <c r="F1828" s="3" t="s">
        <v>8</v>
      </c>
      <c r="G1828" s="48" t="s">
        <v>976</v>
      </c>
      <c r="H1828" s="8" t="s">
        <v>503</v>
      </c>
      <c r="I1828" s="8" t="s">
        <v>640</v>
      </c>
      <c r="J1828" s="6" t="s">
        <v>110</v>
      </c>
      <c r="K1828" s="38">
        <v>0</v>
      </c>
      <c r="L1828" s="4" t="s">
        <v>264</v>
      </c>
      <c r="M1828" s="11">
        <f>_xlfn.NUMBERVALUE(LEFT(Table613[[#This Row],[Fiscal Year]], 4))</f>
        <v>2001</v>
      </c>
      <c r="N1828" s="42">
        <f t="shared" ref="N1828:N1859" si="39">K1828*(1+VLOOKUP(M1828,$AF$8:$AH$31,3,0))</f>
        <v>0</v>
      </c>
      <c r="O1828" s="3">
        <v>1826</v>
      </c>
    </row>
    <row r="1829" spans="1:15" x14ac:dyDescent="0.25">
      <c r="A1829" s="3">
        <v>8</v>
      </c>
      <c r="B1829" s="3" t="s">
        <v>273</v>
      </c>
      <c r="C1829" s="3" t="s">
        <v>262</v>
      </c>
      <c r="D1829" s="3" t="s">
        <v>444</v>
      </c>
      <c r="E1829" s="11" t="s">
        <v>144</v>
      </c>
      <c r="F1829" s="3" t="s">
        <v>8</v>
      </c>
      <c r="G1829" s="66" t="s">
        <v>977</v>
      </c>
      <c r="H1829" s="8" t="s">
        <v>504</v>
      </c>
      <c r="I1829" s="8"/>
      <c r="J1829" s="6" t="s">
        <v>108</v>
      </c>
      <c r="K1829" s="38">
        <v>0</v>
      </c>
      <c r="L1829" s="4" t="s">
        <v>264</v>
      </c>
      <c r="M1829" s="11">
        <f>_xlfn.NUMBERVALUE(LEFT(Table613[[#This Row],[Fiscal Year]], 4))</f>
        <v>2001</v>
      </c>
      <c r="N1829" s="42">
        <f t="shared" si="39"/>
        <v>0</v>
      </c>
      <c r="O1829" s="3">
        <v>1827</v>
      </c>
    </row>
    <row r="1830" spans="1:15" x14ac:dyDescent="0.25">
      <c r="A1830" s="3">
        <v>8</v>
      </c>
      <c r="B1830" s="3" t="s">
        <v>273</v>
      </c>
      <c r="C1830" s="3" t="s">
        <v>262</v>
      </c>
      <c r="D1830" s="3" t="s">
        <v>444</v>
      </c>
      <c r="E1830" s="11" t="s">
        <v>144</v>
      </c>
      <c r="F1830" s="3" t="s">
        <v>8</v>
      </c>
      <c r="G1830" s="66" t="s">
        <v>978</v>
      </c>
      <c r="H1830" s="8" t="s">
        <v>602</v>
      </c>
      <c r="I1830" s="8"/>
      <c r="J1830" s="6" t="s">
        <v>108</v>
      </c>
      <c r="K1830" s="38">
        <v>0</v>
      </c>
      <c r="L1830" s="4" t="s">
        <v>264</v>
      </c>
      <c r="M1830" s="11">
        <f>_xlfn.NUMBERVALUE(LEFT(Table613[[#This Row],[Fiscal Year]], 4))</f>
        <v>2001</v>
      </c>
      <c r="N1830" s="42">
        <f t="shared" si="39"/>
        <v>0</v>
      </c>
      <c r="O1830" s="3">
        <v>1828</v>
      </c>
    </row>
    <row r="1831" spans="1:15" x14ac:dyDescent="0.25">
      <c r="A1831" s="3">
        <v>8</v>
      </c>
      <c r="B1831" s="3" t="s">
        <v>273</v>
      </c>
      <c r="C1831" s="3" t="s">
        <v>262</v>
      </c>
      <c r="D1831" s="3" t="s">
        <v>444</v>
      </c>
      <c r="E1831" s="11" t="s">
        <v>144</v>
      </c>
      <c r="F1831" s="3" t="s">
        <v>8</v>
      </c>
      <c r="G1831" s="66" t="s">
        <v>979</v>
      </c>
      <c r="H1831" s="8" t="s">
        <v>504</v>
      </c>
      <c r="I1831" s="8"/>
      <c r="J1831" s="6" t="s">
        <v>108</v>
      </c>
      <c r="K1831" s="38">
        <v>0</v>
      </c>
      <c r="L1831" s="4" t="s">
        <v>264</v>
      </c>
      <c r="M1831" s="11">
        <f>_xlfn.NUMBERVALUE(LEFT(Table613[[#This Row],[Fiscal Year]], 4))</f>
        <v>2001</v>
      </c>
      <c r="N1831" s="42">
        <f t="shared" si="39"/>
        <v>0</v>
      </c>
      <c r="O1831" s="3">
        <v>1829</v>
      </c>
    </row>
    <row r="1832" spans="1:15" x14ac:dyDescent="0.25">
      <c r="A1832" s="3">
        <v>8</v>
      </c>
      <c r="B1832" s="3" t="s">
        <v>273</v>
      </c>
      <c r="C1832" s="3" t="s">
        <v>262</v>
      </c>
      <c r="D1832" s="3" t="s">
        <v>444</v>
      </c>
      <c r="E1832" s="11" t="s">
        <v>144</v>
      </c>
      <c r="F1832" s="3" t="s">
        <v>8</v>
      </c>
      <c r="G1832" s="66" t="s">
        <v>980</v>
      </c>
      <c r="H1832" s="8" t="s">
        <v>504</v>
      </c>
      <c r="I1832" s="8"/>
      <c r="J1832" s="6" t="s">
        <v>108</v>
      </c>
      <c r="K1832" s="38">
        <v>0</v>
      </c>
      <c r="L1832" s="4" t="s">
        <v>264</v>
      </c>
      <c r="M1832" s="11">
        <f>_xlfn.NUMBERVALUE(LEFT(Table613[[#This Row],[Fiscal Year]], 4))</f>
        <v>2001</v>
      </c>
      <c r="N1832" s="42">
        <f t="shared" si="39"/>
        <v>0</v>
      </c>
      <c r="O1832" s="3">
        <v>1830</v>
      </c>
    </row>
    <row r="1833" spans="1:15" x14ac:dyDescent="0.25">
      <c r="A1833" s="3">
        <v>8</v>
      </c>
      <c r="B1833" s="3" t="s">
        <v>273</v>
      </c>
      <c r="C1833" s="3" t="s">
        <v>262</v>
      </c>
      <c r="D1833" s="3" t="s">
        <v>444</v>
      </c>
      <c r="E1833" s="11" t="s">
        <v>144</v>
      </c>
      <c r="F1833" s="3" t="s">
        <v>8</v>
      </c>
      <c r="G1833" s="48" t="s">
        <v>981</v>
      </c>
      <c r="H1833" s="8" t="s">
        <v>504</v>
      </c>
      <c r="I1833" s="8"/>
      <c r="J1833" s="6" t="s">
        <v>108</v>
      </c>
      <c r="K1833" s="38">
        <v>38995</v>
      </c>
      <c r="L1833" s="4" t="s">
        <v>264</v>
      </c>
      <c r="M1833" s="11">
        <f>_xlfn.NUMBERVALUE(LEFT(Table613[[#This Row],[Fiscal Year]], 4))</f>
        <v>2001</v>
      </c>
      <c r="N1833" s="42">
        <f>K1833*(1+VLOOKUP(M1833,$AF$8:$AH$31,3,0))</f>
        <v>55405.707763975151</v>
      </c>
      <c r="O1833" s="3">
        <v>1831</v>
      </c>
    </row>
    <row r="1834" spans="1:15" x14ac:dyDescent="0.25">
      <c r="A1834" s="3">
        <v>8</v>
      </c>
      <c r="B1834" s="3" t="s">
        <v>273</v>
      </c>
      <c r="C1834" s="3" t="s">
        <v>262</v>
      </c>
      <c r="D1834" s="3" t="s">
        <v>444</v>
      </c>
      <c r="E1834" s="11" t="s">
        <v>144</v>
      </c>
      <c r="F1834" s="3" t="s">
        <v>8</v>
      </c>
      <c r="G1834" s="66" t="s">
        <v>982</v>
      </c>
      <c r="H1834" s="8" t="s">
        <v>593</v>
      </c>
      <c r="I1834" s="8" t="s">
        <v>594</v>
      </c>
      <c r="J1834" s="6" t="s">
        <v>108</v>
      </c>
      <c r="K1834" s="38">
        <v>0</v>
      </c>
      <c r="L1834" s="4" t="s">
        <v>264</v>
      </c>
      <c r="M1834" s="11">
        <f>_xlfn.NUMBERVALUE(LEFT(Table613[[#This Row],[Fiscal Year]], 4))</f>
        <v>2001</v>
      </c>
      <c r="N1834" s="42">
        <f t="shared" si="39"/>
        <v>0</v>
      </c>
      <c r="O1834" s="3">
        <v>1832</v>
      </c>
    </row>
    <row r="1835" spans="1:15" x14ac:dyDescent="0.25">
      <c r="A1835" s="3">
        <v>8</v>
      </c>
      <c r="B1835" s="3" t="s">
        <v>273</v>
      </c>
      <c r="C1835" s="3" t="s">
        <v>262</v>
      </c>
      <c r="D1835" s="3" t="s">
        <v>444</v>
      </c>
      <c r="E1835" s="11" t="s">
        <v>144</v>
      </c>
      <c r="F1835" s="3" t="s">
        <v>8</v>
      </c>
      <c r="G1835" s="66" t="s">
        <v>983</v>
      </c>
      <c r="H1835" s="8" t="s">
        <v>504</v>
      </c>
      <c r="I1835" s="8"/>
      <c r="J1835" s="6" t="s">
        <v>108</v>
      </c>
      <c r="K1835" s="38">
        <v>0</v>
      </c>
      <c r="L1835" s="4" t="s">
        <v>264</v>
      </c>
      <c r="M1835" s="11">
        <f>_xlfn.NUMBERVALUE(LEFT(Table613[[#This Row],[Fiscal Year]], 4))</f>
        <v>2001</v>
      </c>
      <c r="N1835" s="42">
        <f t="shared" si="39"/>
        <v>0</v>
      </c>
      <c r="O1835" s="3">
        <v>1833</v>
      </c>
    </row>
    <row r="1836" spans="1:15" x14ac:dyDescent="0.25">
      <c r="A1836" s="3">
        <v>8</v>
      </c>
      <c r="B1836" s="3" t="s">
        <v>273</v>
      </c>
      <c r="C1836" s="3" t="s">
        <v>262</v>
      </c>
      <c r="D1836" s="3" t="s">
        <v>444</v>
      </c>
      <c r="E1836" s="11" t="s">
        <v>144</v>
      </c>
      <c r="F1836" s="3" t="s">
        <v>8</v>
      </c>
      <c r="G1836" s="66" t="s">
        <v>984</v>
      </c>
      <c r="H1836" s="8" t="s">
        <v>504</v>
      </c>
      <c r="I1836" s="8"/>
      <c r="J1836" s="6" t="s">
        <v>108</v>
      </c>
      <c r="K1836" s="38">
        <v>0</v>
      </c>
      <c r="L1836" s="4" t="s">
        <v>264</v>
      </c>
      <c r="M1836" s="11">
        <f>_xlfn.NUMBERVALUE(LEFT(Table613[[#This Row],[Fiscal Year]], 4))</f>
        <v>2001</v>
      </c>
      <c r="N1836" s="42">
        <f t="shared" si="39"/>
        <v>0</v>
      </c>
      <c r="O1836" s="3">
        <v>1834</v>
      </c>
    </row>
    <row r="1837" spans="1:15" x14ac:dyDescent="0.25">
      <c r="A1837" s="3">
        <v>8</v>
      </c>
      <c r="B1837" s="3" t="s">
        <v>273</v>
      </c>
      <c r="C1837" s="3" t="s">
        <v>262</v>
      </c>
      <c r="D1837" s="3" t="s">
        <v>444</v>
      </c>
      <c r="E1837" s="11" t="s">
        <v>144</v>
      </c>
      <c r="F1837" s="3" t="s">
        <v>8</v>
      </c>
      <c r="G1837" s="66" t="s">
        <v>985</v>
      </c>
      <c r="H1837" s="8" t="s">
        <v>505</v>
      </c>
      <c r="I1837" s="8"/>
      <c r="J1837" s="6" t="s">
        <v>42</v>
      </c>
      <c r="K1837" s="38">
        <v>0</v>
      </c>
      <c r="L1837" s="4" t="s">
        <v>264</v>
      </c>
      <c r="M1837" s="11">
        <f>_xlfn.NUMBERVALUE(LEFT(Table613[[#This Row],[Fiscal Year]], 4))</f>
        <v>2001</v>
      </c>
      <c r="N1837" s="42">
        <f t="shared" si="39"/>
        <v>0</v>
      </c>
      <c r="O1837" s="3">
        <v>1835</v>
      </c>
    </row>
    <row r="1838" spans="1:15" x14ac:dyDescent="0.25">
      <c r="A1838" s="3">
        <v>8</v>
      </c>
      <c r="B1838" s="3" t="s">
        <v>273</v>
      </c>
      <c r="C1838" s="3" t="s">
        <v>262</v>
      </c>
      <c r="D1838" s="3" t="s">
        <v>444</v>
      </c>
      <c r="E1838" s="11" t="s">
        <v>144</v>
      </c>
      <c r="F1838" s="3" t="s">
        <v>8</v>
      </c>
      <c r="G1838" s="66" t="s">
        <v>986</v>
      </c>
      <c r="H1838" s="8" t="s">
        <v>599</v>
      </c>
      <c r="I1838" s="8"/>
      <c r="J1838" s="6" t="s">
        <v>42</v>
      </c>
      <c r="K1838" s="38">
        <v>0</v>
      </c>
      <c r="L1838" s="4" t="s">
        <v>264</v>
      </c>
      <c r="M1838" s="11">
        <f>_xlfn.NUMBERVALUE(LEFT(Table613[[#This Row],[Fiscal Year]], 4))</f>
        <v>2001</v>
      </c>
      <c r="N1838" s="42">
        <f t="shared" si="39"/>
        <v>0</v>
      </c>
      <c r="O1838" s="3">
        <v>1836</v>
      </c>
    </row>
    <row r="1839" spans="1:15" x14ac:dyDescent="0.25">
      <c r="A1839" s="3">
        <v>8</v>
      </c>
      <c r="B1839" s="3" t="s">
        <v>273</v>
      </c>
      <c r="C1839" s="3" t="s">
        <v>262</v>
      </c>
      <c r="D1839" s="3" t="s">
        <v>444</v>
      </c>
      <c r="E1839" s="11" t="s">
        <v>144</v>
      </c>
      <c r="F1839" s="3" t="s">
        <v>8</v>
      </c>
      <c r="G1839" s="66" t="s">
        <v>987</v>
      </c>
      <c r="H1839" s="8"/>
      <c r="I1839" s="8"/>
      <c r="J1839" s="6" t="s">
        <v>111</v>
      </c>
      <c r="K1839" s="38">
        <v>0</v>
      </c>
      <c r="L1839" s="4" t="s">
        <v>264</v>
      </c>
      <c r="M1839" s="11">
        <f>_xlfn.NUMBERVALUE(LEFT(Table613[[#This Row],[Fiscal Year]], 4))</f>
        <v>2001</v>
      </c>
      <c r="N1839" s="42">
        <f t="shared" si="39"/>
        <v>0</v>
      </c>
      <c r="O1839" s="3">
        <v>1837</v>
      </c>
    </row>
    <row r="1840" spans="1:15" x14ac:dyDescent="0.25">
      <c r="A1840" s="3">
        <v>8</v>
      </c>
      <c r="B1840" s="3" t="s">
        <v>273</v>
      </c>
      <c r="C1840" s="3" t="s">
        <v>262</v>
      </c>
      <c r="D1840" s="3" t="s">
        <v>444</v>
      </c>
      <c r="E1840" s="11" t="s">
        <v>144</v>
      </c>
      <c r="F1840" s="3" t="s">
        <v>8</v>
      </c>
      <c r="G1840" s="66" t="s">
        <v>988</v>
      </c>
      <c r="H1840" s="8"/>
      <c r="I1840" s="8"/>
      <c r="J1840" s="6" t="s">
        <v>107</v>
      </c>
      <c r="K1840" s="38">
        <v>0</v>
      </c>
      <c r="L1840" s="4" t="s">
        <v>264</v>
      </c>
      <c r="M1840" s="11">
        <f>_xlfn.NUMBERVALUE(LEFT(Table613[[#This Row],[Fiscal Year]], 4))</f>
        <v>2001</v>
      </c>
      <c r="N1840" s="42">
        <f t="shared" si="39"/>
        <v>0</v>
      </c>
      <c r="O1840" s="3">
        <v>1838</v>
      </c>
    </row>
    <row r="1841" spans="1:15" x14ac:dyDescent="0.25">
      <c r="A1841" s="3">
        <v>8</v>
      </c>
      <c r="B1841" s="3" t="s">
        <v>273</v>
      </c>
      <c r="C1841" s="3" t="s">
        <v>262</v>
      </c>
      <c r="D1841" s="3" t="s">
        <v>444</v>
      </c>
      <c r="E1841" s="11" t="s">
        <v>144</v>
      </c>
      <c r="F1841" s="3" t="s">
        <v>8</v>
      </c>
      <c r="G1841" s="66" t="s">
        <v>989</v>
      </c>
      <c r="H1841" s="8" t="s">
        <v>597</v>
      </c>
      <c r="I1841" s="8" t="s">
        <v>594</v>
      </c>
      <c r="J1841" s="6" t="s">
        <v>108</v>
      </c>
      <c r="K1841" s="38">
        <v>0</v>
      </c>
      <c r="L1841" s="4" t="s">
        <v>264</v>
      </c>
      <c r="M1841" s="11">
        <f>_xlfn.NUMBERVALUE(LEFT(Table613[[#This Row],[Fiscal Year]], 4))</f>
        <v>2001</v>
      </c>
      <c r="N1841" s="42">
        <f t="shared" si="39"/>
        <v>0</v>
      </c>
      <c r="O1841" s="3">
        <v>1839</v>
      </c>
    </row>
    <row r="1842" spans="1:15" x14ac:dyDescent="0.25">
      <c r="A1842" s="3">
        <v>8</v>
      </c>
      <c r="B1842" s="3" t="s">
        <v>273</v>
      </c>
      <c r="C1842" s="3" t="s">
        <v>262</v>
      </c>
      <c r="D1842" s="3" t="s">
        <v>444</v>
      </c>
      <c r="E1842" s="11" t="s">
        <v>144</v>
      </c>
      <c r="F1842" s="3" t="s">
        <v>8</v>
      </c>
      <c r="G1842" s="66" t="s">
        <v>990</v>
      </c>
      <c r="H1842" s="8" t="s">
        <v>506</v>
      </c>
      <c r="I1842" s="8"/>
      <c r="J1842" s="6" t="s">
        <v>106</v>
      </c>
      <c r="K1842" s="38">
        <v>0</v>
      </c>
      <c r="L1842" s="4" t="s">
        <v>264</v>
      </c>
      <c r="M1842" s="11">
        <f>_xlfn.NUMBERVALUE(LEFT(Table613[[#This Row],[Fiscal Year]], 4))</f>
        <v>2001</v>
      </c>
      <c r="N1842" s="42">
        <f t="shared" si="39"/>
        <v>0</v>
      </c>
      <c r="O1842" s="3">
        <v>1840</v>
      </c>
    </row>
    <row r="1843" spans="1:15" x14ac:dyDescent="0.25">
      <c r="A1843" s="3">
        <v>8</v>
      </c>
      <c r="B1843" s="3" t="s">
        <v>273</v>
      </c>
      <c r="C1843" s="3" t="s">
        <v>262</v>
      </c>
      <c r="D1843" s="3" t="s">
        <v>444</v>
      </c>
      <c r="E1843" s="11" t="s">
        <v>144</v>
      </c>
      <c r="F1843" s="3" t="s">
        <v>8</v>
      </c>
      <c r="G1843" s="66" t="s">
        <v>1004</v>
      </c>
      <c r="H1843" s="8"/>
      <c r="I1843" s="8"/>
      <c r="J1843" s="6" t="s">
        <v>76</v>
      </c>
      <c r="K1843" s="38">
        <v>0</v>
      </c>
      <c r="L1843" s="4" t="s">
        <v>264</v>
      </c>
      <c r="M1843" s="11">
        <f>_xlfn.NUMBERVALUE(LEFT(Table613[[#This Row],[Fiscal Year]], 4))</f>
        <v>2001</v>
      </c>
      <c r="N1843" s="42">
        <f t="shared" si="39"/>
        <v>0</v>
      </c>
      <c r="O1843" s="3">
        <v>1841</v>
      </c>
    </row>
    <row r="1844" spans="1:15" x14ac:dyDescent="0.25">
      <c r="A1844" s="3">
        <v>8</v>
      </c>
      <c r="B1844" s="3" t="s">
        <v>273</v>
      </c>
      <c r="C1844" s="3" t="s">
        <v>262</v>
      </c>
      <c r="D1844" s="3" t="s">
        <v>444</v>
      </c>
      <c r="E1844" s="11" t="s">
        <v>144</v>
      </c>
      <c r="F1844" s="3" t="s">
        <v>8</v>
      </c>
      <c r="G1844" s="48" t="s">
        <v>991</v>
      </c>
      <c r="H1844" s="8" t="s">
        <v>503</v>
      </c>
      <c r="I1844" s="8"/>
      <c r="J1844" s="6" t="s">
        <v>110</v>
      </c>
      <c r="K1844" s="38">
        <v>8355</v>
      </c>
      <c r="L1844" s="4" t="s">
        <v>264</v>
      </c>
      <c r="M1844" s="11">
        <f>_xlfn.NUMBERVALUE(LEFT(Table613[[#This Row],[Fiscal Year]], 4))</f>
        <v>2001</v>
      </c>
      <c r="N1844" s="42">
        <f>K1844*(1+VLOOKUP(M1844,$AF$8:$AH$31,3,0))</f>
        <v>11871.129333709769</v>
      </c>
      <c r="O1844" s="3">
        <v>1842</v>
      </c>
    </row>
    <row r="1845" spans="1:15" x14ac:dyDescent="0.25">
      <c r="A1845" s="3">
        <v>8</v>
      </c>
      <c r="B1845" s="3" t="s">
        <v>273</v>
      </c>
      <c r="C1845" s="3" t="s">
        <v>262</v>
      </c>
      <c r="D1845" s="3" t="s">
        <v>444</v>
      </c>
      <c r="E1845" s="11" t="s">
        <v>144</v>
      </c>
      <c r="F1845" s="3" t="s">
        <v>8</v>
      </c>
      <c r="G1845" s="66" t="s">
        <v>992</v>
      </c>
      <c r="H1845" s="8" t="s">
        <v>504</v>
      </c>
      <c r="I1845" s="8"/>
      <c r="J1845" s="6" t="s">
        <v>108</v>
      </c>
      <c r="K1845" s="38">
        <v>0</v>
      </c>
      <c r="L1845" s="4" t="s">
        <v>264</v>
      </c>
      <c r="M1845" s="11">
        <f>_xlfn.NUMBERVALUE(LEFT(Table613[[#This Row],[Fiscal Year]], 4))</f>
        <v>2001</v>
      </c>
      <c r="N1845" s="42">
        <f t="shared" si="39"/>
        <v>0</v>
      </c>
      <c r="O1845" s="3">
        <v>1843</v>
      </c>
    </row>
    <row r="1846" spans="1:15" x14ac:dyDescent="0.25">
      <c r="A1846" s="3">
        <v>8</v>
      </c>
      <c r="B1846" s="3" t="s">
        <v>273</v>
      </c>
      <c r="C1846" s="3" t="s">
        <v>262</v>
      </c>
      <c r="D1846" s="3" t="s">
        <v>444</v>
      </c>
      <c r="E1846" s="11" t="s">
        <v>144</v>
      </c>
      <c r="F1846" s="3" t="s">
        <v>8</v>
      </c>
      <c r="G1846" s="66" t="s">
        <v>993</v>
      </c>
      <c r="H1846" s="8" t="s">
        <v>602</v>
      </c>
      <c r="I1846" s="8"/>
      <c r="J1846" s="6" t="s">
        <v>108</v>
      </c>
      <c r="K1846" s="38">
        <v>66693</v>
      </c>
      <c r="L1846" s="4" t="s">
        <v>264</v>
      </c>
      <c r="M1846" s="11">
        <f>_xlfn.NUMBERVALUE(LEFT(Table613[[#This Row],[Fiscal Year]], 4))</f>
        <v>2001</v>
      </c>
      <c r="N1846" s="42">
        <f t="shared" si="39"/>
        <v>94760.170993788823</v>
      </c>
      <c r="O1846" s="3">
        <v>1844</v>
      </c>
    </row>
    <row r="1847" spans="1:15" x14ac:dyDescent="0.25">
      <c r="A1847" s="3">
        <v>8</v>
      </c>
      <c r="B1847" s="3" t="s">
        <v>273</v>
      </c>
      <c r="C1847" s="3" t="s">
        <v>262</v>
      </c>
      <c r="D1847" s="3" t="s">
        <v>444</v>
      </c>
      <c r="E1847" s="11" t="s">
        <v>144</v>
      </c>
      <c r="F1847" s="3" t="s">
        <v>8</v>
      </c>
      <c r="G1847" s="66" t="s">
        <v>994</v>
      </c>
      <c r="H1847" s="8" t="s">
        <v>504</v>
      </c>
      <c r="I1847" s="8"/>
      <c r="J1847" s="6" t="s">
        <v>108</v>
      </c>
      <c r="K1847" s="38">
        <v>219027</v>
      </c>
      <c r="L1847" s="4" t="s">
        <v>264</v>
      </c>
      <c r="M1847" s="11">
        <f>_xlfn.NUMBERVALUE(LEFT(Table613[[#This Row],[Fiscal Year]], 4))</f>
        <v>2001</v>
      </c>
      <c r="N1847" s="42">
        <f t="shared" si="39"/>
        <v>311202.61455110105</v>
      </c>
      <c r="O1847" s="3">
        <v>1845</v>
      </c>
    </row>
    <row r="1848" spans="1:15" x14ac:dyDescent="0.25">
      <c r="A1848" s="3">
        <v>8</v>
      </c>
      <c r="B1848" s="3" t="s">
        <v>273</v>
      </c>
      <c r="C1848" s="3" t="s">
        <v>262</v>
      </c>
      <c r="D1848" s="3" t="s">
        <v>444</v>
      </c>
      <c r="E1848" s="11" t="s">
        <v>144</v>
      </c>
      <c r="F1848" s="3" t="s">
        <v>8</v>
      </c>
      <c r="G1848" s="66" t="s">
        <v>995</v>
      </c>
      <c r="H1848" s="8" t="s">
        <v>504</v>
      </c>
      <c r="I1848" s="8"/>
      <c r="J1848" s="6" t="s">
        <v>108</v>
      </c>
      <c r="K1848" s="38">
        <v>0</v>
      </c>
      <c r="L1848" s="4" t="s">
        <v>264</v>
      </c>
      <c r="M1848" s="11">
        <f>_xlfn.NUMBERVALUE(LEFT(Table613[[#This Row],[Fiscal Year]], 4))</f>
        <v>2001</v>
      </c>
      <c r="N1848" s="42">
        <f t="shared" si="39"/>
        <v>0</v>
      </c>
      <c r="O1848" s="3">
        <v>1846</v>
      </c>
    </row>
    <row r="1849" spans="1:15" x14ac:dyDescent="0.25">
      <c r="A1849" s="3">
        <v>8</v>
      </c>
      <c r="B1849" s="3" t="s">
        <v>273</v>
      </c>
      <c r="C1849" s="3" t="s">
        <v>262</v>
      </c>
      <c r="D1849" s="3" t="s">
        <v>444</v>
      </c>
      <c r="E1849" s="11" t="s">
        <v>144</v>
      </c>
      <c r="F1849" s="3" t="s">
        <v>8</v>
      </c>
      <c r="G1849" s="48" t="s">
        <v>996</v>
      </c>
      <c r="H1849" s="8" t="s">
        <v>504</v>
      </c>
      <c r="I1849" s="8"/>
      <c r="J1849" s="6" t="s">
        <v>108</v>
      </c>
      <c r="K1849" s="38">
        <v>565638</v>
      </c>
      <c r="L1849" s="4" t="s">
        <v>264</v>
      </c>
      <c r="M1849" s="11">
        <f>_xlfn.NUMBERVALUE(LEFT(Table613[[#This Row],[Fiscal Year]], 4))</f>
        <v>2001</v>
      </c>
      <c r="N1849" s="42">
        <f>K1849*(1+VLOOKUP(M1849,$AF$8:$AH$31,3,0))</f>
        <v>803681.84967814793</v>
      </c>
      <c r="O1849" s="3">
        <v>1847</v>
      </c>
    </row>
    <row r="1850" spans="1:15" x14ac:dyDescent="0.25">
      <c r="A1850" s="3">
        <v>8</v>
      </c>
      <c r="B1850" s="3" t="s">
        <v>273</v>
      </c>
      <c r="C1850" s="3" t="s">
        <v>262</v>
      </c>
      <c r="D1850" s="3" t="s">
        <v>444</v>
      </c>
      <c r="E1850" s="11" t="s">
        <v>144</v>
      </c>
      <c r="F1850" s="3" t="s">
        <v>8</v>
      </c>
      <c r="G1850" s="66" t="s">
        <v>997</v>
      </c>
      <c r="H1850" s="8" t="s">
        <v>593</v>
      </c>
      <c r="I1850" s="8" t="s">
        <v>594</v>
      </c>
      <c r="J1850" s="6" t="s">
        <v>108</v>
      </c>
      <c r="K1850" s="38">
        <v>0</v>
      </c>
      <c r="L1850" s="4" t="s">
        <v>264</v>
      </c>
      <c r="M1850" s="11">
        <f>_xlfn.NUMBERVALUE(LEFT(Table613[[#This Row],[Fiscal Year]], 4))</f>
        <v>2001</v>
      </c>
      <c r="N1850" s="42">
        <f t="shared" si="39"/>
        <v>0</v>
      </c>
      <c r="O1850" s="3">
        <v>1848</v>
      </c>
    </row>
    <row r="1851" spans="1:15" x14ac:dyDescent="0.25">
      <c r="A1851" s="3">
        <v>8</v>
      </c>
      <c r="B1851" s="3" t="s">
        <v>273</v>
      </c>
      <c r="C1851" s="3" t="s">
        <v>262</v>
      </c>
      <c r="D1851" s="3" t="s">
        <v>444</v>
      </c>
      <c r="E1851" s="11" t="s">
        <v>144</v>
      </c>
      <c r="F1851" s="3" t="s">
        <v>8</v>
      </c>
      <c r="G1851" s="66" t="s">
        <v>998</v>
      </c>
      <c r="H1851" s="8" t="s">
        <v>504</v>
      </c>
      <c r="I1851" s="8"/>
      <c r="J1851" s="6" t="s">
        <v>108</v>
      </c>
      <c r="K1851" s="38">
        <v>95390</v>
      </c>
      <c r="L1851" s="4" t="s">
        <v>264</v>
      </c>
      <c r="M1851" s="11">
        <f>_xlfn.NUMBERVALUE(LEFT(Table613[[#This Row],[Fiscal Year]], 4))</f>
        <v>2001</v>
      </c>
      <c r="N1851" s="42">
        <f t="shared" si="39"/>
        <v>135534.05471485035</v>
      </c>
      <c r="O1851" s="3">
        <v>1849</v>
      </c>
    </row>
    <row r="1852" spans="1:15" x14ac:dyDescent="0.25">
      <c r="A1852" s="3">
        <v>8</v>
      </c>
      <c r="B1852" s="3" t="s">
        <v>273</v>
      </c>
      <c r="C1852" s="3" t="s">
        <v>262</v>
      </c>
      <c r="D1852" s="3" t="s">
        <v>444</v>
      </c>
      <c r="E1852" s="11" t="s">
        <v>144</v>
      </c>
      <c r="F1852" s="3" t="s">
        <v>8</v>
      </c>
      <c r="G1852" s="66" t="s">
        <v>999</v>
      </c>
      <c r="H1852" s="8" t="s">
        <v>504</v>
      </c>
      <c r="I1852" s="8"/>
      <c r="J1852" s="6" t="s">
        <v>108</v>
      </c>
      <c r="K1852" s="38">
        <v>5500</v>
      </c>
      <c r="L1852" s="4" t="s">
        <v>264</v>
      </c>
      <c r="M1852" s="11">
        <f>_xlfn.NUMBERVALUE(LEFT(Table613[[#This Row],[Fiscal Year]], 4))</f>
        <v>2001</v>
      </c>
      <c r="N1852" s="42">
        <f t="shared" si="39"/>
        <v>7814.6273291925463</v>
      </c>
      <c r="O1852" s="3">
        <v>1850</v>
      </c>
    </row>
    <row r="1853" spans="1:15" x14ac:dyDescent="0.25">
      <c r="A1853" s="3">
        <v>8</v>
      </c>
      <c r="B1853" s="3" t="s">
        <v>273</v>
      </c>
      <c r="C1853" s="3" t="s">
        <v>262</v>
      </c>
      <c r="D1853" s="3" t="s">
        <v>444</v>
      </c>
      <c r="E1853" s="11" t="s">
        <v>144</v>
      </c>
      <c r="F1853" s="3" t="s">
        <v>8</v>
      </c>
      <c r="G1853" s="66" t="s">
        <v>1000</v>
      </c>
      <c r="H1853" s="8" t="s">
        <v>505</v>
      </c>
      <c r="I1853" s="8"/>
      <c r="J1853" s="6" t="s">
        <v>42</v>
      </c>
      <c r="K1853" s="38">
        <v>5000</v>
      </c>
      <c r="L1853" s="4" t="s">
        <v>264</v>
      </c>
      <c r="M1853" s="11">
        <f>_xlfn.NUMBERVALUE(LEFT(Table613[[#This Row],[Fiscal Year]], 4))</f>
        <v>2001</v>
      </c>
      <c r="N1853" s="42">
        <f t="shared" si="39"/>
        <v>7104.2066629023147</v>
      </c>
      <c r="O1853" s="3">
        <v>1851</v>
      </c>
    </row>
    <row r="1854" spans="1:15" x14ac:dyDescent="0.25">
      <c r="A1854" s="3">
        <v>8</v>
      </c>
      <c r="B1854" s="3" t="s">
        <v>273</v>
      </c>
      <c r="C1854" s="3" t="s">
        <v>262</v>
      </c>
      <c r="D1854" s="3" t="s">
        <v>444</v>
      </c>
      <c r="E1854" s="11" t="s">
        <v>144</v>
      </c>
      <c r="F1854" s="3" t="s">
        <v>8</v>
      </c>
      <c r="G1854" s="66" t="s">
        <v>1001</v>
      </c>
      <c r="H1854" s="8" t="s">
        <v>599</v>
      </c>
      <c r="I1854" s="8"/>
      <c r="J1854" s="6" t="s">
        <v>42</v>
      </c>
      <c r="K1854" s="38">
        <v>46608</v>
      </c>
      <c r="L1854" s="4" t="s">
        <v>264</v>
      </c>
      <c r="M1854" s="11">
        <f>_xlfn.NUMBERVALUE(LEFT(Table613[[#This Row],[Fiscal Year]], 4))</f>
        <v>2001</v>
      </c>
      <c r="N1854" s="42">
        <f t="shared" si="39"/>
        <v>66222.572828910212</v>
      </c>
      <c r="O1854" s="3">
        <v>1852</v>
      </c>
    </row>
    <row r="1855" spans="1:15" x14ac:dyDescent="0.25">
      <c r="A1855" s="3">
        <v>8</v>
      </c>
      <c r="B1855" s="3" t="s">
        <v>273</v>
      </c>
      <c r="C1855" s="3" t="s">
        <v>262</v>
      </c>
      <c r="D1855" s="3" t="s">
        <v>444</v>
      </c>
      <c r="E1855" s="11" t="s">
        <v>144</v>
      </c>
      <c r="F1855" s="3" t="s">
        <v>8</v>
      </c>
      <c r="G1855" s="66" t="s">
        <v>1005</v>
      </c>
      <c r="H1855" s="8"/>
      <c r="I1855" s="8"/>
      <c r="J1855" s="6" t="s">
        <v>111</v>
      </c>
      <c r="K1855" s="38">
        <v>6000</v>
      </c>
      <c r="L1855" s="4" t="s">
        <v>264</v>
      </c>
      <c r="M1855" s="11">
        <f>_xlfn.NUMBERVALUE(LEFT(Table613[[#This Row],[Fiscal Year]], 4))</f>
        <v>2001</v>
      </c>
      <c r="N1855" s="42">
        <f t="shared" si="39"/>
        <v>8525.047995482777</v>
      </c>
      <c r="O1855" s="3">
        <v>1853</v>
      </c>
    </row>
    <row r="1856" spans="1:15" x14ac:dyDescent="0.25">
      <c r="A1856" s="3">
        <v>8</v>
      </c>
      <c r="B1856" s="3" t="s">
        <v>273</v>
      </c>
      <c r="C1856" s="3" t="s">
        <v>262</v>
      </c>
      <c r="D1856" s="3" t="s">
        <v>444</v>
      </c>
      <c r="E1856" s="11" t="s">
        <v>144</v>
      </c>
      <c r="F1856" s="3" t="s">
        <v>8</v>
      </c>
      <c r="G1856" s="66" t="s">
        <v>1006</v>
      </c>
      <c r="H1856" s="8"/>
      <c r="I1856" s="8"/>
      <c r="J1856" s="6" t="s">
        <v>107</v>
      </c>
      <c r="K1856" s="38">
        <v>40000</v>
      </c>
      <c r="L1856" s="4" t="s">
        <v>264</v>
      </c>
      <c r="M1856" s="11">
        <f>_xlfn.NUMBERVALUE(LEFT(Table613[[#This Row],[Fiscal Year]], 4))</f>
        <v>2001</v>
      </c>
      <c r="N1856" s="42">
        <f t="shared" si="39"/>
        <v>56833.653303218518</v>
      </c>
      <c r="O1856" s="3">
        <v>1854</v>
      </c>
    </row>
    <row r="1857" spans="1:15" x14ac:dyDescent="0.25">
      <c r="A1857" s="3">
        <v>8</v>
      </c>
      <c r="B1857" s="3" t="s">
        <v>273</v>
      </c>
      <c r="C1857" s="3" t="s">
        <v>262</v>
      </c>
      <c r="D1857" s="3" t="s">
        <v>444</v>
      </c>
      <c r="E1857" s="11" t="s">
        <v>144</v>
      </c>
      <c r="F1857" s="3" t="s">
        <v>8</v>
      </c>
      <c r="G1857" s="66" t="s">
        <v>1002</v>
      </c>
      <c r="H1857" s="8" t="s">
        <v>597</v>
      </c>
      <c r="I1857" s="8" t="s">
        <v>594</v>
      </c>
      <c r="J1857" s="6" t="s">
        <v>108</v>
      </c>
      <c r="K1857" s="38">
        <v>16000</v>
      </c>
      <c r="L1857" s="4" t="s">
        <v>264</v>
      </c>
      <c r="M1857" s="11">
        <f>_xlfn.NUMBERVALUE(LEFT(Table613[[#This Row],[Fiscal Year]], 4))</f>
        <v>2001</v>
      </c>
      <c r="N1857" s="42">
        <f t="shared" si="39"/>
        <v>22733.461321287406</v>
      </c>
      <c r="O1857" s="3">
        <v>1855</v>
      </c>
    </row>
    <row r="1858" spans="1:15" x14ac:dyDescent="0.25">
      <c r="A1858" s="3">
        <v>8</v>
      </c>
      <c r="B1858" s="3" t="s">
        <v>273</v>
      </c>
      <c r="C1858" s="3" t="s">
        <v>262</v>
      </c>
      <c r="D1858" s="3" t="s">
        <v>444</v>
      </c>
      <c r="E1858" s="11" t="s">
        <v>144</v>
      </c>
      <c r="F1858" s="3" t="s">
        <v>8</v>
      </c>
      <c r="G1858" s="66" t="s">
        <v>1003</v>
      </c>
      <c r="H1858" s="8" t="s">
        <v>506</v>
      </c>
      <c r="I1858" s="8"/>
      <c r="J1858" s="6" t="s">
        <v>106</v>
      </c>
      <c r="K1858" s="38">
        <v>1600</v>
      </c>
      <c r="L1858" s="4" t="s">
        <v>264</v>
      </c>
      <c r="M1858" s="11">
        <f>_xlfn.NUMBERVALUE(LEFT(Table613[[#This Row],[Fiscal Year]], 4))</f>
        <v>2001</v>
      </c>
      <c r="N1858" s="42">
        <f t="shared" si="39"/>
        <v>2273.3461321287409</v>
      </c>
      <c r="O1858" s="3">
        <v>1856</v>
      </c>
    </row>
    <row r="1859" spans="1:15" x14ac:dyDescent="0.25">
      <c r="A1859" s="3">
        <v>8</v>
      </c>
      <c r="B1859" s="3" t="s">
        <v>273</v>
      </c>
      <c r="C1859" s="3" t="s">
        <v>262</v>
      </c>
      <c r="D1859" s="3" t="s">
        <v>444</v>
      </c>
      <c r="E1859" s="11" t="s">
        <v>144</v>
      </c>
      <c r="F1859" s="3" t="s">
        <v>8</v>
      </c>
      <c r="G1859" s="66" t="s">
        <v>1007</v>
      </c>
      <c r="H1859" s="8"/>
      <c r="I1859" s="8"/>
      <c r="J1859" s="6" t="s">
        <v>76</v>
      </c>
      <c r="K1859" s="38">
        <v>70000</v>
      </c>
      <c r="L1859" s="4" t="s">
        <v>264</v>
      </c>
      <c r="M1859" s="11">
        <f>_xlfn.NUMBERVALUE(LEFT(Table613[[#This Row],[Fiscal Year]], 4))</f>
        <v>2001</v>
      </c>
      <c r="N1859" s="42">
        <f t="shared" si="39"/>
        <v>99458.893280632401</v>
      </c>
      <c r="O1859" s="3">
        <v>1857</v>
      </c>
    </row>
    <row r="1860" spans="1:15" x14ac:dyDescent="0.25">
      <c r="E1860" s="11"/>
      <c r="G1860" s="66"/>
      <c r="H1860" s="8"/>
      <c r="I1860" s="8"/>
      <c r="J1860" s="6"/>
      <c r="L1860" s="4"/>
      <c r="O1860" s="3">
        <v>1858</v>
      </c>
    </row>
    <row r="1861" spans="1:15" x14ac:dyDescent="0.25">
      <c r="A1861" s="3">
        <v>8</v>
      </c>
      <c r="B1861" s="3" t="s">
        <v>274</v>
      </c>
      <c r="C1861" s="3" t="s">
        <v>262</v>
      </c>
      <c r="D1861" s="3" t="s">
        <v>444</v>
      </c>
      <c r="E1861" s="11" t="s">
        <v>144</v>
      </c>
      <c r="F1861" s="3" t="s">
        <v>8</v>
      </c>
      <c r="G1861" s="48" t="s">
        <v>976</v>
      </c>
      <c r="H1861" s="8" t="s">
        <v>503</v>
      </c>
      <c r="I1861" s="8" t="s">
        <v>640</v>
      </c>
      <c r="J1861" s="6" t="s">
        <v>110</v>
      </c>
      <c r="K1861" s="38">
        <v>0</v>
      </c>
      <c r="L1861" s="4" t="s">
        <v>264</v>
      </c>
      <c r="M1861" s="11">
        <f>_xlfn.NUMBERVALUE(LEFT(Table613[[#This Row],[Fiscal Year]], 4))</f>
        <v>2001</v>
      </c>
      <c r="N1861" s="42">
        <f t="shared" ref="N1861:N1892" si="40">K1861*(1+VLOOKUP(M1861,$AF$8:$AH$31,3,0))</f>
        <v>0</v>
      </c>
      <c r="O1861" s="3">
        <v>1859</v>
      </c>
    </row>
    <row r="1862" spans="1:15" x14ac:dyDescent="0.25">
      <c r="A1862" s="3">
        <v>8</v>
      </c>
      <c r="B1862" s="3" t="s">
        <v>274</v>
      </c>
      <c r="C1862" s="3" t="s">
        <v>262</v>
      </c>
      <c r="D1862" s="3" t="s">
        <v>444</v>
      </c>
      <c r="E1862" s="11" t="s">
        <v>144</v>
      </c>
      <c r="F1862" s="3" t="s">
        <v>8</v>
      </c>
      <c r="G1862" s="66" t="s">
        <v>977</v>
      </c>
      <c r="H1862" s="8" t="s">
        <v>504</v>
      </c>
      <c r="I1862" s="8"/>
      <c r="J1862" s="6" t="s">
        <v>108</v>
      </c>
      <c r="K1862" s="38">
        <v>0</v>
      </c>
      <c r="L1862" s="4" t="s">
        <v>264</v>
      </c>
      <c r="M1862" s="11">
        <f>_xlfn.NUMBERVALUE(LEFT(Table613[[#This Row],[Fiscal Year]], 4))</f>
        <v>2001</v>
      </c>
      <c r="N1862" s="42">
        <f t="shared" si="40"/>
        <v>0</v>
      </c>
      <c r="O1862" s="3">
        <v>1860</v>
      </c>
    </row>
    <row r="1863" spans="1:15" x14ac:dyDescent="0.25">
      <c r="A1863" s="3">
        <v>8</v>
      </c>
      <c r="B1863" s="3" t="s">
        <v>274</v>
      </c>
      <c r="C1863" s="3" t="s">
        <v>262</v>
      </c>
      <c r="D1863" s="3" t="s">
        <v>444</v>
      </c>
      <c r="E1863" s="11" t="s">
        <v>144</v>
      </c>
      <c r="F1863" s="3" t="s">
        <v>8</v>
      </c>
      <c r="G1863" s="66" t="s">
        <v>978</v>
      </c>
      <c r="H1863" s="8" t="s">
        <v>602</v>
      </c>
      <c r="I1863" s="8"/>
      <c r="J1863" s="6" t="s">
        <v>108</v>
      </c>
      <c r="K1863" s="38">
        <v>0</v>
      </c>
      <c r="L1863" s="4" t="s">
        <v>264</v>
      </c>
      <c r="M1863" s="11">
        <f>_xlfn.NUMBERVALUE(LEFT(Table613[[#This Row],[Fiscal Year]], 4))</f>
        <v>2001</v>
      </c>
      <c r="N1863" s="42">
        <f t="shared" si="40"/>
        <v>0</v>
      </c>
      <c r="O1863" s="3">
        <v>1861</v>
      </c>
    </row>
    <row r="1864" spans="1:15" x14ac:dyDescent="0.25">
      <c r="A1864" s="3">
        <v>8</v>
      </c>
      <c r="B1864" s="3" t="s">
        <v>274</v>
      </c>
      <c r="C1864" s="3" t="s">
        <v>262</v>
      </c>
      <c r="D1864" s="3" t="s">
        <v>444</v>
      </c>
      <c r="E1864" s="11" t="s">
        <v>144</v>
      </c>
      <c r="F1864" s="3" t="s">
        <v>8</v>
      </c>
      <c r="G1864" s="66" t="s">
        <v>979</v>
      </c>
      <c r="H1864" s="8" t="s">
        <v>504</v>
      </c>
      <c r="I1864" s="8"/>
      <c r="J1864" s="6" t="s">
        <v>108</v>
      </c>
      <c r="K1864" s="38">
        <v>2265000</v>
      </c>
      <c r="L1864" s="4" t="s">
        <v>264</v>
      </c>
      <c r="M1864" s="11">
        <f>_xlfn.NUMBERVALUE(LEFT(Table613[[#This Row],[Fiscal Year]], 4))</f>
        <v>2001</v>
      </c>
      <c r="N1864" s="42">
        <f>K1864*(1+VLOOKUP(M1864,$AF$8:$AH$31,3,0))</f>
        <v>3218205.6182947485</v>
      </c>
      <c r="O1864" s="3">
        <v>1862</v>
      </c>
    </row>
    <row r="1865" spans="1:15" x14ac:dyDescent="0.25">
      <c r="A1865" s="3">
        <v>8</v>
      </c>
      <c r="B1865" s="3" t="s">
        <v>274</v>
      </c>
      <c r="C1865" s="3" t="s">
        <v>262</v>
      </c>
      <c r="D1865" s="3" t="s">
        <v>444</v>
      </c>
      <c r="E1865" s="11" t="s">
        <v>144</v>
      </c>
      <c r="F1865" s="3" t="s">
        <v>8</v>
      </c>
      <c r="G1865" s="66" t="s">
        <v>980</v>
      </c>
      <c r="H1865" s="8" t="s">
        <v>504</v>
      </c>
      <c r="I1865" s="8"/>
      <c r="J1865" s="6" t="s">
        <v>108</v>
      </c>
      <c r="K1865" s="38">
        <v>0</v>
      </c>
      <c r="L1865" s="4" t="s">
        <v>264</v>
      </c>
      <c r="M1865" s="11">
        <f>_xlfn.NUMBERVALUE(LEFT(Table613[[#This Row],[Fiscal Year]], 4))</f>
        <v>2001</v>
      </c>
      <c r="N1865" s="42">
        <f t="shared" si="40"/>
        <v>0</v>
      </c>
      <c r="O1865" s="3">
        <v>1863</v>
      </c>
    </row>
    <row r="1866" spans="1:15" x14ac:dyDescent="0.25">
      <c r="A1866" s="3">
        <v>8</v>
      </c>
      <c r="B1866" s="3" t="s">
        <v>274</v>
      </c>
      <c r="C1866" s="3" t="s">
        <v>262</v>
      </c>
      <c r="D1866" s="3" t="s">
        <v>444</v>
      </c>
      <c r="E1866" s="11" t="s">
        <v>144</v>
      </c>
      <c r="F1866" s="3" t="s">
        <v>8</v>
      </c>
      <c r="G1866" s="48" t="s">
        <v>981</v>
      </c>
      <c r="H1866" s="8" t="s">
        <v>504</v>
      </c>
      <c r="I1866" s="8"/>
      <c r="J1866" s="6" t="s">
        <v>108</v>
      </c>
      <c r="K1866" s="38">
        <v>0</v>
      </c>
      <c r="L1866" s="4" t="s">
        <v>264</v>
      </c>
      <c r="M1866" s="11">
        <f>_xlfn.NUMBERVALUE(LEFT(Table613[[#This Row],[Fiscal Year]], 4))</f>
        <v>2001</v>
      </c>
      <c r="N1866" s="42">
        <f t="shared" si="40"/>
        <v>0</v>
      </c>
      <c r="O1866" s="3">
        <v>1864</v>
      </c>
    </row>
    <row r="1867" spans="1:15" x14ac:dyDescent="0.25">
      <c r="A1867" s="3">
        <v>8</v>
      </c>
      <c r="B1867" s="3" t="s">
        <v>274</v>
      </c>
      <c r="C1867" s="3" t="s">
        <v>262</v>
      </c>
      <c r="D1867" s="3" t="s">
        <v>444</v>
      </c>
      <c r="E1867" s="11" t="s">
        <v>144</v>
      </c>
      <c r="F1867" s="3" t="s">
        <v>8</v>
      </c>
      <c r="G1867" s="66" t="s">
        <v>982</v>
      </c>
      <c r="H1867" s="8" t="s">
        <v>593</v>
      </c>
      <c r="I1867" s="8" t="s">
        <v>594</v>
      </c>
      <c r="J1867" s="6" t="s">
        <v>108</v>
      </c>
      <c r="K1867" s="38">
        <v>0</v>
      </c>
      <c r="L1867" s="4" t="s">
        <v>264</v>
      </c>
      <c r="M1867" s="11">
        <f>_xlfn.NUMBERVALUE(LEFT(Table613[[#This Row],[Fiscal Year]], 4))</f>
        <v>2001</v>
      </c>
      <c r="N1867" s="42">
        <f t="shared" si="40"/>
        <v>0</v>
      </c>
      <c r="O1867" s="3">
        <v>1865</v>
      </c>
    </row>
    <row r="1868" spans="1:15" x14ac:dyDescent="0.25">
      <c r="A1868" s="3">
        <v>8</v>
      </c>
      <c r="B1868" s="3" t="s">
        <v>274</v>
      </c>
      <c r="C1868" s="3" t="s">
        <v>262</v>
      </c>
      <c r="D1868" s="3" t="s">
        <v>444</v>
      </c>
      <c r="E1868" s="11" t="s">
        <v>144</v>
      </c>
      <c r="F1868" s="3" t="s">
        <v>8</v>
      </c>
      <c r="G1868" s="66" t="s">
        <v>983</v>
      </c>
      <c r="H1868" s="8" t="s">
        <v>504</v>
      </c>
      <c r="I1868" s="8"/>
      <c r="J1868" s="6" t="s">
        <v>108</v>
      </c>
      <c r="K1868" s="38">
        <v>0</v>
      </c>
      <c r="L1868" s="4" t="s">
        <v>264</v>
      </c>
      <c r="M1868" s="11">
        <f>_xlfn.NUMBERVALUE(LEFT(Table613[[#This Row],[Fiscal Year]], 4))</f>
        <v>2001</v>
      </c>
      <c r="N1868" s="42">
        <f t="shared" si="40"/>
        <v>0</v>
      </c>
      <c r="O1868" s="3">
        <v>1866</v>
      </c>
    </row>
    <row r="1869" spans="1:15" x14ac:dyDescent="0.25">
      <c r="A1869" s="3">
        <v>8</v>
      </c>
      <c r="B1869" s="3" t="s">
        <v>274</v>
      </c>
      <c r="C1869" s="3" t="s">
        <v>262</v>
      </c>
      <c r="D1869" s="3" t="s">
        <v>444</v>
      </c>
      <c r="E1869" s="11" t="s">
        <v>144</v>
      </c>
      <c r="F1869" s="3" t="s">
        <v>8</v>
      </c>
      <c r="G1869" s="66" t="s">
        <v>984</v>
      </c>
      <c r="H1869" s="8" t="s">
        <v>504</v>
      </c>
      <c r="I1869" s="8"/>
      <c r="J1869" s="6" t="s">
        <v>108</v>
      </c>
      <c r="K1869" s="38">
        <v>0</v>
      </c>
      <c r="L1869" s="4" t="s">
        <v>264</v>
      </c>
      <c r="M1869" s="11">
        <f>_xlfn.NUMBERVALUE(LEFT(Table613[[#This Row],[Fiscal Year]], 4))</f>
        <v>2001</v>
      </c>
      <c r="N1869" s="42">
        <f t="shared" si="40"/>
        <v>0</v>
      </c>
      <c r="O1869" s="3">
        <v>1867</v>
      </c>
    </row>
    <row r="1870" spans="1:15" x14ac:dyDescent="0.25">
      <c r="A1870" s="3">
        <v>8</v>
      </c>
      <c r="B1870" s="3" t="s">
        <v>274</v>
      </c>
      <c r="C1870" s="3" t="s">
        <v>262</v>
      </c>
      <c r="D1870" s="3" t="s">
        <v>444</v>
      </c>
      <c r="E1870" s="11" t="s">
        <v>144</v>
      </c>
      <c r="F1870" s="3" t="s">
        <v>8</v>
      </c>
      <c r="G1870" s="66" t="s">
        <v>985</v>
      </c>
      <c r="H1870" s="8" t="s">
        <v>505</v>
      </c>
      <c r="I1870" s="8"/>
      <c r="J1870" s="6" t="s">
        <v>42</v>
      </c>
      <c r="K1870" s="38">
        <v>0</v>
      </c>
      <c r="L1870" s="4" t="s">
        <v>264</v>
      </c>
      <c r="M1870" s="11">
        <f>_xlfn.NUMBERVALUE(LEFT(Table613[[#This Row],[Fiscal Year]], 4))</f>
        <v>2001</v>
      </c>
      <c r="N1870" s="42">
        <f t="shared" si="40"/>
        <v>0</v>
      </c>
      <c r="O1870" s="3">
        <v>1868</v>
      </c>
    </row>
    <row r="1871" spans="1:15" x14ac:dyDescent="0.25">
      <c r="A1871" s="3">
        <v>8</v>
      </c>
      <c r="B1871" s="3" t="s">
        <v>274</v>
      </c>
      <c r="C1871" s="3" t="s">
        <v>262</v>
      </c>
      <c r="D1871" s="3" t="s">
        <v>444</v>
      </c>
      <c r="E1871" s="11" t="s">
        <v>144</v>
      </c>
      <c r="F1871" s="3" t="s">
        <v>8</v>
      </c>
      <c r="G1871" s="66" t="s">
        <v>986</v>
      </c>
      <c r="H1871" s="8" t="s">
        <v>599</v>
      </c>
      <c r="I1871" s="8"/>
      <c r="J1871" s="6" t="s">
        <v>42</v>
      </c>
      <c r="K1871" s="38">
        <v>0</v>
      </c>
      <c r="L1871" s="4" t="s">
        <v>264</v>
      </c>
      <c r="M1871" s="11">
        <f>_xlfn.NUMBERVALUE(LEFT(Table613[[#This Row],[Fiscal Year]], 4))</f>
        <v>2001</v>
      </c>
      <c r="N1871" s="42">
        <f t="shared" si="40"/>
        <v>0</v>
      </c>
      <c r="O1871" s="3">
        <v>1869</v>
      </c>
    </row>
    <row r="1872" spans="1:15" x14ac:dyDescent="0.25">
      <c r="A1872" s="3">
        <v>8</v>
      </c>
      <c r="B1872" s="3" t="s">
        <v>274</v>
      </c>
      <c r="C1872" s="3" t="s">
        <v>262</v>
      </c>
      <c r="D1872" s="3" t="s">
        <v>444</v>
      </c>
      <c r="E1872" s="11" t="s">
        <v>144</v>
      </c>
      <c r="F1872" s="3" t="s">
        <v>8</v>
      </c>
      <c r="G1872" s="66" t="s">
        <v>987</v>
      </c>
      <c r="H1872" s="8"/>
      <c r="I1872" s="8"/>
      <c r="J1872" s="6" t="s">
        <v>111</v>
      </c>
      <c r="K1872" s="38">
        <v>0</v>
      </c>
      <c r="L1872" s="4" t="s">
        <v>264</v>
      </c>
      <c r="M1872" s="11">
        <f>_xlfn.NUMBERVALUE(LEFT(Table613[[#This Row],[Fiscal Year]], 4))</f>
        <v>2001</v>
      </c>
      <c r="N1872" s="42">
        <f t="shared" si="40"/>
        <v>0</v>
      </c>
      <c r="O1872" s="3">
        <v>1870</v>
      </c>
    </row>
    <row r="1873" spans="1:15" x14ac:dyDescent="0.25">
      <c r="A1873" s="3">
        <v>8</v>
      </c>
      <c r="B1873" s="3" t="s">
        <v>274</v>
      </c>
      <c r="C1873" s="3" t="s">
        <v>262</v>
      </c>
      <c r="D1873" s="3" t="s">
        <v>444</v>
      </c>
      <c r="E1873" s="11" t="s">
        <v>144</v>
      </c>
      <c r="F1873" s="3" t="s">
        <v>8</v>
      </c>
      <c r="G1873" s="66" t="s">
        <v>988</v>
      </c>
      <c r="H1873" s="8"/>
      <c r="I1873" s="8"/>
      <c r="J1873" s="6" t="s">
        <v>107</v>
      </c>
      <c r="K1873" s="38">
        <v>0</v>
      </c>
      <c r="L1873" s="4" t="s">
        <v>264</v>
      </c>
      <c r="M1873" s="11">
        <f>_xlfn.NUMBERVALUE(LEFT(Table613[[#This Row],[Fiscal Year]], 4))</f>
        <v>2001</v>
      </c>
      <c r="N1873" s="42">
        <f t="shared" si="40"/>
        <v>0</v>
      </c>
      <c r="O1873" s="3">
        <v>1871</v>
      </c>
    </row>
    <row r="1874" spans="1:15" x14ac:dyDescent="0.25">
      <c r="A1874" s="3">
        <v>8</v>
      </c>
      <c r="B1874" s="3" t="s">
        <v>274</v>
      </c>
      <c r="C1874" s="3" t="s">
        <v>262</v>
      </c>
      <c r="D1874" s="3" t="s">
        <v>444</v>
      </c>
      <c r="E1874" s="11" t="s">
        <v>144</v>
      </c>
      <c r="F1874" s="3" t="s">
        <v>8</v>
      </c>
      <c r="G1874" s="66" t="s">
        <v>989</v>
      </c>
      <c r="H1874" s="8" t="s">
        <v>597</v>
      </c>
      <c r="I1874" s="8" t="s">
        <v>594</v>
      </c>
      <c r="J1874" s="6" t="s">
        <v>108</v>
      </c>
      <c r="K1874" s="38">
        <v>0</v>
      </c>
      <c r="L1874" s="4" t="s">
        <v>264</v>
      </c>
      <c r="M1874" s="11">
        <f>_xlfn.NUMBERVALUE(LEFT(Table613[[#This Row],[Fiscal Year]], 4))</f>
        <v>2001</v>
      </c>
      <c r="N1874" s="42">
        <f t="shared" si="40"/>
        <v>0</v>
      </c>
      <c r="O1874" s="3">
        <v>1872</v>
      </c>
    </row>
    <row r="1875" spans="1:15" x14ac:dyDescent="0.25">
      <c r="A1875" s="3">
        <v>8</v>
      </c>
      <c r="B1875" s="3" t="s">
        <v>274</v>
      </c>
      <c r="C1875" s="3" t="s">
        <v>262</v>
      </c>
      <c r="D1875" s="3" t="s">
        <v>444</v>
      </c>
      <c r="E1875" s="11" t="s">
        <v>144</v>
      </c>
      <c r="F1875" s="3" t="s">
        <v>8</v>
      </c>
      <c r="G1875" s="66" t="s">
        <v>990</v>
      </c>
      <c r="H1875" s="8" t="s">
        <v>506</v>
      </c>
      <c r="I1875" s="8"/>
      <c r="J1875" s="6" t="s">
        <v>106</v>
      </c>
      <c r="K1875" s="38">
        <v>0</v>
      </c>
      <c r="L1875" s="4" t="s">
        <v>264</v>
      </c>
      <c r="M1875" s="11">
        <f>_xlfn.NUMBERVALUE(LEFT(Table613[[#This Row],[Fiscal Year]], 4))</f>
        <v>2001</v>
      </c>
      <c r="N1875" s="42">
        <f t="shared" si="40"/>
        <v>0</v>
      </c>
      <c r="O1875" s="3">
        <v>1873</v>
      </c>
    </row>
    <row r="1876" spans="1:15" x14ac:dyDescent="0.25">
      <c r="A1876" s="3">
        <v>8</v>
      </c>
      <c r="B1876" s="3" t="s">
        <v>274</v>
      </c>
      <c r="C1876" s="3" t="s">
        <v>262</v>
      </c>
      <c r="D1876" s="3" t="s">
        <v>444</v>
      </c>
      <c r="E1876" s="11" t="s">
        <v>144</v>
      </c>
      <c r="F1876" s="3" t="s">
        <v>8</v>
      </c>
      <c r="G1876" s="66" t="s">
        <v>1004</v>
      </c>
      <c r="H1876" s="8"/>
      <c r="I1876" s="8"/>
      <c r="J1876" s="6" t="s">
        <v>76</v>
      </c>
      <c r="K1876" s="38">
        <v>400000</v>
      </c>
      <c r="L1876" s="4" t="s">
        <v>264</v>
      </c>
      <c r="M1876" s="11">
        <f>_xlfn.NUMBERVALUE(LEFT(Table613[[#This Row],[Fiscal Year]], 4))</f>
        <v>2001</v>
      </c>
      <c r="N1876" s="42">
        <f t="shared" si="40"/>
        <v>568336.53303218517</v>
      </c>
      <c r="O1876" s="3">
        <v>1874</v>
      </c>
    </row>
    <row r="1877" spans="1:15" x14ac:dyDescent="0.25">
      <c r="A1877" s="3">
        <v>8</v>
      </c>
      <c r="B1877" s="3" t="s">
        <v>274</v>
      </c>
      <c r="C1877" s="3" t="s">
        <v>262</v>
      </c>
      <c r="D1877" s="3" t="s">
        <v>444</v>
      </c>
      <c r="E1877" s="11" t="s">
        <v>144</v>
      </c>
      <c r="F1877" s="3" t="s">
        <v>8</v>
      </c>
      <c r="G1877" s="48" t="s">
        <v>991</v>
      </c>
      <c r="H1877" s="8" t="s">
        <v>503</v>
      </c>
      <c r="I1877" s="8"/>
      <c r="J1877" s="6" t="s">
        <v>110</v>
      </c>
      <c r="K1877" s="38">
        <v>500000</v>
      </c>
      <c r="L1877" s="4" t="s">
        <v>264</v>
      </c>
      <c r="M1877" s="11">
        <f>_xlfn.NUMBERVALUE(LEFT(Table613[[#This Row],[Fiscal Year]], 4))</f>
        <v>2001</v>
      </c>
      <c r="N1877" s="42">
        <f t="shared" si="40"/>
        <v>710420.66629023151</v>
      </c>
      <c r="O1877" s="3">
        <v>1875</v>
      </c>
    </row>
    <row r="1878" spans="1:15" x14ac:dyDescent="0.25">
      <c r="A1878" s="3">
        <v>8</v>
      </c>
      <c r="B1878" s="3" t="s">
        <v>274</v>
      </c>
      <c r="C1878" s="3" t="s">
        <v>262</v>
      </c>
      <c r="D1878" s="3" t="s">
        <v>444</v>
      </c>
      <c r="E1878" s="11" t="s">
        <v>144</v>
      </c>
      <c r="F1878" s="3" t="s">
        <v>8</v>
      </c>
      <c r="G1878" s="66" t="s">
        <v>992</v>
      </c>
      <c r="H1878" s="8" t="s">
        <v>504</v>
      </c>
      <c r="I1878" s="8"/>
      <c r="J1878" s="6" t="s">
        <v>108</v>
      </c>
      <c r="K1878" s="38">
        <v>0</v>
      </c>
      <c r="L1878" s="4" t="s">
        <v>264</v>
      </c>
      <c r="M1878" s="11">
        <f>_xlfn.NUMBERVALUE(LEFT(Table613[[#This Row],[Fiscal Year]], 4))</f>
        <v>2001</v>
      </c>
      <c r="N1878" s="42">
        <f t="shared" si="40"/>
        <v>0</v>
      </c>
      <c r="O1878" s="3">
        <v>1876</v>
      </c>
    </row>
    <row r="1879" spans="1:15" x14ac:dyDescent="0.25">
      <c r="A1879" s="3">
        <v>8</v>
      </c>
      <c r="B1879" s="3" t="s">
        <v>274</v>
      </c>
      <c r="C1879" s="3" t="s">
        <v>262</v>
      </c>
      <c r="D1879" s="3" t="s">
        <v>444</v>
      </c>
      <c r="E1879" s="11" t="s">
        <v>144</v>
      </c>
      <c r="F1879" s="3" t="s">
        <v>8</v>
      </c>
      <c r="G1879" s="66" t="s">
        <v>993</v>
      </c>
      <c r="H1879" s="8" t="s">
        <v>602</v>
      </c>
      <c r="I1879" s="8"/>
      <c r="J1879" s="6" t="s">
        <v>108</v>
      </c>
      <c r="K1879" s="38">
        <v>2000000</v>
      </c>
      <c r="L1879" s="4" t="s">
        <v>264</v>
      </c>
      <c r="M1879" s="11">
        <f>_xlfn.NUMBERVALUE(LEFT(Table613[[#This Row],[Fiscal Year]], 4))</f>
        <v>2001</v>
      </c>
      <c r="N1879" s="42">
        <f t="shared" si="40"/>
        <v>2841682.6651609261</v>
      </c>
      <c r="O1879" s="3">
        <v>1877</v>
      </c>
    </row>
    <row r="1880" spans="1:15" x14ac:dyDescent="0.25">
      <c r="A1880" s="3">
        <v>8</v>
      </c>
      <c r="B1880" s="3" t="s">
        <v>274</v>
      </c>
      <c r="C1880" s="3" t="s">
        <v>262</v>
      </c>
      <c r="D1880" s="3" t="s">
        <v>444</v>
      </c>
      <c r="E1880" s="11" t="s">
        <v>144</v>
      </c>
      <c r="F1880" s="3" t="s">
        <v>8</v>
      </c>
      <c r="G1880" s="66" t="s">
        <v>994</v>
      </c>
      <c r="H1880" s="8" t="s">
        <v>504</v>
      </c>
      <c r="I1880" s="8"/>
      <c r="J1880" s="6" t="s">
        <v>108</v>
      </c>
      <c r="K1880" s="38">
        <v>1250000</v>
      </c>
      <c r="L1880" s="4" t="s">
        <v>264</v>
      </c>
      <c r="M1880" s="11">
        <f>_xlfn.NUMBERVALUE(LEFT(Table613[[#This Row],[Fiscal Year]], 4))</f>
        <v>2001</v>
      </c>
      <c r="N1880" s="42">
        <f t="shared" si="40"/>
        <v>1776051.6657255788</v>
      </c>
      <c r="O1880" s="3">
        <v>1878</v>
      </c>
    </row>
    <row r="1881" spans="1:15" x14ac:dyDescent="0.25">
      <c r="A1881" s="3">
        <v>8</v>
      </c>
      <c r="B1881" s="3" t="s">
        <v>274</v>
      </c>
      <c r="C1881" s="3" t="s">
        <v>262</v>
      </c>
      <c r="D1881" s="3" t="s">
        <v>444</v>
      </c>
      <c r="E1881" s="11" t="s">
        <v>144</v>
      </c>
      <c r="F1881" s="3" t="s">
        <v>8</v>
      </c>
      <c r="G1881" s="66" t="s">
        <v>995</v>
      </c>
      <c r="H1881" s="8" t="s">
        <v>504</v>
      </c>
      <c r="I1881" s="8"/>
      <c r="J1881" s="6" t="s">
        <v>108</v>
      </c>
      <c r="K1881" s="38">
        <v>10000</v>
      </c>
      <c r="L1881" s="4" t="s">
        <v>264</v>
      </c>
      <c r="M1881" s="11">
        <f>_xlfn.NUMBERVALUE(LEFT(Table613[[#This Row],[Fiscal Year]], 4))</f>
        <v>2001</v>
      </c>
      <c r="N1881" s="42">
        <f t="shared" si="40"/>
        <v>14208.413325804629</v>
      </c>
      <c r="O1881" s="3">
        <v>1879</v>
      </c>
    </row>
    <row r="1882" spans="1:15" x14ac:dyDescent="0.25">
      <c r="A1882" s="3">
        <v>8</v>
      </c>
      <c r="B1882" s="3" t="s">
        <v>274</v>
      </c>
      <c r="C1882" s="3" t="s">
        <v>262</v>
      </c>
      <c r="D1882" s="3" t="s">
        <v>444</v>
      </c>
      <c r="E1882" s="11" t="s">
        <v>144</v>
      </c>
      <c r="F1882" s="3" t="s">
        <v>8</v>
      </c>
      <c r="G1882" s="48" t="s">
        <v>996</v>
      </c>
      <c r="H1882" s="8" t="s">
        <v>504</v>
      </c>
      <c r="I1882" s="8"/>
      <c r="J1882" s="6" t="s">
        <v>108</v>
      </c>
      <c r="K1882" s="38">
        <v>815000</v>
      </c>
      <c r="L1882" s="4" t="s">
        <v>264</v>
      </c>
      <c r="M1882" s="11">
        <f>_xlfn.NUMBERVALUE(LEFT(Table613[[#This Row],[Fiscal Year]], 4))</f>
        <v>2001</v>
      </c>
      <c r="N1882" s="42">
        <f t="shared" si="40"/>
        <v>1157985.6860530772</v>
      </c>
      <c r="O1882" s="3">
        <v>1880</v>
      </c>
    </row>
    <row r="1883" spans="1:15" x14ac:dyDescent="0.25">
      <c r="A1883" s="3">
        <v>8</v>
      </c>
      <c r="B1883" s="3" t="s">
        <v>274</v>
      </c>
      <c r="C1883" s="3" t="s">
        <v>262</v>
      </c>
      <c r="D1883" s="3" t="s">
        <v>444</v>
      </c>
      <c r="E1883" s="11" t="s">
        <v>144</v>
      </c>
      <c r="F1883" s="3" t="s">
        <v>8</v>
      </c>
      <c r="G1883" s="66" t="s">
        <v>997</v>
      </c>
      <c r="H1883" s="8" t="s">
        <v>593</v>
      </c>
      <c r="I1883" s="8" t="s">
        <v>594</v>
      </c>
      <c r="J1883" s="6" t="s">
        <v>108</v>
      </c>
      <c r="K1883" s="38">
        <v>255000</v>
      </c>
      <c r="L1883" s="4" t="s">
        <v>264</v>
      </c>
      <c r="M1883" s="11">
        <f>_xlfn.NUMBERVALUE(LEFT(Table613[[#This Row],[Fiscal Year]], 4))</f>
        <v>2001</v>
      </c>
      <c r="N1883" s="42">
        <f t="shared" si="40"/>
        <v>362314.53980801807</v>
      </c>
      <c r="O1883" s="3">
        <v>1881</v>
      </c>
    </row>
    <row r="1884" spans="1:15" x14ac:dyDescent="0.25">
      <c r="A1884" s="3">
        <v>8</v>
      </c>
      <c r="B1884" s="3" t="s">
        <v>274</v>
      </c>
      <c r="C1884" s="3" t="s">
        <v>262</v>
      </c>
      <c r="D1884" s="3" t="s">
        <v>444</v>
      </c>
      <c r="E1884" s="11" t="s">
        <v>144</v>
      </c>
      <c r="F1884" s="3" t="s">
        <v>8</v>
      </c>
      <c r="G1884" s="66" t="s">
        <v>998</v>
      </c>
      <c r="H1884" s="8" t="s">
        <v>504</v>
      </c>
      <c r="I1884" s="8"/>
      <c r="J1884" s="6" t="s">
        <v>108</v>
      </c>
      <c r="K1884" s="38">
        <v>1200000</v>
      </c>
      <c r="L1884" s="4" t="s">
        <v>264</v>
      </c>
      <c r="M1884" s="11">
        <f>_xlfn.NUMBERVALUE(LEFT(Table613[[#This Row],[Fiscal Year]], 4))</f>
        <v>2001</v>
      </c>
      <c r="N1884" s="42">
        <f t="shared" si="40"/>
        <v>1705009.5990965555</v>
      </c>
      <c r="O1884" s="3">
        <v>1882</v>
      </c>
    </row>
    <row r="1885" spans="1:15" x14ac:dyDescent="0.25">
      <c r="A1885" s="3">
        <v>8</v>
      </c>
      <c r="B1885" s="3" t="s">
        <v>274</v>
      </c>
      <c r="C1885" s="3" t="s">
        <v>262</v>
      </c>
      <c r="D1885" s="3" t="s">
        <v>444</v>
      </c>
      <c r="E1885" s="11" t="s">
        <v>144</v>
      </c>
      <c r="F1885" s="3" t="s">
        <v>8</v>
      </c>
      <c r="G1885" s="66" t="s">
        <v>999</v>
      </c>
      <c r="H1885" s="8" t="s">
        <v>504</v>
      </c>
      <c r="I1885" s="8"/>
      <c r="J1885" s="6" t="s">
        <v>108</v>
      </c>
      <c r="K1885" s="38">
        <v>10000</v>
      </c>
      <c r="L1885" s="4" t="s">
        <v>264</v>
      </c>
      <c r="M1885" s="11">
        <f>_xlfn.NUMBERVALUE(LEFT(Table613[[#This Row],[Fiscal Year]], 4))</f>
        <v>2001</v>
      </c>
      <c r="N1885" s="42">
        <f t="shared" si="40"/>
        <v>14208.413325804629</v>
      </c>
      <c r="O1885" s="3">
        <v>1883</v>
      </c>
    </row>
    <row r="1886" spans="1:15" x14ac:dyDescent="0.25">
      <c r="A1886" s="3">
        <v>8</v>
      </c>
      <c r="B1886" s="3" t="s">
        <v>274</v>
      </c>
      <c r="C1886" s="3" t="s">
        <v>262</v>
      </c>
      <c r="D1886" s="3" t="s">
        <v>444</v>
      </c>
      <c r="E1886" s="11" t="s">
        <v>144</v>
      </c>
      <c r="F1886" s="3" t="s">
        <v>8</v>
      </c>
      <c r="G1886" s="66" t="s">
        <v>1000</v>
      </c>
      <c r="H1886" s="8" t="s">
        <v>505</v>
      </c>
      <c r="I1886" s="8"/>
      <c r="J1886" s="6" t="s">
        <v>42</v>
      </c>
      <c r="K1886" s="38">
        <v>5000</v>
      </c>
      <c r="L1886" s="4" t="s">
        <v>264</v>
      </c>
      <c r="M1886" s="11">
        <f>_xlfn.NUMBERVALUE(LEFT(Table613[[#This Row],[Fiscal Year]], 4))</f>
        <v>2001</v>
      </c>
      <c r="N1886" s="42">
        <f t="shared" si="40"/>
        <v>7104.2066629023147</v>
      </c>
      <c r="O1886" s="3">
        <v>1884</v>
      </c>
    </row>
    <row r="1887" spans="1:15" x14ac:dyDescent="0.25">
      <c r="A1887" s="3">
        <v>8</v>
      </c>
      <c r="B1887" s="3" t="s">
        <v>274</v>
      </c>
      <c r="C1887" s="3" t="s">
        <v>262</v>
      </c>
      <c r="D1887" s="3" t="s">
        <v>444</v>
      </c>
      <c r="E1887" s="11" t="s">
        <v>144</v>
      </c>
      <c r="F1887" s="3" t="s">
        <v>8</v>
      </c>
      <c r="G1887" s="66" t="s">
        <v>1001</v>
      </c>
      <c r="H1887" s="8" t="s">
        <v>599</v>
      </c>
      <c r="I1887" s="8"/>
      <c r="J1887" s="6" t="s">
        <v>42</v>
      </c>
      <c r="K1887" s="38">
        <v>0</v>
      </c>
      <c r="L1887" s="4" t="s">
        <v>264</v>
      </c>
      <c r="M1887" s="11">
        <f>_xlfn.NUMBERVALUE(LEFT(Table613[[#This Row],[Fiscal Year]], 4))</f>
        <v>2001</v>
      </c>
      <c r="N1887" s="42">
        <f t="shared" si="40"/>
        <v>0</v>
      </c>
      <c r="O1887" s="3">
        <v>1885</v>
      </c>
    </row>
    <row r="1888" spans="1:15" x14ac:dyDescent="0.25">
      <c r="A1888" s="3">
        <v>8</v>
      </c>
      <c r="B1888" s="3" t="s">
        <v>274</v>
      </c>
      <c r="C1888" s="3" t="s">
        <v>262</v>
      </c>
      <c r="D1888" s="3" t="s">
        <v>444</v>
      </c>
      <c r="E1888" s="11" t="s">
        <v>144</v>
      </c>
      <c r="F1888" s="3" t="s">
        <v>8</v>
      </c>
      <c r="G1888" s="66" t="s">
        <v>1005</v>
      </c>
      <c r="H1888" s="8"/>
      <c r="I1888" s="8"/>
      <c r="J1888" s="6" t="s">
        <v>111</v>
      </c>
      <c r="K1888" s="38">
        <v>25000</v>
      </c>
      <c r="L1888" s="4" t="s">
        <v>264</v>
      </c>
      <c r="M1888" s="11">
        <f>_xlfn.NUMBERVALUE(LEFT(Table613[[#This Row],[Fiscal Year]], 4))</f>
        <v>2001</v>
      </c>
      <c r="N1888" s="42">
        <f t="shared" si="40"/>
        <v>35521.033314511573</v>
      </c>
      <c r="O1888" s="3">
        <v>1886</v>
      </c>
    </row>
    <row r="1889" spans="1:15" x14ac:dyDescent="0.25">
      <c r="A1889" s="3">
        <v>8</v>
      </c>
      <c r="B1889" s="3" t="s">
        <v>274</v>
      </c>
      <c r="C1889" s="3" t="s">
        <v>262</v>
      </c>
      <c r="D1889" s="3" t="s">
        <v>444</v>
      </c>
      <c r="E1889" s="11" t="s">
        <v>144</v>
      </c>
      <c r="F1889" s="3" t="s">
        <v>8</v>
      </c>
      <c r="G1889" s="66" t="s">
        <v>1006</v>
      </c>
      <c r="H1889" s="8"/>
      <c r="I1889" s="8"/>
      <c r="J1889" s="6" t="s">
        <v>107</v>
      </c>
      <c r="K1889" s="38">
        <v>60000</v>
      </c>
      <c r="L1889" s="4" t="s">
        <v>264</v>
      </c>
      <c r="M1889" s="11">
        <f>_xlfn.NUMBERVALUE(LEFT(Table613[[#This Row],[Fiscal Year]], 4))</f>
        <v>2001</v>
      </c>
      <c r="N1889" s="42">
        <f t="shared" si="40"/>
        <v>85250.479954827781</v>
      </c>
      <c r="O1889" s="3">
        <v>1887</v>
      </c>
    </row>
    <row r="1890" spans="1:15" x14ac:dyDescent="0.25">
      <c r="A1890" s="3">
        <v>8</v>
      </c>
      <c r="B1890" s="3" t="s">
        <v>274</v>
      </c>
      <c r="C1890" s="3" t="s">
        <v>262</v>
      </c>
      <c r="D1890" s="3" t="s">
        <v>444</v>
      </c>
      <c r="E1890" s="11" t="s">
        <v>144</v>
      </c>
      <c r="F1890" s="3" t="s">
        <v>8</v>
      </c>
      <c r="G1890" s="66" t="s">
        <v>1002</v>
      </c>
      <c r="H1890" s="8" t="s">
        <v>597</v>
      </c>
      <c r="I1890" s="8" t="s">
        <v>594</v>
      </c>
      <c r="J1890" s="6" t="s">
        <v>108</v>
      </c>
      <c r="K1890" s="38">
        <v>15000</v>
      </c>
      <c r="L1890" s="4" t="s">
        <v>264</v>
      </c>
      <c r="M1890" s="11">
        <f>_xlfn.NUMBERVALUE(LEFT(Table613[[#This Row],[Fiscal Year]], 4))</f>
        <v>2001</v>
      </c>
      <c r="N1890" s="42">
        <f t="shared" si="40"/>
        <v>21312.619988706945</v>
      </c>
      <c r="O1890" s="3">
        <v>1888</v>
      </c>
    </row>
    <row r="1891" spans="1:15" x14ac:dyDescent="0.25">
      <c r="A1891" s="3">
        <v>8</v>
      </c>
      <c r="B1891" s="3" t="s">
        <v>274</v>
      </c>
      <c r="C1891" s="3" t="s">
        <v>262</v>
      </c>
      <c r="D1891" s="3" t="s">
        <v>444</v>
      </c>
      <c r="E1891" s="11" t="s">
        <v>144</v>
      </c>
      <c r="F1891" s="3" t="s">
        <v>8</v>
      </c>
      <c r="G1891" s="66" t="s">
        <v>1003</v>
      </c>
      <c r="H1891" s="8" t="s">
        <v>506</v>
      </c>
      <c r="I1891" s="8"/>
      <c r="J1891" s="6" t="s">
        <v>106</v>
      </c>
      <c r="K1891" s="38">
        <v>4000</v>
      </c>
      <c r="L1891" s="4" t="s">
        <v>264</v>
      </c>
      <c r="M1891" s="11">
        <f>_xlfn.NUMBERVALUE(LEFT(Table613[[#This Row],[Fiscal Year]], 4))</f>
        <v>2001</v>
      </c>
      <c r="N1891" s="42">
        <f t="shared" si="40"/>
        <v>5683.3653303218516</v>
      </c>
      <c r="O1891" s="3">
        <v>1889</v>
      </c>
    </row>
    <row r="1892" spans="1:15" x14ac:dyDescent="0.25">
      <c r="A1892" s="3">
        <v>8</v>
      </c>
      <c r="B1892" s="3" t="s">
        <v>274</v>
      </c>
      <c r="C1892" s="3" t="s">
        <v>262</v>
      </c>
      <c r="D1892" s="3" t="s">
        <v>444</v>
      </c>
      <c r="E1892" s="11" t="s">
        <v>144</v>
      </c>
      <c r="F1892" s="3" t="s">
        <v>8</v>
      </c>
      <c r="G1892" s="66" t="s">
        <v>1007</v>
      </c>
      <c r="H1892" s="8"/>
      <c r="I1892" s="8"/>
      <c r="J1892" s="6" t="s">
        <v>76</v>
      </c>
      <c r="K1892" s="38">
        <v>0</v>
      </c>
      <c r="L1892" s="4" t="s">
        <v>264</v>
      </c>
      <c r="M1892" s="11">
        <f>_xlfn.NUMBERVALUE(LEFT(Table613[[#This Row],[Fiscal Year]], 4))</f>
        <v>2001</v>
      </c>
      <c r="N1892" s="42">
        <f t="shared" si="40"/>
        <v>0</v>
      </c>
      <c r="O1892" s="3">
        <v>1890</v>
      </c>
    </row>
    <row r="1893" spans="1:15" x14ac:dyDescent="0.25">
      <c r="E1893" s="11"/>
      <c r="G1893" s="66"/>
      <c r="H1893" s="8"/>
      <c r="I1893" s="8"/>
      <c r="J1893" s="6"/>
      <c r="L1893" s="4"/>
      <c r="O1893" s="3">
        <v>1891</v>
      </c>
    </row>
    <row r="1894" spans="1:15" x14ac:dyDescent="0.25">
      <c r="A1894" s="3">
        <v>8</v>
      </c>
      <c r="B1894" s="3" t="s">
        <v>275</v>
      </c>
      <c r="C1894" s="3" t="s">
        <v>262</v>
      </c>
      <c r="D1894" s="3" t="s">
        <v>444</v>
      </c>
      <c r="E1894" s="11" t="s">
        <v>144</v>
      </c>
      <c r="F1894" s="3" t="s">
        <v>8</v>
      </c>
      <c r="G1894" s="48" t="s">
        <v>976</v>
      </c>
      <c r="H1894" s="8" t="s">
        <v>503</v>
      </c>
      <c r="I1894" s="8" t="s">
        <v>640</v>
      </c>
      <c r="J1894" s="6" t="s">
        <v>110</v>
      </c>
      <c r="K1894" s="38">
        <v>0</v>
      </c>
      <c r="L1894" s="4" t="s">
        <v>264</v>
      </c>
      <c r="M1894" s="11">
        <f>_xlfn.NUMBERVALUE(LEFT(Table613[[#This Row],[Fiscal Year]], 4))</f>
        <v>2001</v>
      </c>
      <c r="N1894" s="42">
        <f t="shared" ref="N1894:N1925" si="41">K1894*(1+VLOOKUP(M1894,$AF$8:$AH$31,3,0))</f>
        <v>0</v>
      </c>
      <c r="O1894" s="3">
        <v>1892</v>
      </c>
    </row>
    <row r="1895" spans="1:15" x14ac:dyDescent="0.25">
      <c r="A1895" s="3">
        <v>8</v>
      </c>
      <c r="B1895" s="3" t="s">
        <v>275</v>
      </c>
      <c r="C1895" s="3" t="s">
        <v>262</v>
      </c>
      <c r="D1895" s="3" t="s">
        <v>444</v>
      </c>
      <c r="E1895" s="11" t="s">
        <v>144</v>
      </c>
      <c r="F1895" s="3" t="s">
        <v>8</v>
      </c>
      <c r="G1895" s="66" t="s">
        <v>977</v>
      </c>
      <c r="H1895" s="8" t="s">
        <v>504</v>
      </c>
      <c r="I1895" s="8"/>
      <c r="J1895" s="6" t="s">
        <v>108</v>
      </c>
      <c r="K1895" s="38">
        <v>0</v>
      </c>
      <c r="L1895" s="4" t="s">
        <v>264</v>
      </c>
      <c r="M1895" s="11">
        <f>_xlfn.NUMBERVALUE(LEFT(Table613[[#This Row],[Fiscal Year]], 4))</f>
        <v>2001</v>
      </c>
      <c r="N1895" s="42">
        <f t="shared" si="41"/>
        <v>0</v>
      </c>
      <c r="O1895" s="3">
        <v>1893</v>
      </c>
    </row>
    <row r="1896" spans="1:15" x14ac:dyDescent="0.25">
      <c r="A1896" s="3">
        <v>8</v>
      </c>
      <c r="B1896" s="3" t="s">
        <v>275</v>
      </c>
      <c r="C1896" s="3" t="s">
        <v>262</v>
      </c>
      <c r="D1896" s="3" t="s">
        <v>444</v>
      </c>
      <c r="E1896" s="11" t="s">
        <v>144</v>
      </c>
      <c r="F1896" s="3" t="s">
        <v>8</v>
      </c>
      <c r="G1896" s="66" t="s">
        <v>978</v>
      </c>
      <c r="H1896" s="8" t="s">
        <v>602</v>
      </c>
      <c r="I1896" s="8"/>
      <c r="J1896" s="6" t="s">
        <v>108</v>
      </c>
      <c r="K1896" s="38">
        <v>0</v>
      </c>
      <c r="L1896" s="4" t="s">
        <v>264</v>
      </c>
      <c r="M1896" s="11">
        <f>_xlfn.NUMBERVALUE(LEFT(Table613[[#This Row],[Fiscal Year]], 4))</f>
        <v>2001</v>
      </c>
      <c r="N1896" s="42">
        <f t="shared" si="41"/>
        <v>0</v>
      </c>
      <c r="O1896" s="3">
        <v>1894</v>
      </c>
    </row>
    <row r="1897" spans="1:15" x14ac:dyDescent="0.25">
      <c r="A1897" s="3">
        <v>8</v>
      </c>
      <c r="B1897" s="3" t="s">
        <v>275</v>
      </c>
      <c r="C1897" s="3" t="s">
        <v>262</v>
      </c>
      <c r="D1897" s="3" t="s">
        <v>444</v>
      </c>
      <c r="E1897" s="11" t="s">
        <v>144</v>
      </c>
      <c r="F1897" s="3" t="s">
        <v>8</v>
      </c>
      <c r="G1897" s="66" t="s">
        <v>979</v>
      </c>
      <c r="H1897" s="8" t="s">
        <v>504</v>
      </c>
      <c r="I1897" s="8"/>
      <c r="J1897" s="6" t="s">
        <v>108</v>
      </c>
      <c r="K1897" s="38">
        <v>625979</v>
      </c>
      <c r="L1897" s="4" t="s">
        <v>264</v>
      </c>
      <c r="M1897" s="11">
        <f>_xlfn.NUMBERVALUE(LEFT(Table613[[#This Row],[Fiscal Year]], 4))</f>
        <v>2001</v>
      </c>
      <c r="N1897" s="42">
        <f t="shared" si="41"/>
        <v>889416.83652738563</v>
      </c>
      <c r="O1897" s="3">
        <v>1895</v>
      </c>
    </row>
    <row r="1898" spans="1:15" x14ac:dyDescent="0.25">
      <c r="A1898" s="3">
        <v>8</v>
      </c>
      <c r="B1898" s="3" t="s">
        <v>275</v>
      </c>
      <c r="C1898" s="3" t="s">
        <v>262</v>
      </c>
      <c r="D1898" s="3" t="s">
        <v>444</v>
      </c>
      <c r="E1898" s="11" t="s">
        <v>144</v>
      </c>
      <c r="F1898" s="3" t="s">
        <v>8</v>
      </c>
      <c r="G1898" s="66" t="s">
        <v>980</v>
      </c>
      <c r="H1898" s="8" t="s">
        <v>504</v>
      </c>
      <c r="I1898" s="8"/>
      <c r="J1898" s="6" t="s">
        <v>108</v>
      </c>
      <c r="K1898" s="38">
        <v>5000</v>
      </c>
      <c r="L1898" s="4" t="s">
        <v>264</v>
      </c>
      <c r="M1898" s="11">
        <f>_xlfn.NUMBERVALUE(LEFT(Table613[[#This Row],[Fiscal Year]], 4))</f>
        <v>2001</v>
      </c>
      <c r="N1898" s="42">
        <f t="shared" si="41"/>
        <v>7104.2066629023147</v>
      </c>
      <c r="O1898" s="3">
        <v>1896</v>
      </c>
    </row>
    <row r="1899" spans="1:15" x14ac:dyDescent="0.25">
      <c r="A1899" s="3">
        <v>8</v>
      </c>
      <c r="B1899" s="3" t="s">
        <v>275</v>
      </c>
      <c r="C1899" s="3" t="s">
        <v>262</v>
      </c>
      <c r="D1899" s="3" t="s">
        <v>444</v>
      </c>
      <c r="E1899" s="11" t="s">
        <v>144</v>
      </c>
      <c r="F1899" s="3" t="s">
        <v>8</v>
      </c>
      <c r="G1899" s="48" t="s">
        <v>981</v>
      </c>
      <c r="H1899" s="8" t="s">
        <v>504</v>
      </c>
      <c r="I1899" s="8"/>
      <c r="J1899" s="6" t="s">
        <v>108</v>
      </c>
      <c r="K1899" s="38">
        <v>661792</v>
      </c>
      <c r="L1899" s="4" t="s">
        <v>264</v>
      </c>
      <c r="M1899" s="11">
        <f>_xlfn.NUMBERVALUE(LEFT(Table613[[#This Row],[Fiscal Year]], 4))</f>
        <v>2001</v>
      </c>
      <c r="N1899" s="42">
        <f t="shared" si="41"/>
        <v>940301.4271710898</v>
      </c>
      <c r="O1899" s="3">
        <v>1897</v>
      </c>
    </row>
    <row r="1900" spans="1:15" x14ac:dyDescent="0.25">
      <c r="A1900" s="3">
        <v>8</v>
      </c>
      <c r="B1900" s="3" t="s">
        <v>275</v>
      </c>
      <c r="C1900" s="3" t="s">
        <v>262</v>
      </c>
      <c r="D1900" s="3" t="s">
        <v>444</v>
      </c>
      <c r="E1900" s="11" t="s">
        <v>144</v>
      </c>
      <c r="F1900" s="3" t="s">
        <v>8</v>
      </c>
      <c r="G1900" s="66" t="s">
        <v>982</v>
      </c>
      <c r="H1900" s="8" t="s">
        <v>593</v>
      </c>
      <c r="I1900" s="8" t="s">
        <v>594</v>
      </c>
      <c r="J1900" s="6" t="s">
        <v>108</v>
      </c>
      <c r="K1900" s="38">
        <v>0</v>
      </c>
      <c r="L1900" s="4" t="s">
        <v>264</v>
      </c>
      <c r="M1900" s="11">
        <f>_xlfn.NUMBERVALUE(LEFT(Table613[[#This Row],[Fiscal Year]], 4))</f>
        <v>2001</v>
      </c>
      <c r="N1900" s="42">
        <f t="shared" si="41"/>
        <v>0</v>
      </c>
      <c r="O1900" s="3">
        <v>1898</v>
      </c>
    </row>
    <row r="1901" spans="1:15" x14ac:dyDescent="0.25">
      <c r="A1901" s="3">
        <v>8</v>
      </c>
      <c r="B1901" s="3" t="s">
        <v>275</v>
      </c>
      <c r="C1901" s="3" t="s">
        <v>262</v>
      </c>
      <c r="D1901" s="3" t="s">
        <v>444</v>
      </c>
      <c r="E1901" s="11" t="s">
        <v>144</v>
      </c>
      <c r="F1901" s="3" t="s">
        <v>8</v>
      </c>
      <c r="G1901" s="66" t="s">
        <v>983</v>
      </c>
      <c r="H1901" s="8" t="s">
        <v>504</v>
      </c>
      <c r="I1901" s="8"/>
      <c r="J1901" s="6" t="s">
        <v>108</v>
      </c>
      <c r="K1901" s="38">
        <v>0</v>
      </c>
      <c r="L1901" s="4" t="s">
        <v>264</v>
      </c>
      <c r="M1901" s="11">
        <f>_xlfn.NUMBERVALUE(LEFT(Table613[[#This Row],[Fiscal Year]], 4))</f>
        <v>2001</v>
      </c>
      <c r="N1901" s="42">
        <f t="shared" si="41"/>
        <v>0</v>
      </c>
      <c r="O1901" s="3">
        <v>1899</v>
      </c>
    </row>
    <row r="1902" spans="1:15" x14ac:dyDescent="0.25">
      <c r="A1902" s="3">
        <v>8</v>
      </c>
      <c r="B1902" s="3" t="s">
        <v>275</v>
      </c>
      <c r="C1902" s="3" t="s">
        <v>262</v>
      </c>
      <c r="D1902" s="3" t="s">
        <v>444</v>
      </c>
      <c r="E1902" s="11" t="s">
        <v>144</v>
      </c>
      <c r="F1902" s="3" t="s">
        <v>8</v>
      </c>
      <c r="G1902" s="66" t="s">
        <v>984</v>
      </c>
      <c r="H1902" s="8" t="s">
        <v>504</v>
      </c>
      <c r="I1902" s="8"/>
      <c r="J1902" s="6" t="s">
        <v>108</v>
      </c>
      <c r="K1902" s="38">
        <v>0</v>
      </c>
      <c r="L1902" s="4" t="s">
        <v>264</v>
      </c>
      <c r="M1902" s="11">
        <f>_xlfn.NUMBERVALUE(LEFT(Table613[[#This Row],[Fiscal Year]], 4))</f>
        <v>2001</v>
      </c>
      <c r="N1902" s="42">
        <f t="shared" si="41"/>
        <v>0</v>
      </c>
      <c r="O1902" s="3">
        <v>1900</v>
      </c>
    </row>
    <row r="1903" spans="1:15" x14ac:dyDescent="0.25">
      <c r="A1903" s="3">
        <v>8</v>
      </c>
      <c r="B1903" s="3" t="s">
        <v>275</v>
      </c>
      <c r="C1903" s="3" t="s">
        <v>262</v>
      </c>
      <c r="D1903" s="3" t="s">
        <v>444</v>
      </c>
      <c r="E1903" s="11" t="s">
        <v>144</v>
      </c>
      <c r="F1903" s="3" t="s">
        <v>8</v>
      </c>
      <c r="G1903" s="66" t="s">
        <v>985</v>
      </c>
      <c r="H1903" s="8" t="s">
        <v>505</v>
      </c>
      <c r="I1903" s="8"/>
      <c r="J1903" s="6" t="s">
        <v>42</v>
      </c>
      <c r="K1903" s="38">
        <v>0</v>
      </c>
      <c r="L1903" s="4" t="s">
        <v>264</v>
      </c>
      <c r="M1903" s="11">
        <f>_xlfn.NUMBERVALUE(LEFT(Table613[[#This Row],[Fiscal Year]], 4))</f>
        <v>2001</v>
      </c>
      <c r="N1903" s="42">
        <f t="shared" si="41"/>
        <v>0</v>
      </c>
      <c r="O1903" s="3">
        <v>1901</v>
      </c>
    </row>
    <row r="1904" spans="1:15" x14ac:dyDescent="0.25">
      <c r="A1904" s="3">
        <v>8</v>
      </c>
      <c r="B1904" s="3" t="s">
        <v>275</v>
      </c>
      <c r="C1904" s="3" t="s">
        <v>262</v>
      </c>
      <c r="D1904" s="3" t="s">
        <v>444</v>
      </c>
      <c r="E1904" s="11" t="s">
        <v>144</v>
      </c>
      <c r="F1904" s="3" t="s">
        <v>8</v>
      </c>
      <c r="G1904" s="66" t="s">
        <v>986</v>
      </c>
      <c r="H1904" s="8" t="s">
        <v>599</v>
      </c>
      <c r="I1904" s="8"/>
      <c r="J1904" s="6" t="s">
        <v>42</v>
      </c>
      <c r="K1904" s="38">
        <v>0</v>
      </c>
      <c r="L1904" s="4" t="s">
        <v>264</v>
      </c>
      <c r="M1904" s="11">
        <f>_xlfn.NUMBERVALUE(LEFT(Table613[[#This Row],[Fiscal Year]], 4))</f>
        <v>2001</v>
      </c>
      <c r="N1904" s="42">
        <f t="shared" si="41"/>
        <v>0</v>
      </c>
      <c r="O1904" s="3">
        <v>1902</v>
      </c>
    </row>
    <row r="1905" spans="1:15" x14ac:dyDescent="0.25">
      <c r="A1905" s="3">
        <v>8</v>
      </c>
      <c r="B1905" s="3" t="s">
        <v>275</v>
      </c>
      <c r="C1905" s="3" t="s">
        <v>262</v>
      </c>
      <c r="D1905" s="3" t="s">
        <v>444</v>
      </c>
      <c r="E1905" s="11" t="s">
        <v>144</v>
      </c>
      <c r="F1905" s="3" t="s">
        <v>8</v>
      </c>
      <c r="G1905" s="66" t="s">
        <v>987</v>
      </c>
      <c r="H1905" s="8"/>
      <c r="I1905" s="8"/>
      <c r="J1905" s="6" t="s">
        <v>111</v>
      </c>
      <c r="K1905" s="38">
        <v>0</v>
      </c>
      <c r="L1905" s="4" t="s">
        <v>264</v>
      </c>
      <c r="M1905" s="11">
        <f>_xlfn.NUMBERVALUE(LEFT(Table613[[#This Row],[Fiscal Year]], 4))</f>
        <v>2001</v>
      </c>
      <c r="N1905" s="42">
        <f t="shared" si="41"/>
        <v>0</v>
      </c>
      <c r="O1905" s="3">
        <v>1903</v>
      </c>
    </row>
    <row r="1906" spans="1:15" x14ac:dyDescent="0.25">
      <c r="A1906" s="3">
        <v>8</v>
      </c>
      <c r="B1906" s="3" t="s">
        <v>275</v>
      </c>
      <c r="C1906" s="3" t="s">
        <v>262</v>
      </c>
      <c r="D1906" s="3" t="s">
        <v>444</v>
      </c>
      <c r="E1906" s="11" t="s">
        <v>144</v>
      </c>
      <c r="F1906" s="3" t="s">
        <v>8</v>
      </c>
      <c r="G1906" s="66" t="s">
        <v>988</v>
      </c>
      <c r="H1906" s="8"/>
      <c r="I1906" s="8"/>
      <c r="J1906" s="6" t="s">
        <v>107</v>
      </c>
      <c r="K1906" s="38">
        <v>0</v>
      </c>
      <c r="L1906" s="4" t="s">
        <v>264</v>
      </c>
      <c r="M1906" s="11">
        <f>_xlfn.NUMBERVALUE(LEFT(Table613[[#This Row],[Fiscal Year]], 4))</f>
        <v>2001</v>
      </c>
      <c r="N1906" s="42">
        <f t="shared" si="41"/>
        <v>0</v>
      </c>
      <c r="O1906" s="3">
        <v>1904</v>
      </c>
    </row>
    <row r="1907" spans="1:15" x14ac:dyDescent="0.25">
      <c r="A1907" s="3">
        <v>8</v>
      </c>
      <c r="B1907" s="3" t="s">
        <v>275</v>
      </c>
      <c r="C1907" s="3" t="s">
        <v>262</v>
      </c>
      <c r="D1907" s="3" t="s">
        <v>444</v>
      </c>
      <c r="E1907" s="11" t="s">
        <v>144</v>
      </c>
      <c r="F1907" s="3" t="s">
        <v>8</v>
      </c>
      <c r="G1907" s="66" t="s">
        <v>989</v>
      </c>
      <c r="H1907" s="8" t="s">
        <v>597</v>
      </c>
      <c r="I1907" s="8" t="s">
        <v>594</v>
      </c>
      <c r="J1907" s="6" t="s">
        <v>108</v>
      </c>
      <c r="K1907" s="38">
        <v>0</v>
      </c>
      <c r="L1907" s="4" t="s">
        <v>264</v>
      </c>
      <c r="M1907" s="11">
        <f>_xlfn.NUMBERVALUE(LEFT(Table613[[#This Row],[Fiscal Year]], 4))</f>
        <v>2001</v>
      </c>
      <c r="N1907" s="42">
        <f t="shared" si="41"/>
        <v>0</v>
      </c>
      <c r="O1907" s="3">
        <v>1905</v>
      </c>
    </row>
    <row r="1908" spans="1:15" x14ac:dyDescent="0.25">
      <c r="A1908" s="3">
        <v>8</v>
      </c>
      <c r="B1908" s="3" t="s">
        <v>275</v>
      </c>
      <c r="C1908" s="3" t="s">
        <v>262</v>
      </c>
      <c r="D1908" s="3" t="s">
        <v>444</v>
      </c>
      <c r="E1908" s="11" t="s">
        <v>144</v>
      </c>
      <c r="F1908" s="3" t="s">
        <v>8</v>
      </c>
      <c r="G1908" s="66" t="s">
        <v>990</v>
      </c>
      <c r="H1908" s="8" t="s">
        <v>506</v>
      </c>
      <c r="I1908" s="8"/>
      <c r="J1908" s="6" t="s">
        <v>106</v>
      </c>
      <c r="K1908" s="38">
        <v>0</v>
      </c>
      <c r="L1908" s="4" t="s">
        <v>264</v>
      </c>
      <c r="M1908" s="11">
        <f>_xlfn.NUMBERVALUE(LEFT(Table613[[#This Row],[Fiscal Year]], 4))</f>
        <v>2001</v>
      </c>
      <c r="N1908" s="42">
        <f t="shared" si="41"/>
        <v>0</v>
      </c>
      <c r="O1908" s="3">
        <v>1906</v>
      </c>
    </row>
    <row r="1909" spans="1:15" x14ac:dyDescent="0.25">
      <c r="A1909" s="3">
        <v>8</v>
      </c>
      <c r="B1909" s="3" t="s">
        <v>275</v>
      </c>
      <c r="C1909" s="3" t="s">
        <v>262</v>
      </c>
      <c r="D1909" s="3" t="s">
        <v>444</v>
      </c>
      <c r="E1909" s="11" t="s">
        <v>144</v>
      </c>
      <c r="F1909" s="3" t="s">
        <v>8</v>
      </c>
      <c r="G1909" s="66" t="s">
        <v>1004</v>
      </c>
      <c r="H1909" s="8"/>
      <c r="I1909" s="8"/>
      <c r="J1909" s="6" t="s">
        <v>76</v>
      </c>
      <c r="K1909" s="38">
        <v>0</v>
      </c>
      <c r="L1909" s="4" t="s">
        <v>264</v>
      </c>
      <c r="M1909" s="11">
        <f>_xlfn.NUMBERVALUE(LEFT(Table613[[#This Row],[Fiscal Year]], 4))</f>
        <v>2001</v>
      </c>
      <c r="N1909" s="42">
        <f t="shared" si="41"/>
        <v>0</v>
      </c>
      <c r="O1909" s="3">
        <v>1907</v>
      </c>
    </row>
    <row r="1910" spans="1:15" x14ac:dyDescent="0.25">
      <c r="A1910" s="3">
        <v>8</v>
      </c>
      <c r="B1910" s="3" t="s">
        <v>275</v>
      </c>
      <c r="C1910" s="3" t="s">
        <v>262</v>
      </c>
      <c r="D1910" s="3" t="s">
        <v>444</v>
      </c>
      <c r="E1910" s="11" t="s">
        <v>144</v>
      </c>
      <c r="F1910" s="3" t="s">
        <v>8</v>
      </c>
      <c r="G1910" s="48" t="s">
        <v>991</v>
      </c>
      <c r="H1910" s="8" t="s">
        <v>503</v>
      </c>
      <c r="I1910" s="8"/>
      <c r="J1910" s="6" t="s">
        <v>110</v>
      </c>
      <c r="K1910" s="38">
        <v>0</v>
      </c>
      <c r="L1910" s="4" t="s">
        <v>264</v>
      </c>
      <c r="M1910" s="11">
        <f>_xlfn.NUMBERVALUE(LEFT(Table613[[#This Row],[Fiscal Year]], 4))</f>
        <v>2001</v>
      </c>
      <c r="N1910" s="42">
        <f t="shared" si="41"/>
        <v>0</v>
      </c>
      <c r="O1910" s="3">
        <v>1908</v>
      </c>
    </row>
    <row r="1911" spans="1:15" x14ac:dyDescent="0.25">
      <c r="A1911" s="3">
        <v>8</v>
      </c>
      <c r="B1911" s="3" t="s">
        <v>275</v>
      </c>
      <c r="C1911" s="3" t="s">
        <v>262</v>
      </c>
      <c r="D1911" s="3" t="s">
        <v>444</v>
      </c>
      <c r="E1911" s="11" t="s">
        <v>144</v>
      </c>
      <c r="F1911" s="3" t="s">
        <v>8</v>
      </c>
      <c r="G1911" s="66" t="s">
        <v>992</v>
      </c>
      <c r="H1911" s="8" t="s">
        <v>504</v>
      </c>
      <c r="I1911" s="8"/>
      <c r="J1911" s="6" t="s">
        <v>108</v>
      </c>
      <c r="K1911" s="38">
        <v>0</v>
      </c>
      <c r="L1911" s="4" t="s">
        <v>264</v>
      </c>
      <c r="M1911" s="11">
        <f>_xlfn.NUMBERVALUE(LEFT(Table613[[#This Row],[Fiscal Year]], 4))</f>
        <v>2001</v>
      </c>
      <c r="N1911" s="42">
        <f t="shared" si="41"/>
        <v>0</v>
      </c>
      <c r="O1911" s="3">
        <v>1909</v>
      </c>
    </row>
    <row r="1912" spans="1:15" x14ac:dyDescent="0.25">
      <c r="A1912" s="3">
        <v>8</v>
      </c>
      <c r="B1912" s="3" t="s">
        <v>275</v>
      </c>
      <c r="C1912" s="3" t="s">
        <v>262</v>
      </c>
      <c r="D1912" s="3" t="s">
        <v>444</v>
      </c>
      <c r="E1912" s="11" t="s">
        <v>144</v>
      </c>
      <c r="F1912" s="3" t="s">
        <v>8</v>
      </c>
      <c r="G1912" s="66" t="s">
        <v>993</v>
      </c>
      <c r="H1912" s="8" t="s">
        <v>602</v>
      </c>
      <c r="I1912" s="8"/>
      <c r="J1912" s="6" t="s">
        <v>108</v>
      </c>
      <c r="K1912" s="38">
        <v>0</v>
      </c>
      <c r="L1912" s="4" t="s">
        <v>264</v>
      </c>
      <c r="M1912" s="11">
        <f>_xlfn.NUMBERVALUE(LEFT(Table613[[#This Row],[Fiscal Year]], 4))</f>
        <v>2001</v>
      </c>
      <c r="N1912" s="42">
        <f t="shared" si="41"/>
        <v>0</v>
      </c>
      <c r="O1912" s="3">
        <v>1910</v>
      </c>
    </row>
    <row r="1913" spans="1:15" x14ac:dyDescent="0.25">
      <c r="A1913" s="3">
        <v>8</v>
      </c>
      <c r="B1913" s="3" t="s">
        <v>275</v>
      </c>
      <c r="C1913" s="3" t="s">
        <v>262</v>
      </c>
      <c r="D1913" s="3" t="s">
        <v>444</v>
      </c>
      <c r="E1913" s="11" t="s">
        <v>144</v>
      </c>
      <c r="F1913" s="3" t="s">
        <v>8</v>
      </c>
      <c r="G1913" s="66" t="s">
        <v>994</v>
      </c>
      <c r="H1913" s="8" t="s">
        <v>504</v>
      </c>
      <c r="I1913" s="8"/>
      <c r="J1913" s="6" t="s">
        <v>108</v>
      </c>
      <c r="K1913" s="38">
        <v>512631</v>
      </c>
      <c r="L1913" s="4" t="s">
        <v>264</v>
      </c>
      <c r="M1913" s="11">
        <f>_xlfn.NUMBERVALUE(LEFT(Table613[[#This Row],[Fiscal Year]], 4))</f>
        <v>2001</v>
      </c>
      <c r="N1913" s="42">
        <f t="shared" si="41"/>
        <v>728367.31316205533</v>
      </c>
      <c r="O1913" s="3">
        <v>1911</v>
      </c>
    </row>
    <row r="1914" spans="1:15" x14ac:dyDescent="0.25">
      <c r="A1914" s="3">
        <v>8</v>
      </c>
      <c r="B1914" s="3" t="s">
        <v>275</v>
      </c>
      <c r="C1914" s="3" t="s">
        <v>262</v>
      </c>
      <c r="D1914" s="3" t="s">
        <v>444</v>
      </c>
      <c r="E1914" s="11" t="s">
        <v>144</v>
      </c>
      <c r="F1914" s="3" t="s">
        <v>8</v>
      </c>
      <c r="G1914" s="66" t="s">
        <v>995</v>
      </c>
      <c r="H1914" s="8" t="s">
        <v>504</v>
      </c>
      <c r="I1914" s="8"/>
      <c r="J1914" s="6" t="s">
        <v>108</v>
      </c>
      <c r="K1914" s="38">
        <v>5000</v>
      </c>
      <c r="L1914" s="4" t="s">
        <v>264</v>
      </c>
      <c r="M1914" s="11">
        <f>_xlfn.NUMBERVALUE(LEFT(Table613[[#This Row],[Fiscal Year]], 4))</f>
        <v>2001</v>
      </c>
      <c r="N1914" s="42">
        <f t="shared" si="41"/>
        <v>7104.2066629023147</v>
      </c>
      <c r="O1914" s="3">
        <v>1912</v>
      </c>
    </row>
    <row r="1915" spans="1:15" x14ac:dyDescent="0.25">
      <c r="A1915" s="3">
        <v>8</v>
      </c>
      <c r="B1915" s="3" t="s">
        <v>275</v>
      </c>
      <c r="C1915" s="3" t="s">
        <v>262</v>
      </c>
      <c r="D1915" s="3" t="s">
        <v>444</v>
      </c>
      <c r="E1915" s="11" t="s">
        <v>144</v>
      </c>
      <c r="F1915" s="3" t="s">
        <v>8</v>
      </c>
      <c r="G1915" s="48" t="s">
        <v>996</v>
      </c>
      <c r="H1915" s="8" t="s">
        <v>504</v>
      </c>
      <c r="I1915" s="8"/>
      <c r="J1915" s="6" t="s">
        <v>108</v>
      </c>
      <c r="K1915" s="38">
        <v>703874</v>
      </c>
      <c r="L1915" s="4" t="s">
        <v>264</v>
      </c>
      <c r="M1915" s="11">
        <f>_xlfn.NUMBERVALUE(LEFT(Table613[[#This Row],[Fiscal Year]], 4))</f>
        <v>2001</v>
      </c>
      <c r="N1915" s="42">
        <f t="shared" si="41"/>
        <v>1000093.2721287408</v>
      </c>
      <c r="O1915" s="3">
        <v>1913</v>
      </c>
    </row>
    <row r="1916" spans="1:15" x14ac:dyDescent="0.25">
      <c r="A1916" s="3">
        <v>8</v>
      </c>
      <c r="B1916" s="3" t="s">
        <v>275</v>
      </c>
      <c r="C1916" s="3" t="s">
        <v>262</v>
      </c>
      <c r="D1916" s="3" t="s">
        <v>444</v>
      </c>
      <c r="E1916" s="11" t="s">
        <v>144</v>
      </c>
      <c r="F1916" s="3" t="s">
        <v>8</v>
      </c>
      <c r="G1916" s="66" t="s">
        <v>997</v>
      </c>
      <c r="H1916" s="8" t="s">
        <v>593</v>
      </c>
      <c r="I1916" s="8" t="s">
        <v>594</v>
      </c>
      <c r="J1916" s="6" t="s">
        <v>108</v>
      </c>
      <c r="K1916" s="38">
        <v>0</v>
      </c>
      <c r="L1916" s="4" t="s">
        <v>264</v>
      </c>
      <c r="M1916" s="11">
        <f>_xlfn.NUMBERVALUE(LEFT(Table613[[#This Row],[Fiscal Year]], 4))</f>
        <v>2001</v>
      </c>
      <c r="N1916" s="42">
        <f t="shared" si="41"/>
        <v>0</v>
      </c>
      <c r="O1916" s="3">
        <v>1914</v>
      </c>
    </row>
    <row r="1917" spans="1:15" x14ac:dyDescent="0.25">
      <c r="A1917" s="3">
        <v>8</v>
      </c>
      <c r="B1917" s="3" t="s">
        <v>275</v>
      </c>
      <c r="C1917" s="3" t="s">
        <v>262</v>
      </c>
      <c r="D1917" s="3" t="s">
        <v>444</v>
      </c>
      <c r="E1917" s="11" t="s">
        <v>144</v>
      </c>
      <c r="F1917" s="3" t="s">
        <v>8</v>
      </c>
      <c r="G1917" s="66" t="s">
        <v>998</v>
      </c>
      <c r="H1917" s="8" t="s">
        <v>504</v>
      </c>
      <c r="I1917" s="8"/>
      <c r="J1917" s="6" t="s">
        <v>108</v>
      </c>
      <c r="K1917" s="38">
        <v>0</v>
      </c>
      <c r="L1917" s="4" t="s">
        <v>264</v>
      </c>
      <c r="M1917" s="11">
        <f>_xlfn.NUMBERVALUE(LEFT(Table613[[#This Row],[Fiscal Year]], 4))</f>
        <v>2001</v>
      </c>
      <c r="N1917" s="42">
        <f t="shared" si="41"/>
        <v>0</v>
      </c>
      <c r="O1917" s="3">
        <v>1915</v>
      </c>
    </row>
    <row r="1918" spans="1:15" x14ac:dyDescent="0.25">
      <c r="A1918" s="3">
        <v>8</v>
      </c>
      <c r="B1918" s="3" t="s">
        <v>275</v>
      </c>
      <c r="C1918" s="3" t="s">
        <v>262</v>
      </c>
      <c r="D1918" s="3" t="s">
        <v>444</v>
      </c>
      <c r="E1918" s="11" t="s">
        <v>144</v>
      </c>
      <c r="F1918" s="3" t="s">
        <v>8</v>
      </c>
      <c r="G1918" s="66" t="s">
        <v>999</v>
      </c>
      <c r="H1918" s="8" t="s">
        <v>504</v>
      </c>
      <c r="I1918" s="8"/>
      <c r="J1918" s="6" t="s">
        <v>108</v>
      </c>
      <c r="K1918" s="38">
        <v>0</v>
      </c>
      <c r="L1918" s="4" t="s">
        <v>264</v>
      </c>
      <c r="M1918" s="11">
        <f>_xlfn.NUMBERVALUE(LEFT(Table613[[#This Row],[Fiscal Year]], 4))</f>
        <v>2001</v>
      </c>
      <c r="N1918" s="42">
        <f t="shared" si="41"/>
        <v>0</v>
      </c>
      <c r="O1918" s="3">
        <v>1916</v>
      </c>
    </row>
    <row r="1919" spans="1:15" x14ac:dyDescent="0.25">
      <c r="A1919" s="3">
        <v>8</v>
      </c>
      <c r="B1919" s="3" t="s">
        <v>275</v>
      </c>
      <c r="C1919" s="3" t="s">
        <v>262</v>
      </c>
      <c r="D1919" s="3" t="s">
        <v>444</v>
      </c>
      <c r="E1919" s="11" t="s">
        <v>144</v>
      </c>
      <c r="F1919" s="3" t="s">
        <v>8</v>
      </c>
      <c r="G1919" s="66" t="s">
        <v>1000</v>
      </c>
      <c r="H1919" s="8" t="s">
        <v>505</v>
      </c>
      <c r="I1919" s="8"/>
      <c r="J1919" s="6" t="s">
        <v>42</v>
      </c>
      <c r="K1919" s="38">
        <v>0</v>
      </c>
      <c r="L1919" s="4" t="s">
        <v>264</v>
      </c>
      <c r="M1919" s="11">
        <f>_xlfn.NUMBERVALUE(LEFT(Table613[[#This Row],[Fiscal Year]], 4))</f>
        <v>2001</v>
      </c>
      <c r="N1919" s="42">
        <f t="shared" si="41"/>
        <v>0</v>
      </c>
      <c r="O1919" s="3">
        <v>1917</v>
      </c>
    </row>
    <row r="1920" spans="1:15" x14ac:dyDescent="0.25">
      <c r="A1920" s="3">
        <v>8</v>
      </c>
      <c r="B1920" s="3" t="s">
        <v>275</v>
      </c>
      <c r="C1920" s="3" t="s">
        <v>262</v>
      </c>
      <c r="D1920" s="3" t="s">
        <v>444</v>
      </c>
      <c r="E1920" s="11" t="s">
        <v>144</v>
      </c>
      <c r="F1920" s="3" t="s">
        <v>8</v>
      </c>
      <c r="G1920" s="66" t="s">
        <v>1001</v>
      </c>
      <c r="H1920" s="8" t="s">
        <v>599</v>
      </c>
      <c r="I1920" s="8"/>
      <c r="J1920" s="6" t="s">
        <v>42</v>
      </c>
      <c r="K1920" s="38">
        <v>0</v>
      </c>
      <c r="L1920" s="4" t="s">
        <v>264</v>
      </c>
      <c r="M1920" s="11">
        <f>_xlfn.NUMBERVALUE(LEFT(Table613[[#This Row],[Fiscal Year]], 4))</f>
        <v>2001</v>
      </c>
      <c r="N1920" s="42">
        <f t="shared" si="41"/>
        <v>0</v>
      </c>
      <c r="O1920" s="3">
        <v>1918</v>
      </c>
    </row>
    <row r="1921" spans="1:15" x14ac:dyDescent="0.25">
      <c r="A1921" s="3">
        <v>8</v>
      </c>
      <c r="B1921" s="3" t="s">
        <v>275</v>
      </c>
      <c r="C1921" s="3" t="s">
        <v>262</v>
      </c>
      <c r="D1921" s="3" t="s">
        <v>444</v>
      </c>
      <c r="E1921" s="11" t="s">
        <v>144</v>
      </c>
      <c r="F1921" s="3" t="s">
        <v>8</v>
      </c>
      <c r="G1921" s="66" t="s">
        <v>1005</v>
      </c>
      <c r="H1921" s="8"/>
      <c r="I1921" s="8"/>
      <c r="J1921" s="6" t="s">
        <v>111</v>
      </c>
      <c r="K1921" s="38">
        <v>0</v>
      </c>
      <c r="L1921" s="4" t="s">
        <v>264</v>
      </c>
      <c r="M1921" s="11">
        <f>_xlfn.NUMBERVALUE(LEFT(Table613[[#This Row],[Fiscal Year]], 4))</f>
        <v>2001</v>
      </c>
      <c r="N1921" s="42">
        <f t="shared" si="41"/>
        <v>0</v>
      </c>
      <c r="O1921" s="3">
        <v>1919</v>
      </c>
    </row>
    <row r="1922" spans="1:15" x14ac:dyDescent="0.25">
      <c r="A1922" s="3">
        <v>8</v>
      </c>
      <c r="B1922" s="3" t="s">
        <v>275</v>
      </c>
      <c r="C1922" s="3" t="s">
        <v>262</v>
      </c>
      <c r="D1922" s="3" t="s">
        <v>444</v>
      </c>
      <c r="E1922" s="11" t="s">
        <v>144</v>
      </c>
      <c r="F1922" s="3" t="s">
        <v>8</v>
      </c>
      <c r="G1922" s="66" t="s">
        <v>1006</v>
      </c>
      <c r="H1922" s="8"/>
      <c r="I1922" s="8"/>
      <c r="J1922" s="6" t="s">
        <v>107</v>
      </c>
      <c r="K1922" s="38">
        <v>0</v>
      </c>
      <c r="L1922" s="4" t="s">
        <v>264</v>
      </c>
      <c r="M1922" s="11">
        <f>_xlfn.NUMBERVALUE(LEFT(Table613[[#This Row],[Fiscal Year]], 4))</f>
        <v>2001</v>
      </c>
      <c r="N1922" s="42">
        <f t="shared" si="41"/>
        <v>0</v>
      </c>
      <c r="O1922" s="3">
        <v>1920</v>
      </c>
    </row>
    <row r="1923" spans="1:15" x14ac:dyDescent="0.25">
      <c r="A1923" s="3">
        <v>8</v>
      </c>
      <c r="B1923" s="3" t="s">
        <v>275</v>
      </c>
      <c r="C1923" s="3" t="s">
        <v>262</v>
      </c>
      <c r="D1923" s="3" t="s">
        <v>444</v>
      </c>
      <c r="E1923" s="11" t="s">
        <v>144</v>
      </c>
      <c r="F1923" s="3" t="s">
        <v>8</v>
      </c>
      <c r="G1923" s="66" t="s">
        <v>1002</v>
      </c>
      <c r="H1923" s="8" t="s">
        <v>597</v>
      </c>
      <c r="I1923" s="8" t="s">
        <v>594</v>
      </c>
      <c r="J1923" s="6" t="s">
        <v>108</v>
      </c>
      <c r="K1923" s="38">
        <v>0</v>
      </c>
      <c r="L1923" s="4" t="s">
        <v>264</v>
      </c>
      <c r="M1923" s="11">
        <f>_xlfn.NUMBERVALUE(LEFT(Table613[[#This Row],[Fiscal Year]], 4))</f>
        <v>2001</v>
      </c>
      <c r="N1923" s="42">
        <f t="shared" si="41"/>
        <v>0</v>
      </c>
      <c r="O1923" s="3">
        <v>1921</v>
      </c>
    </row>
    <row r="1924" spans="1:15" x14ac:dyDescent="0.25">
      <c r="A1924" s="3">
        <v>8</v>
      </c>
      <c r="B1924" s="3" t="s">
        <v>275</v>
      </c>
      <c r="C1924" s="3" t="s">
        <v>262</v>
      </c>
      <c r="D1924" s="3" t="s">
        <v>444</v>
      </c>
      <c r="E1924" s="11" t="s">
        <v>144</v>
      </c>
      <c r="F1924" s="3" t="s">
        <v>8</v>
      </c>
      <c r="G1924" s="66" t="s">
        <v>1003</v>
      </c>
      <c r="H1924" s="8" t="s">
        <v>506</v>
      </c>
      <c r="I1924" s="8"/>
      <c r="J1924" s="6" t="s">
        <v>106</v>
      </c>
      <c r="K1924" s="38">
        <v>0</v>
      </c>
      <c r="L1924" s="4" t="s">
        <v>264</v>
      </c>
      <c r="M1924" s="11">
        <f>_xlfn.NUMBERVALUE(LEFT(Table613[[#This Row],[Fiscal Year]], 4))</f>
        <v>2001</v>
      </c>
      <c r="N1924" s="42">
        <f t="shared" si="41"/>
        <v>0</v>
      </c>
      <c r="O1924" s="3">
        <v>1922</v>
      </c>
    </row>
    <row r="1925" spans="1:15" x14ac:dyDescent="0.25">
      <c r="A1925" s="3">
        <v>8</v>
      </c>
      <c r="B1925" s="3" t="s">
        <v>275</v>
      </c>
      <c r="C1925" s="3" t="s">
        <v>262</v>
      </c>
      <c r="D1925" s="3" t="s">
        <v>444</v>
      </c>
      <c r="E1925" s="11" t="s">
        <v>144</v>
      </c>
      <c r="F1925" s="3" t="s">
        <v>8</v>
      </c>
      <c r="G1925" s="66" t="s">
        <v>1007</v>
      </c>
      <c r="H1925" s="8"/>
      <c r="I1925" s="8"/>
      <c r="J1925" s="6" t="s">
        <v>76</v>
      </c>
      <c r="K1925" s="38">
        <v>0</v>
      </c>
      <c r="L1925" s="4" t="s">
        <v>264</v>
      </c>
      <c r="M1925" s="11">
        <f>_xlfn.NUMBERVALUE(LEFT(Table613[[#This Row],[Fiscal Year]], 4))</f>
        <v>2001</v>
      </c>
      <c r="N1925" s="42">
        <f t="shared" si="41"/>
        <v>0</v>
      </c>
      <c r="O1925" s="3">
        <v>1923</v>
      </c>
    </row>
    <row r="1926" spans="1:15" x14ac:dyDescent="0.25">
      <c r="E1926" s="11"/>
      <c r="G1926" s="66"/>
      <c r="H1926" s="8"/>
      <c r="I1926" s="8"/>
      <c r="J1926" s="6"/>
      <c r="L1926" s="4"/>
      <c r="O1926" s="3">
        <v>1924</v>
      </c>
    </row>
    <row r="1927" spans="1:15" x14ac:dyDescent="0.25">
      <c r="A1927" s="3">
        <v>8</v>
      </c>
      <c r="B1927" s="3" t="s">
        <v>276</v>
      </c>
      <c r="C1927" s="3" t="s">
        <v>262</v>
      </c>
      <c r="D1927" s="3" t="s">
        <v>444</v>
      </c>
      <c r="E1927" s="11" t="s">
        <v>144</v>
      </c>
      <c r="F1927" s="3" t="s">
        <v>8</v>
      </c>
      <c r="G1927" s="48" t="s">
        <v>976</v>
      </c>
      <c r="H1927" s="8" t="s">
        <v>503</v>
      </c>
      <c r="I1927" s="8" t="s">
        <v>640</v>
      </c>
      <c r="J1927" s="6" t="s">
        <v>110</v>
      </c>
      <c r="K1927" s="38">
        <v>0</v>
      </c>
      <c r="L1927" s="4" t="s">
        <v>264</v>
      </c>
      <c r="M1927" s="11">
        <f>_xlfn.NUMBERVALUE(LEFT(Table613[[#This Row],[Fiscal Year]], 4))</f>
        <v>2001</v>
      </c>
      <c r="N1927" s="42">
        <f t="shared" ref="N1927:N1958" si="42">K1927*(1+VLOOKUP(M1927,$AF$8:$AH$31,3,0))</f>
        <v>0</v>
      </c>
      <c r="O1927" s="3">
        <v>1925</v>
      </c>
    </row>
    <row r="1928" spans="1:15" x14ac:dyDescent="0.25">
      <c r="A1928" s="3">
        <v>8</v>
      </c>
      <c r="B1928" s="3" t="s">
        <v>276</v>
      </c>
      <c r="C1928" s="3" t="s">
        <v>262</v>
      </c>
      <c r="D1928" s="3" t="s">
        <v>444</v>
      </c>
      <c r="E1928" s="11" t="s">
        <v>144</v>
      </c>
      <c r="F1928" s="3" t="s">
        <v>8</v>
      </c>
      <c r="G1928" s="66" t="s">
        <v>977</v>
      </c>
      <c r="H1928" s="8" t="s">
        <v>504</v>
      </c>
      <c r="I1928" s="8"/>
      <c r="J1928" s="6" t="s">
        <v>108</v>
      </c>
      <c r="K1928" s="38">
        <v>0</v>
      </c>
      <c r="L1928" s="4" t="s">
        <v>264</v>
      </c>
      <c r="M1928" s="11">
        <f>_xlfn.NUMBERVALUE(LEFT(Table613[[#This Row],[Fiscal Year]], 4))</f>
        <v>2001</v>
      </c>
      <c r="N1928" s="42">
        <f t="shared" si="42"/>
        <v>0</v>
      </c>
      <c r="O1928" s="3">
        <v>1926</v>
      </c>
    </row>
    <row r="1929" spans="1:15" x14ac:dyDescent="0.25">
      <c r="A1929" s="3">
        <v>8</v>
      </c>
      <c r="B1929" s="3" t="s">
        <v>276</v>
      </c>
      <c r="C1929" s="3" t="s">
        <v>262</v>
      </c>
      <c r="D1929" s="3" t="s">
        <v>444</v>
      </c>
      <c r="E1929" s="11" t="s">
        <v>144</v>
      </c>
      <c r="F1929" s="3" t="s">
        <v>8</v>
      </c>
      <c r="G1929" s="66" t="s">
        <v>978</v>
      </c>
      <c r="H1929" s="8" t="s">
        <v>602</v>
      </c>
      <c r="I1929" s="8"/>
      <c r="J1929" s="6" t="s">
        <v>108</v>
      </c>
      <c r="K1929" s="38">
        <v>0</v>
      </c>
      <c r="L1929" s="4" t="s">
        <v>264</v>
      </c>
      <c r="M1929" s="11">
        <f>_xlfn.NUMBERVALUE(LEFT(Table613[[#This Row],[Fiscal Year]], 4))</f>
        <v>2001</v>
      </c>
      <c r="N1929" s="42">
        <f t="shared" si="42"/>
        <v>0</v>
      </c>
      <c r="O1929" s="3">
        <v>1927</v>
      </c>
    </row>
    <row r="1930" spans="1:15" x14ac:dyDescent="0.25">
      <c r="A1930" s="3">
        <v>8</v>
      </c>
      <c r="B1930" s="3" t="s">
        <v>276</v>
      </c>
      <c r="C1930" s="3" t="s">
        <v>262</v>
      </c>
      <c r="D1930" s="3" t="s">
        <v>444</v>
      </c>
      <c r="E1930" s="11" t="s">
        <v>144</v>
      </c>
      <c r="F1930" s="3" t="s">
        <v>8</v>
      </c>
      <c r="G1930" s="66" t="s">
        <v>979</v>
      </c>
      <c r="H1930" s="8" t="s">
        <v>504</v>
      </c>
      <c r="I1930" s="8"/>
      <c r="J1930" s="6" t="s">
        <v>108</v>
      </c>
      <c r="K1930" s="38">
        <v>1352412</v>
      </c>
      <c r="L1930" s="4" t="s">
        <v>264</v>
      </c>
      <c r="M1930" s="11">
        <f>_xlfn.NUMBERVALUE(LEFT(Table613[[#This Row],[Fiscal Year]], 4))</f>
        <v>2001</v>
      </c>
      <c r="N1930" s="42">
        <f>K1930*(1+VLOOKUP(M1930,$AF$8:$AH$31,3,0))</f>
        <v>1921562.8682778091</v>
      </c>
      <c r="O1930" s="3">
        <v>1928</v>
      </c>
    </row>
    <row r="1931" spans="1:15" x14ac:dyDescent="0.25">
      <c r="A1931" s="3">
        <v>8</v>
      </c>
      <c r="B1931" s="3" t="s">
        <v>276</v>
      </c>
      <c r="C1931" s="3" t="s">
        <v>262</v>
      </c>
      <c r="D1931" s="3" t="s">
        <v>444</v>
      </c>
      <c r="E1931" s="11" t="s">
        <v>144</v>
      </c>
      <c r="F1931" s="3" t="s">
        <v>8</v>
      </c>
      <c r="G1931" s="66" t="s">
        <v>980</v>
      </c>
      <c r="H1931" s="8" t="s">
        <v>504</v>
      </c>
      <c r="I1931" s="8"/>
      <c r="J1931" s="6" t="s">
        <v>108</v>
      </c>
      <c r="K1931" s="38">
        <v>0</v>
      </c>
      <c r="L1931" s="4" t="s">
        <v>264</v>
      </c>
      <c r="M1931" s="11">
        <f>_xlfn.NUMBERVALUE(LEFT(Table613[[#This Row],[Fiscal Year]], 4))</f>
        <v>2001</v>
      </c>
      <c r="N1931" s="42">
        <f t="shared" si="42"/>
        <v>0</v>
      </c>
      <c r="O1931" s="3">
        <v>1929</v>
      </c>
    </row>
    <row r="1932" spans="1:15" x14ac:dyDescent="0.25">
      <c r="A1932" s="3">
        <v>8</v>
      </c>
      <c r="B1932" s="3" t="s">
        <v>276</v>
      </c>
      <c r="C1932" s="3" t="s">
        <v>262</v>
      </c>
      <c r="D1932" s="3" t="s">
        <v>444</v>
      </c>
      <c r="E1932" s="11" t="s">
        <v>144</v>
      </c>
      <c r="F1932" s="3" t="s">
        <v>8</v>
      </c>
      <c r="G1932" s="48" t="s">
        <v>981</v>
      </c>
      <c r="H1932" s="8" t="s">
        <v>504</v>
      </c>
      <c r="I1932" s="8"/>
      <c r="J1932" s="6" t="s">
        <v>108</v>
      </c>
      <c r="K1932" s="38">
        <v>0</v>
      </c>
      <c r="L1932" s="4" t="s">
        <v>264</v>
      </c>
      <c r="M1932" s="11">
        <f>_xlfn.NUMBERVALUE(LEFT(Table613[[#This Row],[Fiscal Year]], 4))</f>
        <v>2001</v>
      </c>
      <c r="N1932" s="42">
        <f t="shared" si="42"/>
        <v>0</v>
      </c>
      <c r="O1932" s="3">
        <v>1930</v>
      </c>
    </row>
    <row r="1933" spans="1:15" x14ac:dyDescent="0.25">
      <c r="A1933" s="3">
        <v>8</v>
      </c>
      <c r="B1933" s="3" t="s">
        <v>276</v>
      </c>
      <c r="C1933" s="3" t="s">
        <v>262</v>
      </c>
      <c r="D1933" s="3" t="s">
        <v>444</v>
      </c>
      <c r="E1933" s="11" t="s">
        <v>144</v>
      </c>
      <c r="F1933" s="3" t="s">
        <v>8</v>
      </c>
      <c r="G1933" s="66" t="s">
        <v>982</v>
      </c>
      <c r="H1933" s="8" t="s">
        <v>593</v>
      </c>
      <c r="I1933" s="8" t="s">
        <v>594</v>
      </c>
      <c r="J1933" s="6" t="s">
        <v>108</v>
      </c>
      <c r="K1933" s="38">
        <v>6000</v>
      </c>
      <c r="L1933" s="4" t="s">
        <v>264</v>
      </c>
      <c r="M1933" s="11">
        <f>_xlfn.NUMBERVALUE(LEFT(Table613[[#This Row],[Fiscal Year]], 4))</f>
        <v>2001</v>
      </c>
      <c r="N1933" s="42">
        <f>K1933*(1+VLOOKUP(M1933,$AF$8:$AH$31,3,0))</f>
        <v>8525.047995482777</v>
      </c>
      <c r="O1933" s="3">
        <v>1931</v>
      </c>
    </row>
    <row r="1934" spans="1:15" x14ac:dyDescent="0.25">
      <c r="A1934" s="3">
        <v>8</v>
      </c>
      <c r="B1934" s="3" t="s">
        <v>276</v>
      </c>
      <c r="C1934" s="3" t="s">
        <v>262</v>
      </c>
      <c r="D1934" s="3" t="s">
        <v>444</v>
      </c>
      <c r="E1934" s="11" t="s">
        <v>144</v>
      </c>
      <c r="F1934" s="3" t="s">
        <v>8</v>
      </c>
      <c r="G1934" s="66" t="s">
        <v>983</v>
      </c>
      <c r="H1934" s="8" t="s">
        <v>504</v>
      </c>
      <c r="I1934" s="8"/>
      <c r="J1934" s="6" t="s">
        <v>108</v>
      </c>
      <c r="K1934" s="38">
        <v>0</v>
      </c>
      <c r="L1934" s="4" t="s">
        <v>264</v>
      </c>
      <c r="M1934" s="11">
        <f>_xlfn.NUMBERVALUE(LEFT(Table613[[#This Row],[Fiscal Year]], 4))</f>
        <v>2001</v>
      </c>
      <c r="N1934" s="42">
        <f t="shared" si="42"/>
        <v>0</v>
      </c>
      <c r="O1934" s="3">
        <v>1932</v>
      </c>
    </row>
    <row r="1935" spans="1:15" x14ac:dyDescent="0.25">
      <c r="A1935" s="3">
        <v>8</v>
      </c>
      <c r="B1935" s="3" t="s">
        <v>276</v>
      </c>
      <c r="C1935" s="3" t="s">
        <v>262</v>
      </c>
      <c r="D1935" s="3" t="s">
        <v>444</v>
      </c>
      <c r="E1935" s="11" t="s">
        <v>144</v>
      </c>
      <c r="F1935" s="3" t="s">
        <v>8</v>
      </c>
      <c r="G1935" s="66" t="s">
        <v>984</v>
      </c>
      <c r="H1935" s="8" t="s">
        <v>504</v>
      </c>
      <c r="I1935" s="8"/>
      <c r="J1935" s="6" t="s">
        <v>108</v>
      </c>
      <c r="K1935" s="38">
        <v>0</v>
      </c>
      <c r="L1935" s="4" t="s">
        <v>264</v>
      </c>
      <c r="M1935" s="11">
        <f>_xlfn.NUMBERVALUE(LEFT(Table613[[#This Row],[Fiscal Year]], 4))</f>
        <v>2001</v>
      </c>
      <c r="N1935" s="42">
        <f t="shared" si="42"/>
        <v>0</v>
      </c>
      <c r="O1935" s="3">
        <v>1933</v>
      </c>
    </row>
    <row r="1936" spans="1:15" x14ac:dyDescent="0.25">
      <c r="A1936" s="3">
        <v>8</v>
      </c>
      <c r="B1936" s="3" t="s">
        <v>276</v>
      </c>
      <c r="C1936" s="3" t="s">
        <v>262</v>
      </c>
      <c r="D1936" s="3" t="s">
        <v>444</v>
      </c>
      <c r="E1936" s="11" t="s">
        <v>144</v>
      </c>
      <c r="F1936" s="3" t="s">
        <v>8</v>
      </c>
      <c r="G1936" s="66" t="s">
        <v>985</v>
      </c>
      <c r="H1936" s="8" t="s">
        <v>505</v>
      </c>
      <c r="I1936" s="8"/>
      <c r="J1936" s="6" t="s">
        <v>42</v>
      </c>
      <c r="K1936" s="38">
        <v>0</v>
      </c>
      <c r="L1936" s="4" t="s">
        <v>264</v>
      </c>
      <c r="M1936" s="11">
        <f>_xlfn.NUMBERVALUE(LEFT(Table613[[#This Row],[Fiscal Year]], 4))</f>
        <v>2001</v>
      </c>
      <c r="N1936" s="42">
        <f t="shared" si="42"/>
        <v>0</v>
      </c>
      <c r="O1936" s="3">
        <v>1934</v>
      </c>
    </row>
    <row r="1937" spans="1:15" x14ac:dyDescent="0.25">
      <c r="A1937" s="3">
        <v>8</v>
      </c>
      <c r="B1937" s="3" t="s">
        <v>276</v>
      </c>
      <c r="C1937" s="3" t="s">
        <v>262</v>
      </c>
      <c r="D1937" s="3" t="s">
        <v>444</v>
      </c>
      <c r="E1937" s="11" t="s">
        <v>144</v>
      </c>
      <c r="F1937" s="3" t="s">
        <v>8</v>
      </c>
      <c r="G1937" s="66" t="s">
        <v>986</v>
      </c>
      <c r="H1937" s="8" t="s">
        <v>599</v>
      </c>
      <c r="I1937" s="8"/>
      <c r="J1937" s="6" t="s">
        <v>42</v>
      </c>
      <c r="K1937" s="38">
        <v>0</v>
      </c>
      <c r="L1937" s="4" t="s">
        <v>264</v>
      </c>
      <c r="M1937" s="11">
        <f>_xlfn.NUMBERVALUE(LEFT(Table613[[#This Row],[Fiscal Year]], 4))</f>
        <v>2001</v>
      </c>
      <c r="N1937" s="42">
        <f t="shared" si="42"/>
        <v>0</v>
      </c>
      <c r="O1937" s="3">
        <v>1935</v>
      </c>
    </row>
    <row r="1938" spans="1:15" x14ac:dyDescent="0.25">
      <c r="A1938" s="3">
        <v>8</v>
      </c>
      <c r="B1938" s="3" t="s">
        <v>276</v>
      </c>
      <c r="C1938" s="3" t="s">
        <v>262</v>
      </c>
      <c r="D1938" s="3" t="s">
        <v>444</v>
      </c>
      <c r="E1938" s="11" t="s">
        <v>144</v>
      </c>
      <c r="F1938" s="3" t="s">
        <v>8</v>
      </c>
      <c r="G1938" s="66" t="s">
        <v>987</v>
      </c>
      <c r="H1938" s="8"/>
      <c r="I1938" s="8"/>
      <c r="J1938" s="6" t="s">
        <v>111</v>
      </c>
      <c r="K1938" s="38">
        <v>0</v>
      </c>
      <c r="L1938" s="4" t="s">
        <v>264</v>
      </c>
      <c r="M1938" s="11">
        <f>_xlfn.NUMBERVALUE(LEFT(Table613[[#This Row],[Fiscal Year]], 4))</f>
        <v>2001</v>
      </c>
      <c r="N1938" s="42">
        <f t="shared" si="42"/>
        <v>0</v>
      </c>
      <c r="O1938" s="3">
        <v>1936</v>
      </c>
    </row>
    <row r="1939" spans="1:15" x14ac:dyDescent="0.25">
      <c r="A1939" s="3">
        <v>8</v>
      </c>
      <c r="B1939" s="3" t="s">
        <v>276</v>
      </c>
      <c r="C1939" s="3" t="s">
        <v>262</v>
      </c>
      <c r="D1939" s="3" t="s">
        <v>444</v>
      </c>
      <c r="E1939" s="11" t="s">
        <v>144</v>
      </c>
      <c r="F1939" s="3" t="s">
        <v>8</v>
      </c>
      <c r="G1939" s="66" t="s">
        <v>988</v>
      </c>
      <c r="H1939" s="8"/>
      <c r="I1939" s="8"/>
      <c r="J1939" s="6" t="s">
        <v>107</v>
      </c>
      <c r="K1939" s="38">
        <v>0</v>
      </c>
      <c r="L1939" s="4" t="s">
        <v>264</v>
      </c>
      <c r="M1939" s="11">
        <f>_xlfn.NUMBERVALUE(LEFT(Table613[[#This Row],[Fiscal Year]], 4))</f>
        <v>2001</v>
      </c>
      <c r="N1939" s="42">
        <f t="shared" si="42"/>
        <v>0</v>
      </c>
      <c r="O1939" s="3">
        <v>1937</v>
      </c>
    </row>
    <row r="1940" spans="1:15" x14ac:dyDescent="0.25">
      <c r="A1940" s="3">
        <v>8</v>
      </c>
      <c r="B1940" s="3" t="s">
        <v>276</v>
      </c>
      <c r="C1940" s="3" t="s">
        <v>262</v>
      </c>
      <c r="D1940" s="3" t="s">
        <v>444</v>
      </c>
      <c r="E1940" s="11" t="s">
        <v>144</v>
      </c>
      <c r="F1940" s="3" t="s">
        <v>8</v>
      </c>
      <c r="G1940" s="66" t="s">
        <v>989</v>
      </c>
      <c r="H1940" s="8" t="s">
        <v>597</v>
      </c>
      <c r="I1940" s="8" t="s">
        <v>594</v>
      </c>
      <c r="J1940" s="6" t="s">
        <v>108</v>
      </c>
      <c r="K1940" s="38">
        <v>0</v>
      </c>
      <c r="L1940" s="4" t="s">
        <v>264</v>
      </c>
      <c r="M1940" s="11">
        <f>_xlfn.NUMBERVALUE(LEFT(Table613[[#This Row],[Fiscal Year]], 4))</f>
        <v>2001</v>
      </c>
      <c r="N1940" s="42">
        <f t="shared" si="42"/>
        <v>0</v>
      </c>
      <c r="O1940" s="3">
        <v>1938</v>
      </c>
    </row>
    <row r="1941" spans="1:15" x14ac:dyDescent="0.25">
      <c r="A1941" s="3">
        <v>8</v>
      </c>
      <c r="B1941" s="3" t="s">
        <v>276</v>
      </c>
      <c r="C1941" s="3" t="s">
        <v>262</v>
      </c>
      <c r="D1941" s="3" t="s">
        <v>444</v>
      </c>
      <c r="E1941" s="11" t="s">
        <v>144</v>
      </c>
      <c r="F1941" s="3" t="s">
        <v>8</v>
      </c>
      <c r="G1941" s="66" t="s">
        <v>990</v>
      </c>
      <c r="H1941" s="8" t="s">
        <v>506</v>
      </c>
      <c r="I1941" s="8"/>
      <c r="J1941" s="6" t="s">
        <v>106</v>
      </c>
      <c r="K1941" s="38">
        <v>0</v>
      </c>
      <c r="L1941" s="4" t="s">
        <v>264</v>
      </c>
      <c r="M1941" s="11">
        <f>_xlfn.NUMBERVALUE(LEFT(Table613[[#This Row],[Fiscal Year]], 4))</f>
        <v>2001</v>
      </c>
      <c r="N1941" s="42">
        <f t="shared" si="42"/>
        <v>0</v>
      </c>
      <c r="O1941" s="3">
        <v>1939</v>
      </c>
    </row>
    <row r="1942" spans="1:15" x14ac:dyDescent="0.25">
      <c r="A1942" s="3">
        <v>8</v>
      </c>
      <c r="B1942" s="3" t="s">
        <v>276</v>
      </c>
      <c r="C1942" s="3" t="s">
        <v>262</v>
      </c>
      <c r="D1942" s="3" t="s">
        <v>444</v>
      </c>
      <c r="E1942" s="11" t="s">
        <v>144</v>
      </c>
      <c r="F1942" s="3" t="s">
        <v>8</v>
      </c>
      <c r="G1942" s="66" t="s">
        <v>1004</v>
      </c>
      <c r="H1942" s="8"/>
      <c r="I1942" s="8"/>
      <c r="J1942" s="6" t="s">
        <v>76</v>
      </c>
      <c r="K1942" s="38">
        <v>250000</v>
      </c>
      <c r="L1942" s="4" t="s">
        <v>264</v>
      </c>
      <c r="M1942" s="11">
        <f>_xlfn.NUMBERVALUE(LEFT(Table613[[#This Row],[Fiscal Year]], 4))</f>
        <v>2001</v>
      </c>
      <c r="N1942" s="42">
        <f>K1942*(1+VLOOKUP(M1942,$AF$8:$AH$31,3,0))</f>
        <v>355210.33314511576</v>
      </c>
      <c r="O1942" s="3">
        <v>1940</v>
      </c>
    </row>
    <row r="1943" spans="1:15" x14ac:dyDescent="0.25">
      <c r="A1943" s="3">
        <v>8</v>
      </c>
      <c r="B1943" s="3" t="s">
        <v>276</v>
      </c>
      <c r="C1943" s="3" t="s">
        <v>262</v>
      </c>
      <c r="D1943" s="3" t="s">
        <v>444</v>
      </c>
      <c r="E1943" s="11" t="s">
        <v>144</v>
      </c>
      <c r="F1943" s="3" t="s">
        <v>8</v>
      </c>
      <c r="G1943" s="48" t="s">
        <v>991</v>
      </c>
      <c r="H1943" s="8" t="s">
        <v>503</v>
      </c>
      <c r="I1943" s="8"/>
      <c r="J1943" s="6" t="s">
        <v>110</v>
      </c>
      <c r="K1943" s="38">
        <v>0</v>
      </c>
      <c r="L1943" s="4" t="s">
        <v>264</v>
      </c>
      <c r="M1943" s="11">
        <f>_xlfn.NUMBERVALUE(LEFT(Table613[[#This Row],[Fiscal Year]], 4))</f>
        <v>2001</v>
      </c>
      <c r="N1943" s="42">
        <f t="shared" si="42"/>
        <v>0</v>
      </c>
      <c r="O1943" s="3">
        <v>1941</v>
      </c>
    </row>
    <row r="1944" spans="1:15" x14ac:dyDescent="0.25">
      <c r="A1944" s="3">
        <v>8</v>
      </c>
      <c r="B1944" s="3" t="s">
        <v>276</v>
      </c>
      <c r="C1944" s="3" t="s">
        <v>262</v>
      </c>
      <c r="D1944" s="3" t="s">
        <v>444</v>
      </c>
      <c r="E1944" s="11" t="s">
        <v>144</v>
      </c>
      <c r="F1944" s="3" t="s">
        <v>8</v>
      </c>
      <c r="G1944" s="66" t="s">
        <v>992</v>
      </c>
      <c r="H1944" s="8" t="s">
        <v>504</v>
      </c>
      <c r="I1944" s="8"/>
      <c r="J1944" s="6" t="s">
        <v>108</v>
      </c>
      <c r="K1944" s="38">
        <v>88625</v>
      </c>
      <c r="L1944" s="4" t="s">
        <v>264</v>
      </c>
      <c r="M1944" s="11">
        <f>_xlfn.NUMBERVALUE(LEFT(Table613[[#This Row],[Fiscal Year]], 4))</f>
        <v>2001</v>
      </c>
      <c r="N1944" s="42">
        <f>K1944*(1+VLOOKUP(M1944,$AF$8:$AH$31,3,0))</f>
        <v>125922.06309994352</v>
      </c>
      <c r="O1944" s="3">
        <v>1942</v>
      </c>
    </row>
    <row r="1945" spans="1:15" x14ac:dyDescent="0.25">
      <c r="A1945" s="3">
        <v>8</v>
      </c>
      <c r="B1945" s="3" t="s">
        <v>276</v>
      </c>
      <c r="C1945" s="3" t="s">
        <v>262</v>
      </c>
      <c r="D1945" s="3" t="s">
        <v>444</v>
      </c>
      <c r="E1945" s="11" t="s">
        <v>144</v>
      </c>
      <c r="F1945" s="3" t="s">
        <v>8</v>
      </c>
      <c r="G1945" s="66" t="s">
        <v>993</v>
      </c>
      <c r="H1945" s="8" t="s">
        <v>602</v>
      </c>
      <c r="I1945" s="8"/>
      <c r="J1945" s="6" t="s">
        <v>108</v>
      </c>
      <c r="K1945" s="38">
        <v>0</v>
      </c>
      <c r="L1945" s="4" t="s">
        <v>264</v>
      </c>
      <c r="M1945" s="11">
        <f>_xlfn.NUMBERVALUE(LEFT(Table613[[#This Row],[Fiscal Year]], 4))</f>
        <v>2001</v>
      </c>
      <c r="N1945" s="42">
        <f t="shared" si="42"/>
        <v>0</v>
      </c>
      <c r="O1945" s="3">
        <v>1943</v>
      </c>
    </row>
    <row r="1946" spans="1:15" x14ac:dyDescent="0.25">
      <c r="A1946" s="3">
        <v>8</v>
      </c>
      <c r="B1946" s="3" t="s">
        <v>276</v>
      </c>
      <c r="C1946" s="3" t="s">
        <v>262</v>
      </c>
      <c r="D1946" s="3" t="s">
        <v>444</v>
      </c>
      <c r="E1946" s="11" t="s">
        <v>144</v>
      </c>
      <c r="F1946" s="3" t="s">
        <v>8</v>
      </c>
      <c r="G1946" s="66" t="s">
        <v>994</v>
      </c>
      <c r="H1946" s="8" t="s">
        <v>504</v>
      </c>
      <c r="I1946" s="8"/>
      <c r="J1946" s="6" t="s">
        <v>108</v>
      </c>
      <c r="K1946" s="38">
        <v>12000</v>
      </c>
      <c r="L1946" s="4" t="s">
        <v>264</v>
      </c>
      <c r="M1946" s="11">
        <f>_xlfn.NUMBERVALUE(LEFT(Table613[[#This Row],[Fiscal Year]], 4))</f>
        <v>2001</v>
      </c>
      <c r="N1946" s="42">
        <f t="shared" si="42"/>
        <v>17050.095990965554</v>
      </c>
      <c r="O1946" s="3">
        <v>1944</v>
      </c>
    </row>
    <row r="1947" spans="1:15" x14ac:dyDescent="0.25">
      <c r="A1947" s="3">
        <v>8</v>
      </c>
      <c r="B1947" s="3" t="s">
        <v>276</v>
      </c>
      <c r="C1947" s="3" t="s">
        <v>262</v>
      </c>
      <c r="D1947" s="3" t="s">
        <v>444</v>
      </c>
      <c r="E1947" s="11" t="s">
        <v>144</v>
      </c>
      <c r="F1947" s="3" t="s">
        <v>8</v>
      </c>
      <c r="G1947" s="66" t="s">
        <v>995</v>
      </c>
      <c r="H1947" s="8" t="s">
        <v>504</v>
      </c>
      <c r="I1947" s="8"/>
      <c r="J1947" s="6" t="s">
        <v>108</v>
      </c>
      <c r="K1947" s="38">
        <v>600</v>
      </c>
      <c r="L1947" s="4" t="s">
        <v>264</v>
      </c>
      <c r="M1947" s="11">
        <f>_xlfn.NUMBERVALUE(LEFT(Table613[[#This Row],[Fiscal Year]], 4))</f>
        <v>2001</v>
      </c>
      <c r="N1947" s="42">
        <f t="shared" si="42"/>
        <v>852.50479954827779</v>
      </c>
      <c r="O1947" s="3">
        <v>1945</v>
      </c>
    </row>
    <row r="1948" spans="1:15" x14ac:dyDescent="0.25">
      <c r="A1948" s="3">
        <v>8</v>
      </c>
      <c r="B1948" s="3" t="s">
        <v>276</v>
      </c>
      <c r="C1948" s="3" t="s">
        <v>262</v>
      </c>
      <c r="D1948" s="3" t="s">
        <v>444</v>
      </c>
      <c r="E1948" s="11" t="s">
        <v>144</v>
      </c>
      <c r="F1948" s="3" t="s">
        <v>8</v>
      </c>
      <c r="G1948" s="48" t="s">
        <v>996</v>
      </c>
      <c r="H1948" s="8" t="s">
        <v>504</v>
      </c>
      <c r="I1948" s="8"/>
      <c r="J1948" s="6" t="s">
        <v>108</v>
      </c>
      <c r="K1948" s="38">
        <v>57000</v>
      </c>
      <c r="L1948" s="4" t="s">
        <v>264</v>
      </c>
      <c r="M1948" s="11">
        <f>_xlfn.NUMBERVALUE(LEFT(Table613[[#This Row],[Fiscal Year]], 4))</f>
        <v>2001</v>
      </c>
      <c r="N1948" s="42">
        <f t="shared" si="42"/>
        <v>80987.955957086393</v>
      </c>
      <c r="O1948" s="3">
        <v>1946</v>
      </c>
    </row>
    <row r="1949" spans="1:15" x14ac:dyDescent="0.25">
      <c r="A1949" s="3">
        <v>8</v>
      </c>
      <c r="B1949" s="3" t="s">
        <v>276</v>
      </c>
      <c r="C1949" s="3" t="s">
        <v>262</v>
      </c>
      <c r="D1949" s="3" t="s">
        <v>444</v>
      </c>
      <c r="E1949" s="11" t="s">
        <v>144</v>
      </c>
      <c r="F1949" s="3" t="s">
        <v>8</v>
      </c>
      <c r="G1949" s="66" t="s">
        <v>997</v>
      </c>
      <c r="H1949" s="8" t="s">
        <v>593</v>
      </c>
      <c r="I1949" s="8" t="s">
        <v>594</v>
      </c>
      <c r="J1949" s="6" t="s">
        <v>108</v>
      </c>
      <c r="K1949" s="38">
        <v>0</v>
      </c>
      <c r="L1949" s="4" t="s">
        <v>264</v>
      </c>
      <c r="M1949" s="11">
        <f>_xlfn.NUMBERVALUE(LEFT(Table613[[#This Row],[Fiscal Year]], 4))</f>
        <v>2001</v>
      </c>
      <c r="N1949" s="42">
        <f t="shared" si="42"/>
        <v>0</v>
      </c>
      <c r="O1949" s="3">
        <v>1947</v>
      </c>
    </row>
    <row r="1950" spans="1:15" x14ac:dyDescent="0.25">
      <c r="A1950" s="3">
        <v>8</v>
      </c>
      <c r="B1950" s="3" t="s">
        <v>276</v>
      </c>
      <c r="C1950" s="3" t="s">
        <v>262</v>
      </c>
      <c r="D1950" s="3" t="s">
        <v>444</v>
      </c>
      <c r="E1950" s="11" t="s">
        <v>144</v>
      </c>
      <c r="F1950" s="3" t="s">
        <v>8</v>
      </c>
      <c r="G1950" s="66" t="s">
        <v>998</v>
      </c>
      <c r="H1950" s="8" t="s">
        <v>504</v>
      </c>
      <c r="I1950" s="8"/>
      <c r="J1950" s="6" t="s">
        <v>108</v>
      </c>
      <c r="K1950" s="38">
        <v>0</v>
      </c>
      <c r="L1950" s="4" t="s">
        <v>264</v>
      </c>
      <c r="M1950" s="11">
        <f>_xlfn.NUMBERVALUE(LEFT(Table613[[#This Row],[Fiscal Year]], 4))</f>
        <v>2001</v>
      </c>
      <c r="N1950" s="42">
        <f t="shared" si="42"/>
        <v>0</v>
      </c>
      <c r="O1950" s="3">
        <v>1948</v>
      </c>
    </row>
    <row r="1951" spans="1:15" x14ac:dyDescent="0.25">
      <c r="A1951" s="3">
        <v>8</v>
      </c>
      <c r="B1951" s="3" t="s">
        <v>276</v>
      </c>
      <c r="C1951" s="3" t="s">
        <v>262</v>
      </c>
      <c r="D1951" s="3" t="s">
        <v>444</v>
      </c>
      <c r="E1951" s="11" t="s">
        <v>144</v>
      </c>
      <c r="F1951" s="3" t="s">
        <v>8</v>
      </c>
      <c r="G1951" s="66" t="s">
        <v>999</v>
      </c>
      <c r="H1951" s="8" t="s">
        <v>504</v>
      </c>
      <c r="I1951" s="8"/>
      <c r="J1951" s="6" t="s">
        <v>108</v>
      </c>
      <c r="K1951" s="38">
        <v>18650</v>
      </c>
      <c r="L1951" s="4" t="s">
        <v>264</v>
      </c>
      <c r="M1951" s="11">
        <f>_xlfn.NUMBERVALUE(LEFT(Table613[[#This Row],[Fiscal Year]], 4))</f>
        <v>2001</v>
      </c>
      <c r="N1951" s="42">
        <f t="shared" si="42"/>
        <v>26498.690852625634</v>
      </c>
      <c r="O1951" s="3">
        <v>1949</v>
      </c>
    </row>
    <row r="1952" spans="1:15" x14ac:dyDescent="0.25">
      <c r="A1952" s="3">
        <v>8</v>
      </c>
      <c r="B1952" s="3" t="s">
        <v>276</v>
      </c>
      <c r="C1952" s="3" t="s">
        <v>262</v>
      </c>
      <c r="D1952" s="3" t="s">
        <v>444</v>
      </c>
      <c r="E1952" s="11" t="s">
        <v>144</v>
      </c>
      <c r="F1952" s="3" t="s">
        <v>8</v>
      </c>
      <c r="G1952" s="66" t="s">
        <v>1000</v>
      </c>
      <c r="H1952" s="8" t="s">
        <v>505</v>
      </c>
      <c r="I1952" s="8"/>
      <c r="J1952" s="6" t="s">
        <v>42</v>
      </c>
      <c r="K1952" s="38">
        <v>1000</v>
      </c>
      <c r="L1952" s="4" t="s">
        <v>264</v>
      </c>
      <c r="M1952" s="11">
        <f>_xlfn.NUMBERVALUE(LEFT(Table613[[#This Row],[Fiscal Year]], 4))</f>
        <v>2001</v>
      </c>
      <c r="N1952" s="42">
        <f t="shared" si="42"/>
        <v>1420.8413325804629</v>
      </c>
      <c r="O1952" s="3">
        <v>1950</v>
      </c>
    </row>
    <row r="1953" spans="1:15" x14ac:dyDescent="0.25">
      <c r="A1953" s="3">
        <v>8</v>
      </c>
      <c r="B1953" s="3" t="s">
        <v>276</v>
      </c>
      <c r="C1953" s="3" t="s">
        <v>262</v>
      </c>
      <c r="D1953" s="3" t="s">
        <v>444</v>
      </c>
      <c r="E1953" s="11" t="s">
        <v>144</v>
      </c>
      <c r="F1953" s="3" t="s">
        <v>8</v>
      </c>
      <c r="G1953" s="66" t="s">
        <v>1001</v>
      </c>
      <c r="H1953" s="8" t="s">
        <v>599</v>
      </c>
      <c r="I1953" s="8"/>
      <c r="J1953" s="6" t="s">
        <v>42</v>
      </c>
      <c r="K1953" s="38">
        <v>1000</v>
      </c>
      <c r="L1953" s="4" t="s">
        <v>264</v>
      </c>
      <c r="M1953" s="11">
        <f>_xlfn.NUMBERVALUE(LEFT(Table613[[#This Row],[Fiscal Year]], 4))</f>
        <v>2001</v>
      </c>
      <c r="N1953" s="42">
        <f t="shared" si="42"/>
        <v>1420.8413325804629</v>
      </c>
      <c r="O1953" s="3">
        <v>1951</v>
      </c>
    </row>
    <row r="1954" spans="1:15" x14ac:dyDescent="0.25">
      <c r="A1954" s="3">
        <v>8</v>
      </c>
      <c r="B1954" s="3" t="s">
        <v>276</v>
      </c>
      <c r="C1954" s="3" t="s">
        <v>262</v>
      </c>
      <c r="D1954" s="3" t="s">
        <v>444</v>
      </c>
      <c r="E1954" s="11" t="s">
        <v>144</v>
      </c>
      <c r="F1954" s="3" t="s">
        <v>8</v>
      </c>
      <c r="G1954" s="66" t="s">
        <v>1005</v>
      </c>
      <c r="H1954" s="8"/>
      <c r="I1954" s="8"/>
      <c r="J1954" s="6" t="s">
        <v>111</v>
      </c>
      <c r="K1954" s="38">
        <v>0</v>
      </c>
      <c r="L1954" s="4" t="s">
        <v>264</v>
      </c>
      <c r="M1954" s="11">
        <f>_xlfn.NUMBERVALUE(LEFT(Table613[[#This Row],[Fiscal Year]], 4))</f>
        <v>2001</v>
      </c>
      <c r="N1954" s="42">
        <f t="shared" si="42"/>
        <v>0</v>
      </c>
      <c r="O1954" s="3">
        <v>1952</v>
      </c>
    </row>
    <row r="1955" spans="1:15" x14ac:dyDescent="0.25">
      <c r="A1955" s="3">
        <v>8</v>
      </c>
      <c r="B1955" s="3" t="s">
        <v>276</v>
      </c>
      <c r="C1955" s="3" t="s">
        <v>262</v>
      </c>
      <c r="D1955" s="3" t="s">
        <v>444</v>
      </c>
      <c r="E1955" s="11" t="s">
        <v>144</v>
      </c>
      <c r="F1955" s="3" t="s">
        <v>8</v>
      </c>
      <c r="G1955" s="66" t="s">
        <v>1006</v>
      </c>
      <c r="H1955" s="8"/>
      <c r="I1955" s="8"/>
      <c r="J1955" s="6" t="s">
        <v>107</v>
      </c>
      <c r="K1955" s="38">
        <v>0</v>
      </c>
      <c r="L1955" s="4" t="s">
        <v>264</v>
      </c>
      <c r="M1955" s="11">
        <f>_xlfn.NUMBERVALUE(LEFT(Table613[[#This Row],[Fiscal Year]], 4))</f>
        <v>2001</v>
      </c>
      <c r="N1955" s="42">
        <f t="shared" si="42"/>
        <v>0</v>
      </c>
      <c r="O1955" s="3">
        <v>1953</v>
      </c>
    </row>
    <row r="1956" spans="1:15" x14ac:dyDescent="0.25">
      <c r="A1956" s="3">
        <v>8</v>
      </c>
      <c r="B1956" s="3" t="s">
        <v>276</v>
      </c>
      <c r="C1956" s="3" t="s">
        <v>262</v>
      </c>
      <c r="D1956" s="3" t="s">
        <v>444</v>
      </c>
      <c r="E1956" s="11" t="s">
        <v>144</v>
      </c>
      <c r="F1956" s="3" t="s">
        <v>8</v>
      </c>
      <c r="G1956" s="66" t="s">
        <v>1002</v>
      </c>
      <c r="H1956" s="8" t="s">
        <v>597</v>
      </c>
      <c r="I1956" s="8" t="s">
        <v>594</v>
      </c>
      <c r="J1956" s="6" t="s">
        <v>108</v>
      </c>
      <c r="K1956" s="38">
        <v>0</v>
      </c>
      <c r="L1956" s="4" t="s">
        <v>264</v>
      </c>
      <c r="M1956" s="11">
        <f>_xlfn.NUMBERVALUE(LEFT(Table613[[#This Row],[Fiscal Year]], 4))</f>
        <v>2001</v>
      </c>
      <c r="N1956" s="42">
        <f t="shared" si="42"/>
        <v>0</v>
      </c>
      <c r="O1956" s="3">
        <v>1954</v>
      </c>
    </row>
    <row r="1957" spans="1:15" x14ac:dyDescent="0.25">
      <c r="A1957" s="3">
        <v>8</v>
      </c>
      <c r="B1957" s="3" t="s">
        <v>276</v>
      </c>
      <c r="C1957" s="3" t="s">
        <v>262</v>
      </c>
      <c r="D1957" s="3" t="s">
        <v>444</v>
      </c>
      <c r="E1957" s="11" t="s">
        <v>144</v>
      </c>
      <c r="F1957" s="3" t="s">
        <v>8</v>
      </c>
      <c r="G1957" s="66" t="s">
        <v>1003</v>
      </c>
      <c r="H1957" s="8" t="s">
        <v>506</v>
      </c>
      <c r="I1957" s="8"/>
      <c r="J1957" s="6" t="s">
        <v>106</v>
      </c>
      <c r="K1957" s="38">
        <v>0</v>
      </c>
      <c r="L1957" s="4" t="s">
        <v>264</v>
      </c>
      <c r="M1957" s="11">
        <f>_xlfn.NUMBERVALUE(LEFT(Table613[[#This Row],[Fiscal Year]], 4))</f>
        <v>2001</v>
      </c>
      <c r="N1957" s="42">
        <f t="shared" si="42"/>
        <v>0</v>
      </c>
      <c r="O1957" s="3">
        <v>1955</v>
      </c>
    </row>
    <row r="1958" spans="1:15" x14ac:dyDescent="0.25">
      <c r="A1958" s="3">
        <v>8</v>
      </c>
      <c r="B1958" s="3" t="s">
        <v>276</v>
      </c>
      <c r="C1958" s="3" t="s">
        <v>262</v>
      </c>
      <c r="D1958" s="3" t="s">
        <v>444</v>
      </c>
      <c r="E1958" s="11" t="s">
        <v>144</v>
      </c>
      <c r="F1958" s="3" t="s">
        <v>8</v>
      </c>
      <c r="G1958" s="66" t="s">
        <v>1007</v>
      </c>
      <c r="H1958" s="8"/>
      <c r="I1958" s="8"/>
      <c r="J1958" s="6" t="s">
        <v>76</v>
      </c>
      <c r="K1958" s="38">
        <v>0</v>
      </c>
      <c r="L1958" s="4" t="s">
        <v>264</v>
      </c>
      <c r="M1958" s="11">
        <f>_xlfn.NUMBERVALUE(LEFT(Table613[[#This Row],[Fiscal Year]], 4))</f>
        <v>2001</v>
      </c>
      <c r="N1958" s="42">
        <f t="shared" si="42"/>
        <v>0</v>
      </c>
      <c r="O1958" s="3">
        <v>1956</v>
      </c>
    </row>
    <row r="1959" spans="1:15" x14ac:dyDescent="0.25">
      <c r="E1959" s="11"/>
      <c r="G1959" s="66"/>
      <c r="H1959" s="8"/>
      <c r="I1959" s="8"/>
      <c r="J1959" s="6"/>
      <c r="L1959" s="4"/>
      <c r="O1959" s="3">
        <v>1957</v>
      </c>
    </row>
    <row r="1960" spans="1:15" x14ac:dyDescent="0.25">
      <c r="A1960" s="3">
        <v>8</v>
      </c>
      <c r="B1960" s="3" t="s">
        <v>277</v>
      </c>
      <c r="C1960" s="3" t="s">
        <v>262</v>
      </c>
      <c r="D1960" s="3" t="s">
        <v>444</v>
      </c>
      <c r="E1960" s="11" t="s">
        <v>144</v>
      </c>
      <c r="F1960" s="3" t="s">
        <v>8</v>
      </c>
      <c r="G1960" s="48" t="s">
        <v>976</v>
      </c>
      <c r="H1960" s="8" t="s">
        <v>503</v>
      </c>
      <c r="I1960" s="8" t="s">
        <v>640</v>
      </c>
      <c r="J1960" s="6" t="s">
        <v>110</v>
      </c>
      <c r="K1960" s="38">
        <v>0</v>
      </c>
      <c r="L1960" s="4" t="s">
        <v>264</v>
      </c>
      <c r="M1960" s="11">
        <f>_xlfn.NUMBERVALUE(LEFT(Table613[[#This Row],[Fiscal Year]], 4))</f>
        <v>2001</v>
      </c>
      <c r="N1960" s="42">
        <f t="shared" ref="N1960:N2023" si="43">K1960*(1+VLOOKUP(M1960,$AF$8:$AH$31,3,0))</f>
        <v>0</v>
      </c>
      <c r="O1960" s="3">
        <v>1958</v>
      </c>
    </row>
    <row r="1961" spans="1:15" x14ac:dyDescent="0.25">
      <c r="A1961" s="3">
        <v>8</v>
      </c>
      <c r="B1961" s="3" t="s">
        <v>277</v>
      </c>
      <c r="C1961" s="3" t="s">
        <v>262</v>
      </c>
      <c r="D1961" s="3" t="s">
        <v>444</v>
      </c>
      <c r="E1961" s="11" t="s">
        <v>144</v>
      </c>
      <c r="F1961" s="3" t="s">
        <v>8</v>
      </c>
      <c r="G1961" s="66" t="s">
        <v>977</v>
      </c>
      <c r="H1961" s="8" t="s">
        <v>504</v>
      </c>
      <c r="I1961" s="8"/>
      <c r="J1961" s="6" t="s">
        <v>108</v>
      </c>
      <c r="K1961" s="38">
        <v>0</v>
      </c>
      <c r="L1961" s="4" t="s">
        <v>264</v>
      </c>
      <c r="M1961" s="11">
        <f>_xlfn.NUMBERVALUE(LEFT(Table613[[#This Row],[Fiscal Year]], 4))</f>
        <v>2001</v>
      </c>
      <c r="N1961" s="42">
        <f t="shared" si="43"/>
        <v>0</v>
      </c>
      <c r="O1961" s="3">
        <v>1959</v>
      </c>
    </row>
    <row r="1962" spans="1:15" x14ac:dyDescent="0.25">
      <c r="A1962" s="3">
        <v>8</v>
      </c>
      <c r="B1962" s="3" t="s">
        <v>277</v>
      </c>
      <c r="C1962" s="3" t="s">
        <v>262</v>
      </c>
      <c r="D1962" s="3" t="s">
        <v>444</v>
      </c>
      <c r="E1962" s="11" t="s">
        <v>144</v>
      </c>
      <c r="F1962" s="3" t="s">
        <v>8</v>
      </c>
      <c r="G1962" s="66" t="s">
        <v>978</v>
      </c>
      <c r="H1962" s="8" t="s">
        <v>602</v>
      </c>
      <c r="I1962" s="8"/>
      <c r="J1962" s="6" t="s">
        <v>108</v>
      </c>
      <c r="K1962" s="38">
        <v>0</v>
      </c>
      <c r="L1962" s="4" t="s">
        <v>264</v>
      </c>
      <c r="M1962" s="11">
        <f>_xlfn.NUMBERVALUE(LEFT(Table613[[#This Row],[Fiscal Year]], 4))</f>
        <v>2001</v>
      </c>
      <c r="N1962" s="42">
        <f t="shared" si="43"/>
        <v>0</v>
      </c>
      <c r="O1962" s="3">
        <v>1960</v>
      </c>
    </row>
    <row r="1963" spans="1:15" x14ac:dyDescent="0.25">
      <c r="A1963" s="3">
        <v>8</v>
      </c>
      <c r="B1963" s="3" t="s">
        <v>277</v>
      </c>
      <c r="C1963" s="3" t="s">
        <v>262</v>
      </c>
      <c r="D1963" s="3" t="s">
        <v>444</v>
      </c>
      <c r="E1963" s="11" t="s">
        <v>144</v>
      </c>
      <c r="F1963" s="3" t="s">
        <v>8</v>
      </c>
      <c r="G1963" s="66" t="s">
        <v>979</v>
      </c>
      <c r="H1963" s="8" t="s">
        <v>504</v>
      </c>
      <c r="I1963" s="8"/>
      <c r="J1963" s="6" t="s">
        <v>108</v>
      </c>
      <c r="K1963" s="38">
        <v>0</v>
      </c>
      <c r="L1963" s="4" t="s">
        <v>264</v>
      </c>
      <c r="M1963" s="11">
        <f>_xlfn.NUMBERVALUE(LEFT(Table613[[#This Row],[Fiscal Year]], 4))</f>
        <v>2001</v>
      </c>
      <c r="N1963" s="42">
        <f t="shared" si="43"/>
        <v>0</v>
      </c>
      <c r="O1963" s="3">
        <v>1961</v>
      </c>
    </row>
    <row r="1964" spans="1:15" x14ac:dyDescent="0.25">
      <c r="A1964" s="3">
        <v>8</v>
      </c>
      <c r="B1964" s="3" t="s">
        <v>277</v>
      </c>
      <c r="C1964" s="3" t="s">
        <v>262</v>
      </c>
      <c r="D1964" s="3" t="s">
        <v>444</v>
      </c>
      <c r="E1964" s="11" t="s">
        <v>144</v>
      </c>
      <c r="F1964" s="3" t="s">
        <v>8</v>
      </c>
      <c r="G1964" s="66" t="s">
        <v>980</v>
      </c>
      <c r="H1964" s="8" t="s">
        <v>504</v>
      </c>
      <c r="I1964" s="8"/>
      <c r="J1964" s="6" t="s">
        <v>108</v>
      </c>
      <c r="K1964" s="38">
        <v>500</v>
      </c>
      <c r="L1964" s="4" t="s">
        <v>264</v>
      </c>
      <c r="M1964" s="11">
        <f>_xlfn.NUMBERVALUE(LEFT(Table613[[#This Row],[Fiscal Year]], 4))</f>
        <v>2001</v>
      </c>
      <c r="N1964" s="42">
        <f t="shared" si="43"/>
        <v>710.42066629023145</v>
      </c>
      <c r="O1964" s="3">
        <v>1962</v>
      </c>
    </row>
    <row r="1965" spans="1:15" x14ac:dyDescent="0.25">
      <c r="A1965" s="3">
        <v>8</v>
      </c>
      <c r="B1965" s="3" t="s">
        <v>277</v>
      </c>
      <c r="C1965" s="3" t="s">
        <v>262</v>
      </c>
      <c r="D1965" s="3" t="s">
        <v>444</v>
      </c>
      <c r="E1965" s="11" t="s">
        <v>144</v>
      </c>
      <c r="F1965" s="3" t="s">
        <v>8</v>
      </c>
      <c r="G1965" s="48" t="s">
        <v>981</v>
      </c>
      <c r="H1965" s="8" t="s">
        <v>504</v>
      </c>
      <c r="I1965" s="8"/>
      <c r="J1965" s="6" t="s">
        <v>108</v>
      </c>
      <c r="K1965" s="38">
        <v>2000</v>
      </c>
      <c r="L1965" s="4" t="s">
        <v>264</v>
      </c>
      <c r="M1965" s="11">
        <f>_xlfn.NUMBERVALUE(LEFT(Table613[[#This Row],[Fiscal Year]], 4))</f>
        <v>2001</v>
      </c>
      <c r="N1965" s="42">
        <f t="shared" si="43"/>
        <v>2841.6826651609258</v>
      </c>
      <c r="O1965" s="3">
        <v>1963</v>
      </c>
    </row>
    <row r="1966" spans="1:15" x14ac:dyDescent="0.25">
      <c r="A1966" s="3">
        <v>8</v>
      </c>
      <c r="B1966" s="3" t="s">
        <v>277</v>
      </c>
      <c r="C1966" s="3" t="s">
        <v>262</v>
      </c>
      <c r="D1966" s="3" t="s">
        <v>444</v>
      </c>
      <c r="E1966" s="11" t="s">
        <v>144</v>
      </c>
      <c r="F1966" s="3" t="s">
        <v>8</v>
      </c>
      <c r="G1966" s="66" t="s">
        <v>982</v>
      </c>
      <c r="H1966" s="8" t="s">
        <v>593</v>
      </c>
      <c r="I1966" s="8" t="s">
        <v>594</v>
      </c>
      <c r="J1966" s="6" t="s">
        <v>108</v>
      </c>
      <c r="K1966" s="38">
        <v>0</v>
      </c>
      <c r="L1966" s="4" t="s">
        <v>264</v>
      </c>
      <c r="M1966" s="11">
        <f>_xlfn.NUMBERVALUE(LEFT(Table613[[#This Row],[Fiscal Year]], 4))</f>
        <v>2001</v>
      </c>
      <c r="N1966" s="42">
        <f t="shared" si="43"/>
        <v>0</v>
      </c>
      <c r="O1966" s="3">
        <v>1964</v>
      </c>
    </row>
    <row r="1967" spans="1:15" x14ac:dyDescent="0.25">
      <c r="A1967" s="3">
        <v>8</v>
      </c>
      <c r="B1967" s="3" t="s">
        <v>277</v>
      </c>
      <c r="C1967" s="3" t="s">
        <v>262</v>
      </c>
      <c r="D1967" s="3" t="s">
        <v>444</v>
      </c>
      <c r="E1967" s="11" t="s">
        <v>144</v>
      </c>
      <c r="F1967" s="3" t="s">
        <v>8</v>
      </c>
      <c r="G1967" s="66" t="s">
        <v>983</v>
      </c>
      <c r="H1967" s="8" t="s">
        <v>504</v>
      </c>
      <c r="I1967" s="8"/>
      <c r="J1967" s="6" t="s">
        <v>108</v>
      </c>
      <c r="K1967" s="38">
        <v>0</v>
      </c>
      <c r="L1967" s="4" t="s">
        <v>264</v>
      </c>
      <c r="M1967" s="11">
        <f>_xlfn.NUMBERVALUE(LEFT(Table613[[#This Row],[Fiscal Year]], 4))</f>
        <v>2001</v>
      </c>
      <c r="N1967" s="42">
        <f t="shared" si="43"/>
        <v>0</v>
      </c>
      <c r="O1967" s="3">
        <v>1965</v>
      </c>
    </row>
    <row r="1968" spans="1:15" x14ac:dyDescent="0.25">
      <c r="A1968" s="3">
        <v>8</v>
      </c>
      <c r="B1968" s="3" t="s">
        <v>277</v>
      </c>
      <c r="C1968" s="3" t="s">
        <v>262</v>
      </c>
      <c r="D1968" s="3" t="s">
        <v>444</v>
      </c>
      <c r="E1968" s="11" t="s">
        <v>144</v>
      </c>
      <c r="F1968" s="3" t="s">
        <v>8</v>
      </c>
      <c r="G1968" s="66" t="s">
        <v>984</v>
      </c>
      <c r="H1968" s="8" t="s">
        <v>504</v>
      </c>
      <c r="I1968" s="8"/>
      <c r="J1968" s="6" t="s">
        <v>108</v>
      </c>
      <c r="K1968" s="38">
        <v>1500</v>
      </c>
      <c r="L1968" s="4" t="s">
        <v>264</v>
      </c>
      <c r="M1968" s="11">
        <f>_xlfn.NUMBERVALUE(LEFT(Table613[[#This Row],[Fiscal Year]], 4))</f>
        <v>2001</v>
      </c>
      <c r="N1968" s="42">
        <f>K1968*(1+VLOOKUP(M1968,$AF$8:$AH$31,3,0))</f>
        <v>2131.2619988706942</v>
      </c>
      <c r="O1968" s="3">
        <v>1966</v>
      </c>
    </row>
    <row r="1969" spans="1:15" x14ac:dyDescent="0.25">
      <c r="A1969" s="3">
        <v>8</v>
      </c>
      <c r="B1969" s="3" t="s">
        <v>277</v>
      </c>
      <c r="C1969" s="3" t="s">
        <v>262</v>
      </c>
      <c r="D1969" s="3" t="s">
        <v>444</v>
      </c>
      <c r="E1969" s="11" t="s">
        <v>144</v>
      </c>
      <c r="F1969" s="3" t="s">
        <v>8</v>
      </c>
      <c r="G1969" s="66" t="s">
        <v>985</v>
      </c>
      <c r="H1969" s="8" t="s">
        <v>505</v>
      </c>
      <c r="I1969" s="8"/>
      <c r="J1969" s="6" t="s">
        <v>42</v>
      </c>
      <c r="K1969" s="38">
        <v>0</v>
      </c>
      <c r="L1969" s="4" t="s">
        <v>264</v>
      </c>
      <c r="M1969" s="11">
        <f>_xlfn.NUMBERVALUE(LEFT(Table613[[#This Row],[Fiscal Year]], 4))</f>
        <v>2001</v>
      </c>
      <c r="N1969" s="42">
        <f t="shared" si="43"/>
        <v>0</v>
      </c>
      <c r="O1969" s="3">
        <v>1967</v>
      </c>
    </row>
    <row r="1970" spans="1:15" x14ac:dyDescent="0.25">
      <c r="A1970" s="3">
        <v>8</v>
      </c>
      <c r="B1970" s="3" t="s">
        <v>277</v>
      </c>
      <c r="C1970" s="3" t="s">
        <v>262</v>
      </c>
      <c r="D1970" s="3" t="s">
        <v>444</v>
      </c>
      <c r="E1970" s="11" t="s">
        <v>144</v>
      </c>
      <c r="F1970" s="3" t="s">
        <v>8</v>
      </c>
      <c r="G1970" s="66" t="s">
        <v>986</v>
      </c>
      <c r="H1970" s="8" t="s">
        <v>599</v>
      </c>
      <c r="I1970" s="8"/>
      <c r="J1970" s="6" t="s">
        <v>42</v>
      </c>
      <c r="K1970" s="38">
        <v>0</v>
      </c>
      <c r="L1970" s="4" t="s">
        <v>264</v>
      </c>
      <c r="M1970" s="11">
        <f>_xlfn.NUMBERVALUE(LEFT(Table613[[#This Row],[Fiscal Year]], 4))</f>
        <v>2001</v>
      </c>
      <c r="N1970" s="42">
        <f t="shared" si="43"/>
        <v>0</v>
      </c>
      <c r="O1970" s="3">
        <v>1968</v>
      </c>
    </row>
    <row r="1971" spans="1:15" x14ac:dyDescent="0.25">
      <c r="A1971" s="3">
        <v>8</v>
      </c>
      <c r="B1971" s="3" t="s">
        <v>277</v>
      </c>
      <c r="C1971" s="3" t="s">
        <v>262</v>
      </c>
      <c r="D1971" s="3" t="s">
        <v>444</v>
      </c>
      <c r="E1971" s="11" t="s">
        <v>144</v>
      </c>
      <c r="F1971" s="3" t="s">
        <v>8</v>
      </c>
      <c r="G1971" s="66" t="s">
        <v>987</v>
      </c>
      <c r="H1971" s="8"/>
      <c r="I1971" s="8"/>
      <c r="J1971" s="6" t="s">
        <v>111</v>
      </c>
      <c r="K1971" s="38">
        <v>0</v>
      </c>
      <c r="L1971" s="4" t="s">
        <v>264</v>
      </c>
      <c r="M1971" s="11">
        <f>_xlfn.NUMBERVALUE(LEFT(Table613[[#This Row],[Fiscal Year]], 4))</f>
        <v>2001</v>
      </c>
      <c r="N1971" s="42">
        <f t="shared" si="43"/>
        <v>0</v>
      </c>
      <c r="O1971" s="3">
        <v>1969</v>
      </c>
    </row>
    <row r="1972" spans="1:15" x14ac:dyDescent="0.25">
      <c r="A1972" s="3">
        <v>8</v>
      </c>
      <c r="B1972" s="3" t="s">
        <v>277</v>
      </c>
      <c r="C1972" s="3" t="s">
        <v>262</v>
      </c>
      <c r="D1972" s="3" t="s">
        <v>444</v>
      </c>
      <c r="E1972" s="11" t="s">
        <v>144</v>
      </c>
      <c r="F1972" s="3" t="s">
        <v>8</v>
      </c>
      <c r="G1972" s="66" t="s">
        <v>988</v>
      </c>
      <c r="H1972" s="8"/>
      <c r="I1972" s="8"/>
      <c r="J1972" s="6" t="s">
        <v>107</v>
      </c>
      <c r="K1972" s="38">
        <v>0</v>
      </c>
      <c r="L1972" s="4" t="s">
        <v>264</v>
      </c>
      <c r="M1972" s="11">
        <f>_xlfn.NUMBERVALUE(LEFT(Table613[[#This Row],[Fiscal Year]], 4))</f>
        <v>2001</v>
      </c>
      <c r="N1972" s="42">
        <f t="shared" si="43"/>
        <v>0</v>
      </c>
      <c r="O1972" s="3">
        <v>1970</v>
      </c>
    </row>
    <row r="1973" spans="1:15" x14ac:dyDescent="0.25">
      <c r="A1973" s="3">
        <v>8</v>
      </c>
      <c r="B1973" s="3" t="s">
        <v>277</v>
      </c>
      <c r="C1973" s="3" t="s">
        <v>262</v>
      </c>
      <c r="D1973" s="3" t="s">
        <v>444</v>
      </c>
      <c r="E1973" s="11" t="s">
        <v>144</v>
      </c>
      <c r="F1973" s="3" t="s">
        <v>8</v>
      </c>
      <c r="G1973" s="66" t="s">
        <v>989</v>
      </c>
      <c r="H1973" s="8" t="s">
        <v>597</v>
      </c>
      <c r="I1973" s="8" t="s">
        <v>594</v>
      </c>
      <c r="J1973" s="6" t="s">
        <v>108</v>
      </c>
      <c r="K1973" s="38">
        <v>0</v>
      </c>
      <c r="L1973" s="4" t="s">
        <v>264</v>
      </c>
      <c r="M1973" s="11">
        <f>_xlfn.NUMBERVALUE(LEFT(Table613[[#This Row],[Fiscal Year]], 4))</f>
        <v>2001</v>
      </c>
      <c r="N1973" s="42">
        <f t="shared" si="43"/>
        <v>0</v>
      </c>
      <c r="O1973" s="3">
        <v>1971</v>
      </c>
    </row>
    <row r="1974" spans="1:15" x14ac:dyDescent="0.25">
      <c r="A1974" s="3">
        <v>8</v>
      </c>
      <c r="B1974" s="3" t="s">
        <v>277</v>
      </c>
      <c r="C1974" s="3" t="s">
        <v>262</v>
      </c>
      <c r="D1974" s="3" t="s">
        <v>444</v>
      </c>
      <c r="E1974" s="11" t="s">
        <v>144</v>
      </c>
      <c r="F1974" s="3" t="s">
        <v>8</v>
      </c>
      <c r="G1974" s="66" t="s">
        <v>990</v>
      </c>
      <c r="H1974" s="8" t="s">
        <v>506</v>
      </c>
      <c r="I1974" s="8"/>
      <c r="J1974" s="6" t="s">
        <v>106</v>
      </c>
      <c r="K1974" s="38">
        <v>0</v>
      </c>
      <c r="L1974" s="4" t="s">
        <v>264</v>
      </c>
      <c r="M1974" s="11">
        <f>_xlfn.NUMBERVALUE(LEFT(Table613[[#This Row],[Fiscal Year]], 4))</f>
        <v>2001</v>
      </c>
      <c r="N1974" s="42">
        <f t="shared" si="43"/>
        <v>0</v>
      </c>
      <c r="O1974" s="3">
        <v>1972</v>
      </c>
    </row>
    <row r="1975" spans="1:15" x14ac:dyDescent="0.25">
      <c r="A1975" s="3">
        <v>8</v>
      </c>
      <c r="B1975" s="3" t="s">
        <v>277</v>
      </c>
      <c r="C1975" s="3" t="s">
        <v>262</v>
      </c>
      <c r="D1975" s="3" t="s">
        <v>444</v>
      </c>
      <c r="E1975" s="11" t="s">
        <v>144</v>
      </c>
      <c r="F1975" s="3" t="s">
        <v>8</v>
      </c>
      <c r="G1975" s="66" t="s">
        <v>1004</v>
      </c>
      <c r="H1975" s="8"/>
      <c r="I1975" s="8"/>
      <c r="J1975" s="6" t="s">
        <v>76</v>
      </c>
      <c r="K1975" s="38">
        <v>0</v>
      </c>
      <c r="L1975" s="4" t="s">
        <v>264</v>
      </c>
      <c r="M1975" s="11">
        <f>_xlfn.NUMBERVALUE(LEFT(Table613[[#This Row],[Fiscal Year]], 4))</f>
        <v>2001</v>
      </c>
      <c r="N1975" s="42">
        <f t="shared" si="43"/>
        <v>0</v>
      </c>
      <c r="O1975" s="3">
        <v>1973</v>
      </c>
    </row>
    <row r="1976" spans="1:15" x14ac:dyDescent="0.25">
      <c r="A1976" s="3">
        <v>8</v>
      </c>
      <c r="B1976" s="3" t="s">
        <v>277</v>
      </c>
      <c r="C1976" s="3" t="s">
        <v>262</v>
      </c>
      <c r="D1976" s="3" t="s">
        <v>444</v>
      </c>
      <c r="E1976" s="11" t="s">
        <v>144</v>
      </c>
      <c r="F1976" s="3" t="s">
        <v>8</v>
      </c>
      <c r="G1976" s="48" t="s">
        <v>991</v>
      </c>
      <c r="H1976" s="8" t="s">
        <v>503</v>
      </c>
      <c r="I1976" s="8"/>
      <c r="J1976" s="6" t="s">
        <v>110</v>
      </c>
      <c r="K1976" s="38">
        <v>0</v>
      </c>
      <c r="L1976" s="4" t="s">
        <v>264</v>
      </c>
      <c r="M1976" s="11">
        <f>_xlfn.NUMBERVALUE(LEFT(Table613[[#This Row],[Fiscal Year]], 4))</f>
        <v>2001</v>
      </c>
      <c r="N1976" s="42">
        <f t="shared" si="43"/>
        <v>0</v>
      </c>
      <c r="O1976" s="3">
        <v>1974</v>
      </c>
    </row>
    <row r="1977" spans="1:15" x14ac:dyDescent="0.25">
      <c r="A1977" s="3">
        <v>8</v>
      </c>
      <c r="B1977" s="3" t="s">
        <v>277</v>
      </c>
      <c r="C1977" s="3" t="s">
        <v>262</v>
      </c>
      <c r="D1977" s="3" t="s">
        <v>444</v>
      </c>
      <c r="E1977" s="11" t="s">
        <v>144</v>
      </c>
      <c r="F1977" s="3" t="s">
        <v>8</v>
      </c>
      <c r="G1977" s="66" t="s">
        <v>992</v>
      </c>
      <c r="H1977" s="8" t="s">
        <v>504</v>
      </c>
      <c r="I1977" s="8"/>
      <c r="J1977" s="6" t="s">
        <v>108</v>
      </c>
      <c r="K1977" s="38">
        <v>0</v>
      </c>
      <c r="L1977" s="4" t="s">
        <v>264</v>
      </c>
      <c r="M1977" s="11">
        <f>_xlfn.NUMBERVALUE(LEFT(Table613[[#This Row],[Fiscal Year]], 4))</f>
        <v>2001</v>
      </c>
      <c r="N1977" s="42">
        <f t="shared" si="43"/>
        <v>0</v>
      </c>
      <c r="O1977" s="3">
        <v>1975</v>
      </c>
    </row>
    <row r="1978" spans="1:15" x14ac:dyDescent="0.25">
      <c r="A1978" s="3">
        <v>8</v>
      </c>
      <c r="B1978" s="3" t="s">
        <v>277</v>
      </c>
      <c r="C1978" s="3" t="s">
        <v>262</v>
      </c>
      <c r="D1978" s="3" t="s">
        <v>444</v>
      </c>
      <c r="E1978" s="11" t="s">
        <v>144</v>
      </c>
      <c r="F1978" s="3" t="s">
        <v>8</v>
      </c>
      <c r="G1978" s="66" t="s">
        <v>993</v>
      </c>
      <c r="H1978" s="8" t="s">
        <v>602</v>
      </c>
      <c r="I1978" s="8"/>
      <c r="J1978" s="6" t="s">
        <v>108</v>
      </c>
      <c r="K1978" s="38">
        <v>0</v>
      </c>
      <c r="L1978" s="4" t="s">
        <v>264</v>
      </c>
      <c r="M1978" s="11">
        <f>_xlfn.NUMBERVALUE(LEFT(Table613[[#This Row],[Fiscal Year]], 4))</f>
        <v>2001</v>
      </c>
      <c r="N1978" s="42">
        <f t="shared" si="43"/>
        <v>0</v>
      </c>
      <c r="O1978" s="3">
        <v>1976</v>
      </c>
    </row>
    <row r="1979" spans="1:15" x14ac:dyDescent="0.25">
      <c r="A1979" s="3">
        <v>8</v>
      </c>
      <c r="B1979" s="3" t="s">
        <v>277</v>
      </c>
      <c r="C1979" s="3" t="s">
        <v>262</v>
      </c>
      <c r="D1979" s="3" t="s">
        <v>444</v>
      </c>
      <c r="E1979" s="11" t="s">
        <v>144</v>
      </c>
      <c r="F1979" s="3" t="s">
        <v>8</v>
      </c>
      <c r="G1979" s="66" t="s">
        <v>994</v>
      </c>
      <c r="H1979" s="8" t="s">
        <v>504</v>
      </c>
      <c r="I1979" s="8"/>
      <c r="J1979" s="6" t="s">
        <v>108</v>
      </c>
      <c r="K1979" s="38">
        <v>52900</v>
      </c>
      <c r="L1979" s="4" t="s">
        <v>264</v>
      </c>
      <c r="M1979" s="11">
        <f>_xlfn.NUMBERVALUE(LEFT(Table613[[#This Row],[Fiscal Year]], 4))</f>
        <v>2001</v>
      </c>
      <c r="N1979" s="42">
        <f>K1979*(1+VLOOKUP(M1979,$AF$8:$AH$31,3,0))</f>
        <v>75162.506493506487</v>
      </c>
      <c r="O1979" s="3">
        <v>1977</v>
      </c>
    </row>
    <row r="1980" spans="1:15" x14ac:dyDescent="0.25">
      <c r="A1980" s="3">
        <v>8</v>
      </c>
      <c r="B1980" s="3" t="s">
        <v>277</v>
      </c>
      <c r="C1980" s="3" t="s">
        <v>262</v>
      </c>
      <c r="D1980" s="3" t="s">
        <v>444</v>
      </c>
      <c r="E1980" s="11" t="s">
        <v>144</v>
      </c>
      <c r="F1980" s="3" t="s">
        <v>8</v>
      </c>
      <c r="G1980" s="66" t="s">
        <v>995</v>
      </c>
      <c r="H1980" s="8" t="s">
        <v>504</v>
      </c>
      <c r="I1980" s="8"/>
      <c r="J1980" s="6" t="s">
        <v>108</v>
      </c>
      <c r="K1980" s="38">
        <v>0</v>
      </c>
      <c r="L1980" s="4" t="s">
        <v>264</v>
      </c>
      <c r="M1980" s="11">
        <f>_xlfn.NUMBERVALUE(LEFT(Table613[[#This Row],[Fiscal Year]], 4))</f>
        <v>2001</v>
      </c>
      <c r="N1980" s="42">
        <f t="shared" si="43"/>
        <v>0</v>
      </c>
      <c r="O1980" s="3">
        <v>1978</v>
      </c>
    </row>
    <row r="1981" spans="1:15" x14ac:dyDescent="0.25">
      <c r="A1981" s="3">
        <v>8</v>
      </c>
      <c r="B1981" s="3" t="s">
        <v>277</v>
      </c>
      <c r="C1981" s="3" t="s">
        <v>262</v>
      </c>
      <c r="D1981" s="3" t="s">
        <v>444</v>
      </c>
      <c r="E1981" s="11" t="s">
        <v>144</v>
      </c>
      <c r="F1981" s="3" t="s">
        <v>8</v>
      </c>
      <c r="G1981" s="48" t="s">
        <v>996</v>
      </c>
      <c r="H1981" s="8" t="s">
        <v>504</v>
      </c>
      <c r="I1981" s="8"/>
      <c r="J1981" s="6" t="s">
        <v>108</v>
      </c>
      <c r="K1981" s="38">
        <v>74000</v>
      </c>
      <c r="L1981" s="4" t="s">
        <v>264</v>
      </c>
      <c r="M1981" s="11">
        <f>_xlfn.NUMBERVALUE(LEFT(Table613[[#This Row],[Fiscal Year]], 4))</f>
        <v>2001</v>
      </c>
      <c r="N1981" s="42">
        <f>K1981*(1+VLOOKUP(M1981,$AF$8:$AH$31,3,0))</f>
        <v>105142.25861095426</v>
      </c>
      <c r="O1981" s="3">
        <v>1979</v>
      </c>
    </row>
    <row r="1982" spans="1:15" x14ac:dyDescent="0.25">
      <c r="A1982" s="3">
        <v>8</v>
      </c>
      <c r="B1982" s="3" t="s">
        <v>277</v>
      </c>
      <c r="C1982" s="3" t="s">
        <v>262</v>
      </c>
      <c r="D1982" s="3" t="s">
        <v>444</v>
      </c>
      <c r="E1982" s="11" t="s">
        <v>144</v>
      </c>
      <c r="F1982" s="3" t="s">
        <v>8</v>
      </c>
      <c r="G1982" s="66" t="s">
        <v>997</v>
      </c>
      <c r="H1982" s="8" t="s">
        <v>593</v>
      </c>
      <c r="I1982" s="8" t="s">
        <v>594</v>
      </c>
      <c r="J1982" s="6" t="s">
        <v>108</v>
      </c>
      <c r="K1982" s="38">
        <v>0</v>
      </c>
      <c r="L1982" s="4" t="s">
        <v>264</v>
      </c>
      <c r="M1982" s="11">
        <f>_xlfn.NUMBERVALUE(LEFT(Table613[[#This Row],[Fiscal Year]], 4))</f>
        <v>2001</v>
      </c>
      <c r="N1982" s="42">
        <f t="shared" si="43"/>
        <v>0</v>
      </c>
      <c r="O1982" s="3">
        <v>1980</v>
      </c>
    </row>
    <row r="1983" spans="1:15" x14ac:dyDescent="0.25">
      <c r="A1983" s="3">
        <v>8</v>
      </c>
      <c r="B1983" s="3" t="s">
        <v>277</v>
      </c>
      <c r="C1983" s="3" t="s">
        <v>262</v>
      </c>
      <c r="D1983" s="3" t="s">
        <v>444</v>
      </c>
      <c r="E1983" s="11" t="s">
        <v>144</v>
      </c>
      <c r="F1983" s="3" t="s">
        <v>8</v>
      </c>
      <c r="G1983" s="66" t="s">
        <v>998</v>
      </c>
      <c r="H1983" s="8" t="s">
        <v>504</v>
      </c>
      <c r="I1983" s="8"/>
      <c r="J1983" s="6" t="s">
        <v>108</v>
      </c>
      <c r="K1983" s="38">
        <v>0</v>
      </c>
      <c r="L1983" s="4" t="s">
        <v>264</v>
      </c>
      <c r="M1983" s="11">
        <f>_xlfn.NUMBERVALUE(LEFT(Table613[[#This Row],[Fiscal Year]], 4))</f>
        <v>2001</v>
      </c>
      <c r="N1983" s="42">
        <f t="shared" si="43"/>
        <v>0</v>
      </c>
      <c r="O1983" s="3">
        <v>1981</v>
      </c>
    </row>
    <row r="1984" spans="1:15" x14ac:dyDescent="0.25">
      <c r="A1984" s="3">
        <v>8</v>
      </c>
      <c r="B1984" s="3" t="s">
        <v>277</v>
      </c>
      <c r="C1984" s="3" t="s">
        <v>262</v>
      </c>
      <c r="D1984" s="3" t="s">
        <v>444</v>
      </c>
      <c r="E1984" s="11" t="s">
        <v>144</v>
      </c>
      <c r="F1984" s="3" t="s">
        <v>8</v>
      </c>
      <c r="G1984" s="66" t="s">
        <v>999</v>
      </c>
      <c r="H1984" s="8" t="s">
        <v>504</v>
      </c>
      <c r="I1984" s="8"/>
      <c r="J1984" s="6" t="s">
        <v>108</v>
      </c>
      <c r="K1984" s="38">
        <v>12000</v>
      </c>
      <c r="L1984" s="4" t="s">
        <v>264</v>
      </c>
      <c r="M1984" s="11">
        <f>_xlfn.NUMBERVALUE(LEFT(Table613[[#This Row],[Fiscal Year]], 4))</f>
        <v>2001</v>
      </c>
      <c r="N1984" s="42">
        <f>K1984*(1+VLOOKUP(M1984,$AF$8:$AH$31,3,0))</f>
        <v>17050.095990965554</v>
      </c>
      <c r="O1984" s="3">
        <v>1982</v>
      </c>
    </row>
    <row r="1985" spans="1:15" x14ac:dyDescent="0.25">
      <c r="A1985" s="3">
        <v>8</v>
      </c>
      <c r="B1985" s="3" t="s">
        <v>277</v>
      </c>
      <c r="C1985" s="3" t="s">
        <v>262</v>
      </c>
      <c r="D1985" s="3" t="s">
        <v>444</v>
      </c>
      <c r="E1985" s="11" t="s">
        <v>144</v>
      </c>
      <c r="F1985" s="3" t="s">
        <v>8</v>
      </c>
      <c r="G1985" s="66" t="s">
        <v>1000</v>
      </c>
      <c r="H1985" s="8" t="s">
        <v>505</v>
      </c>
      <c r="I1985" s="8"/>
      <c r="J1985" s="6" t="s">
        <v>42</v>
      </c>
      <c r="K1985" s="38">
        <v>0</v>
      </c>
      <c r="L1985" s="4" t="s">
        <v>264</v>
      </c>
      <c r="M1985" s="11">
        <f>_xlfn.NUMBERVALUE(LEFT(Table613[[#This Row],[Fiscal Year]], 4))</f>
        <v>2001</v>
      </c>
      <c r="N1985" s="42">
        <f t="shared" si="43"/>
        <v>0</v>
      </c>
      <c r="O1985" s="3">
        <v>1983</v>
      </c>
    </row>
    <row r="1986" spans="1:15" x14ac:dyDescent="0.25">
      <c r="A1986" s="3">
        <v>8</v>
      </c>
      <c r="B1986" s="3" t="s">
        <v>277</v>
      </c>
      <c r="C1986" s="3" t="s">
        <v>262</v>
      </c>
      <c r="D1986" s="3" t="s">
        <v>444</v>
      </c>
      <c r="E1986" s="11" t="s">
        <v>144</v>
      </c>
      <c r="F1986" s="3" t="s">
        <v>8</v>
      </c>
      <c r="G1986" s="66" t="s">
        <v>1001</v>
      </c>
      <c r="H1986" s="8" t="s">
        <v>599</v>
      </c>
      <c r="I1986" s="8"/>
      <c r="J1986" s="6" t="s">
        <v>42</v>
      </c>
      <c r="K1986" s="38">
        <v>0</v>
      </c>
      <c r="L1986" s="4" t="s">
        <v>264</v>
      </c>
      <c r="M1986" s="11">
        <f>_xlfn.NUMBERVALUE(LEFT(Table613[[#This Row],[Fiscal Year]], 4))</f>
        <v>2001</v>
      </c>
      <c r="N1986" s="42">
        <f t="shared" si="43"/>
        <v>0</v>
      </c>
      <c r="O1986" s="3">
        <v>1984</v>
      </c>
    </row>
    <row r="1987" spans="1:15" x14ac:dyDescent="0.25">
      <c r="A1987" s="3">
        <v>8</v>
      </c>
      <c r="B1987" s="3" t="s">
        <v>277</v>
      </c>
      <c r="C1987" s="3" t="s">
        <v>262</v>
      </c>
      <c r="D1987" s="3" t="s">
        <v>444</v>
      </c>
      <c r="E1987" s="11" t="s">
        <v>144</v>
      </c>
      <c r="F1987" s="3" t="s">
        <v>8</v>
      </c>
      <c r="G1987" s="66" t="s">
        <v>1005</v>
      </c>
      <c r="H1987" s="8"/>
      <c r="I1987" s="8"/>
      <c r="J1987" s="6" t="s">
        <v>111</v>
      </c>
      <c r="K1987" s="38">
        <v>0</v>
      </c>
      <c r="L1987" s="4" t="s">
        <v>264</v>
      </c>
      <c r="M1987" s="11">
        <f>_xlfn.NUMBERVALUE(LEFT(Table613[[#This Row],[Fiscal Year]], 4))</f>
        <v>2001</v>
      </c>
      <c r="N1987" s="42">
        <f t="shared" si="43"/>
        <v>0</v>
      </c>
      <c r="O1987" s="3">
        <v>1985</v>
      </c>
    </row>
    <row r="1988" spans="1:15" x14ac:dyDescent="0.25">
      <c r="A1988" s="3">
        <v>8</v>
      </c>
      <c r="B1988" s="3" t="s">
        <v>277</v>
      </c>
      <c r="C1988" s="3" t="s">
        <v>262</v>
      </c>
      <c r="D1988" s="3" t="s">
        <v>444</v>
      </c>
      <c r="E1988" s="11" t="s">
        <v>144</v>
      </c>
      <c r="F1988" s="3" t="s">
        <v>8</v>
      </c>
      <c r="G1988" s="66" t="s">
        <v>1006</v>
      </c>
      <c r="H1988" s="8"/>
      <c r="I1988" s="8"/>
      <c r="J1988" s="6" t="s">
        <v>107</v>
      </c>
      <c r="K1988" s="38">
        <v>0</v>
      </c>
      <c r="L1988" s="4" t="s">
        <v>264</v>
      </c>
      <c r="M1988" s="11">
        <f>_xlfn.NUMBERVALUE(LEFT(Table613[[#This Row],[Fiscal Year]], 4))</f>
        <v>2001</v>
      </c>
      <c r="N1988" s="42">
        <f t="shared" si="43"/>
        <v>0</v>
      </c>
      <c r="O1988" s="3">
        <v>1986</v>
      </c>
    </row>
    <row r="1989" spans="1:15" x14ac:dyDescent="0.25">
      <c r="A1989" s="3">
        <v>8</v>
      </c>
      <c r="B1989" s="3" t="s">
        <v>277</v>
      </c>
      <c r="C1989" s="3" t="s">
        <v>262</v>
      </c>
      <c r="D1989" s="3" t="s">
        <v>444</v>
      </c>
      <c r="E1989" s="11" t="s">
        <v>144</v>
      </c>
      <c r="F1989" s="3" t="s">
        <v>8</v>
      </c>
      <c r="G1989" s="66" t="s">
        <v>1002</v>
      </c>
      <c r="H1989" s="8" t="s">
        <v>597</v>
      </c>
      <c r="I1989" s="8" t="s">
        <v>594</v>
      </c>
      <c r="J1989" s="6" t="s">
        <v>108</v>
      </c>
      <c r="K1989" s="38">
        <v>0</v>
      </c>
      <c r="L1989" s="4" t="s">
        <v>264</v>
      </c>
      <c r="M1989" s="11">
        <f>_xlfn.NUMBERVALUE(LEFT(Table613[[#This Row],[Fiscal Year]], 4))</f>
        <v>2001</v>
      </c>
      <c r="N1989" s="42">
        <f t="shared" si="43"/>
        <v>0</v>
      </c>
      <c r="O1989" s="3">
        <v>1987</v>
      </c>
    </row>
    <row r="1990" spans="1:15" x14ac:dyDescent="0.25">
      <c r="A1990" s="3">
        <v>8</v>
      </c>
      <c r="B1990" s="3" t="s">
        <v>277</v>
      </c>
      <c r="C1990" s="3" t="s">
        <v>262</v>
      </c>
      <c r="D1990" s="3" t="s">
        <v>444</v>
      </c>
      <c r="E1990" s="11" t="s">
        <v>144</v>
      </c>
      <c r="F1990" s="3" t="s">
        <v>8</v>
      </c>
      <c r="G1990" s="66" t="s">
        <v>1003</v>
      </c>
      <c r="H1990" s="8" t="s">
        <v>506</v>
      </c>
      <c r="I1990" s="8"/>
      <c r="J1990" s="6" t="s">
        <v>106</v>
      </c>
      <c r="K1990" s="38">
        <v>0</v>
      </c>
      <c r="L1990" s="4" t="s">
        <v>264</v>
      </c>
      <c r="M1990" s="11">
        <f>_xlfn.NUMBERVALUE(LEFT(Table613[[#This Row],[Fiscal Year]], 4))</f>
        <v>2001</v>
      </c>
      <c r="N1990" s="42">
        <f t="shared" si="43"/>
        <v>0</v>
      </c>
      <c r="O1990" s="3">
        <v>1988</v>
      </c>
    </row>
    <row r="1991" spans="1:15" x14ac:dyDescent="0.25">
      <c r="A1991" s="3">
        <v>8</v>
      </c>
      <c r="B1991" s="3" t="s">
        <v>277</v>
      </c>
      <c r="C1991" s="3" t="s">
        <v>262</v>
      </c>
      <c r="D1991" s="3" t="s">
        <v>444</v>
      </c>
      <c r="E1991" s="11" t="s">
        <v>144</v>
      </c>
      <c r="F1991" s="3" t="s">
        <v>8</v>
      </c>
      <c r="G1991" s="66" t="s">
        <v>1007</v>
      </c>
      <c r="H1991" s="8"/>
      <c r="I1991" s="8"/>
      <c r="J1991" s="6" t="s">
        <v>76</v>
      </c>
      <c r="K1991" s="38">
        <v>0</v>
      </c>
      <c r="L1991" s="4" t="s">
        <v>264</v>
      </c>
      <c r="M1991" s="11">
        <f>_xlfn.NUMBERVALUE(LEFT(Table613[[#This Row],[Fiscal Year]], 4))</f>
        <v>2001</v>
      </c>
      <c r="N1991" s="42">
        <f t="shared" si="43"/>
        <v>0</v>
      </c>
      <c r="O1991" s="3">
        <v>1989</v>
      </c>
    </row>
    <row r="1992" spans="1:15" x14ac:dyDescent="0.25">
      <c r="E1992" s="11"/>
      <c r="G1992" s="66"/>
      <c r="H1992" s="8"/>
      <c r="I1992" s="8"/>
      <c r="J1992" s="6"/>
      <c r="L1992" s="4"/>
      <c r="O1992" s="3">
        <v>1990</v>
      </c>
    </row>
    <row r="1993" spans="1:15" x14ac:dyDescent="0.25">
      <c r="A1993" s="3">
        <v>9</v>
      </c>
      <c r="B1993" s="3" t="s">
        <v>278</v>
      </c>
      <c r="C1993" s="3" t="s">
        <v>262</v>
      </c>
      <c r="D1993" s="3" t="s">
        <v>444</v>
      </c>
      <c r="E1993" s="11" t="s">
        <v>144</v>
      </c>
      <c r="F1993" s="3" t="s">
        <v>8</v>
      </c>
      <c r="G1993" s="48" t="s">
        <v>1026</v>
      </c>
      <c r="H1993" s="8"/>
      <c r="I1993" s="8" t="s">
        <v>640</v>
      </c>
      <c r="J1993" s="6" t="s">
        <v>76</v>
      </c>
      <c r="K1993" s="38">
        <v>19000</v>
      </c>
      <c r="L1993" s="4" t="s">
        <v>24</v>
      </c>
      <c r="M1993" s="11">
        <f>_xlfn.NUMBERVALUE(LEFT(Table613[[#This Row],[Fiscal Year]], 4))</f>
        <v>2016</v>
      </c>
      <c r="N1993" s="42">
        <f t="shared" si="43"/>
        <v>19920.787500000002</v>
      </c>
      <c r="O1993" s="3">
        <v>1991</v>
      </c>
    </row>
    <row r="1994" spans="1:15" x14ac:dyDescent="0.25">
      <c r="A1994" s="3">
        <v>9</v>
      </c>
      <c r="B1994" s="3" t="s">
        <v>278</v>
      </c>
      <c r="C1994" s="3" t="s">
        <v>262</v>
      </c>
      <c r="D1994" s="3" t="s">
        <v>444</v>
      </c>
      <c r="E1994" s="11" t="s">
        <v>144</v>
      </c>
      <c r="F1994" s="3" t="s">
        <v>8</v>
      </c>
      <c r="G1994" s="66" t="s">
        <v>1037</v>
      </c>
      <c r="H1994" s="8"/>
      <c r="I1994" s="8"/>
      <c r="J1994" s="6" t="s">
        <v>76</v>
      </c>
      <c r="K1994" s="38">
        <v>19000</v>
      </c>
      <c r="L1994" s="4" t="s">
        <v>24</v>
      </c>
      <c r="M1994" s="11">
        <f>_xlfn.NUMBERVALUE(LEFT(Table613[[#This Row],[Fiscal Year]], 4))</f>
        <v>2016</v>
      </c>
      <c r="N1994" s="42">
        <f t="shared" si="43"/>
        <v>19920.787500000002</v>
      </c>
      <c r="O1994" s="3">
        <v>1992</v>
      </c>
    </row>
    <row r="1995" spans="1:15" x14ac:dyDescent="0.25">
      <c r="A1995" s="3">
        <v>9</v>
      </c>
      <c r="B1995" s="3" t="s">
        <v>278</v>
      </c>
      <c r="C1995" s="3" t="s">
        <v>262</v>
      </c>
      <c r="D1995" s="3" t="s">
        <v>444</v>
      </c>
      <c r="E1995" s="11" t="s">
        <v>144</v>
      </c>
      <c r="F1995" s="3" t="s">
        <v>8</v>
      </c>
      <c r="G1995" s="66" t="s">
        <v>1010</v>
      </c>
      <c r="H1995" s="8"/>
      <c r="I1995" s="8"/>
      <c r="J1995" s="6" t="s">
        <v>76</v>
      </c>
      <c r="K1995" s="38">
        <v>396074</v>
      </c>
      <c r="L1995" s="4" t="s">
        <v>24</v>
      </c>
      <c r="M1995" s="11">
        <f>_xlfn.NUMBERVALUE(LEFT(Table613[[#This Row],[Fiscal Year]], 4))</f>
        <v>2016</v>
      </c>
      <c r="N1995" s="42">
        <f t="shared" si="43"/>
        <v>415268.73622500006</v>
      </c>
      <c r="O1995" s="3">
        <v>1993</v>
      </c>
    </row>
    <row r="1996" spans="1:15" x14ac:dyDescent="0.25">
      <c r="A1996" s="3">
        <v>9</v>
      </c>
      <c r="B1996" s="3" t="s">
        <v>278</v>
      </c>
      <c r="C1996" s="3" t="s">
        <v>262</v>
      </c>
      <c r="D1996" s="3" t="s">
        <v>444</v>
      </c>
      <c r="E1996" s="11" t="s">
        <v>144</v>
      </c>
      <c r="F1996" s="3" t="s">
        <v>8</v>
      </c>
      <c r="G1996" s="48" t="s">
        <v>1011</v>
      </c>
      <c r="H1996" s="8" t="s">
        <v>511</v>
      </c>
      <c r="I1996" s="8"/>
      <c r="J1996" s="6" t="s">
        <v>110</v>
      </c>
      <c r="K1996" s="38">
        <v>448247.86</v>
      </c>
      <c r="L1996" s="4" t="s">
        <v>24</v>
      </c>
      <c r="M1996" s="11">
        <f>_xlfn.NUMBERVALUE(LEFT(Table613[[#This Row],[Fiscal Year]], 4))</f>
        <v>2016</v>
      </c>
      <c r="N1996" s="42">
        <f t="shared" si="43"/>
        <v>469971.07191525004</v>
      </c>
      <c r="O1996" s="3">
        <v>1994</v>
      </c>
    </row>
    <row r="1997" spans="1:15" x14ac:dyDescent="0.25">
      <c r="A1997" s="3">
        <v>9</v>
      </c>
      <c r="B1997" s="3" t="s">
        <v>278</v>
      </c>
      <c r="C1997" s="3" t="s">
        <v>262</v>
      </c>
      <c r="D1997" s="3" t="s">
        <v>444</v>
      </c>
      <c r="E1997" s="11" t="s">
        <v>144</v>
      </c>
      <c r="F1997" s="3" t="s">
        <v>8</v>
      </c>
      <c r="G1997" s="48" t="s">
        <v>1038</v>
      </c>
      <c r="H1997" s="8" t="s">
        <v>507</v>
      </c>
      <c r="I1997" s="8"/>
      <c r="J1997" s="6" t="s">
        <v>108</v>
      </c>
      <c r="K1997" s="38">
        <v>136870</v>
      </c>
      <c r="L1997" s="4" t="s">
        <v>24</v>
      </c>
      <c r="M1997" s="11">
        <f>_xlfn.NUMBERVALUE(LEFT(Table613[[#This Row],[Fiscal Year]], 4))</f>
        <v>2016</v>
      </c>
      <c r="N1997" s="42">
        <f t="shared" si="43"/>
        <v>143503.06237500001</v>
      </c>
      <c r="O1997" s="3">
        <v>1995</v>
      </c>
    </row>
    <row r="1998" spans="1:15" x14ac:dyDescent="0.25">
      <c r="A1998" s="3">
        <v>9</v>
      </c>
      <c r="B1998" s="3" t="s">
        <v>278</v>
      </c>
      <c r="C1998" s="3" t="s">
        <v>262</v>
      </c>
      <c r="D1998" s="3" t="s">
        <v>444</v>
      </c>
      <c r="E1998" s="11" t="s">
        <v>144</v>
      </c>
      <c r="F1998" s="3" t="s">
        <v>8</v>
      </c>
      <c r="G1998" s="48" t="s">
        <v>1039</v>
      </c>
      <c r="H1998" s="8" t="s">
        <v>507</v>
      </c>
      <c r="I1998" s="8"/>
      <c r="J1998" s="6" t="s">
        <v>108</v>
      </c>
      <c r="K1998" s="38">
        <v>30220</v>
      </c>
      <c r="L1998" s="4" t="s">
        <v>24</v>
      </c>
      <c r="M1998" s="11">
        <f>_xlfn.NUMBERVALUE(LEFT(Table613[[#This Row],[Fiscal Year]], 4))</f>
        <v>2016</v>
      </c>
      <c r="N1998" s="42">
        <f t="shared" si="43"/>
        <v>31684.536750000003</v>
      </c>
      <c r="O1998" s="3">
        <v>1996</v>
      </c>
    </row>
    <row r="1999" spans="1:15" x14ac:dyDescent="0.25">
      <c r="A1999" s="3">
        <v>9</v>
      </c>
      <c r="B1999" s="3" t="s">
        <v>278</v>
      </c>
      <c r="C1999" s="3" t="s">
        <v>262</v>
      </c>
      <c r="D1999" s="3" t="s">
        <v>444</v>
      </c>
      <c r="E1999" s="11" t="s">
        <v>144</v>
      </c>
      <c r="F1999" s="3" t="s">
        <v>8</v>
      </c>
      <c r="G1999" s="48" t="s">
        <v>1040</v>
      </c>
      <c r="H1999" s="8" t="s">
        <v>507</v>
      </c>
      <c r="I1999" s="8"/>
      <c r="J1999" s="6" t="s">
        <v>108</v>
      </c>
      <c r="K1999" s="38">
        <v>211770</v>
      </c>
      <c r="L1999" s="4" t="s">
        <v>24</v>
      </c>
      <c r="M1999" s="11">
        <f>_xlfn.NUMBERVALUE(LEFT(Table613[[#This Row],[Fiscal Year]], 4))</f>
        <v>2016</v>
      </c>
      <c r="N1999" s="42">
        <f t="shared" si="43"/>
        <v>222032.90362500001</v>
      </c>
      <c r="O1999" s="3">
        <v>1997</v>
      </c>
    </row>
    <row r="2000" spans="1:15" x14ac:dyDescent="0.25">
      <c r="A2000" s="3">
        <v>9</v>
      </c>
      <c r="B2000" s="3" t="s">
        <v>278</v>
      </c>
      <c r="C2000" s="3" t="s">
        <v>262</v>
      </c>
      <c r="D2000" s="3" t="s">
        <v>444</v>
      </c>
      <c r="E2000" s="11" t="s">
        <v>144</v>
      </c>
      <c r="F2000" s="3" t="s">
        <v>8</v>
      </c>
      <c r="G2000" s="48" t="s">
        <v>1041</v>
      </c>
      <c r="H2000" s="8" t="s">
        <v>507</v>
      </c>
      <c r="I2000" s="8"/>
      <c r="J2000" s="6" t="s">
        <v>108</v>
      </c>
      <c r="K2000" s="38">
        <v>0</v>
      </c>
      <c r="L2000" s="4" t="s">
        <v>24</v>
      </c>
      <c r="M2000" s="11">
        <f>_xlfn.NUMBERVALUE(LEFT(Table613[[#This Row],[Fiscal Year]], 4))</f>
        <v>2016</v>
      </c>
      <c r="N2000" s="42">
        <f t="shared" si="43"/>
        <v>0</v>
      </c>
      <c r="O2000" s="3">
        <v>1998</v>
      </c>
    </row>
    <row r="2001" spans="1:15" x14ac:dyDescent="0.25">
      <c r="A2001" s="3">
        <v>9</v>
      </c>
      <c r="B2001" s="3" t="s">
        <v>278</v>
      </c>
      <c r="C2001" s="3" t="s">
        <v>262</v>
      </c>
      <c r="D2001" s="3" t="s">
        <v>444</v>
      </c>
      <c r="E2001" s="11" t="s">
        <v>144</v>
      </c>
      <c r="F2001" s="3" t="s">
        <v>8</v>
      </c>
      <c r="G2001" s="48" t="s">
        <v>1042</v>
      </c>
      <c r="H2001" s="8" t="s">
        <v>507</v>
      </c>
      <c r="I2001" s="8"/>
      <c r="J2001" s="6" t="s">
        <v>108</v>
      </c>
      <c r="K2001" s="38">
        <v>0</v>
      </c>
      <c r="L2001" s="4" t="s">
        <v>24</v>
      </c>
      <c r="M2001" s="11">
        <f>_xlfn.NUMBERVALUE(LEFT(Table613[[#This Row],[Fiscal Year]], 4))</f>
        <v>2016</v>
      </c>
      <c r="N2001" s="42">
        <f t="shared" si="43"/>
        <v>0</v>
      </c>
      <c r="O2001" s="3">
        <v>1999</v>
      </c>
    </row>
    <row r="2002" spans="1:15" x14ac:dyDescent="0.25">
      <c r="A2002" s="3">
        <v>9</v>
      </c>
      <c r="B2002" s="3" t="s">
        <v>278</v>
      </c>
      <c r="C2002" s="3" t="s">
        <v>262</v>
      </c>
      <c r="D2002" s="3" t="s">
        <v>444</v>
      </c>
      <c r="E2002" s="11" t="s">
        <v>144</v>
      </c>
      <c r="F2002" s="3" t="s">
        <v>8</v>
      </c>
      <c r="G2002" s="66" t="s">
        <v>1043</v>
      </c>
      <c r="H2002" s="8" t="s">
        <v>508</v>
      </c>
      <c r="I2002" s="8"/>
      <c r="J2002" s="6" t="s">
        <v>42</v>
      </c>
      <c r="K2002" s="38">
        <v>6364.21</v>
      </c>
      <c r="L2002" s="4" t="s">
        <v>24</v>
      </c>
      <c r="M2002" s="11">
        <f>_xlfn.NUMBERVALUE(LEFT(Table613[[#This Row],[Fiscal Year]], 4))</f>
        <v>2016</v>
      </c>
      <c r="N2002" s="42">
        <f>K2002*(1+VLOOKUP(M2002,$AF$8:$AH$31,3,0))</f>
        <v>6672.6355271250004</v>
      </c>
      <c r="O2002" s="3">
        <v>2000</v>
      </c>
    </row>
    <row r="2003" spans="1:15" x14ac:dyDescent="0.25">
      <c r="A2003" s="3">
        <v>9</v>
      </c>
      <c r="B2003" s="3" t="s">
        <v>278</v>
      </c>
      <c r="C2003" s="3" t="s">
        <v>262</v>
      </c>
      <c r="D2003" s="3" t="s">
        <v>444</v>
      </c>
      <c r="E2003" s="11" t="s">
        <v>144</v>
      </c>
      <c r="F2003" s="3" t="s">
        <v>8</v>
      </c>
      <c r="G2003" s="66" t="s">
        <v>1044</v>
      </c>
      <c r="H2003" s="8" t="s">
        <v>508</v>
      </c>
      <c r="I2003" s="8"/>
      <c r="J2003" s="6" t="s">
        <v>453</v>
      </c>
      <c r="K2003" s="38">
        <v>0</v>
      </c>
      <c r="L2003" s="4" t="s">
        <v>24</v>
      </c>
      <c r="M2003" s="11">
        <f>_xlfn.NUMBERVALUE(LEFT(Table613[[#This Row],[Fiscal Year]], 4))</f>
        <v>2016</v>
      </c>
      <c r="N2003" s="42">
        <f t="shared" si="43"/>
        <v>0</v>
      </c>
      <c r="O2003" s="3">
        <v>2001</v>
      </c>
    </row>
    <row r="2004" spans="1:15" x14ac:dyDescent="0.25">
      <c r="A2004" s="3">
        <v>9</v>
      </c>
      <c r="B2004" s="3" t="s">
        <v>278</v>
      </c>
      <c r="C2004" s="3" t="s">
        <v>262</v>
      </c>
      <c r="D2004" s="3" t="s">
        <v>444</v>
      </c>
      <c r="E2004" s="11" t="s">
        <v>144</v>
      </c>
      <c r="F2004" s="3" t="s">
        <v>8</v>
      </c>
      <c r="G2004" s="66" t="s">
        <v>1045</v>
      </c>
      <c r="H2004" s="8" t="s">
        <v>512</v>
      </c>
      <c r="I2004" s="8"/>
      <c r="J2004" s="6" t="s">
        <v>111</v>
      </c>
      <c r="K2004" s="38">
        <v>0</v>
      </c>
      <c r="L2004" s="4" t="s">
        <v>24</v>
      </c>
      <c r="M2004" s="11">
        <f>_xlfn.NUMBERVALUE(LEFT(Table613[[#This Row],[Fiscal Year]], 4))</f>
        <v>2016</v>
      </c>
      <c r="N2004" s="42">
        <f t="shared" si="43"/>
        <v>0</v>
      </c>
      <c r="O2004" s="3">
        <v>2002</v>
      </c>
    </row>
    <row r="2005" spans="1:15" x14ac:dyDescent="0.25">
      <c r="A2005" s="3">
        <v>9</v>
      </c>
      <c r="B2005" s="3" t="s">
        <v>278</v>
      </c>
      <c r="C2005" s="3" t="s">
        <v>262</v>
      </c>
      <c r="D2005" s="3" t="s">
        <v>444</v>
      </c>
      <c r="E2005" s="11" t="s">
        <v>144</v>
      </c>
      <c r="F2005" s="3" t="s">
        <v>8</v>
      </c>
      <c r="G2005" s="66" t="s">
        <v>1025</v>
      </c>
      <c r="H2005" s="8" t="s">
        <v>513</v>
      </c>
      <c r="I2005" s="8"/>
      <c r="J2005" s="6" t="s">
        <v>107</v>
      </c>
      <c r="K2005" s="38">
        <v>0</v>
      </c>
      <c r="L2005" s="4" t="s">
        <v>24</v>
      </c>
      <c r="M2005" s="11">
        <f>_xlfn.NUMBERVALUE(LEFT(Table613[[#This Row],[Fiscal Year]], 4))</f>
        <v>2016</v>
      </c>
      <c r="N2005" s="42">
        <f t="shared" si="43"/>
        <v>0</v>
      </c>
      <c r="O2005" s="3">
        <v>2003</v>
      </c>
    </row>
    <row r="2006" spans="1:15" x14ac:dyDescent="0.25">
      <c r="A2006" s="3">
        <v>9</v>
      </c>
      <c r="B2006" s="3" t="s">
        <v>278</v>
      </c>
      <c r="C2006" s="3" t="s">
        <v>262</v>
      </c>
      <c r="D2006" s="3" t="s">
        <v>444</v>
      </c>
      <c r="E2006" s="11" t="s">
        <v>144</v>
      </c>
      <c r="F2006" s="3" t="s">
        <v>8</v>
      </c>
      <c r="G2006" s="66" t="s">
        <v>1020</v>
      </c>
      <c r="H2006" s="8" t="s">
        <v>509</v>
      </c>
      <c r="I2006" s="8"/>
      <c r="J2006" s="6" t="s">
        <v>109</v>
      </c>
      <c r="K2006" s="38">
        <v>0</v>
      </c>
      <c r="L2006" s="4" t="s">
        <v>24</v>
      </c>
      <c r="M2006" s="11">
        <f>_xlfn.NUMBERVALUE(LEFT(Table613[[#This Row],[Fiscal Year]], 4))</f>
        <v>2016</v>
      </c>
      <c r="N2006" s="42">
        <f t="shared" si="43"/>
        <v>0</v>
      </c>
      <c r="O2006" s="3">
        <v>2004</v>
      </c>
    </row>
    <row r="2007" spans="1:15" x14ac:dyDescent="0.25">
      <c r="A2007" s="3">
        <v>9</v>
      </c>
      <c r="B2007" s="3" t="s">
        <v>278</v>
      </c>
      <c r="C2007" s="3" t="s">
        <v>262</v>
      </c>
      <c r="D2007" s="3" t="s">
        <v>444</v>
      </c>
      <c r="E2007" s="11" t="s">
        <v>144</v>
      </c>
      <c r="F2007" s="3" t="s">
        <v>8</v>
      </c>
      <c r="G2007" s="66" t="s">
        <v>1046</v>
      </c>
      <c r="H2007" s="8" t="s">
        <v>510</v>
      </c>
      <c r="I2007" s="8"/>
      <c r="J2007" s="6" t="s">
        <v>106</v>
      </c>
      <c r="K2007" s="38">
        <v>0</v>
      </c>
      <c r="L2007" s="4" t="s">
        <v>24</v>
      </c>
      <c r="M2007" s="11">
        <f>_xlfn.NUMBERVALUE(LEFT(Table613[[#This Row],[Fiscal Year]], 4))</f>
        <v>2016</v>
      </c>
      <c r="N2007" s="42">
        <f t="shared" si="43"/>
        <v>0</v>
      </c>
      <c r="O2007" s="3">
        <v>2005</v>
      </c>
    </row>
    <row r="2008" spans="1:15" x14ac:dyDescent="0.25">
      <c r="A2008" s="3">
        <v>9</v>
      </c>
      <c r="B2008" s="3" t="s">
        <v>278</v>
      </c>
      <c r="C2008" s="3" t="s">
        <v>262</v>
      </c>
      <c r="D2008" s="3" t="s">
        <v>444</v>
      </c>
      <c r="E2008" s="11" t="s">
        <v>144</v>
      </c>
      <c r="F2008" s="3" t="s">
        <v>8</v>
      </c>
      <c r="G2008" s="66" t="s">
        <v>1047</v>
      </c>
      <c r="H2008" s="8"/>
      <c r="I2008" s="8"/>
      <c r="J2008" s="6" t="s">
        <v>455</v>
      </c>
      <c r="K2008" s="38">
        <v>0</v>
      </c>
      <c r="L2008" s="4" t="s">
        <v>24</v>
      </c>
      <c r="M2008" s="11">
        <f>_xlfn.NUMBERVALUE(LEFT(Table613[[#This Row],[Fiscal Year]], 4))</f>
        <v>2016</v>
      </c>
      <c r="N2008" s="42">
        <f t="shared" si="43"/>
        <v>0</v>
      </c>
      <c r="O2008" s="3">
        <v>2006</v>
      </c>
    </row>
    <row r="2009" spans="1:15" x14ac:dyDescent="0.25">
      <c r="A2009" s="3">
        <v>9</v>
      </c>
      <c r="B2009" s="3" t="s">
        <v>278</v>
      </c>
      <c r="C2009" s="3" t="s">
        <v>262</v>
      </c>
      <c r="D2009" s="3" t="s">
        <v>444</v>
      </c>
      <c r="E2009" s="11" t="s">
        <v>144</v>
      </c>
      <c r="F2009" s="3" t="s">
        <v>8</v>
      </c>
      <c r="G2009" s="48" t="s">
        <v>1023</v>
      </c>
      <c r="H2009" s="8"/>
      <c r="I2009" s="8"/>
      <c r="J2009" s="6" t="s">
        <v>453</v>
      </c>
      <c r="K2009" s="38">
        <v>0</v>
      </c>
      <c r="L2009" s="4" t="s">
        <v>24</v>
      </c>
      <c r="M2009" s="11">
        <f>_xlfn.NUMBERVALUE(LEFT(Table613[[#This Row],[Fiscal Year]], 4))</f>
        <v>2016</v>
      </c>
      <c r="N2009" s="42">
        <f t="shared" si="43"/>
        <v>0</v>
      </c>
      <c r="O2009" s="3">
        <v>2007</v>
      </c>
    </row>
    <row r="2010" spans="1:15" x14ac:dyDescent="0.25">
      <c r="A2010" s="3">
        <v>9</v>
      </c>
      <c r="B2010" s="3" t="s">
        <v>278</v>
      </c>
      <c r="C2010" s="3" t="s">
        <v>262</v>
      </c>
      <c r="D2010" s="3" t="s">
        <v>444</v>
      </c>
      <c r="E2010" s="11" t="s">
        <v>144</v>
      </c>
      <c r="F2010" s="3" t="s">
        <v>8</v>
      </c>
      <c r="G2010" s="66" t="s">
        <v>1048</v>
      </c>
      <c r="H2010" s="8"/>
      <c r="I2010" s="8"/>
      <c r="J2010" s="6" t="s">
        <v>455</v>
      </c>
      <c r="K2010" s="38">
        <v>0</v>
      </c>
      <c r="L2010" s="4" t="s">
        <v>24</v>
      </c>
      <c r="M2010" s="11">
        <f>_xlfn.NUMBERVALUE(LEFT(Table613[[#This Row],[Fiscal Year]], 4))</f>
        <v>2016</v>
      </c>
      <c r="N2010" s="42">
        <f t="shared" si="43"/>
        <v>0</v>
      </c>
      <c r="O2010" s="3">
        <v>2008</v>
      </c>
    </row>
    <row r="2011" spans="1:15" x14ac:dyDescent="0.25">
      <c r="E2011" s="11"/>
      <c r="G2011" s="66"/>
      <c r="H2011" s="8"/>
      <c r="I2011" s="8"/>
      <c r="J2011" s="6"/>
      <c r="L2011" s="4"/>
      <c r="O2011" s="3">
        <v>2009</v>
      </c>
    </row>
    <row r="2012" spans="1:15" x14ac:dyDescent="0.25">
      <c r="A2012" s="3">
        <v>9</v>
      </c>
      <c r="B2012" s="3" t="s">
        <v>279</v>
      </c>
      <c r="C2012" s="3" t="s">
        <v>262</v>
      </c>
      <c r="D2012" s="3" t="s">
        <v>444</v>
      </c>
      <c r="E2012" s="11" t="s">
        <v>144</v>
      </c>
      <c r="F2012" s="3" t="s">
        <v>8</v>
      </c>
      <c r="G2012" s="48" t="s">
        <v>1026</v>
      </c>
      <c r="H2012" s="8" t="s">
        <v>1050</v>
      </c>
      <c r="I2012" s="8" t="s">
        <v>640</v>
      </c>
      <c r="J2012" s="6" t="s">
        <v>76</v>
      </c>
      <c r="K2012" s="38">
        <v>151740.89000000001</v>
      </c>
      <c r="L2012" s="4" t="s">
        <v>25</v>
      </c>
      <c r="M2012" s="11">
        <f>_xlfn.NUMBERVALUE(LEFT(Table613[[#This Row],[Fiscal Year]], 4))</f>
        <v>2017</v>
      </c>
      <c r="N2012" s="42">
        <f t="shared" si="43"/>
        <v>155784.21824394129</v>
      </c>
      <c r="O2012" s="3">
        <v>2010</v>
      </c>
    </row>
    <row r="2013" spans="1:15" x14ac:dyDescent="0.25">
      <c r="A2013" s="3">
        <v>9</v>
      </c>
      <c r="B2013" s="3" t="s">
        <v>279</v>
      </c>
      <c r="C2013" s="3" t="s">
        <v>262</v>
      </c>
      <c r="D2013" s="3" t="s">
        <v>444</v>
      </c>
      <c r="E2013" s="11" t="s">
        <v>144</v>
      </c>
      <c r="F2013" s="3" t="s">
        <v>8</v>
      </c>
      <c r="G2013" s="66" t="s">
        <v>1037</v>
      </c>
      <c r="H2013" s="8"/>
      <c r="I2013" s="8"/>
      <c r="J2013" s="6" t="s">
        <v>76</v>
      </c>
      <c r="K2013" s="38" t="s">
        <v>827</v>
      </c>
      <c r="L2013" s="4" t="s">
        <v>25</v>
      </c>
      <c r="M2013" s="11">
        <f>_xlfn.NUMBERVALUE(LEFT(Table613[[#This Row],[Fiscal Year]], 4))</f>
        <v>2017</v>
      </c>
      <c r="O2013" s="3">
        <v>2011</v>
      </c>
    </row>
    <row r="2014" spans="1:15" x14ac:dyDescent="0.25">
      <c r="A2014" s="3">
        <v>9</v>
      </c>
      <c r="B2014" s="3" t="s">
        <v>279</v>
      </c>
      <c r="C2014" s="3" t="s">
        <v>262</v>
      </c>
      <c r="D2014" s="3" t="s">
        <v>444</v>
      </c>
      <c r="E2014" s="11" t="s">
        <v>144</v>
      </c>
      <c r="F2014" s="3" t="s">
        <v>8</v>
      </c>
      <c r="G2014" s="66" t="s">
        <v>1010</v>
      </c>
      <c r="H2014" s="8"/>
      <c r="I2014" s="8"/>
      <c r="J2014" s="6" t="s">
        <v>76</v>
      </c>
      <c r="K2014" s="38" t="s">
        <v>827</v>
      </c>
      <c r="L2014" s="4" t="s">
        <v>25</v>
      </c>
      <c r="M2014" s="11">
        <f>_xlfn.NUMBERVALUE(LEFT(Table613[[#This Row],[Fiscal Year]], 4))</f>
        <v>2017</v>
      </c>
      <c r="O2014" s="3">
        <v>2012</v>
      </c>
    </row>
    <row r="2015" spans="1:15" x14ac:dyDescent="0.25">
      <c r="A2015" s="3">
        <v>9</v>
      </c>
      <c r="B2015" s="3" t="s">
        <v>279</v>
      </c>
      <c r="C2015" s="3" t="s">
        <v>262</v>
      </c>
      <c r="D2015" s="3" t="s">
        <v>444</v>
      </c>
      <c r="E2015" s="11" t="s">
        <v>144</v>
      </c>
      <c r="F2015" s="3" t="s">
        <v>8</v>
      </c>
      <c r="G2015" s="48" t="s">
        <v>1011</v>
      </c>
      <c r="H2015" s="8" t="s">
        <v>511</v>
      </c>
      <c r="I2015" s="8"/>
      <c r="J2015" s="6" t="s">
        <v>110</v>
      </c>
      <c r="K2015" s="38">
        <v>228888.31</v>
      </c>
      <c r="L2015" s="4" t="s">
        <v>25</v>
      </c>
      <c r="M2015" s="11">
        <f>_xlfn.NUMBERVALUE(LEFT(Table613[[#This Row],[Fiscal Year]], 4))</f>
        <v>2017</v>
      </c>
      <c r="N2015" s="42">
        <f t="shared" si="43"/>
        <v>234987.32898249695</v>
      </c>
      <c r="O2015" s="3">
        <v>2013</v>
      </c>
    </row>
    <row r="2016" spans="1:15" x14ac:dyDescent="0.25">
      <c r="A2016" s="3">
        <v>9</v>
      </c>
      <c r="B2016" s="3" t="s">
        <v>279</v>
      </c>
      <c r="C2016" s="3" t="s">
        <v>262</v>
      </c>
      <c r="D2016" s="3" t="s">
        <v>444</v>
      </c>
      <c r="E2016" s="11" t="s">
        <v>144</v>
      </c>
      <c r="F2016" s="3" t="s">
        <v>8</v>
      </c>
      <c r="G2016" s="48" t="s">
        <v>1038</v>
      </c>
      <c r="H2016" s="8" t="s">
        <v>507</v>
      </c>
      <c r="I2016" s="8"/>
      <c r="J2016" s="6" t="s">
        <v>108</v>
      </c>
      <c r="K2016" s="38">
        <v>34870.26</v>
      </c>
      <c r="L2016" s="4" t="s">
        <v>25</v>
      </c>
      <c r="M2016" s="11">
        <f>_xlfn.NUMBERVALUE(LEFT(Table613[[#This Row],[Fiscal Year]], 4))</f>
        <v>2017</v>
      </c>
      <c r="N2016" s="42">
        <f t="shared" si="43"/>
        <v>35799.422252386787</v>
      </c>
      <c r="O2016" s="3">
        <v>2014</v>
      </c>
    </row>
    <row r="2017" spans="1:15" x14ac:dyDescent="0.25">
      <c r="A2017" s="3">
        <v>9</v>
      </c>
      <c r="B2017" s="3" t="s">
        <v>279</v>
      </c>
      <c r="C2017" s="3" t="s">
        <v>262</v>
      </c>
      <c r="D2017" s="3" t="s">
        <v>444</v>
      </c>
      <c r="E2017" s="11" t="s">
        <v>144</v>
      </c>
      <c r="F2017" s="3" t="s">
        <v>8</v>
      </c>
      <c r="G2017" s="48" t="s">
        <v>1039</v>
      </c>
      <c r="H2017" s="8" t="s">
        <v>507</v>
      </c>
      <c r="I2017" s="8"/>
      <c r="J2017" s="6" t="s">
        <v>108</v>
      </c>
      <c r="K2017" s="38">
        <v>13030.13</v>
      </c>
      <c r="L2017" s="4" t="s">
        <v>25</v>
      </c>
      <c r="M2017" s="11">
        <f>_xlfn.NUMBERVALUE(LEFT(Table613[[#This Row],[Fiscal Year]], 4))</f>
        <v>2017</v>
      </c>
      <c r="N2017" s="42">
        <f t="shared" si="43"/>
        <v>13377.334320807835</v>
      </c>
      <c r="O2017" s="3">
        <v>2015</v>
      </c>
    </row>
    <row r="2018" spans="1:15" x14ac:dyDescent="0.25">
      <c r="A2018" s="3">
        <v>9</v>
      </c>
      <c r="B2018" s="3" t="s">
        <v>279</v>
      </c>
      <c r="C2018" s="3" t="s">
        <v>262</v>
      </c>
      <c r="D2018" s="3" t="s">
        <v>444</v>
      </c>
      <c r="E2018" s="11" t="s">
        <v>144</v>
      </c>
      <c r="F2018" s="3" t="s">
        <v>8</v>
      </c>
      <c r="G2018" s="48" t="s">
        <v>1040</v>
      </c>
      <c r="H2018" s="8" t="s">
        <v>507</v>
      </c>
      <c r="I2018" s="8"/>
      <c r="J2018" s="6" t="s">
        <v>108</v>
      </c>
      <c r="K2018" s="38">
        <v>125726.47</v>
      </c>
      <c r="L2018" s="4" t="s">
        <v>25</v>
      </c>
      <c r="M2018" s="11">
        <f>_xlfn.NUMBERVALUE(LEFT(Table613[[#This Row],[Fiscal Year]], 4))</f>
        <v>2017</v>
      </c>
      <c r="N2018" s="42">
        <f t="shared" si="43"/>
        <v>129076.61106719708</v>
      </c>
      <c r="O2018" s="3">
        <v>2016</v>
      </c>
    </row>
    <row r="2019" spans="1:15" x14ac:dyDescent="0.25">
      <c r="A2019" s="3">
        <v>9</v>
      </c>
      <c r="B2019" s="3" t="s">
        <v>279</v>
      </c>
      <c r="C2019" s="3" t="s">
        <v>262</v>
      </c>
      <c r="D2019" s="3" t="s">
        <v>444</v>
      </c>
      <c r="E2019" s="11" t="s">
        <v>144</v>
      </c>
      <c r="F2019" s="3" t="s">
        <v>8</v>
      </c>
      <c r="G2019" s="48" t="s">
        <v>1041</v>
      </c>
      <c r="H2019" s="8" t="s">
        <v>507</v>
      </c>
      <c r="I2019" s="8"/>
      <c r="J2019" s="6" t="s">
        <v>108</v>
      </c>
      <c r="K2019" s="38">
        <v>0</v>
      </c>
      <c r="L2019" s="4" t="s">
        <v>25</v>
      </c>
      <c r="M2019" s="11">
        <f>_xlfn.NUMBERVALUE(LEFT(Table613[[#This Row],[Fiscal Year]], 4))</f>
        <v>2017</v>
      </c>
      <c r="N2019" s="42">
        <f t="shared" si="43"/>
        <v>0</v>
      </c>
      <c r="O2019" s="3">
        <v>2017</v>
      </c>
    </row>
    <row r="2020" spans="1:15" x14ac:dyDescent="0.25">
      <c r="A2020" s="3">
        <v>9</v>
      </c>
      <c r="B2020" s="3" t="s">
        <v>279</v>
      </c>
      <c r="C2020" s="3" t="s">
        <v>262</v>
      </c>
      <c r="D2020" s="3" t="s">
        <v>444</v>
      </c>
      <c r="E2020" s="11" t="s">
        <v>144</v>
      </c>
      <c r="F2020" s="3" t="s">
        <v>8</v>
      </c>
      <c r="G2020" s="48" t="s">
        <v>1042</v>
      </c>
      <c r="H2020" s="8" t="s">
        <v>507</v>
      </c>
      <c r="I2020" s="8"/>
      <c r="J2020" s="6" t="s">
        <v>108</v>
      </c>
      <c r="K2020" s="38">
        <v>0</v>
      </c>
      <c r="L2020" s="4" t="s">
        <v>25</v>
      </c>
      <c r="M2020" s="11">
        <f>_xlfn.NUMBERVALUE(LEFT(Table613[[#This Row],[Fiscal Year]], 4))</f>
        <v>2017</v>
      </c>
      <c r="N2020" s="42">
        <f t="shared" si="43"/>
        <v>0</v>
      </c>
      <c r="O2020" s="3">
        <v>2018</v>
      </c>
    </row>
    <row r="2021" spans="1:15" x14ac:dyDescent="0.25">
      <c r="A2021" s="3">
        <v>9</v>
      </c>
      <c r="B2021" s="3" t="s">
        <v>279</v>
      </c>
      <c r="C2021" s="3" t="s">
        <v>262</v>
      </c>
      <c r="D2021" s="3" t="s">
        <v>444</v>
      </c>
      <c r="E2021" s="11" t="s">
        <v>144</v>
      </c>
      <c r="F2021" s="3" t="s">
        <v>8</v>
      </c>
      <c r="G2021" s="66" t="s">
        <v>1043</v>
      </c>
      <c r="H2021" s="8" t="s">
        <v>508</v>
      </c>
      <c r="I2021" s="8"/>
      <c r="J2021" s="6" t="s">
        <v>42</v>
      </c>
      <c r="K2021" s="38">
        <v>0</v>
      </c>
      <c r="L2021" s="4" t="s">
        <v>25</v>
      </c>
      <c r="M2021" s="11">
        <f>_xlfn.NUMBERVALUE(LEFT(Table613[[#This Row],[Fiscal Year]], 4))</f>
        <v>2017</v>
      </c>
      <c r="N2021" s="42">
        <f t="shared" si="43"/>
        <v>0</v>
      </c>
      <c r="O2021" s="3">
        <v>2019</v>
      </c>
    </row>
    <row r="2022" spans="1:15" x14ac:dyDescent="0.25">
      <c r="A2022" s="3">
        <v>9</v>
      </c>
      <c r="B2022" s="3" t="s">
        <v>279</v>
      </c>
      <c r="C2022" s="3" t="s">
        <v>262</v>
      </c>
      <c r="D2022" s="3" t="s">
        <v>444</v>
      </c>
      <c r="E2022" s="11" t="s">
        <v>144</v>
      </c>
      <c r="F2022" s="3" t="s">
        <v>8</v>
      </c>
      <c r="G2022" s="66" t="s">
        <v>1044</v>
      </c>
      <c r="H2022" s="8" t="s">
        <v>508</v>
      </c>
      <c r="I2022" s="8"/>
      <c r="J2022" s="6" t="s">
        <v>453</v>
      </c>
      <c r="K2022" s="38">
        <v>0</v>
      </c>
      <c r="L2022" s="4" t="s">
        <v>25</v>
      </c>
      <c r="M2022" s="11">
        <f>_xlfn.NUMBERVALUE(LEFT(Table613[[#This Row],[Fiscal Year]], 4))</f>
        <v>2017</v>
      </c>
      <c r="N2022" s="42">
        <f t="shared" si="43"/>
        <v>0</v>
      </c>
      <c r="O2022" s="3">
        <v>2020</v>
      </c>
    </row>
    <row r="2023" spans="1:15" x14ac:dyDescent="0.25">
      <c r="A2023" s="3">
        <v>9</v>
      </c>
      <c r="B2023" s="3" t="s">
        <v>279</v>
      </c>
      <c r="C2023" s="3" t="s">
        <v>262</v>
      </c>
      <c r="D2023" s="3" t="s">
        <v>444</v>
      </c>
      <c r="E2023" s="11" t="s">
        <v>144</v>
      </c>
      <c r="F2023" s="3" t="s">
        <v>8</v>
      </c>
      <c r="G2023" s="66" t="s">
        <v>1045</v>
      </c>
      <c r="H2023" s="8" t="s">
        <v>512</v>
      </c>
      <c r="I2023" s="8"/>
      <c r="J2023" s="6" t="s">
        <v>111</v>
      </c>
      <c r="K2023" s="38">
        <v>0</v>
      </c>
      <c r="L2023" s="4" t="s">
        <v>25</v>
      </c>
      <c r="M2023" s="11">
        <f>_xlfn.NUMBERVALUE(LEFT(Table613[[#This Row],[Fiscal Year]], 4))</f>
        <v>2017</v>
      </c>
      <c r="N2023" s="42">
        <f t="shared" si="43"/>
        <v>0</v>
      </c>
      <c r="O2023" s="3">
        <v>2021</v>
      </c>
    </row>
    <row r="2024" spans="1:15" x14ac:dyDescent="0.25">
      <c r="A2024" s="3">
        <v>9</v>
      </c>
      <c r="B2024" s="3" t="s">
        <v>279</v>
      </c>
      <c r="C2024" s="3" t="s">
        <v>262</v>
      </c>
      <c r="D2024" s="3" t="s">
        <v>444</v>
      </c>
      <c r="E2024" s="11" t="s">
        <v>144</v>
      </c>
      <c r="F2024" s="3" t="s">
        <v>8</v>
      </c>
      <c r="G2024" s="66" t="s">
        <v>1025</v>
      </c>
      <c r="H2024" s="8" t="s">
        <v>513</v>
      </c>
      <c r="I2024" s="8"/>
      <c r="J2024" s="6" t="s">
        <v>107</v>
      </c>
      <c r="K2024" s="38">
        <v>0</v>
      </c>
      <c r="L2024" s="4" t="s">
        <v>25</v>
      </c>
      <c r="M2024" s="11">
        <f>_xlfn.NUMBERVALUE(LEFT(Table613[[#This Row],[Fiscal Year]], 4))</f>
        <v>2017</v>
      </c>
      <c r="N2024" s="42">
        <f t="shared" ref="N2024:N2044" si="44">K2024*(1+VLOOKUP(M2024,$AF$8:$AH$31,3,0))</f>
        <v>0</v>
      </c>
      <c r="O2024" s="3">
        <v>2022</v>
      </c>
    </row>
    <row r="2025" spans="1:15" x14ac:dyDescent="0.25">
      <c r="A2025" s="3">
        <v>9</v>
      </c>
      <c r="B2025" s="3" t="s">
        <v>279</v>
      </c>
      <c r="C2025" s="3" t="s">
        <v>262</v>
      </c>
      <c r="D2025" s="3" t="s">
        <v>444</v>
      </c>
      <c r="E2025" s="11" t="s">
        <v>144</v>
      </c>
      <c r="F2025" s="3" t="s">
        <v>8</v>
      </c>
      <c r="G2025" s="66" t="s">
        <v>1020</v>
      </c>
      <c r="H2025" s="8" t="s">
        <v>509</v>
      </c>
      <c r="I2025" s="8"/>
      <c r="J2025" s="6" t="s">
        <v>109</v>
      </c>
      <c r="K2025" s="38">
        <v>0</v>
      </c>
      <c r="L2025" s="4" t="s">
        <v>25</v>
      </c>
      <c r="M2025" s="11">
        <f>_xlfn.NUMBERVALUE(LEFT(Table613[[#This Row],[Fiscal Year]], 4))</f>
        <v>2017</v>
      </c>
      <c r="N2025" s="42">
        <f t="shared" si="44"/>
        <v>0</v>
      </c>
      <c r="O2025" s="3">
        <v>2023</v>
      </c>
    </row>
    <row r="2026" spans="1:15" x14ac:dyDescent="0.25">
      <c r="A2026" s="3">
        <v>9</v>
      </c>
      <c r="B2026" s="3" t="s">
        <v>279</v>
      </c>
      <c r="C2026" s="3" t="s">
        <v>262</v>
      </c>
      <c r="D2026" s="3" t="s">
        <v>444</v>
      </c>
      <c r="E2026" s="11" t="s">
        <v>144</v>
      </c>
      <c r="F2026" s="3" t="s">
        <v>8</v>
      </c>
      <c r="G2026" s="66" t="s">
        <v>1046</v>
      </c>
      <c r="H2026" s="8" t="s">
        <v>510</v>
      </c>
      <c r="I2026" s="8"/>
      <c r="J2026" s="6" t="s">
        <v>106</v>
      </c>
      <c r="K2026" s="38">
        <v>0</v>
      </c>
      <c r="L2026" s="4" t="s">
        <v>25</v>
      </c>
      <c r="M2026" s="11">
        <f>_xlfn.NUMBERVALUE(LEFT(Table613[[#This Row],[Fiscal Year]], 4))</f>
        <v>2017</v>
      </c>
      <c r="N2026" s="42">
        <f t="shared" si="44"/>
        <v>0</v>
      </c>
      <c r="O2026" s="3">
        <v>2024</v>
      </c>
    </row>
    <row r="2027" spans="1:15" x14ac:dyDescent="0.25">
      <c r="A2027" s="3">
        <v>9</v>
      </c>
      <c r="B2027" s="3" t="s">
        <v>279</v>
      </c>
      <c r="C2027" s="3" t="s">
        <v>262</v>
      </c>
      <c r="D2027" s="3" t="s">
        <v>444</v>
      </c>
      <c r="E2027" s="11" t="s">
        <v>144</v>
      </c>
      <c r="F2027" s="3" t="s">
        <v>8</v>
      </c>
      <c r="G2027" s="66" t="s">
        <v>1047</v>
      </c>
      <c r="H2027" s="8" t="s">
        <v>1049</v>
      </c>
      <c r="I2027" s="8"/>
      <c r="J2027" s="6" t="s">
        <v>455</v>
      </c>
      <c r="K2027" s="38">
        <v>127387.13</v>
      </c>
      <c r="L2027" s="4" t="s">
        <v>25</v>
      </c>
      <c r="M2027" s="11">
        <f>_xlfn.NUMBERVALUE(LEFT(Table613[[#This Row],[Fiscal Year]], 4))</f>
        <v>2017</v>
      </c>
      <c r="N2027" s="42">
        <f t="shared" si="44"/>
        <v>130781.52145667077</v>
      </c>
      <c r="O2027" s="3">
        <v>2025</v>
      </c>
    </row>
    <row r="2028" spans="1:15" x14ac:dyDescent="0.25">
      <c r="E2028" s="11"/>
      <c r="G2028" s="66"/>
      <c r="H2028" s="8"/>
      <c r="I2028" s="8"/>
      <c r="J2028" s="6"/>
      <c r="L2028" s="4"/>
      <c r="O2028" s="3">
        <v>2026</v>
      </c>
    </row>
    <row r="2029" spans="1:15" x14ac:dyDescent="0.25">
      <c r="A2029" s="9">
        <v>9</v>
      </c>
      <c r="B2029" s="3" t="s">
        <v>280</v>
      </c>
      <c r="C2029" s="3" t="s">
        <v>262</v>
      </c>
      <c r="D2029" s="3" t="s">
        <v>444</v>
      </c>
      <c r="E2029" s="11" t="s">
        <v>144</v>
      </c>
      <c r="F2029" s="3" t="s">
        <v>8</v>
      </c>
      <c r="G2029" s="48" t="s">
        <v>1008</v>
      </c>
      <c r="H2029" s="8"/>
      <c r="I2029" s="8" t="s">
        <v>640</v>
      </c>
      <c r="J2029" s="6" t="s">
        <v>76</v>
      </c>
      <c r="K2029" s="38">
        <v>206411</v>
      </c>
      <c r="L2029" s="4" t="s">
        <v>25</v>
      </c>
      <c r="M2029" s="11">
        <f>_xlfn.NUMBERVALUE(LEFT(Table613[[#This Row],[Fiscal Year]], 4))</f>
        <v>2017</v>
      </c>
      <c r="N2029" s="42">
        <f t="shared" si="44"/>
        <v>211911.08258261936</v>
      </c>
      <c r="O2029" s="3">
        <v>2027</v>
      </c>
    </row>
    <row r="2030" spans="1:15" x14ac:dyDescent="0.25">
      <c r="A2030" s="9">
        <v>9</v>
      </c>
      <c r="B2030" s="3" t="s">
        <v>280</v>
      </c>
      <c r="C2030" s="3" t="s">
        <v>262</v>
      </c>
      <c r="D2030" s="3" t="s">
        <v>444</v>
      </c>
      <c r="E2030" s="11" t="s">
        <v>144</v>
      </c>
      <c r="F2030" s="3" t="s">
        <v>8</v>
      </c>
      <c r="G2030" s="48" t="s">
        <v>1051</v>
      </c>
      <c r="H2030" s="8"/>
      <c r="I2030" s="8"/>
      <c r="J2030" s="6" t="s">
        <v>76</v>
      </c>
      <c r="K2030" s="38">
        <v>130000</v>
      </c>
      <c r="L2030" s="4" t="s">
        <v>25</v>
      </c>
      <c r="M2030" s="11">
        <f>_xlfn.NUMBERVALUE(LEFT(Table613[[#This Row],[Fiscal Year]], 4))</f>
        <v>2017</v>
      </c>
      <c r="N2030" s="42">
        <f t="shared" si="44"/>
        <v>133464.0146878825</v>
      </c>
      <c r="O2030" s="3">
        <v>2028</v>
      </c>
    </row>
    <row r="2031" spans="1:15" x14ac:dyDescent="0.25">
      <c r="A2031" s="9">
        <v>9</v>
      </c>
      <c r="B2031" s="3" t="s">
        <v>280</v>
      </c>
      <c r="C2031" s="3" t="s">
        <v>262</v>
      </c>
      <c r="D2031" s="3" t="s">
        <v>444</v>
      </c>
      <c r="E2031" s="11" t="s">
        <v>144</v>
      </c>
      <c r="F2031" s="3" t="s">
        <v>8</v>
      </c>
      <c r="G2031" s="66" t="s">
        <v>1010</v>
      </c>
      <c r="H2031" s="8"/>
      <c r="I2031" s="8"/>
      <c r="J2031" s="6" t="s">
        <v>76</v>
      </c>
      <c r="K2031" s="38">
        <v>0</v>
      </c>
      <c r="L2031" s="4" t="s">
        <v>25</v>
      </c>
      <c r="M2031" s="11">
        <f>_xlfn.NUMBERVALUE(LEFT(Table613[[#This Row],[Fiscal Year]], 4))</f>
        <v>2017</v>
      </c>
      <c r="N2031" s="42">
        <f t="shared" si="44"/>
        <v>0</v>
      </c>
      <c r="O2031" s="3">
        <v>2029</v>
      </c>
    </row>
    <row r="2032" spans="1:15" x14ac:dyDescent="0.25">
      <c r="A2032" s="9">
        <v>9</v>
      </c>
      <c r="B2032" s="3" t="s">
        <v>280</v>
      </c>
      <c r="C2032" s="3" t="s">
        <v>262</v>
      </c>
      <c r="D2032" s="3" t="s">
        <v>444</v>
      </c>
      <c r="E2032" s="11" t="s">
        <v>144</v>
      </c>
      <c r="F2032" s="3" t="s">
        <v>8</v>
      </c>
      <c r="G2032" s="48" t="s">
        <v>1011</v>
      </c>
      <c r="H2032" s="8" t="s">
        <v>511</v>
      </c>
      <c r="I2032" s="8"/>
      <c r="J2032" s="6" t="s">
        <v>110</v>
      </c>
      <c r="K2032" s="38">
        <v>158359</v>
      </c>
      <c r="L2032" s="4" t="s">
        <v>25</v>
      </c>
      <c r="M2032" s="11">
        <f>_xlfn.NUMBERVALUE(LEFT(Table613[[#This Row],[Fiscal Year]], 4))</f>
        <v>2017</v>
      </c>
      <c r="N2032" s="42">
        <f t="shared" si="44"/>
        <v>162578.67616891066</v>
      </c>
      <c r="O2032" s="3">
        <v>2030</v>
      </c>
    </row>
    <row r="2033" spans="1:15" x14ac:dyDescent="0.25">
      <c r="A2033" s="9">
        <v>9</v>
      </c>
      <c r="B2033" s="3" t="s">
        <v>280</v>
      </c>
      <c r="C2033" s="3" t="s">
        <v>262</v>
      </c>
      <c r="D2033" s="3" t="s">
        <v>444</v>
      </c>
      <c r="E2033" s="11" t="s">
        <v>144</v>
      </c>
      <c r="F2033" s="3" t="s">
        <v>8</v>
      </c>
      <c r="G2033" s="48" t="s">
        <v>1052</v>
      </c>
      <c r="H2033" s="8" t="s">
        <v>507</v>
      </c>
      <c r="I2033" s="8"/>
      <c r="J2033" s="6" t="s">
        <v>108</v>
      </c>
      <c r="K2033" s="38">
        <v>24265</v>
      </c>
      <c r="L2033" s="4" t="s">
        <v>25</v>
      </c>
      <c r="M2033" s="11">
        <f>_xlfn.NUMBERVALUE(LEFT(Table613[[#This Row],[Fiscal Year]], 4))</f>
        <v>2017</v>
      </c>
      <c r="N2033" s="42">
        <f t="shared" si="44"/>
        <v>24911.571664626685</v>
      </c>
      <c r="O2033" s="3">
        <v>2031</v>
      </c>
    </row>
    <row r="2034" spans="1:15" x14ac:dyDescent="0.25">
      <c r="A2034" s="9">
        <v>9</v>
      </c>
      <c r="B2034" s="3" t="s">
        <v>280</v>
      </c>
      <c r="C2034" s="3" t="s">
        <v>262</v>
      </c>
      <c r="D2034" s="3" t="s">
        <v>444</v>
      </c>
      <c r="E2034" s="11" t="s">
        <v>144</v>
      </c>
      <c r="F2034" s="3" t="s">
        <v>8</v>
      </c>
      <c r="G2034" s="48" t="s">
        <v>1053</v>
      </c>
      <c r="H2034" s="8" t="s">
        <v>507</v>
      </c>
      <c r="I2034" s="8"/>
      <c r="J2034" s="6" t="s">
        <v>108</v>
      </c>
      <c r="K2034" s="38">
        <v>431278</v>
      </c>
      <c r="L2034" s="4" t="s">
        <v>25</v>
      </c>
      <c r="M2034" s="11">
        <f>_xlfn.NUMBERVALUE(LEFT(Table613[[#This Row],[Fiscal Year]], 4))</f>
        <v>2017</v>
      </c>
      <c r="N2034" s="42">
        <f t="shared" si="44"/>
        <v>442769.94866585074</v>
      </c>
      <c r="O2034" s="3">
        <v>2032</v>
      </c>
    </row>
    <row r="2035" spans="1:15" x14ac:dyDescent="0.25">
      <c r="A2035" s="9">
        <v>9</v>
      </c>
      <c r="B2035" s="3" t="s">
        <v>280</v>
      </c>
      <c r="C2035" s="3" t="s">
        <v>262</v>
      </c>
      <c r="D2035" s="3" t="s">
        <v>444</v>
      </c>
      <c r="E2035" s="11" t="s">
        <v>144</v>
      </c>
      <c r="F2035" s="3" t="s">
        <v>8</v>
      </c>
      <c r="G2035" s="48" t="s">
        <v>1040</v>
      </c>
      <c r="H2035" s="8" t="s">
        <v>507</v>
      </c>
      <c r="I2035" s="8"/>
      <c r="J2035" s="6" t="s">
        <v>108</v>
      </c>
      <c r="K2035" s="38">
        <v>176903</v>
      </c>
      <c r="L2035" s="4" t="s">
        <v>25</v>
      </c>
      <c r="M2035" s="11">
        <f>_xlfn.NUMBERVALUE(LEFT(Table613[[#This Row],[Fiscal Year]], 4))</f>
        <v>2017</v>
      </c>
      <c r="N2035" s="42">
        <f t="shared" si="44"/>
        <v>181616.80454100369</v>
      </c>
      <c r="O2035" s="3">
        <v>2033</v>
      </c>
    </row>
    <row r="2036" spans="1:15" x14ac:dyDescent="0.25">
      <c r="A2036" s="9">
        <v>9</v>
      </c>
      <c r="B2036" s="3" t="s">
        <v>280</v>
      </c>
      <c r="C2036" s="3" t="s">
        <v>262</v>
      </c>
      <c r="D2036" s="3" t="s">
        <v>444</v>
      </c>
      <c r="E2036" s="11" t="s">
        <v>144</v>
      </c>
      <c r="F2036" s="3" t="s">
        <v>8</v>
      </c>
      <c r="G2036" s="48" t="s">
        <v>1041</v>
      </c>
      <c r="H2036" s="8" t="s">
        <v>507</v>
      </c>
      <c r="I2036" s="8"/>
      <c r="J2036" s="6" t="s">
        <v>108</v>
      </c>
      <c r="K2036" s="38">
        <v>7112</v>
      </c>
      <c r="L2036" s="4" t="s">
        <v>25</v>
      </c>
      <c r="M2036" s="11">
        <f>_xlfn.NUMBERVALUE(LEFT(Table613[[#This Row],[Fiscal Year]], 4))</f>
        <v>2017</v>
      </c>
      <c r="N2036" s="42">
        <f t="shared" si="44"/>
        <v>7301.5082496940031</v>
      </c>
      <c r="O2036" s="3">
        <v>2034</v>
      </c>
    </row>
    <row r="2037" spans="1:15" x14ac:dyDescent="0.25">
      <c r="A2037" s="9">
        <v>9</v>
      </c>
      <c r="B2037" s="3" t="s">
        <v>280</v>
      </c>
      <c r="C2037" s="3" t="s">
        <v>262</v>
      </c>
      <c r="D2037" s="3" t="s">
        <v>444</v>
      </c>
      <c r="E2037" s="11" t="s">
        <v>144</v>
      </c>
      <c r="F2037" s="3" t="s">
        <v>8</v>
      </c>
      <c r="G2037" s="48" t="s">
        <v>1042</v>
      </c>
      <c r="H2037" s="8" t="s">
        <v>507</v>
      </c>
      <c r="I2037" s="8"/>
      <c r="J2037" s="6" t="s">
        <v>108</v>
      </c>
      <c r="K2037" s="38">
        <v>3793</v>
      </c>
      <c r="L2037" s="4" t="s">
        <v>25</v>
      </c>
      <c r="M2037" s="11">
        <f>_xlfn.NUMBERVALUE(LEFT(Table613[[#This Row],[Fiscal Year]], 4))</f>
        <v>2017</v>
      </c>
      <c r="N2037" s="42">
        <f t="shared" si="44"/>
        <v>3894.0692900856798</v>
      </c>
      <c r="O2037" s="3">
        <v>2035</v>
      </c>
    </row>
    <row r="2038" spans="1:15" x14ac:dyDescent="0.25">
      <c r="A2038" s="9">
        <v>9</v>
      </c>
      <c r="B2038" s="3" t="s">
        <v>280</v>
      </c>
      <c r="C2038" s="3" t="s">
        <v>262</v>
      </c>
      <c r="D2038" s="3" t="s">
        <v>444</v>
      </c>
      <c r="E2038" s="11" t="s">
        <v>144</v>
      </c>
      <c r="F2038" s="3" t="s">
        <v>8</v>
      </c>
      <c r="G2038" s="66" t="s">
        <v>1043</v>
      </c>
      <c r="H2038" s="8" t="s">
        <v>508</v>
      </c>
      <c r="I2038" s="8"/>
      <c r="J2038" s="6" t="s">
        <v>42</v>
      </c>
      <c r="K2038" s="38">
        <v>68286</v>
      </c>
      <c r="L2038" s="4" t="s">
        <v>25</v>
      </c>
      <c r="M2038" s="11">
        <f>_xlfn.NUMBERVALUE(LEFT(Table613[[#This Row],[Fiscal Year]], 4))</f>
        <v>2017</v>
      </c>
      <c r="N2038" s="42">
        <f t="shared" si="44"/>
        <v>70105.566976744201</v>
      </c>
      <c r="O2038" s="3">
        <v>2036</v>
      </c>
    </row>
    <row r="2039" spans="1:15" x14ac:dyDescent="0.25">
      <c r="A2039" s="9">
        <v>9</v>
      </c>
      <c r="B2039" s="3" t="s">
        <v>280</v>
      </c>
      <c r="C2039" s="3" t="s">
        <v>262</v>
      </c>
      <c r="D2039" s="3" t="s">
        <v>444</v>
      </c>
      <c r="E2039" s="11" t="s">
        <v>144</v>
      </c>
      <c r="F2039" s="3" t="s">
        <v>8</v>
      </c>
      <c r="G2039" s="66" t="s">
        <v>1044</v>
      </c>
      <c r="H2039" s="8" t="s">
        <v>508</v>
      </c>
      <c r="I2039" s="8"/>
      <c r="J2039" s="6" t="s">
        <v>453</v>
      </c>
      <c r="K2039" s="38">
        <v>8255</v>
      </c>
      <c r="L2039" s="4" t="s">
        <v>25</v>
      </c>
      <c r="M2039" s="11">
        <f>_xlfn.NUMBERVALUE(LEFT(Table613[[#This Row],[Fiscal Year]], 4))</f>
        <v>2017</v>
      </c>
      <c r="N2039" s="42">
        <f t="shared" si="44"/>
        <v>8474.9649326805393</v>
      </c>
      <c r="O2039" s="3">
        <v>2037</v>
      </c>
    </row>
    <row r="2040" spans="1:15" x14ac:dyDescent="0.25">
      <c r="A2040" s="9">
        <v>9</v>
      </c>
      <c r="B2040" s="3" t="s">
        <v>280</v>
      </c>
      <c r="C2040" s="3" t="s">
        <v>262</v>
      </c>
      <c r="D2040" s="3" t="s">
        <v>444</v>
      </c>
      <c r="E2040" s="11" t="s">
        <v>144</v>
      </c>
      <c r="F2040" s="3" t="s">
        <v>8</v>
      </c>
      <c r="G2040" s="66" t="s">
        <v>1045</v>
      </c>
      <c r="H2040" s="8" t="s">
        <v>512</v>
      </c>
      <c r="I2040" s="8"/>
      <c r="J2040" s="6" t="s">
        <v>111</v>
      </c>
      <c r="K2040" s="38">
        <v>43038</v>
      </c>
      <c r="L2040" s="4" t="s">
        <v>25</v>
      </c>
      <c r="M2040" s="11">
        <f>_xlfn.NUMBERVALUE(LEFT(Table613[[#This Row],[Fiscal Year]], 4))</f>
        <v>2017</v>
      </c>
      <c r="N2040" s="42">
        <f t="shared" si="44"/>
        <v>44184.802031823754</v>
      </c>
      <c r="O2040" s="3">
        <v>2038</v>
      </c>
    </row>
    <row r="2041" spans="1:15" x14ac:dyDescent="0.25">
      <c r="A2041" s="9">
        <v>9</v>
      </c>
      <c r="B2041" s="3" t="s">
        <v>280</v>
      </c>
      <c r="C2041" s="3" t="s">
        <v>262</v>
      </c>
      <c r="D2041" s="3" t="s">
        <v>444</v>
      </c>
      <c r="E2041" s="11" t="s">
        <v>144</v>
      </c>
      <c r="F2041" s="3" t="s">
        <v>8</v>
      </c>
      <c r="G2041" s="66" t="s">
        <v>1025</v>
      </c>
      <c r="H2041" s="8" t="s">
        <v>513</v>
      </c>
      <c r="I2041" s="8"/>
      <c r="J2041" s="6" t="s">
        <v>107</v>
      </c>
      <c r="K2041" s="38">
        <v>103181</v>
      </c>
      <c r="L2041" s="4" t="s">
        <v>25</v>
      </c>
      <c r="M2041" s="11">
        <f>_xlfn.NUMBERVALUE(LEFT(Table613[[#This Row],[Fiscal Year]], 4))</f>
        <v>2017</v>
      </c>
      <c r="N2041" s="42">
        <f t="shared" si="44"/>
        <v>105930.38845777235</v>
      </c>
      <c r="O2041" s="3">
        <v>2039</v>
      </c>
    </row>
    <row r="2042" spans="1:15" x14ac:dyDescent="0.25">
      <c r="A2042" s="9">
        <v>9</v>
      </c>
      <c r="B2042" s="3" t="s">
        <v>280</v>
      </c>
      <c r="C2042" s="3" t="s">
        <v>262</v>
      </c>
      <c r="D2042" s="3" t="s">
        <v>444</v>
      </c>
      <c r="E2042" s="11" t="s">
        <v>144</v>
      </c>
      <c r="F2042" s="3" t="s">
        <v>8</v>
      </c>
      <c r="G2042" s="66" t="s">
        <v>1020</v>
      </c>
      <c r="H2042" s="8" t="s">
        <v>509</v>
      </c>
      <c r="I2042" s="8"/>
      <c r="J2042" s="6" t="s">
        <v>109</v>
      </c>
      <c r="K2042" s="38">
        <v>62234</v>
      </c>
      <c r="L2042" s="4" t="s">
        <v>25</v>
      </c>
      <c r="M2042" s="11">
        <f>_xlfn.NUMBERVALUE(LEFT(Table613[[#This Row],[Fiscal Year]], 4))</f>
        <v>2017</v>
      </c>
      <c r="N2042" s="42">
        <f t="shared" si="44"/>
        <v>63892.303769889848</v>
      </c>
      <c r="O2042" s="3">
        <v>2040</v>
      </c>
    </row>
    <row r="2043" spans="1:15" x14ac:dyDescent="0.25">
      <c r="A2043" s="9">
        <v>9</v>
      </c>
      <c r="B2043" s="3" t="s">
        <v>280</v>
      </c>
      <c r="C2043" s="3" t="s">
        <v>262</v>
      </c>
      <c r="D2043" s="3" t="s">
        <v>444</v>
      </c>
      <c r="E2043" s="11" t="s">
        <v>144</v>
      </c>
      <c r="F2043" s="3" t="s">
        <v>8</v>
      </c>
      <c r="G2043" s="66" t="s">
        <v>1046</v>
      </c>
      <c r="H2043" s="8" t="s">
        <v>510</v>
      </c>
      <c r="I2043" s="8"/>
      <c r="J2043" s="6" t="s">
        <v>106</v>
      </c>
      <c r="K2043" s="38">
        <v>18873</v>
      </c>
      <c r="L2043" s="4" t="s">
        <v>25</v>
      </c>
      <c r="M2043" s="11">
        <f>_xlfn.NUMBERVALUE(LEFT(Table613[[#This Row],[Fiscal Year]], 4))</f>
        <v>2017</v>
      </c>
      <c r="N2043" s="42">
        <f t="shared" si="44"/>
        <v>19375.894993880051</v>
      </c>
      <c r="O2043" s="3">
        <v>2041</v>
      </c>
    </row>
    <row r="2044" spans="1:15" x14ac:dyDescent="0.25">
      <c r="A2044" s="9">
        <v>9</v>
      </c>
      <c r="B2044" s="3" t="s">
        <v>280</v>
      </c>
      <c r="C2044" s="3" t="s">
        <v>262</v>
      </c>
      <c r="D2044" s="3" t="s">
        <v>444</v>
      </c>
      <c r="E2044" s="11" t="s">
        <v>144</v>
      </c>
      <c r="F2044" s="3" t="s">
        <v>8</v>
      </c>
      <c r="G2044" s="66" t="s">
        <v>1047</v>
      </c>
      <c r="H2044" s="8"/>
      <c r="I2044" s="8"/>
      <c r="J2044" s="6" t="s">
        <v>455</v>
      </c>
      <c r="K2044" s="38">
        <v>225290</v>
      </c>
      <c r="L2044" s="4" t="s">
        <v>25</v>
      </c>
      <c r="M2044" s="11">
        <f>_xlfn.NUMBERVALUE(LEFT(Table613[[#This Row],[Fiscal Year]], 4))</f>
        <v>2017</v>
      </c>
      <c r="N2044" s="42">
        <f t="shared" si="44"/>
        <v>231293.13745410039</v>
      </c>
      <c r="O2044" s="3">
        <v>2042</v>
      </c>
    </row>
    <row r="2045" spans="1:15" x14ac:dyDescent="0.25">
      <c r="E2045" s="11"/>
      <c r="G2045" s="66"/>
      <c r="H2045" s="8"/>
      <c r="I2045" s="8"/>
      <c r="J2045" s="6"/>
      <c r="L2045" s="4"/>
      <c r="O2045" s="3">
        <v>2043</v>
      </c>
    </row>
    <row r="2046" spans="1:15" x14ac:dyDescent="0.25">
      <c r="A2046" s="9">
        <v>8</v>
      </c>
      <c r="B2046" s="3" t="s">
        <v>281</v>
      </c>
      <c r="C2046" s="3" t="s">
        <v>262</v>
      </c>
      <c r="D2046" s="3" t="s">
        <v>444</v>
      </c>
      <c r="E2046" s="11" t="s">
        <v>144</v>
      </c>
      <c r="F2046" s="3" t="s">
        <v>8</v>
      </c>
      <c r="G2046" s="61" t="s">
        <v>1008</v>
      </c>
      <c r="H2046" s="8"/>
      <c r="I2046" s="8" t="s">
        <v>640</v>
      </c>
      <c r="J2046" s="6" t="s">
        <v>76</v>
      </c>
      <c r="K2046" s="38">
        <v>0</v>
      </c>
      <c r="L2046" s="4" t="s">
        <v>25</v>
      </c>
      <c r="M2046" s="11">
        <f>_xlfn.NUMBERVALUE(LEFT(Table613[[#This Row],[Fiscal Year]], 4))</f>
        <v>2017</v>
      </c>
      <c r="N2046" s="42">
        <f t="shared" ref="N2046:N2079" si="45">K2046*(1+VLOOKUP(M2046,$AF$8:$AH$31,3,0))</f>
        <v>0</v>
      </c>
      <c r="O2046" s="3">
        <v>2044</v>
      </c>
    </row>
    <row r="2047" spans="1:15" x14ac:dyDescent="0.25">
      <c r="A2047" s="3">
        <v>8</v>
      </c>
      <c r="B2047" s="3" t="s">
        <v>281</v>
      </c>
      <c r="C2047" s="3" t="s">
        <v>262</v>
      </c>
      <c r="D2047" s="3" t="s">
        <v>444</v>
      </c>
      <c r="E2047" s="11" t="s">
        <v>144</v>
      </c>
      <c r="F2047" s="3" t="s">
        <v>8</v>
      </c>
      <c r="G2047" s="48" t="s">
        <v>1051</v>
      </c>
      <c r="H2047" s="8"/>
      <c r="I2047" s="8"/>
      <c r="J2047" s="6" t="s">
        <v>76</v>
      </c>
      <c r="K2047" s="38">
        <v>4000</v>
      </c>
      <c r="L2047" s="4" t="s">
        <v>25</v>
      </c>
      <c r="M2047" s="11">
        <f>_xlfn.NUMBERVALUE(LEFT(Table613[[#This Row],[Fiscal Year]], 4))</f>
        <v>2017</v>
      </c>
      <c r="N2047" s="42">
        <f>K2047*(1+VLOOKUP(M2047,$AF$8:$AH$31,3,0))</f>
        <v>4106.5850673194618</v>
      </c>
      <c r="O2047" s="3">
        <v>2045</v>
      </c>
    </row>
    <row r="2048" spans="1:15" x14ac:dyDescent="0.25">
      <c r="A2048" s="3">
        <v>8</v>
      </c>
      <c r="B2048" s="3" t="s">
        <v>281</v>
      </c>
      <c r="C2048" s="3" t="s">
        <v>262</v>
      </c>
      <c r="D2048" s="3" t="s">
        <v>444</v>
      </c>
      <c r="E2048" s="11" t="s">
        <v>144</v>
      </c>
      <c r="F2048" s="3" t="s">
        <v>8</v>
      </c>
      <c r="G2048" s="48" t="s">
        <v>1010</v>
      </c>
      <c r="H2048" s="8"/>
      <c r="I2048" s="8"/>
      <c r="J2048" s="6" t="s">
        <v>76</v>
      </c>
      <c r="K2048" s="38">
        <v>0</v>
      </c>
      <c r="L2048" s="4" t="s">
        <v>25</v>
      </c>
      <c r="M2048" s="11">
        <f>_xlfn.NUMBERVALUE(LEFT(Table613[[#This Row],[Fiscal Year]], 4))</f>
        <v>2017</v>
      </c>
      <c r="N2048" s="42">
        <f t="shared" si="45"/>
        <v>0</v>
      </c>
      <c r="O2048" s="3">
        <v>2046</v>
      </c>
    </row>
    <row r="2049" spans="1:15" x14ac:dyDescent="0.25">
      <c r="A2049" s="3">
        <v>8</v>
      </c>
      <c r="B2049" s="3" t="s">
        <v>281</v>
      </c>
      <c r="C2049" s="3" t="s">
        <v>262</v>
      </c>
      <c r="D2049" s="3" t="s">
        <v>444</v>
      </c>
      <c r="E2049" s="11" t="s">
        <v>144</v>
      </c>
      <c r="F2049" s="3" t="s">
        <v>8</v>
      </c>
      <c r="G2049" s="61" t="s">
        <v>1011</v>
      </c>
      <c r="H2049" s="8" t="s">
        <v>511</v>
      </c>
      <c r="I2049" s="8"/>
      <c r="J2049" s="6" t="s">
        <v>110</v>
      </c>
      <c r="K2049" s="38">
        <v>62142</v>
      </c>
      <c r="L2049" s="4" t="s">
        <v>25</v>
      </c>
      <c r="M2049" s="11">
        <f>_xlfn.NUMBERVALUE(LEFT(Table613[[#This Row],[Fiscal Year]], 4))</f>
        <v>2017</v>
      </c>
      <c r="N2049" s="42">
        <f t="shared" si="45"/>
        <v>63797.8523133415</v>
      </c>
      <c r="O2049" s="3">
        <v>2047</v>
      </c>
    </row>
    <row r="2050" spans="1:15" x14ac:dyDescent="0.25">
      <c r="A2050" s="3">
        <v>8</v>
      </c>
      <c r="B2050" s="3" t="s">
        <v>281</v>
      </c>
      <c r="C2050" s="3" t="s">
        <v>262</v>
      </c>
      <c r="D2050" s="3" t="s">
        <v>444</v>
      </c>
      <c r="E2050" s="11" t="s">
        <v>144</v>
      </c>
      <c r="F2050" s="3" t="s">
        <v>8</v>
      </c>
      <c r="G2050" s="48" t="s">
        <v>1052</v>
      </c>
      <c r="H2050" s="8" t="s">
        <v>507</v>
      </c>
      <c r="I2050" s="8"/>
      <c r="J2050" s="6" t="s">
        <v>108</v>
      </c>
      <c r="K2050" s="38">
        <v>25266</v>
      </c>
      <c r="L2050" s="4" t="s">
        <v>25</v>
      </c>
      <c r="M2050" s="11">
        <f>_xlfn.NUMBERVALUE(LEFT(Table613[[#This Row],[Fiscal Year]], 4))</f>
        <v>2017</v>
      </c>
      <c r="N2050" s="42">
        <f t="shared" si="45"/>
        <v>25939.244577723381</v>
      </c>
      <c r="O2050" s="3">
        <v>2048</v>
      </c>
    </row>
    <row r="2051" spans="1:15" x14ac:dyDescent="0.25">
      <c r="A2051" s="3">
        <v>8</v>
      </c>
      <c r="B2051" s="3" t="s">
        <v>281</v>
      </c>
      <c r="C2051" s="3" t="s">
        <v>262</v>
      </c>
      <c r="D2051" s="3" t="s">
        <v>444</v>
      </c>
      <c r="E2051" s="11" t="s">
        <v>144</v>
      </c>
      <c r="F2051" s="3" t="s">
        <v>8</v>
      </c>
      <c r="G2051" s="48" t="s">
        <v>1053</v>
      </c>
      <c r="H2051" s="8" t="s">
        <v>507</v>
      </c>
      <c r="I2051" s="8"/>
      <c r="J2051" s="6" t="s">
        <v>108</v>
      </c>
      <c r="K2051" s="38">
        <v>7470</v>
      </c>
      <c r="L2051" s="4" t="s">
        <v>25</v>
      </c>
      <c r="M2051" s="11">
        <f>_xlfn.NUMBERVALUE(LEFT(Table613[[#This Row],[Fiscal Year]], 4))</f>
        <v>2017</v>
      </c>
      <c r="N2051" s="42">
        <f t="shared" si="45"/>
        <v>7669.0476132190952</v>
      </c>
      <c r="O2051" s="3">
        <v>2049</v>
      </c>
    </row>
    <row r="2052" spans="1:15" x14ac:dyDescent="0.25">
      <c r="A2052" s="3">
        <v>8</v>
      </c>
      <c r="B2052" s="3" t="s">
        <v>281</v>
      </c>
      <c r="C2052" s="3" t="s">
        <v>262</v>
      </c>
      <c r="D2052" s="3" t="s">
        <v>444</v>
      </c>
      <c r="E2052" s="11" t="s">
        <v>144</v>
      </c>
      <c r="F2052" s="3" t="s">
        <v>8</v>
      </c>
      <c r="G2052" s="48" t="s">
        <v>1040</v>
      </c>
      <c r="H2052" s="8" t="s">
        <v>507</v>
      </c>
      <c r="I2052" s="8"/>
      <c r="J2052" s="6" t="s">
        <v>108</v>
      </c>
      <c r="K2052" s="38">
        <v>35880</v>
      </c>
      <c r="L2052" s="4" t="s">
        <v>25</v>
      </c>
      <c r="M2052" s="11">
        <f>_xlfn.NUMBERVALUE(LEFT(Table613[[#This Row],[Fiscal Year]], 4))</f>
        <v>2017</v>
      </c>
      <c r="N2052" s="42">
        <f t="shared" si="45"/>
        <v>36836.068053855575</v>
      </c>
      <c r="O2052" s="3">
        <v>2050</v>
      </c>
    </row>
    <row r="2053" spans="1:15" x14ac:dyDescent="0.25">
      <c r="A2053" s="3">
        <v>8</v>
      </c>
      <c r="B2053" s="3" t="s">
        <v>281</v>
      </c>
      <c r="C2053" s="3" t="s">
        <v>262</v>
      </c>
      <c r="D2053" s="3" t="s">
        <v>444</v>
      </c>
      <c r="E2053" s="11" t="s">
        <v>144</v>
      </c>
      <c r="F2053" s="3" t="s">
        <v>8</v>
      </c>
      <c r="G2053" s="48" t="s">
        <v>1041</v>
      </c>
      <c r="H2053" s="8" t="s">
        <v>507</v>
      </c>
      <c r="I2053" s="8"/>
      <c r="J2053" s="6" t="s">
        <v>108</v>
      </c>
      <c r="K2053" s="38">
        <v>431637</v>
      </c>
      <c r="L2053" s="4" t="s">
        <v>25</v>
      </c>
      <c r="M2053" s="11">
        <f>_xlfn.NUMBERVALUE(LEFT(Table613[[#This Row],[Fiscal Year]], 4))</f>
        <v>2017</v>
      </c>
      <c r="N2053" s="42">
        <f t="shared" si="45"/>
        <v>443138.51467564265</v>
      </c>
      <c r="O2053" s="3">
        <v>2051</v>
      </c>
    </row>
    <row r="2054" spans="1:15" x14ac:dyDescent="0.25">
      <c r="A2054" s="3">
        <v>8</v>
      </c>
      <c r="B2054" s="3" t="s">
        <v>281</v>
      </c>
      <c r="C2054" s="3" t="s">
        <v>262</v>
      </c>
      <c r="D2054" s="3" t="s">
        <v>444</v>
      </c>
      <c r="E2054" s="11" t="s">
        <v>144</v>
      </c>
      <c r="F2054" s="3" t="s">
        <v>8</v>
      </c>
      <c r="G2054" s="48" t="s">
        <v>1042</v>
      </c>
      <c r="H2054" s="8" t="s">
        <v>507</v>
      </c>
      <c r="I2054" s="8"/>
      <c r="J2054" s="6" t="s">
        <v>108</v>
      </c>
      <c r="K2054" s="38">
        <v>13200</v>
      </c>
      <c r="L2054" s="4" t="s">
        <v>25</v>
      </c>
      <c r="M2054" s="11">
        <f>_xlfn.NUMBERVALUE(LEFT(Table613[[#This Row],[Fiscal Year]], 4))</f>
        <v>2017</v>
      </c>
      <c r="N2054" s="42">
        <f t="shared" si="45"/>
        <v>13551.730722154225</v>
      </c>
      <c r="O2054" s="3">
        <v>2052</v>
      </c>
    </row>
    <row r="2055" spans="1:15" x14ac:dyDescent="0.25">
      <c r="A2055" s="3">
        <v>8</v>
      </c>
      <c r="B2055" s="3" t="s">
        <v>281</v>
      </c>
      <c r="C2055" s="3" t="s">
        <v>262</v>
      </c>
      <c r="D2055" s="3" t="s">
        <v>444</v>
      </c>
      <c r="E2055" s="11" t="s">
        <v>144</v>
      </c>
      <c r="F2055" s="3" t="s">
        <v>8</v>
      </c>
      <c r="G2055" s="66" t="s">
        <v>1043</v>
      </c>
      <c r="H2055" s="8" t="s">
        <v>508</v>
      </c>
      <c r="I2055" s="8"/>
      <c r="J2055" s="6" t="s">
        <v>42</v>
      </c>
      <c r="K2055" s="38">
        <v>16122</v>
      </c>
      <c r="L2055" s="4" t="s">
        <v>25</v>
      </c>
      <c r="M2055" s="11">
        <f>_xlfn.NUMBERVALUE(LEFT(Table613[[#This Row],[Fiscal Year]], 4))</f>
        <v>2017</v>
      </c>
      <c r="N2055" s="42">
        <f t="shared" si="45"/>
        <v>16551.591113831091</v>
      </c>
      <c r="O2055" s="3">
        <v>2053</v>
      </c>
    </row>
    <row r="2056" spans="1:15" x14ac:dyDescent="0.25">
      <c r="A2056" s="3">
        <v>8</v>
      </c>
      <c r="B2056" s="3" t="s">
        <v>281</v>
      </c>
      <c r="C2056" s="3" t="s">
        <v>262</v>
      </c>
      <c r="D2056" s="3" t="s">
        <v>444</v>
      </c>
      <c r="E2056" s="11" t="s">
        <v>144</v>
      </c>
      <c r="F2056" s="3" t="s">
        <v>8</v>
      </c>
      <c r="G2056" s="66" t="s">
        <v>1044</v>
      </c>
      <c r="H2056" s="8" t="s">
        <v>508</v>
      </c>
      <c r="I2056" s="8"/>
      <c r="J2056" s="6" t="s">
        <v>453</v>
      </c>
      <c r="K2056" s="38">
        <v>38726</v>
      </c>
      <c r="L2056" s="4" t="s">
        <v>25</v>
      </c>
      <c r="M2056" s="11">
        <f>_xlfn.NUMBERVALUE(LEFT(Table613[[#This Row],[Fiscal Year]], 4))</f>
        <v>2017</v>
      </c>
      <c r="N2056" s="42">
        <f t="shared" si="45"/>
        <v>39757.903329253371</v>
      </c>
      <c r="O2056" s="3">
        <v>2054</v>
      </c>
    </row>
    <row r="2057" spans="1:15" x14ac:dyDescent="0.25">
      <c r="A2057" s="3">
        <v>8</v>
      </c>
      <c r="B2057" s="3" t="s">
        <v>281</v>
      </c>
      <c r="C2057" s="3" t="s">
        <v>262</v>
      </c>
      <c r="D2057" s="3" t="s">
        <v>444</v>
      </c>
      <c r="E2057" s="11" t="s">
        <v>144</v>
      </c>
      <c r="F2057" s="3" t="s">
        <v>8</v>
      </c>
      <c r="G2057" s="66" t="s">
        <v>1045</v>
      </c>
      <c r="H2057" s="8" t="s">
        <v>512</v>
      </c>
      <c r="I2057" s="8"/>
      <c r="J2057" s="6" t="s">
        <v>111</v>
      </c>
      <c r="K2057" s="38">
        <v>2213</v>
      </c>
      <c r="L2057" s="4" t="s">
        <v>25</v>
      </c>
      <c r="M2057" s="11">
        <f>_xlfn.NUMBERVALUE(LEFT(Table613[[#This Row],[Fiscal Year]], 4))</f>
        <v>2017</v>
      </c>
      <c r="N2057" s="42">
        <f t="shared" si="45"/>
        <v>2271.9681884944921</v>
      </c>
      <c r="O2057" s="3">
        <v>2055</v>
      </c>
    </row>
    <row r="2058" spans="1:15" x14ac:dyDescent="0.25">
      <c r="A2058" s="3">
        <v>8</v>
      </c>
      <c r="B2058" s="3" t="s">
        <v>281</v>
      </c>
      <c r="C2058" s="3" t="s">
        <v>262</v>
      </c>
      <c r="D2058" s="3" t="s">
        <v>444</v>
      </c>
      <c r="E2058" s="11" t="s">
        <v>144</v>
      </c>
      <c r="F2058" s="3" t="s">
        <v>8</v>
      </c>
      <c r="G2058" s="66" t="s">
        <v>1025</v>
      </c>
      <c r="H2058" s="8" t="s">
        <v>513</v>
      </c>
      <c r="I2058" s="8"/>
      <c r="J2058" s="6" t="s">
        <v>107</v>
      </c>
      <c r="K2058" s="38">
        <v>1180</v>
      </c>
      <c r="L2058" s="4" t="s">
        <v>25</v>
      </c>
      <c r="M2058" s="11">
        <f>_xlfn.NUMBERVALUE(LEFT(Table613[[#This Row],[Fiscal Year]], 4))</f>
        <v>2017</v>
      </c>
      <c r="N2058" s="42">
        <f t="shared" si="45"/>
        <v>1211.4425948592414</v>
      </c>
      <c r="O2058" s="3">
        <v>2056</v>
      </c>
    </row>
    <row r="2059" spans="1:15" x14ac:dyDescent="0.25">
      <c r="A2059" s="3">
        <v>8</v>
      </c>
      <c r="B2059" s="3" t="s">
        <v>281</v>
      </c>
      <c r="C2059" s="3" t="s">
        <v>262</v>
      </c>
      <c r="D2059" s="3" t="s">
        <v>444</v>
      </c>
      <c r="E2059" s="11" t="s">
        <v>144</v>
      </c>
      <c r="F2059" s="3" t="s">
        <v>8</v>
      </c>
      <c r="G2059" s="66" t="s">
        <v>1020</v>
      </c>
      <c r="H2059" s="8" t="s">
        <v>509</v>
      </c>
      <c r="I2059" s="8"/>
      <c r="J2059" s="6" t="s">
        <v>109</v>
      </c>
      <c r="K2059" s="38">
        <v>738</v>
      </c>
      <c r="L2059" s="4" t="s">
        <v>25</v>
      </c>
      <c r="M2059" s="11">
        <f>_xlfn.NUMBERVALUE(LEFT(Table613[[#This Row],[Fiscal Year]], 4))</f>
        <v>2017</v>
      </c>
      <c r="N2059" s="42">
        <f t="shared" si="45"/>
        <v>757.66494492044069</v>
      </c>
      <c r="O2059" s="3">
        <v>2057</v>
      </c>
    </row>
    <row r="2060" spans="1:15" x14ac:dyDescent="0.25">
      <c r="A2060" s="3">
        <v>8</v>
      </c>
      <c r="B2060" s="3" t="s">
        <v>281</v>
      </c>
      <c r="C2060" s="3" t="s">
        <v>262</v>
      </c>
      <c r="D2060" s="3" t="s">
        <v>444</v>
      </c>
      <c r="E2060" s="11" t="s">
        <v>144</v>
      </c>
      <c r="F2060" s="3" t="s">
        <v>8</v>
      </c>
      <c r="G2060" s="66" t="s">
        <v>1054</v>
      </c>
      <c r="H2060" s="8" t="s">
        <v>510</v>
      </c>
      <c r="I2060" s="8"/>
      <c r="J2060" s="6" t="s">
        <v>106</v>
      </c>
      <c r="K2060" s="38">
        <v>7465</v>
      </c>
      <c r="L2060" s="4" t="s">
        <v>25</v>
      </c>
      <c r="M2060" s="11">
        <f>_xlfn.NUMBERVALUE(LEFT(Table613[[#This Row],[Fiscal Year]], 4))</f>
        <v>2017</v>
      </c>
      <c r="N2060" s="42">
        <f t="shared" si="45"/>
        <v>7663.9143818849461</v>
      </c>
      <c r="O2060" s="3">
        <v>2058</v>
      </c>
    </row>
    <row r="2061" spans="1:15" x14ac:dyDescent="0.25">
      <c r="A2061" s="3">
        <v>8</v>
      </c>
      <c r="B2061" s="3" t="s">
        <v>281</v>
      </c>
      <c r="C2061" s="3" t="s">
        <v>262</v>
      </c>
      <c r="D2061" s="3" t="s">
        <v>444</v>
      </c>
      <c r="E2061" s="11" t="s">
        <v>144</v>
      </c>
      <c r="F2061" s="3" t="s">
        <v>8</v>
      </c>
      <c r="G2061" s="66" t="s">
        <v>1047</v>
      </c>
      <c r="H2061" s="8"/>
      <c r="I2061" s="8"/>
      <c r="J2061" s="6" t="s">
        <v>455</v>
      </c>
      <c r="K2061" s="38">
        <v>62674</v>
      </c>
      <c r="L2061" s="4" t="s">
        <v>25</v>
      </c>
      <c r="M2061" s="11">
        <f>_xlfn.NUMBERVALUE(LEFT(Table613[[#This Row],[Fiscal Year]], 4))</f>
        <v>2017</v>
      </c>
      <c r="N2061" s="42">
        <f t="shared" si="45"/>
        <v>64344.028127294987</v>
      </c>
      <c r="O2061" s="3">
        <v>2059</v>
      </c>
    </row>
    <row r="2062" spans="1:15" x14ac:dyDescent="0.25">
      <c r="A2062" s="3">
        <v>8</v>
      </c>
      <c r="B2062" s="3" t="s">
        <v>281</v>
      </c>
      <c r="C2062" s="3" t="s">
        <v>262</v>
      </c>
      <c r="D2062" s="3" t="s">
        <v>444</v>
      </c>
      <c r="E2062" s="11" t="s">
        <v>144</v>
      </c>
      <c r="F2062" s="3" t="s">
        <v>8</v>
      </c>
      <c r="G2062" s="48" t="s">
        <v>1023</v>
      </c>
      <c r="H2062" s="8"/>
      <c r="I2062" s="8"/>
      <c r="J2062" s="6" t="s">
        <v>453</v>
      </c>
      <c r="K2062" s="38">
        <v>8854</v>
      </c>
      <c r="L2062" s="4" t="s">
        <v>25</v>
      </c>
      <c r="M2062" s="11">
        <f>_xlfn.NUMBERVALUE(LEFT(Table613[[#This Row],[Fiscal Year]], 4))</f>
        <v>2017</v>
      </c>
      <c r="N2062" s="42">
        <f t="shared" si="45"/>
        <v>9089.9260465116295</v>
      </c>
      <c r="O2062" s="3">
        <v>2060</v>
      </c>
    </row>
    <row r="2063" spans="1:15" x14ac:dyDescent="0.25">
      <c r="E2063" s="11"/>
      <c r="G2063" s="66"/>
      <c r="H2063" s="8"/>
      <c r="I2063" s="8"/>
      <c r="J2063" s="6"/>
      <c r="L2063" s="4"/>
      <c r="O2063" s="3">
        <v>2061</v>
      </c>
    </row>
    <row r="2064" spans="1:15" x14ac:dyDescent="0.25">
      <c r="A2064" s="3">
        <v>8</v>
      </c>
      <c r="B2064" s="3" t="s">
        <v>282</v>
      </c>
      <c r="C2064" s="3" t="s">
        <v>262</v>
      </c>
      <c r="D2064" s="3" t="s">
        <v>444</v>
      </c>
      <c r="E2064" s="11" t="s">
        <v>144</v>
      </c>
      <c r="F2064" s="3" t="s">
        <v>8</v>
      </c>
      <c r="G2064" s="61" t="s">
        <v>1026</v>
      </c>
      <c r="H2064" s="8"/>
      <c r="I2064" s="8" t="s">
        <v>640</v>
      </c>
      <c r="J2064" s="6" t="s">
        <v>76</v>
      </c>
      <c r="K2064" s="38">
        <v>798200</v>
      </c>
      <c r="L2064" s="4" t="s">
        <v>25</v>
      </c>
      <c r="M2064" s="11">
        <f>_xlfn.NUMBERVALUE(LEFT(Table613[[#This Row],[Fiscal Year]], 4))</f>
        <v>2017</v>
      </c>
      <c r="N2064" s="42">
        <f t="shared" si="45"/>
        <v>819469.05018359865</v>
      </c>
      <c r="O2064" s="3">
        <v>2062</v>
      </c>
    </row>
    <row r="2065" spans="1:15" x14ac:dyDescent="0.25">
      <c r="A2065" s="3">
        <v>8</v>
      </c>
      <c r="B2065" s="3" t="s">
        <v>282</v>
      </c>
      <c r="C2065" s="3" t="s">
        <v>262</v>
      </c>
      <c r="D2065" s="3" t="s">
        <v>444</v>
      </c>
      <c r="E2065" s="11" t="s">
        <v>144</v>
      </c>
      <c r="F2065" s="3" t="s">
        <v>8</v>
      </c>
      <c r="G2065" s="66" t="s">
        <v>1037</v>
      </c>
      <c r="H2065" s="8"/>
      <c r="I2065" s="8"/>
      <c r="J2065" s="6" t="s">
        <v>76</v>
      </c>
      <c r="K2065" s="38">
        <v>80000</v>
      </c>
      <c r="L2065" s="4" t="s">
        <v>25</v>
      </c>
      <c r="M2065" s="11">
        <f>_xlfn.NUMBERVALUE(LEFT(Table613[[#This Row],[Fiscal Year]], 4))</f>
        <v>2017</v>
      </c>
      <c r="N2065" s="42">
        <f t="shared" si="45"/>
        <v>82131.701346389236</v>
      </c>
      <c r="O2065" s="3">
        <v>2063</v>
      </c>
    </row>
    <row r="2066" spans="1:15" x14ac:dyDescent="0.25">
      <c r="A2066" s="3">
        <v>8</v>
      </c>
      <c r="B2066" s="3" t="s">
        <v>282</v>
      </c>
      <c r="C2066" s="3" t="s">
        <v>262</v>
      </c>
      <c r="D2066" s="3" t="s">
        <v>444</v>
      </c>
      <c r="E2066" s="11" t="s">
        <v>144</v>
      </c>
      <c r="F2066" s="3" t="s">
        <v>8</v>
      </c>
      <c r="G2066" s="66" t="s">
        <v>1010</v>
      </c>
      <c r="H2066" s="8"/>
      <c r="I2066" s="8"/>
      <c r="J2066" s="6" t="s">
        <v>76</v>
      </c>
      <c r="K2066" s="38" t="s">
        <v>28</v>
      </c>
      <c r="L2066" s="4" t="s">
        <v>25</v>
      </c>
      <c r="M2066" s="11">
        <f>_xlfn.NUMBERVALUE(LEFT(Table613[[#This Row],[Fiscal Year]], 4))</f>
        <v>2017</v>
      </c>
      <c r="O2066" s="3">
        <v>2064</v>
      </c>
    </row>
    <row r="2067" spans="1:15" x14ac:dyDescent="0.25">
      <c r="A2067" s="3">
        <v>8</v>
      </c>
      <c r="B2067" s="3" t="s">
        <v>282</v>
      </c>
      <c r="C2067" s="3" t="s">
        <v>262</v>
      </c>
      <c r="D2067" s="3" t="s">
        <v>444</v>
      </c>
      <c r="E2067" s="11" t="s">
        <v>144</v>
      </c>
      <c r="F2067" s="3" t="s">
        <v>8</v>
      </c>
      <c r="G2067" s="61" t="s">
        <v>1011</v>
      </c>
      <c r="H2067" s="8" t="s">
        <v>511</v>
      </c>
      <c r="I2067" s="8"/>
      <c r="J2067" s="6" t="s">
        <v>110</v>
      </c>
      <c r="K2067" s="38">
        <v>232019</v>
      </c>
      <c r="L2067" s="4" t="s">
        <v>25</v>
      </c>
      <c r="M2067" s="11">
        <f>_xlfn.NUMBERVALUE(LEFT(Table613[[#This Row],[Fiscal Year]], 4))</f>
        <v>2017</v>
      </c>
      <c r="N2067" s="42">
        <f t="shared" si="45"/>
        <v>238201.44018359855</v>
      </c>
      <c r="O2067" s="3">
        <v>2065</v>
      </c>
    </row>
    <row r="2068" spans="1:15" x14ac:dyDescent="0.25">
      <c r="A2068" s="3">
        <v>8</v>
      </c>
      <c r="B2068" s="3" t="s">
        <v>282</v>
      </c>
      <c r="C2068" s="3" t="s">
        <v>262</v>
      </c>
      <c r="D2068" s="3" t="s">
        <v>444</v>
      </c>
      <c r="E2068" s="11" t="s">
        <v>144</v>
      </c>
      <c r="F2068" s="3" t="s">
        <v>8</v>
      </c>
      <c r="G2068" s="48" t="s">
        <v>1052</v>
      </c>
      <c r="H2068" s="8" t="s">
        <v>507</v>
      </c>
      <c r="I2068" s="8"/>
      <c r="J2068" s="6" t="s">
        <v>108</v>
      </c>
      <c r="K2068" s="38">
        <v>43335</v>
      </c>
      <c r="L2068" s="4" t="s">
        <v>25</v>
      </c>
      <c r="M2068" s="11">
        <f>_xlfn.NUMBERVALUE(LEFT(Table613[[#This Row],[Fiscal Year]], 4))</f>
        <v>2017</v>
      </c>
      <c r="N2068" s="42">
        <f t="shared" si="45"/>
        <v>44489.71597307222</v>
      </c>
      <c r="O2068" s="3">
        <v>2066</v>
      </c>
    </row>
    <row r="2069" spans="1:15" x14ac:dyDescent="0.25">
      <c r="A2069" s="3">
        <v>8</v>
      </c>
      <c r="B2069" s="3" t="s">
        <v>282</v>
      </c>
      <c r="C2069" s="3" t="s">
        <v>262</v>
      </c>
      <c r="D2069" s="3" t="s">
        <v>444</v>
      </c>
      <c r="E2069" s="11" t="s">
        <v>144</v>
      </c>
      <c r="F2069" s="3" t="s">
        <v>8</v>
      </c>
      <c r="G2069" s="48" t="s">
        <v>1053</v>
      </c>
      <c r="H2069" s="8" t="s">
        <v>507</v>
      </c>
      <c r="I2069" s="8"/>
      <c r="J2069" s="6" t="s">
        <v>108</v>
      </c>
      <c r="K2069" s="38">
        <v>43471</v>
      </c>
      <c r="L2069" s="4" t="s">
        <v>25</v>
      </c>
      <c r="M2069" s="11">
        <f>_xlfn.NUMBERVALUE(LEFT(Table613[[#This Row],[Fiscal Year]], 4))</f>
        <v>2017</v>
      </c>
      <c r="N2069" s="42">
        <f t="shared" si="45"/>
        <v>44629.339865361086</v>
      </c>
      <c r="O2069" s="3">
        <v>2067</v>
      </c>
    </row>
    <row r="2070" spans="1:15" x14ac:dyDescent="0.25">
      <c r="A2070" s="3">
        <v>8</v>
      </c>
      <c r="B2070" s="3" t="s">
        <v>282</v>
      </c>
      <c r="C2070" s="3" t="s">
        <v>262</v>
      </c>
      <c r="D2070" s="3" t="s">
        <v>444</v>
      </c>
      <c r="E2070" s="11" t="s">
        <v>144</v>
      </c>
      <c r="F2070" s="3" t="s">
        <v>8</v>
      </c>
      <c r="G2070" s="48" t="s">
        <v>1040</v>
      </c>
      <c r="H2070" s="8" t="s">
        <v>507</v>
      </c>
      <c r="I2070" s="8"/>
      <c r="J2070" s="6" t="s">
        <v>108</v>
      </c>
      <c r="K2070" s="38">
        <v>293471</v>
      </c>
      <c r="L2070" s="4" t="s">
        <v>25</v>
      </c>
      <c r="M2070" s="11">
        <f>_xlfn.NUMBERVALUE(LEFT(Table613[[#This Row],[Fiscal Year]], 4))</f>
        <v>2017</v>
      </c>
      <c r="N2070" s="42">
        <f t="shared" si="45"/>
        <v>301290.90657282743</v>
      </c>
      <c r="O2070" s="3">
        <v>2068</v>
      </c>
    </row>
    <row r="2071" spans="1:15" x14ac:dyDescent="0.25">
      <c r="A2071" s="3">
        <v>8</v>
      </c>
      <c r="B2071" s="3" t="s">
        <v>282</v>
      </c>
      <c r="C2071" s="3" t="s">
        <v>262</v>
      </c>
      <c r="D2071" s="3" t="s">
        <v>444</v>
      </c>
      <c r="E2071" s="11" t="s">
        <v>144</v>
      </c>
      <c r="F2071" s="3" t="s">
        <v>8</v>
      </c>
      <c r="G2071" s="48" t="s">
        <v>1055</v>
      </c>
      <c r="H2071" s="8" t="s">
        <v>507</v>
      </c>
      <c r="I2071" s="8"/>
      <c r="J2071" s="6" t="s">
        <v>108</v>
      </c>
      <c r="K2071" s="38">
        <v>98635</v>
      </c>
      <c r="L2071" s="4" t="s">
        <v>25</v>
      </c>
      <c r="M2071" s="11">
        <f>_xlfn.NUMBERVALUE(LEFT(Table613[[#This Row],[Fiscal Year]], 4))</f>
        <v>2017</v>
      </c>
      <c r="N2071" s="42">
        <f t="shared" si="45"/>
        <v>101263.25452876378</v>
      </c>
      <c r="O2071" s="3">
        <v>2069</v>
      </c>
    </row>
    <row r="2072" spans="1:15" x14ac:dyDescent="0.25">
      <c r="A2072" s="3">
        <v>8</v>
      </c>
      <c r="B2072" s="3" t="s">
        <v>282</v>
      </c>
      <c r="C2072" s="3" t="s">
        <v>262</v>
      </c>
      <c r="D2072" s="3" t="s">
        <v>444</v>
      </c>
      <c r="E2072" s="11" t="s">
        <v>144</v>
      </c>
      <c r="F2072" s="3" t="s">
        <v>8</v>
      </c>
      <c r="G2072" s="48" t="s">
        <v>1042</v>
      </c>
      <c r="H2072" s="8" t="s">
        <v>507</v>
      </c>
      <c r="I2072" s="8"/>
      <c r="J2072" s="6" t="s">
        <v>108</v>
      </c>
      <c r="K2072" s="38">
        <v>10197</v>
      </c>
      <c r="L2072" s="4" t="s">
        <v>25</v>
      </c>
      <c r="M2072" s="11">
        <f>_xlfn.NUMBERVALUE(LEFT(Table613[[#This Row],[Fiscal Year]], 4))</f>
        <v>2017</v>
      </c>
      <c r="N2072" s="42">
        <f t="shared" si="45"/>
        <v>10468.711982864139</v>
      </c>
      <c r="O2072" s="3">
        <v>2070</v>
      </c>
    </row>
    <row r="2073" spans="1:15" x14ac:dyDescent="0.25">
      <c r="A2073" s="3">
        <v>8</v>
      </c>
      <c r="B2073" s="3" t="s">
        <v>282</v>
      </c>
      <c r="C2073" s="3" t="s">
        <v>262</v>
      </c>
      <c r="D2073" s="3" t="s">
        <v>444</v>
      </c>
      <c r="E2073" s="11" t="s">
        <v>144</v>
      </c>
      <c r="F2073" s="3" t="s">
        <v>8</v>
      </c>
      <c r="G2073" s="66" t="s">
        <v>1043</v>
      </c>
      <c r="H2073" s="8" t="s">
        <v>508</v>
      </c>
      <c r="I2073" s="8"/>
      <c r="J2073" s="6" t="s">
        <v>42</v>
      </c>
      <c r="K2073" s="38">
        <v>22114</v>
      </c>
      <c r="L2073" s="4" t="s">
        <v>25</v>
      </c>
      <c r="M2073" s="11">
        <f>_xlfn.NUMBERVALUE(LEFT(Table613[[#This Row],[Fiscal Year]], 4))</f>
        <v>2017</v>
      </c>
      <c r="N2073" s="42">
        <f t="shared" si="45"/>
        <v>22703.255544675645</v>
      </c>
      <c r="O2073" s="3">
        <v>2071</v>
      </c>
    </row>
    <row r="2074" spans="1:15" x14ac:dyDescent="0.25">
      <c r="A2074" s="3">
        <v>8</v>
      </c>
      <c r="B2074" s="3" t="s">
        <v>282</v>
      </c>
      <c r="C2074" s="3" t="s">
        <v>262</v>
      </c>
      <c r="D2074" s="3" t="s">
        <v>444</v>
      </c>
      <c r="E2074" s="11" t="s">
        <v>144</v>
      </c>
      <c r="F2074" s="3" t="s">
        <v>8</v>
      </c>
      <c r="G2074" s="66" t="s">
        <v>1044</v>
      </c>
      <c r="H2074" s="8" t="s">
        <v>508</v>
      </c>
      <c r="I2074" s="8"/>
      <c r="J2074" s="6" t="s">
        <v>453</v>
      </c>
      <c r="K2074" s="38">
        <v>60000</v>
      </c>
      <c r="L2074" s="4" t="s">
        <v>25</v>
      </c>
      <c r="M2074" s="11">
        <f>_xlfn.NUMBERVALUE(LEFT(Table613[[#This Row],[Fiscal Year]], 4))</f>
        <v>2017</v>
      </c>
      <c r="N2074" s="42">
        <f t="shared" si="45"/>
        <v>61598.776009791931</v>
      </c>
      <c r="O2074" s="3">
        <v>2072</v>
      </c>
    </row>
    <row r="2075" spans="1:15" x14ac:dyDescent="0.25">
      <c r="A2075" s="3">
        <v>8</v>
      </c>
      <c r="B2075" s="3" t="s">
        <v>282</v>
      </c>
      <c r="C2075" s="3" t="s">
        <v>262</v>
      </c>
      <c r="D2075" s="3" t="s">
        <v>444</v>
      </c>
      <c r="E2075" s="11" t="s">
        <v>144</v>
      </c>
      <c r="F2075" s="3" t="s">
        <v>8</v>
      </c>
      <c r="G2075" s="66" t="s">
        <v>1045</v>
      </c>
      <c r="H2075" s="8" t="s">
        <v>512</v>
      </c>
      <c r="I2075" s="8"/>
      <c r="J2075" s="6" t="s">
        <v>111</v>
      </c>
      <c r="K2075" s="38">
        <v>23129</v>
      </c>
      <c r="L2075" s="4" t="s">
        <v>25</v>
      </c>
      <c r="M2075" s="11">
        <f>_xlfn.NUMBERVALUE(LEFT(Table613[[#This Row],[Fiscal Year]], 4))</f>
        <v>2017</v>
      </c>
      <c r="N2075" s="42">
        <f t="shared" si="45"/>
        <v>23745.30150550796</v>
      </c>
      <c r="O2075" s="3">
        <v>2073</v>
      </c>
    </row>
    <row r="2076" spans="1:15" x14ac:dyDescent="0.25">
      <c r="A2076" s="3">
        <v>8</v>
      </c>
      <c r="B2076" s="3" t="s">
        <v>282</v>
      </c>
      <c r="C2076" s="3" t="s">
        <v>262</v>
      </c>
      <c r="D2076" s="3" t="s">
        <v>444</v>
      </c>
      <c r="E2076" s="11" t="s">
        <v>144</v>
      </c>
      <c r="F2076" s="3" t="s">
        <v>8</v>
      </c>
      <c r="G2076" s="66" t="s">
        <v>1025</v>
      </c>
      <c r="H2076" s="8" t="s">
        <v>513</v>
      </c>
      <c r="I2076" s="8"/>
      <c r="J2076" s="6" t="s">
        <v>107</v>
      </c>
      <c r="K2076" s="38">
        <v>50449</v>
      </c>
      <c r="L2076" s="4" t="s">
        <v>25</v>
      </c>
      <c r="M2076" s="11">
        <f>_xlfn.NUMBERVALUE(LEFT(Table613[[#This Row],[Fiscal Year]], 4))</f>
        <v>2017</v>
      </c>
      <c r="N2076" s="42">
        <f t="shared" si="45"/>
        <v>51793.27751529988</v>
      </c>
      <c r="O2076" s="3">
        <v>2074</v>
      </c>
    </row>
    <row r="2077" spans="1:15" x14ac:dyDescent="0.25">
      <c r="A2077" s="3">
        <v>8</v>
      </c>
      <c r="B2077" s="3" t="s">
        <v>282</v>
      </c>
      <c r="C2077" s="3" t="s">
        <v>262</v>
      </c>
      <c r="D2077" s="3" t="s">
        <v>444</v>
      </c>
      <c r="E2077" s="11" t="s">
        <v>144</v>
      </c>
      <c r="F2077" s="3" t="s">
        <v>8</v>
      </c>
      <c r="G2077" s="66" t="s">
        <v>1056</v>
      </c>
      <c r="H2077" s="8" t="s">
        <v>509</v>
      </c>
      <c r="I2077" s="8"/>
      <c r="J2077" s="6" t="s">
        <v>109</v>
      </c>
      <c r="K2077" s="38">
        <v>87186</v>
      </c>
      <c r="L2077" s="4" t="s">
        <v>25</v>
      </c>
      <c r="M2077" s="11">
        <f>_xlfn.NUMBERVALUE(LEFT(Table613[[#This Row],[Fiscal Year]], 4))</f>
        <v>2017</v>
      </c>
      <c r="N2077" s="42">
        <f t="shared" si="45"/>
        <v>89509.181419828659</v>
      </c>
      <c r="O2077" s="3">
        <v>2075</v>
      </c>
    </row>
    <row r="2078" spans="1:15" x14ac:dyDescent="0.25">
      <c r="A2078" s="3">
        <v>8</v>
      </c>
      <c r="B2078" s="3" t="s">
        <v>282</v>
      </c>
      <c r="C2078" s="3" t="s">
        <v>262</v>
      </c>
      <c r="D2078" s="3" t="s">
        <v>444</v>
      </c>
      <c r="E2078" s="11" t="s">
        <v>144</v>
      </c>
      <c r="F2078" s="3" t="s">
        <v>8</v>
      </c>
      <c r="G2078" s="66" t="s">
        <v>1057</v>
      </c>
      <c r="H2078" s="8" t="s">
        <v>510</v>
      </c>
      <c r="I2078" s="8"/>
      <c r="J2078" s="6" t="s">
        <v>106</v>
      </c>
      <c r="K2078" s="38">
        <v>127578</v>
      </c>
      <c r="L2078" s="4" t="s">
        <v>25</v>
      </c>
      <c r="M2078" s="11">
        <f>_xlfn.NUMBERVALUE(LEFT(Table613[[#This Row],[Fiscal Year]], 4))</f>
        <v>2017</v>
      </c>
      <c r="N2078" s="42">
        <f t="shared" si="45"/>
        <v>130977.47742962057</v>
      </c>
      <c r="O2078" s="3">
        <v>2076</v>
      </c>
    </row>
    <row r="2079" spans="1:15" x14ac:dyDescent="0.25">
      <c r="A2079" s="3">
        <v>8</v>
      </c>
      <c r="B2079" s="3" t="s">
        <v>282</v>
      </c>
      <c r="C2079" s="3" t="s">
        <v>262</v>
      </c>
      <c r="D2079" s="3" t="s">
        <v>444</v>
      </c>
      <c r="E2079" s="11" t="s">
        <v>144</v>
      </c>
      <c r="F2079" s="3" t="s">
        <v>8</v>
      </c>
      <c r="G2079" s="66" t="s">
        <v>1047</v>
      </c>
      <c r="H2079" s="8"/>
      <c r="I2079" s="8"/>
      <c r="J2079" s="6" t="s">
        <v>455</v>
      </c>
      <c r="K2079" s="38">
        <v>140176</v>
      </c>
      <c r="L2079" s="4" t="s">
        <v>25</v>
      </c>
      <c r="M2079" s="11">
        <f>_xlfn.NUMBERVALUE(LEFT(Table613[[#This Row],[Fiscal Year]], 4))</f>
        <v>2017</v>
      </c>
      <c r="N2079" s="42">
        <f t="shared" si="45"/>
        <v>143911.16709914323</v>
      </c>
      <c r="O2079" s="3">
        <v>2077</v>
      </c>
    </row>
    <row r="2080" spans="1:15" x14ac:dyDescent="0.25">
      <c r="E2080" s="11"/>
      <c r="G2080" s="66"/>
      <c r="H2080" s="8"/>
      <c r="I2080" s="8"/>
      <c r="J2080" s="6"/>
      <c r="L2080" s="4"/>
      <c r="O2080" s="3">
        <v>2078</v>
      </c>
    </row>
    <row r="2081" spans="1:15" x14ac:dyDescent="0.25">
      <c r="A2081" s="3">
        <v>8</v>
      </c>
      <c r="B2081" s="3" t="s">
        <v>283</v>
      </c>
      <c r="C2081" s="3" t="s">
        <v>262</v>
      </c>
      <c r="D2081" s="3" t="s">
        <v>444</v>
      </c>
      <c r="E2081" s="11" t="s">
        <v>144</v>
      </c>
      <c r="F2081" s="3" t="s">
        <v>8</v>
      </c>
      <c r="G2081" s="48" t="s">
        <v>976</v>
      </c>
      <c r="H2081" s="8" t="s">
        <v>503</v>
      </c>
      <c r="I2081" s="8" t="s">
        <v>640</v>
      </c>
      <c r="J2081" s="6" t="s">
        <v>110</v>
      </c>
      <c r="K2081" s="58">
        <v>0</v>
      </c>
      <c r="L2081" s="4" t="s">
        <v>264</v>
      </c>
      <c r="M2081" s="11">
        <f>_xlfn.NUMBERVALUE(LEFT(Table613[[#This Row],[Fiscal Year]], 4))</f>
        <v>2001</v>
      </c>
      <c r="N2081" s="42">
        <f t="shared" ref="N2081:N2131" si="46">K2081*(1+VLOOKUP(M2081,$AF$8:$AH$31,3,0))</f>
        <v>0</v>
      </c>
      <c r="O2081" s="3">
        <v>2079</v>
      </c>
    </row>
    <row r="2082" spans="1:15" x14ac:dyDescent="0.25">
      <c r="A2082" s="3">
        <v>8</v>
      </c>
      <c r="B2082" s="3" t="s">
        <v>283</v>
      </c>
      <c r="C2082" s="3" t="s">
        <v>262</v>
      </c>
      <c r="D2082" s="3" t="s">
        <v>444</v>
      </c>
      <c r="E2082" s="11" t="s">
        <v>144</v>
      </c>
      <c r="F2082" s="3" t="s">
        <v>8</v>
      </c>
      <c r="G2082" s="66" t="s">
        <v>977</v>
      </c>
      <c r="H2082" s="8" t="s">
        <v>504</v>
      </c>
      <c r="I2082" s="8"/>
      <c r="J2082" s="6" t="s">
        <v>108</v>
      </c>
      <c r="K2082" s="38">
        <v>0</v>
      </c>
      <c r="L2082" s="4" t="s">
        <v>264</v>
      </c>
      <c r="M2082" s="11">
        <f>_xlfn.NUMBERVALUE(LEFT(Table613[[#This Row],[Fiscal Year]], 4))</f>
        <v>2001</v>
      </c>
      <c r="N2082" s="42">
        <f t="shared" si="46"/>
        <v>0</v>
      </c>
      <c r="O2082" s="3">
        <v>2080</v>
      </c>
    </row>
    <row r="2083" spans="1:15" x14ac:dyDescent="0.25">
      <c r="A2083" s="3">
        <v>8</v>
      </c>
      <c r="B2083" s="3" t="s">
        <v>283</v>
      </c>
      <c r="C2083" s="3" t="s">
        <v>262</v>
      </c>
      <c r="D2083" s="3" t="s">
        <v>444</v>
      </c>
      <c r="E2083" s="11" t="s">
        <v>144</v>
      </c>
      <c r="F2083" s="3" t="s">
        <v>8</v>
      </c>
      <c r="G2083" s="66" t="s">
        <v>978</v>
      </c>
      <c r="H2083" s="8" t="s">
        <v>602</v>
      </c>
      <c r="I2083" s="8"/>
      <c r="J2083" s="6" t="s">
        <v>108</v>
      </c>
      <c r="K2083" s="38">
        <v>0</v>
      </c>
      <c r="L2083" s="4" t="s">
        <v>264</v>
      </c>
      <c r="M2083" s="11">
        <f>_xlfn.NUMBERVALUE(LEFT(Table613[[#This Row],[Fiscal Year]], 4))</f>
        <v>2001</v>
      </c>
      <c r="N2083" s="42">
        <f t="shared" si="46"/>
        <v>0</v>
      </c>
      <c r="O2083" s="3">
        <v>2081</v>
      </c>
    </row>
    <row r="2084" spans="1:15" x14ac:dyDescent="0.25">
      <c r="A2084" s="3">
        <v>8</v>
      </c>
      <c r="B2084" s="3" t="s">
        <v>283</v>
      </c>
      <c r="C2084" s="3" t="s">
        <v>262</v>
      </c>
      <c r="D2084" s="3" t="s">
        <v>444</v>
      </c>
      <c r="E2084" s="11" t="s">
        <v>144</v>
      </c>
      <c r="F2084" s="3" t="s">
        <v>8</v>
      </c>
      <c r="G2084" s="66" t="s">
        <v>979</v>
      </c>
      <c r="H2084" s="8" t="s">
        <v>504</v>
      </c>
      <c r="I2084" s="8"/>
      <c r="J2084" s="6" t="s">
        <v>108</v>
      </c>
      <c r="K2084" s="38">
        <v>0</v>
      </c>
      <c r="L2084" s="4" t="s">
        <v>264</v>
      </c>
      <c r="M2084" s="11">
        <f>_xlfn.NUMBERVALUE(LEFT(Table613[[#This Row],[Fiscal Year]], 4))</f>
        <v>2001</v>
      </c>
      <c r="N2084" s="42">
        <f t="shared" si="46"/>
        <v>0</v>
      </c>
      <c r="O2084" s="3">
        <v>2082</v>
      </c>
    </row>
    <row r="2085" spans="1:15" x14ac:dyDescent="0.25">
      <c r="A2085" s="3">
        <v>8</v>
      </c>
      <c r="B2085" s="3" t="s">
        <v>283</v>
      </c>
      <c r="C2085" s="3" t="s">
        <v>262</v>
      </c>
      <c r="D2085" s="3" t="s">
        <v>444</v>
      </c>
      <c r="E2085" s="11" t="s">
        <v>144</v>
      </c>
      <c r="F2085" s="3" t="s">
        <v>8</v>
      </c>
      <c r="G2085" s="66" t="s">
        <v>980</v>
      </c>
      <c r="H2085" s="8" t="s">
        <v>504</v>
      </c>
      <c r="I2085" s="8"/>
      <c r="J2085" s="6" t="s">
        <v>108</v>
      </c>
      <c r="K2085" s="38">
        <v>0</v>
      </c>
      <c r="L2085" s="4" t="s">
        <v>264</v>
      </c>
      <c r="M2085" s="11">
        <f>_xlfn.NUMBERVALUE(LEFT(Table613[[#This Row],[Fiscal Year]], 4))</f>
        <v>2001</v>
      </c>
      <c r="N2085" s="42">
        <f t="shared" si="46"/>
        <v>0</v>
      </c>
      <c r="O2085" s="3">
        <v>2083</v>
      </c>
    </row>
    <row r="2086" spans="1:15" x14ac:dyDescent="0.25">
      <c r="A2086" s="3">
        <v>8</v>
      </c>
      <c r="B2086" s="3" t="s">
        <v>283</v>
      </c>
      <c r="C2086" s="3" t="s">
        <v>262</v>
      </c>
      <c r="D2086" s="3" t="s">
        <v>444</v>
      </c>
      <c r="E2086" s="11" t="s">
        <v>144</v>
      </c>
      <c r="F2086" s="3" t="s">
        <v>8</v>
      </c>
      <c r="G2086" s="48" t="s">
        <v>981</v>
      </c>
      <c r="H2086" s="8" t="s">
        <v>504</v>
      </c>
      <c r="I2086" s="8"/>
      <c r="J2086" s="6" t="s">
        <v>108</v>
      </c>
      <c r="K2086" s="38">
        <v>0</v>
      </c>
      <c r="L2086" s="4" t="s">
        <v>264</v>
      </c>
      <c r="M2086" s="11">
        <f>_xlfn.NUMBERVALUE(LEFT(Table613[[#This Row],[Fiscal Year]], 4))</f>
        <v>2001</v>
      </c>
      <c r="N2086" s="42">
        <f t="shared" si="46"/>
        <v>0</v>
      </c>
      <c r="O2086" s="3">
        <v>2084</v>
      </c>
    </row>
    <row r="2087" spans="1:15" x14ac:dyDescent="0.25">
      <c r="A2087" s="3">
        <v>8</v>
      </c>
      <c r="B2087" s="3" t="s">
        <v>283</v>
      </c>
      <c r="C2087" s="3" t="s">
        <v>262</v>
      </c>
      <c r="D2087" s="3" t="s">
        <v>444</v>
      </c>
      <c r="E2087" s="11" t="s">
        <v>144</v>
      </c>
      <c r="F2087" s="3" t="s">
        <v>8</v>
      </c>
      <c r="G2087" s="66" t="s">
        <v>982</v>
      </c>
      <c r="H2087" s="8" t="s">
        <v>593</v>
      </c>
      <c r="I2087" s="8" t="s">
        <v>594</v>
      </c>
      <c r="J2087" s="6" t="s">
        <v>108</v>
      </c>
      <c r="K2087" s="38">
        <v>0</v>
      </c>
      <c r="L2087" s="4" t="s">
        <v>264</v>
      </c>
      <c r="M2087" s="11">
        <f>_xlfn.NUMBERVALUE(LEFT(Table613[[#This Row],[Fiscal Year]], 4))</f>
        <v>2001</v>
      </c>
      <c r="N2087" s="42">
        <f t="shared" si="46"/>
        <v>0</v>
      </c>
      <c r="O2087" s="3">
        <v>2085</v>
      </c>
    </row>
    <row r="2088" spans="1:15" x14ac:dyDescent="0.25">
      <c r="A2088" s="3">
        <v>8</v>
      </c>
      <c r="B2088" s="3" t="s">
        <v>283</v>
      </c>
      <c r="C2088" s="3" t="s">
        <v>262</v>
      </c>
      <c r="D2088" s="3" t="s">
        <v>444</v>
      </c>
      <c r="E2088" s="11" t="s">
        <v>144</v>
      </c>
      <c r="F2088" s="3" t="s">
        <v>8</v>
      </c>
      <c r="G2088" s="66" t="s">
        <v>983</v>
      </c>
      <c r="H2088" s="8" t="s">
        <v>504</v>
      </c>
      <c r="I2088" s="8"/>
      <c r="J2088" s="6" t="s">
        <v>108</v>
      </c>
      <c r="K2088" s="38">
        <v>0</v>
      </c>
      <c r="L2088" s="4" t="s">
        <v>264</v>
      </c>
      <c r="M2088" s="11">
        <f>_xlfn.NUMBERVALUE(LEFT(Table613[[#This Row],[Fiscal Year]], 4))</f>
        <v>2001</v>
      </c>
      <c r="N2088" s="42">
        <f t="shared" si="46"/>
        <v>0</v>
      </c>
      <c r="O2088" s="3">
        <v>2086</v>
      </c>
    </row>
    <row r="2089" spans="1:15" x14ac:dyDescent="0.25">
      <c r="A2089" s="3">
        <v>8</v>
      </c>
      <c r="B2089" s="3" t="s">
        <v>283</v>
      </c>
      <c r="C2089" s="3" t="s">
        <v>262</v>
      </c>
      <c r="D2089" s="3" t="s">
        <v>444</v>
      </c>
      <c r="E2089" s="11" t="s">
        <v>144</v>
      </c>
      <c r="F2089" s="3" t="s">
        <v>8</v>
      </c>
      <c r="G2089" s="66" t="s">
        <v>984</v>
      </c>
      <c r="H2089" s="8" t="s">
        <v>504</v>
      </c>
      <c r="I2089" s="8"/>
      <c r="J2089" s="6" t="s">
        <v>108</v>
      </c>
      <c r="K2089" s="38">
        <v>0</v>
      </c>
      <c r="L2089" s="4" t="s">
        <v>264</v>
      </c>
      <c r="M2089" s="11">
        <f>_xlfn.NUMBERVALUE(LEFT(Table613[[#This Row],[Fiscal Year]], 4))</f>
        <v>2001</v>
      </c>
      <c r="N2089" s="42">
        <f t="shared" si="46"/>
        <v>0</v>
      </c>
      <c r="O2089" s="3">
        <v>2087</v>
      </c>
    </row>
    <row r="2090" spans="1:15" x14ac:dyDescent="0.25">
      <c r="A2090" s="3">
        <v>8</v>
      </c>
      <c r="B2090" s="3" t="s">
        <v>283</v>
      </c>
      <c r="C2090" s="3" t="s">
        <v>262</v>
      </c>
      <c r="D2090" s="3" t="s">
        <v>444</v>
      </c>
      <c r="E2090" s="11" t="s">
        <v>144</v>
      </c>
      <c r="F2090" s="3" t="s">
        <v>8</v>
      </c>
      <c r="G2090" s="66" t="s">
        <v>985</v>
      </c>
      <c r="H2090" s="8" t="s">
        <v>505</v>
      </c>
      <c r="I2090" s="8"/>
      <c r="J2090" s="6" t="s">
        <v>42</v>
      </c>
      <c r="K2090" s="38">
        <v>0</v>
      </c>
      <c r="L2090" s="4" t="s">
        <v>264</v>
      </c>
      <c r="M2090" s="11">
        <f>_xlfn.NUMBERVALUE(LEFT(Table613[[#This Row],[Fiscal Year]], 4))</f>
        <v>2001</v>
      </c>
      <c r="N2090" s="42">
        <f t="shared" si="46"/>
        <v>0</v>
      </c>
      <c r="O2090" s="3">
        <v>2088</v>
      </c>
    </row>
    <row r="2091" spans="1:15" x14ac:dyDescent="0.25">
      <c r="A2091" s="3">
        <v>8</v>
      </c>
      <c r="B2091" s="3" t="s">
        <v>283</v>
      </c>
      <c r="C2091" s="3" t="s">
        <v>262</v>
      </c>
      <c r="D2091" s="3" t="s">
        <v>444</v>
      </c>
      <c r="E2091" s="11" t="s">
        <v>144</v>
      </c>
      <c r="F2091" s="3" t="s">
        <v>8</v>
      </c>
      <c r="G2091" s="66" t="s">
        <v>986</v>
      </c>
      <c r="H2091" s="8" t="s">
        <v>599</v>
      </c>
      <c r="I2091" s="8"/>
      <c r="J2091" s="6" t="s">
        <v>42</v>
      </c>
      <c r="K2091" s="38">
        <v>0</v>
      </c>
      <c r="L2091" s="4" t="s">
        <v>264</v>
      </c>
      <c r="M2091" s="11">
        <f>_xlfn.NUMBERVALUE(LEFT(Table613[[#This Row],[Fiscal Year]], 4))</f>
        <v>2001</v>
      </c>
      <c r="N2091" s="42">
        <f t="shared" si="46"/>
        <v>0</v>
      </c>
      <c r="O2091" s="3">
        <v>2089</v>
      </c>
    </row>
    <row r="2092" spans="1:15" x14ac:dyDescent="0.25">
      <c r="A2092" s="3">
        <v>8</v>
      </c>
      <c r="B2092" s="3" t="s">
        <v>283</v>
      </c>
      <c r="C2092" s="3" t="s">
        <v>262</v>
      </c>
      <c r="D2092" s="3" t="s">
        <v>444</v>
      </c>
      <c r="E2092" s="11" t="s">
        <v>144</v>
      </c>
      <c r="F2092" s="3" t="s">
        <v>8</v>
      </c>
      <c r="G2092" s="66" t="s">
        <v>987</v>
      </c>
      <c r="H2092" s="8"/>
      <c r="I2092" s="8"/>
      <c r="J2092" s="6" t="s">
        <v>111</v>
      </c>
      <c r="K2092" s="38">
        <v>0</v>
      </c>
      <c r="L2092" s="4" t="s">
        <v>264</v>
      </c>
      <c r="M2092" s="11">
        <f>_xlfn.NUMBERVALUE(LEFT(Table613[[#This Row],[Fiscal Year]], 4))</f>
        <v>2001</v>
      </c>
      <c r="N2092" s="42">
        <f t="shared" si="46"/>
        <v>0</v>
      </c>
      <c r="O2092" s="3">
        <v>2090</v>
      </c>
    </row>
    <row r="2093" spans="1:15" x14ac:dyDescent="0.25">
      <c r="A2093" s="3">
        <v>8</v>
      </c>
      <c r="B2093" s="3" t="s">
        <v>283</v>
      </c>
      <c r="C2093" s="3" t="s">
        <v>262</v>
      </c>
      <c r="D2093" s="3" t="s">
        <v>444</v>
      </c>
      <c r="E2093" s="11" t="s">
        <v>144</v>
      </c>
      <c r="F2093" s="3" t="s">
        <v>8</v>
      </c>
      <c r="G2093" s="66" t="s">
        <v>988</v>
      </c>
      <c r="H2093" s="8"/>
      <c r="I2093" s="8"/>
      <c r="J2093" s="6" t="s">
        <v>107</v>
      </c>
      <c r="K2093" s="38">
        <v>0</v>
      </c>
      <c r="L2093" s="4" t="s">
        <v>264</v>
      </c>
      <c r="M2093" s="11">
        <f>_xlfn.NUMBERVALUE(LEFT(Table613[[#This Row],[Fiscal Year]], 4))</f>
        <v>2001</v>
      </c>
      <c r="N2093" s="42">
        <f t="shared" si="46"/>
        <v>0</v>
      </c>
      <c r="O2093" s="3">
        <v>2091</v>
      </c>
    </row>
    <row r="2094" spans="1:15" x14ac:dyDescent="0.25">
      <c r="A2094" s="3">
        <v>8</v>
      </c>
      <c r="B2094" s="3" t="s">
        <v>283</v>
      </c>
      <c r="C2094" s="3" t="s">
        <v>262</v>
      </c>
      <c r="D2094" s="3" t="s">
        <v>444</v>
      </c>
      <c r="E2094" s="11" t="s">
        <v>144</v>
      </c>
      <c r="F2094" s="3" t="s">
        <v>8</v>
      </c>
      <c r="G2094" s="66" t="s">
        <v>989</v>
      </c>
      <c r="H2094" s="8" t="s">
        <v>597</v>
      </c>
      <c r="I2094" s="8" t="s">
        <v>594</v>
      </c>
      <c r="J2094" s="6" t="s">
        <v>108</v>
      </c>
      <c r="K2094" s="38">
        <v>0</v>
      </c>
      <c r="L2094" s="4" t="s">
        <v>264</v>
      </c>
      <c r="M2094" s="11">
        <f>_xlfn.NUMBERVALUE(LEFT(Table613[[#This Row],[Fiscal Year]], 4))</f>
        <v>2001</v>
      </c>
      <c r="N2094" s="42">
        <f t="shared" si="46"/>
        <v>0</v>
      </c>
      <c r="O2094" s="3">
        <v>2092</v>
      </c>
    </row>
    <row r="2095" spans="1:15" x14ac:dyDescent="0.25">
      <c r="A2095" s="3">
        <v>8</v>
      </c>
      <c r="B2095" s="3" t="s">
        <v>283</v>
      </c>
      <c r="C2095" s="3" t="s">
        <v>262</v>
      </c>
      <c r="D2095" s="3" t="s">
        <v>444</v>
      </c>
      <c r="E2095" s="11" t="s">
        <v>144</v>
      </c>
      <c r="F2095" s="3" t="s">
        <v>8</v>
      </c>
      <c r="G2095" s="66" t="s">
        <v>990</v>
      </c>
      <c r="H2095" s="8" t="s">
        <v>506</v>
      </c>
      <c r="I2095" s="8"/>
      <c r="J2095" s="6" t="s">
        <v>106</v>
      </c>
      <c r="K2095" s="38">
        <v>0</v>
      </c>
      <c r="L2095" s="4" t="s">
        <v>264</v>
      </c>
      <c r="M2095" s="11">
        <f>_xlfn.NUMBERVALUE(LEFT(Table613[[#This Row],[Fiscal Year]], 4))</f>
        <v>2001</v>
      </c>
      <c r="N2095" s="42">
        <f t="shared" si="46"/>
        <v>0</v>
      </c>
      <c r="O2095" s="3">
        <v>2093</v>
      </c>
    </row>
    <row r="2096" spans="1:15" x14ac:dyDescent="0.25">
      <c r="A2096" s="3">
        <v>8</v>
      </c>
      <c r="B2096" s="3" t="s">
        <v>283</v>
      </c>
      <c r="C2096" s="3" t="s">
        <v>262</v>
      </c>
      <c r="D2096" s="3" t="s">
        <v>444</v>
      </c>
      <c r="E2096" s="11" t="s">
        <v>144</v>
      </c>
      <c r="F2096" s="3" t="s">
        <v>8</v>
      </c>
      <c r="G2096" s="66" t="s">
        <v>1004</v>
      </c>
      <c r="H2096" s="8"/>
      <c r="I2096" s="8"/>
      <c r="J2096" s="6" t="s">
        <v>76</v>
      </c>
      <c r="K2096" s="38">
        <v>0</v>
      </c>
      <c r="L2096" s="4" t="s">
        <v>264</v>
      </c>
      <c r="M2096" s="11">
        <f>_xlfn.NUMBERVALUE(LEFT(Table613[[#This Row],[Fiscal Year]], 4))</f>
        <v>2001</v>
      </c>
      <c r="N2096" s="42">
        <f t="shared" si="46"/>
        <v>0</v>
      </c>
      <c r="O2096" s="3">
        <v>2094</v>
      </c>
    </row>
    <row r="2097" spans="1:15" x14ac:dyDescent="0.25">
      <c r="A2097" s="3">
        <v>8</v>
      </c>
      <c r="B2097" s="3" t="s">
        <v>283</v>
      </c>
      <c r="C2097" s="3" t="s">
        <v>262</v>
      </c>
      <c r="D2097" s="3" t="s">
        <v>444</v>
      </c>
      <c r="E2097" s="11" t="s">
        <v>144</v>
      </c>
      <c r="F2097" s="3" t="s">
        <v>8</v>
      </c>
      <c r="G2097" s="48" t="s">
        <v>991</v>
      </c>
      <c r="H2097" s="8" t="s">
        <v>503</v>
      </c>
      <c r="I2097" s="8"/>
      <c r="J2097" s="6" t="s">
        <v>110</v>
      </c>
      <c r="K2097" s="38">
        <v>0</v>
      </c>
      <c r="L2097" s="4" t="s">
        <v>264</v>
      </c>
      <c r="M2097" s="11">
        <f>_xlfn.NUMBERVALUE(LEFT(Table613[[#This Row],[Fiscal Year]], 4))</f>
        <v>2001</v>
      </c>
      <c r="N2097" s="42">
        <f t="shared" si="46"/>
        <v>0</v>
      </c>
      <c r="O2097" s="3">
        <v>2095</v>
      </c>
    </row>
    <row r="2098" spans="1:15" x14ac:dyDescent="0.25">
      <c r="A2098" s="3">
        <v>8</v>
      </c>
      <c r="B2098" s="3" t="s">
        <v>283</v>
      </c>
      <c r="C2098" s="3" t="s">
        <v>262</v>
      </c>
      <c r="D2098" s="3" t="s">
        <v>444</v>
      </c>
      <c r="E2098" s="11" t="s">
        <v>144</v>
      </c>
      <c r="F2098" s="3" t="s">
        <v>8</v>
      </c>
      <c r="G2098" s="66" t="s">
        <v>992</v>
      </c>
      <c r="H2098" s="8" t="s">
        <v>504</v>
      </c>
      <c r="I2098" s="8"/>
      <c r="J2098" s="6" t="s">
        <v>108</v>
      </c>
      <c r="K2098" s="38">
        <v>0</v>
      </c>
      <c r="L2098" s="4" t="s">
        <v>264</v>
      </c>
      <c r="M2098" s="11">
        <f>_xlfn.NUMBERVALUE(LEFT(Table613[[#This Row],[Fiscal Year]], 4))</f>
        <v>2001</v>
      </c>
      <c r="N2098" s="42">
        <f t="shared" si="46"/>
        <v>0</v>
      </c>
      <c r="O2098" s="3">
        <v>2096</v>
      </c>
    </row>
    <row r="2099" spans="1:15" x14ac:dyDescent="0.25">
      <c r="A2099" s="3">
        <v>8</v>
      </c>
      <c r="B2099" s="3" t="s">
        <v>283</v>
      </c>
      <c r="C2099" s="3" t="s">
        <v>262</v>
      </c>
      <c r="D2099" s="3" t="s">
        <v>444</v>
      </c>
      <c r="E2099" s="11" t="s">
        <v>144</v>
      </c>
      <c r="F2099" s="3" t="s">
        <v>8</v>
      </c>
      <c r="G2099" s="66" t="s">
        <v>993</v>
      </c>
      <c r="H2099" s="8" t="s">
        <v>602</v>
      </c>
      <c r="I2099" s="8"/>
      <c r="J2099" s="6" t="s">
        <v>108</v>
      </c>
      <c r="K2099" s="38">
        <v>0</v>
      </c>
      <c r="L2099" s="4" t="s">
        <v>264</v>
      </c>
      <c r="M2099" s="11">
        <f>_xlfn.NUMBERVALUE(LEFT(Table613[[#This Row],[Fiscal Year]], 4))</f>
        <v>2001</v>
      </c>
      <c r="N2099" s="42">
        <f t="shared" si="46"/>
        <v>0</v>
      </c>
      <c r="O2099" s="3">
        <v>2097</v>
      </c>
    </row>
    <row r="2100" spans="1:15" x14ac:dyDescent="0.25">
      <c r="A2100" s="3">
        <v>8</v>
      </c>
      <c r="B2100" s="3" t="s">
        <v>283</v>
      </c>
      <c r="C2100" s="3" t="s">
        <v>262</v>
      </c>
      <c r="D2100" s="3" t="s">
        <v>444</v>
      </c>
      <c r="E2100" s="11" t="s">
        <v>144</v>
      </c>
      <c r="F2100" s="3" t="s">
        <v>8</v>
      </c>
      <c r="G2100" s="66" t="s">
        <v>994</v>
      </c>
      <c r="H2100" s="8" t="s">
        <v>504</v>
      </c>
      <c r="I2100" s="8"/>
      <c r="J2100" s="6" t="s">
        <v>108</v>
      </c>
      <c r="K2100" s="38">
        <v>0</v>
      </c>
      <c r="L2100" s="4" t="s">
        <v>264</v>
      </c>
      <c r="M2100" s="11">
        <f>_xlfn.NUMBERVALUE(LEFT(Table613[[#This Row],[Fiscal Year]], 4))</f>
        <v>2001</v>
      </c>
      <c r="N2100" s="42">
        <f t="shared" si="46"/>
        <v>0</v>
      </c>
      <c r="O2100" s="3">
        <v>2098</v>
      </c>
    </row>
    <row r="2101" spans="1:15" x14ac:dyDescent="0.25">
      <c r="A2101" s="3">
        <v>8</v>
      </c>
      <c r="B2101" s="3" t="s">
        <v>283</v>
      </c>
      <c r="C2101" s="3" t="s">
        <v>262</v>
      </c>
      <c r="D2101" s="3" t="s">
        <v>444</v>
      </c>
      <c r="E2101" s="11" t="s">
        <v>144</v>
      </c>
      <c r="F2101" s="3" t="s">
        <v>8</v>
      </c>
      <c r="G2101" s="66" t="s">
        <v>995</v>
      </c>
      <c r="H2101" s="8" t="s">
        <v>504</v>
      </c>
      <c r="I2101" s="8"/>
      <c r="J2101" s="6" t="s">
        <v>108</v>
      </c>
      <c r="K2101" s="38">
        <v>0</v>
      </c>
      <c r="L2101" s="4" t="s">
        <v>264</v>
      </c>
      <c r="M2101" s="11">
        <f>_xlfn.NUMBERVALUE(LEFT(Table613[[#This Row],[Fiscal Year]], 4))</f>
        <v>2001</v>
      </c>
      <c r="N2101" s="42">
        <f t="shared" si="46"/>
        <v>0</v>
      </c>
      <c r="O2101" s="3">
        <v>2099</v>
      </c>
    </row>
    <row r="2102" spans="1:15" x14ac:dyDescent="0.25">
      <c r="A2102" s="3">
        <v>8</v>
      </c>
      <c r="B2102" s="3" t="s">
        <v>283</v>
      </c>
      <c r="C2102" s="3" t="s">
        <v>262</v>
      </c>
      <c r="D2102" s="3" t="s">
        <v>444</v>
      </c>
      <c r="E2102" s="11" t="s">
        <v>144</v>
      </c>
      <c r="F2102" s="3" t="s">
        <v>8</v>
      </c>
      <c r="G2102" s="48" t="s">
        <v>996</v>
      </c>
      <c r="H2102" s="8" t="s">
        <v>504</v>
      </c>
      <c r="I2102" s="8"/>
      <c r="J2102" s="6" t="s">
        <v>108</v>
      </c>
      <c r="K2102" s="38">
        <v>0</v>
      </c>
      <c r="L2102" s="4" t="s">
        <v>264</v>
      </c>
      <c r="M2102" s="11">
        <f>_xlfn.NUMBERVALUE(LEFT(Table613[[#This Row],[Fiscal Year]], 4))</f>
        <v>2001</v>
      </c>
      <c r="N2102" s="42">
        <f t="shared" si="46"/>
        <v>0</v>
      </c>
      <c r="O2102" s="3">
        <v>2100</v>
      </c>
    </row>
    <row r="2103" spans="1:15" x14ac:dyDescent="0.25">
      <c r="A2103" s="3">
        <v>8</v>
      </c>
      <c r="B2103" s="3" t="s">
        <v>283</v>
      </c>
      <c r="C2103" s="3" t="s">
        <v>262</v>
      </c>
      <c r="D2103" s="3" t="s">
        <v>444</v>
      </c>
      <c r="E2103" s="11" t="s">
        <v>144</v>
      </c>
      <c r="F2103" s="3" t="s">
        <v>8</v>
      </c>
      <c r="G2103" s="66" t="s">
        <v>997</v>
      </c>
      <c r="H2103" s="8" t="s">
        <v>593</v>
      </c>
      <c r="I2103" s="8" t="s">
        <v>594</v>
      </c>
      <c r="J2103" s="6" t="s">
        <v>108</v>
      </c>
      <c r="K2103" s="38">
        <v>0</v>
      </c>
      <c r="L2103" s="4" t="s">
        <v>264</v>
      </c>
      <c r="M2103" s="11">
        <f>_xlfn.NUMBERVALUE(LEFT(Table613[[#This Row],[Fiscal Year]], 4))</f>
        <v>2001</v>
      </c>
      <c r="N2103" s="42">
        <f t="shared" si="46"/>
        <v>0</v>
      </c>
      <c r="O2103" s="3">
        <v>2101</v>
      </c>
    </row>
    <row r="2104" spans="1:15" x14ac:dyDescent="0.25">
      <c r="A2104" s="3">
        <v>8</v>
      </c>
      <c r="B2104" s="3" t="s">
        <v>283</v>
      </c>
      <c r="C2104" s="3" t="s">
        <v>262</v>
      </c>
      <c r="D2104" s="3" t="s">
        <v>444</v>
      </c>
      <c r="E2104" s="11" t="s">
        <v>144</v>
      </c>
      <c r="F2104" s="3" t="s">
        <v>8</v>
      </c>
      <c r="G2104" s="66" t="s">
        <v>998</v>
      </c>
      <c r="H2104" s="8" t="s">
        <v>504</v>
      </c>
      <c r="I2104" s="8"/>
      <c r="J2104" s="6" t="s">
        <v>108</v>
      </c>
      <c r="K2104" s="38">
        <v>0</v>
      </c>
      <c r="L2104" s="4" t="s">
        <v>264</v>
      </c>
      <c r="M2104" s="11">
        <f>_xlfn.NUMBERVALUE(LEFT(Table613[[#This Row],[Fiscal Year]], 4))</f>
        <v>2001</v>
      </c>
      <c r="N2104" s="42">
        <f t="shared" si="46"/>
        <v>0</v>
      </c>
      <c r="O2104" s="3">
        <v>2102</v>
      </c>
    </row>
    <row r="2105" spans="1:15" x14ac:dyDescent="0.25">
      <c r="A2105" s="3">
        <v>8</v>
      </c>
      <c r="B2105" s="3" t="s">
        <v>283</v>
      </c>
      <c r="C2105" s="3" t="s">
        <v>262</v>
      </c>
      <c r="D2105" s="3" t="s">
        <v>444</v>
      </c>
      <c r="E2105" s="11" t="s">
        <v>144</v>
      </c>
      <c r="F2105" s="3" t="s">
        <v>8</v>
      </c>
      <c r="G2105" s="66" t="s">
        <v>999</v>
      </c>
      <c r="H2105" s="8" t="s">
        <v>504</v>
      </c>
      <c r="I2105" s="8"/>
      <c r="J2105" s="6" t="s">
        <v>108</v>
      </c>
      <c r="K2105" s="38">
        <v>0</v>
      </c>
      <c r="L2105" s="4" t="s">
        <v>264</v>
      </c>
      <c r="M2105" s="11">
        <f>_xlfn.NUMBERVALUE(LEFT(Table613[[#This Row],[Fiscal Year]], 4))</f>
        <v>2001</v>
      </c>
      <c r="N2105" s="42">
        <f t="shared" si="46"/>
        <v>0</v>
      </c>
      <c r="O2105" s="3">
        <v>2103</v>
      </c>
    </row>
    <row r="2106" spans="1:15" x14ac:dyDescent="0.25">
      <c r="A2106" s="3">
        <v>8</v>
      </c>
      <c r="B2106" s="3" t="s">
        <v>283</v>
      </c>
      <c r="C2106" s="3" t="s">
        <v>262</v>
      </c>
      <c r="D2106" s="3" t="s">
        <v>444</v>
      </c>
      <c r="E2106" s="11" t="s">
        <v>144</v>
      </c>
      <c r="F2106" s="3" t="s">
        <v>8</v>
      </c>
      <c r="G2106" s="66" t="s">
        <v>1000</v>
      </c>
      <c r="H2106" s="8" t="s">
        <v>505</v>
      </c>
      <c r="I2106" s="8"/>
      <c r="J2106" s="6" t="s">
        <v>42</v>
      </c>
      <c r="K2106" s="38">
        <v>0</v>
      </c>
      <c r="L2106" s="4" t="s">
        <v>264</v>
      </c>
      <c r="M2106" s="11">
        <f>_xlfn.NUMBERVALUE(LEFT(Table613[[#This Row],[Fiscal Year]], 4))</f>
        <v>2001</v>
      </c>
      <c r="N2106" s="42">
        <f t="shared" si="46"/>
        <v>0</v>
      </c>
      <c r="O2106" s="3">
        <v>2104</v>
      </c>
    </row>
    <row r="2107" spans="1:15" x14ac:dyDescent="0.25">
      <c r="A2107" s="3">
        <v>8</v>
      </c>
      <c r="B2107" s="3" t="s">
        <v>283</v>
      </c>
      <c r="C2107" s="3" t="s">
        <v>262</v>
      </c>
      <c r="D2107" s="3" t="s">
        <v>444</v>
      </c>
      <c r="E2107" s="11" t="s">
        <v>144</v>
      </c>
      <c r="F2107" s="3" t="s">
        <v>8</v>
      </c>
      <c r="G2107" s="66" t="s">
        <v>1001</v>
      </c>
      <c r="H2107" s="8" t="s">
        <v>599</v>
      </c>
      <c r="I2107" s="8"/>
      <c r="J2107" s="6" t="s">
        <v>42</v>
      </c>
      <c r="K2107" s="38">
        <v>0</v>
      </c>
      <c r="L2107" s="4" t="s">
        <v>264</v>
      </c>
      <c r="M2107" s="11">
        <f>_xlfn.NUMBERVALUE(LEFT(Table613[[#This Row],[Fiscal Year]], 4))</f>
        <v>2001</v>
      </c>
      <c r="N2107" s="42">
        <f t="shared" si="46"/>
        <v>0</v>
      </c>
      <c r="O2107" s="3">
        <v>2105</v>
      </c>
    </row>
    <row r="2108" spans="1:15" x14ac:dyDescent="0.25">
      <c r="A2108" s="3">
        <v>8</v>
      </c>
      <c r="B2108" s="3" t="s">
        <v>283</v>
      </c>
      <c r="C2108" s="3" t="s">
        <v>262</v>
      </c>
      <c r="D2108" s="3" t="s">
        <v>444</v>
      </c>
      <c r="E2108" s="11" t="s">
        <v>144</v>
      </c>
      <c r="F2108" s="3" t="s">
        <v>8</v>
      </c>
      <c r="G2108" s="66" t="s">
        <v>1005</v>
      </c>
      <c r="H2108" s="8"/>
      <c r="I2108" s="8"/>
      <c r="J2108" s="6" t="s">
        <v>111</v>
      </c>
      <c r="K2108" s="38">
        <v>0</v>
      </c>
      <c r="L2108" s="4" t="s">
        <v>264</v>
      </c>
      <c r="M2108" s="11">
        <f>_xlfn.NUMBERVALUE(LEFT(Table613[[#This Row],[Fiscal Year]], 4))</f>
        <v>2001</v>
      </c>
      <c r="N2108" s="42">
        <f t="shared" si="46"/>
        <v>0</v>
      </c>
      <c r="O2108" s="3">
        <v>2106</v>
      </c>
    </row>
    <row r="2109" spans="1:15" x14ac:dyDescent="0.25">
      <c r="A2109" s="3">
        <v>8</v>
      </c>
      <c r="B2109" s="3" t="s">
        <v>283</v>
      </c>
      <c r="C2109" s="3" t="s">
        <v>262</v>
      </c>
      <c r="D2109" s="3" t="s">
        <v>444</v>
      </c>
      <c r="E2109" s="11" t="s">
        <v>144</v>
      </c>
      <c r="F2109" s="3" t="s">
        <v>8</v>
      </c>
      <c r="G2109" s="66" t="s">
        <v>1006</v>
      </c>
      <c r="H2109" s="8"/>
      <c r="I2109" s="8"/>
      <c r="J2109" s="6" t="s">
        <v>107</v>
      </c>
      <c r="K2109" s="38">
        <v>0</v>
      </c>
      <c r="L2109" s="4" t="s">
        <v>264</v>
      </c>
      <c r="M2109" s="11">
        <f>_xlfn.NUMBERVALUE(LEFT(Table613[[#This Row],[Fiscal Year]], 4))</f>
        <v>2001</v>
      </c>
      <c r="N2109" s="42">
        <f t="shared" si="46"/>
        <v>0</v>
      </c>
      <c r="O2109" s="3">
        <v>2107</v>
      </c>
    </row>
    <row r="2110" spans="1:15" x14ac:dyDescent="0.25">
      <c r="A2110" s="3">
        <v>8</v>
      </c>
      <c r="B2110" s="3" t="s">
        <v>283</v>
      </c>
      <c r="C2110" s="3" t="s">
        <v>262</v>
      </c>
      <c r="D2110" s="3" t="s">
        <v>444</v>
      </c>
      <c r="E2110" s="11" t="s">
        <v>144</v>
      </c>
      <c r="F2110" s="3" t="s">
        <v>8</v>
      </c>
      <c r="G2110" s="66" t="s">
        <v>1002</v>
      </c>
      <c r="H2110" s="8" t="s">
        <v>597</v>
      </c>
      <c r="I2110" s="8" t="s">
        <v>594</v>
      </c>
      <c r="J2110" s="6" t="s">
        <v>108</v>
      </c>
      <c r="K2110" s="38">
        <v>0</v>
      </c>
      <c r="L2110" s="4" t="s">
        <v>264</v>
      </c>
      <c r="M2110" s="11">
        <f>_xlfn.NUMBERVALUE(LEFT(Table613[[#This Row],[Fiscal Year]], 4))</f>
        <v>2001</v>
      </c>
      <c r="N2110" s="42">
        <f t="shared" si="46"/>
        <v>0</v>
      </c>
      <c r="O2110" s="3">
        <v>2108</v>
      </c>
    </row>
    <row r="2111" spans="1:15" x14ac:dyDescent="0.25">
      <c r="A2111" s="3">
        <v>8</v>
      </c>
      <c r="B2111" s="3" t="s">
        <v>283</v>
      </c>
      <c r="C2111" s="3" t="s">
        <v>262</v>
      </c>
      <c r="D2111" s="3" t="s">
        <v>444</v>
      </c>
      <c r="E2111" s="11" t="s">
        <v>144</v>
      </c>
      <c r="F2111" s="3" t="s">
        <v>8</v>
      </c>
      <c r="G2111" s="66" t="s">
        <v>1003</v>
      </c>
      <c r="H2111" s="8" t="s">
        <v>506</v>
      </c>
      <c r="I2111" s="8"/>
      <c r="J2111" s="6" t="s">
        <v>106</v>
      </c>
      <c r="K2111" s="38">
        <v>0</v>
      </c>
      <c r="L2111" s="4" t="s">
        <v>264</v>
      </c>
      <c r="M2111" s="11">
        <f>_xlfn.NUMBERVALUE(LEFT(Table613[[#This Row],[Fiscal Year]], 4))</f>
        <v>2001</v>
      </c>
      <c r="N2111" s="42">
        <f t="shared" si="46"/>
        <v>0</v>
      </c>
      <c r="O2111" s="3">
        <v>2109</v>
      </c>
    </row>
    <row r="2112" spans="1:15" x14ac:dyDescent="0.25">
      <c r="A2112" s="3">
        <v>8</v>
      </c>
      <c r="B2112" s="3" t="s">
        <v>283</v>
      </c>
      <c r="C2112" s="3" t="s">
        <v>262</v>
      </c>
      <c r="D2112" s="3" t="s">
        <v>444</v>
      </c>
      <c r="E2112" s="11" t="s">
        <v>144</v>
      </c>
      <c r="F2112" s="3" t="s">
        <v>8</v>
      </c>
      <c r="G2112" s="66" t="s">
        <v>1007</v>
      </c>
      <c r="H2112" s="8"/>
      <c r="I2112" s="8"/>
      <c r="J2112" s="6" t="s">
        <v>76</v>
      </c>
      <c r="K2112" s="38">
        <v>0</v>
      </c>
      <c r="L2112" s="4" t="s">
        <v>264</v>
      </c>
      <c r="M2112" s="11">
        <f>_xlfn.NUMBERVALUE(LEFT(Table613[[#This Row],[Fiscal Year]], 4))</f>
        <v>2001</v>
      </c>
      <c r="N2112" s="42">
        <f t="shared" si="46"/>
        <v>0</v>
      </c>
      <c r="O2112" s="3">
        <v>2110</v>
      </c>
    </row>
    <row r="2113" spans="1:15" x14ac:dyDescent="0.25">
      <c r="E2113" s="11"/>
      <c r="G2113" s="66"/>
      <c r="H2113" s="8"/>
      <c r="I2113" s="8"/>
      <c r="J2113" s="6"/>
      <c r="L2113" s="4"/>
      <c r="O2113" s="3">
        <v>2111</v>
      </c>
    </row>
    <row r="2114" spans="1:15" x14ac:dyDescent="0.25">
      <c r="A2114" s="5">
        <v>9</v>
      </c>
      <c r="B2114" s="3" t="s">
        <v>284</v>
      </c>
      <c r="C2114" s="3" t="s">
        <v>262</v>
      </c>
      <c r="D2114" s="3" t="s">
        <v>444</v>
      </c>
      <c r="E2114" s="11" t="s">
        <v>144</v>
      </c>
      <c r="F2114" s="3" t="s">
        <v>8</v>
      </c>
      <c r="G2114" s="48" t="s">
        <v>1026</v>
      </c>
      <c r="H2114" s="8"/>
      <c r="I2114" s="8" t="s">
        <v>640</v>
      </c>
      <c r="J2114" s="6" t="s">
        <v>76</v>
      </c>
      <c r="K2114" s="38">
        <v>849154</v>
      </c>
      <c r="L2114" s="4" t="s">
        <v>25</v>
      </c>
      <c r="M2114" s="11">
        <f>_xlfn.NUMBERVALUE(LEFT(Table613[[#This Row],[Fiscal Year]], 4))</f>
        <v>2017</v>
      </c>
      <c r="N2114" s="42">
        <f t="shared" si="46"/>
        <v>871780.78406364762</v>
      </c>
      <c r="O2114" s="3">
        <v>2112</v>
      </c>
    </row>
    <row r="2115" spans="1:15" x14ac:dyDescent="0.25">
      <c r="A2115" s="3">
        <v>9</v>
      </c>
      <c r="B2115" s="3" t="s">
        <v>284</v>
      </c>
      <c r="C2115" s="3" t="s">
        <v>262</v>
      </c>
      <c r="D2115" s="3" t="s">
        <v>444</v>
      </c>
      <c r="E2115" s="11" t="s">
        <v>144</v>
      </c>
      <c r="F2115" s="3" t="s">
        <v>8</v>
      </c>
      <c r="G2115" s="66" t="s">
        <v>1037</v>
      </c>
      <c r="H2115" s="8"/>
      <c r="I2115" s="8"/>
      <c r="J2115" s="6" t="s">
        <v>76</v>
      </c>
      <c r="K2115" s="38">
        <v>0</v>
      </c>
      <c r="L2115" s="4" t="s">
        <v>25</v>
      </c>
      <c r="M2115" s="11">
        <f>_xlfn.NUMBERVALUE(LEFT(Table613[[#This Row],[Fiscal Year]], 4))</f>
        <v>2017</v>
      </c>
      <c r="N2115" s="42">
        <f t="shared" si="46"/>
        <v>0</v>
      </c>
      <c r="O2115" s="3">
        <v>2113</v>
      </c>
    </row>
    <row r="2116" spans="1:15" x14ac:dyDescent="0.25">
      <c r="A2116" s="3">
        <v>9</v>
      </c>
      <c r="B2116" s="3" t="s">
        <v>284</v>
      </c>
      <c r="C2116" s="3" t="s">
        <v>262</v>
      </c>
      <c r="D2116" s="3" t="s">
        <v>444</v>
      </c>
      <c r="E2116" s="11" t="s">
        <v>144</v>
      </c>
      <c r="F2116" s="3" t="s">
        <v>8</v>
      </c>
      <c r="G2116" s="66" t="s">
        <v>1010</v>
      </c>
      <c r="H2116" s="8"/>
      <c r="I2116" s="8"/>
      <c r="J2116" s="6" t="s">
        <v>76</v>
      </c>
      <c r="K2116" s="38">
        <v>0</v>
      </c>
      <c r="L2116" s="4" t="s">
        <v>25</v>
      </c>
      <c r="M2116" s="11">
        <f>_xlfn.NUMBERVALUE(LEFT(Table613[[#This Row],[Fiscal Year]], 4))</f>
        <v>2017</v>
      </c>
      <c r="N2116" s="42">
        <f t="shared" si="46"/>
        <v>0</v>
      </c>
      <c r="O2116" s="3">
        <v>2114</v>
      </c>
    </row>
    <row r="2117" spans="1:15" x14ac:dyDescent="0.25">
      <c r="A2117" s="3">
        <v>9</v>
      </c>
      <c r="B2117" s="3" t="s">
        <v>284</v>
      </c>
      <c r="C2117" s="3" t="s">
        <v>262</v>
      </c>
      <c r="D2117" s="3" t="s">
        <v>444</v>
      </c>
      <c r="E2117" s="11" t="s">
        <v>144</v>
      </c>
      <c r="F2117" s="3" t="s">
        <v>8</v>
      </c>
      <c r="G2117" s="48" t="s">
        <v>1058</v>
      </c>
      <c r="H2117" s="8" t="s">
        <v>511</v>
      </c>
      <c r="I2117" s="8"/>
      <c r="J2117" s="6" t="s">
        <v>110</v>
      </c>
      <c r="K2117" s="38">
        <v>223430</v>
      </c>
      <c r="L2117" s="4" t="s">
        <v>25</v>
      </c>
      <c r="M2117" s="11">
        <f>_xlfn.NUMBERVALUE(LEFT(Table613[[#This Row],[Fiscal Year]], 4))</f>
        <v>2017</v>
      </c>
      <c r="N2117" s="42">
        <f t="shared" si="46"/>
        <v>229383.57539779684</v>
      </c>
      <c r="O2117" s="3">
        <v>2115</v>
      </c>
    </row>
    <row r="2118" spans="1:15" x14ac:dyDescent="0.25">
      <c r="A2118" s="3">
        <v>9</v>
      </c>
      <c r="B2118" s="3" t="s">
        <v>284</v>
      </c>
      <c r="C2118" s="3" t="s">
        <v>262</v>
      </c>
      <c r="D2118" s="3" t="s">
        <v>444</v>
      </c>
      <c r="E2118" s="11" t="s">
        <v>144</v>
      </c>
      <c r="F2118" s="3" t="s">
        <v>8</v>
      </c>
      <c r="G2118" s="48" t="s">
        <v>1038</v>
      </c>
      <c r="H2118" s="8" t="s">
        <v>507</v>
      </c>
      <c r="I2118" s="8"/>
      <c r="J2118" s="6" t="s">
        <v>108</v>
      </c>
      <c r="K2118" s="38">
        <v>96264</v>
      </c>
      <c r="L2118" s="4" t="s">
        <v>25</v>
      </c>
      <c r="M2118" s="11">
        <f>_xlfn.NUMBERVALUE(LEFT(Table613[[#This Row],[Fiscal Year]], 4))</f>
        <v>2017</v>
      </c>
      <c r="N2118" s="42">
        <f t="shared" si="46"/>
        <v>98829.076230110164</v>
      </c>
      <c r="O2118" s="3">
        <v>2116</v>
      </c>
    </row>
    <row r="2119" spans="1:15" x14ac:dyDescent="0.25">
      <c r="A2119" s="3">
        <v>9</v>
      </c>
      <c r="B2119" s="3" t="s">
        <v>284</v>
      </c>
      <c r="C2119" s="3" t="s">
        <v>262</v>
      </c>
      <c r="D2119" s="3" t="s">
        <v>444</v>
      </c>
      <c r="E2119" s="11" t="s">
        <v>144</v>
      </c>
      <c r="F2119" s="3" t="s">
        <v>8</v>
      </c>
      <c r="G2119" s="48" t="s">
        <v>1039</v>
      </c>
      <c r="H2119" s="8" t="s">
        <v>507</v>
      </c>
      <c r="I2119" s="8"/>
      <c r="J2119" s="6" t="s">
        <v>108</v>
      </c>
      <c r="K2119" s="38">
        <v>259476</v>
      </c>
      <c r="L2119" s="4" t="s">
        <v>25</v>
      </c>
      <c r="M2119" s="11">
        <f>_xlfn.NUMBERVALUE(LEFT(Table613[[#This Row],[Fiscal Year]], 4))</f>
        <v>2017</v>
      </c>
      <c r="N2119" s="42">
        <f t="shared" si="46"/>
        <v>266390.06673194619</v>
      </c>
      <c r="O2119" s="3">
        <v>2117</v>
      </c>
    </row>
    <row r="2120" spans="1:15" x14ac:dyDescent="0.25">
      <c r="A2120" s="3">
        <v>9</v>
      </c>
      <c r="B2120" s="3" t="s">
        <v>284</v>
      </c>
      <c r="C2120" s="3" t="s">
        <v>262</v>
      </c>
      <c r="D2120" s="3" t="s">
        <v>444</v>
      </c>
      <c r="E2120" s="11" t="s">
        <v>144</v>
      </c>
      <c r="F2120" s="3" t="s">
        <v>8</v>
      </c>
      <c r="G2120" s="48" t="s">
        <v>1040</v>
      </c>
      <c r="H2120" s="8" t="s">
        <v>507</v>
      </c>
      <c r="I2120" s="8"/>
      <c r="J2120" s="6" t="s">
        <v>108</v>
      </c>
      <c r="K2120" s="38">
        <v>421436</v>
      </c>
      <c r="L2120" s="4" t="s">
        <v>25</v>
      </c>
      <c r="M2120" s="11">
        <f>_xlfn.NUMBERVALUE(LEFT(Table613[[#This Row],[Fiscal Year]], 4))</f>
        <v>2017</v>
      </c>
      <c r="N2120" s="42">
        <f t="shared" si="46"/>
        <v>432665.69610771118</v>
      </c>
      <c r="O2120" s="3">
        <v>2118</v>
      </c>
    </row>
    <row r="2121" spans="1:15" x14ac:dyDescent="0.25">
      <c r="A2121" s="3">
        <v>9</v>
      </c>
      <c r="B2121" s="3" t="s">
        <v>284</v>
      </c>
      <c r="C2121" s="3" t="s">
        <v>262</v>
      </c>
      <c r="D2121" s="3" t="s">
        <v>444</v>
      </c>
      <c r="E2121" s="11" t="s">
        <v>144</v>
      </c>
      <c r="F2121" s="3" t="s">
        <v>8</v>
      </c>
      <c r="G2121" s="48" t="s">
        <v>1041</v>
      </c>
      <c r="H2121" s="8" t="s">
        <v>507</v>
      </c>
      <c r="I2121" s="8"/>
      <c r="J2121" s="6" t="s">
        <v>108</v>
      </c>
      <c r="K2121" s="38">
        <v>312000</v>
      </c>
      <c r="L2121" s="4" t="s">
        <v>25</v>
      </c>
      <c r="M2121" s="11">
        <f>_xlfn.NUMBERVALUE(LEFT(Table613[[#This Row],[Fiscal Year]], 4))</f>
        <v>2017</v>
      </c>
      <c r="N2121" s="42">
        <f t="shared" si="46"/>
        <v>320313.63525091804</v>
      </c>
      <c r="O2121" s="3">
        <v>2119</v>
      </c>
    </row>
    <row r="2122" spans="1:15" x14ac:dyDescent="0.25">
      <c r="A2122" s="3">
        <v>9</v>
      </c>
      <c r="B2122" s="3" t="s">
        <v>284</v>
      </c>
      <c r="C2122" s="3" t="s">
        <v>262</v>
      </c>
      <c r="D2122" s="3" t="s">
        <v>444</v>
      </c>
      <c r="E2122" s="11" t="s">
        <v>144</v>
      </c>
      <c r="F2122" s="3" t="s">
        <v>8</v>
      </c>
      <c r="G2122" s="48" t="s">
        <v>1042</v>
      </c>
      <c r="H2122" s="8" t="s">
        <v>507</v>
      </c>
      <c r="I2122" s="8"/>
      <c r="J2122" s="6" t="s">
        <v>108</v>
      </c>
      <c r="K2122" s="38">
        <v>38803</v>
      </c>
      <c r="L2122" s="4" t="s">
        <v>25</v>
      </c>
      <c r="M2122" s="11">
        <f>_xlfn.NUMBERVALUE(LEFT(Table613[[#This Row],[Fiscal Year]], 4))</f>
        <v>2017</v>
      </c>
      <c r="N2122" s="42">
        <f t="shared" si="46"/>
        <v>39836.955091799267</v>
      </c>
      <c r="O2122" s="3">
        <v>2120</v>
      </c>
    </row>
    <row r="2123" spans="1:15" x14ac:dyDescent="0.25">
      <c r="A2123" s="3">
        <v>9</v>
      </c>
      <c r="B2123" s="3" t="s">
        <v>284</v>
      </c>
      <c r="C2123" s="3" t="s">
        <v>262</v>
      </c>
      <c r="D2123" s="3" t="s">
        <v>444</v>
      </c>
      <c r="E2123" s="11" t="s">
        <v>144</v>
      </c>
      <c r="F2123" s="3" t="s">
        <v>8</v>
      </c>
      <c r="G2123" s="66" t="s">
        <v>1043</v>
      </c>
      <c r="H2123" s="8" t="s">
        <v>508</v>
      </c>
      <c r="I2123" s="8"/>
      <c r="J2123" s="6" t="s">
        <v>42</v>
      </c>
      <c r="K2123" s="38">
        <v>51602</v>
      </c>
      <c r="L2123" s="4" t="s">
        <v>25</v>
      </c>
      <c r="M2123" s="11">
        <f>_xlfn.NUMBERVALUE(LEFT(Table613[[#This Row],[Fiscal Year]], 4))</f>
        <v>2017</v>
      </c>
      <c r="N2123" s="42">
        <f t="shared" si="46"/>
        <v>52977.00066095472</v>
      </c>
      <c r="O2123" s="3">
        <v>2121</v>
      </c>
    </row>
    <row r="2124" spans="1:15" x14ac:dyDescent="0.25">
      <c r="A2124" s="3">
        <v>9</v>
      </c>
      <c r="B2124" s="3" t="s">
        <v>284</v>
      </c>
      <c r="C2124" s="3" t="s">
        <v>262</v>
      </c>
      <c r="D2124" s="3" t="s">
        <v>444</v>
      </c>
      <c r="E2124" s="11" t="s">
        <v>144</v>
      </c>
      <c r="F2124" s="3" t="s">
        <v>8</v>
      </c>
      <c r="G2124" s="66" t="s">
        <v>1044</v>
      </c>
      <c r="H2124" s="8" t="s">
        <v>508</v>
      </c>
      <c r="I2124" s="8"/>
      <c r="J2124" s="6" t="s">
        <v>453</v>
      </c>
      <c r="K2124" s="38">
        <v>76000</v>
      </c>
      <c r="L2124" s="4" t="s">
        <v>25</v>
      </c>
      <c r="M2124" s="11">
        <f>_xlfn.NUMBERVALUE(LEFT(Table613[[#This Row],[Fiscal Year]], 4))</f>
        <v>2017</v>
      </c>
      <c r="N2124" s="42">
        <f t="shared" si="46"/>
        <v>78025.116279069771</v>
      </c>
      <c r="O2124" s="3">
        <v>2122</v>
      </c>
    </row>
    <row r="2125" spans="1:15" x14ac:dyDescent="0.25">
      <c r="A2125" s="3">
        <v>9</v>
      </c>
      <c r="B2125" s="3" t="s">
        <v>284</v>
      </c>
      <c r="C2125" s="3" t="s">
        <v>262</v>
      </c>
      <c r="D2125" s="3" t="s">
        <v>444</v>
      </c>
      <c r="E2125" s="11" t="s">
        <v>144</v>
      </c>
      <c r="F2125" s="3" t="s">
        <v>8</v>
      </c>
      <c r="G2125" s="66" t="s">
        <v>1045</v>
      </c>
      <c r="H2125" s="8" t="s">
        <v>512</v>
      </c>
      <c r="I2125" s="8"/>
      <c r="J2125" s="6" t="s">
        <v>111</v>
      </c>
      <c r="K2125" s="38">
        <v>1575</v>
      </c>
      <c r="L2125" s="4" t="s">
        <v>25</v>
      </c>
      <c r="M2125" s="11">
        <f>_xlfn.NUMBERVALUE(LEFT(Table613[[#This Row],[Fiscal Year]], 4))</f>
        <v>2017</v>
      </c>
      <c r="N2125" s="42">
        <f t="shared" si="46"/>
        <v>1616.9678702570382</v>
      </c>
      <c r="O2125" s="3">
        <v>2123</v>
      </c>
    </row>
    <row r="2126" spans="1:15" x14ac:dyDescent="0.25">
      <c r="A2126" s="3">
        <v>9</v>
      </c>
      <c r="B2126" s="3" t="s">
        <v>284</v>
      </c>
      <c r="C2126" s="3" t="s">
        <v>262</v>
      </c>
      <c r="D2126" s="3" t="s">
        <v>444</v>
      </c>
      <c r="E2126" s="11" t="s">
        <v>144</v>
      </c>
      <c r="F2126" s="3" t="s">
        <v>8</v>
      </c>
      <c r="G2126" s="66" t="s">
        <v>1025</v>
      </c>
      <c r="H2126" s="8" t="s">
        <v>513</v>
      </c>
      <c r="I2126" s="8"/>
      <c r="J2126" s="6" t="s">
        <v>107</v>
      </c>
      <c r="K2126" s="38">
        <v>12186</v>
      </c>
      <c r="L2126" s="4" t="s">
        <v>25</v>
      </c>
      <c r="M2126" s="11">
        <f>_xlfn.NUMBERVALUE(LEFT(Table613[[#This Row],[Fiscal Year]], 4))</f>
        <v>2017</v>
      </c>
      <c r="N2126" s="42">
        <f t="shared" si="46"/>
        <v>12510.71140758874</v>
      </c>
      <c r="O2126" s="3">
        <v>2124</v>
      </c>
    </row>
    <row r="2127" spans="1:15" x14ac:dyDescent="0.25">
      <c r="A2127" s="3">
        <v>9</v>
      </c>
      <c r="B2127" s="3" t="s">
        <v>284</v>
      </c>
      <c r="C2127" s="3" t="s">
        <v>262</v>
      </c>
      <c r="D2127" s="3" t="s">
        <v>444</v>
      </c>
      <c r="E2127" s="11" t="s">
        <v>144</v>
      </c>
      <c r="F2127" s="3" t="s">
        <v>8</v>
      </c>
      <c r="G2127" s="66" t="s">
        <v>1020</v>
      </c>
      <c r="H2127" s="8" t="s">
        <v>509</v>
      </c>
      <c r="I2127" s="8"/>
      <c r="J2127" s="6" t="s">
        <v>109</v>
      </c>
      <c r="K2127" s="38">
        <v>33470</v>
      </c>
      <c r="L2127" s="4" t="s">
        <v>25</v>
      </c>
      <c r="M2127" s="11">
        <f>_xlfn.NUMBERVALUE(LEFT(Table613[[#This Row],[Fiscal Year]], 4))</f>
        <v>2017</v>
      </c>
      <c r="N2127" s="42">
        <f t="shared" si="46"/>
        <v>34361.8505507956</v>
      </c>
      <c r="O2127" s="3">
        <v>2125</v>
      </c>
    </row>
    <row r="2128" spans="1:15" x14ac:dyDescent="0.25">
      <c r="A2128" s="3">
        <v>9</v>
      </c>
      <c r="B2128" s="3" t="s">
        <v>284</v>
      </c>
      <c r="C2128" s="3" t="s">
        <v>262</v>
      </c>
      <c r="D2128" s="3" t="s">
        <v>444</v>
      </c>
      <c r="E2128" s="11" t="s">
        <v>144</v>
      </c>
      <c r="F2128" s="3" t="s">
        <v>8</v>
      </c>
      <c r="G2128" s="66" t="s">
        <v>1046</v>
      </c>
      <c r="H2128" s="8" t="s">
        <v>510</v>
      </c>
      <c r="I2128" s="8"/>
      <c r="J2128" s="6" t="s">
        <v>106</v>
      </c>
      <c r="K2128" s="38">
        <v>0</v>
      </c>
      <c r="L2128" s="4" t="s">
        <v>25</v>
      </c>
      <c r="M2128" s="11">
        <f>_xlfn.NUMBERVALUE(LEFT(Table613[[#This Row],[Fiscal Year]], 4))</f>
        <v>2017</v>
      </c>
      <c r="N2128" s="42">
        <f t="shared" si="46"/>
        <v>0</v>
      </c>
      <c r="O2128" s="3">
        <v>2126</v>
      </c>
    </row>
    <row r="2129" spans="1:15" x14ac:dyDescent="0.25">
      <c r="A2129" s="3">
        <v>9</v>
      </c>
      <c r="B2129" s="3" t="s">
        <v>284</v>
      </c>
      <c r="C2129" s="3" t="s">
        <v>262</v>
      </c>
      <c r="D2129" s="3" t="s">
        <v>444</v>
      </c>
      <c r="E2129" s="11" t="s">
        <v>144</v>
      </c>
      <c r="F2129" s="3" t="s">
        <v>8</v>
      </c>
      <c r="G2129" s="66" t="s">
        <v>1047</v>
      </c>
      <c r="H2129" s="8"/>
      <c r="I2129" s="8"/>
      <c r="J2129" s="6" t="s">
        <v>455</v>
      </c>
      <c r="K2129" s="38">
        <v>269480</v>
      </c>
      <c r="L2129" s="4" t="s">
        <v>25</v>
      </c>
      <c r="M2129" s="11">
        <f>_xlfn.NUMBERVALUE(LEFT(Table613[[#This Row],[Fiscal Year]], 4))</f>
        <v>2017</v>
      </c>
      <c r="N2129" s="42">
        <f>K2129*(1+VLOOKUP(M2129,$AF$8:$AH$31,3,0))</f>
        <v>276660.63598531217</v>
      </c>
      <c r="O2129" s="3">
        <v>2127</v>
      </c>
    </row>
    <row r="2130" spans="1:15" x14ac:dyDescent="0.25">
      <c r="A2130" s="3">
        <v>9</v>
      </c>
      <c r="B2130" s="3" t="s">
        <v>284</v>
      </c>
      <c r="C2130" s="3" t="s">
        <v>262</v>
      </c>
      <c r="D2130" s="3" t="s">
        <v>444</v>
      </c>
      <c r="E2130" s="11" t="s">
        <v>144</v>
      </c>
      <c r="F2130" s="3" t="s">
        <v>8</v>
      </c>
      <c r="G2130" s="48" t="s">
        <v>1023</v>
      </c>
      <c r="H2130" s="8"/>
      <c r="I2130" s="8"/>
      <c r="J2130" s="6" t="s">
        <v>453</v>
      </c>
      <c r="K2130" s="38">
        <v>0</v>
      </c>
      <c r="L2130" s="4" t="s">
        <v>25</v>
      </c>
      <c r="M2130" s="11">
        <f>_xlfn.NUMBERVALUE(LEFT(Table613[[#This Row],[Fiscal Year]], 4))</f>
        <v>2017</v>
      </c>
      <c r="N2130" s="42">
        <f t="shared" si="46"/>
        <v>0</v>
      </c>
      <c r="O2130" s="3">
        <v>2128</v>
      </c>
    </row>
    <row r="2131" spans="1:15" x14ac:dyDescent="0.25">
      <c r="A2131" s="3">
        <v>9</v>
      </c>
      <c r="B2131" s="3" t="s">
        <v>284</v>
      </c>
      <c r="C2131" s="3" t="s">
        <v>262</v>
      </c>
      <c r="D2131" s="3" t="s">
        <v>444</v>
      </c>
      <c r="E2131" s="11" t="s">
        <v>144</v>
      </c>
      <c r="F2131" s="3" t="s">
        <v>8</v>
      </c>
      <c r="G2131" s="63" t="s">
        <v>1059</v>
      </c>
      <c r="H2131" s="8"/>
      <c r="I2131" s="8"/>
      <c r="J2131" s="6" t="s">
        <v>455</v>
      </c>
      <c r="K2131" s="38">
        <v>0</v>
      </c>
      <c r="L2131" s="4" t="s">
        <v>25</v>
      </c>
      <c r="M2131" s="11">
        <f>_xlfn.NUMBERVALUE(LEFT(Table613[[#This Row],[Fiscal Year]], 4))</f>
        <v>2017</v>
      </c>
      <c r="N2131" s="42">
        <f t="shared" si="46"/>
        <v>0</v>
      </c>
      <c r="O2131" s="3">
        <v>2129</v>
      </c>
    </row>
    <row r="2132" spans="1:15" x14ac:dyDescent="0.25">
      <c r="E2132" s="11"/>
      <c r="G2132" s="66"/>
      <c r="H2132" s="8"/>
      <c r="I2132" s="8"/>
      <c r="J2132" s="6"/>
      <c r="L2132" s="4"/>
      <c r="O2132" s="3">
        <v>2130</v>
      </c>
    </row>
    <row r="2133" spans="1:15" x14ac:dyDescent="0.25">
      <c r="A2133" s="3">
        <v>8</v>
      </c>
      <c r="B2133" s="3" t="s">
        <v>285</v>
      </c>
      <c r="C2133" s="3" t="s">
        <v>262</v>
      </c>
      <c r="D2133" s="3" t="s">
        <v>444</v>
      </c>
      <c r="E2133" s="11" t="s">
        <v>144</v>
      </c>
      <c r="F2133" s="3" t="s">
        <v>8</v>
      </c>
      <c r="G2133" s="48" t="s">
        <v>976</v>
      </c>
      <c r="H2133" s="8" t="s">
        <v>503</v>
      </c>
      <c r="I2133" s="8" t="s">
        <v>640</v>
      </c>
      <c r="J2133" s="6" t="s">
        <v>110</v>
      </c>
      <c r="K2133" s="38">
        <v>0</v>
      </c>
      <c r="L2133" s="4" t="s">
        <v>264</v>
      </c>
      <c r="M2133" s="11">
        <f>_xlfn.NUMBERVALUE(LEFT(Table613[[#This Row],[Fiscal Year]], 4))</f>
        <v>2001</v>
      </c>
      <c r="N2133" s="42">
        <f t="shared" ref="N2133:N2164" si="47">K2133*(1+VLOOKUP(M2133,$AF$8:$AH$31,3,0))</f>
        <v>0</v>
      </c>
      <c r="O2133" s="3">
        <v>2131</v>
      </c>
    </row>
    <row r="2134" spans="1:15" x14ac:dyDescent="0.25">
      <c r="A2134" s="3">
        <v>8</v>
      </c>
      <c r="B2134" s="3" t="s">
        <v>285</v>
      </c>
      <c r="C2134" s="3" t="s">
        <v>262</v>
      </c>
      <c r="D2134" s="3" t="s">
        <v>444</v>
      </c>
      <c r="E2134" s="11" t="s">
        <v>144</v>
      </c>
      <c r="F2134" s="3" t="s">
        <v>8</v>
      </c>
      <c r="G2134" s="66" t="s">
        <v>977</v>
      </c>
      <c r="H2134" s="8" t="s">
        <v>504</v>
      </c>
      <c r="I2134" s="8"/>
      <c r="J2134" s="6" t="s">
        <v>108</v>
      </c>
      <c r="K2134" s="38">
        <v>120000</v>
      </c>
      <c r="L2134" s="4" t="s">
        <v>264</v>
      </c>
      <c r="M2134" s="11">
        <f>_xlfn.NUMBERVALUE(LEFT(Table613[[#This Row],[Fiscal Year]], 4))</f>
        <v>2001</v>
      </c>
      <c r="N2134" s="42">
        <f>K2134*(1+VLOOKUP(M2134,$AF$8:$AH$31,3,0))</f>
        <v>170500.95990965556</v>
      </c>
      <c r="O2134" s="3">
        <v>2132</v>
      </c>
    </row>
    <row r="2135" spans="1:15" x14ac:dyDescent="0.25">
      <c r="A2135" s="3">
        <v>8</v>
      </c>
      <c r="B2135" s="3" t="s">
        <v>285</v>
      </c>
      <c r="C2135" s="3" t="s">
        <v>262</v>
      </c>
      <c r="D2135" s="3" t="s">
        <v>444</v>
      </c>
      <c r="E2135" s="11" t="s">
        <v>144</v>
      </c>
      <c r="F2135" s="3" t="s">
        <v>8</v>
      </c>
      <c r="G2135" s="66" t="s">
        <v>978</v>
      </c>
      <c r="H2135" s="8" t="s">
        <v>602</v>
      </c>
      <c r="I2135" s="8"/>
      <c r="J2135" s="6" t="s">
        <v>108</v>
      </c>
      <c r="K2135" s="38">
        <v>0</v>
      </c>
      <c r="L2135" s="4" t="s">
        <v>264</v>
      </c>
      <c r="M2135" s="11">
        <f>_xlfn.NUMBERVALUE(LEFT(Table613[[#This Row],[Fiscal Year]], 4))</f>
        <v>2001</v>
      </c>
      <c r="N2135" s="42">
        <f t="shared" si="47"/>
        <v>0</v>
      </c>
      <c r="O2135" s="3">
        <v>2133</v>
      </c>
    </row>
    <row r="2136" spans="1:15" x14ac:dyDescent="0.25">
      <c r="A2136" s="3">
        <v>8</v>
      </c>
      <c r="B2136" s="3" t="s">
        <v>285</v>
      </c>
      <c r="C2136" s="3" t="s">
        <v>262</v>
      </c>
      <c r="D2136" s="3" t="s">
        <v>444</v>
      </c>
      <c r="E2136" s="11" t="s">
        <v>144</v>
      </c>
      <c r="F2136" s="3" t="s">
        <v>8</v>
      </c>
      <c r="G2136" s="66" t="s">
        <v>979</v>
      </c>
      <c r="H2136" s="8" t="s">
        <v>504</v>
      </c>
      <c r="I2136" s="8"/>
      <c r="J2136" s="6" t="s">
        <v>108</v>
      </c>
      <c r="K2136" s="38">
        <v>250000</v>
      </c>
      <c r="L2136" s="4" t="s">
        <v>264</v>
      </c>
      <c r="M2136" s="11">
        <f>_xlfn.NUMBERVALUE(LEFT(Table613[[#This Row],[Fiscal Year]], 4))</f>
        <v>2001</v>
      </c>
      <c r="N2136" s="42">
        <f>K2136*(1+VLOOKUP(M2136,$AF$8:$AH$31,3,0))</f>
        <v>355210.33314511576</v>
      </c>
      <c r="O2136" s="3">
        <v>2134</v>
      </c>
    </row>
    <row r="2137" spans="1:15" x14ac:dyDescent="0.25">
      <c r="A2137" s="3">
        <v>8</v>
      </c>
      <c r="B2137" s="3" t="s">
        <v>285</v>
      </c>
      <c r="C2137" s="3" t="s">
        <v>262</v>
      </c>
      <c r="D2137" s="3" t="s">
        <v>444</v>
      </c>
      <c r="E2137" s="11" t="s">
        <v>144</v>
      </c>
      <c r="F2137" s="3" t="s">
        <v>8</v>
      </c>
      <c r="G2137" s="66" t="s">
        <v>980</v>
      </c>
      <c r="H2137" s="8" t="s">
        <v>504</v>
      </c>
      <c r="I2137" s="8"/>
      <c r="J2137" s="6" t="s">
        <v>108</v>
      </c>
      <c r="K2137" s="38">
        <v>0</v>
      </c>
      <c r="L2137" s="4" t="s">
        <v>264</v>
      </c>
      <c r="M2137" s="11">
        <f>_xlfn.NUMBERVALUE(LEFT(Table613[[#This Row],[Fiscal Year]], 4))</f>
        <v>2001</v>
      </c>
      <c r="N2137" s="42">
        <f t="shared" si="47"/>
        <v>0</v>
      </c>
      <c r="O2137" s="3">
        <v>2135</v>
      </c>
    </row>
    <row r="2138" spans="1:15" x14ac:dyDescent="0.25">
      <c r="A2138" s="3">
        <v>8</v>
      </c>
      <c r="B2138" s="3" t="s">
        <v>285</v>
      </c>
      <c r="C2138" s="3" t="s">
        <v>262</v>
      </c>
      <c r="D2138" s="3" t="s">
        <v>444</v>
      </c>
      <c r="E2138" s="11" t="s">
        <v>144</v>
      </c>
      <c r="F2138" s="3" t="s">
        <v>8</v>
      </c>
      <c r="G2138" s="48" t="s">
        <v>981</v>
      </c>
      <c r="H2138" s="8" t="s">
        <v>504</v>
      </c>
      <c r="I2138" s="8"/>
      <c r="J2138" s="6" t="s">
        <v>108</v>
      </c>
      <c r="K2138" s="38">
        <v>100000</v>
      </c>
      <c r="L2138" s="4" t="s">
        <v>264</v>
      </c>
      <c r="M2138" s="11">
        <f>_xlfn.NUMBERVALUE(LEFT(Table613[[#This Row],[Fiscal Year]], 4))</f>
        <v>2001</v>
      </c>
      <c r="N2138" s="42">
        <f>K2138*(1+VLOOKUP(M2138,$AF$8:$AH$31,3,0))</f>
        <v>142084.13325804629</v>
      </c>
      <c r="O2138" s="3">
        <v>2136</v>
      </c>
    </row>
    <row r="2139" spans="1:15" x14ac:dyDescent="0.25">
      <c r="A2139" s="3">
        <v>8</v>
      </c>
      <c r="B2139" s="3" t="s">
        <v>285</v>
      </c>
      <c r="C2139" s="3" t="s">
        <v>262</v>
      </c>
      <c r="D2139" s="3" t="s">
        <v>444</v>
      </c>
      <c r="E2139" s="11" t="s">
        <v>144</v>
      </c>
      <c r="F2139" s="3" t="s">
        <v>8</v>
      </c>
      <c r="G2139" s="66" t="s">
        <v>982</v>
      </c>
      <c r="H2139" s="8" t="s">
        <v>593</v>
      </c>
      <c r="I2139" s="8" t="s">
        <v>594</v>
      </c>
      <c r="J2139" s="6" t="s">
        <v>108</v>
      </c>
      <c r="K2139" s="38">
        <v>0</v>
      </c>
      <c r="L2139" s="4" t="s">
        <v>264</v>
      </c>
      <c r="M2139" s="11">
        <f>_xlfn.NUMBERVALUE(LEFT(Table613[[#This Row],[Fiscal Year]], 4))</f>
        <v>2001</v>
      </c>
      <c r="N2139" s="42">
        <f t="shared" si="47"/>
        <v>0</v>
      </c>
      <c r="O2139" s="3">
        <v>2137</v>
      </c>
    </row>
    <row r="2140" spans="1:15" x14ac:dyDescent="0.25">
      <c r="A2140" s="3">
        <v>8</v>
      </c>
      <c r="B2140" s="3" t="s">
        <v>285</v>
      </c>
      <c r="C2140" s="3" t="s">
        <v>262</v>
      </c>
      <c r="D2140" s="3" t="s">
        <v>444</v>
      </c>
      <c r="E2140" s="11" t="s">
        <v>144</v>
      </c>
      <c r="F2140" s="3" t="s">
        <v>8</v>
      </c>
      <c r="G2140" s="66" t="s">
        <v>983</v>
      </c>
      <c r="H2140" s="8" t="s">
        <v>504</v>
      </c>
      <c r="I2140" s="8"/>
      <c r="J2140" s="6" t="s">
        <v>108</v>
      </c>
      <c r="K2140" s="38">
        <v>0</v>
      </c>
      <c r="L2140" s="4" t="s">
        <v>264</v>
      </c>
      <c r="M2140" s="11">
        <f>_xlfn.NUMBERVALUE(LEFT(Table613[[#This Row],[Fiscal Year]], 4))</f>
        <v>2001</v>
      </c>
      <c r="N2140" s="42">
        <f t="shared" si="47"/>
        <v>0</v>
      </c>
      <c r="O2140" s="3">
        <v>2138</v>
      </c>
    </row>
    <row r="2141" spans="1:15" x14ac:dyDescent="0.25">
      <c r="A2141" s="3">
        <v>8</v>
      </c>
      <c r="B2141" s="3" t="s">
        <v>285</v>
      </c>
      <c r="C2141" s="3" t="s">
        <v>262</v>
      </c>
      <c r="D2141" s="3" t="s">
        <v>444</v>
      </c>
      <c r="E2141" s="11" t="s">
        <v>144</v>
      </c>
      <c r="F2141" s="3" t="s">
        <v>8</v>
      </c>
      <c r="G2141" s="66" t="s">
        <v>984</v>
      </c>
      <c r="H2141" s="8" t="s">
        <v>504</v>
      </c>
      <c r="I2141" s="8"/>
      <c r="J2141" s="6" t="s">
        <v>108</v>
      </c>
      <c r="K2141" s="38">
        <v>0</v>
      </c>
      <c r="L2141" s="4" t="s">
        <v>264</v>
      </c>
      <c r="M2141" s="11">
        <f>_xlfn.NUMBERVALUE(LEFT(Table613[[#This Row],[Fiscal Year]], 4))</f>
        <v>2001</v>
      </c>
      <c r="N2141" s="42">
        <f t="shared" si="47"/>
        <v>0</v>
      </c>
      <c r="O2141" s="3">
        <v>2139</v>
      </c>
    </row>
    <row r="2142" spans="1:15" x14ac:dyDescent="0.25">
      <c r="A2142" s="3">
        <v>8</v>
      </c>
      <c r="B2142" s="3" t="s">
        <v>285</v>
      </c>
      <c r="C2142" s="3" t="s">
        <v>262</v>
      </c>
      <c r="D2142" s="3" t="s">
        <v>444</v>
      </c>
      <c r="E2142" s="11" t="s">
        <v>144</v>
      </c>
      <c r="F2142" s="3" t="s">
        <v>8</v>
      </c>
      <c r="G2142" s="66" t="s">
        <v>985</v>
      </c>
      <c r="H2142" s="8" t="s">
        <v>505</v>
      </c>
      <c r="I2142" s="8"/>
      <c r="J2142" s="6" t="s">
        <v>42</v>
      </c>
      <c r="K2142" s="38">
        <v>0</v>
      </c>
      <c r="L2142" s="4" t="s">
        <v>264</v>
      </c>
      <c r="M2142" s="11">
        <f>_xlfn.NUMBERVALUE(LEFT(Table613[[#This Row],[Fiscal Year]], 4))</f>
        <v>2001</v>
      </c>
      <c r="N2142" s="42">
        <f t="shared" si="47"/>
        <v>0</v>
      </c>
      <c r="O2142" s="3">
        <v>2140</v>
      </c>
    </row>
    <row r="2143" spans="1:15" x14ac:dyDescent="0.25">
      <c r="A2143" s="3">
        <v>8</v>
      </c>
      <c r="B2143" s="3" t="s">
        <v>285</v>
      </c>
      <c r="C2143" s="3" t="s">
        <v>262</v>
      </c>
      <c r="D2143" s="3" t="s">
        <v>444</v>
      </c>
      <c r="E2143" s="11" t="s">
        <v>144</v>
      </c>
      <c r="F2143" s="3" t="s">
        <v>8</v>
      </c>
      <c r="G2143" s="66" t="s">
        <v>986</v>
      </c>
      <c r="H2143" s="8" t="s">
        <v>599</v>
      </c>
      <c r="I2143" s="8"/>
      <c r="J2143" s="6" t="s">
        <v>42</v>
      </c>
      <c r="K2143" s="38">
        <v>0</v>
      </c>
      <c r="L2143" s="4" t="s">
        <v>264</v>
      </c>
      <c r="M2143" s="11">
        <f>_xlfn.NUMBERVALUE(LEFT(Table613[[#This Row],[Fiscal Year]], 4))</f>
        <v>2001</v>
      </c>
      <c r="N2143" s="42">
        <f t="shared" si="47"/>
        <v>0</v>
      </c>
      <c r="O2143" s="3">
        <v>2141</v>
      </c>
    </row>
    <row r="2144" spans="1:15" x14ac:dyDescent="0.25">
      <c r="A2144" s="3">
        <v>8</v>
      </c>
      <c r="B2144" s="3" t="s">
        <v>285</v>
      </c>
      <c r="C2144" s="3" t="s">
        <v>262</v>
      </c>
      <c r="D2144" s="3" t="s">
        <v>444</v>
      </c>
      <c r="E2144" s="11" t="s">
        <v>144</v>
      </c>
      <c r="F2144" s="3" t="s">
        <v>8</v>
      </c>
      <c r="G2144" s="66" t="s">
        <v>987</v>
      </c>
      <c r="H2144" s="8"/>
      <c r="I2144" s="8"/>
      <c r="J2144" s="6" t="s">
        <v>111</v>
      </c>
      <c r="K2144" s="38">
        <v>0</v>
      </c>
      <c r="L2144" s="4" t="s">
        <v>264</v>
      </c>
      <c r="M2144" s="11">
        <f>_xlfn.NUMBERVALUE(LEFT(Table613[[#This Row],[Fiscal Year]], 4))</f>
        <v>2001</v>
      </c>
      <c r="N2144" s="42">
        <f t="shared" si="47"/>
        <v>0</v>
      </c>
      <c r="O2144" s="3">
        <v>2142</v>
      </c>
    </row>
    <row r="2145" spans="1:15" x14ac:dyDescent="0.25">
      <c r="A2145" s="3">
        <v>8</v>
      </c>
      <c r="B2145" s="3" t="s">
        <v>285</v>
      </c>
      <c r="C2145" s="3" t="s">
        <v>262</v>
      </c>
      <c r="D2145" s="3" t="s">
        <v>444</v>
      </c>
      <c r="E2145" s="11" t="s">
        <v>144</v>
      </c>
      <c r="F2145" s="3" t="s">
        <v>8</v>
      </c>
      <c r="G2145" s="66" t="s">
        <v>988</v>
      </c>
      <c r="H2145" s="8"/>
      <c r="I2145" s="8"/>
      <c r="J2145" s="6" t="s">
        <v>107</v>
      </c>
      <c r="K2145" s="38">
        <v>0</v>
      </c>
      <c r="L2145" s="4" t="s">
        <v>264</v>
      </c>
      <c r="M2145" s="11">
        <f>_xlfn.NUMBERVALUE(LEFT(Table613[[#This Row],[Fiscal Year]], 4))</f>
        <v>2001</v>
      </c>
      <c r="N2145" s="42">
        <f t="shared" si="47"/>
        <v>0</v>
      </c>
      <c r="O2145" s="3">
        <v>2143</v>
      </c>
    </row>
    <row r="2146" spans="1:15" x14ac:dyDescent="0.25">
      <c r="A2146" s="3">
        <v>8</v>
      </c>
      <c r="B2146" s="3" t="s">
        <v>285</v>
      </c>
      <c r="C2146" s="3" t="s">
        <v>262</v>
      </c>
      <c r="D2146" s="3" t="s">
        <v>444</v>
      </c>
      <c r="E2146" s="11" t="s">
        <v>144</v>
      </c>
      <c r="F2146" s="3" t="s">
        <v>8</v>
      </c>
      <c r="G2146" s="66" t="s">
        <v>989</v>
      </c>
      <c r="H2146" s="8" t="s">
        <v>597</v>
      </c>
      <c r="I2146" s="8" t="s">
        <v>594</v>
      </c>
      <c r="J2146" s="6" t="s">
        <v>108</v>
      </c>
      <c r="K2146" s="38">
        <v>0</v>
      </c>
      <c r="L2146" s="4" t="s">
        <v>264</v>
      </c>
      <c r="M2146" s="11">
        <f>_xlfn.NUMBERVALUE(LEFT(Table613[[#This Row],[Fiscal Year]], 4))</f>
        <v>2001</v>
      </c>
      <c r="N2146" s="42">
        <f t="shared" si="47"/>
        <v>0</v>
      </c>
      <c r="O2146" s="3">
        <v>2144</v>
      </c>
    </row>
    <row r="2147" spans="1:15" x14ac:dyDescent="0.25">
      <c r="A2147" s="3">
        <v>8</v>
      </c>
      <c r="B2147" s="3" t="s">
        <v>285</v>
      </c>
      <c r="C2147" s="3" t="s">
        <v>262</v>
      </c>
      <c r="D2147" s="3" t="s">
        <v>444</v>
      </c>
      <c r="E2147" s="11" t="s">
        <v>144</v>
      </c>
      <c r="F2147" s="3" t="s">
        <v>8</v>
      </c>
      <c r="G2147" s="66" t="s">
        <v>990</v>
      </c>
      <c r="H2147" s="8" t="s">
        <v>506</v>
      </c>
      <c r="I2147" s="8"/>
      <c r="J2147" s="6" t="s">
        <v>106</v>
      </c>
      <c r="K2147" s="38">
        <v>0</v>
      </c>
      <c r="L2147" s="4" t="s">
        <v>264</v>
      </c>
      <c r="M2147" s="11">
        <f>_xlfn.NUMBERVALUE(LEFT(Table613[[#This Row],[Fiscal Year]], 4))</f>
        <v>2001</v>
      </c>
      <c r="N2147" s="42">
        <f t="shared" si="47"/>
        <v>0</v>
      </c>
      <c r="O2147" s="3">
        <v>2145</v>
      </c>
    </row>
    <row r="2148" spans="1:15" x14ac:dyDescent="0.25">
      <c r="A2148" s="3">
        <v>8</v>
      </c>
      <c r="B2148" s="3" t="s">
        <v>285</v>
      </c>
      <c r="C2148" s="3" t="s">
        <v>262</v>
      </c>
      <c r="D2148" s="3" t="s">
        <v>444</v>
      </c>
      <c r="E2148" s="11" t="s">
        <v>144</v>
      </c>
      <c r="F2148" s="3" t="s">
        <v>8</v>
      </c>
      <c r="G2148" s="66" t="s">
        <v>1004</v>
      </c>
      <c r="H2148" s="8"/>
      <c r="I2148" s="8"/>
      <c r="J2148" s="6" t="s">
        <v>76</v>
      </c>
      <c r="K2148" s="38">
        <v>100000</v>
      </c>
      <c r="L2148" s="4" t="s">
        <v>264</v>
      </c>
      <c r="M2148" s="11">
        <f>_xlfn.NUMBERVALUE(LEFT(Table613[[#This Row],[Fiscal Year]], 4))</f>
        <v>2001</v>
      </c>
      <c r="N2148" s="42">
        <f t="shared" si="47"/>
        <v>142084.13325804629</v>
      </c>
      <c r="O2148" s="3">
        <v>2146</v>
      </c>
    </row>
    <row r="2149" spans="1:15" x14ac:dyDescent="0.25">
      <c r="A2149" s="3">
        <v>8</v>
      </c>
      <c r="B2149" s="3" t="s">
        <v>285</v>
      </c>
      <c r="C2149" s="3" t="s">
        <v>262</v>
      </c>
      <c r="D2149" s="3" t="s">
        <v>444</v>
      </c>
      <c r="E2149" s="11" t="s">
        <v>144</v>
      </c>
      <c r="F2149" s="3" t="s">
        <v>8</v>
      </c>
      <c r="G2149" s="48" t="s">
        <v>991</v>
      </c>
      <c r="H2149" s="8" t="s">
        <v>503</v>
      </c>
      <c r="I2149" s="8"/>
      <c r="J2149" s="6" t="s">
        <v>110</v>
      </c>
      <c r="K2149" s="38">
        <v>36000</v>
      </c>
      <c r="L2149" s="4" t="s">
        <v>264</v>
      </c>
      <c r="M2149" s="11">
        <f>_xlfn.NUMBERVALUE(LEFT(Table613[[#This Row],[Fiscal Year]], 4))</f>
        <v>2001</v>
      </c>
      <c r="N2149" s="42">
        <f t="shared" si="47"/>
        <v>51150.287972896665</v>
      </c>
      <c r="O2149" s="3">
        <v>2147</v>
      </c>
    </row>
    <row r="2150" spans="1:15" x14ac:dyDescent="0.25">
      <c r="A2150" s="3">
        <v>8</v>
      </c>
      <c r="B2150" s="3" t="s">
        <v>285</v>
      </c>
      <c r="C2150" s="3" t="s">
        <v>262</v>
      </c>
      <c r="D2150" s="3" t="s">
        <v>444</v>
      </c>
      <c r="E2150" s="11" t="s">
        <v>144</v>
      </c>
      <c r="F2150" s="3" t="s">
        <v>8</v>
      </c>
      <c r="G2150" s="66" t="s">
        <v>992</v>
      </c>
      <c r="H2150" s="8" t="s">
        <v>504</v>
      </c>
      <c r="I2150" s="8"/>
      <c r="J2150" s="6" t="s">
        <v>108</v>
      </c>
      <c r="K2150" s="38">
        <v>40000</v>
      </c>
      <c r="L2150" s="4" t="s">
        <v>264</v>
      </c>
      <c r="M2150" s="11">
        <f>_xlfn.NUMBERVALUE(LEFT(Table613[[#This Row],[Fiscal Year]], 4))</f>
        <v>2001</v>
      </c>
      <c r="N2150" s="42">
        <f t="shared" si="47"/>
        <v>56833.653303218518</v>
      </c>
      <c r="O2150" s="3">
        <v>2148</v>
      </c>
    </row>
    <row r="2151" spans="1:15" x14ac:dyDescent="0.25">
      <c r="A2151" s="3">
        <v>8</v>
      </c>
      <c r="B2151" s="3" t="s">
        <v>285</v>
      </c>
      <c r="C2151" s="3" t="s">
        <v>262</v>
      </c>
      <c r="D2151" s="3" t="s">
        <v>444</v>
      </c>
      <c r="E2151" s="11" t="s">
        <v>144</v>
      </c>
      <c r="F2151" s="3" t="s">
        <v>8</v>
      </c>
      <c r="G2151" s="66" t="s">
        <v>993</v>
      </c>
      <c r="H2151" s="8" t="s">
        <v>602</v>
      </c>
      <c r="I2151" s="8"/>
      <c r="J2151" s="6" t="s">
        <v>108</v>
      </c>
      <c r="K2151" s="38">
        <v>780000</v>
      </c>
      <c r="L2151" s="4" t="s">
        <v>264</v>
      </c>
      <c r="M2151" s="11">
        <f>_xlfn.NUMBERVALUE(LEFT(Table613[[#This Row],[Fiscal Year]], 4))</f>
        <v>2001</v>
      </c>
      <c r="N2151" s="42">
        <f t="shared" si="47"/>
        <v>1108256.2394127611</v>
      </c>
      <c r="O2151" s="3">
        <v>2149</v>
      </c>
    </row>
    <row r="2152" spans="1:15" x14ac:dyDescent="0.25">
      <c r="A2152" s="3">
        <v>8</v>
      </c>
      <c r="B2152" s="3" t="s">
        <v>285</v>
      </c>
      <c r="C2152" s="3" t="s">
        <v>262</v>
      </c>
      <c r="D2152" s="3" t="s">
        <v>444</v>
      </c>
      <c r="E2152" s="11" t="s">
        <v>144</v>
      </c>
      <c r="F2152" s="3" t="s">
        <v>8</v>
      </c>
      <c r="G2152" s="66" t="s">
        <v>994</v>
      </c>
      <c r="H2152" s="8" t="s">
        <v>504</v>
      </c>
      <c r="I2152" s="8"/>
      <c r="J2152" s="6" t="s">
        <v>108</v>
      </c>
      <c r="K2152" s="38">
        <v>210000</v>
      </c>
      <c r="L2152" s="4" t="s">
        <v>264</v>
      </c>
      <c r="M2152" s="11">
        <f>_xlfn.NUMBERVALUE(LEFT(Table613[[#This Row],[Fiscal Year]], 4))</f>
        <v>2001</v>
      </c>
      <c r="N2152" s="42">
        <f t="shared" si="47"/>
        <v>298376.67984189722</v>
      </c>
      <c r="O2152" s="3">
        <v>2150</v>
      </c>
    </row>
    <row r="2153" spans="1:15" x14ac:dyDescent="0.25">
      <c r="A2153" s="3">
        <v>8</v>
      </c>
      <c r="B2153" s="3" t="s">
        <v>285</v>
      </c>
      <c r="C2153" s="3" t="s">
        <v>262</v>
      </c>
      <c r="D2153" s="3" t="s">
        <v>444</v>
      </c>
      <c r="E2153" s="11" t="s">
        <v>144</v>
      </c>
      <c r="F2153" s="3" t="s">
        <v>8</v>
      </c>
      <c r="G2153" s="66" t="s">
        <v>995</v>
      </c>
      <c r="H2153" s="8" t="s">
        <v>504</v>
      </c>
      <c r="I2153" s="8"/>
      <c r="J2153" s="6" t="s">
        <v>108</v>
      </c>
      <c r="K2153" s="38">
        <v>14000</v>
      </c>
      <c r="L2153" s="4" t="s">
        <v>264</v>
      </c>
      <c r="M2153" s="11">
        <f>_xlfn.NUMBERVALUE(LEFT(Table613[[#This Row],[Fiscal Year]], 4))</f>
        <v>2001</v>
      </c>
      <c r="N2153" s="42">
        <f t="shared" si="47"/>
        <v>19891.77865612648</v>
      </c>
      <c r="O2153" s="3">
        <v>2151</v>
      </c>
    </row>
    <row r="2154" spans="1:15" x14ac:dyDescent="0.25">
      <c r="A2154" s="3">
        <v>8</v>
      </c>
      <c r="B2154" s="3" t="s">
        <v>285</v>
      </c>
      <c r="C2154" s="3" t="s">
        <v>262</v>
      </c>
      <c r="D2154" s="3" t="s">
        <v>444</v>
      </c>
      <c r="E2154" s="11" t="s">
        <v>144</v>
      </c>
      <c r="F2154" s="3" t="s">
        <v>8</v>
      </c>
      <c r="G2154" s="48" t="s">
        <v>996</v>
      </c>
      <c r="H2154" s="8" t="s">
        <v>504</v>
      </c>
      <c r="I2154" s="8"/>
      <c r="J2154" s="6" t="s">
        <v>108</v>
      </c>
      <c r="K2154" s="38">
        <v>400000</v>
      </c>
      <c r="L2154" s="4" t="s">
        <v>264</v>
      </c>
      <c r="M2154" s="11">
        <f>_xlfn.NUMBERVALUE(LEFT(Table613[[#This Row],[Fiscal Year]], 4))</f>
        <v>2001</v>
      </c>
      <c r="N2154" s="42">
        <f t="shared" si="47"/>
        <v>568336.53303218517</v>
      </c>
      <c r="O2154" s="3">
        <v>2152</v>
      </c>
    </row>
    <row r="2155" spans="1:15" x14ac:dyDescent="0.25">
      <c r="A2155" s="3">
        <v>8</v>
      </c>
      <c r="B2155" s="3" t="s">
        <v>285</v>
      </c>
      <c r="C2155" s="3" t="s">
        <v>262</v>
      </c>
      <c r="D2155" s="3" t="s">
        <v>444</v>
      </c>
      <c r="E2155" s="11" t="s">
        <v>144</v>
      </c>
      <c r="F2155" s="3" t="s">
        <v>8</v>
      </c>
      <c r="G2155" s="66" t="s">
        <v>997</v>
      </c>
      <c r="H2155" s="8" t="s">
        <v>593</v>
      </c>
      <c r="I2155" s="8" t="s">
        <v>594</v>
      </c>
      <c r="J2155" s="6" t="s">
        <v>108</v>
      </c>
      <c r="K2155" s="38">
        <v>1000</v>
      </c>
      <c r="L2155" s="4" t="s">
        <v>264</v>
      </c>
      <c r="M2155" s="11">
        <f>_xlfn.NUMBERVALUE(LEFT(Table613[[#This Row],[Fiscal Year]], 4))</f>
        <v>2001</v>
      </c>
      <c r="N2155" s="42">
        <f t="shared" si="47"/>
        <v>1420.8413325804629</v>
      </c>
      <c r="O2155" s="3">
        <v>2153</v>
      </c>
    </row>
    <row r="2156" spans="1:15" x14ac:dyDescent="0.25">
      <c r="A2156" s="3">
        <v>8</v>
      </c>
      <c r="B2156" s="3" t="s">
        <v>285</v>
      </c>
      <c r="C2156" s="3" t="s">
        <v>262</v>
      </c>
      <c r="D2156" s="3" t="s">
        <v>444</v>
      </c>
      <c r="E2156" s="11" t="s">
        <v>144</v>
      </c>
      <c r="F2156" s="3" t="s">
        <v>8</v>
      </c>
      <c r="G2156" s="66" t="s">
        <v>998</v>
      </c>
      <c r="H2156" s="8" t="s">
        <v>504</v>
      </c>
      <c r="I2156" s="8"/>
      <c r="J2156" s="6" t="s">
        <v>108</v>
      </c>
      <c r="K2156" s="38">
        <v>15000</v>
      </c>
      <c r="L2156" s="4" t="s">
        <v>264</v>
      </c>
      <c r="M2156" s="11">
        <f>_xlfn.NUMBERVALUE(LEFT(Table613[[#This Row],[Fiscal Year]], 4))</f>
        <v>2001</v>
      </c>
      <c r="N2156" s="42">
        <f t="shared" si="47"/>
        <v>21312.619988706945</v>
      </c>
      <c r="O2156" s="3">
        <v>2154</v>
      </c>
    </row>
    <row r="2157" spans="1:15" x14ac:dyDescent="0.25">
      <c r="A2157" s="3">
        <v>8</v>
      </c>
      <c r="B2157" s="3" t="s">
        <v>285</v>
      </c>
      <c r="C2157" s="3" t="s">
        <v>262</v>
      </c>
      <c r="D2157" s="3" t="s">
        <v>444</v>
      </c>
      <c r="E2157" s="11" t="s">
        <v>144</v>
      </c>
      <c r="F2157" s="3" t="s">
        <v>8</v>
      </c>
      <c r="G2157" s="66" t="s">
        <v>999</v>
      </c>
      <c r="H2157" s="8" t="s">
        <v>504</v>
      </c>
      <c r="I2157" s="8"/>
      <c r="J2157" s="6" t="s">
        <v>108</v>
      </c>
      <c r="K2157" s="38">
        <v>6000</v>
      </c>
      <c r="L2157" s="4" t="s">
        <v>264</v>
      </c>
      <c r="M2157" s="11">
        <f>_xlfn.NUMBERVALUE(LEFT(Table613[[#This Row],[Fiscal Year]], 4))</f>
        <v>2001</v>
      </c>
      <c r="N2157" s="42">
        <f t="shared" si="47"/>
        <v>8525.047995482777</v>
      </c>
      <c r="O2157" s="3">
        <v>2155</v>
      </c>
    </row>
    <row r="2158" spans="1:15" x14ac:dyDescent="0.25">
      <c r="A2158" s="3">
        <v>8</v>
      </c>
      <c r="B2158" s="3" t="s">
        <v>285</v>
      </c>
      <c r="C2158" s="3" t="s">
        <v>262</v>
      </c>
      <c r="D2158" s="3" t="s">
        <v>444</v>
      </c>
      <c r="E2158" s="11" t="s">
        <v>144</v>
      </c>
      <c r="F2158" s="3" t="s">
        <v>8</v>
      </c>
      <c r="G2158" s="66" t="s">
        <v>1000</v>
      </c>
      <c r="H2158" s="8" t="s">
        <v>505</v>
      </c>
      <c r="I2158" s="8"/>
      <c r="J2158" s="6" t="s">
        <v>42</v>
      </c>
      <c r="K2158" s="38">
        <v>20000</v>
      </c>
      <c r="L2158" s="4" t="s">
        <v>264</v>
      </c>
      <c r="M2158" s="11">
        <f>_xlfn.NUMBERVALUE(LEFT(Table613[[#This Row],[Fiscal Year]], 4))</f>
        <v>2001</v>
      </c>
      <c r="N2158" s="42">
        <f t="shared" si="47"/>
        <v>28416.826651609259</v>
      </c>
      <c r="O2158" s="3">
        <v>2156</v>
      </c>
    </row>
    <row r="2159" spans="1:15" x14ac:dyDescent="0.25">
      <c r="A2159" s="3">
        <v>8</v>
      </c>
      <c r="B2159" s="3" t="s">
        <v>285</v>
      </c>
      <c r="C2159" s="3" t="s">
        <v>262</v>
      </c>
      <c r="D2159" s="3" t="s">
        <v>444</v>
      </c>
      <c r="E2159" s="11" t="s">
        <v>144</v>
      </c>
      <c r="F2159" s="3" t="s">
        <v>8</v>
      </c>
      <c r="G2159" s="66" t="s">
        <v>1001</v>
      </c>
      <c r="H2159" s="8" t="s">
        <v>599</v>
      </c>
      <c r="I2159" s="8"/>
      <c r="J2159" s="6" t="s">
        <v>42</v>
      </c>
      <c r="K2159" s="38">
        <v>0</v>
      </c>
      <c r="L2159" s="4" t="s">
        <v>264</v>
      </c>
      <c r="M2159" s="11">
        <f>_xlfn.NUMBERVALUE(LEFT(Table613[[#This Row],[Fiscal Year]], 4))</f>
        <v>2001</v>
      </c>
      <c r="N2159" s="42">
        <f t="shared" si="47"/>
        <v>0</v>
      </c>
      <c r="O2159" s="3">
        <v>2157</v>
      </c>
    </row>
    <row r="2160" spans="1:15" x14ac:dyDescent="0.25">
      <c r="A2160" s="3">
        <v>8</v>
      </c>
      <c r="B2160" s="3" t="s">
        <v>285</v>
      </c>
      <c r="C2160" s="3" t="s">
        <v>262</v>
      </c>
      <c r="D2160" s="3" t="s">
        <v>444</v>
      </c>
      <c r="E2160" s="11" t="s">
        <v>144</v>
      </c>
      <c r="F2160" s="3" t="s">
        <v>8</v>
      </c>
      <c r="G2160" s="66" t="s">
        <v>1005</v>
      </c>
      <c r="H2160" s="8"/>
      <c r="I2160" s="8"/>
      <c r="J2160" s="6" t="s">
        <v>111</v>
      </c>
      <c r="K2160" s="38">
        <v>200</v>
      </c>
      <c r="L2160" s="4" t="s">
        <v>264</v>
      </c>
      <c r="M2160" s="11">
        <f>_xlfn.NUMBERVALUE(LEFT(Table613[[#This Row],[Fiscal Year]], 4))</f>
        <v>2001</v>
      </c>
      <c r="N2160" s="42">
        <f t="shared" si="47"/>
        <v>284.16826651609261</v>
      </c>
      <c r="O2160" s="3">
        <v>2158</v>
      </c>
    </row>
    <row r="2161" spans="1:15" x14ac:dyDescent="0.25">
      <c r="A2161" s="3">
        <v>8</v>
      </c>
      <c r="B2161" s="3" t="s">
        <v>285</v>
      </c>
      <c r="C2161" s="3" t="s">
        <v>262</v>
      </c>
      <c r="D2161" s="3" t="s">
        <v>444</v>
      </c>
      <c r="E2161" s="11" t="s">
        <v>144</v>
      </c>
      <c r="F2161" s="3" t="s">
        <v>8</v>
      </c>
      <c r="G2161" s="66" t="s">
        <v>1006</v>
      </c>
      <c r="H2161" s="8"/>
      <c r="I2161" s="8"/>
      <c r="J2161" s="6" t="s">
        <v>107</v>
      </c>
      <c r="K2161" s="38">
        <v>10000</v>
      </c>
      <c r="L2161" s="4" t="s">
        <v>264</v>
      </c>
      <c r="M2161" s="11">
        <f>_xlfn.NUMBERVALUE(LEFT(Table613[[#This Row],[Fiscal Year]], 4))</f>
        <v>2001</v>
      </c>
      <c r="N2161" s="42">
        <f t="shared" si="47"/>
        <v>14208.413325804629</v>
      </c>
      <c r="O2161" s="3">
        <v>2159</v>
      </c>
    </row>
    <row r="2162" spans="1:15" x14ac:dyDescent="0.25">
      <c r="A2162" s="3">
        <v>8</v>
      </c>
      <c r="B2162" s="3" t="s">
        <v>285</v>
      </c>
      <c r="C2162" s="3" t="s">
        <v>262</v>
      </c>
      <c r="D2162" s="3" t="s">
        <v>444</v>
      </c>
      <c r="E2162" s="11" t="s">
        <v>144</v>
      </c>
      <c r="F2162" s="3" t="s">
        <v>8</v>
      </c>
      <c r="G2162" s="66" t="s">
        <v>1002</v>
      </c>
      <c r="H2162" s="8" t="s">
        <v>597</v>
      </c>
      <c r="I2162" s="8" t="s">
        <v>594</v>
      </c>
      <c r="J2162" s="6" t="s">
        <v>108</v>
      </c>
      <c r="K2162" s="38">
        <v>0</v>
      </c>
      <c r="L2162" s="4" t="s">
        <v>264</v>
      </c>
      <c r="M2162" s="11">
        <f>_xlfn.NUMBERVALUE(LEFT(Table613[[#This Row],[Fiscal Year]], 4))</f>
        <v>2001</v>
      </c>
      <c r="N2162" s="42">
        <f t="shared" si="47"/>
        <v>0</v>
      </c>
      <c r="O2162" s="3">
        <v>2160</v>
      </c>
    </row>
    <row r="2163" spans="1:15" x14ac:dyDescent="0.25">
      <c r="A2163" s="3">
        <v>8</v>
      </c>
      <c r="B2163" s="3" t="s">
        <v>285</v>
      </c>
      <c r="C2163" s="3" t="s">
        <v>262</v>
      </c>
      <c r="D2163" s="3" t="s">
        <v>444</v>
      </c>
      <c r="E2163" s="11" t="s">
        <v>144</v>
      </c>
      <c r="F2163" s="3" t="s">
        <v>8</v>
      </c>
      <c r="G2163" s="66" t="s">
        <v>1003</v>
      </c>
      <c r="H2163" s="8" t="s">
        <v>506</v>
      </c>
      <c r="I2163" s="8"/>
      <c r="J2163" s="6" t="s">
        <v>106</v>
      </c>
      <c r="K2163" s="38">
        <v>0</v>
      </c>
      <c r="L2163" s="4" t="s">
        <v>264</v>
      </c>
      <c r="M2163" s="11">
        <f>_xlfn.NUMBERVALUE(LEFT(Table613[[#This Row],[Fiscal Year]], 4))</f>
        <v>2001</v>
      </c>
      <c r="N2163" s="42">
        <f t="shared" si="47"/>
        <v>0</v>
      </c>
      <c r="O2163" s="3">
        <v>2161</v>
      </c>
    </row>
    <row r="2164" spans="1:15" x14ac:dyDescent="0.25">
      <c r="A2164" s="3">
        <v>8</v>
      </c>
      <c r="B2164" s="3" t="s">
        <v>285</v>
      </c>
      <c r="C2164" s="3" t="s">
        <v>262</v>
      </c>
      <c r="D2164" s="3" t="s">
        <v>444</v>
      </c>
      <c r="E2164" s="11" t="s">
        <v>144</v>
      </c>
      <c r="F2164" s="3" t="s">
        <v>8</v>
      </c>
      <c r="G2164" s="66" t="s">
        <v>1007</v>
      </c>
      <c r="H2164" s="8"/>
      <c r="I2164" s="8"/>
      <c r="J2164" s="6" t="s">
        <v>76</v>
      </c>
      <c r="K2164" s="38">
        <v>10000</v>
      </c>
      <c r="L2164" s="4" t="s">
        <v>264</v>
      </c>
      <c r="M2164" s="11">
        <f>_xlfn.NUMBERVALUE(LEFT(Table613[[#This Row],[Fiscal Year]], 4))</f>
        <v>2001</v>
      </c>
      <c r="N2164" s="42">
        <f t="shared" si="47"/>
        <v>14208.413325804629</v>
      </c>
      <c r="O2164" s="3">
        <v>2162</v>
      </c>
    </row>
    <row r="2165" spans="1:15" x14ac:dyDescent="0.25">
      <c r="E2165" s="11"/>
      <c r="G2165" s="66"/>
      <c r="H2165" s="8"/>
      <c r="I2165" s="8"/>
      <c r="J2165" s="6"/>
      <c r="L2165" s="4"/>
      <c r="O2165" s="3">
        <v>2163</v>
      </c>
    </row>
    <row r="2166" spans="1:15" x14ac:dyDescent="0.25">
      <c r="A2166" s="3">
        <v>8</v>
      </c>
      <c r="B2166" s="3" t="s">
        <v>262</v>
      </c>
      <c r="C2166" s="3" t="s">
        <v>262</v>
      </c>
      <c r="D2166" s="3" t="s">
        <v>444</v>
      </c>
      <c r="E2166" s="11" t="s">
        <v>144</v>
      </c>
      <c r="F2166" s="3" t="s">
        <v>8</v>
      </c>
      <c r="G2166" s="48" t="s">
        <v>976</v>
      </c>
      <c r="H2166" s="8" t="s">
        <v>503</v>
      </c>
      <c r="I2166" s="8" t="s">
        <v>640</v>
      </c>
      <c r="J2166" s="6" t="s">
        <v>110</v>
      </c>
      <c r="K2166" s="38">
        <v>0</v>
      </c>
      <c r="L2166" s="4" t="s">
        <v>264</v>
      </c>
      <c r="M2166" s="11">
        <f>_xlfn.NUMBERVALUE(LEFT(Table613[[#This Row],[Fiscal Year]], 4))</f>
        <v>2001</v>
      </c>
      <c r="N2166" s="42">
        <f t="shared" ref="N2166:N2229" si="48">K2166*(1+VLOOKUP(M2166,$AF$8:$AH$31,3,0))</f>
        <v>0</v>
      </c>
      <c r="O2166" s="3">
        <v>2164</v>
      </c>
    </row>
    <row r="2167" spans="1:15" x14ac:dyDescent="0.25">
      <c r="A2167" s="3">
        <v>8</v>
      </c>
      <c r="B2167" s="3" t="s">
        <v>262</v>
      </c>
      <c r="C2167" s="3" t="s">
        <v>262</v>
      </c>
      <c r="D2167" s="3" t="s">
        <v>444</v>
      </c>
      <c r="E2167" s="11" t="s">
        <v>144</v>
      </c>
      <c r="F2167" s="3" t="s">
        <v>8</v>
      </c>
      <c r="G2167" s="66" t="s">
        <v>977</v>
      </c>
      <c r="H2167" s="8" t="s">
        <v>504</v>
      </c>
      <c r="I2167" s="8"/>
      <c r="J2167" s="6" t="s">
        <v>108</v>
      </c>
      <c r="K2167" s="38">
        <v>0</v>
      </c>
      <c r="L2167" s="4" t="s">
        <v>264</v>
      </c>
      <c r="M2167" s="11">
        <f>_xlfn.NUMBERVALUE(LEFT(Table613[[#This Row],[Fiscal Year]], 4))</f>
        <v>2001</v>
      </c>
      <c r="N2167" s="42">
        <f t="shared" si="48"/>
        <v>0</v>
      </c>
      <c r="O2167" s="3">
        <v>2165</v>
      </c>
    </row>
    <row r="2168" spans="1:15" x14ac:dyDescent="0.25">
      <c r="A2168" s="3">
        <v>8</v>
      </c>
      <c r="B2168" s="3" t="s">
        <v>262</v>
      </c>
      <c r="C2168" s="3" t="s">
        <v>262</v>
      </c>
      <c r="D2168" s="3" t="s">
        <v>444</v>
      </c>
      <c r="E2168" s="11" t="s">
        <v>144</v>
      </c>
      <c r="F2168" s="3" t="s">
        <v>8</v>
      </c>
      <c r="G2168" s="66" t="s">
        <v>978</v>
      </c>
      <c r="H2168" s="8" t="s">
        <v>602</v>
      </c>
      <c r="I2168" s="8"/>
      <c r="J2168" s="6" t="s">
        <v>108</v>
      </c>
      <c r="K2168" s="38">
        <v>0</v>
      </c>
      <c r="L2168" s="4" t="s">
        <v>264</v>
      </c>
      <c r="M2168" s="11">
        <f>_xlfn.NUMBERVALUE(LEFT(Table613[[#This Row],[Fiscal Year]], 4))</f>
        <v>2001</v>
      </c>
      <c r="N2168" s="42">
        <f t="shared" si="48"/>
        <v>0</v>
      </c>
      <c r="O2168" s="3">
        <v>2166</v>
      </c>
    </row>
    <row r="2169" spans="1:15" x14ac:dyDescent="0.25">
      <c r="A2169" s="3">
        <v>8</v>
      </c>
      <c r="B2169" s="3" t="s">
        <v>262</v>
      </c>
      <c r="C2169" s="3" t="s">
        <v>262</v>
      </c>
      <c r="D2169" s="3" t="s">
        <v>444</v>
      </c>
      <c r="E2169" s="11" t="s">
        <v>144</v>
      </c>
      <c r="F2169" s="3" t="s">
        <v>8</v>
      </c>
      <c r="G2169" s="66" t="s">
        <v>979</v>
      </c>
      <c r="H2169" s="8" t="s">
        <v>504</v>
      </c>
      <c r="I2169" s="8"/>
      <c r="J2169" s="6" t="s">
        <v>108</v>
      </c>
      <c r="K2169" s="38">
        <v>0</v>
      </c>
      <c r="L2169" s="4" t="s">
        <v>264</v>
      </c>
      <c r="M2169" s="11">
        <f>_xlfn.NUMBERVALUE(LEFT(Table613[[#This Row],[Fiscal Year]], 4))</f>
        <v>2001</v>
      </c>
      <c r="N2169" s="42">
        <f t="shared" si="48"/>
        <v>0</v>
      </c>
      <c r="O2169" s="3">
        <v>2167</v>
      </c>
    </row>
    <row r="2170" spans="1:15" x14ac:dyDescent="0.25">
      <c r="A2170" s="3">
        <v>8</v>
      </c>
      <c r="B2170" s="3" t="s">
        <v>262</v>
      </c>
      <c r="C2170" s="3" t="s">
        <v>262</v>
      </c>
      <c r="D2170" s="3" t="s">
        <v>444</v>
      </c>
      <c r="E2170" s="11" t="s">
        <v>144</v>
      </c>
      <c r="F2170" s="3" t="s">
        <v>8</v>
      </c>
      <c r="G2170" s="66" t="s">
        <v>980</v>
      </c>
      <c r="H2170" s="8" t="s">
        <v>504</v>
      </c>
      <c r="I2170" s="8"/>
      <c r="J2170" s="6" t="s">
        <v>108</v>
      </c>
      <c r="K2170" s="38">
        <v>0</v>
      </c>
      <c r="L2170" s="4" t="s">
        <v>264</v>
      </c>
      <c r="M2170" s="11">
        <f>_xlfn.NUMBERVALUE(LEFT(Table613[[#This Row],[Fiscal Year]], 4))</f>
        <v>2001</v>
      </c>
      <c r="N2170" s="42">
        <f t="shared" si="48"/>
        <v>0</v>
      </c>
      <c r="O2170" s="3">
        <v>2168</v>
      </c>
    </row>
    <row r="2171" spans="1:15" x14ac:dyDescent="0.25">
      <c r="A2171" s="3">
        <v>8</v>
      </c>
      <c r="B2171" s="3" t="s">
        <v>262</v>
      </c>
      <c r="C2171" s="3" t="s">
        <v>262</v>
      </c>
      <c r="D2171" s="3" t="s">
        <v>444</v>
      </c>
      <c r="E2171" s="11" t="s">
        <v>144</v>
      </c>
      <c r="F2171" s="3" t="s">
        <v>8</v>
      </c>
      <c r="G2171" s="48" t="s">
        <v>981</v>
      </c>
      <c r="H2171" s="8" t="s">
        <v>504</v>
      </c>
      <c r="I2171" s="8"/>
      <c r="J2171" s="6" t="s">
        <v>108</v>
      </c>
      <c r="K2171" s="38">
        <v>0</v>
      </c>
      <c r="L2171" s="4" t="s">
        <v>264</v>
      </c>
      <c r="M2171" s="11">
        <f>_xlfn.NUMBERVALUE(LEFT(Table613[[#This Row],[Fiscal Year]], 4))</f>
        <v>2001</v>
      </c>
      <c r="N2171" s="42">
        <f t="shared" si="48"/>
        <v>0</v>
      </c>
      <c r="O2171" s="3">
        <v>2169</v>
      </c>
    </row>
    <row r="2172" spans="1:15" x14ac:dyDescent="0.25">
      <c r="A2172" s="3">
        <v>8</v>
      </c>
      <c r="B2172" s="3" t="s">
        <v>262</v>
      </c>
      <c r="C2172" s="3" t="s">
        <v>262</v>
      </c>
      <c r="D2172" s="3" t="s">
        <v>444</v>
      </c>
      <c r="E2172" s="11" t="s">
        <v>144</v>
      </c>
      <c r="F2172" s="3" t="s">
        <v>8</v>
      </c>
      <c r="G2172" s="66" t="s">
        <v>982</v>
      </c>
      <c r="H2172" s="8" t="s">
        <v>593</v>
      </c>
      <c r="I2172" s="8" t="s">
        <v>594</v>
      </c>
      <c r="J2172" s="6" t="s">
        <v>108</v>
      </c>
      <c r="K2172" s="38">
        <v>0</v>
      </c>
      <c r="L2172" s="4" t="s">
        <v>264</v>
      </c>
      <c r="M2172" s="11">
        <f>_xlfn.NUMBERVALUE(LEFT(Table613[[#This Row],[Fiscal Year]], 4))</f>
        <v>2001</v>
      </c>
      <c r="N2172" s="42">
        <f t="shared" si="48"/>
        <v>0</v>
      </c>
      <c r="O2172" s="3">
        <v>2170</v>
      </c>
    </row>
    <row r="2173" spans="1:15" x14ac:dyDescent="0.25">
      <c r="A2173" s="3">
        <v>8</v>
      </c>
      <c r="B2173" s="3" t="s">
        <v>262</v>
      </c>
      <c r="C2173" s="3" t="s">
        <v>262</v>
      </c>
      <c r="D2173" s="3" t="s">
        <v>444</v>
      </c>
      <c r="E2173" s="11" t="s">
        <v>144</v>
      </c>
      <c r="F2173" s="3" t="s">
        <v>8</v>
      </c>
      <c r="G2173" s="66" t="s">
        <v>983</v>
      </c>
      <c r="H2173" s="8" t="s">
        <v>504</v>
      </c>
      <c r="I2173" s="8"/>
      <c r="J2173" s="6" t="s">
        <v>108</v>
      </c>
      <c r="K2173" s="38">
        <v>0</v>
      </c>
      <c r="L2173" s="4" t="s">
        <v>264</v>
      </c>
      <c r="M2173" s="11">
        <f>_xlfn.NUMBERVALUE(LEFT(Table613[[#This Row],[Fiscal Year]], 4))</f>
        <v>2001</v>
      </c>
      <c r="N2173" s="42">
        <f t="shared" si="48"/>
        <v>0</v>
      </c>
      <c r="O2173" s="3">
        <v>2171</v>
      </c>
    </row>
    <row r="2174" spans="1:15" x14ac:dyDescent="0.25">
      <c r="A2174" s="3">
        <v>8</v>
      </c>
      <c r="B2174" s="3" t="s">
        <v>262</v>
      </c>
      <c r="C2174" s="3" t="s">
        <v>262</v>
      </c>
      <c r="D2174" s="3" t="s">
        <v>444</v>
      </c>
      <c r="E2174" s="11" t="s">
        <v>144</v>
      </c>
      <c r="F2174" s="3" t="s">
        <v>8</v>
      </c>
      <c r="G2174" s="66" t="s">
        <v>984</v>
      </c>
      <c r="H2174" s="8" t="s">
        <v>504</v>
      </c>
      <c r="I2174" s="8"/>
      <c r="J2174" s="6" t="s">
        <v>108</v>
      </c>
      <c r="K2174" s="38">
        <v>0</v>
      </c>
      <c r="L2174" s="4" t="s">
        <v>264</v>
      </c>
      <c r="M2174" s="11">
        <f>_xlfn.NUMBERVALUE(LEFT(Table613[[#This Row],[Fiscal Year]], 4))</f>
        <v>2001</v>
      </c>
      <c r="N2174" s="42">
        <f t="shared" si="48"/>
        <v>0</v>
      </c>
      <c r="O2174" s="3">
        <v>2172</v>
      </c>
    </row>
    <row r="2175" spans="1:15" x14ac:dyDescent="0.25">
      <c r="A2175" s="3">
        <v>8</v>
      </c>
      <c r="B2175" s="3" t="s">
        <v>262</v>
      </c>
      <c r="C2175" s="3" t="s">
        <v>262</v>
      </c>
      <c r="D2175" s="3" t="s">
        <v>444</v>
      </c>
      <c r="E2175" s="11" t="s">
        <v>144</v>
      </c>
      <c r="F2175" s="3" t="s">
        <v>8</v>
      </c>
      <c r="G2175" s="66" t="s">
        <v>985</v>
      </c>
      <c r="H2175" s="8" t="s">
        <v>505</v>
      </c>
      <c r="I2175" s="8"/>
      <c r="J2175" s="6" t="s">
        <v>42</v>
      </c>
      <c r="K2175" s="38">
        <v>0</v>
      </c>
      <c r="L2175" s="4" t="s">
        <v>264</v>
      </c>
      <c r="M2175" s="11">
        <f>_xlfn.NUMBERVALUE(LEFT(Table613[[#This Row],[Fiscal Year]], 4))</f>
        <v>2001</v>
      </c>
      <c r="N2175" s="42">
        <f t="shared" si="48"/>
        <v>0</v>
      </c>
      <c r="O2175" s="3">
        <v>2173</v>
      </c>
    </row>
    <row r="2176" spans="1:15" x14ac:dyDescent="0.25">
      <c r="A2176" s="3">
        <v>8</v>
      </c>
      <c r="B2176" s="3" t="s">
        <v>262</v>
      </c>
      <c r="C2176" s="3" t="s">
        <v>262</v>
      </c>
      <c r="D2176" s="3" t="s">
        <v>444</v>
      </c>
      <c r="E2176" s="11" t="s">
        <v>144</v>
      </c>
      <c r="F2176" s="3" t="s">
        <v>8</v>
      </c>
      <c r="G2176" s="66" t="s">
        <v>986</v>
      </c>
      <c r="H2176" s="8" t="s">
        <v>599</v>
      </c>
      <c r="I2176" s="8"/>
      <c r="J2176" s="6" t="s">
        <v>42</v>
      </c>
      <c r="K2176" s="38">
        <v>0</v>
      </c>
      <c r="L2176" s="4" t="s">
        <v>264</v>
      </c>
      <c r="M2176" s="11">
        <f>_xlfn.NUMBERVALUE(LEFT(Table613[[#This Row],[Fiscal Year]], 4))</f>
        <v>2001</v>
      </c>
      <c r="N2176" s="42">
        <f t="shared" si="48"/>
        <v>0</v>
      </c>
      <c r="O2176" s="3">
        <v>2174</v>
      </c>
    </row>
    <row r="2177" spans="1:15" x14ac:dyDescent="0.25">
      <c r="A2177" s="3">
        <v>8</v>
      </c>
      <c r="B2177" s="3" t="s">
        <v>262</v>
      </c>
      <c r="C2177" s="3" t="s">
        <v>262</v>
      </c>
      <c r="D2177" s="3" t="s">
        <v>444</v>
      </c>
      <c r="E2177" s="11" t="s">
        <v>144</v>
      </c>
      <c r="F2177" s="3" t="s">
        <v>8</v>
      </c>
      <c r="G2177" s="66" t="s">
        <v>987</v>
      </c>
      <c r="H2177" s="8"/>
      <c r="I2177" s="8"/>
      <c r="J2177" s="6" t="s">
        <v>111</v>
      </c>
      <c r="K2177" s="38">
        <v>0</v>
      </c>
      <c r="L2177" s="4" t="s">
        <v>264</v>
      </c>
      <c r="M2177" s="11">
        <f>_xlfn.NUMBERVALUE(LEFT(Table613[[#This Row],[Fiscal Year]], 4))</f>
        <v>2001</v>
      </c>
      <c r="N2177" s="42">
        <f t="shared" si="48"/>
        <v>0</v>
      </c>
      <c r="O2177" s="3">
        <v>2175</v>
      </c>
    </row>
    <row r="2178" spans="1:15" x14ac:dyDescent="0.25">
      <c r="A2178" s="3">
        <v>8</v>
      </c>
      <c r="B2178" s="3" t="s">
        <v>262</v>
      </c>
      <c r="C2178" s="3" t="s">
        <v>262</v>
      </c>
      <c r="D2178" s="3" t="s">
        <v>444</v>
      </c>
      <c r="E2178" s="11" t="s">
        <v>144</v>
      </c>
      <c r="F2178" s="3" t="s">
        <v>8</v>
      </c>
      <c r="G2178" s="66" t="s">
        <v>988</v>
      </c>
      <c r="H2178" s="8"/>
      <c r="I2178" s="8"/>
      <c r="J2178" s="6" t="s">
        <v>107</v>
      </c>
      <c r="K2178" s="38">
        <v>0</v>
      </c>
      <c r="L2178" s="4" t="s">
        <v>264</v>
      </c>
      <c r="M2178" s="11">
        <f>_xlfn.NUMBERVALUE(LEFT(Table613[[#This Row],[Fiscal Year]], 4))</f>
        <v>2001</v>
      </c>
      <c r="N2178" s="42">
        <f t="shared" si="48"/>
        <v>0</v>
      </c>
      <c r="O2178" s="3">
        <v>2176</v>
      </c>
    </row>
    <row r="2179" spans="1:15" x14ac:dyDescent="0.25">
      <c r="A2179" s="3">
        <v>8</v>
      </c>
      <c r="B2179" s="3" t="s">
        <v>262</v>
      </c>
      <c r="C2179" s="3" t="s">
        <v>262</v>
      </c>
      <c r="D2179" s="3" t="s">
        <v>444</v>
      </c>
      <c r="E2179" s="11" t="s">
        <v>144</v>
      </c>
      <c r="F2179" s="3" t="s">
        <v>8</v>
      </c>
      <c r="G2179" s="66" t="s">
        <v>989</v>
      </c>
      <c r="H2179" s="8" t="s">
        <v>597</v>
      </c>
      <c r="I2179" s="8" t="s">
        <v>594</v>
      </c>
      <c r="J2179" s="6" t="s">
        <v>108</v>
      </c>
      <c r="K2179" s="38">
        <v>0</v>
      </c>
      <c r="L2179" s="4" t="s">
        <v>264</v>
      </c>
      <c r="M2179" s="11">
        <f>_xlfn.NUMBERVALUE(LEFT(Table613[[#This Row],[Fiscal Year]], 4))</f>
        <v>2001</v>
      </c>
      <c r="N2179" s="42">
        <f t="shared" si="48"/>
        <v>0</v>
      </c>
      <c r="O2179" s="3">
        <v>2177</v>
      </c>
    </row>
    <row r="2180" spans="1:15" x14ac:dyDescent="0.25">
      <c r="A2180" s="3">
        <v>8</v>
      </c>
      <c r="B2180" s="3" t="s">
        <v>262</v>
      </c>
      <c r="C2180" s="3" t="s">
        <v>262</v>
      </c>
      <c r="D2180" s="3" t="s">
        <v>444</v>
      </c>
      <c r="E2180" s="11" t="s">
        <v>144</v>
      </c>
      <c r="F2180" s="3" t="s">
        <v>8</v>
      </c>
      <c r="G2180" s="66" t="s">
        <v>990</v>
      </c>
      <c r="H2180" s="8" t="s">
        <v>506</v>
      </c>
      <c r="I2180" s="8"/>
      <c r="J2180" s="6" t="s">
        <v>106</v>
      </c>
      <c r="K2180" s="38">
        <v>0</v>
      </c>
      <c r="L2180" s="4" t="s">
        <v>264</v>
      </c>
      <c r="M2180" s="11">
        <f>_xlfn.NUMBERVALUE(LEFT(Table613[[#This Row],[Fiscal Year]], 4))</f>
        <v>2001</v>
      </c>
      <c r="N2180" s="42">
        <f t="shared" si="48"/>
        <v>0</v>
      </c>
      <c r="O2180" s="3">
        <v>2178</v>
      </c>
    </row>
    <row r="2181" spans="1:15" x14ac:dyDescent="0.25">
      <c r="A2181" s="3">
        <v>8</v>
      </c>
      <c r="B2181" s="3" t="s">
        <v>262</v>
      </c>
      <c r="C2181" s="3" t="s">
        <v>262</v>
      </c>
      <c r="D2181" s="3" t="s">
        <v>444</v>
      </c>
      <c r="E2181" s="11" t="s">
        <v>144</v>
      </c>
      <c r="F2181" s="3" t="s">
        <v>8</v>
      </c>
      <c r="G2181" s="66" t="s">
        <v>1004</v>
      </c>
      <c r="H2181" s="8"/>
      <c r="I2181" s="8"/>
      <c r="J2181" s="6" t="s">
        <v>76</v>
      </c>
      <c r="K2181" s="38">
        <v>0</v>
      </c>
      <c r="L2181" s="4" t="s">
        <v>264</v>
      </c>
      <c r="M2181" s="11">
        <f>_xlfn.NUMBERVALUE(LEFT(Table613[[#This Row],[Fiscal Year]], 4))</f>
        <v>2001</v>
      </c>
      <c r="N2181" s="42">
        <f t="shared" si="48"/>
        <v>0</v>
      </c>
      <c r="O2181" s="3">
        <v>2179</v>
      </c>
    </row>
    <row r="2182" spans="1:15" x14ac:dyDescent="0.25">
      <c r="A2182" s="3">
        <v>8</v>
      </c>
      <c r="B2182" s="3" t="s">
        <v>262</v>
      </c>
      <c r="C2182" s="3" t="s">
        <v>262</v>
      </c>
      <c r="D2182" s="3" t="s">
        <v>444</v>
      </c>
      <c r="E2182" s="11" t="s">
        <v>144</v>
      </c>
      <c r="F2182" s="3" t="s">
        <v>8</v>
      </c>
      <c r="G2182" s="48" t="s">
        <v>991</v>
      </c>
      <c r="H2182" s="8" t="s">
        <v>503</v>
      </c>
      <c r="I2182" s="8"/>
      <c r="J2182" s="6" t="s">
        <v>110</v>
      </c>
      <c r="K2182" s="38">
        <v>72831</v>
      </c>
      <c r="L2182" s="4" t="s">
        <v>264</v>
      </c>
      <c r="M2182" s="11">
        <f>_xlfn.NUMBERVALUE(LEFT(Table613[[#This Row],[Fiscal Year]], 4))</f>
        <v>2001</v>
      </c>
      <c r="N2182" s="42">
        <f t="shared" si="48"/>
        <v>103481.2950931677</v>
      </c>
      <c r="O2182" s="3">
        <v>2180</v>
      </c>
    </row>
    <row r="2183" spans="1:15" x14ac:dyDescent="0.25">
      <c r="A2183" s="3">
        <v>8</v>
      </c>
      <c r="B2183" s="3" t="s">
        <v>262</v>
      </c>
      <c r="C2183" s="3" t="s">
        <v>262</v>
      </c>
      <c r="D2183" s="3" t="s">
        <v>444</v>
      </c>
      <c r="E2183" s="11" t="s">
        <v>144</v>
      </c>
      <c r="F2183" s="3" t="s">
        <v>8</v>
      </c>
      <c r="G2183" s="66" t="s">
        <v>992</v>
      </c>
      <c r="H2183" s="8" t="s">
        <v>504</v>
      </c>
      <c r="I2183" s="8"/>
      <c r="J2183" s="6" t="s">
        <v>108</v>
      </c>
      <c r="K2183" s="38">
        <v>46179</v>
      </c>
      <c r="L2183" s="4" t="s">
        <v>264</v>
      </c>
      <c r="M2183" s="11">
        <f>_xlfn.NUMBERVALUE(LEFT(Table613[[#This Row],[Fiscal Year]], 4))</f>
        <v>2001</v>
      </c>
      <c r="N2183" s="42">
        <f t="shared" si="48"/>
        <v>65613.031897233202</v>
      </c>
      <c r="O2183" s="3">
        <v>2181</v>
      </c>
    </row>
    <row r="2184" spans="1:15" x14ac:dyDescent="0.25">
      <c r="A2184" s="3">
        <v>8</v>
      </c>
      <c r="B2184" s="3" t="s">
        <v>262</v>
      </c>
      <c r="C2184" s="3" t="s">
        <v>262</v>
      </c>
      <c r="D2184" s="3" t="s">
        <v>444</v>
      </c>
      <c r="E2184" s="11" t="s">
        <v>144</v>
      </c>
      <c r="F2184" s="3" t="s">
        <v>8</v>
      </c>
      <c r="G2184" s="66" t="s">
        <v>993</v>
      </c>
      <c r="H2184" s="8" t="s">
        <v>602</v>
      </c>
      <c r="I2184" s="8"/>
      <c r="J2184" s="6" t="s">
        <v>108</v>
      </c>
      <c r="K2184" s="38">
        <v>96885</v>
      </c>
      <c r="L2184" s="4" t="s">
        <v>264</v>
      </c>
      <c r="M2184" s="11">
        <f>_xlfn.NUMBERVALUE(LEFT(Table613[[#This Row],[Fiscal Year]], 4))</f>
        <v>2001</v>
      </c>
      <c r="N2184" s="42">
        <f t="shared" si="48"/>
        <v>137658.21250705817</v>
      </c>
      <c r="O2184" s="3">
        <v>2182</v>
      </c>
    </row>
    <row r="2185" spans="1:15" x14ac:dyDescent="0.25">
      <c r="A2185" s="3">
        <v>8</v>
      </c>
      <c r="B2185" s="3" t="s">
        <v>262</v>
      </c>
      <c r="C2185" s="3" t="s">
        <v>262</v>
      </c>
      <c r="D2185" s="3" t="s">
        <v>444</v>
      </c>
      <c r="E2185" s="11" t="s">
        <v>144</v>
      </c>
      <c r="F2185" s="3" t="s">
        <v>8</v>
      </c>
      <c r="G2185" s="66" t="s">
        <v>994</v>
      </c>
      <c r="H2185" s="8" t="s">
        <v>504</v>
      </c>
      <c r="I2185" s="8"/>
      <c r="J2185" s="6" t="s">
        <v>108</v>
      </c>
      <c r="K2185" s="38">
        <v>80324</v>
      </c>
      <c r="L2185" s="4" t="s">
        <v>264</v>
      </c>
      <c r="M2185" s="11">
        <f>_xlfn.NUMBERVALUE(LEFT(Table613[[#This Row],[Fiscal Year]], 4))</f>
        <v>2001</v>
      </c>
      <c r="N2185" s="42">
        <f t="shared" si="48"/>
        <v>114127.65919819311</v>
      </c>
      <c r="O2185" s="3">
        <v>2183</v>
      </c>
    </row>
    <row r="2186" spans="1:15" x14ac:dyDescent="0.25">
      <c r="A2186" s="3">
        <v>8</v>
      </c>
      <c r="B2186" s="3" t="s">
        <v>262</v>
      </c>
      <c r="C2186" s="3" t="s">
        <v>262</v>
      </c>
      <c r="D2186" s="3" t="s">
        <v>444</v>
      </c>
      <c r="E2186" s="11" t="s">
        <v>144</v>
      </c>
      <c r="F2186" s="3" t="s">
        <v>8</v>
      </c>
      <c r="G2186" s="66" t="s">
        <v>995</v>
      </c>
      <c r="H2186" s="8" t="s">
        <v>504</v>
      </c>
      <c r="I2186" s="8"/>
      <c r="J2186" s="6" t="s">
        <v>108</v>
      </c>
      <c r="K2186" s="38">
        <v>0</v>
      </c>
      <c r="L2186" s="4" t="s">
        <v>264</v>
      </c>
      <c r="M2186" s="11">
        <f>_xlfn.NUMBERVALUE(LEFT(Table613[[#This Row],[Fiscal Year]], 4))</f>
        <v>2001</v>
      </c>
      <c r="N2186" s="42">
        <f t="shared" si="48"/>
        <v>0</v>
      </c>
      <c r="O2186" s="3">
        <v>2184</v>
      </c>
    </row>
    <row r="2187" spans="1:15" x14ac:dyDescent="0.25">
      <c r="A2187" s="3">
        <v>8</v>
      </c>
      <c r="B2187" s="3" t="s">
        <v>262</v>
      </c>
      <c r="C2187" s="3" t="s">
        <v>262</v>
      </c>
      <c r="D2187" s="3" t="s">
        <v>444</v>
      </c>
      <c r="E2187" s="11" t="s">
        <v>144</v>
      </c>
      <c r="F2187" s="3" t="s">
        <v>8</v>
      </c>
      <c r="G2187" s="48" t="s">
        <v>996</v>
      </c>
      <c r="H2187" s="8" t="s">
        <v>504</v>
      </c>
      <c r="I2187" s="8"/>
      <c r="J2187" s="6" t="s">
        <v>108</v>
      </c>
      <c r="K2187" s="38">
        <v>1136129</v>
      </c>
      <c r="L2187" s="4" t="s">
        <v>264</v>
      </c>
      <c r="M2187" s="11">
        <f>_xlfn.NUMBERVALUE(LEFT(Table613[[#This Row],[Fiscal Year]], 4))</f>
        <v>2001</v>
      </c>
      <c r="N2187" s="42">
        <f t="shared" si="48"/>
        <v>1614259.0423433089</v>
      </c>
      <c r="O2187" s="3">
        <v>2185</v>
      </c>
    </row>
    <row r="2188" spans="1:15" x14ac:dyDescent="0.25">
      <c r="A2188" s="3">
        <v>8</v>
      </c>
      <c r="B2188" s="3" t="s">
        <v>262</v>
      </c>
      <c r="C2188" s="3" t="s">
        <v>262</v>
      </c>
      <c r="D2188" s="3" t="s">
        <v>444</v>
      </c>
      <c r="E2188" s="11" t="s">
        <v>144</v>
      </c>
      <c r="F2188" s="3" t="s">
        <v>8</v>
      </c>
      <c r="G2188" s="66" t="s">
        <v>997</v>
      </c>
      <c r="H2188" s="8" t="s">
        <v>593</v>
      </c>
      <c r="I2188" s="8" t="s">
        <v>594</v>
      </c>
      <c r="J2188" s="6" t="s">
        <v>108</v>
      </c>
      <c r="K2188" s="38">
        <v>15000</v>
      </c>
      <c r="L2188" s="4" t="s">
        <v>264</v>
      </c>
      <c r="M2188" s="11">
        <f>_xlfn.NUMBERVALUE(LEFT(Table613[[#This Row],[Fiscal Year]], 4))</f>
        <v>2001</v>
      </c>
      <c r="N2188" s="42">
        <f t="shared" si="48"/>
        <v>21312.619988706945</v>
      </c>
      <c r="O2188" s="3">
        <v>2186</v>
      </c>
    </row>
    <row r="2189" spans="1:15" x14ac:dyDescent="0.25">
      <c r="A2189" s="3">
        <v>8</v>
      </c>
      <c r="B2189" s="3" t="s">
        <v>262</v>
      </c>
      <c r="C2189" s="3" t="s">
        <v>262</v>
      </c>
      <c r="D2189" s="3" t="s">
        <v>444</v>
      </c>
      <c r="E2189" s="11" t="s">
        <v>144</v>
      </c>
      <c r="F2189" s="3" t="s">
        <v>8</v>
      </c>
      <c r="G2189" s="66" t="s">
        <v>998</v>
      </c>
      <c r="H2189" s="8" t="s">
        <v>504</v>
      </c>
      <c r="I2189" s="8"/>
      <c r="J2189" s="6" t="s">
        <v>108</v>
      </c>
      <c r="K2189" s="38">
        <v>13349</v>
      </c>
      <c r="L2189" s="4" t="s">
        <v>264</v>
      </c>
      <c r="M2189" s="11">
        <f>_xlfn.NUMBERVALUE(LEFT(Table613[[#This Row],[Fiscal Year]], 4))</f>
        <v>2001</v>
      </c>
      <c r="N2189" s="42">
        <f t="shared" si="48"/>
        <v>18966.810948616599</v>
      </c>
      <c r="O2189" s="3">
        <v>2187</v>
      </c>
    </row>
    <row r="2190" spans="1:15" x14ac:dyDescent="0.25">
      <c r="A2190" s="3">
        <v>8</v>
      </c>
      <c r="B2190" s="3" t="s">
        <v>262</v>
      </c>
      <c r="C2190" s="3" t="s">
        <v>262</v>
      </c>
      <c r="D2190" s="3" t="s">
        <v>444</v>
      </c>
      <c r="E2190" s="11" t="s">
        <v>144</v>
      </c>
      <c r="F2190" s="3" t="s">
        <v>8</v>
      </c>
      <c r="G2190" s="66" t="s">
        <v>999</v>
      </c>
      <c r="H2190" s="8" t="s">
        <v>504</v>
      </c>
      <c r="I2190" s="8"/>
      <c r="J2190" s="6" t="s">
        <v>108</v>
      </c>
      <c r="K2190" s="38">
        <v>199215</v>
      </c>
      <c r="L2190" s="4" t="s">
        <v>264</v>
      </c>
      <c r="M2190" s="11">
        <f>_xlfn.NUMBERVALUE(LEFT(Table613[[#This Row],[Fiscal Year]], 4))</f>
        <v>2001</v>
      </c>
      <c r="N2190" s="42">
        <f t="shared" si="48"/>
        <v>283052.90607001691</v>
      </c>
      <c r="O2190" s="3">
        <v>2188</v>
      </c>
    </row>
    <row r="2191" spans="1:15" x14ac:dyDescent="0.25">
      <c r="A2191" s="3">
        <v>8</v>
      </c>
      <c r="B2191" s="3" t="s">
        <v>262</v>
      </c>
      <c r="C2191" s="3" t="s">
        <v>262</v>
      </c>
      <c r="D2191" s="3" t="s">
        <v>444</v>
      </c>
      <c r="E2191" s="11" t="s">
        <v>144</v>
      </c>
      <c r="F2191" s="3" t="s">
        <v>8</v>
      </c>
      <c r="G2191" s="66" t="s">
        <v>1000</v>
      </c>
      <c r="H2191" s="8" t="s">
        <v>505</v>
      </c>
      <c r="I2191" s="8"/>
      <c r="J2191" s="6" t="s">
        <v>42</v>
      </c>
      <c r="K2191" s="38">
        <v>3354</v>
      </c>
      <c r="L2191" s="4" t="s">
        <v>264</v>
      </c>
      <c r="M2191" s="11">
        <f>_xlfn.NUMBERVALUE(LEFT(Table613[[#This Row],[Fiscal Year]], 4))</f>
        <v>2001</v>
      </c>
      <c r="N2191" s="42">
        <f t="shared" si="48"/>
        <v>4765.5018294748725</v>
      </c>
      <c r="O2191" s="3">
        <v>2189</v>
      </c>
    </row>
    <row r="2192" spans="1:15" x14ac:dyDescent="0.25">
      <c r="A2192" s="3">
        <v>8</v>
      </c>
      <c r="B2192" s="3" t="s">
        <v>262</v>
      </c>
      <c r="C2192" s="3" t="s">
        <v>262</v>
      </c>
      <c r="D2192" s="3" t="s">
        <v>444</v>
      </c>
      <c r="E2192" s="11" t="s">
        <v>144</v>
      </c>
      <c r="F2192" s="3" t="s">
        <v>8</v>
      </c>
      <c r="G2192" s="66" t="s">
        <v>1001</v>
      </c>
      <c r="H2192" s="8" t="s">
        <v>599</v>
      </c>
      <c r="I2192" s="8"/>
      <c r="J2192" s="6" t="s">
        <v>42</v>
      </c>
      <c r="K2192" s="38">
        <v>30000</v>
      </c>
      <c r="L2192" s="4" t="s">
        <v>264</v>
      </c>
      <c r="M2192" s="11">
        <f>_xlfn.NUMBERVALUE(LEFT(Table613[[#This Row],[Fiscal Year]], 4))</f>
        <v>2001</v>
      </c>
      <c r="N2192" s="42">
        <f t="shared" si="48"/>
        <v>42625.23997741389</v>
      </c>
      <c r="O2192" s="3">
        <v>2190</v>
      </c>
    </row>
    <row r="2193" spans="1:15" x14ac:dyDescent="0.25">
      <c r="A2193" s="3">
        <v>8</v>
      </c>
      <c r="B2193" s="3" t="s">
        <v>262</v>
      </c>
      <c r="C2193" s="3" t="s">
        <v>262</v>
      </c>
      <c r="D2193" s="3" t="s">
        <v>444</v>
      </c>
      <c r="E2193" s="11" t="s">
        <v>144</v>
      </c>
      <c r="F2193" s="3" t="s">
        <v>8</v>
      </c>
      <c r="G2193" s="66" t="s">
        <v>1005</v>
      </c>
      <c r="H2193" s="8"/>
      <c r="I2193" s="8"/>
      <c r="J2193" s="6" t="s">
        <v>111</v>
      </c>
      <c r="K2193" s="38">
        <v>4579</v>
      </c>
      <c r="L2193" s="4" t="s">
        <v>264</v>
      </c>
      <c r="M2193" s="11">
        <f>_xlfn.NUMBERVALUE(LEFT(Table613[[#This Row],[Fiscal Year]], 4))</f>
        <v>2001</v>
      </c>
      <c r="N2193" s="42">
        <f t="shared" si="48"/>
        <v>6506.0324618859395</v>
      </c>
      <c r="O2193" s="3">
        <v>2191</v>
      </c>
    </row>
    <row r="2194" spans="1:15" x14ac:dyDescent="0.25">
      <c r="A2194" s="3">
        <v>8</v>
      </c>
      <c r="B2194" s="3" t="s">
        <v>262</v>
      </c>
      <c r="C2194" s="3" t="s">
        <v>262</v>
      </c>
      <c r="D2194" s="3" t="s">
        <v>444</v>
      </c>
      <c r="E2194" s="11" t="s">
        <v>144</v>
      </c>
      <c r="F2194" s="3" t="s">
        <v>8</v>
      </c>
      <c r="G2194" s="66" t="s">
        <v>1006</v>
      </c>
      <c r="H2194" s="8"/>
      <c r="I2194" s="8"/>
      <c r="J2194" s="6" t="s">
        <v>107</v>
      </c>
      <c r="K2194" s="38">
        <v>3649</v>
      </c>
      <c r="L2194" s="4" t="s">
        <v>264</v>
      </c>
      <c r="M2194" s="11">
        <f>_xlfn.NUMBERVALUE(LEFT(Table613[[#This Row],[Fiscal Year]], 4))</f>
        <v>2001</v>
      </c>
      <c r="N2194" s="42">
        <f t="shared" si="48"/>
        <v>5184.6500225861091</v>
      </c>
      <c r="O2194" s="3">
        <v>2192</v>
      </c>
    </row>
    <row r="2195" spans="1:15" x14ac:dyDescent="0.25">
      <c r="A2195" s="3">
        <v>8</v>
      </c>
      <c r="B2195" s="3" t="s">
        <v>262</v>
      </c>
      <c r="C2195" s="3" t="s">
        <v>262</v>
      </c>
      <c r="D2195" s="3" t="s">
        <v>444</v>
      </c>
      <c r="E2195" s="11" t="s">
        <v>144</v>
      </c>
      <c r="F2195" s="3" t="s">
        <v>8</v>
      </c>
      <c r="G2195" s="66" t="s">
        <v>1002</v>
      </c>
      <c r="H2195" s="8" t="s">
        <v>597</v>
      </c>
      <c r="I2195" s="8" t="s">
        <v>594</v>
      </c>
      <c r="J2195" s="6" t="s">
        <v>108</v>
      </c>
      <c r="K2195" s="38">
        <v>9448</v>
      </c>
      <c r="L2195" s="4" t="s">
        <v>264</v>
      </c>
      <c r="M2195" s="11">
        <f>_xlfn.NUMBERVALUE(LEFT(Table613[[#This Row],[Fiscal Year]], 4))</f>
        <v>2001</v>
      </c>
      <c r="N2195" s="42">
        <f t="shared" si="48"/>
        <v>13424.108910220215</v>
      </c>
      <c r="O2195" s="3">
        <v>2193</v>
      </c>
    </row>
    <row r="2196" spans="1:15" x14ac:dyDescent="0.25">
      <c r="A2196" s="3">
        <v>8</v>
      </c>
      <c r="B2196" s="3" t="s">
        <v>262</v>
      </c>
      <c r="C2196" s="3" t="s">
        <v>262</v>
      </c>
      <c r="D2196" s="3" t="s">
        <v>444</v>
      </c>
      <c r="E2196" s="11" t="s">
        <v>144</v>
      </c>
      <c r="F2196" s="3" t="s">
        <v>8</v>
      </c>
      <c r="G2196" s="66" t="s">
        <v>1003</v>
      </c>
      <c r="H2196" s="8" t="s">
        <v>506</v>
      </c>
      <c r="I2196" s="8"/>
      <c r="J2196" s="6" t="s">
        <v>106</v>
      </c>
      <c r="K2196" s="38">
        <v>1050</v>
      </c>
      <c r="L2196" s="4" t="s">
        <v>264</v>
      </c>
      <c r="M2196" s="11">
        <f>_xlfn.NUMBERVALUE(LEFT(Table613[[#This Row],[Fiscal Year]], 4))</f>
        <v>2001</v>
      </c>
      <c r="N2196" s="42">
        <f t="shared" si="48"/>
        <v>1491.883399209486</v>
      </c>
      <c r="O2196" s="3">
        <v>2194</v>
      </c>
    </row>
    <row r="2197" spans="1:15" x14ac:dyDescent="0.25">
      <c r="A2197" s="3">
        <v>8</v>
      </c>
      <c r="B2197" s="3" t="s">
        <v>262</v>
      </c>
      <c r="C2197" s="3" t="s">
        <v>262</v>
      </c>
      <c r="D2197" s="3" t="s">
        <v>444</v>
      </c>
      <c r="E2197" s="11" t="s">
        <v>144</v>
      </c>
      <c r="F2197" s="3" t="s">
        <v>8</v>
      </c>
      <c r="G2197" s="66" t="s">
        <v>1007</v>
      </c>
      <c r="H2197" s="8"/>
      <c r="I2197" s="8"/>
      <c r="J2197" s="6" t="s">
        <v>76</v>
      </c>
      <c r="K2197" s="38">
        <v>105600</v>
      </c>
      <c r="L2197" s="4" t="s">
        <v>264</v>
      </c>
      <c r="M2197" s="11">
        <f>_xlfn.NUMBERVALUE(LEFT(Table613[[#This Row],[Fiscal Year]], 4))</f>
        <v>2001</v>
      </c>
      <c r="N2197" s="42">
        <f t="shared" si="48"/>
        <v>150040.84472049688</v>
      </c>
      <c r="O2197" s="3">
        <v>2195</v>
      </c>
    </row>
    <row r="2198" spans="1:15" x14ac:dyDescent="0.25">
      <c r="E2198" s="11"/>
      <c r="G2198" s="66"/>
      <c r="H2198" s="8"/>
      <c r="I2198" s="8"/>
      <c r="J2198" s="6"/>
      <c r="L2198" s="4"/>
      <c r="O2198" s="3">
        <v>2196</v>
      </c>
    </row>
    <row r="2199" spans="1:15" x14ac:dyDescent="0.25">
      <c r="A2199" s="3">
        <v>8</v>
      </c>
      <c r="B2199" s="3" t="s">
        <v>286</v>
      </c>
      <c r="C2199" s="3" t="s">
        <v>262</v>
      </c>
      <c r="D2199" s="3" t="s">
        <v>444</v>
      </c>
      <c r="E2199" s="11" t="s">
        <v>144</v>
      </c>
      <c r="F2199" s="3" t="s">
        <v>8</v>
      </c>
      <c r="G2199" s="48" t="s">
        <v>976</v>
      </c>
      <c r="H2199" s="8" t="s">
        <v>503</v>
      </c>
      <c r="I2199" s="8" t="s">
        <v>640</v>
      </c>
      <c r="J2199" s="6" t="s">
        <v>110</v>
      </c>
      <c r="K2199" s="38">
        <v>2652</v>
      </c>
      <c r="L2199" s="4" t="s">
        <v>264</v>
      </c>
      <c r="M2199" s="11">
        <f>_xlfn.NUMBERVALUE(LEFT(Table613[[#This Row],[Fiscal Year]], 4))</f>
        <v>2001</v>
      </c>
      <c r="N2199" s="42">
        <f t="shared" si="48"/>
        <v>3768.0712140033879</v>
      </c>
      <c r="O2199" s="3">
        <v>2197</v>
      </c>
    </row>
    <row r="2200" spans="1:15" x14ac:dyDescent="0.25">
      <c r="A2200" s="3">
        <v>8</v>
      </c>
      <c r="B2200" s="3" t="s">
        <v>286</v>
      </c>
      <c r="C2200" s="3" t="s">
        <v>262</v>
      </c>
      <c r="D2200" s="3" t="s">
        <v>444</v>
      </c>
      <c r="E2200" s="11" t="s">
        <v>144</v>
      </c>
      <c r="F2200" s="3" t="s">
        <v>8</v>
      </c>
      <c r="G2200" s="66" t="s">
        <v>977</v>
      </c>
      <c r="H2200" s="8" t="s">
        <v>504</v>
      </c>
      <c r="I2200" s="8"/>
      <c r="J2200" s="6" t="s">
        <v>108</v>
      </c>
      <c r="K2200" s="38">
        <v>1379</v>
      </c>
      <c r="L2200" s="4" t="s">
        <v>264</v>
      </c>
      <c r="M2200" s="11">
        <f>_xlfn.NUMBERVALUE(LEFT(Table613[[#This Row],[Fiscal Year]], 4))</f>
        <v>2001</v>
      </c>
      <c r="N2200" s="42">
        <f t="shared" si="48"/>
        <v>1959.3401976284583</v>
      </c>
      <c r="O2200" s="3">
        <v>2198</v>
      </c>
    </row>
    <row r="2201" spans="1:15" x14ac:dyDescent="0.25">
      <c r="A2201" s="3">
        <v>8</v>
      </c>
      <c r="B2201" s="3" t="s">
        <v>286</v>
      </c>
      <c r="C2201" s="3" t="s">
        <v>262</v>
      </c>
      <c r="D2201" s="3" t="s">
        <v>444</v>
      </c>
      <c r="E2201" s="11" t="s">
        <v>144</v>
      </c>
      <c r="F2201" s="3" t="s">
        <v>8</v>
      </c>
      <c r="G2201" s="66" t="s">
        <v>978</v>
      </c>
      <c r="H2201" s="8" t="s">
        <v>602</v>
      </c>
      <c r="I2201" s="8"/>
      <c r="J2201" s="6" t="s">
        <v>108</v>
      </c>
      <c r="K2201" s="38">
        <v>0</v>
      </c>
      <c r="L2201" s="4" t="s">
        <v>264</v>
      </c>
      <c r="M2201" s="11">
        <f>_xlfn.NUMBERVALUE(LEFT(Table613[[#This Row],[Fiscal Year]], 4))</f>
        <v>2001</v>
      </c>
      <c r="N2201" s="42">
        <f t="shared" si="48"/>
        <v>0</v>
      </c>
      <c r="O2201" s="3">
        <v>2199</v>
      </c>
    </row>
    <row r="2202" spans="1:15" x14ac:dyDescent="0.25">
      <c r="A2202" s="3">
        <v>8</v>
      </c>
      <c r="B2202" s="3" t="s">
        <v>286</v>
      </c>
      <c r="C2202" s="3" t="s">
        <v>262</v>
      </c>
      <c r="D2202" s="3" t="s">
        <v>444</v>
      </c>
      <c r="E2202" s="11" t="s">
        <v>144</v>
      </c>
      <c r="F2202" s="3" t="s">
        <v>8</v>
      </c>
      <c r="G2202" s="66" t="s">
        <v>979</v>
      </c>
      <c r="H2202" s="8" t="s">
        <v>504</v>
      </c>
      <c r="I2202" s="8"/>
      <c r="J2202" s="6" t="s">
        <v>108</v>
      </c>
      <c r="K2202" s="38">
        <v>6896</v>
      </c>
      <c r="L2202" s="4" t="s">
        <v>264</v>
      </c>
      <c r="M2202" s="11">
        <f>_xlfn.NUMBERVALUE(LEFT(Table613[[#This Row],[Fiscal Year]], 4))</f>
        <v>2001</v>
      </c>
      <c r="N2202" s="42">
        <f>K2202*(1+VLOOKUP(M2202,$AF$8:$AH$31,3,0))</f>
        <v>9798.1218294748724</v>
      </c>
      <c r="O2202" s="3">
        <v>2200</v>
      </c>
    </row>
    <row r="2203" spans="1:15" x14ac:dyDescent="0.25">
      <c r="A2203" s="3">
        <v>8</v>
      </c>
      <c r="B2203" s="3" t="s">
        <v>286</v>
      </c>
      <c r="C2203" s="3" t="s">
        <v>262</v>
      </c>
      <c r="D2203" s="3" t="s">
        <v>444</v>
      </c>
      <c r="E2203" s="11" t="s">
        <v>144</v>
      </c>
      <c r="F2203" s="3" t="s">
        <v>8</v>
      </c>
      <c r="G2203" s="66" t="s">
        <v>980</v>
      </c>
      <c r="H2203" s="8" t="s">
        <v>504</v>
      </c>
      <c r="I2203" s="8"/>
      <c r="J2203" s="6" t="s">
        <v>108</v>
      </c>
      <c r="K2203" s="38">
        <v>0</v>
      </c>
      <c r="L2203" s="4" t="s">
        <v>264</v>
      </c>
      <c r="M2203" s="11">
        <f>_xlfn.NUMBERVALUE(LEFT(Table613[[#This Row],[Fiscal Year]], 4))</f>
        <v>2001</v>
      </c>
      <c r="N2203" s="42">
        <f t="shared" si="48"/>
        <v>0</v>
      </c>
      <c r="O2203" s="3">
        <v>2201</v>
      </c>
    </row>
    <row r="2204" spans="1:15" x14ac:dyDescent="0.25">
      <c r="A2204" s="3">
        <v>8</v>
      </c>
      <c r="B2204" s="3" t="s">
        <v>286</v>
      </c>
      <c r="C2204" s="3" t="s">
        <v>262</v>
      </c>
      <c r="D2204" s="3" t="s">
        <v>444</v>
      </c>
      <c r="E2204" s="11" t="s">
        <v>144</v>
      </c>
      <c r="F2204" s="3" t="s">
        <v>8</v>
      </c>
      <c r="G2204" s="48" t="s">
        <v>981</v>
      </c>
      <c r="H2204" s="8" t="s">
        <v>504</v>
      </c>
      <c r="I2204" s="8"/>
      <c r="J2204" s="6" t="s">
        <v>108</v>
      </c>
      <c r="K2204" s="38">
        <v>63654</v>
      </c>
      <c r="L2204" s="4" t="s">
        <v>264</v>
      </c>
      <c r="M2204" s="11">
        <f>_xlfn.NUMBERVALUE(LEFT(Table613[[#This Row],[Fiscal Year]], 4))</f>
        <v>2001</v>
      </c>
      <c r="N2204" s="42">
        <f>K2204*(1+VLOOKUP(M2204,$AF$8:$AH$31,3,0))</f>
        <v>90442.234184076791</v>
      </c>
      <c r="O2204" s="3">
        <v>2202</v>
      </c>
    </row>
    <row r="2205" spans="1:15" x14ac:dyDescent="0.25">
      <c r="A2205" s="3">
        <v>8</v>
      </c>
      <c r="B2205" s="3" t="s">
        <v>286</v>
      </c>
      <c r="C2205" s="3" t="s">
        <v>262</v>
      </c>
      <c r="D2205" s="3" t="s">
        <v>444</v>
      </c>
      <c r="E2205" s="11" t="s">
        <v>144</v>
      </c>
      <c r="F2205" s="3" t="s">
        <v>8</v>
      </c>
      <c r="G2205" s="66" t="s">
        <v>982</v>
      </c>
      <c r="H2205" s="8" t="s">
        <v>593</v>
      </c>
      <c r="I2205" s="8" t="s">
        <v>594</v>
      </c>
      <c r="J2205" s="6" t="s">
        <v>108</v>
      </c>
      <c r="K2205" s="38">
        <v>0</v>
      </c>
      <c r="L2205" s="4" t="s">
        <v>264</v>
      </c>
      <c r="M2205" s="11">
        <f>_xlfn.NUMBERVALUE(LEFT(Table613[[#This Row],[Fiscal Year]], 4))</f>
        <v>2001</v>
      </c>
      <c r="N2205" s="42">
        <f t="shared" si="48"/>
        <v>0</v>
      </c>
      <c r="O2205" s="3">
        <v>2203</v>
      </c>
    </row>
    <row r="2206" spans="1:15" x14ac:dyDescent="0.25">
      <c r="A2206" s="3">
        <v>8</v>
      </c>
      <c r="B2206" s="3" t="s">
        <v>286</v>
      </c>
      <c r="C2206" s="3" t="s">
        <v>262</v>
      </c>
      <c r="D2206" s="3" t="s">
        <v>444</v>
      </c>
      <c r="E2206" s="11" t="s">
        <v>144</v>
      </c>
      <c r="F2206" s="3" t="s">
        <v>8</v>
      </c>
      <c r="G2206" s="66" t="s">
        <v>983</v>
      </c>
      <c r="H2206" s="8" t="s">
        <v>504</v>
      </c>
      <c r="I2206" s="8"/>
      <c r="J2206" s="6" t="s">
        <v>108</v>
      </c>
      <c r="K2206" s="38">
        <v>0</v>
      </c>
      <c r="L2206" s="4" t="s">
        <v>264</v>
      </c>
      <c r="M2206" s="11">
        <f>_xlfn.NUMBERVALUE(LEFT(Table613[[#This Row],[Fiscal Year]], 4))</f>
        <v>2001</v>
      </c>
      <c r="N2206" s="42">
        <f t="shared" si="48"/>
        <v>0</v>
      </c>
      <c r="O2206" s="3">
        <v>2204</v>
      </c>
    </row>
    <row r="2207" spans="1:15" x14ac:dyDescent="0.25">
      <c r="A2207" s="3">
        <v>8</v>
      </c>
      <c r="B2207" s="3" t="s">
        <v>286</v>
      </c>
      <c r="C2207" s="3" t="s">
        <v>262</v>
      </c>
      <c r="D2207" s="3" t="s">
        <v>444</v>
      </c>
      <c r="E2207" s="11" t="s">
        <v>144</v>
      </c>
      <c r="F2207" s="3" t="s">
        <v>8</v>
      </c>
      <c r="G2207" s="66" t="s">
        <v>984</v>
      </c>
      <c r="H2207" s="8" t="s">
        <v>504</v>
      </c>
      <c r="I2207" s="8"/>
      <c r="J2207" s="6" t="s">
        <v>108</v>
      </c>
      <c r="K2207" s="38">
        <v>4774</v>
      </c>
      <c r="L2207" s="4" t="s">
        <v>264</v>
      </c>
      <c r="M2207" s="11">
        <f>_xlfn.NUMBERVALUE(LEFT(Table613[[#This Row],[Fiscal Year]], 4))</f>
        <v>2001</v>
      </c>
      <c r="N2207" s="42">
        <f>K2207*(1+VLOOKUP(M2207,$AF$8:$AH$31,3,0))</f>
        <v>6783.0965217391304</v>
      </c>
      <c r="O2207" s="3">
        <v>2205</v>
      </c>
    </row>
    <row r="2208" spans="1:15" x14ac:dyDescent="0.25">
      <c r="A2208" s="3">
        <v>8</v>
      </c>
      <c r="B2208" s="3" t="s">
        <v>286</v>
      </c>
      <c r="C2208" s="3" t="s">
        <v>262</v>
      </c>
      <c r="D2208" s="3" t="s">
        <v>444</v>
      </c>
      <c r="E2208" s="11" t="s">
        <v>144</v>
      </c>
      <c r="F2208" s="3" t="s">
        <v>8</v>
      </c>
      <c r="G2208" s="66" t="s">
        <v>985</v>
      </c>
      <c r="H2208" s="8" t="s">
        <v>505</v>
      </c>
      <c r="I2208" s="8"/>
      <c r="J2208" s="6" t="s">
        <v>42</v>
      </c>
      <c r="K2208" s="38">
        <v>0</v>
      </c>
      <c r="L2208" s="4" t="s">
        <v>264</v>
      </c>
      <c r="M2208" s="11">
        <f>_xlfn.NUMBERVALUE(LEFT(Table613[[#This Row],[Fiscal Year]], 4))</f>
        <v>2001</v>
      </c>
      <c r="N2208" s="42">
        <f t="shared" si="48"/>
        <v>0</v>
      </c>
      <c r="O2208" s="3">
        <v>2206</v>
      </c>
    </row>
    <row r="2209" spans="1:15" x14ac:dyDescent="0.25">
      <c r="A2209" s="3">
        <v>8</v>
      </c>
      <c r="B2209" s="3" t="s">
        <v>286</v>
      </c>
      <c r="C2209" s="3" t="s">
        <v>262</v>
      </c>
      <c r="D2209" s="3" t="s">
        <v>444</v>
      </c>
      <c r="E2209" s="11" t="s">
        <v>144</v>
      </c>
      <c r="F2209" s="3" t="s">
        <v>8</v>
      </c>
      <c r="G2209" s="66" t="s">
        <v>986</v>
      </c>
      <c r="H2209" s="8" t="s">
        <v>599</v>
      </c>
      <c r="I2209" s="8"/>
      <c r="J2209" s="6" t="s">
        <v>42</v>
      </c>
      <c r="K2209" s="38">
        <v>0</v>
      </c>
      <c r="L2209" s="4" t="s">
        <v>264</v>
      </c>
      <c r="M2209" s="11">
        <f>_xlfn.NUMBERVALUE(LEFT(Table613[[#This Row],[Fiscal Year]], 4))</f>
        <v>2001</v>
      </c>
      <c r="N2209" s="42">
        <f t="shared" si="48"/>
        <v>0</v>
      </c>
      <c r="O2209" s="3">
        <v>2207</v>
      </c>
    </row>
    <row r="2210" spans="1:15" x14ac:dyDescent="0.25">
      <c r="A2210" s="3">
        <v>8</v>
      </c>
      <c r="B2210" s="3" t="s">
        <v>286</v>
      </c>
      <c r="C2210" s="3" t="s">
        <v>262</v>
      </c>
      <c r="D2210" s="3" t="s">
        <v>444</v>
      </c>
      <c r="E2210" s="11" t="s">
        <v>144</v>
      </c>
      <c r="F2210" s="3" t="s">
        <v>8</v>
      </c>
      <c r="G2210" s="66" t="s">
        <v>987</v>
      </c>
      <c r="H2210" s="8"/>
      <c r="I2210" s="8"/>
      <c r="J2210" s="6" t="s">
        <v>111</v>
      </c>
      <c r="K2210" s="38">
        <v>1061</v>
      </c>
      <c r="L2210" s="4" t="s">
        <v>264</v>
      </c>
      <c r="M2210" s="11">
        <f>_xlfn.NUMBERVALUE(LEFT(Table613[[#This Row],[Fiscal Year]], 4))</f>
        <v>2001</v>
      </c>
      <c r="N2210" s="42">
        <f>K2210*(1+VLOOKUP(M2210,$AF$8:$AH$31,3,0))</f>
        <v>1507.5126538678712</v>
      </c>
      <c r="O2210" s="3">
        <v>2208</v>
      </c>
    </row>
    <row r="2211" spans="1:15" x14ac:dyDescent="0.25">
      <c r="A2211" s="3">
        <v>8</v>
      </c>
      <c r="B2211" s="3" t="s">
        <v>286</v>
      </c>
      <c r="C2211" s="3" t="s">
        <v>262</v>
      </c>
      <c r="D2211" s="3" t="s">
        <v>444</v>
      </c>
      <c r="E2211" s="11" t="s">
        <v>144</v>
      </c>
      <c r="F2211" s="3" t="s">
        <v>8</v>
      </c>
      <c r="G2211" s="66" t="s">
        <v>988</v>
      </c>
      <c r="H2211" s="8"/>
      <c r="I2211" s="8"/>
      <c r="J2211" s="6" t="s">
        <v>107</v>
      </c>
      <c r="K2211" s="38">
        <v>0</v>
      </c>
      <c r="L2211" s="4" t="s">
        <v>264</v>
      </c>
      <c r="M2211" s="11">
        <f>_xlfn.NUMBERVALUE(LEFT(Table613[[#This Row],[Fiscal Year]], 4))</f>
        <v>2001</v>
      </c>
      <c r="N2211" s="42">
        <f t="shared" si="48"/>
        <v>0</v>
      </c>
      <c r="O2211" s="3">
        <v>2209</v>
      </c>
    </row>
    <row r="2212" spans="1:15" x14ac:dyDescent="0.25">
      <c r="A2212" s="3">
        <v>8</v>
      </c>
      <c r="B2212" s="3" t="s">
        <v>286</v>
      </c>
      <c r="C2212" s="3" t="s">
        <v>262</v>
      </c>
      <c r="D2212" s="3" t="s">
        <v>444</v>
      </c>
      <c r="E2212" s="11" t="s">
        <v>144</v>
      </c>
      <c r="F2212" s="3" t="s">
        <v>8</v>
      </c>
      <c r="G2212" s="66" t="s">
        <v>989</v>
      </c>
      <c r="H2212" s="8" t="s">
        <v>597</v>
      </c>
      <c r="I2212" s="8" t="s">
        <v>594</v>
      </c>
      <c r="J2212" s="6" t="s">
        <v>108</v>
      </c>
      <c r="K2212" s="38">
        <v>1061</v>
      </c>
      <c r="L2212" s="4" t="s">
        <v>264</v>
      </c>
      <c r="M2212" s="11">
        <f>_xlfn.NUMBERVALUE(LEFT(Table613[[#This Row],[Fiscal Year]], 4))</f>
        <v>2001</v>
      </c>
      <c r="N2212" s="42">
        <f>K2212*(1+VLOOKUP(M2212,$AF$8:$AH$31,3,0))</f>
        <v>1507.5126538678712</v>
      </c>
      <c r="O2212" s="3">
        <v>2210</v>
      </c>
    </row>
    <row r="2213" spans="1:15" x14ac:dyDescent="0.25">
      <c r="A2213" s="3">
        <v>8</v>
      </c>
      <c r="B2213" s="3" t="s">
        <v>286</v>
      </c>
      <c r="C2213" s="3" t="s">
        <v>262</v>
      </c>
      <c r="D2213" s="3" t="s">
        <v>444</v>
      </c>
      <c r="E2213" s="11" t="s">
        <v>144</v>
      </c>
      <c r="F2213" s="3" t="s">
        <v>8</v>
      </c>
      <c r="G2213" s="66" t="s">
        <v>990</v>
      </c>
      <c r="H2213" s="8" t="s">
        <v>506</v>
      </c>
      <c r="I2213" s="8"/>
      <c r="J2213" s="6" t="s">
        <v>106</v>
      </c>
      <c r="K2213" s="38">
        <v>0</v>
      </c>
      <c r="L2213" s="4" t="s">
        <v>264</v>
      </c>
      <c r="M2213" s="11">
        <f>_xlfn.NUMBERVALUE(LEFT(Table613[[#This Row],[Fiscal Year]], 4))</f>
        <v>2001</v>
      </c>
      <c r="N2213" s="42">
        <f t="shared" si="48"/>
        <v>0</v>
      </c>
      <c r="O2213" s="3">
        <v>2211</v>
      </c>
    </row>
    <row r="2214" spans="1:15" x14ac:dyDescent="0.25">
      <c r="A2214" s="3">
        <v>8</v>
      </c>
      <c r="B2214" s="3" t="s">
        <v>286</v>
      </c>
      <c r="C2214" s="3" t="s">
        <v>262</v>
      </c>
      <c r="D2214" s="3" t="s">
        <v>444</v>
      </c>
      <c r="E2214" s="11" t="s">
        <v>144</v>
      </c>
      <c r="F2214" s="3" t="s">
        <v>8</v>
      </c>
      <c r="G2214" s="66" t="s">
        <v>1004</v>
      </c>
      <c r="H2214" s="8"/>
      <c r="I2214" s="8"/>
      <c r="J2214" s="6" t="s">
        <v>76</v>
      </c>
      <c r="K2214" s="38">
        <v>1061</v>
      </c>
      <c r="L2214" s="4" t="s">
        <v>264</v>
      </c>
      <c r="M2214" s="11">
        <f>_xlfn.NUMBERVALUE(LEFT(Table613[[#This Row],[Fiscal Year]], 4))</f>
        <v>2001</v>
      </c>
      <c r="N2214" s="42">
        <f t="shared" si="48"/>
        <v>1507.5126538678712</v>
      </c>
      <c r="O2214" s="3">
        <v>2212</v>
      </c>
    </row>
    <row r="2215" spans="1:15" x14ac:dyDescent="0.25">
      <c r="A2215" s="3">
        <v>8</v>
      </c>
      <c r="B2215" s="3" t="s">
        <v>286</v>
      </c>
      <c r="C2215" s="3" t="s">
        <v>262</v>
      </c>
      <c r="D2215" s="3" t="s">
        <v>444</v>
      </c>
      <c r="E2215" s="11" t="s">
        <v>144</v>
      </c>
      <c r="F2215" s="3" t="s">
        <v>8</v>
      </c>
      <c r="G2215" s="48" t="s">
        <v>991</v>
      </c>
      <c r="H2215" s="8" t="s">
        <v>503</v>
      </c>
      <c r="I2215" s="8"/>
      <c r="J2215" s="6" t="s">
        <v>110</v>
      </c>
      <c r="K2215" s="38">
        <v>26523</v>
      </c>
      <c r="L2215" s="4" t="s">
        <v>264</v>
      </c>
      <c r="M2215" s="11">
        <f>_xlfn.NUMBERVALUE(LEFT(Table613[[#This Row],[Fiscal Year]], 4))</f>
        <v>2001</v>
      </c>
      <c r="N2215" s="42">
        <f t="shared" si="48"/>
        <v>37684.974664031623</v>
      </c>
      <c r="O2215" s="3">
        <v>2213</v>
      </c>
    </row>
    <row r="2216" spans="1:15" x14ac:dyDescent="0.25">
      <c r="A2216" s="3">
        <v>8</v>
      </c>
      <c r="B2216" s="3" t="s">
        <v>286</v>
      </c>
      <c r="C2216" s="3" t="s">
        <v>262</v>
      </c>
      <c r="D2216" s="3" t="s">
        <v>444</v>
      </c>
      <c r="E2216" s="11" t="s">
        <v>144</v>
      </c>
      <c r="F2216" s="3" t="s">
        <v>8</v>
      </c>
      <c r="G2216" s="66" t="s">
        <v>992</v>
      </c>
      <c r="H2216" s="8" t="s">
        <v>504</v>
      </c>
      <c r="I2216" s="8"/>
      <c r="J2216" s="6" t="s">
        <v>108</v>
      </c>
      <c r="K2216" s="38">
        <v>21218</v>
      </c>
      <c r="L2216" s="4" t="s">
        <v>264</v>
      </c>
      <c r="M2216" s="11">
        <f>_xlfn.NUMBERVALUE(LEFT(Table613[[#This Row],[Fiscal Year]], 4))</f>
        <v>2001</v>
      </c>
      <c r="N2216" s="42">
        <f t="shared" si="48"/>
        <v>30147.411394692263</v>
      </c>
      <c r="O2216" s="3">
        <v>2214</v>
      </c>
    </row>
    <row r="2217" spans="1:15" x14ac:dyDescent="0.25">
      <c r="A2217" s="3">
        <v>8</v>
      </c>
      <c r="B2217" s="3" t="s">
        <v>286</v>
      </c>
      <c r="C2217" s="3" t="s">
        <v>262</v>
      </c>
      <c r="D2217" s="3" t="s">
        <v>444</v>
      </c>
      <c r="E2217" s="11" t="s">
        <v>144</v>
      </c>
      <c r="F2217" s="3" t="s">
        <v>8</v>
      </c>
      <c r="G2217" s="66" t="s">
        <v>993</v>
      </c>
      <c r="H2217" s="8" t="s">
        <v>602</v>
      </c>
      <c r="I2217" s="8"/>
      <c r="J2217" s="6" t="s">
        <v>108</v>
      </c>
      <c r="K2217" s="38">
        <v>0</v>
      </c>
      <c r="L2217" s="4" t="s">
        <v>264</v>
      </c>
      <c r="M2217" s="11">
        <f>_xlfn.NUMBERVALUE(LEFT(Table613[[#This Row],[Fiscal Year]], 4))</f>
        <v>2001</v>
      </c>
      <c r="N2217" s="42">
        <f t="shared" si="48"/>
        <v>0</v>
      </c>
      <c r="O2217" s="3">
        <v>2215</v>
      </c>
    </row>
    <row r="2218" spans="1:15" x14ac:dyDescent="0.25">
      <c r="A2218" s="3">
        <v>8</v>
      </c>
      <c r="B2218" s="3" t="s">
        <v>286</v>
      </c>
      <c r="C2218" s="3" t="s">
        <v>262</v>
      </c>
      <c r="D2218" s="3" t="s">
        <v>444</v>
      </c>
      <c r="E2218" s="11" t="s">
        <v>144</v>
      </c>
      <c r="F2218" s="3" t="s">
        <v>8</v>
      </c>
      <c r="G2218" s="66" t="s">
        <v>994</v>
      </c>
      <c r="H2218" s="8" t="s">
        <v>504</v>
      </c>
      <c r="I2218" s="8"/>
      <c r="J2218" s="6" t="s">
        <v>108</v>
      </c>
      <c r="K2218" s="38">
        <v>12730</v>
      </c>
      <c r="L2218" s="4" t="s">
        <v>264</v>
      </c>
      <c r="M2218" s="11">
        <f>_xlfn.NUMBERVALUE(LEFT(Table613[[#This Row],[Fiscal Year]], 4))</f>
        <v>2001</v>
      </c>
      <c r="N2218" s="42">
        <f>K2218*(1+VLOOKUP(M2218,$AF$8:$AH$31,3,0))</f>
        <v>18087.310163749295</v>
      </c>
      <c r="O2218" s="3">
        <v>2216</v>
      </c>
    </row>
    <row r="2219" spans="1:15" x14ac:dyDescent="0.25">
      <c r="A2219" s="3">
        <v>8</v>
      </c>
      <c r="B2219" s="3" t="s">
        <v>286</v>
      </c>
      <c r="C2219" s="3" t="s">
        <v>262</v>
      </c>
      <c r="D2219" s="3" t="s">
        <v>444</v>
      </c>
      <c r="E2219" s="11" t="s">
        <v>144</v>
      </c>
      <c r="F2219" s="3" t="s">
        <v>8</v>
      </c>
      <c r="G2219" s="66" t="s">
        <v>995</v>
      </c>
      <c r="H2219" s="8" t="s">
        <v>504</v>
      </c>
      <c r="I2219" s="8"/>
      <c r="J2219" s="6" t="s">
        <v>108</v>
      </c>
      <c r="K2219" s="38">
        <v>0</v>
      </c>
      <c r="L2219" s="4" t="s">
        <v>264</v>
      </c>
      <c r="M2219" s="11">
        <f>_xlfn.NUMBERVALUE(LEFT(Table613[[#This Row],[Fiscal Year]], 4))</f>
        <v>2001</v>
      </c>
      <c r="N2219" s="42">
        <f t="shared" si="48"/>
        <v>0</v>
      </c>
      <c r="O2219" s="3">
        <v>2217</v>
      </c>
    </row>
    <row r="2220" spans="1:15" x14ac:dyDescent="0.25">
      <c r="A2220" s="3">
        <v>8</v>
      </c>
      <c r="B2220" s="3" t="s">
        <v>286</v>
      </c>
      <c r="C2220" s="3" t="s">
        <v>262</v>
      </c>
      <c r="D2220" s="3" t="s">
        <v>444</v>
      </c>
      <c r="E2220" s="11" t="s">
        <v>144</v>
      </c>
      <c r="F2220" s="3" t="s">
        <v>8</v>
      </c>
      <c r="G2220" s="48" t="s">
        <v>996</v>
      </c>
      <c r="H2220" s="8" t="s">
        <v>504</v>
      </c>
      <c r="I2220" s="8"/>
      <c r="J2220" s="6" t="s">
        <v>108</v>
      </c>
      <c r="K2220" s="38">
        <v>106090</v>
      </c>
      <c r="L2220" s="4" t="s">
        <v>264</v>
      </c>
      <c r="M2220" s="11">
        <f>_xlfn.NUMBERVALUE(LEFT(Table613[[#This Row],[Fiscal Year]], 4))</f>
        <v>2001</v>
      </c>
      <c r="N2220" s="42">
        <f>K2220*(1+VLOOKUP(M2220,$AF$8:$AH$31,3,0))</f>
        <v>150737.05697346132</v>
      </c>
      <c r="O2220" s="3">
        <v>2218</v>
      </c>
    </row>
    <row r="2221" spans="1:15" x14ac:dyDescent="0.25">
      <c r="A2221" s="3">
        <v>8</v>
      </c>
      <c r="B2221" s="3" t="s">
        <v>286</v>
      </c>
      <c r="C2221" s="3" t="s">
        <v>262</v>
      </c>
      <c r="D2221" s="3" t="s">
        <v>444</v>
      </c>
      <c r="E2221" s="11" t="s">
        <v>144</v>
      </c>
      <c r="F2221" s="3" t="s">
        <v>8</v>
      </c>
      <c r="G2221" s="66" t="s">
        <v>997</v>
      </c>
      <c r="H2221" s="8" t="s">
        <v>593</v>
      </c>
      <c r="I2221" s="8" t="s">
        <v>594</v>
      </c>
      <c r="J2221" s="6" t="s">
        <v>108</v>
      </c>
      <c r="K2221" s="38">
        <v>0</v>
      </c>
      <c r="L2221" s="4" t="s">
        <v>264</v>
      </c>
      <c r="M2221" s="11">
        <f>_xlfn.NUMBERVALUE(LEFT(Table613[[#This Row],[Fiscal Year]], 4))</f>
        <v>2001</v>
      </c>
      <c r="N2221" s="42">
        <f t="shared" si="48"/>
        <v>0</v>
      </c>
      <c r="O2221" s="3">
        <v>2219</v>
      </c>
    </row>
    <row r="2222" spans="1:15" x14ac:dyDescent="0.25">
      <c r="A2222" s="3">
        <v>8</v>
      </c>
      <c r="B2222" s="3" t="s">
        <v>286</v>
      </c>
      <c r="C2222" s="3" t="s">
        <v>262</v>
      </c>
      <c r="D2222" s="3" t="s">
        <v>444</v>
      </c>
      <c r="E2222" s="11" t="s">
        <v>144</v>
      </c>
      <c r="F2222" s="3" t="s">
        <v>8</v>
      </c>
      <c r="G2222" s="66" t="s">
        <v>998</v>
      </c>
      <c r="H2222" s="8" t="s">
        <v>504</v>
      </c>
      <c r="I2222" s="8"/>
      <c r="J2222" s="6" t="s">
        <v>108</v>
      </c>
      <c r="K2222" s="38">
        <v>21218</v>
      </c>
      <c r="L2222" s="4" t="s">
        <v>264</v>
      </c>
      <c r="M2222" s="11">
        <f>_xlfn.NUMBERVALUE(LEFT(Table613[[#This Row],[Fiscal Year]], 4))</f>
        <v>2001</v>
      </c>
      <c r="N2222" s="42">
        <f t="shared" si="48"/>
        <v>30147.411394692263</v>
      </c>
      <c r="O2222" s="3">
        <v>2220</v>
      </c>
    </row>
    <row r="2223" spans="1:15" x14ac:dyDescent="0.25">
      <c r="A2223" s="3">
        <v>8</v>
      </c>
      <c r="B2223" s="3" t="s">
        <v>286</v>
      </c>
      <c r="C2223" s="3" t="s">
        <v>262</v>
      </c>
      <c r="D2223" s="3" t="s">
        <v>444</v>
      </c>
      <c r="E2223" s="11" t="s">
        <v>144</v>
      </c>
      <c r="F2223" s="3" t="s">
        <v>8</v>
      </c>
      <c r="G2223" s="66" t="s">
        <v>999</v>
      </c>
      <c r="H2223" s="8" t="s">
        <v>504</v>
      </c>
      <c r="I2223" s="8"/>
      <c r="J2223" s="6" t="s">
        <v>108</v>
      </c>
      <c r="K2223" s="38">
        <v>3183</v>
      </c>
      <c r="L2223" s="4" t="s">
        <v>264</v>
      </c>
      <c r="M2223" s="11">
        <f>_xlfn.NUMBERVALUE(LEFT(Table613[[#This Row],[Fiscal Year]], 4))</f>
        <v>2001</v>
      </c>
      <c r="N2223" s="42">
        <f t="shared" si="48"/>
        <v>4522.5379616036134</v>
      </c>
      <c r="O2223" s="3">
        <v>2221</v>
      </c>
    </row>
    <row r="2224" spans="1:15" x14ac:dyDescent="0.25">
      <c r="A2224" s="3">
        <v>8</v>
      </c>
      <c r="B2224" s="3" t="s">
        <v>286</v>
      </c>
      <c r="C2224" s="3" t="s">
        <v>262</v>
      </c>
      <c r="D2224" s="3" t="s">
        <v>444</v>
      </c>
      <c r="E2224" s="11" t="s">
        <v>144</v>
      </c>
      <c r="F2224" s="3" t="s">
        <v>8</v>
      </c>
      <c r="G2224" s="66" t="s">
        <v>1000</v>
      </c>
      <c r="H2224" s="8" t="s">
        <v>505</v>
      </c>
      <c r="I2224" s="8"/>
      <c r="J2224" s="6" t="s">
        <v>42</v>
      </c>
      <c r="K2224" s="38">
        <v>1591</v>
      </c>
      <c r="L2224" s="4" t="s">
        <v>264</v>
      </c>
      <c r="M2224" s="11">
        <f>_xlfn.NUMBERVALUE(LEFT(Table613[[#This Row],[Fiscal Year]], 4))</f>
        <v>2001</v>
      </c>
      <c r="N2224" s="42">
        <f t="shared" si="48"/>
        <v>2260.5585601355165</v>
      </c>
      <c r="O2224" s="3">
        <v>2222</v>
      </c>
    </row>
    <row r="2225" spans="1:15" x14ac:dyDescent="0.25">
      <c r="A2225" s="3">
        <v>8</v>
      </c>
      <c r="B2225" s="3" t="s">
        <v>286</v>
      </c>
      <c r="C2225" s="3" t="s">
        <v>262</v>
      </c>
      <c r="D2225" s="3" t="s">
        <v>444</v>
      </c>
      <c r="E2225" s="11" t="s">
        <v>144</v>
      </c>
      <c r="F2225" s="3" t="s">
        <v>8</v>
      </c>
      <c r="G2225" s="66" t="s">
        <v>1001</v>
      </c>
      <c r="H2225" s="8" t="s">
        <v>599</v>
      </c>
      <c r="I2225" s="8"/>
      <c r="J2225" s="6" t="s">
        <v>42</v>
      </c>
      <c r="K2225" s="38">
        <v>7426</v>
      </c>
      <c r="L2225" s="4" t="s">
        <v>264</v>
      </c>
      <c r="M2225" s="11">
        <f>_xlfn.NUMBERVALUE(LEFT(Table613[[#This Row],[Fiscal Year]], 4))</f>
        <v>2001</v>
      </c>
      <c r="N2225" s="42">
        <f t="shared" si="48"/>
        <v>10551.167735742518</v>
      </c>
      <c r="O2225" s="3">
        <v>2223</v>
      </c>
    </row>
    <row r="2226" spans="1:15" x14ac:dyDescent="0.25">
      <c r="A2226" s="3">
        <v>8</v>
      </c>
      <c r="B2226" s="3" t="s">
        <v>286</v>
      </c>
      <c r="C2226" s="3" t="s">
        <v>262</v>
      </c>
      <c r="D2226" s="3" t="s">
        <v>444</v>
      </c>
      <c r="E2226" s="11" t="s">
        <v>144</v>
      </c>
      <c r="F2226" s="3" t="s">
        <v>8</v>
      </c>
      <c r="G2226" s="66" t="s">
        <v>1005</v>
      </c>
      <c r="H2226" s="8"/>
      <c r="I2226" s="8"/>
      <c r="J2226" s="6" t="s">
        <v>111</v>
      </c>
      <c r="K2226" s="38">
        <v>1591</v>
      </c>
      <c r="L2226" s="4" t="s">
        <v>264</v>
      </c>
      <c r="M2226" s="11">
        <f>_xlfn.NUMBERVALUE(LEFT(Table613[[#This Row],[Fiscal Year]], 4))</f>
        <v>2001</v>
      </c>
      <c r="N2226" s="42">
        <f t="shared" si="48"/>
        <v>2260.5585601355165</v>
      </c>
      <c r="O2226" s="3">
        <v>2224</v>
      </c>
    </row>
    <row r="2227" spans="1:15" x14ac:dyDescent="0.25">
      <c r="A2227" s="3">
        <v>8</v>
      </c>
      <c r="B2227" s="3" t="s">
        <v>286</v>
      </c>
      <c r="C2227" s="3" t="s">
        <v>262</v>
      </c>
      <c r="D2227" s="3" t="s">
        <v>444</v>
      </c>
      <c r="E2227" s="11" t="s">
        <v>144</v>
      </c>
      <c r="F2227" s="3" t="s">
        <v>8</v>
      </c>
      <c r="G2227" s="66" t="s">
        <v>1006</v>
      </c>
      <c r="H2227" s="8"/>
      <c r="I2227" s="8"/>
      <c r="J2227" s="6" t="s">
        <v>107</v>
      </c>
      <c r="K2227" s="38">
        <v>6365</v>
      </c>
      <c r="L2227" s="4" t="s">
        <v>264</v>
      </c>
      <c r="M2227" s="11">
        <f>_xlfn.NUMBERVALUE(LEFT(Table613[[#This Row],[Fiscal Year]], 4))</f>
        <v>2001</v>
      </c>
      <c r="N2227" s="42">
        <f t="shared" si="48"/>
        <v>9043.6550818746473</v>
      </c>
      <c r="O2227" s="3">
        <v>2225</v>
      </c>
    </row>
    <row r="2228" spans="1:15" x14ac:dyDescent="0.25">
      <c r="A2228" s="3">
        <v>8</v>
      </c>
      <c r="B2228" s="3" t="s">
        <v>286</v>
      </c>
      <c r="C2228" s="3" t="s">
        <v>262</v>
      </c>
      <c r="D2228" s="3" t="s">
        <v>444</v>
      </c>
      <c r="E2228" s="11" t="s">
        <v>144</v>
      </c>
      <c r="F2228" s="3" t="s">
        <v>8</v>
      </c>
      <c r="G2228" s="66" t="s">
        <v>1002</v>
      </c>
      <c r="H2228" s="8" t="s">
        <v>597</v>
      </c>
      <c r="I2228" s="8" t="s">
        <v>594</v>
      </c>
      <c r="J2228" s="6" t="s">
        <v>108</v>
      </c>
      <c r="K2228" s="38">
        <v>8487</v>
      </c>
      <c r="L2228" s="4" t="s">
        <v>264</v>
      </c>
      <c r="M2228" s="11">
        <f>_xlfn.NUMBERVALUE(LEFT(Table613[[#This Row],[Fiscal Year]], 4))</f>
        <v>2001</v>
      </c>
      <c r="N2228" s="42">
        <f t="shared" si="48"/>
        <v>12058.680389610388</v>
      </c>
      <c r="O2228" s="3">
        <v>2226</v>
      </c>
    </row>
    <row r="2229" spans="1:15" x14ac:dyDescent="0.25">
      <c r="A2229" s="3">
        <v>8</v>
      </c>
      <c r="B2229" s="3" t="s">
        <v>286</v>
      </c>
      <c r="C2229" s="3" t="s">
        <v>262</v>
      </c>
      <c r="D2229" s="3" t="s">
        <v>444</v>
      </c>
      <c r="E2229" s="11" t="s">
        <v>144</v>
      </c>
      <c r="F2229" s="3" t="s">
        <v>8</v>
      </c>
      <c r="G2229" s="66" t="s">
        <v>1003</v>
      </c>
      <c r="H2229" s="8" t="s">
        <v>506</v>
      </c>
      <c r="I2229" s="8"/>
      <c r="J2229" s="6" t="s">
        <v>106</v>
      </c>
      <c r="K2229" s="38">
        <v>0</v>
      </c>
      <c r="L2229" s="4" t="s">
        <v>264</v>
      </c>
      <c r="M2229" s="11">
        <f>_xlfn.NUMBERVALUE(LEFT(Table613[[#This Row],[Fiscal Year]], 4))</f>
        <v>2001</v>
      </c>
      <c r="N2229" s="42">
        <f t="shared" si="48"/>
        <v>0</v>
      </c>
      <c r="O2229" s="3">
        <v>2227</v>
      </c>
    </row>
    <row r="2230" spans="1:15" x14ac:dyDescent="0.25">
      <c r="A2230" s="3">
        <v>8</v>
      </c>
      <c r="B2230" s="3" t="s">
        <v>286</v>
      </c>
      <c r="C2230" s="3" t="s">
        <v>262</v>
      </c>
      <c r="D2230" s="3" t="s">
        <v>444</v>
      </c>
      <c r="E2230" s="11" t="s">
        <v>144</v>
      </c>
      <c r="F2230" s="3" t="s">
        <v>8</v>
      </c>
      <c r="G2230" s="66" t="s">
        <v>1007</v>
      </c>
      <c r="H2230" s="8"/>
      <c r="I2230" s="8"/>
      <c r="J2230" s="6" t="s">
        <v>76</v>
      </c>
      <c r="K2230" s="38">
        <v>15914</v>
      </c>
      <c r="L2230" s="4" t="s">
        <v>264</v>
      </c>
      <c r="M2230" s="11">
        <f>_xlfn.NUMBERVALUE(LEFT(Table613[[#This Row],[Fiscal Year]], 4))</f>
        <v>2001</v>
      </c>
      <c r="N2230" s="42">
        <f t="shared" ref="N2230:N2271" si="49">K2230*(1+VLOOKUP(M2230,$AF$8:$AH$31,3,0))</f>
        <v>22611.268966685489</v>
      </c>
      <c r="O2230" s="3">
        <v>2228</v>
      </c>
    </row>
    <row r="2231" spans="1:15" x14ac:dyDescent="0.25">
      <c r="E2231" s="11"/>
      <c r="G2231" s="66"/>
      <c r="H2231" s="8"/>
      <c r="I2231" s="8"/>
      <c r="J2231" s="6"/>
      <c r="L2231" s="4"/>
      <c r="O2231" s="3">
        <v>2229</v>
      </c>
    </row>
    <row r="2232" spans="1:15" x14ac:dyDescent="0.25">
      <c r="A2232" s="9">
        <v>9</v>
      </c>
      <c r="B2232" s="3" t="s">
        <v>287</v>
      </c>
      <c r="C2232" s="3" t="s">
        <v>262</v>
      </c>
      <c r="D2232" s="3" t="s">
        <v>444</v>
      </c>
      <c r="E2232" s="11" t="s">
        <v>144</v>
      </c>
      <c r="F2232" s="3" t="s">
        <v>8</v>
      </c>
      <c r="G2232" s="48" t="s">
        <v>1008</v>
      </c>
      <c r="H2232" s="8"/>
      <c r="I2232" s="8" t="s">
        <v>640</v>
      </c>
      <c r="J2232" s="6" t="s">
        <v>76</v>
      </c>
      <c r="K2232" s="38">
        <v>111597.93</v>
      </c>
      <c r="L2232" s="4" t="s">
        <v>24</v>
      </c>
      <c r="M2232" s="11">
        <f>_xlfn.NUMBERVALUE(LEFT(Table613[[#This Row],[Fiscal Year]], 4))</f>
        <v>2016</v>
      </c>
      <c r="N2232" s="42">
        <f t="shared" si="49"/>
        <v>117006.24468262499</v>
      </c>
      <c r="O2232" s="3">
        <v>2230</v>
      </c>
    </row>
    <row r="2233" spans="1:15" x14ac:dyDescent="0.25">
      <c r="A2233" s="3">
        <v>9</v>
      </c>
      <c r="B2233" s="3" t="s">
        <v>287</v>
      </c>
      <c r="C2233" s="3" t="s">
        <v>262</v>
      </c>
      <c r="D2233" s="3" t="s">
        <v>444</v>
      </c>
      <c r="E2233" s="11" t="s">
        <v>144</v>
      </c>
      <c r="F2233" s="3" t="s">
        <v>8</v>
      </c>
      <c r="G2233" s="66" t="s">
        <v>1051</v>
      </c>
      <c r="H2233" s="8"/>
      <c r="I2233" s="8"/>
      <c r="J2233" s="6" t="s">
        <v>76</v>
      </c>
      <c r="K2233" s="38">
        <v>23700</v>
      </c>
      <c r="L2233" s="4" t="s">
        <v>24</v>
      </c>
      <c r="M2233" s="11">
        <f>_xlfn.NUMBERVALUE(LEFT(Table613[[#This Row],[Fiscal Year]], 4))</f>
        <v>2016</v>
      </c>
      <c r="N2233" s="42">
        <f t="shared" si="49"/>
        <v>24848.561250000002</v>
      </c>
      <c r="O2233" s="3">
        <v>2231</v>
      </c>
    </row>
    <row r="2234" spans="1:15" x14ac:dyDescent="0.25">
      <c r="A2234" s="3">
        <v>9</v>
      </c>
      <c r="B2234" s="3" t="s">
        <v>287</v>
      </c>
      <c r="C2234" s="3" t="s">
        <v>262</v>
      </c>
      <c r="D2234" s="3" t="s">
        <v>444</v>
      </c>
      <c r="E2234" s="11" t="s">
        <v>144</v>
      </c>
      <c r="F2234" s="3" t="s">
        <v>8</v>
      </c>
      <c r="G2234" s="66" t="s">
        <v>1010</v>
      </c>
      <c r="H2234" s="8"/>
      <c r="I2234" s="8"/>
      <c r="J2234" s="6" t="s">
        <v>76</v>
      </c>
      <c r="K2234" s="38">
        <v>0</v>
      </c>
      <c r="L2234" s="4" t="s">
        <v>24</v>
      </c>
      <c r="M2234" s="11">
        <f>_xlfn.NUMBERVALUE(LEFT(Table613[[#This Row],[Fiscal Year]], 4))</f>
        <v>2016</v>
      </c>
      <c r="N2234" s="42">
        <f t="shared" si="49"/>
        <v>0</v>
      </c>
      <c r="O2234" s="3">
        <v>2232</v>
      </c>
    </row>
    <row r="2235" spans="1:15" x14ac:dyDescent="0.25">
      <c r="A2235" s="3">
        <v>9</v>
      </c>
      <c r="B2235" s="3" t="s">
        <v>287</v>
      </c>
      <c r="C2235" s="3" t="s">
        <v>262</v>
      </c>
      <c r="D2235" s="3" t="s">
        <v>444</v>
      </c>
      <c r="E2235" s="11" t="s">
        <v>144</v>
      </c>
      <c r="F2235" s="3" t="s">
        <v>8</v>
      </c>
      <c r="G2235" s="48" t="s">
        <v>1011</v>
      </c>
      <c r="H2235" s="8" t="s">
        <v>511</v>
      </c>
      <c r="I2235" s="8"/>
      <c r="J2235" s="6" t="s">
        <v>110</v>
      </c>
      <c r="K2235" s="38">
        <v>7839.4</v>
      </c>
      <c r="L2235" s="4" t="s">
        <v>24</v>
      </c>
      <c r="M2235" s="11">
        <f>_xlfn.NUMBERVALUE(LEFT(Table613[[#This Row],[Fiscal Year]], 4))</f>
        <v>2016</v>
      </c>
      <c r="N2235" s="42">
        <f t="shared" si="49"/>
        <v>8219.3169225000001</v>
      </c>
      <c r="O2235" s="3">
        <v>2233</v>
      </c>
    </row>
    <row r="2236" spans="1:15" x14ac:dyDescent="0.25">
      <c r="A2236" s="3">
        <v>9</v>
      </c>
      <c r="B2236" s="3" t="s">
        <v>287</v>
      </c>
      <c r="C2236" s="3" t="s">
        <v>262</v>
      </c>
      <c r="D2236" s="3" t="s">
        <v>444</v>
      </c>
      <c r="E2236" s="11" t="s">
        <v>144</v>
      </c>
      <c r="F2236" s="3" t="s">
        <v>8</v>
      </c>
      <c r="G2236" s="48" t="s">
        <v>1052</v>
      </c>
      <c r="H2236" s="8" t="s">
        <v>507</v>
      </c>
      <c r="I2236" s="8"/>
      <c r="J2236" s="6" t="s">
        <v>108</v>
      </c>
      <c r="K2236" s="38">
        <v>18200</v>
      </c>
      <c r="L2236" s="4" t="s">
        <v>24</v>
      </c>
      <c r="M2236" s="11">
        <f>_xlfn.NUMBERVALUE(LEFT(Table613[[#This Row],[Fiscal Year]], 4))</f>
        <v>2016</v>
      </c>
      <c r="N2236" s="42">
        <f t="shared" si="49"/>
        <v>19082.017500000002</v>
      </c>
      <c r="O2236" s="3">
        <v>2234</v>
      </c>
    </row>
    <row r="2237" spans="1:15" x14ac:dyDescent="0.25">
      <c r="A2237" s="3">
        <v>9</v>
      </c>
      <c r="B2237" s="3" t="s">
        <v>287</v>
      </c>
      <c r="C2237" s="3" t="s">
        <v>262</v>
      </c>
      <c r="D2237" s="3" t="s">
        <v>444</v>
      </c>
      <c r="E2237" s="11" t="s">
        <v>144</v>
      </c>
      <c r="F2237" s="3" t="s">
        <v>8</v>
      </c>
      <c r="G2237" s="48" t="s">
        <v>1053</v>
      </c>
      <c r="H2237" s="8" t="s">
        <v>507</v>
      </c>
      <c r="I2237" s="8"/>
      <c r="J2237" s="6" t="s">
        <v>108</v>
      </c>
      <c r="K2237" s="38">
        <v>40000</v>
      </c>
      <c r="L2237" s="4" t="s">
        <v>24</v>
      </c>
      <c r="M2237" s="11">
        <f>_xlfn.NUMBERVALUE(LEFT(Table613[[#This Row],[Fiscal Year]], 4))</f>
        <v>2016</v>
      </c>
      <c r="N2237" s="42">
        <f t="shared" si="49"/>
        <v>41938.5</v>
      </c>
      <c r="O2237" s="3">
        <v>2235</v>
      </c>
    </row>
    <row r="2238" spans="1:15" x14ac:dyDescent="0.25">
      <c r="A2238" s="3">
        <v>9</v>
      </c>
      <c r="B2238" s="3" t="s">
        <v>287</v>
      </c>
      <c r="C2238" s="3" t="s">
        <v>262</v>
      </c>
      <c r="D2238" s="3" t="s">
        <v>444</v>
      </c>
      <c r="E2238" s="11" t="s">
        <v>144</v>
      </c>
      <c r="F2238" s="3" t="s">
        <v>8</v>
      </c>
      <c r="G2238" s="48" t="s">
        <v>1040</v>
      </c>
      <c r="H2238" s="8" t="s">
        <v>507</v>
      </c>
      <c r="I2238" s="8"/>
      <c r="J2238" s="6" t="s">
        <v>108</v>
      </c>
      <c r="K2238" s="38">
        <v>75694</v>
      </c>
      <c r="L2238" s="4" t="s">
        <v>24</v>
      </c>
      <c r="M2238" s="11">
        <f>_xlfn.NUMBERVALUE(LEFT(Table613[[#This Row],[Fiscal Year]], 4))</f>
        <v>2016</v>
      </c>
      <c r="N2238" s="42">
        <f t="shared" si="49"/>
        <v>79362.320475</v>
      </c>
      <c r="O2238" s="3">
        <v>2236</v>
      </c>
    </row>
    <row r="2239" spans="1:15" x14ac:dyDescent="0.25">
      <c r="A2239" s="3">
        <v>9</v>
      </c>
      <c r="B2239" s="3" t="s">
        <v>287</v>
      </c>
      <c r="C2239" s="3" t="s">
        <v>262</v>
      </c>
      <c r="D2239" s="3" t="s">
        <v>444</v>
      </c>
      <c r="E2239" s="11" t="s">
        <v>144</v>
      </c>
      <c r="F2239" s="3" t="s">
        <v>8</v>
      </c>
      <c r="G2239" s="48" t="s">
        <v>1041</v>
      </c>
      <c r="H2239" s="8" t="s">
        <v>507</v>
      </c>
      <c r="I2239" s="8"/>
      <c r="J2239" s="6" t="s">
        <v>108</v>
      </c>
      <c r="K2239" s="38">
        <v>3919.7</v>
      </c>
      <c r="L2239" s="4" t="s">
        <v>24</v>
      </c>
      <c r="M2239" s="11">
        <f>_xlfn.NUMBERVALUE(LEFT(Table613[[#This Row],[Fiscal Year]], 4))</f>
        <v>2016</v>
      </c>
      <c r="N2239" s="42">
        <f t="shared" si="49"/>
        <v>4109.6584612500001</v>
      </c>
      <c r="O2239" s="3">
        <v>2237</v>
      </c>
    </row>
    <row r="2240" spans="1:15" x14ac:dyDescent="0.25">
      <c r="A2240" s="3">
        <v>9</v>
      </c>
      <c r="B2240" s="3" t="s">
        <v>287</v>
      </c>
      <c r="C2240" s="3" t="s">
        <v>262</v>
      </c>
      <c r="D2240" s="3" t="s">
        <v>444</v>
      </c>
      <c r="E2240" s="11" t="s">
        <v>144</v>
      </c>
      <c r="F2240" s="3" t="s">
        <v>8</v>
      </c>
      <c r="G2240" s="48" t="s">
        <v>1042</v>
      </c>
      <c r="H2240" s="8" t="s">
        <v>507</v>
      </c>
      <c r="I2240" s="8"/>
      <c r="J2240" s="6" t="s">
        <v>108</v>
      </c>
      <c r="K2240" s="38">
        <v>831</v>
      </c>
      <c r="L2240" s="4" t="s">
        <v>24</v>
      </c>
      <c r="M2240" s="11">
        <f>_xlfn.NUMBERVALUE(LEFT(Table613[[#This Row],[Fiscal Year]], 4))</f>
        <v>2016</v>
      </c>
      <c r="N2240" s="42">
        <f t="shared" si="49"/>
        <v>871.27233750000005</v>
      </c>
      <c r="O2240" s="3">
        <v>2238</v>
      </c>
    </row>
    <row r="2241" spans="1:15" x14ac:dyDescent="0.25">
      <c r="A2241" s="3">
        <v>9</v>
      </c>
      <c r="B2241" s="3" t="s">
        <v>287</v>
      </c>
      <c r="C2241" s="3" t="s">
        <v>262</v>
      </c>
      <c r="D2241" s="3" t="s">
        <v>444</v>
      </c>
      <c r="E2241" s="11" t="s">
        <v>144</v>
      </c>
      <c r="F2241" s="3" t="s">
        <v>8</v>
      </c>
      <c r="G2241" s="66" t="s">
        <v>1043</v>
      </c>
      <c r="H2241" s="8" t="s">
        <v>508</v>
      </c>
      <c r="I2241" s="8"/>
      <c r="J2241" s="6" t="s">
        <v>42</v>
      </c>
      <c r="K2241" s="38">
        <v>5879.55</v>
      </c>
      <c r="L2241" s="4" t="s">
        <v>24</v>
      </c>
      <c r="M2241" s="11">
        <f>_xlfn.NUMBERVALUE(LEFT(Table613[[#This Row],[Fiscal Year]], 4))</f>
        <v>2016</v>
      </c>
      <c r="N2241" s="42">
        <f t="shared" si="49"/>
        <v>6164.4876918750006</v>
      </c>
      <c r="O2241" s="3">
        <v>2239</v>
      </c>
    </row>
    <row r="2242" spans="1:15" x14ac:dyDescent="0.25">
      <c r="A2242" s="3">
        <v>9</v>
      </c>
      <c r="B2242" s="3" t="s">
        <v>287</v>
      </c>
      <c r="C2242" s="3" t="s">
        <v>262</v>
      </c>
      <c r="D2242" s="3" t="s">
        <v>444</v>
      </c>
      <c r="E2242" s="11" t="s">
        <v>144</v>
      </c>
      <c r="F2242" s="3" t="s">
        <v>8</v>
      </c>
      <c r="G2242" s="66" t="s">
        <v>1044</v>
      </c>
      <c r="H2242" s="8" t="s">
        <v>508</v>
      </c>
      <c r="I2242" s="8"/>
      <c r="J2242" s="6" t="s">
        <v>453</v>
      </c>
      <c r="K2242" s="38">
        <v>1959.85</v>
      </c>
      <c r="L2242" s="4" t="s">
        <v>24</v>
      </c>
      <c r="M2242" s="11">
        <f>_xlfn.NUMBERVALUE(LEFT(Table613[[#This Row],[Fiscal Year]], 4))</f>
        <v>2016</v>
      </c>
      <c r="N2242" s="42">
        <f t="shared" si="49"/>
        <v>2054.829230625</v>
      </c>
      <c r="O2242" s="3">
        <v>2240</v>
      </c>
    </row>
    <row r="2243" spans="1:15" x14ac:dyDescent="0.25">
      <c r="A2243" s="3">
        <v>9</v>
      </c>
      <c r="B2243" s="3" t="s">
        <v>287</v>
      </c>
      <c r="C2243" s="3" t="s">
        <v>262</v>
      </c>
      <c r="D2243" s="3" t="s">
        <v>444</v>
      </c>
      <c r="E2243" s="11" t="s">
        <v>144</v>
      </c>
      <c r="F2243" s="3" t="s">
        <v>8</v>
      </c>
      <c r="G2243" s="66" t="s">
        <v>1045</v>
      </c>
      <c r="H2243" s="8" t="s">
        <v>512</v>
      </c>
      <c r="I2243" s="8"/>
      <c r="J2243" s="6" t="s">
        <v>111</v>
      </c>
      <c r="K2243" s="38">
        <v>7839.4</v>
      </c>
      <c r="L2243" s="4" t="s">
        <v>24</v>
      </c>
      <c r="M2243" s="11">
        <f>_xlfn.NUMBERVALUE(LEFT(Table613[[#This Row],[Fiscal Year]], 4))</f>
        <v>2016</v>
      </c>
      <c r="N2243" s="42">
        <f t="shared" si="49"/>
        <v>8219.3169225000001</v>
      </c>
      <c r="O2243" s="3">
        <v>2241</v>
      </c>
    </row>
    <row r="2244" spans="1:15" x14ac:dyDescent="0.25">
      <c r="A2244" s="3">
        <v>9</v>
      </c>
      <c r="B2244" s="3" t="s">
        <v>287</v>
      </c>
      <c r="C2244" s="3" t="s">
        <v>262</v>
      </c>
      <c r="D2244" s="3" t="s">
        <v>444</v>
      </c>
      <c r="E2244" s="11" t="s">
        <v>144</v>
      </c>
      <c r="F2244" s="3" t="s">
        <v>8</v>
      </c>
      <c r="G2244" s="66" t="s">
        <v>1025</v>
      </c>
      <c r="H2244" s="8" t="s">
        <v>513</v>
      </c>
      <c r="I2244" s="8"/>
      <c r="J2244" s="6" t="s">
        <v>107</v>
      </c>
      <c r="K2244" s="38">
        <v>3919.7</v>
      </c>
      <c r="L2244" s="4" t="s">
        <v>24</v>
      </c>
      <c r="M2244" s="11">
        <f>_xlfn.NUMBERVALUE(LEFT(Table613[[#This Row],[Fiscal Year]], 4))</f>
        <v>2016</v>
      </c>
      <c r="N2244" s="42">
        <f t="shared" si="49"/>
        <v>4109.6584612500001</v>
      </c>
      <c r="O2244" s="3">
        <v>2242</v>
      </c>
    </row>
    <row r="2245" spans="1:15" x14ac:dyDescent="0.25">
      <c r="A2245" s="3">
        <v>9</v>
      </c>
      <c r="B2245" s="3" t="s">
        <v>287</v>
      </c>
      <c r="C2245" s="3" t="s">
        <v>262</v>
      </c>
      <c r="D2245" s="3" t="s">
        <v>444</v>
      </c>
      <c r="E2245" s="11" t="s">
        <v>144</v>
      </c>
      <c r="F2245" s="3" t="s">
        <v>8</v>
      </c>
      <c r="G2245" s="66" t="s">
        <v>1020</v>
      </c>
      <c r="H2245" s="8" t="s">
        <v>509</v>
      </c>
      <c r="I2245" s="8"/>
      <c r="J2245" s="6" t="s">
        <v>109</v>
      </c>
      <c r="K2245" s="38">
        <v>5879.55</v>
      </c>
      <c r="L2245" s="4" t="s">
        <v>24</v>
      </c>
      <c r="M2245" s="11">
        <f>_xlfn.NUMBERVALUE(LEFT(Table613[[#This Row],[Fiscal Year]], 4))</f>
        <v>2016</v>
      </c>
      <c r="N2245" s="42">
        <f t="shared" si="49"/>
        <v>6164.4876918750006</v>
      </c>
      <c r="O2245" s="3">
        <v>2243</v>
      </c>
    </row>
    <row r="2246" spans="1:15" x14ac:dyDescent="0.25">
      <c r="A2246" s="3">
        <v>9</v>
      </c>
      <c r="B2246" s="3" t="s">
        <v>287</v>
      </c>
      <c r="C2246" s="3" t="s">
        <v>262</v>
      </c>
      <c r="D2246" s="3" t="s">
        <v>444</v>
      </c>
      <c r="E2246" s="11" t="s">
        <v>144</v>
      </c>
      <c r="F2246" s="3" t="s">
        <v>8</v>
      </c>
      <c r="G2246" s="66" t="s">
        <v>1054</v>
      </c>
      <c r="H2246" s="8"/>
      <c r="I2246" s="8"/>
      <c r="J2246" s="6" t="s">
        <v>106</v>
      </c>
      <c r="K2246" s="38">
        <v>1959.85</v>
      </c>
      <c r="L2246" s="4" t="s">
        <v>24</v>
      </c>
      <c r="M2246" s="11">
        <f>_xlfn.NUMBERVALUE(LEFT(Table613[[#This Row],[Fiscal Year]], 4))</f>
        <v>2016</v>
      </c>
      <c r="N2246" s="42">
        <f t="shared" si="49"/>
        <v>2054.829230625</v>
      </c>
      <c r="O2246" s="3">
        <v>2244</v>
      </c>
    </row>
    <row r="2247" spans="1:15" x14ac:dyDescent="0.25">
      <c r="A2247" s="3">
        <v>9</v>
      </c>
      <c r="B2247" s="3" t="s">
        <v>287</v>
      </c>
      <c r="C2247" s="3" t="s">
        <v>262</v>
      </c>
      <c r="D2247" s="3" t="s">
        <v>444</v>
      </c>
      <c r="E2247" s="11" t="s">
        <v>144</v>
      </c>
      <c r="F2247" s="3" t="s">
        <v>8</v>
      </c>
      <c r="G2247" s="66" t="s">
        <v>1047</v>
      </c>
      <c r="H2247" s="8"/>
      <c r="I2247" s="8"/>
      <c r="J2247" s="6" t="s">
        <v>455</v>
      </c>
      <c r="K2247" s="38">
        <v>118025</v>
      </c>
      <c r="L2247" s="4" t="s">
        <v>24</v>
      </c>
      <c r="M2247" s="11">
        <f>_xlfn.NUMBERVALUE(LEFT(Table613[[#This Row],[Fiscal Year]], 4))</f>
        <v>2016</v>
      </c>
      <c r="N2247" s="42">
        <f t="shared" si="49"/>
        <v>123744.78656250001</v>
      </c>
      <c r="O2247" s="3">
        <v>2245</v>
      </c>
    </row>
    <row r="2248" spans="1:15" x14ac:dyDescent="0.25">
      <c r="A2248" s="3">
        <v>9</v>
      </c>
      <c r="B2248" s="3" t="s">
        <v>287</v>
      </c>
      <c r="C2248" s="3" t="s">
        <v>262</v>
      </c>
      <c r="D2248" s="3" t="s">
        <v>444</v>
      </c>
      <c r="E2248" s="11" t="s">
        <v>144</v>
      </c>
      <c r="F2248" s="3" t="s">
        <v>8</v>
      </c>
      <c r="G2248" s="66" t="s">
        <v>1024</v>
      </c>
      <c r="H2248" s="8"/>
      <c r="I2248" s="8"/>
      <c r="J2248" s="6" t="s">
        <v>455</v>
      </c>
      <c r="K2248" s="38">
        <v>0</v>
      </c>
      <c r="L2248" s="4" t="s">
        <v>24</v>
      </c>
      <c r="M2248" s="11">
        <f>_xlfn.NUMBERVALUE(LEFT(Table613[[#This Row],[Fiscal Year]], 4))</f>
        <v>2016</v>
      </c>
      <c r="N2248" s="42">
        <f t="shared" si="49"/>
        <v>0</v>
      </c>
      <c r="O2248" s="3">
        <v>2246</v>
      </c>
    </row>
    <row r="2249" spans="1:15" x14ac:dyDescent="0.25">
      <c r="E2249" s="11"/>
      <c r="G2249" s="66"/>
      <c r="H2249" s="8"/>
      <c r="I2249" s="8"/>
      <c r="J2249" s="6"/>
      <c r="L2249" s="4"/>
      <c r="O2249" s="3">
        <v>2247</v>
      </c>
    </row>
    <row r="2250" spans="1:15" x14ac:dyDescent="0.25">
      <c r="A2250" s="3">
        <v>9</v>
      </c>
      <c r="B2250" s="5" t="s">
        <v>288</v>
      </c>
      <c r="C2250" s="3" t="s">
        <v>262</v>
      </c>
      <c r="D2250" s="3" t="s">
        <v>444</v>
      </c>
      <c r="E2250" s="11" t="s">
        <v>144</v>
      </c>
      <c r="F2250" s="3" t="s">
        <v>8</v>
      </c>
      <c r="G2250" s="66"/>
      <c r="H2250" s="8"/>
      <c r="I2250" s="8" t="s">
        <v>640</v>
      </c>
      <c r="J2250" s="6"/>
      <c r="L2250" s="4" t="s">
        <v>26</v>
      </c>
      <c r="M2250" s="11">
        <f>_xlfn.NUMBERVALUE(LEFT(Table613[[#This Row],[Fiscal Year]], 4))</f>
        <v>2018</v>
      </c>
      <c r="N2250" s="42">
        <f t="shared" si="49"/>
        <v>0</v>
      </c>
      <c r="O2250" s="3">
        <v>2248</v>
      </c>
    </row>
    <row r="2251" spans="1:15" x14ac:dyDescent="0.25">
      <c r="A2251" s="3">
        <v>9</v>
      </c>
      <c r="B2251" s="5" t="s">
        <v>288</v>
      </c>
      <c r="C2251" s="3" t="s">
        <v>262</v>
      </c>
      <c r="D2251" s="3" t="s">
        <v>444</v>
      </c>
      <c r="E2251" s="11" t="s">
        <v>144</v>
      </c>
      <c r="F2251" s="3" t="s">
        <v>8</v>
      </c>
      <c r="G2251" s="66"/>
      <c r="H2251" s="8"/>
      <c r="I2251" s="8"/>
      <c r="J2251" s="6"/>
      <c r="L2251" s="4" t="s">
        <v>26</v>
      </c>
      <c r="M2251" s="11">
        <f>_xlfn.NUMBERVALUE(LEFT(Table613[[#This Row],[Fiscal Year]], 4))</f>
        <v>2018</v>
      </c>
      <c r="N2251" s="42">
        <f t="shared" si="49"/>
        <v>0</v>
      </c>
      <c r="O2251" s="3">
        <v>2249</v>
      </c>
    </row>
    <row r="2252" spans="1:15" x14ac:dyDescent="0.25">
      <c r="A2252" s="3">
        <v>9</v>
      </c>
      <c r="B2252" s="5" t="s">
        <v>288</v>
      </c>
      <c r="C2252" s="3" t="s">
        <v>262</v>
      </c>
      <c r="D2252" s="3" t="s">
        <v>444</v>
      </c>
      <c r="E2252" s="11" t="s">
        <v>144</v>
      </c>
      <c r="F2252" s="3" t="s">
        <v>8</v>
      </c>
      <c r="G2252" s="66"/>
      <c r="H2252" s="8"/>
      <c r="I2252" s="8"/>
      <c r="J2252" s="6"/>
      <c r="L2252" s="4" t="s">
        <v>26</v>
      </c>
      <c r="M2252" s="11">
        <f>_xlfn.NUMBERVALUE(LEFT(Table613[[#This Row],[Fiscal Year]], 4))</f>
        <v>2018</v>
      </c>
      <c r="N2252" s="42">
        <f t="shared" si="49"/>
        <v>0</v>
      </c>
      <c r="O2252" s="3">
        <v>2250</v>
      </c>
    </row>
    <row r="2253" spans="1:15" x14ac:dyDescent="0.25">
      <c r="A2253" s="3">
        <v>9</v>
      </c>
      <c r="B2253" s="5" t="s">
        <v>288</v>
      </c>
      <c r="C2253" s="3" t="s">
        <v>262</v>
      </c>
      <c r="D2253" s="3" t="s">
        <v>444</v>
      </c>
      <c r="E2253" s="11" t="s">
        <v>144</v>
      </c>
      <c r="F2253" s="3" t="s">
        <v>8</v>
      </c>
      <c r="G2253" s="66"/>
      <c r="H2253" s="8"/>
      <c r="I2253" s="8"/>
      <c r="J2253" s="6"/>
      <c r="L2253" s="4" t="s">
        <v>26</v>
      </c>
      <c r="M2253" s="11">
        <f>_xlfn.NUMBERVALUE(LEFT(Table613[[#This Row],[Fiscal Year]], 4))</f>
        <v>2018</v>
      </c>
      <c r="N2253" s="42">
        <f t="shared" si="49"/>
        <v>0</v>
      </c>
      <c r="O2253" s="3">
        <v>2251</v>
      </c>
    </row>
    <row r="2254" spans="1:15" x14ac:dyDescent="0.25">
      <c r="A2254" s="3">
        <v>9</v>
      </c>
      <c r="B2254" s="5" t="s">
        <v>288</v>
      </c>
      <c r="C2254" s="3" t="s">
        <v>262</v>
      </c>
      <c r="D2254" s="3" t="s">
        <v>444</v>
      </c>
      <c r="E2254" s="11" t="s">
        <v>144</v>
      </c>
      <c r="F2254" s="3" t="s">
        <v>8</v>
      </c>
      <c r="G2254" s="66"/>
      <c r="H2254" s="8"/>
      <c r="I2254" s="8"/>
      <c r="J2254" s="6"/>
      <c r="L2254" s="4" t="s">
        <v>26</v>
      </c>
      <c r="M2254" s="11">
        <f>_xlfn.NUMBERVALUE(LEFT(Table613[[#This Row],[Fiscal Year]], 4))</f>
        <v>2018</v>
      </c>
      <c r="N2254" s="42">
        <f t="shared" si="49"/>
        <v>0</v>
      </c>
      <c r="O2254" s="3">
        <v>2252</v>
      </c>
    </row>
    <row r="2255" spans="1:15" x14ac:dyDescent="0.25">
      <c r="E2255" s="11"/>
      <c r="G2255" s="66"/>
      <c r="H2255" s="8"/>
      <c r="I2255" s="8"/>
      <c r="J2255" s="6"/>
      <c r="L2255" s="4"/>
      <c r="O2255" s="3">
        <v>2253</v>
      </c>
    </row>
    <row r="2256" spans="1:15" x14ac:dyDescent="0.25">
      <c r="A2256" s="3">
        <v>9</v>
      </c>
      <c r="B2256" s="3" t="s">
        <v>289</v>
      </c>
      <c r="C2256" s="3" t="s">
        <v>262</v>
      </c>
      <c r="D2256" s="3" t="s">
        <v>444</v>
      </c>
      <c r="E2256" s="11" t="s">
        <v>144</v>
      </c>
      <c r="F2256" s="3" t="s">
        <v>8</v>
      </c>
      <c r="G2256" s="48" t="s">
        <v>1026</v>
      </c>
      <c r="H2256" s="8"/>
      <c r="I2256" s="8" t="s">
        <v>640</v>
      </c>
      <c r="J2256" s="6" t="s">
        <v>76</v>
      </c>
      <c r="K2256" s="38">
        <v>29471</v>
      </c>
      <c r="L2256" s="4" t="s">
        <v>25</v>
      </c>
      <c r="M2256" s="11">
        <f>_xlfn.NUMBERVALUE(LEFT(Table613[[#This Row],[Fiscal Year]], 4))</f>
        <v>2017</v>
      </c>
      <c r="N2256" s="42">
        <f t="shared" si="49"/>
        <v>30256.292129742964</v>
      </c>
      <c r="O2256" s="3">
        <v>2254</v>
      </c>
    </row>
    <row r="2257" spans="1:15" x14ac:dyDescent="0.25">
      <c r="A2257" s="3">
        <v>9</v>
      </c>
      <c r="B2257" s="3" t="s">
        <v>289</v>
      </c>
      <c r="C2257" s="3" t="s">
        <v>262</v>
      </c>
      <c r="D2257" s="3" t="s">
        <v>444</v>
      </c>
      <c r="E2257" s="11" t="s">
        <v>144</v>
      </c>
      <c r="F2257" s="3" t="s">
        <v>8</v>
      </c>
      <c r="G2257" s="66" t="s">
        <v>1037</v>
      </c>
      <c r="H2257" s="8"/>
      <c r="I2257" s="8"/>
      <c r="J2257" s="6" t="s">
        <v>76</v>
      </c>
      <c r="K2257" s="38">
        <v>1196092</v>
      </c>
      <c r="L2257" s="4" t="s">
        <v>25</v>
      </c>
      <c r="M2257" s="11">
        <f>_xlfn.NUMBERVALUE(LEFT(Table613[[#This Row],[Fiscal Year]], 4))</f>
        <v>2017</v>
      </c>
      <c r="N2257" s="42">
        <f t="shared" si="49"/>
        <v>1227963.3865850675</v>
      </c>
      <c r="O2257" s="3">
        <v>2255</v>
      </c>
    </row>
    <row r="2258" spans="1:15" x14ac:dyDescent="0.25">
      <c r="A2258" s="3">
        <v>9</v>
      </c>
      <c r="B2258" s="3" t="s">
        <v>289</v>
      </c>
      <c r="C2258" s="3" t="s">
        <v>262</v>
      </c>
      <c r="D2258" s="3" t="s">
        <v>444</v>
      </c>
      <c r="E2258" s="11" t="s">
        <v>144</v>
      </c>
      <c r="F2258" s="3" t="s">
        <v>8</v>
      </c>
      <c r="G2258" s="66" t="s">
        <v>1010</v>
      </c>
      <c r="H2258" s="8"/>
      <c r="I2258" s="8"/>
      <c r="J2258" s="6" t="s">
        <v>76</v>
      </c>
      <c r="K2258" s="38">
        <v>1110386</v>
      </c>
      <c r="L2258" s="4" t="s">
        <v>25</v>
      </c>
      <c r="M2258" s="11">
        <f>_xlfn.NUMBERVALUE(LEFT(Table613[[#This Row],[Fiscal Year]], 4))</f>
        <v>2017</v>
      </c>
      <c r="N2258" s="42">
        <f t="shared" si="49"/>
        <v>1139973.641640147</v>
      </c>
      <c r="O2258" s="3">
        <v>2256</v>
      </c>
    </row>
    <row r="2259" spans="1:15" x14ac:dyDescent="0.25">
      <c r="A2259" s="3">
        <v>9</v>
      </c>
      <c r="B2259" s="3" t="s">
        <v>289</v>
      </c>
      <c r="C2259" s="3" t="s">
        <v>262</v>
      </c>
      <c r="D2259" s="3" t="s">
        <v>444</v>
      </c>
      <c r="E2259" s="11" t="s">
        <v>144</v>
      </c>
      <c r="F2259" s="3" t="s">
        <v>8</v>
      </c>
      <c r="G2259" s="48" t="s">
        <v>1060</v>
      </c>
      <c r="H2259" s="8" t="s">
        <v>511</v>
      </c>
      <c r="I2259" s="8"/>
      <c r="J2259" s="6" t="s">
        <v>110</v>
      </c>
      <c r="K2259" s="38">
        <v>275714.5</v>
      </c>
      <c r="L2259" s="4" t="s">
        <v>25</v>
      </c>
      <c r="M2259" s="11">
        <f>_xlfn.NUMBERVALUE(LEFT(Table613[[#This Row],[Fiscal Year]], 4))</f>
        <v>2017</v>
      </c>
      <c r="N2259" s="42">
        <f t="shared" si="49"/>
        <v>283061.26213586295</v>
      </c>
      <c r="O2259" s="3">
        <v>2257</v>
      </c>
    </row>
    <row r="2260" spans="1:15" x14ac:dyDescent="0.25">
      <c r="A2260" s="3">
        <v>9</v>
      </c>
      <c r="B2260" s="3" t="s">
        <v>289</v>
      </c>
      <c r="C2260" s="3" t="s">
        <v>262</v>
      </c>
      <c r="D2260" s="3" t="s">
        <v>444</v>
      </c>
      <c r="E2260" s="11" t="s">
        <v>144</v>
      </c>
      <c r="F2260" s="3" t="s">
        <v>8</v>
      </c>
      <c r="G2260" s="48" t="s">
        <v>1061</v>
      </c>
      <c r="H2260" s="8" t="s">
        <v>507</v>
      </c>
      <c r="I2260" s="8"/>
      <c r="J2260" s="6" t="s">
        <v>108</v>
      </c>
      <c r="K2260" s="38">
        <v>81412</v>
      </c>
      <c r="L2260" s="4" t="s">
        <v>25</v>
      </c>
      <c r="M2260" s="11">
        <f>_xlfn.NUMBERVALUE(LEFT(Table613[[#This Row],[Fiscal Year]], 4))</f>
        <v>2017</v>
      </c>
      <c r="N2260" s="42">
        <f t="shared" si="49"/>
        <v>83581.325875153008</v>
      </c>
      <c r="O2260" s="3">
        <v>2258</v>
      </c>
    </row>
    <row r="2261" spans="1:15" x14ac:dyDescent="0.25">
      <c r="A2261" s="3">
        <v>9</v>
      </c>
      <c r="B2261" s="3" t="s">
        <v>289</v>
      </c>
      <c r="C2261" s="3" t="s">
        <v>262</v>
      </c>
      <c r="D2261" s="3" t="s">
        <v>444</v>
      </c>
      <c r="E2261" s="11" t="s">
        <v>144</v>
      </c>
      <c r="F2261" s="3" t="s">
        <v>8</v>
      </c>
      <c r="G2261" s="48" t="s">
        <v>1062</v>
      </c>
      <c r="H2261" s="8" t="s">
        <v>507</v>
      </c>
      <c r="I2261" s="8"/>
      <c r="J2261" s="6" t="s">
        <v>108</v>
      </c>
      <c r="K2261" s="38">
        <v>226026</v>
      </c>
      <c r="L2261" s="4" t="s">
        <v>25</v>
      </c>
      <c r="M2261" s="11">
        <f>_xlfn.NUMBERVALUE(LEFT(Table613[[#This Row],[Fiscal Year]], 4))</f>
        <v>2017</v>
      </c>
      <c r="N2261" s="42">
        <f t="shared" si="49"/>
        <v>232048.74910648717</v>
      </c>
      <c r="O2261" s="3">
        <v>2259</v>
      </c>
    </row>
    <row r="2262" spans="1:15" x14ac:dyDescent="0.25">
      <c r="A2262" s="3">
        <v>9</v>
      </c>
      <c r="B2262" s="3" t="s">
        <v>289</v>
      </c>
      <c r="C2262" s="3" t="s">
        <v>262</v>
      </c>
      <c r="D2262" s="3" t="s">
        <v>444</v>
      </c>
      <c r="E2262" s="11" t="s">
        <v>144</v>
      </c>
      <c r="F2262" s="3" t="s">
        <v>8</v>
      </c>
      <c r="G2262" s="48" t="s">
        <v>1063</v>
      </c>
      <c r="H2262" s="8" t="s">
        <v>507</v>
      </c>
      <c r="I2262" s="8"/>
      <c r="J2262" s="6" t="s">
        <v>108</v>
      </c>
      <c r="K2262" s="38">
        <v>156611</v>
      </c>
      <c r="L2262" s="4" t="s">
        <v>25</v>
      </c>
      <c r="M2262" s="11">
        <f>_xlfn.NUMBERVALUE(LEFT(Table613[[#This Row],[Fiscal Year]], 4))</f>
        <v>2017</v>
      </c>
      <c r="N2262" s="42">
        <f t="shared" si="49"/>
        <v>160784.09849449206</v>
      </c>
      <c r="O2262" s="3">
        <v>2260</v>
      </c>
    </row>
    <row r="2263" spans="1:15" x14ac:dyDescent="0.25">
      <c r="A2263" s="3">
        <v>9</v>
      </c>
      <c r="B2263" s="3" t="s">
        <v>289</v>
      </c>
      <c r="C2263" s="3" t="s">
        <v>262</v>
      </c>
      <c r="D2263" s="3" t="s">
        <v>444</v>
      </c>
      <c r="E2263" s="11" t="s">
        <v>144</v>
      </c>
      <c r="F2263" s="3" t="s">
        <v>8</v>
      </c>
      <c r="G2263" s="48" t="s">
        <v>1064</v>
      </c>
      <c r="H2263" s="8" t="s">
        <v>507</v>
      </c>
      <c r="I2263" s="8"/>
      <c r="J2263" s="6" t="s">
        <v>108</v>
      </c>
      <c r="K2263" s="38">
        <v>26198.02</v>
      </c>
      <c r="L2263" s="4" t="s">
        <v>25</v>
      </c>
      <c r="M2263" s="11">
        <f>_xlfn.NUMBERVALUE(LEFT(Table613[[#This Row],[Fiscal Year]], 4))</f>
        <v>2017</v>
      </c>
      <c r="N2263" s="42">
        <f t="shared" si="49"/>
        <v>26896.099431334154</v>
      </c>
      <c r="O2263" s="3">
        <v>2261</v>
      </c>
    </row>
    <row r="2264" spans="1:15" x14ac:dyDescent="0.25">
      <c r="A2264" s="3">
        <v>9</v>
      </c>
      <c r="B2264" s="3" t="s">
        <v>289</v>
      </c>
      <c r="C2264" s="3" t="s">
        <v>262</v>
      </c>
      <c r="D2264" s="3" t="s">
        <v>444</v>
      </c>
      <c r="E2264" s="11" t="s">
        <v>144</v>
      </c>
      <c r="F2264" s="3" t="s">
        <v>8</v>
      </c>
      <c r="G2264" s="48" t="s">
        <v>1065</v>
      </c>
      <c r="H2264" s="8" t="s">
        <v>507</v>
      </c>
      <c r="I2264" s="8"/>
      <c r="J2264" s="6" t="s">
        <v>108</v>
      </c>
      <c r="K2264" s="38">
        <v>0</v>
      </c>
      <c r="L2264" s="4" t="s">
        <v>25</v>
      </c>
      <c r="M2264" s="11">
        <f>_xlfn.NUMBERVALUE(LEFT(Table613[[#This Row],[Fiscal Year]], 4))</f>
        <v>2017</v>
      </c>
      <c r="N2264" s="42">
        <f t="shared" si="49"/>
        <v>0</v>
      </c>
      <c r="O2264" s="3">
        <v>2262</v>
      </c>
    </row>
    <row r="2265" spans="1:15" x14ac:dyDescent="0.25">
      <c r="A2265" s="3">
        <v>9</v>
      </c>
      <c r="B2265" s="3" t="s">
        <v>289</v>
      </c>
      <c r="C2265" s="3" t="s">
        <v>262</v>
      </c>
      <c r="D2265" s="3" t="s">
        <v>444</v>
      </c>
      <c r="E2265" s="11" t="s">
        <v>144</v>
      </c>
      <c r="F2265" s="3" t="s">
        <v>8</v>
      </c>
      <c r="G2265" s="66" t="s">
        <v>1066</v>
      </c>
      <c r="H2265" s="8" t="s">
        <v>508</v>
      </c>
      <c r="I2265" s="8"/>
      <c r="J2265" s="6" t="s">
        <v>42</v>
      </c>
      <c r="K2265" s="38">
        <v>95909.5</v>
      </c>
      <c r="L2265" s="4" t="s">
        <v>25</v>
      </c>
      <c r="M2265" s="11">
        <f>_xlfn.NUMBERVALUE(LEFT(Table613[[#This Row],[Fiscal Year]], 4))</f>
        <v>2017</v>
      </c>
      <c r="N2265" s="42">
        <f>K2265*(1+VLOOKUP(M2265,$AF$8:$AH$31,3,0))</f>
        <v>98465.130128518984</v>
      </c>
      <c r="O2265" s="3">
        <v>2263</v>
      </c>
    </row>
    <row r="2266" spans="1:15" x14ac:dyDescent="0.25">
      <c r="A2266" s="3">
        <v>9</v>
      </c>
      <c r="B2266" s="3" t="s">
        <v>289</v>
      </c>
      <c r="C2266" s="3" t="s">
        <v>262</v>
      </c>
      <c r="D2266" s="3" t="s">
        <v>444</v>
      </c>
      <c r="E2266" s="11" t="s">
        <v>144</v>
      </c>
      <c r="F2266" s="3" t="s">
        <v>8</v>
      </c>
      <c r="G2266" s="66" t="s">
        <v>1067</v>
      </c>
      <c r="H2266" s="8" t="s">
        <v>508</v>
      </c>
      <c r="I2266" s="8"/>
      <c r="J2266" s="6" t="s">
        <v>453</v>
      </c>
      <c r="K2266" s="38">
        <v>0</v>
      </c>
      <c r="L2266" s="4" t="s">
        <v>25</v>
      </c>
      <c r="M2266" s="11">
        <f>_xlfn.NUMBERVALUE(LEFT(Table613[[#This Row],[Fiscal Year]], 4))</f>
        <v>2017</v>
      </c>
      <c r="N2266" s="42">
        <f t="shared" si="49"/>
        <v>0</v>
      </c>
      <c r="O2266" s="3">
        <v>2264</v>
      </c>
    </row>
    <row r="2267" spans="1:15" x14ac:dyDescent="0.25">
      <c r="A2267" s="3">
        <v>9</v>
      </c>
      <c r="B2267" s="3" t="s">
        <v>289</v>
      </c>
      <c r="C2267" s="3" t="s">
        <v>262</v>
      </c>
      <c r="D2267" s="3" t="s">
        <v>444</v>
      </c>
      <c r="E2267" s="11" t="s">
        <v>144</v>
      </c>
      <c r="F2267" s="3" t="s">
        <v>8</v>
      </c>
      <c r="G2267" s="66" t="s">
        <v>1068</v>
      </c>
      <c r="H2267" s="8" t="s">
        <v>512</v>
      </c>
      <c r="I2267" s="8"/>
      <c r="J2267" s="6" t="s">
        <v>111</v>
      </c>
      <c r="K2267" s="38">
        <v>533089.29</v>
      </c>
      <c r="L2267" s="4" t="s">
        <v>25</v>
      </c>
      <c r="M2267" s="11">
        <f>_xlfn.NUMBERVALUE(LEFT(Table613[[#This Row],[Fiscal Year]], 4))</f>
        <v>2017</v>
      </c>
      <c r="N2267" s="42">
        <f t="shared" si="49"/>
        <v>547294.12946548359</v>
      </c>
      <c r="O2267" s="3">
        <v>2265</v>
      </c>
    </row>
    <row r="2268" spans="1:15" x14ac:dyDescent="0.25">
      <c r="A2268" s="3">
        <v>9</v>
      </c>
      <c r="B2268" s="3" t="s">
        <v>289</v>
      </c>
      <c r="C2268" s="3" t="s">
        <v>262</v>
      </c>
      <c r="D2268" s="3" t="s">
        <v>444</v>
      </c>
      <c r="E2268" s="11" t="s">
        <v>144</v>
      </c>
      <c r="F2268" s="3" t="s">
        <v>8</v>
      </c>
      <c r="G2268" s="66" t="s">
        <v>1069</v>
      </c>
      <c r="H2268" s="8" t="s">
        <v>513</v>
      </c>
      <c r="I2268" s="8"/>
      <c r="J2268" s="6" t="s">
        <v>107</v>
      </c>
      <c r="K2268" s="38">
        <v>70200</v>
      </c>
      <c r="L2268" s="4" t="s">
        <v>25</v>
      </c>
      <c r="M2268" s="11">
        <f>_xlfn.NUMBERVALUE(LEFT(Table613[[#This Row],[Fiscal Year]], 4))</f>
        <v>2017</v>
      </c>
      <c r="N2268" s="42">
        <f t="shared" si="49"/>
        <v>72070.567931456564</v>
      </c>
      <c r="O2268" s="3">
        <v>2266</v>
      </c>
    </row>
    <row r="2269" spans="1:15" x14ac:dyDescent="0.25">
      <c r="A2269" s="3">
        <v>9</v>
      </c>
      <c r="B2269" s="3" t="s">
        <v>289</v>
      </c>
      <c r="C2269" s="3" t="s">
        <v>262</v>
      </c>
      <c r="D2269" s="3" t="s">
        <v>444</v>
      </c>
      <c r="E2269" s="11" t="s">
        <v>144</v>
      </c>
      <c r="F2269" s="3" t="s">
        <v>8</v>
      </c>
      <c r="G2269" s="66" t="s">
        <v>1070</v>
      </c>
      <c r="H2269" s="8" t="s">
        <v>509</v>
      </c>
      <c r="I2269" s="8"/>
      <c r="J2269" s="6" t="s">
        <v>109</v>
      </c>
      <c r="K2269" s="38">
        <v>24200</v>
      </c>
      <c r="L2269" s="4" t="s">
        <v>25</v>
      </c>
      <c r="M2269" s="11">
        <f>_xlfn.NUMBERVALUE(LEFT(Table613[[#This Row],[Fiscal Year]], 4))</f>
        <v>2017</v>
      </c>
      <c r="N2269" s="42">
        <f t="shared" si="49"/>
        <v>24844.839657282744</v>
      </c>
      <c r="O2269" s="3">
        <v>2267</v>
      </c>
    </row>
    <row r="2270" spans="1:15" x14ac:dyDescent="0.25">
      <c r="A2270" s="3">
        <v>9</v>
      </c>
      <c r="B2270" s="3" t="s">
        <v>289</v>
      </c>
      <c r="C2270" s="3" t="s">
        <v>262</v>
      </c>
      <c r="D2270" s="3" t="s">
        <v>444</v>
      </c>
      <c r="E2270" s="11" t="s">
        <v>144</v>
      </c>
      <c r="F2270" s="3" t="s">
        <v>8</v>
      </c>
      <c r="G2270" s="66" t="s">
        <v>1071</v>
      </c>
      <c r="H2270" s="8" t="s">
        <v>510</v>
      </c>
      <c r="I2270" s="8"/>
      <c r="J2270" s="6" t="s">
        <v>106</v>
      </c>
      <c r="K2270" s="38">
        <v>60351.5</v>
      </c>
      <c r="L2270" s="4" t="s">
        <v>25</v>
      </c>
      <c r="M2270" s="11">
        <f>_xlfn.NUMBERVALUE(LEFT(Table613[[#This Row],[Fiscal Year]], 4))</f>
        <v>2017</v>
      </c>
      <c r="N2270" s="42">
        <f t="shared" si="49"/>
        <v>61959.642172582629</v>
      </c>
      <c r="O2270" s="3">
        <v>2268</v>
      </c>
    </row>
    <row r="2271" spans="1:15" x14ac:dyDescent="0.25">
      <c r="A2271" s="3">
        <v>9</v>
      </c>
      <c r="B2271" s="3" t="s">
        <v>289</v>
      </c>
      <c r="C2271" s="3" t="s">
        <v>262</v>
      </c>
      <c r="D2271" s="3" t="s">
        <v>444</v>
      </c>
      <c r="E2271" s="11" t="s">
        <v>144</v>
      </c>
      <c r="F2271" s="3" t="s">
        <v>8</v>
      </c>
      <c r="G2271" s="66" t="s">
        <v>1047</v>
      </c>
      <c r="H2271" s="8"/>
      <c r="I2271" s="8"/>
      <c r="J2271" s="6" t="s">
        <v>455</v>
      </c>
      <c r="K2271" s="38">
        <v>173500</v>
      </c>
      <c r="L2271" s="4" t="s">
        <v>25</v>
      </c>
      <c r="M2271" s="11">
        <f>_xlfn.NUMBERVALUE(LEFT(Table613[[#This Row],[Fiscal Year]], 4))</f>
        <v>2017</v>
      </c>
      <c r="N2271" s="42">
        <f t="shared" si="49"/>
        <v>178123.12729498165</v>
      </c>
      <c r="O2271" s="3">
        <v>2269</v>
      </c>
    </row>
    <row r="2272" spans="1:15" x14ac:dyDescent="0.25">
      <c r="A2272" s="3">
        <v>9</v>
      </c>
      <c r="B2272" s="3" t="s">
        <v>289</v>
      </c>
      <c r="C2272" s="3" t="s">
        <v>262</v>
      </c>
      <c r="D2272" s="3" t="s">
        <v>444</v>
      </c>
      <c r="E2272" s="11" t="s">
        <v>144</v>
      </c>
      <c r="F2272" s="3" t="s">
        <v>8</v>
      </c>
      <c r="G2272" s="61" t="s">
        <v>1023</v>
      </c>
      <c r="H2272" s="8"/>
      <c r="I2272" s="8"/>
      <c r="J2272" s="6" t="s">
        <v>453</v>
      </c>
      <c r="K2272" s="38" t="s">
        <v>28</v>
      </c>
      <c r="L2272" s="4" t="s">
        <v>25</v>
      </c>
      <c r="M2272" s="11">
        <f>_xlfn.NUMBERVALUE(LEFT(Table613[[#This Row],[Fiscal Year]], 4))</f>
        <v>2017</v>
      </c>
      <c r="O2272" s="3">
        <v>2270</v>
      </c>
    </row>
    <row r="2273" spans="1:15" x14ac:dyDescent="0.25">
      <c r="A2273" s="3">
        <v>9</v>
      </c>
      <c r="B2273" s="3" t="s">
        <v>289</v>
      </c>
      <c r="C2273" s="3" t="s">
        <v>262</v>
      </c>
      <c r="D2273" s="3" t="s">
        <v>444</v>
      </c>
      <c r="E2273" s="11" t="s">
        <v>144</v>
      </c>
      <c r="F2273" s="3" t="s">
        <v>8</v>
      </c>
      <c r="G2273" s="66" t="s">
        <v>1048</v>
      </c>
      <c r="H2273" s="8"/>
      <c r="I2273" s="8"/>
      <c r="J2273" s="6" t="s">
        <v>455</v>
      </c>
      <c r="K2273" s="38" t="s">
        <v>827</v>
      </c>
      <c r="L2273" s="4" t="s">
        <v>25</v>
      </c>
      <c r="M2273" s="11">
        <f>_xlfn.NUMBERVALUE(LEFT(Table613[[#This Row],[Fiscal Year]], 4))</f>
        <v>2017</v>
      </c>
      <c r="O2273" s="3">
        <v>2271</v>
      </c>
    </row>
    <row r="2274" spans="1:15" x14ac:dyDescent="0.25">
      <c r="E2274" s="11"/>
      <c r="G2274" s="66"/>
      <c r="H2274" s="8"/>
      <c r="I2274" s="8"/>
      <c r="J2274" s="6"/>
      <c r="L2274" s="4"/>
      <c r="O2274" s="3">
        <v>2272</v>
      </c>
    </row>
    <row r="2275" spans="1:15" x14ac:dyDescent="0.25">
      <c r="A2275" s="3">
        <v>8</v>
      </c>
      <c r="B2275" s="3" t="s">
        <v>290</v>
      </c>
      <c r="C2275" s="3" t="s">
        <v>262</v>
      </c>
      <c r="D2275" s="3" t="s">
        <v>444</v>
      </c>
      <c r="E2275" s="11" t="s">
        <v>144</v>
      </c>
      <c r="F2275" s="3" t="s">
        <v>8</v>
      </c>
      <c r="G2275" s="48" t="s">
        <v>976</v>
      </c>
      <c r="H2275" s="8" t="s">
        <v>503</v>
      </c>
      <c r="I2275" s="8" t="s">
        <v>640</v>
      </c>
      <c r="J2275" s="6" t="s">
        <v>110</v>
      </c>
      <c r="K2275" s="38">
        <v>0</v>
      </c>
      <c r="L2275" s="4" t="s">
        <v>264</v>
      </c>
      <c r="M2275" s="11">
        <f>_xlfn.NUMBERVALUE(LEFT(Table613[[#This Row],[Fiscal Year]], 4))</f>
        <v>2001</v>
      </c>
      <c r="N2275" s="42">
        <f t="shared" ref="N2275:N2306" si="50">K2275*(1+VLOOKUP(M2275,$AF$8:$AH$31,3,0))</f>
        <v>0</v>
      </c>
      <c r="O2275" s="3">
        <v>2273</v>
      </c>
    </row>
    <row r="2276" spans="1:15" x14ac:dyDescent="0.25">
      <c r="A2276" s="3">
        <v>8</v>
      </c>
      <c r="B2276" s="3" t="s">
        <v>290</v>
      </c>
      <c r="C2276" s="3" t="s">
        <v>262</v>
      </c>
      <c r="D2276" s="3" t="s">
        <v>444</v>
      </c>
      <c r="E2276" s="11" t="s">
        <v>144</v>
      </c>
      <c r="F2276" s="3" t="s">
        <v>8</v>
      </c>
      <c r="G2276" s="66" t="s">
        <v>977</v>
      </c>
      <c r="H2276" s="8" t="s">
        <v>504</v>
      </c>
      <c r="I2276" s="8"/>
      <c r="J2276" s="6" t="s">
        <v>108</v>
      </c>
      <c r="K2276" s="38">
        <v>0</v>
      </c>
      <c r="L2276" s="4" t="s">
        <v>264</v>
      </c>
      <c r="M2276" s="11">
        <f>_xlfn.NUMBERVALUE(LEFT(Table613[[#This Row],[Fiscal Year]], 4))</f>
        <v>2001</v>
      </c>
      <c r="N2276" s="42">
        <f t="shared" si="50"/>
        <v>0</v>
      </c>
      <c r="O2276" s="3">
        <v>2274</v>
      </c>
    </row>
    <row r="2277" spans="1:15" x14ac:dyDescent="0.25">
      <c r="A2277" s="3">
        <v>8</v>
      </c>
      <c r="B2277" s="3" t="s">
        <v>290</v>
      </c>
      <c r="C2277" s="3" t="s">
        <v>262</v>
      </c>
      <c r="D2277" s="3" t="s">
        <v>444</v>
      </c>
      <c r="E2277" s="11" t="s">
        <v>144</v>
      </c>
      <c r="F2277" s="3" t="s">
        <v>8</v>
      </c>
      <c r="G2277" s="66" t="s">
        <v>978</v>
      </c>
      <c r="H2277" s="8" t="s">
        <v>602</v>
      </c>
      <c r="I2277" s="8"/>
      <c r="J2277" s="6" t="s">
        <v>108</v>
      </c>
      <c r="K2277" s="38">
        <v>0</v>
      </c>
      <c r="L2277" s="4" t="s">
        <v>264</v>
      </c>
      <c r="M2277" s="11">
        <f>_xlfn.NUMBERVALUE(LEFT(Table613[[#This Row],[Fiscal Year]], 4))</f>
        <v>2001</v>
      </c>
      <c r="N2277" s="42">
        <f t="shared" si="50"/>
        <v>0</v>
      </c>
      <c r="O2277" s="3">
        <v>2275</v>
      </c>
    </row>
    <row r="2278" spans="1:15" x14ac:dyDescent="0.25">
      <c r="A2278" s="3">
        <v>8</v>
      </c>
      <c r="B2278" s="3" t="s">
        <v>290</v>
      </c>
      <c r="C2278" s="3" t="s">
        <v>262</v>
      </c>
      <c r="D2278" s="3" t="s">
        <v>444</v>
      </c>
      <c r="E2278" s="11" t="s">
        <v>144</v>
      </c>
      <c r="F2278" s="3" t="s">
        <v>8</v>
      </c>
      <c r="G2278" s="66" t="s">
        <v>979</v>
      </c>
      <c r="H2278" s="8" t="s">
        <v>504</v>
      </c>
      <c r="I2278" s="8"/>
      <c r="J2278" s="6" t="s">
        <v>108</v>
      </c>
      <c r="K2278" s="38">
        <v>0</v>
      </c>
      <c r="L2278" s="4" t="s">
        <v>264</v>
      </c>
      <c r="M2278" s="11">
        <f>_xlfn.NUMBERVALUE(LEFT(Table613[[#This Row],[Fiscal Year]], 4))</f>
        <v>2001</v>
      </c>
      <c r="N2278" s="42">
        <f t="shared" si="50"/>
        <v>0</v>
      </c>
      <c r="O2278" s="3">
        <v>2276</v>
      </c>
    </row>
    <row r="2279" spans="1:15" x14ac:dyDescent="0.25">
      <c r="A2279" s="3">
        <v>8</v>
      </c>
      <c r="B2279" s="3" t="s">
        <v>290</v>
      </c>
      <c r="C2279" s="3" t="s">
        <v>262</v>
      </c>
      <c r="D2279" s="3" t="s">
        <v>444</v>
      </c>
      <c r="E2279" s="11" t="s">
        <v>144</v>
      </c>
      <c r="F2279" s="3" t="s">
        <v>8</v>
      </c>
      <c r="G2279" s="66" t="s">
        <v>980</v>
      </c>
      <c r="H2279" s="8" t="s">
        <v>504</v>
      </c>
      <c r="I2279" s="8"/>
      <c r="J2279" s="6" t="s">
        <v>108</v>
      </c>
      <c r="K2279" s="38">
        <v>0</v>
      </c>
      <c r="L2279" s="4" t="s">
        <v>264</v>
      </c>
      <c r="M2279" s="11">
        <f>_xlfn.NUMBERVALUE(LEFT(Table613[[#This Row],[Fiscal Year]], 4))</f>
        <v>2001</v>
      </c>
      <c r="N2279" s="42">
        <f t="shared" si="50"/>
        <v>0</v>
      </c>
      <c r="O2279" s="3">
        <v>2277</v>
      </c>
    </row>
    <row r="2280" spans="1:15" x14ac:dyDescent="0.25">
      <c r="A2280" s="3">
        <v>8</v>
      </c>
      <c r="B2280" s="3" t="s">
        <v>290</v>
      </c>
      <c r="C2280" s="3" t="s">
        <v>262</v>
      </c>
      <c r="D2280" s="3" t="s">
        <v>444</v>
      </c>
      <c r="E2280" s="11" t="s">
        <v>144</v>
      </c>
      <c r="F2280" s="3" t="s">
        <v>8</v>
      </c>
      <c r="G2280" s="48" t="s">
        <v>981</v>
      </c>
      <c r="H2280" s="8" t="s">
        <v>504</v>
      </c>
      <c r="I2280" s="8"/>
      <c r="J2280" s="6" t="s">
        <v>108</v>
      </c>
      <c r="K2280" s="38">
        <v>0</v>
      </c>
      <c r="L2280" s="4" t="s">
        <v>264</v>
      </c>
      <c r="M2280" s="11">
        <f>_xlfn.NUMBERVALUE(LEFT(Table613[[#This Row],[Fiscal Year]], 4))</f>
        <v>2001</v>
      </c>
      <c r="N2280" s="42">
        <f t="shared" si="50"/>
        <v>0</v>
      </c>
      <c r="O2280" s="3">
        <v>2278</v>
      </c>
    </row>
    <row r="2281" spans="1:15" x14ac:dyDescent="0.25">
      <c r="A2281" s="3">
        <v>8</v>
      </c>
      <c r="B2281" s="3" t="s">
        <v>290</v>
      </c>
      <c r="C2281" s="3" t="s">
        <v>262</v>
      </c>
      <c r="D2281" s="3" t="s">
        <v>444</v>
      </c>
      <c r="E2281" s="11" t="s">
        <v>144</v>
      </c>
      <c r="F2281" s="3" t="s">
        <v>8</v>
      </c>
      <c r="G2281" s="66" t="s">
        <v>982</v>
      </c>
      <c r="H2281" s="8" t="s">
        <v>593</v>
      </c>
      <c r="I2281" s="8" t="s">
        <v>594</v>
      </c>
      <c r="J2281" s="6" t="s">
        <v>108</v>
      </c>
      <c r="K2281" s="38">
        <v>0</v>
      </c>
      <c r="L2281" s="4" t="s">
        <v>264</v>
      </c>
      <c r="M2281" s="11">
        <f>_xlfn.NUMBERVALUE(LEFT(Table613[[#This Row],[Fiscal Year]], 4))</f>
        <v>2001</v>
      </c>
      <c r="N2281" s="42">
        <f t="shared" si="50"/>
        <v>0</v>
      </c>
      <c r="O2281" s="3">
        <v>2279</v>
      </c>
    </row>
    <row r="2282" spans="1:15" x14ac:dyDescent="0.25">
      <c r="A2282" s="3">
        <v>8</v>
      </c>
      <c r="B2282" s="3" t="s">
        <v>290</v>
      </c>
      <c r="C2282" s="3" t="s">
        <v>262</v>
      </c>
      <c r="D2282" s="3" t="s">
        <v>444</v>
      </c>
      <c r="E2282" s="11" t="s">
        <v>144</v>
      </c>
      <c r="F2282" s="3" t="s">
        <v>8</v>
      </c>
      <c r="G2282" s="66" t="s">
        <v>983</v>
      </c>
      <c r="H2282" s="8" t="s">
        <v>504</v>
      </c>
      <c r="I2282" s="8"/>
      <c r="J2282" s="6" t="s">
        <v>108</v>
      </c>
      <c r="K2282" s="38">
        <v>250000</v>
      </c>
      <c r="L2282" s="4" t="s">
        <v>264</v>
      </c>
      <c r="M2282" s="11">
        <f>_xlfn.NUMBERVALUE(LEFT(Table613[[#This Row],[Fiscal Year]], 4))</f>
        <v>2001</v>
      </c>
      <c r="N2282" s="42">
        <f t="shared" si="50"/>
        <v>355210.33314511576</v>
      </c>
      <c r="O2282" s="3">
        <v>2280</v>
      </c>
    </row>
    <row r="2283" spans="1:15" x14ac:dyDescent="0.25">
      <c r="A2283" s="3">
        <v>8</v>
      </c>
      <c r="B2283" s="3" t="s">
        <v>290</v>
      </c>
      <c r="C2283" s="3" t="s">
        <v>262</v>
      </c>
      <c r="D2283" s="3" t="s">
        <v>444</v>
      </c>
      <c r="E2283" s="11" t="s">
        <v>144</v>
      </c>
      <c r="F2283" s="3" t="s">
        <v>8</v>
      </c>
      <c r="G2283" s="66" t="s">
        <v>984</v>
      </c>
      <c r="H2283" s="8" t="s">
        <v>504</v>
      </c>
      <c r="I2283" s="8"/>
      <c r="J2283" s="6" t="s">
        <v>108</v>
      </c>
      <c r="K2283" s="38">
        <v>10000</v>
      </c>
      <c r="L2283" s="4" t="s">
        <v>264</v>
      </c>
      <c r="M2283" s="11">
        <f>_xlfn.NUMBERVALUE(LEFT(Table613[[#This Row],[Fiscal Year]], 4))</f>
        <v>2001</v>
      </c>
      <c r="N2283" s="42">
        <f t="shared" si="50"/>
        <v>14208.413325804629</v>
      </c>
      <c r="O2283" s="3">
        <v>2281</v>
      </c>
    </row>
    <row r="2284" spans="1:15" x14ac:dyDescent="0.25">
      <c r="A2284" s="3">
        <v>8</v>
      </c>
      <c r="B2284" s="3" t="s">
        <v>290</v>
      </c>
      <c r="C2284" s="3" t="s">
        <v>262</v>
      </c>
      <c r="D2284" s="3" t="s">
        <v>444</v>
      </c>
      <c r="E2284" s="11" t="s">
        <v>144</v>
      </c>
      <c r="F2284" s="3" t="s">
        <v>8</v>
      </c>
      <c r="G2284" s="66" t="s">
        <v>985</v>
      </c>
      <c r="H2284" s="8" t="s">
        <v>505</v>
      </c>
      <c r="I2284" s="8"/>
      <c r="J2284" s="6" t="s">
        <v>42</v>
      </c>
      <c r="K2284" s="38">
        <v>0</v>
      </c>
      <c r="L2284" s="4" t="s">
        <v>264</v>
      </c>
      <c r="M2284" s="11">
        <f>_xlfn.NUMBERVALUE(LEFT(Table613[[#This Row],[Fiscal Year]], 4))</f>
        <v>2001</v>
      </c>
      <c r="N2284" s="42">
        <f t="shared" si="50"/>
        <v>0</v>
      </c>
      <c r="O2284" s="3">
        <v>2282</v>
      </c>
    </row>
    <row r="2285" spans="1:15" x14ac:dyDescent="0.25">
      <c r="A2285" s="3">
        <v>8</v>
      </c>
      <c r="B2285" s="3" t="s">
        <v>290</v>
      </c>
      <c r="C2285" s="3" t="s">
        <v>262</v>
      </c>
      <c r="D2285" s="3" t="s">
        <v>444</v>
      </c>
      <c r="E2285" s="11" t="s">
        <v>144</v>
      </c>
      <c r="F2285" s="3" t="s">
        <v>8</v>
      </c>
      <c r="G2285" s="66" t="s">
        <v>986</v>
      </c>
      <c r="H2285" s="8" t="s">
        <v>599</v>
      </c>
      <c r="I2285" s="8"/>
      <c r="J2285" s="6" t="s">
        <v>42</v>
      </c>
      <c r="K2285" s="38">
        <v>0</v>
      </c>
      <c r="L2285" s="4" t="s">
        <v>264</v>
      </c>
      <c r="M2285" s="11">
        <f>_xlfn.NUMBERVALUE(LEFT(Table613[[#This Row],[Fiscal Year]], 4))</f>
        <v>2001</v>
      </c>
      <c r="N2285" s="42">
        <f t="shared" si="50"/>
        <v>0</v>
      </c>
      <c r="O2285" s="3">
        <v>2283</v>
      </c>
    </row>
    <row r="2286" spans="1:15" x14ac:dyDescent="0.25">
      <c r="A2286" s="3">
        <v>8</v>
      </c>
      <c r="B2286" s="3" t="s">
        <v>290</v>
      </c>
      <c r="C2286" s="3" t="s">
        <v>262</v>
      </c>
      <c r="D2286" s="3" t="s">
        <v>444</v>
      </c>
      <c r="E2286" s="11" t="s">
        <v>144</v>
      </c>
      <c r="F2286" s="3" t="s">
        <v>8</v>
      </c>
      <c r="G2286" s="66" t="s">
        <v>987</v>
      </c>
      <c r="H2286" s="8"/>
      <c r="I2286" s="8"/>
      <c r="J2286" s="6" t="s">
        <v>111</v>
      </c>
      <c r="K2286" s="38">
        <v>0</v>
      </c>
      <c r="L2286" s="4" t="s">
        <v>264</v>
      </c>
      <c r="M2286" s="11">
        <f>_xlfn.NUMBERVALUE(LEFT(Table613[[#This Row],[Fiscal Year]], 4))</f>
        <v>2001</v>
      </c>
      <c r="N2286" s="42">
        <f t="shared" si="50"/>
        <v>0</v>
      </c>
      <c r="O2286" s="3">
        <v>2284</v>
      </c>
    </row>
    <row r="2287" spans="1:15" x14ac:dyDescent="0.25">
      <c r="A2287" s="3">
        <v>8</v>
      </c>
      <c r="B2287" s="3" t="s">
        <v>290</v>
      </c>
      <c r="C2287" s="3" t="s">
        <v>262</v>
      </c>
      <c r="D2287" s="3" t="s">
        <v>444</v>
      </c>
      <c r="E2287" s="11" t="s">
        <v>144</v>
      </c>
      <c r="F2287" s="3" t="s">
        <v>8</v>
      </c>
      <c r="G2287" s="66" t="s">
        <v>988</v>
      </c>
      <c r="H2287" s="8"/>
      <c r="I2287" s="8"/>
      <c r="J2287" s="6" t="s">
        <v>107</v>
      </c>
      <c r="K2287" s="38">
        <v>0</v>
      </c>
      <c r="L2287" s="4" t="s">
        <v>264</v>
      </c>
      <c r="M2287" s="11">
        <f>_xlfn.NUMBERVALUE(LEFT(Table613[[#This Row],[Fiscal Year]], 4))</f>
        <v>2001</v>
      </c>
      <c r="N2287" s="42">
        <f t="shared" si="50"/>
        <v>0</v>
      </c>
      <c r="O2287" s="3">
        <v>2285</v>
      </c>
    </row>
    <row r="2288" spans="1:15" x14ac:dyDescent="0.25">
      <c r="A2288" s="3">
        <v>8</v>
      </c>
      <c r="B2288" s="3" t="s">
        <v>290</v>
      </c>
      <c r="C2288" s="3" t="s">
        <v>262</v>
      </c>
      <c r="D2288" s="3" t="s">
        <v>444</v>
      </c>
      <c r="E2288" s="11" t="s">
        <v>144</v>
      </c>
      <c r="F2288" s="3" t="s">
        <v>8</v>
      </c>
      <c r="G2288" s="66" t="s">
        <v>989</v>
      </c>
      <c r="H2288" s="8" t="s">
        <v>597</v>
      </c>
      <c r="I2288" s="8" t="s">
        <v>594</v>
      </c>
      <c r="J2288" s="6" t="s">
        <v>108</v>
      </c>
      <c r="K2288" s="38">
        <v>0</v>
      </c>
      <c r="L2288" s="4" t="s">
        <v>264</v>
      </c>
      <c r="M2288" s="11">
        <f>_xlfn.NUMBERVALUE(LEFT(Table613[[#This Row],[Fiscal Year]], 4))</f>
        <v>2001</v>
      </c>
      <c r="N2288" s="42">
        <f t="shared" si="50"/>
        <v>0</v>
      </c>
      <c r="O2288" s="3">
        <v>2286</v>
      </c>
    </row>
    <row r="2289" spans="1:15" x14ac:dyDescent="0.25">
      <c r="A2289" s="3">
        <v>8</v>
      </c>
      <c r="B2289" s="3" t="s">
        <v>290</v>
      </c>
      <c r="C2289" s="3" t="s">
        <v>262</v>
      </c>
      <c r="D2289" s="3" t="s">
        <v>444</v>
      </c>
      <c r="E2289" s="11" t="s">
        <v>144</v>
      </c>
      <c r="F2289" s="3" t="s">
        <v>8</v>
      </c>
      <c r="G2289" s="66" t="s">
        <v>990</v>
      </c>
      <c r="H2289" s="8" t="s">
        <v>506</v>
      </c>
      <c r="I2289" s="8"/>
      <c r="J2289" s="6" t="s">
        <v>106</v>
      </c>
      <c r="K2289" s="38">
        <v>0</v>
      </c>
      <c r="L2289" s="4" t="s">
        <v>264</v>
      </c>
      <c r="M2289" s="11">
        <f>_xlfn.NUMBERVALUE(LEFT(Table613[[#This Row],[Fiscal Year]], 4))</f>
        <v>2001</v>
      </c>
      <c r="N2289" s="42">
        <f t="shared" si="50"/>
        <v>0</v>
      </c>
      <c r="O2289" s="3">
        <v>2287</v>
      </c>
    </row>
    <row r="2290" spans="1:15" x14ac:dyDescent="0.25">
      <c r="A2290" s="3">
        <v>8</v>
      </c>
      <c r="B2290" s="3" t="s">
        <v>290</v>
      </c>
      <c r="C2290" s="3" t="s">
        <v>262</v>
      </c>
      <c r="D2290" s="3" t="s">
        <v>444</v>
      </c>
      <c r="E2290" s="11" t="s">
        <v>144</v>
      </c>
      <c r="F2290" s="3" t="s">
        <v>8</v>
      </c>
      <c r="G2290" s="66" t="s">
        <v>1004</v>
      </c>
      <c r="H2290" s="8"/>
      <c r="I2290" s="8"/>
      <c r="J2290" s="6" t="s">
        <v>76</v>
      </c>
      <c r="K2290" s="38">
        <v>0</v>
      </c>
      <c r="L2290" s="4" t="s">
        <v>264</v>
      </c>
      <c r="M2290" s="11">
        <f>_xlfn.NUMBERVALUE(LEFT(Table613[[#This Row],[Fiscal Year]], 4))</f>
        <v>2001</v>
      </c>
      <c r="N2290" s="42">
        <f t="shared" si="50"/>
        <v>0</v>
      </c>
      <c r="O2290" s="3">
        <v>2288</v>
      </c>
    </row>
    <row r="2291" spans="1:15" x14ac:dyDescent="0.25">
      <c r="A2291" s="3">
        <v>8</v>
      </c>
      <c r="B2291" s="3" t="s">
        <v>290</v>
      </c>
      <c r="C2291" s="3" t="s">
        <v>262</v>
      </c>
      <c r="D2291" s="3" t="s">
        <v>444</v>
      </c>
      <c r="E2291" s="11" t="s">
        <v>144</v>
      </c>
      <c r="F2291" s="3" t="s">
        <v>8</v>
      </c>
      <c r="G2291" s="48" t="s">
        <v>991</v>
      </c>
      <c r="H2291" s="8" t="s">
        <v>503</v>
      </c>
      <c r="I2291" s="8"/>
      <c r="J2291" s="6" t="s">
        <v>110</v>
      </c>
      <c r="K2291" s="38">
        <v>92170</v>
      </c>
      <c r="L2291" s="4" t="s">
        <v>264</v>
      </c>
      <c r="M2291" s="11">
        <f>_xlfn.NUMBERVALUE(LEFT(Table613[[#This Row],[Fiscal Year]], 4))</f>
        <v>2001</v>
      </c>
      <c r="N2291" s="42">
        <f>K2291*(1+VLOOKUP(M2291,$AF$8:$AH$31,3,0))</f>
        <v>130958.94562394127</v>
      </c>
      <c r="O2291" s="3">
        <v>2289</v>
      </c>
    </row>
    <row r="2292" spans="1:15" x14ac:dyDescent="0.25">
      <c r="A2292" s="3">
        <v>8</v>
      </c>
      <c r="B2292" s="3" t="s">
        <v>290</v>
      </c>
      <c r="C2292" s="3" t="s">
        <v>262</v>
      </c>
      <c r="D2292" s="3" t="s">
        <v>444</v>
      </c>
      <c r="E2292" s="11" t="s">
        <v>144</v>
      </c>
      <c r="F2292" s="3" t="s">
        <v>8</v>
      </c>
      <c r="G2292" s="66" t="s">
        <v>992</v>
      </c>
      <c r="H2292" s="8" t="s">
        <v>504</v>
      </c>
      <c r="I2292" s="8"/>
      <c r="J2292" s="6" t="s">
        <v>108</v>
      </c>
      <c r="K2292" s="38">
        <v>0</v>
      </c>
      <c r="L2292" s="4" t="s">
        <v>264</v>
      </c>
      <c r="M2292" s="11">
        <f>_xlfn.NUMBERVALUE(LEFT(Table613[[#This Row],[Fiscal Year]], 4))</f>
        <v>2001</v>
      </c>
      <c r="N2292" s="42">
        <f t="shared" si="50"/>
        <v>0</v>
      </c>
      <c r="O2292" s="3">
        <v>2290</v>
      </c>
    </row>
    <row r="2293" spans="1:15" x14ac:dyDescent="0.25">
      <c r="A2293" s="3">
        <v>8</v>
      </c>
      <c r="B2293" s="3" t="s">
        <v>290</v>
      </c>
      <c r="C2293" s="3" t="s">
        <v>262</v>
      </c>
      <c r="D2293" s="3" t="s">
        <v>444</v>
      </c>
      <c r="E2293" s="11" t="s">
        <v>144</v>
      </c>
      <c r="F2293" s="3" t="s">
        <v>8</v>
      </c>
      <c r="G2293" s="66" t="s">
        <v>993</v>
      </c>
      <c r="H2293" s="8" t="s">
        <v>602</v>
      </c>
      <c r="I2293" s="8"/>
      <c r="J2293" s="6" t="s">
        <v>108</v>
      </c>
      <c r="K2293" s="38">
        <v>0</v>
      </c>
      <c r="L2293" s="4" t="s">
        <v>264</v>
      </c>
      <c r="M2293" s="11">
        <f>_xlfn.NUMBERVALUE(LEFT(Table613[[#This Row],[Fiscal Year]], 4))</f>
        <v>2001</v>
      </c>
      <c r="N2293" s="42">
        <f t="shared" si="50"/>
        <v>0</v>
      </c>
      <c r="O2293" s="3">
        <v>2291</v>
      </c>
    </row>
    <row r="2294" spans="1:15" x14ac:dyDescent="0.25">
      <c r="A2294" s="3">
        <v>8</v>
      </c>
      <c r="B2294" s="3" t="s">
        <v>290</v>
      </c>
      <c r="C2294" s="3" t="s">
        <v>262</v>
      </c>
      <c r="D2294" s="3" t="s">
        <v>444</v>
      </c>
      <c r="E2294" s="11" t="s">
        <v>144</v>
      </c>
      <c r="F2294" s="3" t="s">
        <v>8</v>
      </c>
      <c r="G2294" s="66" t="s">
        <v>994</v>
      </c>
      <c r="H2294" s="8" t="s">
        <v>504</v>
      </c>
      <c r="I2294" s="8"/>
      <c r="J2294" s="6" t="s">
        <v>108</v>
      </c>
      <c r="K2294" s="38">
        <v>48486</v>
      </c>
      <c r="L2294" s="4" t="s">
        <v>264</v>
      </c>
      <c r="M2294" s="11">
        <f>_xlfn.NUMBERVALUE(LEFT(Table613[[#This Row],[Fiscal Year]], 4))</f>
        <v>2001</v>
      </c>
      <c r="N2294" s="42">
        <f t="shared" si="50"/>
        <v>68890.912851496323</v>
      </c>
      <c r="O2294" s="3">
        <v>2292</v>
      </c>
    </row>
    <row r="2295" spans="1:15" x14ac:dyDescent="0.25">
      <c r="A2295" s="3">
        <v>8</v>
      </c>
      <c r="B2295" s="3" t="s">
        <v>290</v>
      </c>
      <c r="C2295" s="3" t="s">
        <v>262</v>
      </c>
      <c r="D2295" s="3" t="s">
        <v>444</v>
      </c>
      <c r="E2295" s="11" t="s">
        <v>144</v>
      </c>
      <c r="F2295" s="3" t="s">
        <v>8</v>
      </c>
      <c r="G2295" s="66" t="s">
        <v>995</v>
      </c>
      <c r="H2295" s="8" t="s">
        <v>504</v>
      </c>
      <c r="I2295" s="8"/>
      <c r="J2295" s="6" t="s">
        <v>108</v>
      </c>
      <c r="K2295" s="38">
        <v>7455</v>
      </c>
      <c r="L2295" s="4" t="s">
        <v>264</v>
      </c>
      <c r="M2295" s="11">
        <f>_xlfn.NUMBERVALUE(LEFT(Table613[[#This Row],[Fiscal Year]], 4))</f>
        <v>2001</v>
      </c>
      <c r="N2295" s="42">
        <f t="shared" si="50"/>
        <v>10592.372134387351</v>
      </c>
      <c r="O2295" s="3">
        <v>2293</v>
      </c>
    </row>
    <row r="2296" spans="1:15" x14ac:dyDescent="0.25">
      <c r="A2296" s="3">
        <v>8</v>
      </c>
      <c r="B2296" s="3" t="s">
        <v>290</v>
      </c>
      <c r="C2296" s="3" t="s">
        <v>262</v>
      </c>
      <c r="D2296" s="3" t="s">
        <v>444</v>
      </c>
      <c r="E2296" s="11" t="s">
        <v>144</v>
      </c>
      <c r="F2296" s="3" t="s">
        <v>8</v>
      </c>
      <c r="G2296" s="48" t="s">
        <v>996</v>
      </c>
      <c r="H2296" s="8" t="s">
        <v>504</v>
      </c>
      <c r="I2296" s="8"/>
      <c r="J2296" s="6" t="s">
        <v>108</v>
      </c>
      <c r="K2296" s="38">
        <v>3358360</v>
      </c>
      <c r="L2296" s="4" t="s">
        <v>264</v>
      </c>
      <c r="M2296" s="11">
        <f>_xlfn.NUMBERVALUE(LEFT(Table613[[#This Row],[Fiscal Year]], 4))</f>
        <v>2001</v>
      </c>
      <c r="N2296" s="42">
        <f t="shared" si="50"/>
        <v>4771696.6976849232</v>
      </c>
      <c r="O2296" s="3">
        <v>2294</v>
      </c>
    </row>
    <row r="2297" spans="1:15" x14ac:dyDescent="0.25">
      <c r="A2297" s="3">
        <v>8</v>
      </c>
      <c r="B2297" s="3" t="s">
        <v>290</v>
      </c>
      <c r="C2297" s="3" t="s">
        <v>262</v>
      </c>
      <c r="D2297" s="3" t="s">
        <v>444</v>
      </c>
      <c r="E2297" s="11" t="s">
        <v>144</v>
      </c>
      <c r="F2297" s="3" t="s">
        <v>8</v>
      </c>
      <c r="G2297" s="66" t="s">
        <v>997</v>
      </c>
      <c r="H2297" s="8" t="s">
        <v>593</v>
      </c>
      <c r="I2297" s="8" t="s">
        <v>594</v>
      </c>
      <c r="J2297" s="6" t="s">
        <v>108</v>
      </c>
      <c r="K2297" s="38">
        <v>26000</v>
      </c>
      <c r="L2297" s="4" t="s">
        <v>264</v>
      </c>
      <c r="M2297" s="11">
        <f>_xlfn.NUMBERVALUE(LEFT(Table613[[#This Row],[Fiscal Year]], 4))</f>
        <v>2001</v>
      </c>
      <c r="N2297" s="42">
        <f t="shared" si="50"/>
        <v>36941.874647092038</v>
      </c>
      <c r="O2297" s="3">
        <v>2295</v>
      </c>
    </row>
    <row r="2298" spans="1:15" x14ac:dyDescent="0.25">
      <c r="A2298" s="3">
        <v>8</v>
      </c>
      <c r="B2298" s="3" t="s">
        <v>290</v>
      </c>
      <c r="C2298" s="3" t="s">
        <v>262</v>
      </c>
      <c r="D2298" s="3" t="s">
        <v>444</v>
      </c>
      <c r="E2298" s="11" t="s">
        <v>144</v>
      </c>
      <c r="F2298" s="3" t="s">
        <v>8</v>
      </c>
      <c r="G2298" s="66" t="s">
        <v>998</v>
      </c>
      <c r="H2298" s="8" t="s">
        <v>504</v>
      </c>
      <c r="I2298" s="8"/>
      <c r="J2298" s="6" t="s">
        <v>108</v>
      </c>
      <c r="K2298" s="38">
        <v>250000</v>
      </c>
      <c r="L2298" s="4" t="s">
        <v>264</v>
      </c>
      <c r="M2298" s="11">
        <f>_xlfn.NUMBERVALUE(LEFT(Table613[[#This Row],[Fiscal Year]], 4))</f>
        <v>2001</v>
      </c>
      <c r="N2298" s="42">
        <f t="shared" si="50"/>
        <v>355210.33314511576</v>
      </c>
      <c r="O2298" s="3">
        <v>2296</v>
      </c>
    </row>
    <row r="2299" spans="1:15" x14ac:dyDescent="0.25">
      <c r="A2299" s="3">
        <v>8</v>
      </c>
      <c r="B2299" s="3" t="s">
        <v>290</v>
      </c>
      <c r="C2299" s="3" t="s">
        <v>262</v>
      </c>
      <c r="D2299" s="3" t="s">
        <v>444</v>
      </c>
      <c r="E2299" s="11" t="s">
        <v>144</v>
      </c>
      <c r="F2299" s="3" t="s">
        <v>8</v>
      </c>
      <c r="G2299" s="66" t="s">
        <v>999</v>
      </c>
      <c r="H2299" s="8" t="s">
        <v>504</v>
      </c>
      <c r="I2299" s="8"/>
      <c r="J2299" s="6" t="s">
        <v>108</v>
      </c>
      <c r="K2299" s="38">
        <v>301000</v>
      </c>
      <c r="L2299" s="4" t="s">
        <v>264</v>
      </c>
      <c r="M2299" s="11">
        <f>_xlfn.NUMBERVALUE(LEFT(Table613[[#This Row],[Fiscal Year]], 4))</f>
        <v>2001</v>
      </c>
      <c r="N2299" s="42">
        <f t="shared" si="50"/>
        <v>427673.24110671936</v>
      </c>
      <c r="O2299" s="3">
        <v>2297</v>
      </c>
    </row>
    <row r="2300" spans="1:15" x14ac:dyDescent="0.25">
      <c r="A2300" s="3">
        <v>8</v>
      </c>
      <c r="B2300" s="3" t="s">
        <v>290</v>
      </c>
      <c r="C2300" s="3" t="s">
        <v>262</v>
      </c>
      <c r="D2300" s="3" t="s">
        <v>444</v>
      </c>
      <c r="E2300" s="11" t="s">
        <v>144</v>
      </c>
      <c r="F2300" s="3" t="s">
        <v>8</v>
      </c>
      <c r="G2300" s="66" t="s">
        <v>1000</v>
      </c>
      <c r="H2300" s="8" t="s">
        <v>505</v>
      </c>
      <c r="I2300" s="8"/>
      <c r="J2300" s="6" t="s">
        <v>42</v>
      </c>
      <c r="K2300" s="38">
        <v>0</v>
      </c>
      <c r="L2300" s="4" t="s">
        <v>264</v>
      </c>
      <c r="M2300" s="11">
        <f>_xlfn.NUMBERVALUE(LEFT(Table613[[#This Row],[Fiscal Year]], 4))</f>
        <v>2001</v>
      </c>
      <c r="N2300" s="42">
        <f t="shared" si="50"/>
        <v>0</v>
      </c>
      <c r="O2300" s="3">
        <v>2298</v>
      </c>
    </row>
    <row r="2301" spans="1:15" x14ac:dyDescent="0.25">
      <c r="A2301" s="3">
        <v>8</v>
      </c>
      <c r="B2301" s="3" t="s">
        <v>290</v>
      </c>
      <c r="C2301" s="3" t="s">
        <v>262</v>
      </c>
      <c r="D2301" s="3" t="s">
        <v>444</v>
      </c>
      <c r="E2301" s="11" t="s">
        <v>144</v>
      </c>
      <c r="F2301" s="3" t="s">
        <v>8</v>
      </c>
      <c r="G2301" s="66" t="s">
        <v>1001</v>
      </c>
      <c r="H2301" s="8" t="s">
        <v>599</v>
      </c>
      <c r="I2301" s="8"/>
      <c r="J2301" s="6" t="s">
        <v>42</v>
      </c>
      <c r="K2301" s="38">
        <v>0</v>
      </c>
      <c r="L2301" s="4" t="s">
        <v>264</v>
      </c>
      <c r="M2301" s="11">
        <f>_xlfn.NUMBERVALUE(LEFT(Table613[[#This Row],[Fiscal Year]], 4))</f>
        <v>2001</v>
      </c>
      <c r="N2301" s="42">
        <f t="shared" si="50"/>
        <v>0</v>
      </c>
      <c r="O2301" s="3">
        <v>2299</v>
      </c>
    </row>
    <row r="2302" spans="1:15" x14ac:dyDescent="0.25">
      <c r="A2302" s="3">
        <v>8</v>
      </c>
      <c r="B2302" s="3" t="s">
        <v>290</v>
      </c>
      <c r="C2302" s="3" t="s">
        <v>262</v>
      </c>
      <c r="D2302" s="3" t="s">
        <v>444</v>
      </c>
      <c r="E2302" s="11" t="s">
        <v>144</v>
      </c>
      <c r="F2302" s="3" t="s">
        <v>8</v>
      </c>
      <c r="G2302" s="66" t="s">
        <v>1005</v>
      </c>
      <c r="H2302" s="8"/>
      <c r="I2302" s="8"/>
      <c r="J2302" s="6" t="s">
        <v>111</v>
      </c>
      <c r="K2302" s="38">
        <v>13400</v>
      </c>
      <c r="L2302" s="4" t="s">
        <v>264</v>
      </c>
      <c r="M2302" s="11">
        <f>_xlfn.NUMBERVALUE(LEFT(Table613[[#This Row],[Fiscal Year]], 4))</f>
        <v>2001</v>
      </c>
      <c r="N2302" s="42">
        <f t="shared" si="50"/>
        <v>19039.273856578202</v>
      </c>
      <c r="O2302" s="3">
        <v>2300</v>
      </c>
    </row>
    <row r="2303" spans="1:15" x14ac:dyDescent="0.25">
      <c r="A2303" s="3">
        <v>8</v>
      </c>
      <c r="B2303" s="3" t="s">
        <v>290</v>
      </c>
      <c r="C2303" s="3" t="s">
        <v>262</v>
      </c>
      <c r="D2303" s="3" t="s">
        <v>444</v>
      </c>
      <c r="E2303" s="11" t="s">
        <v>144</v>
      </c>
      <c r="F2303" s="3" t="s">
        <v>8</v>
      </c>
      <c r="G2303" s="66" t="s">
        <v>1006</v>
      </c>
      <c r="H2303" s="8"/>
      <c r="I2303" s="8"/>
      <c r="J2303" s="6" t="s">
        <v>107</v>
      </c>
      <c r="K2303" s="38">
        <v>8000</v>
      </c>
      <c r="L2303" s="4" t="s">
        <v>264</v>
      </c>
      <c r="M2303" s="11">
        <f>_xlfn.NUMBERVALUE(LEFT(Table613[[#This Row],[Fiscal Year]], 4))</f>
        <v>2001</v>
      </c>
      <c r="N2303" s="42">
        <f t="shared" si="50"/>
        <v>11366.730660643703</v>
      </c>
      <c r="O2303" s="3">
        <v>2301</v>
      </c>
    </row>
    <row r="2304" spans="1:15" x14ac:dyDescent="0.25">
      <c r="A2304" s="3">
        <v>8</v>
      </c>
      <c r="B2304" s="3" t="s">
        <v>290</v>
      </c>
      <c r="C2304" s="3" t="s">
        <v>262</v>
      </c>
      <c r="D2304" s="3" t="s">
        <v>444</v>
      </c>
      <c r="E2304" s="11" t="s">
        <v>144</v>
      </c>
      <c r="F2304" s="3" t="s">
        <v>8</v>
      </c>
      <c r="G2304" s="66" t="s">
        <v>1002</v>
      </c>
      <c r="H2304" s="8" t="s">
        <v>597</v>
      </c>
      <c r="I2304" s="8" t="s">
        <v>594</v>
      </c>
      <c r="J2304" s="6" t="s">
        <v>108</v>
      </c>
      <c r="K2304" s="38">
        <v>0</v>
      </c>
      <c r="L2304" s="4" t="s">
        <v>264</v>
      </c>
      <c r="M2304" s="11">
        <f>_xlfn.NUMBERVALUE(LEFT(Table613[[#This Row],[Fiscal Year]], 4))</f>
        <v>2001</v>
      </c>
      <c r="N2304" s="42">
        <f t="shared" si="50"/>
        <v>0</v>
      </c>
      <c r="O2304" s="3">
        <v>2302</v>
      </c>
    </row>
    <row r="2305" spans="1:15" x14ac:dyDescent="0.25">
      <c r="A2305" s="3">
        <v>8</v>
      </c>
      <c r="B2305" s="3" t="s">
        <v>290</v>
      </c>
      <c r="C2305" s="3" t="s">
        <v>262</v>
      </c>
      <c r="D2305" s="3" t="s">
        <v>444</v>
      </c>
      <c r="E2305" s="11" t="s">
        <v>144</v>
      </c>
      <c r="F2305" s="3" t="s">
        <v>8</v>
      </c>
      <c r="G2305" s="66" t="s">
        <v>1003</v>
      </c>
      <c r="H2305" s="8" t="s">
        <v>506</v>
      </c>
      <c r="I2305" s="8"/>
      <c r="J2305" s="6" t="s">
        <v>106</v>
      </c>
      <c r="K2305" s="38">
        <v>0</v>
      </c>
      <c r="L2305" s="4" t="s">
        <v>264</v>
      </c>
      <c r="M2305" s="11">
        <f>_xlfn.NUMBERVALUE(LEFT(Table613[[#This Row],[Fiscal Year]], 4))</f>
        <v>2001</v>
      </c>
      <c r="N2305" s="42">
        <f t="shared" si="50"/>
        <v>0</v>
      </c>
      <c r="O2305" s="3">
        <v>2303</v>
      </c>
    </row>
    <row r="2306" spans="1:15" x14ac:dyDescent="0.25">
      <c r="A2306" s="3">
        <v>8</v>
      </c>
      <c r="B2306" s="3" t="s">
        <v>290</v>
      </c>
      <c r="C2306" s="3" t="s">
        <v>262</v>
      </c>
      <c r="D2306" s="3" t="s">
        <v>444</v>
      </c>
      <c r="E2306" s="11" t="s">
        <v>144</v>
      </c>
      <c r="F2306" s="3" t="s">
        <v>8</v>
      </c>
      <c r="G2306" s="66" t="s">
        <v>1007</v>
      </c>
      <c r="H2306" s="8"/>
      <c r="I2306" s="8"/>
      <c r="J2306" s="6" t="s">
        <v>76</v>
      </c>
      <c r="K2306" s="38">
        <v>0</v>
      </c>
      <c r="L2306" s="4" t="s">
        <v>264</v>
      </c>
      <c r="M2306" s="11">
        <f>_xlfn.NUMBERVALUE(LEFT(Table613[[#This Row],[Fiscal Year]], 4))</f>
        <v>2001</v>
      </c>
      <c r="N2306" s="42">
        <f t="shared" si="50"/>
        <v>0</v>
      </c>
      <c r="O2306" s="3">
        <v>2304</v>
      </c>
    </row>
    <row r="2307" spans="1:15" x14ac:dyDescent="0.25">
      <c r="E2307" s="11"/>
      <c r="G2307" s="66"/>
      <c r="H2307" s="8"/>
      <c r="I2307" s="8"/>
      <c r="J2307" s="6"/>
      <c r="L2307" s="4"/>
      <c r="O2307" s="3">
        <v>2305</v>
      </c>
    </row>
    <row r="2308" spans="1:15" x14ac:dyDescent="0.25">
      <c r="A2308" s="3">
        <v>8</v>
      </c>
      <c r="B2308" s="3" t="s">
        <v>291</v>
      </c>
      <c r="C2308" s="3" t="s">
        <v>262</v>
      </c>
      <c r="D2308" s="3" t="s">
        <v>444</v>
      </c>
      <c r="E2308" s="11" t="s">
        <v>144</v>
      </c>
      <c r="F2308" s="3" t="s">
        <v>8</v>
      </c>
      <c r="G2308" s="48" t="s">
        <v>976</v>
      </c>
      <c r="H2308" s="8" t="s">
        <v>503</v>
      </c>
      <c r="I2308" s="8" t="s">
        <v>640</v>
      </c>
      <c r="J2308" s="6" t="s">
        <v>110</v>
      </c>
      <c r="K2308" s="38">
        <v>0</v>
      </c>
      <c r="L2308" s="4" t="s">
        <v>264</v>
      </c>
      <c r="M2308" s="11">
        <f>_xlfn.NUMBERVALUE(LEFT(Table613[[#This Row],[Fiscal Year]], 4))</f>
        <v>2001</v>
      </c>
      <c r="N2308" s="42">
        <f t="shared" ref="N2308:N2339" si="51">K2308*(1+VLOOKUP(M2308,$AF$8:$AH$31,3,0))</f>
        <v>0</v>
      </c>
      <c r="O2308" s="3">
        <v>2306</v>
      </c>
    </row>
    <row r="2309" spans="1:15" x14ac:dyDescent="0.25">
      <c r="A2309" s="3">
        <v>8</v>
      </c>
      <c r="B2309" s="3" t="s">
        <v>291</v>
      </c>
      <c r="C2309" s="3" t="s">
        <v>262</v>
      </c>
      <c r="D2309" s="3" t="s">
        <v>444</v>
      </c>
      <c r="E2309" s="11" t="s">
        <v>144</v>
      </c>
      <c r="F2309" s="3" t="s">
        <v>8</v>
      </c>
      <c r="G2309" s="66" t="s">
        <v>977</v>
      </c>
      <c r="H2309" s="8" t="s">
        <v>504</v>
      </c>
      <c r="I2309" s="8"/>
      <c r="J2309" s="6" t="s">
        <v>108</v>
      </c>
      <c r="K2309" s="38">
        <v>0</v>
      </c>
      <c r="L2309" s="4" t="s">
        <v>264</v>
      </c>
      <c r="M2309" s="11">
        <f>_xlfn.NUMBERVALUE(LEFT(Table613[[#This Row],[Fiscal Year]], 4))</f>
        <v>2001</v>
      </c>
      <c r="N2309" s="42">
        <f t="shared" si="51"/>
        <v>0</v>
      </c>
      <c r="O2309" s="3">
        <v>2307</v>
      </c>
    </row>
    <row r="2310" spans="1:15" x14ac:dyDescent="0.25">
      <c r="A2310" s="3">
        <v>8</v>
      </c>
      <c r="B2310" s="3" t="s">
        <v>291</v>
      </c>
      <c r="C2310" s="3" t="s">
        <v>262</v>
      </c>
      <c r="D2310" s="3" t="s">
        <v>444</v>
      </c>
      <c r="E2310" s="11" t="s">
        <v>144</v>
      </c>
      <c r="F2310" s="3" t="s">
        <v>8</v>
      </c>
      <c r="G2310" s="66" t="s">
        <v>978</v>
      </c>
      <c r="H2310" s="8" t="s">
        <v>602</v>
      </c>
      <c r="I2310" s="8"/>
      <c r="J2310" s="6" t="s">
        <v>108</v>
      </c>
      <c r="K2310" s="38">
        <v>0</v>
      </c>
      <c r="L2310" s="4" t="s">
        <v>264</v>
      </c>
      <c r="M2310" s="11">
        <f>_xlfn.NUMBERVALUE(LEFT(Table613[[#This Row],[Fiscal Year]], 4))</f>
        <v>2001</v>
      </c>
      <c r="N2310" s="42">
        <f t="shared" si="51"/>
        <v>0</v>
      </c>
      <c r="O2310" s="3">
        <v>2308</v>
      </c>
    </row>
    <row r="2311" spans="1:15" x14ac:dyDescent="0.25">
      <c r="A2311" s="3">
        <v>8</v>
      </c>
      <c r="B2311" s="3" t="s">
        <v>291</v>
      </c>
      <c r="C2311" s="3" t="s">
        <v>262</v>
      </c>
      <c r="D2311" s="3" t="s">
        <v>444</v>
      </c>
      <c r="E2311" s="11" t="s">
        <v>144</v>
      </c>
      <c r="F2311" s="3" t="s">
        <v>8</v>
      </c>
      <c r="G2311" s="66" t="s">
        <v>979</v>
      </c>
      <c r="H2311" s="8" t="s">
        <v>504</v>
      </c>
      <c r="I2311" s="8"/>
      <c r="J2311" s="6" t="s">
        <v>108</v>
      </c>
      <c r="K2311" s="38">
        <v>60000</v>
      </c>
      <c r="L2311" s="4" t="s">
        <v>264</v>
      </c>
      <c r="M2311" s="11">
        <f>_xlfn.NUMBERVALUE(LEFT(Table613[[#This Row],[Fiscal Year]], 4))</f>
        <v>2001</v>
      </c>
      <c r="N2311" s="42">
        <f>K2311*(1+VLOOKUP(M2311,$AF$8:$AH$31,3,0))</f>
        <v>85250.479954827781</v>
      </c>
      <c r="O2311" s="3">
        <v>2309</v>
      </c>
    </row>
    <row r="2312" spans="1:15" x14ac:dyDescent="0.25">
      <c r="A2312" s="3">
        <v>8</v>
      </c>
      <c r="B2312" s="3" t="s">
        <v>291</v>
      </c>
      <c r="C2312" s="3" t="s">
        <v>262</v>
      </c>
      <c r="D2312" s="3" t="s">
        <v>444</v>
      </c>
      <c r="E2312" s="11" t="s">
        <v>144</v>
      </c>
      <c r="F2312" s="3" t="s">
        <v>8</v>
      </c>
      <c r="G2312" s="66" t="s">
        <v>980</v>
      </c>
      <c r="H2312" s="8" t="s">
        <v>504</v>
      </c>
      <c r="I2312" s="8"/>
      <c r="J2312" s="6" t="s">
        <v>108</v>
      </c>
      <c r="K2312" s="38">
        <v>0</v>
      </c>
      <c r="L2312" s="4" t="s">
        <v>264</v>
      </c>
      <c r="M2312" s="11">
        <f>_xlfn.NUMBERVALUE(LEFT(Table613[[#This Row],[Fiscal Year]], 4))</f>
        <v>2001</v>
      </c>
      <c r="N2312" s="42">
        <f t="shared" si="51"/>
        <v>0</v>
      </c>
      <c r="O2312" s="3">
        <v>2310</v>
      </c>
    </row>
    <row r="2313" spans="1:15" x14ac:dyDescent="0.25">
      <c r="A2313" s="3">
        <v>8</v>
      </c>
      <c r="B2313" s="3" t="s">
        <v>291</v>
      </c>
      <c r="C2313" s="3" t="s">
        <v>262</v>
      </c>
      <c r="D2313" s="3" t="s">
        <v>444</v>
      </c>
      <c r="E2313" s="11" t="s">
        <v>144</v>
      </c>
      <c r="F2313" s="3" t="s">
        <v>8</v>
      </c>
      <c r="G2313" s="48" t="s">
        <v>981</v>
      </c>
      <c r="H2313" s="8" t="s">
        <v>504</v>
      </c>
      <c r="I2313" s="8"/>
      <c r="J2313" s="6" t="s">
        <v>108</v>
      </c>
      <c r="K2313" s="38">
        <v>0</v>
      </c>
      <c r="L2313" s="4" t="s">
        <v>264</v>
      </c>
      <c r="M2313" s="11">
        <f>_xlfn.NUMBERVALUE(LEFT(Table613[[#This Row],[Fiscal Year]], 4))</f>
        <v>2001</v>
      </c>
      <c r="N2313" s="42">
        <f t="shared" si="51"/>
        <v>0</v>
      </c>
      <c r="O2313" s="3">
        <v>2311</v>
      </c>
    </row>
    <row r="2314" spans="1:15" x14ac:dyDescent="0.25">
      <c r="A2314" s="3">
        <v>8</v>
      </c>
      <c r="B2314" s="3" t="s">
        <v>291</v>
      </c>
      <c r="C2314" s="3" t="s">
        <v>262</v>
      </c>
      <c r="D2314" s="3" t="s">
        <v>444</v>
      </c>
      <c r="E2314" s="11" t="s">
        <v>144</v>
      </c>
      <c r="F2314" s="3" t="s">
        <v>8</v>
      </c>
      <c r="G2314" s="66" t="s">
        <v>982</v>
      </c>
      <c r="H2314" s="8" t="s">
        <v>593</v>
      </c>
      <c r="I2314" s="8" t="s">
        <v>594</v>
      </c>
      <c r="J2314" s="6" t="s">
        <v>108</v>
      </c>
      <c r="K2314" s="38">
        <v>0</v>
      </c>
      <c r="L2314" s="4" t="s">
        <v>264</v>
      </c>
      <c r="M2314" s="11">
        <f>_xlfn.NUMBERVALUE(LEFT(Table613[[#This Row],[Fiscal Year]], 4))</f>
        <v>2001</v>
      </c>
      <c r="N2314" s="42">
        <f t="shared" si="51"/>
        <v>0</v>
      </c>
      <c r="O2314" s="3">
        <v>2312</v>
      </c>
    </row>
    <row r="2315" spans="1:15" x14ac:dyDescent="0.25">
      <c r="A2315" s="3">
        <v>8</v>
      </c>
      <c r="B2315" s="3" t="s">
        <v>291</v>
      </c>
      <c r="C2315" s="3" t="s">
        <v>262</v>
      </c>
      <c r="D2315" s="3" t="s">
        <v>444</v>
      </c>
      <c r="E2315" s="11" t="s">
        <v>144</v>
      </c>
      <c r="F2315" s="3" t="s">
        <v>8</v>
      </c>
      <c r="G2315" s="66" t="s">
        <v>983</v>
      </c>
      <c r="H2315" s="8" t="s">
        <v>504</v>
      </c>
      <c r="I2315" s="8"/>
      <c r="J2315" s="6" t="s">
        <v>108</v>
      </c>
      <c r="K2315" s="38">
        <v>0</v>
      </c>
      <c r="L2315" s="4" t="s">
        <v>264</v>
      </c>
      <c r="M2315" s="11">
        <f>_xlfn.NUMBERVALUE(LEFT(Table613[[#This Row],[Fiscal Year]], 4))</f>
        <v>2001</v>
      </c>
      <c r="N2315" s="42">
        <f t="shared" si="51"/>
        <v>0</v>
      </c>
      <c r="O2315" s="3">
        <v>2313</v>
      </c>
    </row>
    <row r="2316" spans="1:15" x14ac:dyDescent="0.25">
      <c r="A2316" s="3">
        <v>8</v>
      </c>
      <c r="B2316" s="3" t="s">
        <v>291</v>
      </c>
      <c r="C2316" s="3" t="s">
        <v>262</v>
      </c>
      <c r="D2316" s="3" t="s">
        <v>444</v>
      </c>
      <c r="E2316" s="11" t="s">
        <v>144</v>
      </c>
      <c r="F2316" s="3" t="s">
        <v>8</v>
      </c>
      <c r="G2316" s="66" t="s">
        <v>984</v>
      </c>
      <c r="H2316" s="8" t="s">
        <v>504</v>
      </c>
      <c r="I2316" s="8"/>
      <c r="J2316" s="6" t="s">
        <v>108</v>
      </c>
      <c r="K2316" s="38">
        <v>0</v>
      </c>
      <c r="L2316" s="4" t="s">
        <v>264</v>
      </c>
      <c r="M2316" s="11">
        <f>_xlfn.NUMBERVALUE(LEFT(Table613[[#This Row],[Fiscal Year]], 4))</f>
        <v>2001</v>
      </c>
      <c r="N2316" s="42">
        <f t="shared" si="51"/>
        <v>0</v>
      </c>
      <c r="O2316" s="3">
        <v>2314</v>
      </c>
    </row>
    <row r="2317" spans="1:15" x14ac:dyDescent="0.25">
      <c r="A2317" s="3">
        <v>8</v>
      </c>
      <c r="B2317" s="3" t="s">
        <v>291</v>
      </c>
      <c r="C2317" s="3" t="s">
        <v>262</v>
      </c>
      <c r="D2317" s="3" t="s">
        <v>444</v>
      </c>
      <c r="E2317" s="11" t="s">
        <v>144</v>
      </c>
      <c r="F2317" s="3" t="s">
        <v>8</v>
      </c>
      <c r="G2317" s="66" t="s">
        <v>985</v>
      </c>
      <c r="H2317" s="8" t="s">
        <v>505</v>
      </c>
      <c r="I2317" s="8"/>
      <c r="J2317" s="6" t="s">
        <v>42</v>
      </c>
      <c r="K2317" s="38">
        <v>0</v>
      </c>
      <c r="L2317" s="4" t="s">
        <v>264</v>
      </c>
      <c r="M2317" s="11">
        <f>_xlfn.NUMBERVALUE(LEFT(Table613[[#This Row],[Fiscal Year]], 4))</f>
        <v>2001</v>
      </c>
      <c r="N2317" s="42">
        <f t="shared" si="51"/>
        <v>0</v>
      </c>
      <c r="O2317" s="3">
        <v>2315</v>
      </c>
    </row>
    <row r="2318" spans="1:15" x14ac:dyDescent="0.25">
      <c r="A2318" s="3">
        <v>8</v>
      </c>
      <c r="B2318" s="3" t="s">
        <v>291</v>
      </c>
      <c r="C2318" s="3" t="s">
        <v>262</v>
      </c>
      <c r="D2318" s="3" t="s">
        <v>444</v>
      </c>
      <c r="E2318" s="11" t="s">
        <v>144</v>
      </c>
      <c r="F2318" s="3" t="s">
        <v>8</v>
      </c>
      <c r="G2318" s="66" t="s">
        <v>986</v>
      </c>
      <c r="H2318" s="8" t="s">
        <v>599</v>
      </c>
      <c r="I2318" s="8"/>
      <c r="J2318" s="6" t="s">
        <v>42</v>
      </c>
      <c r="K2318" s="38">
        <v>0</v>
      </c>
      <c r="L2318" s="4" t="s">
        <v>264</v>
      </c>
      <c r="M2318" s="11">
        <f>_xlfn.NUMBERVALUE(LEFT(Table613[[#This Row],[Fiscal Year]], 4))</f>
        <v>2001</v>
      </c>
      <c r="N2318" s="42">
        <f t="shared" si="51"/>
        <v>0</v>
      </c>
      <c r="O2318" s="3">
        <v>2316</v>
      </c>
    </row>
    <row r="2319" spans="1:15" x14ac:dyDescent="0.25">
      <c r="A2319" s="3">
        <v>8</v>
      </c>
      <c r="B2319" s="3" t="s">
        <v>291</v>
      </c>
      <c r="C2319" s="3" t="s">
        <v>262</v>
      </c>
      <c r="D2319" s="3" t="s">
        <v>444</v>
      </c>
      <c r="E2319" s="11" t="s">
        <v>144</v>
      </c>
      <c r="F2319" s="3" t="s">
        <v>8</v>
      </c>
      <c r="G2319" s="66" t="s">
        <v>987</v>
      </c>
      <c r="H2319" s="8"/>
      <c r="I2319" s="8"/>
      <c r="J2319" s="6" t="s">
        <v>111</v>
      </c>
      <c r="K2319" s="38">
        <v>0</v>
      </c>
      <c r="L2319" s="4" t="s">
        <v>264</v>
      </c>
      <c r="M2319" s="11">
        <f>_xlfn.NUMBERVALUE(LEFT(Table613[[#This Row],[Fiscal Year]], 4))</f>
        <v>2001</v>
      </c>
      <c r="N2319" s="42">
        <f t="shared" si="51"/>
        <v>0</v>
      </c>
      <c r="O2319" s="3">
        <v>2317</v>
      </c>
    </row>
    <row r="2320" spans="1:15" x14ac:dyDescent="0.25">
      <c r="A2320" s="3">
        <v>8</v>
      </c>
      <c r="B2320" s="3" t="s">
        <v>291</v>
      </c>
      <c r="C2320" s="3" t="s">
        <v>262</v>
      </c>
      <c r="D2320" s="3" t="s">
        <v>444</v>
      </c>
      <c r="E2320" s="11" t="s">
        <v>144</v>
      </c>
      <c r="F2320" s="3" t="s">
        <v>8</v>
      </c>
      <c r="G2320" s="66" t="s">
        <v>988</v>
      </c>
      <c r="H2320" s="8"/>
      <c r="I2320" s="8"/>
      <c r="J2320" s="6" t="s">
        <v>107</v>
      </c>
      <c r="K2320" s="38">
        <v>0</v>
      </c>
      <c r="L2320" s="4" t="s">
        <v>264</v>
      </c>
      <c r="M2320" s="11">
        <f>_xlfn.NUMBERVALUE(LEFT(Table613[[#This Row],[Fiscal Year]], 4))</f>
        <v>2001</v>
      </c>
      <c r="N2320" s="42">
        <f t="shared" si="51"/>
        <v>0</v>
      </c>
      <c r="O2320" s="3">
        <v>2318</v>
      </c>
    </row>
    <row r="2321" spans="1:15" x14ac:dyDescent="0.25">
      <c r="A2321" s="3">
        <v>8</v>
      </c>
      <c r="B2321" s="3" t="s">
        <v>291</v>
      </c>
      <c r="C2321" s="3" t="s">
        <v>262</v>
      </c>
      <c r="D2321" s="3" t="s">
        <v>444</v>
      </c>
      <c r="E2321" s="11" t="s">
        <v>144</v>
      </c>
      <c r="F2321" s="3" t="s">
        <v>8</v>
      </c>
      <c r="G2321" s="66" t="s">
        <v>989</v>
      </c>
      <c r="H2321" s="8" t="s">
        <v>597</v>
      </c>
      <c r="I2321" s="8" t="s">
        <v>594</v>
      </c>
      <c r="J2321" s="6" t="s">
        <v>108</v>
      </c>
      <c r="K2321" s="38">
        <v>0</v>
      </c>
      <c r="L2321" s="4" t="s">
        <v>264</v>
      </c>
      <c r="M2321" s="11">
        <f>_xlfn.NUMBERVALUE(LEFT(Table613[[#This Row],[Fiscal Year]], 4))</f>
        <v>2001</v>
      </c>
      <c r="N2321" s="42">
        <f t="shared" si="51"/>
        <v>0</v>
      </c>
      <c r="O2321" s="3">
        <v>2319</v>
      </c>
    </row>
    <row r="2322" spans="1:15" x14ac:dyDescent="0.25">
      <c r="A2322" s="3">
        <v>8</v>
      </c>
      <c r="B2322" s="3" t="s">
        <v>291</v>
      </c>
      <c r="C2322" s="3" t="s">
        <v>262</v>
      </c>
      <c r="D2322" s="3" t="s">
        <v>444</v>
      </c>
      <c r="E2322" s="11" t="s">
        <v>144</v>
      </c>
      <c r="F2322" s="3" t="s">
        <v>8</v>
      </c>
      <c r="G2322" s="66" t="s">
        <v>990</v>
      </c>
      <c r="H2322" s="8" t="s">
        <v>506</v>
      </c>
      <c r="I2322" s="8"/>
      <c r="J2322" s="6" t="s">
        <v>106</v>
      </c>
      <c r="K2322" s="38">
        <v>0</v>
      </c>
      <c r="L2322" s="4" t="s">
        <v>264</v>
      </c>
      <c r="M2322" s="11">
        <f>_xlfn.NUMBERVALUE(LEFT(Table613[[#This Row],[Fiscal Year]], 4))</f>
        <v>2001</v>
      </c>
      <c r="N2322" s="42">
        <f t="shared" si="51"/>
        <v>0</v>
      </c>
      <c r="O2322" s="3">
        <v>2320</v>
      </c>
    </row>
    <row r="2323" spans="1:15" x14ac:dyDescent="0.25">
      <c r="A2323" s="3">
        <v>8</v>
      </c>
      <c r="B2323" s="3" t="s">
        <v>291</v>
      </c>
      <c r="C2323" s="3" t="s">
        <v>262</v>
      </c>
      <c r="D2323" s="3" t="s">
        <v>444</v>
      </c>
      <c r="E2323" s="11" t="s">
        <v>144</v>
      </c>
      <c r="F2323" s="3" t="s">
        <v>8</v>
      </c>
      <c r="G2323" s="66" t="s">
        <v>1004</v>
      </c>
      <c r="H2323" s="8"/>
      <c r="I2323" s="8"/>
      <c r="J2323" s="6" t="s">
        <v>76</v>
      </c>
      <c r="K2323" s="38">
        <v>500</v>
      </c>
      <c r="L2323" s="4" t="s">
        <v>264</v>
      </c>
      <c r="M2323" s="11">
        <f>_xlfn.NUMBERVALUE(LEFT(Table613[[#This Row],[Fiscal Year]], 4))</f>
        <v>2001</v>
      </c>
      <c r="N2323" s="42">
        <f>K2323*(1+VLOOKUP(M2323,$AF$8:$AH$31,3,0))</f>
        <v>710.42066629023145</v>
      </c>
      <c r="O2323" s="3">
        <v>2321</v>
      </c>
    </row>
    <row r="2324" spans="1:15" x14ac:dyDescent="0.25">
      <c r="A2324" s="3">
        <v>8</v>
      </c>
      <c r="B2324" s="3" t="s">
        <v>291</v>
      </c>
      <c r="C2324" s="3" t="s">
        <v>262</v>
      </c>
      <c r="D2324" s="3" t="s">
        <v>444</v>
      </c>
      <c r="E2324" s="11" t="s">
        <v>144</v>
      </c>
      <c r="F2324" s="3" t="s">
        <v>8</v>
      </c>
      <c r="G2324" s="48" t="s">
        <v>991</v>
      </c>
      <c r="H2324" s="8" t="s">
        <v>503</v>
      </c>
      <c r="I2324" s="8"/>
      <c r="J2324" s="6" t="s">
        <v>110</v>
      </c>
      <c r="K2324" s="38">
        <v>0</v>
      </c>
      <c r="L2324" s="4" t="s">
        <v>264</v>
      </c>
      <c r="M2324" s="11">
        <f>_xlfn.NUMBERVALUE(LEFT(Table613[[#This Row],[Fiscal Year]], 4))</f>
        <v>2001</v>
      </c>
      <c r="N2324" s="42">
        <f t="shared" si="51"/>
        <v>0</v>
      </c>
      <c r="O2324" s="3">
        <v>2322</v>
      </c>
    </row>
    <row r="2325" spans="1:15" x14ac:dyDescent="0.25">
      <c r="A2325" s="3">
        <v>8</v>
      </c>
      <c r="B2325" s="3" t="s">
        <v>291</v>
      </c>
      <c r="C2325" s="3" t="s">
        <v>262</v>
      </c>
      <c r="D2325" s="3" t="s">
        <v>444</v>
      </c>
      <c r="E2325" s="11" t="s">
        <v>144</v>
      </c>
      <c r="F2325" s="3" t="s">
        <v>8</v>
      </c>
      <c r="G2325" s="66" t="s">
        <v>992</v>
      </c>
      <c r="H2325" s="8" t="s">
        <v>504</v>
      </c>
      <c r="I2325" s="8"/>
      <c r="J2325" s="6" t="s">
        <v>108</v>
      </c>
      <c r="K2325" s="38">
        <v>7000</v>
      </c>
      <c r="L2325" s="4" t="s">
        <v>264</v>
      </c>
      <c r="M2325" s="11">
        <f>_xlfn.NUMBERVALUE(LEFT(Table613[[#This Row],[Fiscal Year]], 4))</f>
        <v>2001</v>
      </c>
      <c r="N2325" s="42">
        <f t="shared" si="51"/>
        <v>9945.8893280632401</v>
      </c>
      <c r="O2325" s="3">
        <v>2323</v>
      </c>
    </row>
    <row r="2326" spans="1:15" x14ac:dyDescent="0.25">
      <c r="A2326" s="3">
        <v>8</v>
      </c>
      <c r="B2326" s="3" t="s">
        <v>291</v>
      </c>
      <c r="C2326" s="3" t="s">
        <v>262</v>
      </c>
      <c r="D2326" s="3" t="s">
        <v>444</v>
      </c>
      <c r="E2326" s="11" t="s">
        <v>144</v>
      </c>
      <c r="F2326" s="3" t="s">
        <v>8</v>
      </c>
      <c r="G2326" s="66" t="s">
        <v>993</v>
      </c>
      <c r="H2326" s="8" t="s">
        <v>602</v>
      </c>
      <c r="I2326" s="8"/>
      <c r="J2326" s="6" t="s">
        <v>108</v>
      </c>
      <c r="K2326" s="38">
        <v>167000</v>
      </c>
      <c r="L2326" s="4" t="s">
        <v>264</v>
      </c>
      <c r="M2326" s="11">
        <f>_xlfn.NUMBERVALUE(LEFT(Table613[[#This Row],[Fiscal Year]], 4))</f>
        <v>2001</v>
      </c>
      <c r="N2326" s="42">
        <f t="shared" si="51"/>
        <v>237280.5025409373</v>
      </c>
      <c r="O2326" s="3">
        <v>2324</v>
      </c>
    </row>
    <row r="2327" spans="1:15" x14ac:dyDescent="0.25">
      <c r="A2327" s="3">
        <v>8</v>
      </c>
      <c r="B2327" s="3" t="s">
        <v>291</v>
      </c>
      <c r="C2327" s="3" t="s">
        <v>262</v>
      </c>
      <c r="D2327" s="3" t="s">
        <v>444</v>
      </c>
      <c r="E2327" s="11" t="s">
        <v>144</v>
      </c>
      <c r="F2327" s="3" t="s">
        <v>8</v>
      </c>
      <c r="G2327" s="66" t="s">
        <v>994</v>
      </c>
      <c r="H2327" s="8" t="s">
        <v>504</v>
      </c>
      <c r="I2327" s="8"/>
      <c r="J2327" s="6" t="s">
        <v>108</v>
      </c>
      <c r="K2327" s="38">
        <v>50000</v>
      </c>
      <c r="L2327" s="4" t="s">
        <v>264</v>
      </c>
      <c r="M2327" s="11">
        <f>_xlfn.NUMBERVALUE(LEFT(Table613[[#This Row],[Fiscal Year]], 4))</f>
        <v>2001</v>
      </c>
      <c r="N2327" s="42">
        <f t="shared" si="51"/>
        <v>71042.066629023146</v>
      </c>
      <c r="O2327" s="3">
        <v>2325</v>
      </c>
    </row>
    <row r="2328" spans="1:15" x14ac:dyDescent="0.25">
      <c r="A2328" s="3">
        <v>8</v>
      </c>
      <c r="B2328" s="3" t="s">
        <v>291</v>
      </c>
      <c r="C2328" s="3" t="s">
        <v>262</v>
      </c>
      <c r="D2328" s="3" t="s">
        <v>444</v>
      </c>
      <c r="E2328" s="11" t="s">
        <v>144</v>
      </c>
      <c r="F2328" s="3" t="s">
        <v>8</v>
      </c>
      <c r="G2328" s="66" t="s">
        <v>995</v>
      </c>
      <c r="H2328" s="8" t="s">
        <v>504</v>
      </c>
      <c r="I2328" s="8"/>
      <c r="J2328" s="6" t="s">
        <v>108</v>
      </c>
      <c r="K2328" s="38">
        <v>1200</v>
      </c>
      <c r="L2328" s="4" t="s">
        <v>264</v>
      </c>
      <c r="M2328" s="11">
        <f>_xlfn.NUMBERVALUE(LEFT(Table613[[#This Row],[Fiscal Year]], 4))</f>
        <v>2001</v>
      </c>
      <c r="N2328" s="42">
        <f t="shared" si="51"/>
        <v>1705.0095990965556</v>
      </c>
      <c r="O2328" s="3">
        <v>2326</v>
      </c>
    </row>
    <row r="2329" spans="1:15" x14ac:dyDescent="0.25">
      <c r="A2329" s="3">
        <v>8</v>
      </c>
      <c r="B2329" s="3" t="s">
        <v>291</v>
      </c>
      <c r="C2329" s="3" t="s">
        <v>262</v>
      </c>
      <c r="D2329" s="3" t="s">
        <v>444</v>
      </c>
      <c r="E2329" s="11" t="s">
        <v>144</v>
      </c>
      <c r="F2329" s="3" t="s">
        <v>8</v>
      </c>
      <c r="G2329" s="48" t="s">
        <v>996</v>
      </c>
      <c r="H2329" s="8" t="s">
        <v>504</v>
      </c>
      <c r="I2329" s="8"/>
      <c r="J2329" s="6" t="s">
        <v>108</v>
      </c>
      <c r="K2329" s="38">
        <v>74000</v>
      </c>
      <c r="L2329" s="4" t="s">
        <v>264</v>
      </c>
      <c r="M2329" s="11">
        <f>_xlfn.NUMBERVALUE(LEFT(Table613[[#This Row],[Fiscal Year]], 4))</f>
        <v>2001</v>
      </c>
      <c r="N2329" s="42">
        <f t="shared" si="51"/>
        <v>105142.25861095426</v>
      </c>
      <c r="O2329" s="3">
        <v>2327</v>
      </c>
    </row>
    <row r="2330" spans="1:15" x14ac:dyDescent="0.25">
      <c r="A2330" s="3">
        <v>8</v>
      </c>
      <c r="B2330" s="3" t="s">
        <v>291</v>
      </c>
      <c r="C2330" s="3" t="s">
        <v>262</v>
      </c>
      <c r="D2330" s="3" t="s">
        <v>444</v>
      </c>
      <c r="E2330" s="11" t="s">
        <v>144</v>
      </c>
      <c r="F2330" s="3" t="s">
        <v>8</v>
      </c>
      <c r="G2330" s="66" t="s">
        <v>997</v>
      </c>
      <c r="H2330" s="8" t="s">
        <v>593</v>
      </c>
      <c r="I2330" s="8" t="s">
        <v>594</v>
      </c>
      <c r="J2330" s="6" t="s">
        <v>108</v>
      </c>
      <c r="K2330" s="38">
        <v>12000</v>
      </c>
      <c r="L2330" s="4" t="s">
        <v>264</v>
      </c>
      <c r="M2330" s="11">
        <f>_xlfn.NUMBERVALUE(LEFT(Table613[[#This Row],[Fiscal Year]], 4))</f>
        <v>2001</v>
      </c>
      <c r="N2330" s="42">
        <f t="shared" si="51"/>
        <v>17050.095990965554</v>
      </c>
      <c r="O2330" s="3">
        <v>2328</v>
      </c>
    </row>
    <row r="2331" spans="1:15" x14ac:dyDescent="0.25">
      <c r="A2331" s="3">
        <v>8</v>
      </c>
      <c r="B2331" s="3" t="s">
        <v>291</v>
      </c>
      <c r="C2331" s="3" t="s">
        <v>262</v>
      </c>
      <c r="D2331" s="3" t="s">
        <v>444</v>
      </c>
      <c r="E2331" s="11" t="s">
        <v>144</v>
      </c>
      <c r="F2331" s="3" t="s">
        <v>8</v>
      </c>
      <c r="G2331" s="66" t="s">
        <v>998</v>
      </c>
      <c r="H2331" s="8" t="s">
        <v>504</v>
      </c>
      <c r="I2331" s="8"/>
      <c r="J2331" s="6" t="s">
        <v>108</v>
      </c>
      <c r="K2331" s="38">
        <v>1000</v>
      </c>
      <c r="L2331" s="4" t="s">
        <v>264</v>
      </c>
      <c r="M2331" s="11">
        <f>_xlfn.NUMBERVALUE(LEFT(Table613[[#This Row],[Fiscal Year]], 4))</f>
        <v>2001</v>
      </c>
      <c r="N2331" s="42">
        <f t="shared" si="51"/>
        <v>1420.8413325804629</v>
      </c>
      <c r="O2331" s="3">
        <v>2329</v>
      </c>
    </row>
    <row r="2332" spans="1:15" x14ac:dyDescent="0.25">
      <c r="A2332" s="3">
        <v>8</v>
      </c>
      <c r="B2332" s="3" t="s">
        <v>291</v>
      </c>
      <c r="C2332" s="3" t="s">
        <v>262</v>
      </c>
      <c r="D2332" s="3" t="s">
        <v>444</v>
      </c>
      <c r="E2332" s="11" t="s">
        <v>144</v>
      </c>
      <c r="F2332" s="3" t="s">
        <v>8</v>
      </c>
      <c r="G2332" s="66" t="s">
        <v>999</v>
      </c>
      <c r="H2332" s="8" t="s">
        <v>504</v>
      </c>
      <c r="I2332" s="8"/>
      <c r="J2332" s="6" t="s">
        <v>108</v>
      </c>
      <c r="K2332" s="38">
        <v>2000</v>
      </c>
      <c r="L2332" s="4" t="s">
        <v>264</v>
      </c>
      <c r="M2332" s="11">
        <f>_xlfn.NUMBERVALUE(LEFT(Table613[[#This Row],[Fiscal Year]], 4))</f>
        <v>2001</v>
      </c>
      <c r="N2332" s="42">
        <f t="shared" si="51"/>
        <v>2841.6826651609258</v>
      </c>
      <c r="O2332" s="3">
        <v>2330</v>
      </c>
    </row>
    <row r="2333" spans="1:15" x14ac:dyDescent="0.25">
      <c r="A2333" s="3">
        <v>8</v>
      </c>
      <c r="B2333" s="3" t="s">
        <v>291</v>
      </c>
      <c r="C2333" s="3" t="s">
        <v>262</v>
      </c>
      <c r="D2333" s="3" t="s">
        <v>444</v>
      </c>
      <c r="E2333" s="11" t="s">
        <v>144</v>
      </c>
      <c r="F2333" s="3" t="s">
        <v>8</v>
      </c>
      <c r="G2333" s="66" t="s">
        <v>1000</v>
      </c>
      <c r="H2333" s="8" t="s">
        <v>505</v>
      </c>
      <c r="I2333" s="8"/>
      <c r="J2333" s="6" t="s">
        <v>42</v>
      </c>
      <c r="K2333" s="38">
        <v>1000</v>
      </c>
      <c r="L2333" s="4" t="s">
        <v>264</v>
      </c>
      <c r="M2333" s="11">
        <f>_xlfn.NUMBERVALUE(LEFT(Table613[[#This Row],[Fiscal Year]], 4))</f>
        <v>2001</v>
      </c>
      <c r="N2333" s="42">
        <f t="shared" si="51"/>
        <v>1420.8413325804629</v>
      </c>
      <c r="O2333" s="3">
        <v>2331</v>
      </c>
    </row>
    <row r="2334" spans="1:15" x14ac:dyDescent="0.25">
      <c r="A2334" s="3">
        <v>8</v>
      </c>
      <c r="B2334" s="3" t="s">
        <v>291</v>
      </c>
      <c r="C2334" s="3" t="s">
        <v>262</v>
      </c>
      <c r="D2334" s="3" t="s">
        <v>444</v>
      </c>
      <c r="E2334" s="11" t="s">
        <v>144</v>
      </c>
      <c r="F2334" s="3" t="s">
        <v>8</v>
      </c>
      <c r="G2334" s="66" t="s">
        <v>1001</v>
      </c>
      <c r="H2334" s="8" t="s">
        <v>599</v>
      </c>
      <c r="I2334" s="8"/>
      <c r="J2334" s="6" t="s">
        <v>42</v>
      </c>
      <c r="K2334" s="38">
        <v>1000</v>
      </c>
      <c r="L2334" s="4" t="s">
        <v>264</v>
      </c>
      <c r="M2334" s="11">
        <f>_xlfn.NUMBERVALUE(LEFT(Table613[[#This Row],[Fiscal Year]], 4))</f>
        <v>2001</v>
      </c>
      <c r="N2334" s="42">
        <f t="shared" si="51"/>
        <v>1420.8413325804629</v>
      </c>
      <c r="O2334" s="3">
        <v>2332</v>
      </c>
    </row>
    <row r="2335" spans="1:15" x14ac:dyDescent="0.25">
      <c r="A2335" s="3">
        <v>8</v>
      </c>
      <c r="B2335" s="3" t="s">
        <v>291</v>
      </c>
      <c r="C2335" s="3" t="s">
        <v>262</v>
      </c>
      <c r="D2335" s="3" t="s">
        <v>444</v>
      </c>
      <c r="E2335" s="11" t="s">
        <v>144</v>
      </c>
      <c r="F2335" s="3" t="s">
        <v>8</v>
      </c>
      <c r="G2335" s="66" t="s">
        <v>1005</v>
      </c>
      <c r="H2335" s="8"/>
      <c r="I2335" s="8"/>
      <c r="J2335" s="6" t="s">
        <v>111</v>
      </c>
      <c r="K2335" s="38">
        <v>1000</v>
      </c>
      <c r="L2335" s="4" t="s">
        <v>264</v>
      </c>
      <c r="M2335" s="11">
        <f>_xlfn.NUMBERVALUE(LEFT(Table613[[#This Row],[Fiscal Year]], 4))</f>
        <v>2001</v>
      </c>
      <c r="N2335" s="42">
        <f t="shared" si="51"/>
        <v>1420.8413325804629</v>
      </c>
      <c r="O2335" s="3">
        <v>2333</v>
      </c>
    </row>
    <row r="2336" spans="1:15" x14ac:dyDescent="0.25">
      <c r="A2336" s="3">
        <v>8</v>
      </c>
      <c r="B2336" s="3" t="s">
        <v>291</v>
      </c>
      <c r="C2336" s="3" t="s">
        <v>262</v>
      </c>
      <c r="D2336" s="3" t="s">
        <v>444</v>
      </c>
      <c r="E2336" s="11" t="s">
        <v>144</v>
      </c>
      <c r="F2336" s="3" t="s">
        <v>8</v>
      </c>
      <c r="G2336" s="66" t="s">
        <v>1006</v>
      </c>
      <c r="H2336" s="8"/>
      <c r="I2336" s="8"/>
      <c r="J2336" s="6" t="s">
        <v>107</v>
      </c>
      <c r="K2336" s="38">
        <v>15000</v>
      </c>
      <c r="L2336" s="4" t="s">
        <v>264</v>
      </c>
      <c r="M2336" s="11">
        <f>_xlfn.NUMBERVALUE(LEFT(Table613[[#This Row],[Fiscal Year]], 4))</f>
        <v>2001</v>
      </c>
      <c r="N2336" s="42">
        <f t="shared" si="51"/>
        <v>21312.619988706945</v>
      </c>
      <c r="O2336" s="3">
        <v>2334</v>
      </c>
    </row>
    <row r="2337" spans="1:15" x14ac:dyDescent="0.25">
      <c r="A2337" s="3">
        <v>8</v>
      </c>
      <c r="B2337" s="3" t="s">
        <v>291</v>
      </c>
      <c r="C2337" s="3" t="s">
        <v>262</v>
      </c>
      <c r="D2337" s="3" t="s">
        <v>444</v>
      </c>
      <c r="E2337" s="11" t="s">
        <v>144</v>
      </c>
      <c r="F2337" s="3" t="s">
        <v>8</v>
      </c>
      <c r="G2337" s="66" t="s">
        <v>1002</v>
      </c>
      <c r="H2337" s="8" t="s">
        <v>597</v>
      </c>
      <c r="I2337" s="8" t="s">
        <v>594</v>
      </c>
      <c r="J2337" s="6" t="s">
        <v>108</v>
      </c>
      <c r="K2337" s="38">
        <v>1000</v>
      </c>
      <c r="L2337" s="4" t="s">
        <v>264</v>
      </c>
      <c r="M2337" s="11">
        <f>_xlfn.NUMBERVALUE(LEFT(Table613[[#This Row],[Fiscal Year]], 4))</f>
        <v>2001</v>
      </c>
      <c r="N2337" s="42">
        <f t="shared" si="51"/>
        <v>1420.8413325804629</v>
      </c>
      <c r="O2337" s="3">
        <v>2335</v>
      </c>
    </row>
    <row r="2338" spans="1:15" x14ac:dyDescent="0.25">
      <c r="A2338" s="3">
        <v>8</v>
      </c>
      <c r="B2338" s="3" t="s">
        <v>291</v>
      </c>
      <c r="C2338" s="3" t="s">
        <v>262</v>
      </c>
      <c r="D2338" s="3" t="s">
        <v>444</v>
      </c>
      <c r="E2338" s="11" t="s">
        <v>144</v>
      </c>
      <c r="F2338" s="3" t="s">
        <v>8</v>
      </c>
      <c r="G2338" s="66" t="s">
        <v>1003</v>
      </c>
      <c r="H2338" s="8" t="s">
        <v>506</v>
      </c>
      <c r="I2338" s="8"/>
      <c r="J2338" s="6" t="s">
        <v>106</v>
      </c>
      <c r="K2338" s="38">
        <v>1000</v>
      </c>
      <c r="L2338" s="4" t="s">
        <v>264</v>
      </c>
      <c r="M2338" s="11">
        <f>_xlfn.NUMBERVALUE(LEFT(Table613[[#This Row],[Fiscal Year]], 4))</f>
        <v>2001</v>
      </c>
      <c r="N2338" s="42">
        <f t="shared" si="51"/>
        <v>1420.8413325804629</v>
      </c>
      <c r="O2338" s="3">
        <v>2336</v>
      </c>
    </row>
    <row r="2339" spans="1:15" x14ac:dyDescent="0.25">
      <c r="A2339" s="3">
        <v>8</v>
      </c>
      <c r="B2339" s="3" t="s">
        <v>291</v>
      </c>
      <c r="C2339" s="3" t="s">
        <v>262</v>
      </c>
      <c r="D2339" s="3" t="s">
        <v>444</v>
      </c>
      <c r="E2339" s="11" t="s">
        <v>144</v>
      </c>
      <c r="F2339" s="3" t="s">
        <v>8</v>
      </c>
      <c r="G2339" s="66" t="s">
        <v>1007</v>
      </c>
      <c r="H2339" s="8"/>
      <c r="I2339" s="8"/>
      <c r="J2339" s="6" t="s">
        <v>76</v>
      </c>
      <c r="K2339" s="38">
        <v>5000</v>
      </c>
      <c r="L2339" s="4" t="s">
        <v>264</v>
      </c>
      <c r="M2339" s="11">
        <f>_xlfn.NUMBERVALUE(LEFT(Table613[[#This Row],[Fiscal Year]], 4))</f>
        <v>2001</v>
      </c>
      <c r="N2339" s="42">
        <f t="shared" si="51"/>
        <v>7104.2066629023147</v>
      </c>
      <c r="O2339" s="3">
        <v>2337</v>
      </c>
    </row>
    <row r="2340" spans="1:15" x14ac:dyDescent="0.25">
      <c r="E2340" s="11"/>
      <c r="G2340" s="66"/>
      <c r="H2340" s="8"/>
      <c r="I2340" s="8"/>
      <c r="J2340" s="6"/>
      <c r="L2340" s="4"/>
      <c r="O2340" s="3">
        <v>2338</v>
      </c>
    </row>
    <row r="2341" spans="1:15" x14ac:dyDescent="0.25">
      <c r="A2341" s="3">
        <v>8</v>
      </c>
      <c r="B2341" s="3" t="s">
        <v>292</v>
      </c>
      <c r="C2341" s="3" t="s">
        <v>262</v>
      </c>
      <c r="D2341" s="3" t="s">
        <v>444</v>
      </c>
      <c r="E2341" s="11" t="s">
        <v>144</v>
      </c>
      <c r="F2341" s="3" t="s">
        <v>8</v>
      </c>
      <c r="G2341" s="48" t="s">
        <v>976</v>
      </c>
      <c r="H2341" s="8" t="s">
        <v>503</v>
      </c>
      <c r="I2341" s="8" t="s">
        <v>640</v>
      </c>
      <c r="J2341" s="6" t="s">
        <v>110</v>
      </c>
      <c r="K2341" s="38">
        <v>0</v>
      </c>
      <c r="L2341" s="4" t="s">
        <v>264</v>
      </c>
      <c r="M2341" s="11">
        <f>_xlfn.NUMBERVALUE(LEFT(Table613[[#This Row],[Fiscal Year]], 4))</f>
        <v>2001</v>
      </c>
      <c r="N2341" s="42">
        <f t="shared" ref="N2341:N2372" si="52">K2341*(1+VLOOKUP(M2341,$AF$8:$AH$31,3,0))</f>
        <v>0</v>
      </c>
      <c r="O2341" s="3">
        <v>2339</v>
      </c>
    </row>
    <row r="2342" spans="1:15" x14ac:dyDescent="0.25">
      <c r="A2342" s="3">
        <v>8</v>
      </c>
      <c r="B2342" s="3" t="s">
        <v>292</v>
      </c>
      <c r="C2342" s="3" t="s">
        <v>262</v>
      </c>
      <c r="D2342" s="3" t="s">
        <v>444</v>
      </c>
      <c r="E2342" s="11" t="s">
        <v>144</v>
      </c>
      <c r="F2342" s="3" t="s">
        <v>8</v>
      </c>
      <c r="G2342" s="66" t="s">
        <v>977</v>
      </c>
      <c r="H2342" s="8" t="s">
        <v>504</v>
      </c>
      <c r="I2342" s="8"/>
      <c r="J2342" s="6" t="s">
        <v>108</v>
      </c>
      <c r="K2342" s="38">
        <v>0</v>
      </c>
      <c r="L2342" s="4" t="s">
        <v>264</v>
      </c>
      <c r="M2342" s="11">
        <f>_xlfn.NUMBERVALUE(LEFT(Table613[[#This Row],[Fiscal Year]], 4))</f>
        <v>2001</v>
      </c>
      <c r="N2342" s="42">
        <f t="shared" si="52"/>
        <v>0</v>
      </c>
      <c r="O2342" s="3">
        <v>2340</v>
      </c>
    </row>
    <row r="2343" spans="1:15" x14ac:dyDescent="0.25">
      <c r="A2343" s="3">
        <v>8</v>
      </c>
      <c r="B2343" s="3" t="s">
        <v>292</v>
      </c>
      <c r="C2343" s="3" t="s">
        <v>262</v>
      </c>
      <c r="D2343" s="3" t="s">
        <v>444</v>
      </c>
      <c r="E2343" s="11" t="s">
        <v>144</v>
      </c>
      <c r="F2343" s="3" t="s">
        <v>8</v>
      </c>
      <c r="G2343" s="66" t="s">
        <v>978</v>
      </c>
      <c r="H2343" s="8" t="s">
        <v>602</v>
      </c>
      <c r="I2343" s="8"/>
      <c r="J2343" s="6" t="s">
        <v>108</v>
      </c>
      <c r="K2343" s="38">
        <v>0</v>
      </c>
      <c r="L2343" s="4" t="s">
        <v>264</v>
      </c>
      <c r="M2343" s="11">
        <f>_xlfn.NUMBERVALUE(LEFT(Table613[[#This Row],[Fiscal Year]], 4))</f>
        <v>2001</v>
      </c>
      <c r="N2343" s="42">
        <f t="shared" si="52"/>
        <v>0</v>
      </c>
      <c r="O2343" s="3">
        <v>2341</v>
      </c>
    </row>
    <row r="2344" spans="1:15" x14ac:dyDescent="0.25">
      <c r="A2344" s="3">
        <v>8</v>
      </c>
      <c r="B2344" s="3" t="s">
        <v>292</v>
      </c>
      <c r="C2344" s="3" t="s">
        <v>262</v>
      </c>
      <c r="D2344" s="3" t="s">
        <v>444</v>
      </c>
      <c r="E2344" s="11" t="s">
        <v>144</v>
      </c>
      <c r="F2344" s="3" t="s">
        <v>8</v>
      </c>
      <c r="G2344" s="66" t="s">
        <v>979</v>
      </c>
      <c r="H2344" s="8" t="s">
        <v>504</v>
      </c>
      <c r="I2344" s="8"/>
      <c r="J2344" s="6" t="s">
        <v>108</v>
      </c>
      <c r="K2344" s="38">
        <v>2700</v>
      </c>
      <c r="L2344" s="4" t="s">
        <v>264</v>
      </c>
      <c r="M2344" s="11">
        <f>_xlfn.NUMBERVALUE(LEFT(Table613[[#This Row],[Fiscal Year]], 4))</f>
        <v>2001</v>
      </c>
      <c r="N2344" s="42">
        <f t="shared" si="52"/>
        <v>3836.2715979672498</v>
      </c>
      <c r="O2344" s="3">
        <v>2342</v>
      </c>
    </row>
    <row r="2345" spans="1:15" x14ac:dyDescent="0.25">
      <c r="A2345" s="3">
        <v>8</v>
      </c>
      <c r="B2345" s="3" t="s">
        <v>292</v>
      </c>
      <c r="C2345" s="3" t="s">
        <v>262</v>
      </c>
      <c r="D2345" s="3" t="s">
        <v>444</v>
      </c>
      <c r="E2345" s="11" t="s">
        <v>144</v>
      </c>
      <c r="F2345" s="3" t="s">
        <v>8</v>
      </c>
      <c r="G2345" s="66" t="s">
        <v>980</v>
      </c>
      <c r="H2345" s="8" t="s">
        <v>504</v>
      </c>
      <c r="I2345" s="8"/>
      <c r="J2345" s="6" t="s">
        <v>108</v>
      </c>
      <c r="K2345" s="38">
        <v>1000</v>
      </c>
      <c r="L2345" s="4" t="s">
        <v>264</v>
      </c>
      <c r="M2345" s="11">
        <f>_xlfn.NUMBERVALUE(LEFT(Table613[[#This Row],[Fiscal Year]], 4))</f>
        <v>2001</v>
      </c>
      <c r="N2345" s="42">
        <f t="shared" si="52"/>
        <v>1420.8413325804629</v>
      </c>
      <c r="O2345" s="3">
        <v>2343</v>
      </c>
    </row>
    <row r="2346" spans="1:15" x14ac:dyDescent="0.25">
      <c r="A2346" s="3">
        <v>8</v>
      </c>
      <c r="B2346" s="3" t="s">
        <v>292</v>
      </c>
      <c r="C2346" s="3" t="s">
        <v>262</v>
      </c>
      <c r="D2346" s="3" t="s">
        <v>444</v>
      </c>
      <c r="E2346" s="11" t="s">
        <v>144</v>
      </c>
      <c r="F2346" s="3" t="s">
        <v>8</v>
      </c>
      <c r="G2346" s="48" t="s">
        <v>981</v>
      </c>
      <c r="H2346" s="8" t="s">
        <v>504</v>
      </c>
      <c r="I2346" s="8"/>
      <c r="J2346" s="6" t="s">
        <v>108</v>
      </c>
      <c r="K2346" s="38">
        <v>93999</v>
      </c>
      <c r="L2346" s="4" t="s">
        <v>264</v>
      </c>
      <c r="M2346" s="11">
        <f>_xlfn.NUMBERVALUE(LEFT(Table613[[#This Row],[Fiscal Year]], 4))</f>
        <v>2001</v>
      </c>
      <c r="N2346" s="42">
        <f t="shared" si="52"/>
        <v>133557.66442123093</v>
      </c>
      <c r="O2346" s="3">
        <v>2344</v>
      </c>
    </row>
    <row r="2347" spans="1:15" x14ac:dyDescent="0.25">
      <c r="A2347" s="3">
        <v>8</v>
      </c>
      <c r="B2347" s="3" t="s">
        <v>292</v>
      </c>
      <c r="C2347" s="3" t="s">
        <v>262</v>
      </c>
      <c r="D2347" s="3" t="s">
        <v>444</v>
      </c>
      <c r="E2347" s="11" t="s">
        <v>144</v>
      </c>
      <c r="F2347" s="3" t="s">
        <v>8</v>
      </c>
      <c r="G2347" s="66" t="s">
        <v>982</v>
      </c>
      <c r="H2347" s="8" t="s">
        <v>593</v>
      </c>
      <c r="I2347" s="8" t="s">
        <v>594</v>
      </c>
      <c r="J2347" s="6" t="s">
        <v>108</v>
      </c>
      <c r="K2347" s="38">
        <v>0</v>
      </c>
      <c r="L2347" s="4" t="s">
        <v>264</v>
      </c>
      <c r="M2347" s="11">
        <f>_xlfn.NUMBERVALUE(LEFT(Table613[[#This Row],[Fiscal Year]], 4))</f>
        <v>2001</v>
      </c>
      <c r="N2347" s="42">
        <f t="shared" si="52"/>
        <v>0</v>
      </c>
      <c r="O2347" s="3">
        <v>2345</v>
      </c>
    </row>
    <row r="2348" spans="1:15" x14ac:dyDescent="0.25">
      <c r="A2348" s="3">
        <v>8</v>
      </c>
      <c r="B2348" s="3" t="s">
        <v>292</v>
      </c>
      <c r="C2348" s="3" t="s">
        <v>262</v>
      </c>
      <c r="D2348" s="3" t="s">
        <v>444</v>
      </c>
      <c r="E2348" s="11" t="s">
        <v>144</v>
      </c>
      <c r="F2348" s="3" t="s">
        <v>8</v>
      </c>
      <c r="G2348" s="66" t="s">
        <v>983</v>
      </c>
      <c r="H2348" s="8" t="s">
        <v>504</v>
      </c>
      <c r="I2348" s="8"/>
      <c r="J2348" s="6" t="s">
        <v>108</v>
      </c>
      <c r="K2348" s="38">
        <v>0</v>
      </c>
      <c r="L2348" s="4" t="s">
        <v>264</v>
      </c>
      <c r="M2348" s="11">
        <f>_xlfn.NUMBERVALUE(LEFT(Table613[[#This Row],[Fiscal Year]], 4))</f>
        <v>2001</v>
      </c>
      <c r="N2348" s="42">
        <f t="shared" si="52"/>
        <v>0</v>
      </c>
      <c r="O2348" s="3">
        <v>2346</v>
      </c>
    </row>
    <row r="2349" spans="1:15" x14ac:dyDescent="0.25">
      <c r="A2349" s="3">
        <v>8</v>
      </c>
      <c r="B2349" s="3" t="s">
        <v>292</v>
      </c>
      <c r="C2349" s="3" t="s">
        <v>262</v>
      </c>
      <c r="D2349" s="3" t="s">
        <v>444</v>
      </c>
      <c r="E2349" s="11" t="s">
        <v>144</v>
      </c>
      <c r="F2349" s="3" t="s">
        <v>8</v>
      </c>
      <c r="G2349" s="66" t="s">
        <v>984</v>
      </c>
      <c r="H2349" s="8" t="s">
        <v>504</v>
      </c>
      <c r="I2349" s="8"/>
      <c r="J2349" s="6" t="s">
        <v>108</v>
      </c>
      <c r="K2349" s="38">
        <v>0</v>
      </c>
      <c r="L2349" s="4" t="s">
        <v>264</v>
      </c>
      <c r="M2349" s="11">
        <f>_xlfn.NUMBERVALUE(LEFT(Table613[[#This Row],[Fiscal Year]], 4))</f>
        <v>2001</v>
      </c>
      <c r="N2349" s="42">
        <f t="shared" si="52"/>
        <v>0</v>
      </c>
      <c r="O2349" s="3">
        <v>2347</v>
      </c>
    </row>
    <row r="2350" spans="1:15" x14ac:dyDescent="0.25">
      <c r="A2350" s="3">
        <v>8</v>
      </c>
      <c r="B2350" s="3" t="s">
        <v>292</v>
      </c>
      <c r="C2350" s="3" t="s">
        <v>262</v>
      </c>
      <c r="D2350" s="3" t="s">
        <v>444</v>
      </c>
      <c r="E2350" s="11" t="s">
        <v>144</v>
      </c>
      <c r="F2350" s="3" t="s">
        <v>8</v>
      </c>
      <c r="G2350" s="66" t="s">
        <v>985</v>
      </c>
      <c r="H2350" s="8" t="s">
        <v>505</v>
      </c>
      <c r="I2350" s="8"/>
      <c r="J2350" s="6" t="s">
        <v>42</v>
      </c>
      <c r="K2350" s="38">
        <v>0</v>
      </c>
      <c r="L2350" s="4" t="s">
        <v>264</v>
      </c>
      <c r="M2350" s="11">
        <f>_xlfn.NUMBERVALUE(LEFT(Table613[[#This Row],[Fiscal Year]], 4))</f>
        <v>2001</v>
      </c>
      <c r="N2350" s="42">
        <f t="shared" si="52"/>
        <v>0</v>
      </c>
      <c r="O2350" s="3">
        <v>2348</v>
      </c>
    </row>
    <row r="2351" spans="1:15" x14ac:dyDescent="0.25">
      <c r="A2351" s="3">
        <v>8</v>
      </c>
      <c r="B2351" s="3" t="s">
        <v>292</v>
      </c>
      <c r="C2351" s="3" t="s">
        <v>262</v>
      </c>
      <c r="D2351" s="3" t="s">
        <v>444</v>
      </c>
      <c r="E2351" s="11" t="s">
        <v>144</v>
      </c>
      <c r="F2351" s="3" t="s">
        <v>8</v>
      </c>
      <c r="G2351" s="66" t="s">
        <v>986</v>
      </c>
      <c r="H2351" s="8" t="s">
        <v>599</v>
      </c>
      <c r="I2351" s="8"/>
      <c r="J2351" s="6" t="s">
        <v>42</v>
      </c>
      <c r="K2351" s="38">
        <v>0</v>
      </c>
      <c r="L2351" s="4" t="s">
        <v>264</v>
      </c>
      <c r="M2351" s="11">
        <f>_xlfn.NUMBERVALUE(LEFT(Table613[[#This Row],[Fiscal Year]], 4))</f>
        <v>2001</v>
      </c>
      <c r="N2351" s="42">
        <f t="shared" si="52"/>
        <v>0</v>
      </c>
      <c r="O2351" s="3">
        <v>2349</v>
      </c>
    </row>
    <row r="2352" spans="1:15" x14ac:dyDescent="0.25">
      <c r="A2352" s="3">
        <v>8</v>
      </c>
      <c r="B2352" s="3" t="s">
        <v>292</v>
      </c>
      <c r="C2352" s="3" t="s">
        <v>262</v>
      </c>
      <c r="D2352" s="3" t="s">
        <v>444</v>
      </c>
      <c r="E2352" s="11" t="s">
        <v>144</v>
      </c>
      <c r="F2352" s="3" t="s">
        <v>8</v>
      </c>
      <c r="G2352" s="66" t="s">
        <v>987</v>
      </c>
      <c r="H2352" s="8"/>
      <c r="I2352" s="8"/>
      <c r="J2352" s="6" t="s">
        <v>111</v>
      </c>
      <c r="K2352" s="38">
        <v>500</v>
      </c>
      <c r="L2352" s="4" t="s">
        <v>264</v>
      </c>
      <c r="M2352" s="11">
        <f>_xlfn.NUMBERVALUE(LEFT(Table613[[#This Row],[Fiscal Year]], 4))</f>
        <v>2001</v>
      </c>
      <c r="N2352" s="42">
        <f>K2352*(1+VLOOKUP(M2352,$AF$8:$AH$31,3,0))</f>
        <v>710.42066629023145</v>
      </c>
      <c r="O2352" s="3">
        <v>2350</v>
      </c>
    </row>
    <row r="2353" spans="1:15" x14ac:dyDescent="0.25">
      <c r="A2353" s="3">
        <v>8</v>
      </c>
      <c r="B2353" s="3" t="s">
        <v>292</v>
      </c>
      <c r="C2353" s="3" t="s">
        <v>262</v>
      </c>
      <c r="D2353" s="3" t="s">
        <v>444</v>
      </c>
      <c r="E2353" s="11" t="s">
        <v>144</v>
      </c>
      <c r="F2353" s="3" t="s">
        <v>8</v>
      </c>
      <c r="G2353" s="66" t="s">
        <v>988</v>
      </c>
      <c r="H2353" s="8"/>
      <c r="I2353" s="8"/>
      <c r="J2353" s="6" t="s">
        <v>107</v>
      </c>
      <c r="K2353" s="38">
        <v>0</v>
      </c>
      <c r="L2353" s="4" t="s">
        <v>264</v>
      </c>
      <c r="M2353" s="11">
        <f>_xlfn.NUMBERVALUE(LEFT(Table613[[#This Row],[Fiscal Year]], 4))</f>
        <v>2001</v>
      </c>
      <c r="N2353" s="42">
        <f t="shared" si="52"/>
        <v>0</v>
      </c>
      <c r="O2353" s="3">
        <v>2351</v>
      </c>
    </row>
    <row r="2354" spans="1:15" x14ac:dyDescent="0.25">
      <c r="A2354" s="3">
        <v>8</v>
      </c>
      <c r="B2354" s="3" t="s">
        <v>292</v>
      </c>
      <c r="C2354" s="3" t="s">
        <v>262</v>
      </c>
      <c r="D2354" s="3" t="s">
        <v>444</v>
      </c>
      <c r="E2354" s="11" t="s">
        <v>144</v>
      </c>
      <c r="F2354" s="3" t="s">
        <v>8</v>
      </c>
      <c r="G2354" s="66" t="s">
        <v>989</v>
      </c>
      <c r="H2354" s="8" t="s">
        <v>597</v>
      </c>
      <c r="I2354" s="8" t="s">
        <v>594</v>
      </c>
      <c r="J2354" s="6" t="s">
        <v>108</v>
      </c>
      <c r="K2354" s="38">
        <v>0</v>
      </c>
      <c r="L2354" s="4" t="s">
        <v>264</v>
      </c>
      <c r="M2354" s="11">
        <f>_xlfn.NUMBERVALUE(LEFT(Table613[[#This Row],[Fiscal Year]], 4))</f>
        <v>2001</v>
      </c>
      <c r="N2354" s="42">
        <f t="shared" si="52"/>
        <v>0</v>
      </c>
      <c r="O2354" s="3">
        <v>2352</v>
      </c>
    </row>
    <row r="2355" spans="1:15" x14ac:dyDescent="0.25">
      <c r="A2355" s="3">
        <v>8</v>
      </c>
      <c r="B2355" s="3" t="s">
        <v>292</v>
      </c>
      <c r="C2355" s="3" t="s">
        <v>262</v>
      </c>
      <c r="D2355" s="3" t="s">
        <v>444</v>
      </c>
      <c r="E2355" s="11" t="s">
        <v>144</v>
      </c>
      <c r="F2355" s="3" t="s">
        <v>8</v>
      </c>
      <c r="G2355" s="66" t="s">
        <v>990</v>
      </c>
      <c r="H2355" s="8" t="s">
        <v>506</v>
      </c>
      <c r="I2355" s="8"/>
      <c r="J2355" s="6" t="s">
        <v>106</v>
      </c>
      <c r="K2355" s="38">
        <v>0</v>
      </c>
      <c r="L2355" s="4" t="s">
        <v>264</v>
      </c>
      <c r="M2355" s="11">
        <f>_xlfn.NUMBERVALUE(LEFT(Table613[[#This Row],[Fiscal Year]], 4))</f>
        <v>2001</v>
      </c>
      <c r="N2355" s="42">
        <f t="shared" si="52"/>
        <v>0</v>
      </c>
      <c r="O2355" s="3">
        <v>2353</v>
      </c>
    </row>
    <row r="2356" spans="1:15" x14ac:dyDescent="0.25">
      <c r="A2356" s="3">
        <v>8</v>
      </c>
      <c r="B2356" s="3" t="s">
        <v>292</v>
      </c>
      <c r="C2356" s="3" t="s">
        <v>262</v>
      </c>
      <c r="D2356" s="3" t="s">
        <v>444</v>
      </c>
      <c r="E2356" s="11" t="s">
        <v>144</v>
      </c>
      <c r="F2356" s="3" t="s">
        <v>8</v>
      </c>
      <c r="G2356" s="66" t="s">
        <v>1004</v>
      </c>
      <c r="H2356" s="8"/>
      <c r="I2356" s="8"/>
      <c r="J2356" s="6" t="s">
        <v>76</v>
      </c>
      <c r="K2356" s="38">
        <v>500</v>
      </c>
      <c r="L2356" s="4" t="s">
        <v>264</v>
      </c>
      <c r="M2356" s="11">
        <f>_xlfn.NUMBERVALUE(LEFT(Table613[[#This Row],[Fiscal Year]], 4))</f>
        <v>2001</v>
      </c>
      <c r="N2356" s="42">
        <f>K2356*(1+VLOOKUP(M2356,$AF$8:$AH$31,3,0))</f>
        <v>710.42066629023145</v>
      </c>
      <c r="O2356" s="3">
        <v>2354</v>
      </c>
    </row>
    <row r="2357" spans="1:15" x14ac:dyDescent="0.25">
      <c r="A2357" s="3">
        <v>8</v>
      </c>
      <c r="B2357" s="3" t="s">
        <v>292</v>
      </c>
      <c r="C2357" s="3" t="s">
        <v>262</v>
      </c>
      <c r="D2357" s="3" t="s">
        <v>444</v>
      </c>
      <c r="E2357" s="11" t="s">
        <v>144</v>
      </c>
      <c r="F2357" s="3" t="s">
        <v>8</v>
      </c>
      <c r="G2357" s="48" t="s">
        <v>991</v>
      </c>
      <c r="H2357" s="8" t="s">
        <v>503</v>
      </c>
      <c r="I2357" s="8"/>
      <c r="J2357" s="6" t="s">
        <v>110</v>
      </c>
      <c r="K2357" s="38">
        <v>0</v>
      </c>
      <c r="L2357" s="4" t="s">
        <v>264</v>
      </c>
      <c r="M2357" s="11">
        <f>_xlfn.NUMBERVALUE(LEFT(Table613[[#This Row],[Fiscal Year]], 4))</f>
        <v>2001</v>
      </c>
      <c r="N2357" s="42">
        <f t="shared" si="52"/>
        <v>0</v>
      </c>
      <c r="O2357" s="3">
        <v>2355</v>
      </c>
    </row>
    <row r="2358" spans="1:15" x14ac:dyDescent="0.25">
      <c r="A2358" s="3">
        <v>8</v>
      </c>
      <c r="B2358" s="3" t="s">
        <v>292</v>
      </c>
      <c r="C2358" s="3" t="s">
        <v>262</v>
      </c>
      <c r="D2358" s="3" t="s">
        <v>444</v>
      </c>
      <c r="E2358" s="11" t="s">
        <v>144</v>
      </c>
      <c r="F2358" s="3" t="s">
        <v>8</v>
      </c>
      <c r="G2358" s="66" t="s">
        <v>992</v>
      </c>
      <c r="H2358" s="8" t="s">
        <v>504</v>
      </c>
      <c r="I2358" s="8"/>
      <c r="J2358" s="6" t="s">
        <v>108</v>
      </c>
      <c r="K2358" s="38">
        <v>0</v>
      </c>
      <c r="L2358" s="4" t="s">
        <v>264</v>
      </c>
      <c r="M2358" s="11">
        <f>_xlfn.NUMBERVALUE(LEFT(Table613[[#This Row],[Fiscal Year]], 4))</f>
        <v>2001</v>
      </c>
      <c r="N2358" s="42">
        <f t="shared" si="52"/>
        <v>0</v>
      </c>
      <c r="O2358" s="3">
        <v>2356</v>
      </c>
    </row>
    <row r="2359" spans="1:15" x14ac:dyDescent="0.25">
      <c r="A2359" s="3">
        <v>8</v>
      </c>
      <c r="B2359" s="3" t="s">
        <v>292</v>
      </c>
      <c r="C2359" s="3" t="s">
        <v>262</v>
      </c>
      <c r="D2359" s="3" t="s">
        <v>444</v>
      </c>
      <c r="E2359" s="11" t="s">
        <v>144</v>
      </c>
      <c r="F2359" s="3" t="s">
        <v>8</v>
      </c>
      <c r="G2359" s="66" t="s">
        <v>993</v>
      </c>
      <c r="H2359" s="8" t="s">
        <v>602</v>
      </c>
      <c r="I2359" s="8"/>
      <c r="J2359" s="6" t="s">
        <v>108</v>
      </c>
      <c r="K2359" s="38">
        <v>0</v>
      </c>
      <c r="L2359" s="4" t="s">
        <v>264</v>
      </c>
      <c r="M2359" s="11">
        <f>_xlfn.NUMBERVALUE(LEFT(Table613[[#This Row],[Fiscal Year]], 4))</f>
        <v>2001</v>
      </c>
      <c r="N2359" s="42">
        <f t="shared" si="52"/>
        <v>0</v>
      </c>
      <c r="O2359" s="3">
        <v>2357</v>
      </c>
    </row>
    <row r="2360" spans="1:15" x14ac:dyDescent="0.25">
      <c r="A2360" s="3">
        <v>8</v>
      </c>
      <c r="B2360" s="3" t="s">
        <v>292</v>
      </c>
      <c r="C2360" s="3" t="s">
        <v>262</v>
      </c>
      <c r="D2360" s="3" t="s">
        <v>444</v>
      </c>
      <c r="E2360" s="11" t="s">
        <v>144</v>
      </c>
      <c r="F2360" s="3" t="s">
        <v>8</v>
      </c>
      <c r="G2360" s="66" t="s">
        <v>994</v>
      </c>
      <c r="H2360" s="8" t="s">
        <v>504</v>
      </c>
      <c r="I2360" s="8"/>
      <c r="J2360" s="6" t="s">
        <v>108</v>
      </c>
      <c r="K2360" s="38">
        <v>0</v>
      </c>
      <c r="L2360" s="4" t="s">
        <v>264</v>
      </c>
      <c r="M2360" s="11">
        <f>_xlfn.NUMBERVALUE(LEFT(Table613[[#This Row],[Fiscal Year]], 4))</f>
        <v>2001</v>
      </c>
      <c r="N2360" s="42">
        <f t="shared" si="52"/>
        <v>0</v>
      </c>
      <c r="O2360" s="3">
        <v>2358</v>
      </c>
    </row>
    <row r="2361" spans="1:15" x14ac:dyDescent="0.25">
      <c r="A2361" s="3">
        <v>8</v>
      </c>
      <c r="B2361" s="3" t="s">
        <v>292</v>
      </c>
      <c r="C2361" s="3" t="s">
        <v>262</v>
      </c>
      <c r="D2361" s="3" t="s">
        <v>444</v>
      </c>
      <c r="E2361" s="11" t="s">
        <v>144</v>
      </c>
      <c r="F2361" s="3" t="s">
        <v>8</v>
      </c>
      <c r="G2361" s="66" t="s">
        <v>995</v>
      </c>
      <c r="H2361" s="8" t="s">
        <v>504</v>
      </c>
      <c r="I2361" s="8"/>
      <c r="J2361" s="6" t="s">
        <v>108</v>
      </c>
      <c r="K2361" s="38">
        <v>0</v>
      </c>
      <c r="L2361" s="4" t="s">
        <v>264</v>
      </c>
      <c r="M2361" s="11">
        <f>_xlfn.NUMBERVALUE(LEFT(Table613[[#This Row],[Fiscal Year]], 4))</f>
        <v>2001</v>
      </c>
      <c r="N2361" s="42">
        <f t="shared" si="52"/>
        <v>0</v>
      </c>
      <c r="O2361" s="3">
        <v>2359</v>
      </c>
    </row>
    <row r="2362" spans="1:15" x14ac:dyDescent="0.25">
      <c r="A2362" s="3">
        <v>8</v>
      </c>
      <c r="B2362" s="3" t="s">
        <v>292</v>
      </c>
      <c r="C2362" s="3" t="s">
        <v>262</v>
      </c>
      <c r="D2362" s="3" t="s">
        <v>444</v>
      </c>
      <c r="E2362" s="11" t="s">
        <v>144</v>
      </c>
      <c r="F2362" s="3" t="s">
        <v>8</v>
      </c>
      <c r="G2362" s="48" t="s">
        <v>996</v>
      </c>
      <c r="H2362" s="8" t="s">
        <v>504</v>
      </c>
      <c r="I2362" s="8"/>
      <c r="J2362" s="6" t="s">
        <v>108</v>
      </c>
      <c r="K2362" s="38">
        <v>0</v>
      </c>
      <c r="L2362" s="4" t="s">
        <v>264</v>
      </c>
      <c r="M2362" s="11">
        <f>_xlfn.NUMBERVALUE(LEFT(Table613[[#This Row],[Fiscal Year]], 4))</f>
        <v>2001</v>
      </c>
      <c r="N2362" s="42">
        <f t="shared" si="52"/>
        <v>0</v>
      </c>
      <c r="O2362" s="3">
        <v>2360</v>
      </c>
    </row>
    <row r="2363" spans="1:15" x14ac:dyDescent="0.25">
      <c r="A2363" s="3">
        <v>8</v>
      </c>
      <c r="B2363" s="3" t="s">
        <v>292</v>
      </c>
      <c r="C2363" s="3" t="s">
        <v>262</v>
      </c>
      <c r="D2363" s="3" t="s">
        <v>444</v>
      </c>
      <c r="E2363" s="11" t="s">
        <v>144</v>
      </c>
      <c r="F2363" s="3" t="s">
        <v>8</v>
      </c>
      <c r="G2363" s="66" t="s">
        <v>997</v>
      </c>
      <c r="H2363" s="8" t="s">
        <v>593</v>
      </c>
      <c r="I2363" s="8" t="s">
        <v>594</v>
      </c>
      <c r="J2363" s="6" t="s">
        <v>108</v>
      </c>
      <c r="K2363" s="38">
        <v>0</v>
      </c>
      <c r="L2363" s="4" t="s">
        <v>264</v>
      </c>
      <c r="M2363" s="11">
        <f>_xlfn.NUMBERVALUE(LEFT(Table613[[#This Row],[Fiscal Year]], 4))</f>
        <v>2001</v>
      </c>
      <c r="N2363" s="42">
        <f t="shared" si="52"/>
        <v>0</v>
      </c>
      <c r="O2363" s="3">
        <v>2361</v>
      </c>
    </row>
    <row r="2364" spans="1:15" x14ac:dyDescent="0.25">
      <c r="A2364" s="3">
        <v>8</v>
      </c>
      <c r="B2364" s="3" t="s">
        <v>292</v>
      </c>
      <c r="C2364" s="3" t="s">
        <v>262</v>
      </c>
      <c r="D2364" s="3" t="s">
        <v>444</v>
      </c>
      <c r="E2364" s="11" t="s">
        <v>144</v>
      </c>
      <c r="F2364" s="3" t="s">
        <v>8</v>
      </c>
      <c r="G2364" s="66" t="s">
        <v>998</v>
      </c>
      <c r="H2364" s="8" t="s">
        <v>504</v>
      </c>
      <c r="I2364" s="8"/>
      <c r="J2364" s="6" t="s">
        <v>108</v>
      </c>
      <c r="K2364" s="38">
        <v>0</v>
      </c>
      <c r="L2364" s="4" t="s">
        <v>264</v>
      </c>
      <c r="M2364" s="11">
        <f>_xlfn.NUMBERVALUE(LEFT(Table613[[#This Row],[Fiscal Year]], 4))</f>
        <v>2001</v>
      </c>
      <c r="N2364" s="42">
        <f t="shared" si="52"/>
        <v>0</v>
      </c>
      <c r="O2364" s="3">
        <v>2362</v>
      </c>
    </row>
    <row r="2365" spans="1:15" x14ac:dyDescent="0.25">
      <c r="A2365" s="3">
        <v>8</v>
      </c>
      <c r="B2365" s="3" t="s">
        <v>292</v>
      </c>
      <c r="C2365" s="3" t="s">
        <v>262</v>
      </c>
      <c r="D2365" s="3" t="s">
        <v>444</v>
      </c>
      <c r="E2365" s="11" t="s">
        <v>144</v>
      </c>
      <c r="F2365" s="3" t="s">
        <v>8</v>
      </c>
      <c r="G2365" s="66" t="s">
        <v>999</v>
      </c>
      <c r="H2365" s="8" t="s">
        <v>504</v>
      </c>
      <c r="I2365" s="8"/>
      <c r="J2365" s="6" t="s">
        <v>108</v>
      </c>
      <c r="K2365" s="38">
        <v>0</v>
      </c>
      <c r="L2365" s="4" t="s">
        <v>264</v>
      </c>
      <c r="M2365" s="11">
        <f>_xlfn.NUMBERVALUE(LEFT(Table613[[#This Row],[Fiscal Year]], 4))</f>
        <v>2001</v>
      </c>
      <c r="N2365" s="42">
        <f t="shared" si="52"/>
        <v>0</v>
      </c>
      <c r="O2365" s="3">
        <v>2363</v>
      </c>
    </row>
    <row r="2366" spans="1:15" x14ac:dyDescent="0.25">
      <c r="A2366" s="3">
        <v>8</v>
      </c>
      <c r="B2366" s="3" t="s">
        <v>292</v>
      </c>
      <c r="C2366" s="3" t="s">
        <v>262</v>
      </c>
      <c r="D2366" s="3" t="s">
        <v>444</v>
      </c>
      <c r="E2366" s="11" t="s">
        <v>144</v>
      </c>
      <c r="F2366" s="3" t="s">
        <v>8</v>
      </c>
      <c r="G2366" s="66" t="s">
        <v>1000</v>
      </c>
      <c r="H2366" s="8" t="s">
        <v>505</v>
      </c>
      <c r="I2366" s="8"/>
      <c r="J2366" s="6" t="s">
        <v>42</v>
      </c>
      <c r="K2366" s="38">
        <v>0</v>
      </c>
      <c r="L2366" s="4" t="s">
        <v>264</v>
      </c>
      <c r="M2366" s="11">
        <f>_xlfn.NUMBERVALUE(LEFT(Table613[[#This Row],[Fiscal Year]], 4))</f>
        <v>2001</v>
      </c>
      <c r="N2366" s="42">
        <f t="shared" si="52"/>
        <v>0</v>
      </c>
      <c r="O2366" s="3">
        <v>2364</v>
      </c>
    </row>
    <row r="2367" spans="1:15" x14ac:dyDescent="0.25">
      <c r="A2367" s="3">
        <v>8</v>
      </c>
      <c r="B2367" s="3" t="s">
        <v>292</v>
      </c>
      <c r="C2367" s="3" t="s">
        <v>262</v>
      </c>
      <c r="D2367" s="3" t="s">
        <v>444</v>
      </c>
      <c r="E2367" s="11" t="s">
        <v>144</v>
      </c>
      <c r="F2367" s="3" t="s">
        <v>8</v>
      </c>
      <c r="G2367" s="66" t="s">
        <v>1001</v>
      </c>
      <c r="H2367" s="8" t="s">
        <v>599</v>
      </c>
      <c r="I2367" s="8"/>
      <c r="J2367" s="6" t="s">
        <v>42</v>
      </c>
      <c r="K2367" s="38">
        <v>0</v>
      </c>
      <c r="L2367" s="4" t="s">
        <v>264</v>
      </c>
      <c r="M2367" s="11">
        <f>_xlfn.NUMBERVALUE(LEFT(Table613[[#This Row],[Fiscal Year]], 4))</f>
        <v>2001</v>
      </c>
      <c r="N2367" s="42">
        <f t="shared" si="52"/>
        <v>0</v>
      </c>
      <c r="O2367" s="3">
        <v>2365</v>
      </c>
    </row>
    <row r="2368" spans="1:15" x14ac:dyDescent="0.25">
      <c r="A2368" s="3">
        <v>8</v>
      </c>
      <c r="B2368" s="3" t="s">
        <v>292</v>
      </c>
      <c r="C2368" s="3" t="s">
        <v>262</v>
      </c>
      <c r="D2368" s="3" t="s">
        <v>444</v>
      </c>
      <c r="E2368" s="11" t="s">
        <v>144</v>
      </c>
      <c r="F2368" s="3" t="s">
        <v>8</v>
      </c>
      <c r="G2368" s="66" t="s">
        <v>1005</v>
      </c>
      <c r="H2368" s="8"/>
      <c r="I2368" s="8"/>
      <c r="J2368" s="6" t="s">
        <v>111</v>
      </c>
      <c r="K2368" s="38">
        <v>0</v>
      </c>
      <c r="L2368" s="4" t="s">
        <v>264</v>
      </c>
      <c r="M2368" s="11">
        <f>_xlfn.NUMBERVALUE(LEFT(Table613[[#This Row],[Fiscal Year]], 4))</f>
        <v>2001</v>
      </c>
      <c r="N2368" s="42">
        <f t="shared" si="52"/>
        <v>0</v>
      </c>
      <c r="O2368" s="3">
        <v>2366</v>
      </c>
    </row>
    <row r="2369" spans="1:15" x14ac:dyDescent="0.25">
      <c r="A2369" s="3">
        <v>8</v>
      </c>
      <c r="B2369" s="3" t="s">
        <v>292</v>
      </c>
      <c r="C2369" s="3" t="s">
        <v>262</v>
      </c>
      <c r="D2369" s="3" t="s">
        <v>444</v>
      </c>
      <c r="E2369" s="11" t="s">
        <v>144</v>
      </c>
      <c r="F2369" s="3" t="s">
        <v>8</v>
      </c>
      <c r="G2369" s="66" t="s">
        <v>1006</v>
      </c>
      <c r="H2369" s="8"/>
      <c r="I2369" s="8"/>
      <c r="J2369" s="6" t="s">
        <v>107</v>
      </c>
      <c r="K2369" s="38">
        <v>0</v>
      </c>
      <c r="L2369" s="4" t="s">
        <v>264</v>
      </c>
      <c r="M2369" s="11">
        <f>_xlfn.NUMBERVALUE(LEFT(Table613[[#This Row],[Fiscal Year]], 4))</f>
        <v>2001</v>
      </c>
      <c r="N2369" s="42">
        <f t="shared" si="52"/>
        <v>0</v>
      </c>
      <c r="O2369" s="3">
        <v>2367</v>
      </c>
    </row>
    <row r="2370" spans="1:15" x14ac:dyDescent="0.25">
      <c r="A2370" s="3">
        <v>8</v>
      </c>
      <c r="B2370" s="3" t="s">
        <v>292</v>
      </c>
      <c r="C2370" s="3" t="s">
        <v>262</v>
      </c>
      <c r="D2370" s="3" t="s">
        <v>444</v>
      </c>
      <c r="E2370" s="11" t="s">
        <v>144</v>
      </c>
      <c r="F2370" s="3" t="s">
        <v>8</v>
      </c>
      <c r="G2370" s="66" t="s">
        <v>1002</v>
      </c>
      <c r="H2370" s="8" t="s">
        <v>597</v>
      </c>
      <c r="I2370" s="8" t="s">
        <v>594</v>
      </c>
      <c r="J2370" s="6" t="s">
        <v>108</v>
      </c>
      <c r="K2370" s="38">
        <v>0</v>
      </c>
      <c r="L2370" s="4" t="s">
        <v>264</v>
      </c>
      <c r="M2370" s="11">
        <f>_xlfn.NUMBERVALUE(LEFT(Table613[[#This Row],[Fiscal Year]], 4))</f>
        <v>2001</v>
      </c>
      <c r="N2370" s="42">
        <f t="shared" si="52"/>
        <v>0</v>
      </c>
      <c r="O2370" s="3">
        <v>2368</v>
      </c>
    </row>
    <row r="2371" spans="1:15" x14ac:dyDescent="0.25">
      <c r="A2371" s="3">
        <v>8</v>
      </c>
      <c r="B2371" s="3" t="s">
        <v>292</v>
      </c>
      <c r="C2371" s="3" t="s">
        <v>262</v>
      </c>
      <c r="D2371" s="3" t="s">
        <v>444</v>
      </c>
      <c r="E2371" s="11" t="s">
        <v>144</v>
      </c>
      <c r="F2371" s="3" t="s">
        <v>8</v>
      </c>
      <c r="G2371" s="66" t="s">
        <v>1003</v>
      </c>
      <c r="H2371" s="8" t="s">
        <v>506</v>
      </c>
      <c r="I2371" s="8"/>
      <c r="J2371" s="6" t="s">
        <v>106</v>
      </c>
      <c r="K2371" s="38">
        <v>0</v>
      </c>
      <c r="L2371" s="4" t="s">
        <v>264</v>
      </c>
      <c r="M2371" s="11">
        <f>_xlfn.NUMBERVALUE(LEFT(Table613[[#This Row],[Fiscal Year]], 4))</f>
        <v>2001</v>
      </c>
      <c r="N2371" s="42">
        <f t="shared" si="52"/>
        <v>0</v>
      </c>
      <c r="O2371" s="3">
        <v>2369</v>
      </c>
    </row>
    <row r="2372" spans="1:15" x14ac:dyDescent="0.25">
      <c r="A2372" s="3">
        <v>8</v>
      </c>
      <c r="B2372" s="3" t="s">
        <v>292</v>
      </c>
      <c r="C2372" s="3" t="s">
        <v>262</v>
      </c>
      <c r="D2372" s="3" t="s">
        <v>444</v>
      </c>
      <c r="E2372" s="11" t="s">
        <v>144</v>
      </c>
      <c r="F2372" s="3" t="s">
        <v>8</v>
      </c>
      <c r="G2372" s="66" t="s">
        <v>1007</v>
      </c>
      <c r="H2372" s="8"/>
      <c r="I2372" s="8"/>
      <c r="J2372" s="6" t="s">
        <v>76</v>
      </c>
      <c r="K2372" s="38">
        <v>0</v>
      </c>
      <c r="L2372" s="4" t="s">
        <v>264</v>
      </c>
      <c r="M2372" s="11">
        <f>_xlfn.NUMBERVALUE(LEFT(Table613[[#This Row],[Fiscal Year]], 4))</f>
        <v>2001</v>
      </c>
      <c r="N2372" s="42">
        <f t="shared" si="52"/>
        <v>0</v>
      </c>
      <c r="O2372" s="3">
        <v>2370</v>
      </c>
    </row>
    <row r="2373" spans="1:15" x14ac:dyDescent="0.25">
      <c r="E2373" s="11"/>
      <c r="G2373" s="66"/>
      <c r="H2373" s="8"/>
      <c r="I2373" s="8"/>
      <c r="J2373" s="6"/>
      <c r="L2373" s="4"/>
      <c r="O2373" s="3">
        <v>2371</v>
      </c>
    </row>
    <row r="2374" spans="1:15" x14ac:dyDescent="0.25">
      <c r="A2374" s="3">
        <v>8</v>
      </c>
      <c r="B2374" s="3" t="s">
        <v>293</v>
      </c>
      <c r="C2374" s="3" t="s">
        <v>262</v>
      </c>
      <c r="D2374" s="3" t="s">
        <v>444</v>
      </c>
      <c r="E2374" s="11" t="s">
        <v>144</v>
      </c>
      <c r="F2374" s="3" t="s">
        <v>8</v>
      </c>
      <c r="G2374" s="48" t="s">
        <v>976</v>
      </c>
      <c r="H2374" s="8" t="s">
        <v>503</v>
      </c>
      <c r="I2374" s="8" t="s">
        <v>640</v>
      </c>
      <c r="J2374" s="6" t="s">
        <v>110</v>
      </c>
      <c r="K2374" s="38">
        <v>0</v>
      </c>
      <c r="L2374" s="4" t="s">
        <v>264</v>
      </c>
      <c r="M2374" s="11">
        <f>_xlfn.NUMBERVALUE(LEFT(Table613[[#This Row],[Fiscal Year]], 4))</f>
        <v>2001</v>
      </c>
      <c r="N2374" s="42">
        <f t="shared" ref="N2374:N2405" si="53">K2374*(1+VLOOKUP(M2374,$AF$8:$AH$31,3,0))</f>
        <v>0</v>
      </c>
      <c r="O2374" s="3">
        <v>2372</v>
      </c>
    </row>
    <row r="2375" spans="1:15" x14ac:dyDescent="0.25">
      <c r="A2375" s="3">
        <v>8</v>
      </c>
      <c r="B2375" s="3" t="s">
        <v>293</v>
      </c>
      <c r="C2375" s="3" t="s">
        <v>262</v>
      </c>
      <c r="D2375" s="3" t="s">
        <v>444</v>
      </c>
      <c r="E2375" s="11" t="s">
        <v>144</v>
      </c>
      <c r="F2375" s="3" t="s">
        <v>8</v>
      </c>
      <c r="G2375" s="66" t="s">
        <v>977</v>
      </c>
      <c r="H2375" s="8" t="s">
        <v>504</v>
      </c>
      <c r="I2375" s="8"/>
      <c r="J2375" s="6" t="s">
        <v>108</v>
      </c>
      <c r="K2375" s="38">
        <v>10000</v>
      </c>
      <c r="L2375" s="4" t="s">
        <v>264</v>
      </c>
      <c r="M2375" s="11">
        <f>_xlfn.NUMBERVALUE(LEFT(Table613[[#This Row],[Fiscal Year]], 4))</f>
        <v>2001</v>
      </c>
      <c r="N2375" s="42">
        <f t="shared" si="53"/>
        <v>14208.413325804629</v>
      </c>
      <c r="O2375" s="3">
        <v>2373</v>
      </c>
    </row>
    <row r="2376" spans="1:15" x14ac:dyDescent="0.25">
      <c r="A2376" s="3">
        <v>8</v>
      </c>
      <c r="B2376" s="3" t="s">
        <v>293</v>
      </c>
      <c r="C2376" s="3" t="s">
        <v>262</v>
      </c>
      <c r="D2376" s="3" t="s">
        <v>444</v>
      </c>
      <c r="E2376" s="11" t="s">
        <v>144</v>
      </c>
      <c r="F2376" s="3" t="s">
        <v>8</v>
      </c>
      <c r="G2376" s="66" t="s">
        <v>978</v>
      </c>
      <c r="H2376" s="8" t="s">
        <v>602</v>
      </c>
      <c r="I2376" s="8"/>
      <c r="J2376" s="6" t="s">
        <v>108</v>
      </c>
      <c r="K2376" s="38">
        <v>36000</v>
      </c>
      <c r="L2376" s="4" t="s">
        <v>264</v>
      </c>
      <c r="M2376" s="11">
        <f>_xlfn.NUMBERVALUE(LEFT(Table613[[#This Row],[Fiscal Year]], 4))</f>
        <v>2001</v>
      </c>
      <c r="N2376" s="42">
        <f t="shared" si="53"/>
        <v>51150.287972896665</v>
      </c>
      <c r="O2376" s="3">
        <v>2374</v>
      </c>
    </row>
    <row r="2377" spans="1:15" x14ac:dyDescent="0.25">
      <c r="A2377" s="3">
        <v>8</v>
      </c>
      <c r="B2377" s="3" t="s">
        <v>293</v>
      </c>
      <c r="C2377" s="3" t="s">
        <v>262</v>
      </c>
      <c r="D2377" s="3" t="s">
        <v>444</v>
      </c>
      <c r="E2377" s="11" t="s">
        <v>144</v>
      </c>
      <c r="F2377" s="3" t="s">
        <v>8</v>
      </c>
      <c r="G2377" s="66" t="s">
        <v>979</v>
      </c>
      <c r="H2377" s="8" t="s">
        <v>504</v>
      </c>
      <c r="I2377" s="8"/>
      <c r="J2377" s="6" t="s">
        <v>108</v>
      </c>
      <c r="K2377" s="38">
        <v>0</v>
      </c>
      <c r="L2377" s="4" t="s">
        <v>264</v>
      </c>
      <c r="M2377" s="11">
        <f>_xlfn.NUMBERVALUE(LEFT(Table613[[#This Row],[Fiscal Year]], 4))</f>
        <v>2001</v>
      </c>
      <c r="N2377" s="42">
        <f t="shared" si="53"/>
        <v>0</v>
      </c>
      <c r="O2377" s="3">
        <v>2375</v>
      </c>
    </row>
    <row r="2378" spans="1:15" x14ac:dyDescent="0.25">
      <c r="A2378" s="3">
        <v>8</v>
      </c>
      <c r="B2378" s="3" t="s">
        <v>293</v>
      </c>
      <c r="C2378" s="3" t="s">
        <v>262</v>
      </c>
      <c r="D2378" s="3" t="s">
        <v>444</v>
      </c>
      <c r="E2378" s="11" t="s">
        <v>144</v>
      </c>
      <c r="F2378" s="3" t="s">
        <v>8</v>
      </c>
      <c r="G2378" s="66" t="s">
        <v>980</v>
      </c>
      <c r="H2378" s="8" t="s">
        <v>504</v>
      </c>
      <c r="I2378" s="8"/>
      <c r="J2378" s="6" t="s">
        <v>108</v>
      </c>
      <c r="K2378" s="38">
        <v>0</v>
      </c>
      <c r="L2378" s="4" t="s">
        <v>264</v>
      </c>
      <c r="M2378" s="11">
        <f>_xlfn.NUMBERVALUE(LEFT(Table613[[#This Row],[Fiscal Year]], 4))</f>
        <v>2001</v>
      </c>
      <c r="N2378" s="42">
        <f t="shared" si="53"/>
        <v>0</v>
      </c>
      <c r="O2378" s="3">
        <v>2376</v>
      </c>
    </row>
    <row r="2379" spans="1:15" x14ac:dyDescent="0.25">
      <c r="A2379" s="3">
        <v>8</v>
      </c>
      <c r="B2379" s="3" t="s">
        <v>293</v>
      </c>
      <c r="C2379" s="3" t="s">
        <v>262</v>
      </c>
      <c r="D2379" s="3" t="s">
        <v>444</v>
      </c>
      <c r="E2379" s="11" t="s">
        <v>144</v>
      </c>
      <c r="F2379" s="3" t="s">
        <v>8</v>
      </c>
      <c r="G2379" s="48" t="s">
        <v>981</v>
      </c>
      <c r="H2379" s="8" t="s">
        <v>504</v>
      </c>
      <c r="I2379" s="8"/>
      <c r="J2379" s="6" t="s">
        <v>108</v>
      </c>
      <c r="K2379" s="38">
        <v>178553</v>
      </c>
      <c r="L2379" s="4" t="s">
        <v>264</v>
      </c>
      <c r="M2379" s="11">
        <f>_xlfn.NUMBERVALUE(LEFT(Table613[[#This Row],[Fiscal Year]], 4))</f>
        <v>2001</v>
      </c>
      <c r="N2379" s="42">
        <f>K2379*(1+VLOOKUP(M2379,$AF$8:$AH$31,3,0))</f>
        <v>253695.48245623941</v>
      </c>
      <c r="O2379" s="3">
        <v>2377</v>
      </c>
    </row>
    <row r="2380" spans="1:15" x14ac:dyDescent="0.25">
      <c r="A2380" s="3">
        <v>8</v>
      </c>
      <c r="B2380" s="3" t="s">
        <v>293</v>
      </c>
      <c r="C2380" s="3" t="s">
        <v>262</v>
      </c>
      <c r="D2380" s="3" t="s">
        <v>444</v>
      </c>
      <c r="E2380" s="11" t="s">
        <v>144</v>
      </c>
      <c r="F2380" s="3" t="s">
        <v>8</v>
      </c>
      <c r="G2380" s="66" t="s">
        <v>982</v>
      </c>
      <c r="H2380" s="8" t="s">
        <v>593</v>
      </c>
      <c r="I2380" s="8" t="s">
        <v>594</v>
      </c>
      <c r="J2380" s="6" t="s">
        <v>108</v>
      </c>
      <c r="K2380" s="38">
        <v>0</v>
      </c>
      <c r="L2380" s="4" t="s">
        <v>264</v>
      </c>
      <c r="M2380" s="11">
        <f>_xlfn.NUMBERVALUE(LEFT(Table613[[#This Row],[Fiscal Year]], 4))</f>
        <v>2001</v>
      </c>
      <c r="N2380" s="42">
        <f t="shared" si="53"/>
        <v>0</v>
      </c>
      <c r="O2380" s="3">
        <v>2378</v>
      </c>
    </row>
    <row r="2381" spans="1:15" x14ac:dyDescent="0.25">
      <c r="A2381" s="3">
        <v>8</v>
      </c>
      <c r="B2381" s="3" t="s">
        <v>293</v>
      </c>
      <c r="C2381" s="3" t="s">
        <v>262</v>
      </c>
      <c r="D2381" s="3" t="s">
        <v>444</v>
      </c>
      <c r="E2381" s="11" t="s">
        <v>144</v>
      </c>
      <c r="F2381" s="3" t="s">
        <v>8</v>
      </c>
      <c r="G2381" s="66" t="s">
        <v>983</v>
      </c>
      <c r="H2381" s="8" t="s">
        <v>504</v>
      </c>
      <c r="I2381" s="8"/>
      <c r="J2381" s="6" t="s">
        <v>108</v>
      </c>
      <c r="K2381" s="38">
        <v>0</v>
      </c>
      <c r="L2381" s="4" t="s">
        <v>264</v>
      </c>
      <c r="M2381" s="11">
        <f>_xlfn.NUMBERVALUE(LEFT(Table613[[#This Row],[Fiscal Year]], 4))</f>
        <v>2001</v>
      </c>
      <c r="N2381" s="42">
        <f t="shared" si="53"/>
        <v>0</v>
      </c>
      <c r="O2381" s="3">
        <v>2379</v>
      </c>
    </row>
    <row r="2382" spans="1:15" x14ac:dyDescent="0.25">
      <c r="A2382" s="3">
        <v>8</v>
      </c>
      <c r="B2382" s="3" t="s">
        <v>293</v>
      </c>
      <c r="C2382" s="3" t="s">
        <v>262</v>
      </c>
      <c r="D2382" s="3" t="s">
        <v>444</v>
      </c>
      <c r="E2382" s="11" t="s">
        <v>144</v>
      </c>
      <c r="F2382" s="3" t="s">
        <v>8</v>
      </c>
      <c r="G2382" s="66" t="s">
        <v>984</v>
      </c>
      <c r="H2382" s="8" t="s">
        <v>504</v>
      </c>
      <c r="I2382" s="8"/>
      <c r="J2382" s="6" t="s">
        <v>108</v>
      </c>
      <c r="K2382" s="38">
        <v>0</v>
      </c>
      <c r="L2382" s="4" t="s">
        <v>264</v>
      </c>
      <c r="M2382" s="11">
        <f>_xlfn.NUMBERVALUE(LEFT(Table613[[#This Row],[Fiscal Year]], 4))</f>
        <v>2001</v>
      </c>
      <c r="N2382" s="42">
        <f t="shared" si="53"/>
        <v>0</v>
      </c>
      <c r="O2382" s="3">
        <v>2380</v>
      </c>
    </row>
    <row r="2383" spans="1:15" x14ac:dyDescent="0.25">
      <c r="A2383" s="3">
        <v>8</v>
      </c>
      <c r="B2383" s="3" t="s">
        <v>293</v>
      </c>
      <c r="C2383" s="3" t="s">
        <v>262</v>
      </c>
      <c r="D2383" s="3" t="s">
        <v>444</v>
      </c>
      <c r="E2383" s="11" t="s">
        <v>144</v>
      </c>
      <c r="F2383" s="3" t="s">
        <v>8</v>
      </c>
      <c r="G2383" s="66" t="s">
        <v>985</v>
      </c>
      <c r="H2383" s="8" t="s">
        <v>505</v>
      </c>
      <c r="I2383" s="8"/>
      <c r="J2383" s="6" t="s">
        <v>42</v>
      </c>
      <c r="K2383" s="38">
        <v>0</v>
      </c>
      <c r="L2383" s="4" t="s">
        <v>264</v>
      </c>
      <c r="M2383" s="11">
        <f>_xlfn.NUMBERVALUE(LEFT(Table613[[#This Row],[Fiscal Year]], 4))</f>
        <v>2001</v>
      </c>
      <c r="N2383" s="42">
        <f t="shared" si="53"/>
        <v>0</v>
      </c>
      <c r="O2383" s="3">
        <v>2381</v>
      </c>
    </row>
    <row r="2384" spans="1:15" x14ac:dyDescent="0.25">
      <c r="A2384" s="3">
        <v>8</v>
      </c>
      <c r="B2384" s="3" t="s">
        <v>293</v>
      </c>
      <c r="C2384" s="3" t="s">
        <v>262</v>
      </c>
      <c r="D2384" s="3" t="s">
        <v>444</v>
      </c>
      <c r="E2384" s="11" t="s">
        <v>144</v>
      </c>
      <c r="F2384" s="3" t="s">
        <v>8</v>
      </c>
      <c r="G2384" s="66" t="s">
        <v>986</v>
      </c>
      <c r="H2384" s="8" t="s">
        <v>599</v>
      </c>
      <c r="I2384" s="8"/>
      <c r="J2384" s="6" t="s">
        <v>42</v>
      </c>
      <c r="K2384" s="38">
        <v>20000</v>
      </c>
      <c r="L2384" s="4" t="s">
        <v>264</v>
      </c>
      <c r="M2384" s="11">
        <f>_xlfn.NUMBERVALUE(LEFT(Table613[[#This Row],[Fiscal Year]], 4))</f>
        <v>2001</v>
      </c>
      <c r="N2384" s="42">
        <f>K2384*(1+VLOOKUP(M2384,$AF$8:$AH$31,3,0))</f>
        <v>28416.826651609259</v>
      </c>
      <c r="O2384" s="3">
        <v>2382</v>
      </c>
    </row>
    <row r="2385" spans="1:15" x14ac:dyDescent="0.25">
      <c r="A2385" s="3">
        <v>8</v>
      </c>
      <c r="B2385" s="3" t="s">
        <v>293</v>
      </c>
      <c r="C2385" s="3" t="s">
        <v>262</v>
      </c>
      <c r="D2385" s="3" t="s">
        <v>444</v>
      </c>
      <c r="E2385" s="11" t="s">
        <v>144</v>
      </c>
      <c r="F2385" s="3" t="s">
        <v>8</v>
      </c>
      <c r="G2385" s="66" t="s">
        <v>987</v>
      </c>
      <c r="H2385" s="8"/>
      <c r="I2385" s="8"/>
      <c r="J2385" s="6" t="s">
        <v>111</v>
      </c>
      <c r="K2385" s="38">
        <v>0</v>
      </c>
      <c r="L2385" s="4" t="s">
        <v>264</v>
      </c>
      <c r="M2385" s="11">
        <f>_xlfn.NUMBERVALUE(LEFT(Table613[[#This Row],[Fiscal Year]], 4))</f>
        <v>2001</v>
      </c>
      <c r="N2385" s="42">
        <f t="shared" si="53"/>
        <v>0</v>
      </c>
      <c r="O2385" s="3">
        <v>2383</v>
      </c>
    </row>
    <row r="2386" spans="1:15" x14ac:dyDescent="0.25">
      <c r="A2386" s="3">
        <v>8</v>
      </c>
      <c r="B2386" s="3" t="s">
        <v>293</v>
      </c>
      <c r="C2386" s="3" t="s">
        <v>262</v>
      </c>
      <c r="D2386" s="3" t="s">
        <v>444</v>
      </c>
      <c r="E2386" s="11" t="s">
        <v>144</v>
      </c>
      <c r="F2386" s="3" t="s">
        <v>8</v>
      </c>
      <c r="G2386" s="66" t="s">
        <v>988</v>
      </c>
      <c r="H2386" s="8"/>
      <c r="I2386" s="8"/>
      <c r="J2386" s="6" t="s">
        <v>107</v>
      </c>
      <c r="K2386" s="38">
        <v>0</v>
      </c>
      <c r="L2386" s="4" t="s">
        <v>264</v>
      </c>
      <c r="M2386" s="11">
        <f>_xlfn.NUMBERVALUE(LEFT(Table613[[#This Row],[Fiscal Year]], 4))</f>
        <v>2001</v>
      </c>
      <c r="N2386" s="42">
        <f t="shared" si="53"/>
        <v>0</v>
      </c>
      <c r="O2386" s="3">
        <v>2384</v>
      </c>
    </row>
    <row r="2387" spans="1:15" x14ac:dyDescent="0.25">
      <c r="A2387" s="3">
        <v>8</v>
      </c>
      <c r="B2387" s="3" t="s">
        <v>293</v>
      </c>
      <c r="C2387" s="3" t="s">
        <v>262</v>
      </c>
      <c r="D2387" s="3" t="s">
        <v>444</v>
      </c>
      <c r="E2387" s="11" t="s">
        <v>144</v>
      </c>
      <c r="F2387" s="3" t="s">
        <v>8</v>
      </c>
      <c r="G2387" s="66" t="s">
        <v>989</v>
      </c>
      <c r="H2387" s="8" t="s">
        <v>597</v>
      </c>
      <c r="I2387" s="8" t="s">
        <v>594</v>
      </c>
      <c r="J2387" s="6" t="s">
        <v>108</v>
      </c>
      <c r="K2387" s="38">
        <v>0</v>
      </c>
      <c r="L2387" s="4" t="s">
        <v>264</v>
      </c>
      <c r="M2387" s="11">
        <f>_xlfn.NUMBERVALUE(LEFT(Table613[[#This Row],[Fiscal Year]], 4))</f>
        <v>2001</v>
      </c>
      <c r="N2387" s="42">
        <f t="shared" si="53"/>
        <v>0</v>
      </c>
      <c r="O2387" s="3">
        <v>2385</v>
      </c>
    </row>
    <row r="2388" spans="1:15" x14ac:dyDescent="0.25">
      <c r="A2388" s="3">
        <v>8</v>
      </c>
      <c r="B2388" s="3" t="s">
        <v>293</v>
      </c>
      <c r="C2388" s="3" t="s">
        <v>262</v>
      </c>
      <c r="D2388" s="3" t="s">
        <v>444</v>
      </c>
      <c r="E2388" s="11" t="s">
        <v>144</v>
      </c>
      <c r="F2388" s="3" t="s">
        <v>8</v>
      </c>
      <c r="G2388" s="66" t="s">
        <v>990</v>
      </c>
      <c r="H2388" s="8" t="s">
        <v>506</v>
      </c>
      <c r="I2388" s="8"/>
      <c r="J2388" s="6" t="s">
        <v>106</v>
      </c>
      <c r="K2388" s="38">
        <v>0</v>
      </c>
      <c r="L2388" s="4" t="s">
        <v>264</v>
      </c>
      <c r="M2388" s="11">
        <f>_xlfn.NUMBERVALUE(LEFT(Table613[[#This Row],[Fiscal Year]], 4))</f>
        <v>2001</v>
      </c>
      <c r="N2388" s="42">
        <f t="shared" si="53"/>
        <v>0</v>
      </c>
      <c r="O2388" s="3">
        <v>2386</v>
      </c>
    </row>
    <row r="2389" spans="1:15" x14ac:dyDescent="0.25">
      <c r="A2389" s="3">
        <v>8</v>
      </c>
      <c r="B2389" s="3" t="s">
        <v>293</v>
      </c>
      <c r="C2389" s="3" t="s">
        <v>262</v>
      </c>
      <c r="D2389" s="3" t="s">
        <v>444</v>
      </c>
      <c r="E2389" s="11" t="s">
        <v>144</v>
      </c>
      <c r="F2389" s="3" t="s">
        <v>8</v>
      </c>
      <c r="G2389" s="66" t="s">
        <v>1004</v>
      </c>
      <c r="H2389" s="8"/>
      <c r="I2389" s="8"/>
      <c r="J2389" s="6" t="s">
        <v>76</v>
      </c>
      <c r="K2389" s="38">
        <v>0</v>
      </c>
      <c r="L2389" s="4" t="s">
        <v>264</v>
      </c>
      <c r="M2389" s="11">
        <f>_xlfn.NUMBERVALUE(LEFT(Table613[[#This Row],[Fiscal Year]], 4))</f>
        <v>2001</v>
      </c>
      <c r="N2389" s="42">
        <f t="shared" si="53"/>
        <v>0</v>
      </c>
      <c r="O2389" s="3">
        <v>2387</v>
      </c>
    </row>
    <row r="2390" spans="1:15" x14ac:dyDescent="0.25">
      <c r="A2390" s="3">
        <v>8</v>
      </c>
      <c r="B2390" s="3" t="s">
        <v>293</v>
      </c>
      <c r="C2390" s="3" t="s">
        <v>262</v>
      </c>
      <c r="D2390" s="3" t="s">
        <v>444</v>
      </c>
      <c r="E2390" s="11" t="s">
        <v>144</v>
      </c>
      <c r="F2390" s="3" t="s">
        <v>8</v>
      </c>
      <c r="G2390" s="48" t="s">
        <v>991</v>
      </c>
      <c r="H2390" s="8" t="s">
        <v>503</v>
      </c>
      <c r="I2390" s="8"/>
      <c r="J2390" s="6" t="s">
        <v>110</v>
      </c>
      <c r="K2390" s="38">
        <v>0</v>
      </c>
      <c r="L2390" s="4" t="s">
        <v>264</v>
      </c>
      <c r="M2390" s="11">
        <f>_xlfn.NUMBERVALUE(LEFT(Table613[[#This Row],[Fiscal Year]], 4))</f>
        <v>2001</v>
      </c>
      <c r="N2390" s="42">
        <f t="shared" si="53"/>
        <v>0</v>
      </c>
      <c r="O2390" s="3">
        <v>2388</v>
      </c>
    </row>
    <row r="2391" spans="1:15" x14ac:dyDescent="0.25">
      <c r="A2391" s="3">
        <v>8</v>
      </c>
      <c r="B2391" s="3" t="s">
        <v>293</v>
      </c>
      <c r="C2391" s="3" t="s">
        <v>262</v>
      </c>
      <c r="D2391" s="3" t="s">
        <v>444</v>
      </c>
      <c r="E2391" s="11" t="s">
        <v>144</v>
      </c>
      <c r="F2391" s="3" t="s">
        <v>8</v>
      </c>
      <c r="G2391" s="66" t="s">
        <v>992</v>
      </c>
      <c r="H2391" s="8" t="s">
        <v>504</v>
      </c>
      <c r="I2391" s="8"/>
      <c r="J2391" s="6" t="s">
        <v>108</v>
      </c>
      <c r="K2391" s="38">
        <v>3700</v>
      </c>
      <c r="L2391" s="4" t="s">
        <v>264</v>
      </c>
      <c r="M2391" s="11">
        <f>_xlfn.NUMBERVALUE(LEFT(Table613[[#This Row],[Fiscal Year]], 4))</f>
        <v>2001</v>
      </c>
      <c r="N2391" s="42">
        <f t="shared" si="53"/>
        <v>5257.1129305477134</v>
      </c>
      <c r="O2391" s="3">
        <v>2389</v>
      </c>
    </row>
    <row r="2392" spans="1:15" x14ac:dyDescent="0.25">
      <c r="A2392" s="3">
        <v>8</v>
      </c>
      <c r="B2392" s="3" t="s">
        <v>293</v>
      </c>
      <c r="C2392" s="3" t="s">
        <v>262</v>
      </c>
      <c r="D2392" s="3" t="s">
        <v>444</v>
      </c>
      <c r="E2392" s="11" t="s">
        <v>144</v>
      </c>
      <c r="F2392" s="3" t="s">
        <v>8</v>
      </c>
      <c r="G2392" s="66" t="s">
        <v>993</v>
      </c>
      <c r="H2392" s="8" t="s">
        <v>602</v>
      </c>
      <c r="I2392" s="8"/>
      <c r="J2392" s="6" t="s">
        <v>108</v>
      </c>
      <c r="K2392" s="38">
        <v>5000</v>
      </c>
      <c r="L2392" s="4" t="s">
        <v>264</v>
      </c>
      <c r="M2392" s="11">
        <f>_xlfn.NUMBERVALUE(LEFT(Table613[[#This Row],[Fiscal Year]], 4))</f>
        <v>2001</v>
      </c>
      <c r="N2392" s="42">
        <f t="shared" si="53"/>
        <v>7104.2066629023147</v>
      </c>
      <c r="O2392" s="3">
        <v>2390</v>
      </c>
    </row>
    <row r="2393" spans="1:15" x14ac:dyDescent="0.25">
      <c r="A2393" s="3">
        <v>8</v>
      </c>
      <c r="B2393" s="3" t="s">
        <v>293</v>
      </c>
      <c r="C2393" s="3" t="s">
        <v>262</v>
      </c>
      <c r="D2393" s="3" t="s">
        <v>444</v>
      </c>
      <c r="E2393" s="11" t="s">
        <v>144</v>
      </c>
      <c r="F2393" s="3" t="s">
        <v>8</v>
      </c>
      <c r="G2393" s="66" t="s">
        <v>994</v>
      </c>
      <c r="H2393" s="8" t="s">
        <v>504</v>
      </c>
      <c r="I2393" s="8"/>
      <c r="J2393" s="6" t="s">
        <v>108</v>
      </c>
      <c r="K2393" s="38">
        <v>60000</v>
      </c>
      <c r="L2393" s="4" t="s">
        <v>264</v>
      </c>
      <c r="M2393" s="11">
        <f>_xlfn.NUMBERVALUE(LEFT(Table613[[#This Row],[Fiscal Year]], 4))</f>
        <v>2001</v>
      </c>
      <c r="N2393" s="42">
        <f t="shared" si="53"/>
        <v>85250.479954827781</v>
      </c>
      <c r="O2393" s="3">
        <v>2391</v>
      </c>
    </row>
    <row r="2394" spans="1:15" x14ac:dyDescent="0.25">
      <c r="A2394" s="3">
        <v>8</v>
      </c>
      <c r="B2394" s="3" t="s">
        <v>293</v>
      </c>
      <c r="C2394" s="3" t="s">
        <v>262</v>
      </c>
      <c r="D2394" s="3" t="s">
        <v>444</v>
      </c>
      <c r="E2394" s="11" t="s">
        <v>144</v>
      </c>
      <c r="F2394" s="3" t="s">
        <v>8</v>
      </c>
      <c r="G2394" s="66" t="s">
        <v>995</v>
      </c>
      <c r="H2394" s="8" t="s">
        <v>504</v>
      </c>
      <c r="I2394" s="8"/>
      <c r="J2394" s="6" t="s">
        <v>108</v>
      </c>
      <c r="K2394" s="38">
        <v>5400</v>
      </c>
      <c r="L2394" s="4" t="s">
        <v>264</v>
      </c>
      <c r="M2394" s="11">
        <f>_xlfn.NUMBERVALUE(LEFT(Table613[[#This Row],[Fiscal Year]], 4))</f>
        <v>2001</v>
      </c>
      <c r="N2394" s="42">
        <f t="shared" si="53"/>
        <v>7672.5431959344996</v>
      </c>
      <c r="O2394" s="3">
        <v>2392</v>
      </c>
    </row>
    <row r="2395" spans="1:15" x14ac:dyDescent="0.25">
      <c r="A2395" s="3">
        <v>8</v>
      </c>
      <c r="B2395" s="3" t="s">
        <v>293</v>
      </c>
      <c r="C2395" s="3" t="s">
        <v>262</v>
      </c>
      <c r="D2395" s="3" t="s">
        <v>444</v>
      </c>
      <c r="E2395" s="11" t="s">
        <v>144</v>
      </c>
      <c r="F2395" s="3" t="s">
        <v>8</v>
      </c>
      <c r="G2395" s="48" t="s">
        <v>996</v>
      </c>
      <c r="H2395" s="8" t="s">
        <v>504</v>
      </c>
      <c r="I2395" s="8"/>
      <c r="J2395" s="6" t="s">
        <v>108</v>
      </c>
      <c r="K2395" s="38">
        <v>242000</v>
      </c>
      <c r="L2395" s="4" t="s">
        <v>264</v>
      </c>
      <c r="M2395" s="11">
        <f>_xlfn.NUMBERVALUE(LEFT(Table613[[#This Row],[Fiscal Year]], 4))</f>
        <v>2001</v>
      </c>
      <c r="N2395" s="42">
        <f t="shared" si="53"/>
        <v>343843.60248447204</v>
      </c>
      <c r="O2395" s="3">
        <v>2393</v>
      </c>
    </row>
    <row r="2396" spans="1:15" x14ac:dyDescent="0.25">
      <c r="A2396" s="3">
        <v>8</v>
      </c>
      <c r="B2396" s="3" t="s">
        <v>293</v>
      </c>
      <c r="C2396" s="3" t="s">
        <v>262</v>
      </c>
      <c r="D2396" s="3" t="s">
        <v>444</v>
      </c>
      <c r="E2396" s="11" t="s">
        <v>144</v>
      </c>
      <c r="F2396" s="3" t="s">
        <v>8</v>
      </c>
      <c r="G2396" s="66" t="s">
        <v>997</v>
      </c>
      <c r="H2396" s="8" t="s">
        <v>593</v>
      </c>
      <c r="I2396" s="8" t="s">
        <v>594</v>
      </c>
      <c r="J2396" s="6" t="s">
        <v>108</v>
      </c>
      <c r="K2396" s="38">
        <v>0</v>
      </c>
      <c r="L2396" s="4" t="s">
        <v>264</v>
      </c>
      <c r="M2396" s="11">
        <f>_xlfn.NUMBERVALUE(LEFT(Table613[[#This Row],[Fiscal Year]], 4))</f>
        <v>2001</v>
      </c>
      <c r="N2396" s="42">
        <f t="shared" si="53"/>
        <v>0</v>
      </c>
      <c r="O2396" s="3">
        <v>2394</v>
      </c>
    </row>
    <row r="2397" spans="1:15" x14ac:dyDescent="0.25">
      <c r="A2397" s="3">
        <v>8</v>
      </c>
      <c r="B2397" s="3" t="s">
        <v>293</v>
      </c>
      <c r="C2397" s="3" t="s">
        <v>262</v>
      </c>
      <c r="D2397" s="3" t="s">
        <v>444</v>
      </c>
      <c r="E2397" s="11" t="s">
        <v>144</v>
      </c>
      <c r="F2397" s="3" t="s">
        <v>8</v>
      </c>
      <c r="G2397" s="66" t="s">
        <v>998</v>
      </c>
      <c r="H2397" s="8" t="s">
        <v>504</v>
      </c>
      <c r="I2397" s="8"/>
      <c r="J2397" s="6" t="s">
        <v>108</v>
      </c>
      <c r="K2397" s="38">
        <v>15000</v>
      </c>
      <c r="L2397" s="4" t="s">
        <v>264</v>
      </c>
      <c r="M2397" s="11">
        <f>_xlfn.NUMBERVALUE(LEFT(Table613[[#This Row],[Fiscal Year]], 4))</f>
        <v>2001</v>
      </c>
      <c r="N2397" s="42">
        <f t="shared" si="53"/>
        <v>21312.619988706945</v>
      </c>
      <c r="O2397" s="3">
        <v>2395</v>
      </c>
    </row>
    <row r="2398" spans="1:15" x14ac:dyDescent="0.25">
      <c r="A2398" s="3">
        <v>8</v>
      </c>
      <c r="B2398" s="3" t="s">
        <v>293</v>
      </c>
      <c r="C2398" s="3" t="s">
        <v>262</v>
      </c>
      <c r="D2398" s="3" t="s">
        <v>444</v>
      </c>
      <c r="E2398" s="11" t="s">
        <v>144</v>
      </c>
      <c r="F2398" s="3" t="s">
        <v>8</v>
      </c>
      <c r="G2398" s="66" t="s">
        <v>999</v>
      </c>
      <c r="H2398" s="8" t="s">
        <v>504</v>
      </c>
      <c r="I2398" s="8"/>
      <c r="J2398" s="6" t="s">
        <v>108</v>
      </c>
      <c r="K2398" s="38">
        <v>100000</v>
      </c>
      <c r="L2398" s="4" t="s">
        <v>264</v>
      </c>
      <c r="M2398" s="11">
        <f>_xlfn.NUMBERVALUE(LEFT(Table613[[#This Row],[Fiscal Year]], 4))</f>
        <v>2001</v>
      </c>
      <c r="N2398" s="42">
        <f t="shared" si="53"/>
        <v>142084.13325804629</v>
      </c>
      <c r="O2398" s="3">
        <v>2396</v>
      </c>
    </row>
    <row r="2399" spans="1:15" x14ac:dyDescent="0.25">
      <c r="A2399" s="3">
        <v>8</v>
      </c>
      <c r="B2399" s="3" t="s">
        <v>293</v>
      </c>
      <c r="C2399" s="3" t="s">
        <v>262</v>
      </c>
      <c r="D2399" s="3" t="s">
        <v>444</v>
      </c>
      <c r="E2399" s="11" t="s">
        <v>144</v>
      </c>
      <c r="F2399" s="3" t="s">
        <v>8</v>
      </c>
      <c r="G2399" s="66" t="s">
        <v>1000</v>
      </c>
      <c r="H2399" s="8" t="s">
        <v>505</v>
      </c>
      <c r="I2399" s="8"/>
      <c r="J2399" s="6" t="s">
        <v>42</v>
      </c>
      <c r="K2399" s="38">
        <v>1000</v>
      </c>
      <c r="L2399" s="4" t="s">
        <v>264</v>
      </c>
      <c r="M2399" s="11">
        <f>_xlfn.NUMBERVALUE(LEFT(Table613[[#This Row],[Fiscal Year]], 4))</f>
        <v>2001</v>
      </c>
      <c r="N2399" s="42">
        <f t="shared" si="53"/>
        <v>1420.8413325804629</v>
      </c>
      <c r="O2399" s="3">
        <v>2397</v>
      </c>
    </row>
    <row r="2400" spans="1:15" x14ac:dyDescent="0.25">
      <c r="A2400" s="3">
        <v>8</v>
      </c>
      <c r="B2400" s="3" t="s">
        <v>293</v>
      </c>
      <c r="C2400" s="3" t="s">
        <v>262</v>
      </c>
      <c r="D2400" s="3" t="s">
        <v>444</v>
      </c>
      <c r="E2400" s="11" t="s">
        <v>144</v>
      </c>
      <c r="F2400" s="3" t="s">
        <v>8</v>
      </c>
      <c r="G2400" s="66" t="s">
        <v>1001</v>
      </c>
      <c r="H2400" s="8" t="s">
        <v>599</v>
      </c>
      <c r="I2400" s="8"/>
      <c r="J2400" s="6" t="s">
        <v>42</v>
      </c>
      <c r="K2400" s="38">
        <v>0</v>
      </c>
      <c r="L2400" s="4" t="s">
        <v>264</v>
      </c>
      <c r="M2400" s="11">
        <f>_xlfn.NUMBERVALUE(LEFT(Table613[[#This Row],[Fiscal Year]], 4))</f>
        <v>2001</v>
      </c>
      <c r="N2400" s="42">
        <f t="shared" si="53"/>
        <v>0</v>
      </c>
      <c r="O2400" s="3">
        <v>2398</v>
      </c>
    </row>
    <row r="2401" spans="1:15" x14ac:dyDescent="0.25">
      <c r="A2401" s="3">
        <v>8</v>
      </c>
      <c r="B2401" s="3" t="s">
        <v>293</v>
      </c>
      <c r="C2401" s="3" t="s">
        <v>262</v>
      </c>
      <c r="D2401" s="3" t="s">
        <v>444</v>
      </c>
      <c r="E2401" s="11" t="s">
        <v>144</v>
      </c>
      <c r="F2401" s="3" t="s">
        <v>8</v>
      </c>
      <c r="G2401" s="66" t="s">
        <v>1005</v>
      </c>
      <c r="H2401" s="8"/>
      <c r="I2401" s="8"/>
      <c r="J2401" s="6" t="s">
        <v>111</v>
      </c>
      <c r="K2401" s="38">
        <v>0</v>
      </c>
      <c r="L2401" s="4" t="s">
        <v>264</v>
      </c>
      <c r="M2401" s="11">
        <f>_xlfn.NUMBERVALUE(LEFT(Table613[[#This Row],[Fiscal Year]], 4))</f>
        <v>2001</v>
      </c>
      <c r="N2401" s="42">
        <f t="shared" si="53"/>
        <v>0</v>
      </c>
      <c r="O2401" s="3">
        <v>2399</v>
      </c>
    </row>
    <row r="2402" spans="1:15" x14ac:dyDescent="0.25">
      <c r="A2402" s="3">
        <v>8</v>
      </c>
      <c r="B2402" s="3" t="s">
        <v>293</v>
      </c>
      <c r="C2402" s="3" t="s">
        <v>262</v>
      </c>
      <c r="D2402" s="3" t="s">
        <v>444</v>
      </c>
      <c r="E2402" s="11" t="s">
        <v>144</v>
      </c>
      <c r="F2402" s="3" t="s">
        <v>8</v>
      </c>
      <c r="G2402" s="66" t="s">
        <v>1006</v>
      </c>
      <c r="H2402" s="8"/>
      <c r="I2402" s="8"/>
      <c r="J2402" s="6" t="s">
        <v>107</v>
      </c>
      <c r="K2402" s="38">
        <v>0</v>
      </c>
      <c r="L2402" s="4" t="s">
        <v>264</v>
      </c>
      <c r="M2402" s="11">
        <f>_xlfn.NUMBERVALUE(LEFT(Table613[[#This Row],[Fiscal Year]], 4))</f>
        <v>2001</v>
      </c>
      <c r="N2402" s="42">
        <f t="shared" si="53"/>
        <v>0</v>
      </c>
      <c r="O2402" s="3">
        <v>2400</v>
      </c>
    </row>
    <row r="2403" spans="1:15" x14ac:dyDescent="0.25">
      <c r="A2403" s="3">
        <v>8</v>
      </c>
      <c r="B2403" s="3" t="s">
        <v>293</v>
      </c>
      <c r="C2403" s="3" t="s">
        <v>262</v>
      </c>
      <c r="D2403" s="3" t="s">
        <v>444</v>
      </c>
      <c r="E2403" s="11" t="s">
        <v>144</v>
      </c>
      <c r="F2403" s="3" t="s">
        <v>8</v>
      </c>
      <c r="G2403" s="66" t="s">
        <v>1002</v>
      </c>
      <c r="H2403" s="8" t="s">
        <v>597</v>
      </c>
      <c r="I2403" s="8" t="s">
        <v>594</v>
      </c>
      <c r="J2403" s="6" t="s">
        <v>108</v>
      </c>
      <c r="K2403" s="38">
        <v>0</v>
      </c>
      <c r="L2403" s="4" t="s">
        <v>264</v>
      </c>
      <c r="M2403" s="11">
        <f>_xlfn.NUMBERVALUE(LEFT(Table613[[#This Row],[Fiscal Year]], 4))</f>
        <v>2001</v>
      </c>
      <c r="N2403" s="42">
        <f t="shared" si="53"/>
        <v>0</v>
      </c>
      <c r="O2403" s="3">
        <v>2401</v>
      </c>
    </row>
    <row r="2404" spans="1:15" x14ac:dyDescent="0.25">
      <c r="A2404" s="3">
        <v>8</v>
      </c>
      <c r="B2404" s="3" t="s">
        <v>293</v>
      </c>
      <c r="C2404" s="3" t="s">
        <v>262</v>
      </c>
      <c r="D2404" s="3" t="s">
        <v>444</v>
      </c>
      <c r="E2404" s="11" t="s">
        <v>144</v>
      </c>
      <c r="F2404" s="3" t="s">
        <v>8</v>
      </c>
      <c r="G2404" s="66" t="s">
        <v>1003</v>
      </c>
      <c r="H2404" s="8" t="s">
        <v>506</v>
      </c>
      <c r="I2404" s="8"/>
      <c r="J2404" s="6" t="s">
        <v>106</v>
      </c>
      <c r="K2404" s="38">
        <v>0</v>
      </c>
      <c r="L2404" s="4" t="s">
        <v>264</v>
      </c>
      <c r="M2404" s="11">
        <f>_xlfn.NUMBERVALUE(LEFT(Table613[[#This Row],[Fiscal Year]], 4))</f>
        <v>2001</v>
      </c>
      <c r="N2404" s="42">
        <f t="shared" si="53"/>
        <v>0</v>
      </c>
      <c r="O2404" s="3">
        <v>2402</v>
      </c>
    </row>
    <row r="2405" spans="1:15" x14ac:dyDescent="0.25">
      <c r="A2405" s="3">
        <v>8</v>
      </c>
      <c r="B2405" s="3" t="s">
        <v>293</v>
      </c>
      <c r="C2405" s="3" t="s">
        <v>262</v>
      </c>
      <c r="D2405" s="3" t="s">
        <v>444</v>
      </c>
      <c r="E2405" s="11" t="s">
        <v>144</v>
      </c>
      <c r="F2405" s="3" t="s">
        <v>8</v>
      </c>
      <c r="G2405" s="66" t="s">
        <v>1007</v>
      </c>
      <c r="H2405" s="8"/>
      <c r="I2405" s="8"/>
      <c r="J2405" s="6" t="s">
        <v>76</v>
      </c>
      <c r="K2405" s="38">
        <v>0</v>
      </c>
      <c r="L2405" s="4" t="s">
        <v>264</v>
      </c>
      <c r="M2405" s="11">
        <f>_xlfn.NUMBERVALUE(LEFT(Table613[[#This Row],[Fiscal Year]], 4))</f>
        <v>2001</v>
      </c>
      <c r="N2405" s="42">
        <f t="shared" si="53"/>
        <v>0</v>
      </c>
      <c r="O2405" s="3">
        <v>2403</v>
      </c>
    </row>
    <row r="2406" spans="1:15" x14ac:dyDescent="0.25">
      <c r="E2406" s="11"/>
      <c r="G2406" s="66"/>
      <c r="H2406" s="8"/>
      <c r="I2406" s="8"/>
      <c r="J2406" s="6"/>
      <c r="L2406" s="4"/>
      <c r="O2406" s="3">
        <v>2404</v>
      </c>
    </row>
    <row r="2407" spans="1:15" x14ac:dyDescent="0.25">
      <c r="A2407" s="3">
        <v>8</v>
      </c>
      <c r="B2407" s="3" t="s">
        <v>294</v>
      </c>
      <c r="C2407" s="3" t="s">
        <v>262</v>
      </c>
      <c r="D2407" s="3" t="s">
        <v>444</v>
      </c>
      <c r="E2407" s="11" t="s">
        <v>144</v>
      </c>
      <c r="F2407" s="3" t="s">
        <v>8</v>
      </c>
      <c r="G2407" s="48" t="s">
        <v>976</v>
      </c>
      <c r="H2407" s="8" t="s">
        <v>503</v>
      </c>
      <c r="I2407" s="8" t="s">
        <v>640</v>
      </c>
      <c r="J2407" s="6" t="s">
        <v>110</v>
      </c>
      <c r="K2407" s="38">
        <v>0</v>
      </c>
      <c r="L2407" s="4" t="s">
        <v>264</v>
      </c>
      <c r="M2407" s="11">
        <f>_xlfn.NUMBERVALUE(LEFT(Table613[[#This Row],[Fiscal Year]], 4))</f>
        <v>2001</v>
      </c>
      <c r="N2407" s="42">
        <f t="shared" ref="N2407:N2438" si="54">K2407*(1+VLOOKUP(M2407,$AF$8:$AH$31,3,0))</f>
        <v>0</v>
      </c>
      <c r="O2407" s="3">
        <v>2405</v>
      </c>
    </row>
    <row r="2408" spans="1:15" x14ac:dyDescent="0.25">
      <c r="A2408" s="3">
        <v>8</v>
      </c>
      <c r="B2408" s="3" t="s">
        <v>294</v>
      </c>
      <c r="C2408" s="3" t="s">
        <v>262</v>
      </c>
      <c r="D2408" s="3" t="s">
        <v>444</v>
      </c>
      <c r="E2408" s="11" t="s">
        <v>144</v>
      </c>
      <c r="F2408" s="3" t="s">
        <v>8</v>
      </c>
      <c r="G2408" s="66" t="s">
        <v>977</v>
      </c>
      <c r="H2408" s="8" t="s">
        <v>504</v>
      </c>
      <c r="I2408" s="8"/>
      <c r="J2408" s="6" t="s">
        <v>108</v>
      </c>
      <c r="K2408" s="38">
        <v>0</v>
      </c>
      <c r="L2408" s="4" t="s">
        <v>264</v>
      </c>
      <c r="M2408" s="11">
        <f>_xlfn.NUMBERVALUE(LEFT(Table613[[#This Row],[Fiscal Year]], 4))</f>
        <v>2001</v>
      </c>
      <c r="N2408" s="42">
        <f t="shared" si="54"/>
        <v>0</v>
      </c>
      <c r="O2408" s="3">
        <v>2406</v>
      </c>
    </row>
    <row r="2409" spans="1:15" x14ac:dyDescent="0.25">
      <c r="A2409" s="3">
        <v>8</v>
      </c>
      <c r="B2409" s="3" t="s">
        <v>294</v>
      </c>
      <c r="C2409" s="3" t="s">
        <v>262</v>
      </c>
      <c r="D2409" s="3" t="s">
        <v>444</v>
      </c>
      <c r="E2409" s="11" t="s">
        <v>144</v>
      </c>
      <c r="F2409" s="3" t="s">
        <v>8</v>
      </c>
      <c r="G2409" s="66" t="s">
        <v>978</v>
      </c>
      <c r="H2409" s="8" t="s">
        <v>602</v>
      </c>
      <c r="I2409" s="8"/>
      <c r="J2409" s="6" t="s">
        <v>108</v>
      </c>
      <c r="K2409" s="38">
        <v>0</v>
      </c>
      <c r="L2409" s="4" t="s">
        <v>264</v>
      </c>
      <c r="M2409" s="11">
        <f>_xlfn.NUMBERVALUE(LEFT(Table613[[#This Row],[Fiscal Year]], 4))</f>
        <v>2001</v>
      </c>
      <c r="N2409" s="42">
        <f t="shared" si="54"/>
        <v>0</v>
      </c>
      <c r="O2409" s="3">
        <v>2407</v>
      </c>
    </row>
    <row r="2410" spans="1:15" x14ac:dyDescent="0.25">
      <c r="A2410" s="3">
        <v>8</v>
      </c>
      <c r="B2410" s="3" t="s">
        <v>294</v>
      </c>
      <c r="C2410" s="3" t="s">
        <v>262</v>
      </c>
      <c r="D2410" s="3" t="s">
        <v>444</v>
      </c>
      <c r="E2410" s="11" t="s">
        <v>144</v>
      </c>
      <c r="F2410" s="3" t="s">
        <v>8</v>
      </c>
      <c r="G2410" s="66" t="s">
        <v>979</v>
      </c>
      <c r="H2410" s="8" t="s">
        <v>504</v>
      </c>
      <c r="I2410" s="8"/>
      <c r="J2410" s="6" t="s">
        <v>108</v>
      </c>
      <c r="K2410" s="38">
        <v>0</v>
      </c>
      <c r="L2410" s="4" t="s">
        <v>264</v>
      </c>
      <c r="M2410" s="11">
        <f>_xlfn.NUMBERVALUE(LEFT(Table613[[#This Row],[Fiscal Year]], 4))</f>
        <v>2001</v>
      </c>
      <c r="N2410" s="42">
        <f t="shared" si="54"/>
        <v>0</v>
      </c>
      <c r="O2410" s="3">
        <v>2408</v>
      </c>
    </row>
    <row r="2411" spans="1:15" x14ac:dyDescent="0.25">
      <c r="A2411" s="3">
        <v>8</v>
      </c>
      <c r="B2411" s="3" t="s">
        <v>294</v>
      </c>
      <c r="C2411" s="3" t="s">
        <v>262</v>
      </c>
      <c r="D2411" s="3" t="s">
        <v>444</v>
      </c>
      <c r="E2411" s="11" t="s">
        <v>144</v>
      </c>
      <c r="F2411" s="3" t="s">
        <v>8</v>
      </c>
      <c r="G2411" s="66" t="s">
        <v>980</v>
      </c>
      <c r="H2411" s="8" t="s">
        <v>504</v>
      </c>
      <c r="I2411" s="8"/>
      <c r="J2411" s="6" t="s">
        <v>108</v>
      </c>
      <c r="K2411" s="38">
        <v>0</v>
      </c>
      <c r="L2411" s="4" t="s">
        <v>264</v>
      </c>
      <c r="M2411" s="11">
        <f>_xlfn.NUMBERVALUE(LEFT(Table613[[#This Row],[Fiscal Year]], 4))</f>
        <v>2001</v>
      </c>
      <c r="N2411" s="42">
        <f t="shared" si="54"/>
        <v>0</v>
      </c>
      <c r="O2411" s="3">
        <v>2409</v>
      </c>
    </row>
    <row r="2412" spans="1:15" x14ac:dyDescent="0.25">
      <c r="A2412" s="3">
        <v>8</v>
      </c>
      <c r="B2412" s="3" t="s">
        <v>294</v>
      </c>
      <c r="C2412" s="3" t="s">
        <v>262</v>
      </c>
      <c r="D2412" s="3" t="s">
        <v>444</v>
      </c>
      <c r="E2412" s="11" t="s">
        <v>144</v>
      </c>
      <c r="F2412" s="3" t="s">
        <v>8</v>
      </c>
      <c r="G2412" s="48" t="s">
        <v>981</v>
      </c>
      <c r="H2412" s="8" t="s">
        <v>504</v>
      </c>
      <c r="I2412" s="8"/>
      <c r="J2412" s="6" t="s">
        <v>108</v>
      </c>
      <c r="K2412" s="38">
        <v>0</v>
      </c>
      <c r="L2412" s="4" t="s">
        <v>264</v>
      </c>
      <c r="M2412" s="11">
        <f>_xlfn.NUMBERVALUE(LEFT(Table613[[#This Row],[Fiscal Year]], 4))</f>
        <v>2001</v>
      </c>
      <c r="N2412" s="42">
        <f t="shared" si="54"/>
        <v>0</v>
      </c>
      <c r="O2412" s="3">
        <v>2410</v>
      </c>
    </row>
    <row r="2413" spans="1:15" x14ac:dyDescent="0.25">
      <c r="A2413" s="3">
        <v>8</v>
      </c>
      <c r="B2413" s="3" t="s">
        <v>294</v>
      </c>
      <c r="C2413" s="3" t="s">
        <v>262</v>
      </c>
      <c r="D2413" s="3" t="s">
        <v>444</v>
      </c>
      <c r="E2413" s="11" t="s">
        <v>144</v>
      </c>
      <c r="F2413" s="3" t="s">
        <v>8</v>
      </c>
      <c r="G2413" s="66" t="s">
        <v>982</v>
      </c>
      <c r="H2413" s="8" t="s">
        <v>593</v>
      </c>
      <c r="I2413" s="8" t="s">
        <v>594</v>
      </c>
      <c r="J2413" s="6" t="s">
        <v>108</v>
      </c>
      <c r="K2413" s="38">
        <v>0</v>
      </c>
      <c r="L2413" s="4" t="s">
        <v>264</v>
      </c>
      <c r="M2413" s="11">
        <f>_xlfn.NUMBERVALUE(LEFT(Table613[[#This Row],[Fiscal Year]], 4))</f>
        <v>2001</v>
      </c>
      <c r="N2413" s="42">
        <f t="shared" si="54"/>
        <v>0</v>
      </c>
      <c r="O2413" s="3">
        <v>2411</v>
      </c>
    </row>
    <row r="2414" spans="1:15" x14ac:dyDescent="0.25">
      <c r="A2414" s="3">
        <v>8</v>
      </c>
      <c r="B2414" s="3" t="s">
        <v>294</v>
      </c>
      <c r="C2414" s="3" t="s">
        <v>262</v>
      </c>
      <c r="D2414" s="3" t="s">
        <v>444</v>
      </c>
      <c r="E2414" s="11" t="s">
        <v>144</v>
      </c>
      <c r="F2414" s="3" t="s">
        <v>8</v>
      </c>
      <c r="G2414" s="66" t="s">
        <v>983</v>
      </c>
      <c r="H2414" s="8" t="s">
        <v>504</v>
      </c>
      <c r="I2414" s="8"/>
      <c r="J2414" s="6" t="s">
        <v>108</v>
      </c>
      <c r="K2414" s="38">
        <v>0</v>
      </c>
      <c r="L2414" s="4" t="s">
        <v>264</v>
      </c>
      <c r="M2414" s="11">
        <f>_xlfn.NUMBERVALUE(LEFT(Table613[[#This Row],[Fiscal Year]], 4))</f>
        <v>2001</v>
      </c>
      <c r="N2414" s="42">
        <f t="shared" si="54"/>
        <v>0</v>
      </c>
      <c r="O2414" s="3">
        <v>2412</v>
      </c>
    </row>
    <row r="2415" spans="1:15" x14ac:dyDescent="0.25">
      <c r="A2415" s="3">
        <v>8</v>
      </c>
      <c r="B2415" s="3" t="s">
        <v>294</v>
      </c>
      <c r="C2415" s="3" t="s">
        <v>262</v>
      </c>
      <c r="D2415" s="3" t="s">
        <v>444</v>
      </c>
      <c r="E2415" s="11" t="s">
        <v>144</v>
      </c>
      <c r="F2415" s="3" t="s">
        <v>8</v>
      </c>
      <c r="G2415" s="66" t="s">
        <v>984</v>
      </c>
      <c r="H2415" s="8" t="s">
        <v>504</v>
      </c>
      <c r="I2415" s="8"/>
      <c r="J2415" s="6" t="s">
        <v>108</v>
      </c>
      <c r="K2415" s="38">
        <v>0</v>
      </c>
      <c r="L2415" s="4" t="s">
        <v>264</v>
      </c>
      <c r="M2415" s="11">
        <f>_xlfn.NUMBERVALUE(LEFT(Table613[[#This Row],[Fiscal Year]], 4))</f>
        <v>2001</v>
      </c>
      <c r="N2415" s="42">
        <f t="shared" si="54"/>
        <v>0</v>
      </c>
      <c r="O2415" s="3">
        <v>2413</v>
      </c>
    </row>
    <row r="2416" spans="1:15" x14ac:dyDescent="0.25">
      <c r="A2416" s="3">
        <v>8</v>
      </c>
      <c r="B2416" s="3" t="s">
        <v>294</v>
      </c>
      <c r="C2416" s="3" t="s">
        <v>262</v>
      </c>
      <c r="D2416" s="3" t="s">
        <v>444</v>
      </c>
      <c r="E2416" s="11" t="s">
        <v>144</v>
      </c>
      <c r="F2416" s="3" t="s">
        <v>8</v>
      </c>
      <c r="G2416" s="66" t="s">
        <v>985</v>
      </c>
      <c r="H2416" s="8" t="s">
        <v>505</v>
      </c>
      <c r="I2416" s="8"/>
      <c r="J2416" s="6" t="s">
        <v>42</v>
      </c>
      <c r="K2416" s="38">
        <v>0</v>
      </c>
      <c r="L2416" s="4" t="s">
        <v>264</v>
      </c>
      <c r="M2416" s="11">
        <f>_xlfn.NUMBERVALUE(LEFT(Table613[[#This Row],[Fiscal Year]], 4))</f>
        <v>2001</v>
      </c>
      <c r="N2416" s="42">
        <f t="shared" si="54"/>
        <v>0</v>
      </c>
      <c r="O2416" s="3">
        <v>2414</v>
      </c>
    </row>
    <row r="2417" spans="1:15" x14ac:dyDescent="0.25">
      <c r="A2417" s="3">
        <v>8</v>
      </c>
      <c r="B2417" s="3" t="s">
        <v>294</v>
      </c>
      <c r="C2417" s="3" t="s">
        <v>262</v>
      </c>
      <c r="D2417" s="3" t="s">
        <v>444</v>
      </c>
      <c r="E2417" s="11" t="s">
        <v>144</v>
      </c>
      <c r="F2417" s="3" t="s">
        <v>8</v>
      </c>
      <c r="G2417" s="66" t="s">
        <v>986</v>
      </c>
      <c r="H2417" s="8" t="s">
        <v>599</v>
      </c>
      <c r="I2417" s="8"/>
      <c r="J2417" s="6" t="s">
        <v>42</v>
      </c>
      <c r="K2417" s="38">
        <v>0</v>
      </c>
      <c r="L2417" s="4" t="s">
        <v>264</v>
      </c>
      <c r="M2417" s="11">
        <f>_xlfn.NUMBERVALUE(LEFT(Table613[[#This Row],[Fiscal Year]], 4))</f>
        <v>2001</v>
      </c>
      <c r="N2417" s="42">
        <f t="shared" si="54"/>
        <v>0</v>
      </c>
      <c r="O2417" s="3">
        <v>2415</v>
      </c>
    </row>
    <row r="2418" spans="1:15" x14ac:dyDescent="0.25">
      <c r="A2418" s="3">
        <v>8</v>
      </c>
      <c r="B2418" s="3" t="s">
        <v>294</v>
      </c>
      <c r="C2418" s="3" t="s">
        <v>262</v>
      </c>
      <c r="D2418" s="3" t="s">
        <v>444</v>
      </c>
      <c r="E2418" s="11" t="s">
        <v>144</v>
      </c>
      <c r="F2418" s="3" t="s">
        <v>8</v>
      </c>
      <c r="G2418" s="66" t="s">
        <v>987</v>
      </c>
      <c r="H2418" s="8"/>
      <c r="I2418" s="8"/>
      <c r="J2418" s="6" t="s">
        <v>111</v>
      </c>
      <c r="K2418" s="38">
        <v>0</v>
      </c>
      <c r="L2418" s="4" t="s">
        <v>264</v>
      </c>
      <c r="M2418" s="11">
        <f>_xlfn.NUMBERVALUE(LEFT(Table613[[#This Row],[Fiscal Year]], 4))</f>
        <v>2001</v>
      </c>
      <c r="N2418" s="42">
        <f t="shared" si="54"/>
        <v>0</v>
      </c>
      <c r="O2418" s="3">
        <v>2416</v>
      </c>
    </row>
    <row r="2419" spans="1:15" x14ac:dyDescent="0.25">
      <c r="A2419" s="3">
        <v>8</v>
      </c>
      <c r="B2419" s="3" t="s">
        <v>294</v>
      </c>
      <c r="C2419" s="3" t="s">
        <v>262</v>
      </c>
      <c r="D2419" s="3" t="s">
        <v>444</v>
      </c>
      <c r="E2419" s="11" t="s">
        <v>144</v>
      </c>
      <c r="F2419" s="3" t="s">
        <v>8</v>
      </c>
      <c r="G2419" s="66" t="s">
        <v>988</v>
      </c>
      <c r="H2419" s="8"/>
      <c r="I2419" s="8"/>
      <c r="J2419" s="6" t="s">
        <v>107</v>
      </c>
      <c r="K2419" s="38">
        <v>0</v>
      </c>
      <c r="L2419" s="4" t="s">
        <v>264</v>
      </c>
      <c r="M2419" s="11">
        <f>_xlfn.NUMBERVALUE(LEFT(Table613[[#This Row],[Fiscal Year]], 4))</f>
        <v>2001</v>
      </c>
      <c r="N2419" s="42">
        <f t="shared" si="54"/>
        <v>0</v>
      </c>
      <c r="O2419" s="3">
        <v>2417</v>
      </c>
    </row>
    <row r="2420" spans="1:15" x14ac:dyDescent="0.25">
      <c r="A2420" s="3">
        <v>8</v>
      </c>
      <c r="B2420" s="3" t="s">
        <v>294</v>
      </c>
      <c r="C2420" s="3" t="s">
        <v>262</v>
      </c>
      <c r="D2420" s="3" t="s">
        <v>444</v>
      </c>
      <c r="E2420" s="11" t="s">
        <v>144</v>
      </c>
      <c r="F2420" s="3" t="s">
        <v>8</v>
      </c>
      <c r="G2420" s="66" t="s">
        <v>989</v>
      </c>
      <c r="H2420" s="8" t="s">
        <v>597</v>
      </c>
      <c r="I2420" s="8" t="s">
        <v>594</v>
      </c>
      <c r="J2420" s="6" t="s">
        <v>108</v>
      </c>
      <c r="K2420" s="38">
        <v>0</v>
      </c>
      <c r="L2420" s="4" t="s">
        <v>264</v>
      </c>
      <c r="M2420" s="11">
        <f>_xlfn.NUMBERVALUE(LEFT(Table613[[#This Row],[Fiscal Year]], 4))</f>
        <v>2001</v>
      </c>
      <c r="N2420" s="42">
        <f t="shared" si="54"/>
        <v>0</v>
      </c>
      <c r="O2420" s="3">
        <v>2418</v>
      </c>
    </row>
    <row r="2421" spans="1:15" x14ac:dyDescent="0.25">
      <c r="A2421" s="3">
        <v>8</v>
      </c>
      <c r="B2421" s="3" t="s">
        <v>294</v>
      </c>
      <c r="C2421" s="3" t="s">
        <v>262</v>
      </c>
      <c r="D2421" s="3" t="s">
        <v>444</v>
      </c>
      <c r="E2421" s="11" t="s">
        <v>144</v>
      </c>
      <c r="F2421" s="3" t="s">
        <v>8</v>
      </c>
      <c r="G2421" s="66" t="s">
        <v>990</v>
      </c>
      <c r="H2421" s="8" t="s">
        <v>506</v>
      </c>
      <c r="I2421" s="8"/>
      <c r="J2421" s="6" t="s">
        <v>106</v>
      </c>
      <c r="K2421" s="38">
        <v>0</v>
      </c>
      <c r="L2421" s="4" t="s">
        <v>264</v>
      </c>
      <c r="M2421" s="11">
        <f>_xlfn.NUMBERVALUE(LEFT(Table613[[#This Row],[Fiscal Year]], 4))</f>
        <v>2001</v>
      </c>
      <c r="N2421" s="42">
        <f t="shared" si="54"/>
        <v>0</v>
      </c>
      <c r="O2421" s="3">
        <v>2419</v>
      </c>
    </row>
    <row r="2422" spans="1:15" x14ac:dyDescent="0.25">
      <c r="A2422" s="3">
        <v>8</v>
      </c>
      <c r="B2422" s="3" t="s">
        <v>294</v>
      </c>
      <c r="C2422" s="3" t="s">
        <v>262</v>
      </c>
      <c r="D2422" s="3" t="s">
        <v>444</v>
      </c>
      <c r="E2422" s="11" t="s">
        <v>144</v>
      </c>
      <c r="F2422" s="3" t="s">
        <v>8</v>
      </c>
      <c r="G2422" s="66" t="s">
        <v>1004</v>
      </c>
      <c r="H2422" s="8"/>
      <c r="I2422" s="8"/>
      <c r="J2422" s="6" t="s">
        <v>76</v>
      </c>
      <c r="K2422" s="38">
        <v>0</v>
      </c>
      <c r="L2422" s="4" t="s">
        <v>264</v>
      </c>
      <c r="M2422" s="11">
        <f>_xlfn.NUMBERVALUE(LEFT(Table613[[#This Row],[Fiscal Year]], 4))</f>
        <v>2001</v>
      </c>
      <c r="N2422" s="42">
        <f t="shared" si="54"/>
        <v>0</v>
      </c>
      <c r="O2422" s="3">
        <v>2420</v>
      </c>
    </row>
    <row r="2423" spans="1:15" x14ac:dyDescent="0.25">
      <c r="A2423" s="3">
        <v>8</v>
      </c>
      <c r="B2423" s="3" t="s">
        <v>294</v>
      </c>
      <c r="C2423" s="3" t="s">
        <v>262</v>
      </c>
      <c r="D2423" s="3" t="s">
        <v>444</v>
      </c>
      <c r="E2423" s="11" t="s">
        <v>144</v>
      </c>
      <c r="F2423" s="3" t="s">
        <v>8</v>
      </c>
      <c r="G2423" s="48" t="s">
        <v>991</v>
      </c>
      <c r="H2423" s="8" t="s">
        <v>503</v>
      </c>
      <c r="I2423" s="8"/>
      <c r="J2423" s="6" t="s">
        <v>110</v>
      </c>
      <c r="K2423" s="38">
        <v>0</v>
      </c>
      <c r="L2423" s="4" t="s">
        <v>264</v>
      </c>
      <c r="M2423" s="11">
        <f>_xlfn.NUMBERVALUE(LEFT(Table613[[#This Row],[Fiscal Year]], 4))</f>
        <v>2001</v>
      </c>
      <c r="N2423" s="42">
        <f t="shared" si="54"/>
        <v>0</v>
      </c>
      <c r="O2423" s="3">
        <v>2421</v>
      </c>
    </row>
    <row r="2424" spans="1:15" x14ac:dyDescent="0.25">
      <c r="A2424" s="3">
        <v>8</v>
      </c>
      <c r="B2424" s="3" t="s">
        <v>294</v>
      </c>
      <c r="C2424" s="3" t="s">
        <v>262</v>
      </c>
      <c r="D2424" s="3" t="s">
        <v>444</v>
      </c>
      <c r="E2424" s="11" t="s">
        <v>144</v>
      </c>
      <c r="F2424" s="3" t="s">
        <v>8</v>
      </c>
      <c r="G2424" s="66" t="s">
        <v>992</v>
      </c>
      <c r="H2424" s="8" t="s">
        <v>504</v>
      </c>
      <c r="I2424" s="8"/>
      <c r="J2424" s="6" t="s">
        <v>108</v>
      </c>
      <c r="K2424" s="38">
        <v>5000</v>
      </c>
      <c r="L2424" s="4" t="s">
        <v>264</v>
      </c>
      <c r="M2424" s="11">
        <f>_xlfn.NUMBERVALUE(LEFT(Table613[[#This Row],[Fiscal Year]], 4))</f>
        <v>2001</v>
      </c>
      <c r="N2424" s="42">
        <f t="shared" si="54"/>
        <v>7104.2066629023147</v>
      </c>
      <c r="O2424" s="3">
        <v>2422</v>
      </c>
    </row>
    <row r="2425" spans="1:15" x14ac:dyDescent="0.25">
      <c r="A2425" s="3">
        <v>8</v>
      </c>
      <c r="B2425" s="3" t="s">
        <v>294</v>
      </c>
      <c r="C2425" s="3" t="s">
        <v>262</v>
      </c>
      <c r="D2425" s="3" t="s">
        <v>444</v>
      </c>
      <c r="E2425" s="11" t="s">
        <v>144</v>
      </c>
      <c r="F2425" s="3" t="s">
        <v>8</v>
      </c>
      <c r="G2425" s="66" t="s">
        <v>993</v>
      </c>
      <c r="H2425" s="8" t="s">
        <v>602</v>
      </c>
      <c r="I2425" s="8"/>
      <c r="J2425" s="6" t="s">
        <v>108</v>
      </c>
      <c r="K2425" s="38">
        <v>2000</v>
      </c>
      <c r="L2425" s="4" t="s">
        <v>264</v>
      </c>
      <c r="M2425" s="11">
        <f>_xlfn.NUMBERVALUE(LEFT(Table613[[#This Row],[Fiscal Year]], 4))</f>
        <v>2001</v>
      </c>
      <c r="N2425" s="42">
        <f t="shared" si="54"/>
        <v>2841.6826651609258</v>
      </c>
      <c r="O2425" s="3">
        <v>2423</v>
      </c>
    </row>
    <row r="2426" spans="1:15" x14ac:dyDescent="0.25">
      <c r="A2426" s="3">
        <v>8</v>
      </c>
      <c r="B2426" s="3" t="s">
        <v>294</v>
      </c>
      <c r="C2426" s="3" t="s">
        <v>262</v>
      </c>
      <c r="D2426" s="3" t="s">
        <v>444</v>
      </c>
      <c r="E2426" s="11" t="s">
        <v>144</v>
      </c>
      <c r="F2426" s="3" t="s">
        <v>8</v>
      </c>
      <c r="G2426" s="66" t="s">
        <v>994</v>
      </c>
      <c r="H2426" s="8" t="s">
        <v>504</v>
      </c>
      <c r="I2426" s="8"/>
      <c r="J2426" s="6" t="s">
        <v>108</v>
      </c>
      <c r="K2426" s="38">
        <v>15000</v>
      </c>
      <c r="L2426" s="4" t="s">
        <v>264</v>
      </c>
      <c r="M2426" s="11">
        <f>_xlfn.NUMBERVALUE(LEFT(Table613[[#This Row],[Fiscal Year]], 4))</f>
        <v>2001</v>
      </c>
      <c r="N2426" s="42">
        <f t="shared" si="54"/>
        <v>21312.619988706945</v>
      </c>
      <c r="O2426" s="3">
        <v>2424</v>
      </c>
    </row>
    <row r="2427" spans="1:15" x14ac:dyDescent="0.25">
      <c r="A2427" s="3">
        <v>8</v>
      </c>
      <c r="B2427" s="3" t="s">
        <v>294</v>
      </c>
      <c r="C2427" s="3" t="s">
        <v>262</v>
      </c>
      <c r="D2427" s="3" t="s">
        <v>444</v>
      </c>
      <c r="E2427" s="11" t="s">
        <v>144</v>
      </c>
      <c r="F2427" s="3" t="s">
        <v>8</v>
      </c>
      <c r="G2427" s="66" t="s">
        <v>995</v>
      </c>
      <c r="H2427" s="8" t="s">
        <v>504</v>
      </c>
      <c r="I2427" s="8"/>
      <c r="J2427" s="6" t="s">
        <v>108</v>
      </c>
      <c r="K2427" s="38">
        <v>0</v>
      </c>
      <c r="L2427" s="4" t="s">
        <v>264</v>
      </c>
      <c r="M2427" s="11">
        <f>_xlfn.NUMBERVALUE(LEFT(Table613[[#This Row],[Fiscal Year]], 4))</f>
        <v>2001</v>
      </c>
      <c r="N2427" s="42">
        <f t="shared" si="54"/>
        <v>0</v>
      </c>
      <c r="O2427" s="3">
        <v>2425</v>
      </c>
    </row>
    <row r="2428" spans="1:15" x14ac:dyDescent="0.25">
      <c r="A2428" s="3">
        <v>8</v>
      </c>
      <c r="B2428" s="3" t="s">
        <v>294</v>
      </c>
      <c r="C2428" s="3" t="s">
        <v>262</v>
      </c>
      <c r="D2428" s="3" t="s">
        <v>444</v>
      </c>
      <c r="E2428" s="11" t="s">
        <v>144</v>
      </c>
      <c r="F2428" s="3" t="s">
        <v>8</v>
      </c>
      <c r="G2428" s="48" t="s">
        <v>996</v>
      </c>
      <c r="H2428" s="8" t="s">
        <v>504</v>
      </c>
      <c r="I2428" s="8"/>
      <c r="J2428" s="6" t="s">
        <v>108</v>
      </c>
      <c r="K2428" s="38">
        <v>31000</v>
      </c>
      <c r="L2428" s="4" t="s">
        <v>264</v>
      </c>
      <c r="M2428" s="11">
        <f>_xlfn.NUMBERVALUE(LEFT(Table613[[#This Row],[Fiscal Year]], 4))</f>
        <v>2001</v>
      </c>
      <c r="N2428" s="42">
        <f t="shared" si="54"/>
        <v>44046.081309994355</v>
      </c>
      <c r="O2428" s="3">
        <v>2426</v>
      </c>
    </row>
    <row r="2429" spans="1:15" x14ac:dyDescent="0.25">
      <c r="A2429" s="3">
        <v>8</v>
      </c>
      <c r="B2429" s="3" t="s">
        <v>294</v>
      </c>
      <c r="C2429" s="3" t="s">
        <v>262</v>
      </c>
      <c r="D2429" s="3" t="s">
        <v>444</v>
      </c>
      <c r="E2429" s="11" t="s">
        <v>144</v>
      </c>
      <c r="F2429" s="3" t="s">
        <v>8</v>
      </c>
      <c r="G2429" s="66" t="s">
        <v>997</v>
      </c>
      <c r="H2429" s="8" t="s">
        <v>593</v>
      </c>
      <c r="I2429" s="8" t="s">
        <v>594</v>
      </c>
      <c r="J2429" s="6" t="s">
        <v>108</v>
      </c>
      <c r="K2429" s="38">
        <v>4500</v>
      </c>
      <c r="L2429" s="4" t="s">
        <v>264</v>
      </c>
      <c r="M2429" s="11">
        <f>_xlfn.NUMBERVALUE(LEFT(Table613[[#This Row],[Fiscal Year]], 4))</f>
        <v>2001</v>
      </c>
      <c r="N2429" s="42">
        <f t="shared" si="54"/>
        <v>6393.7859966120832</v>
      </c>
      <c r="O2429" s="3">
        <v>2427</v>
      </c>
    </row>
    <row r="2430" spans="1:15" x14ac:dyDescent="0.25">
      <c r="A2430" s="3">
        <v>8</v>
      </c>
      <c r="B2430" s="3" t="s">
        <v>294</v>
      </c>
      <c r="C2430" s="3" t="s">
        <v>262</v>
      </c>
      <c r="D2430" s="3" t="s">
        <v>444</v>
      </c>
      <c r="E2430" s="11" t="s">
        <v>144</v>
      </c>
      <c r="F2430" s="3" t="s">
        <v>8</v>
      </c>
      <c r="G2430" s="66" t="s">
        <v>998</v>
      </c>
      <c r="H2430" s="8" t="s">
        <v>504</v>
      </c>
      <c r="I2430" s="8"/>
      <c r="J2430" s="6" t="s">
        <v>108</v>
      </c>
      <c r="K2430" s="38">
        <v>0</v>
      </c>
      <c r="L2430" s="4" t="s">
        <v>264</v>
      </c>
      <c r="M2430" s="11">
        <f>_xlfn.NUMBERVALUE(LEFT(Table613[[#This Row],[Fiscal Year]], 4))</f>
        <v>2001</v>
      </c>
      <c r="N2430" s="42">
        <f t="shared" si="54"/>
        <v>0</v>
      </c>
      <c r="O2430" s="3">
        <v>2428</v>
      </c>
    </row>
    <row r="2431" spans="1:15" x14ac:dyDescent="0.25">
      <c r="A2431" s="3">
        <v>8</v>
      </c>
      <c r="B2431" s="3" t="s">
        <v>294</v>
      </c>
      <c r="C2431" s="3" t="s">
        <v>262</v>
      </c>
      <c r="D2431" s="3" t="s">
        <v>444</v>
      </c>
      <c r="E2431" s="11" t="s">
        <v>144</v>
      </c>
      <c r="F2431" s="3" t="s">
        <v>8</v>
      </c>
      <c r="G2431" s="66" t="s">
        <v>999</v>
      </c>
      <c r="H2431" s="8" t="s">
        <v>504</v>
      </c>
      <c r="I2431" s="8"/>
      <c r="J2431" s="6" t="s">
        <v>108</v>
      </c>
      <c r="K2431" s="38">
        <v>28000</v>
      </c>
      <c r="L2431" s="4" t="s">
        <v>264</v>
      </c>
      <c r="M2431" s="11">
        <f>_xlfn.NUMBERVALUE(LEFT(Table613[[#This Row],[Fiscal Year]], 4))</f>
        <v>2001</v>
      </c>
      <c r="N2431" s="42">
        <f t="shared" si="54"/>
        <v>39783.55731225296</v>
      </c>
      <c r="O2431" s="3">
        <v>2429</v>
      </c>
    </row>
    <row r="2432" spans="1:15" x14ac:dyDescent="0.25">
      <c r="A2432" s="3">
        <v>8</v>
      </c>
      <c r="B2432" s="3" t="s">
        <v>294</v>
      </c>
      <c r="C2432" s="3" t="s">
        <v>262</v>
      </c>
      <c r="D2432" s="3" t="s">
        <v>444</v>
      </c>
      <c r="E2432" s="11" t="s">
        <v>144</v>
      </c>
      <c r="F2432" s="3" t="s">
        <v>8</v>
      </c>
      <c r="G2432" s="66" t="s">
        <v>1000</v>
      </c>
      <c r="H2432" s="8" t="s">
        <v>505</v>
      </c>
      <c r="I2432" s="8"/>
      <c r="J2432" s="6" t="s">
        <v>42</v>
      </c>
      <c r="K2432" s="38">
        <v>2000</v>
      </c>
      <c r="L2432" s="4" t="s">
        <v>264</v>
      </c>
      <c r="M2432" s="11">
        <f>_xlfn.NUMBERVALUE(LEFT(Table613[[#This Row],[Fiscal Year]], 4))</f>
        <v>2001</v>
      </c>
      <c r="N2432" s="42">
        <f t="shared" si="54"/>
        <v>2841.6826651609258</v>
      </c>
      <c r="O2432" s="3">
        <v>2430</v>
      </c>
    </row>
    <row r="2433" spans="1:15" x14ac:dyDescent="0.25">
      <c r="A2433" s="3">
        <v>8</v>
      </c>
      <c r="B2433" s="3" t="s">
        <v>294</v>
      </c>
      <c r="C2433" s="3" t="s">
        <v>262</v>
      </c>
      <c r="D2433" s="3" t="s">
        <v>444</v>
      </c>
      <c r="E2433" s="11" t="s">
        <v>144</v>
      </c>
      <c r="F2433" s="3" t="s">
        <v>8</v>
      </c>
      <c r="G2433" s="66" t="s">
        <v>1001</v>
      </c>
      <c r="H2433" s="8" t="s">
        <v>599</v>
      </c>
      <c r="I2433" s="8"/>
      <c r="J2433" s="6" t="s">
        <v>42</v>
      </c>
      <c r="K2433" s="38">
        <v>1000</v>
      </c>
      <c r="L2433" s="4" t="s">
        <v>264</v>
      </c>
      <c r="M2433" s="11">
        <f>_xlfn.NUMBERVALUE(LEFT(Table613[[#This Row],[Fiscal Year]], 4))</f>
        <v>2001</v>
      </c>
      <c r="N2433" s="42">
        <f t="shared" si="54"/>
        <v>1420.8413325804629</v>
      </c>
      <c r="O2433" s="3">
        <v>2431</v>
      </c>
    </row>
    <row r="2434" spans="1:15" x14ac:dyDescent="0.25">
      <c r="A2434" s="3">
        <v>8</v>
      </c>
      <c r="B2434" s="3" t="s">
        <v>294</v>
      </c>
      <c r="C2434" s="3" t="s">
        <v>262</v>
      </c>
      <c r="D2434" s="3" t="s">
        <v>444</v>
      </c>
      <c r="E2434" s="11" t="s">
        <v>144</v>
      </c>
      <c r="F2434" s="3" t="s">
        <v>8</v>
      </c>
      <c r="G2434" s="66" t="s">
        <v>1005</v>
      </c>
      <c r="H2434" s="8"/>
      <c r="I2434" s="8"/>
      <c r="J2434" s="6" t="s">
        <v>111</v>
      </c>
      <c r="K2434" s="38">
        <v>0</v>
      </c>
      <c r="L2434" s="4" t="s">
        <v>264</v>
      </c>
      <c r="M2434" s="11">
        <f>_xlfn.NUMBERVALUE(LEFT(Table613[[#This Row],[Fiscal Year]], 4))</f>
        <v>2001</v>
      </c>
      <c r="N2434" s="42">
        <f t="shared" si="54"/>
        <v>0</v>
      </c>
      <c r="O2434" s="3">
        <v>2432</v>
      </c>
    </row>
    <row r="2435" spans="1:15" x14ac:dyDescent="0.25">
      <c r="A2435" s="3">
        <v>8</v>
      </c>
      <c r="B2435" s="3" t="s">
        <v>294</v>
      </c>
      <c r="C2435" s="3" t="s">
        <v>262</v>
      </c>
      <c r="D2435" s="3" t="s">
        <v>444</v>
      </c>
      <c r="E2435" s="11" t="s">
        <v>144</v>
      </c>
      <c r="F2435" s="3" t="s">
        <v>8</v>
      </c>
      <c r="G2435" s="66" t="s">
        <v>1006</v>
      </c>
      <c r="H2435" s="8"/>
      <c r="I2435" s="8"/>
      <c r="J2435" s="6" t="s">
        <v>107</v>
      </c>
      <c r="K2435" s="38">
        <v>0</v>
      </c>
      <c r="L2435" s="4" t="s">
        <v>264</v>
      </c>
      <c r="M2435" s="11">
        <f>_xlfn.NUMBERVALUE(LEFT(Table613[[#This Row],[Fiscal Year]], 4))</f>
        <v>2001</v>
      </c>
      <c r="N2435" s="42">
        <f t="shared" si="54"/>
        <v>0</v>
      </c>
      <c r="O2435" s="3">
        <v>2433</v>
      </c>
    </row>
    <row r="2436" spans="1:15" x14ac:dyDescent="0.25">
      <c r="A2436" s="3">
        <v>8</v>
      </c>
      <c r="B2436" s="3" t="s">
        <v>294</v>
      </c>
      <c r="C2436" s="3" t="s">
        <v>262</v>
      </c>
      <c r="D2436" s="3" t="s">
        <v>444</v>
      </c>
      <c r="E2436" s="11" t="s">
        <v>144</v>
      </c>
      <c r="F2436" s="3" t="s">
        <v>8</v>
      </c>
      <c r="G2436" s="66" t="s">
        <v>1002</v>
      </c>
      <c r="H2436" s="8" t="s">
        <v>597</v>
      </c>
      <c r="I2436" s="8" t="s">
        <v>594</v>
      </c>
      <c r="J2436" s="6" t="s">
        <v>108</v>
      </c>
      <c r="K2436" s="38">
        <v>0</v>
      </c>
      <c r="L2436" s="4" t="s">
        <v>264</v>
      </c>
      <c r="M2436" s="11">
        <f>_xlfn.NUMBERVALUE(LEFT(Table613[[#This Row],[Fiscal Year]], 4))</f>
        <v>2001</v>
      </c>
      <c r="N2436" s="42">
        <f t="shared" si="54"/>
        <v>0</v>
      </c>
      <c r="O2436" s="3">
        <v>2434</v>
      </c>
    </row>
    <row r="2437" spans="1:15" x14ac:dyDescent="0.25">
      <c r="A2437" s="3">
        <v>8</v>
      </c>
      <c r="B2437" s="3" t="s">
        <v>294</v>
      </c>
      <c r="C2437" s="3" t="s">
        <v>262</v>
      </c>
      <c r="D2437" s="3" t="s">
        <v>444</v>
      </c>
      <c r="E2437" s="11" t="s">
        <v>144</v>
      </c>
      <c r="F2437" s="3" t="s">
        <v>8</v>
      </c>
      <c r="G2437" s="66" t="s">
        <v>1003</v>
      </c>
      <c r="H2437" s="8" t="s">
        <v>506</v>
      </c>
      <c r="I2437" s="8"/>
      <c r="J2437" s="6" t="s">
        <v>106</v>
      </c>
      <c r="K2437" s="38">
        <v>0</v>
      </c>
      <c r="L2437" s="4" t="s">
        <v>264</v>
      </c>
      <c r="M2437" s="11">
        <f>_xlfn.NUMBERVALUE(LEFT(Table613[[#This Row],[Fiscal Year]], 4))</f>
        <v>2001</v>
      </c>
      <c r="N2437" s="42">
        <f t="shared" si="54"/>
        <v>0</v>
      </c>
      <c r="O2437" s="3">
        <v>2435</v>
      </c>
    </row>
    <row r="2438" spans="1:15" x14ac:dyDescent="0.25">
      <c r="A2438" s="3">
        <v>8</v>
      </c>
      <c r="B2438" s="3" t="s">
        <v>294</v>
      </c>
      <c r="C2438" s="3" t="s">
        <v>262</v>
      </c>
      <c r="D2438" s="3" t="s">
        <v>444</v>
      </c>
      <c r="E2438" s="11" t="s">
        <v>144</v>
      </c>
      <c r="F2438" s="3" t="s">
        <v>8</v>
      </c>
      <c r="G2438" s="66" t="s">
        <v>1007</v>
      </c>
      <c r="H2438" s="8"/>
      <c r="I2438" s="8"/>
      <c r="J2438" s="6" t="s">
        <v>76</v>
      </c>
      <c r="K2438" s="38">
        <v>0</v>
      </c>
      <c r="L2438" s="4" t="s">
        <v>264</v>
      </c>
      <c r="M2438" s="11">
        <f>_xlfn.NUMBERVALUE(LEFT(Table613[[#This Row],[Fiscal Year]], 4))</f>
        <v>2001</v>
      </c>
      <c r="N2438" s="42">
        <f t="shared" si="54"/>
        <v>0</v>
      </c>
      <c r="O2438" s="3">
        <v>2436</v>
      </c>
    </row>
    <row r="2439" spans="1:15" x14ac:dyDescent="0.25">
      <c r="E2439" s="11"/>
      <c r="G2439" s="66"/>
      <c r="H2439" s="8"/>
      <c r="I2439" s="8"/>
      <c r="J2439" s="6"/>
      <c r="L2439" s="4"/>
      <c r="O2439" s="3">
        <v>2437</v>
      </c>
    </row>
    <row r="2440" spans="1:15" x14ac:dyDescent="0.25">
      <c r="A2440" s="3">
        <v>8</v>
      </c>
      <c r="B2440" s="3" t="s">
        <v>295</v>
      </c>
      <c r="C2440" s="3" t="s">
        <v>262</v>
      </c>
      <c r="D2440" s="3" t="s">
        <v>444</v>
      </c>
      <c r="E2440" s="11" t="s">
        <v>144</v>
      </c>
      <c r="F2440" s="3" t="s">
        <v>8</v>
      </c>
      <c r="G2440" s="48" t="s">
        <v>976</v>
      </c>
      <c r="H2440" s="8" t="s">
        <v>503</v>
      </c>
      <c r="I2440" s="8" t="s">
        <v>640</v>
      </c>
      <c r="J2440" s="6" t="s">
        <v>110</v>
      </c>
      <c r="K2440" s="38">
        <v>0</v>
      </c>
      <c r="L2440" s="4" t="s">
        <v>264</v>
      </c>
      <c r="M2440" s="11">
        <f>_xlfn.NUMBERVALUE(LEFT(Table613[[#This Row],[Fiscal Year]], 4))</f>
        <v>2001</v>
      </c>
      <c r="N2440" s="42">
        <f t="shared" ref="N2440:N2471" si="55">K2440*(1+VLOOKUP(M2440,$AF$8:$AH$31,3,0))</f>
        <v>0</v>
      </c>
      <c r="O2440" s="3">
        <v>2438</v>
      </c>
    </row>
    <row r="2441" spans="1:15" x14ac:dyDescent="0.25">
      <c r="A2441" s="3">
        <v>8</v>
      </c>
      <c r="B2441" s="3" t="s">
        <v>295</v>
      </c>
      <c r="C2441" s="3" t="s">
        <v>262</v>
      </c>
      <c r="D2441" s="3" t="s">
        <v>444</v>
      </c>
      <c r="E2441" s="11" t="s">
        <v>144</v>
      </c>
      <c r="F2441" s="3" t="s">
        <v>8</v>
      </c>
      <c r="G2441" s="66" t="s">
        <v>977</v>
      </c>
      <c r="H2441" s="8" t="s">
        <v>504</v>
      </c>
      <c r="I2441" s="8"/>
      <c r="J2441" s="6" t="s">
        <v>108</v>
      </c>
      <c r="K2441" s="38">
        <v>0</v>
      </c>
      <c r="L2441" s="4" t="s">
        <v>264</v>
      </c>
      <c r="M2441" s="11">
        <f>_xlfn.NUMBERVALUE(LEFT(Table613[[#This Row],[Fiscal Year]], 4))</f>
        <v>2001</v>
      </c>
      <c r="N2441" s="42">
        <f t="shared" si="55"/>
        <v>0</v>
      </c>
      <c r="O2441" s="3">
        <v>2439</v>
      </c>
    </row>
    <row r="2442" spans="1:15" x14ac:dyDescent="0.25">
      <c r="A2442" s="3">
        <v>8</v>
      </c>
      <c r="B2442" s="3" t="s">
        <v>295</v>
      </c>
      <c r="C2442" s="3" t="s">
        <v>262</v>
      </c>
      <c r="D2442" s="3" t="s">
        <v>444</v>
      </c>
      <c r="E2442" s="11" t="s">
        <v>144</v>
      </c>
      <c r="F2442" s="3" t="s">
        <v>8</v>
      </c>
      <c r="G2442" s="66" t="s">
        <v>978</v>
      </c>
      <c r="H2442" s="8" t="s">
        <v>602</v>
      </c>
      <c r="I2442" s="8"/>
      <c r="J2442" s="6" t="s">
        <v>108</v>
      </c>
      <c r="K2442" s="38">
        <v>0</v>
      </c>
      <c r="L2442" s="4" t="s">
        <v>264</v>
      </c>
      <c r="M2442" s="11">
        <f>_xlfn.NUMBERVALUE(LEFT(Table613[[#This Row],[Fiscal Year]], 4))</f>
        <v>2001</v>
      </c>
      <c r="N2442" s="42">
        <f t="shared" si="55"/>
        <v>0</v>
      </c>
      <c r="O2442" s="3">
        <v>2440</v>
      </c>
    </row>
    <row r="2443" spans="1:15" x14ac:dyDescent="0.25">
      <c r="A2443" s="3">
        <v>8</v>
      </c>
      <c r="B2443" s="3" t="s">
        <v>295</v>
      </c>
      <c r="C2443" s="3" t="s">
        <v>262</v>
      </c>
      <c r="D2443" s="3" t="s">
        <v>444</v>
      </c>
      <c r="E2443" s="11" t="s">
        <v>144</v>
      </c>
      <c r="F2443" s="3" t="s">
        <v>8</v>
      </c>
      <c r="G2443" s="66" t="s">
        <v>979</v>
      </c>
      <c r="H2443" s="8" t="s">
        <v>504</v>
      </c>
      <c r="I2443" s="8"/>
      <c r="J2443" s="6" t="s">
        <v>108</v>
      </c>
      <c r="K2443" s="38">
        <v>0</v>
      </c>
      <c r="L2443" s="4" t="s">
        <v>264</v>
      </c>
      <c r="M2443" s="11">
        <f>_xlfn.NUMBERVALUE(LEFT(Table613[[#This Row],[Fiscal Year]], 4))</f>
        <v>2001</v>
      </c>
      <c r="N2443" s="42">
        <f t="shared" si="55"/>
        <v>0</v>
      </c>
      <c r="O2443" s="3">
        <v>2441</v>
      </c>
    </row>
    <row r="2444" spans="1:15" x14ac:dyDescent="0.25">
      <c r="A2444" s="3">
        <v>8</v>
      </c>
      <c r="B2444" s="3" t="s">
        <v>295</v>
      </c>
      <c r="C2444" s="3" t="s">
        <v>262</v>
      </c>
      <c r="D2444" s="3" t="s">
        <v>444</v>
      </c>
      <c r="E2444" s="11" t="s">
        <v>144</v>
      </c>
      <c r="F2444" s="3" t="s">
        <v>8</v>
      </c>
      <c r="G2444" s="66" t="s">
        <v>980</v>
      </c>
      <c r="H2444" s="8" t="s">
        <v>504</v>
      </c>
      <c r="I2444" s="8"/>
      <c r="J2444" s="6" t="s">
        <v>108</v>
      </c>
      <c r="K2444" s="38">
        <v>0</v>
      </c>
      <c r="L2444" s="4" t="s">
        <v>264</v>
      </c>
      <c r="M2444" s="11">
        <f>_xlfn.NUMBERVALUE(LEFT(Table613[[#This Row],[Fiscal Year]], 4))</f>
        <v>2001</v>
      </c>
      <c r="N2444" s="42">
        <f t="shared" si="55"/>
        <v>0</v>
      </c>
      <c r="O2444" s="3">
        <v>2442</v>
      </c>
    </row>
    <row r="2445" spans="1:15" x14ac:dyDescent="0.25">
      <c r="A2445" s="3">
        <v>8</v>
      </c>
      <c r="B2445" s="3" t="s">
        <v>295</v>
      </c>
      <c r="C2445" s="3" t="s">
        <v>262</v>
      </c>
      <c r="D2445" s="3" t="s">
        <v>444</v>
      </c>
      <c r="E2445" s="11" t="s">
        <v>144</v>
      </c>
      <c r="F2445" s="3" t="s">
        <v>8</v>
      </c>
      <c r="G2445" s="48" t="s">
        <v>981</v>
      </c>
      <c r="H2445" s="8" t="s">
        <v>504</v>
      </c>
      <c r="I2445" s="8"/>
      <c r="J2445" s="6" t="s">
        <v>108</v>
      </c>
      <c r="K2445" s="38">
        <v>0</v>
      </c>
      <c r="L2445" s="4" t="s">
        <v>264</v>
      </c>
      <c r="M2445" s="11">
        <f>_xlfn.NUMBERVALUE(LEFT(Table613[[#This Row],[Fiscal Year]], 4))</f>
        <v>2001</v>
      </c>
      <c r="N2445" s="42">
        <f t="shared" si="55"/>
        <v>0</v>
      </c>
      <c r="O2445" s="3">
        <v>2443</v>
      </c>
    </row>
    <row r="2446" spans="1:15" x14ac:dyDescent="0.25">
      <c r="A2446" s="3">
        <v>8</v>
      </c>
      <c r="B2446" s="3" t="s">
        <v>295</v>
      </c>
      <c r="C2446" s="3" t="s">
        <v>262</v>
      </c>
      <c r="D2446" s="3" t="s">
        <v>444</v>
      </c>
      <c r="E2446" s="11" t="s">
        <v>144</v>
      </c>
      <c r="F2446" s="3" t="s">
        <v>8</v>
      </c>
      <c r="G2446" s="66" t="s">
        <v>982</v>
      </c>
      <c r="H2446" s="8" t="s">
        <v>593</v>
      </c>
      <c r="I2446" s="8" t="s">
        <v>594</v>
      </c>
      <c r="J2446" s="6" t="s">
        <v>108</v>
      </c>
      <c r="K2446" s="38">
        <v>0</v>
      </c>
      <c r="L2446" s="4" t="s">
        <v>264</v>
      </c>
      <c r="M2446" s="11">
        <f>_xlfn.NUMBERVALUE(LEFT(Table613[[#This Row],[Fiscal Year]], 4))</f>
        <v>2001</v>
      </c>
      <c r="N2446" s="42">
        <f t="shared" si="55"/>
        <v>0</v>
      </c>
      <c r="O2446" s="3">
        <v>2444</v>
      </c>
    </row>
    <row r="2447" spans="1:15" x14ac:dyDescent="0.25">
      <c r="A2447" s="3">
        <v>8</v>
      </c>
      <c r="B2447" s="3" t="s">
        <v>295</v>
      </c>
      <c r="C2447" s="3" t="s">
        <v>262</v>
      </c>
      <c r="D2447" s="3" t="s">
        <v>444</v>
      </c>
      <c r="E2447" s="11" t="s">
        <v>144</v>
      </c>
      <c r="F2447" s="3" t="s">
        <v>8</v>
      </c>
      <c r="G2447" s="66" t="s">
        <v>983</v>
      </c>
      <c r="H2447" s="8" t="s">
        <v>504</v>
      </c>
      <c r="I2447" s="8"/>
      <c r="J2447" s="6" t="s">
        <v>108</v>
      </c>
      <c r="K2447" s="38">
        <v>0</v>
      </c>
      <c r="L2447" s="4" t="s">
        <v>264</v>
      </c>
      <c r="M2447" s="11">
        <f>_xlfn.NUMBERVALUE(LEFT(Table613[[#This Row],[Fiscal Year]], 4))</f>
        <v>2001</v>
      </c>
      <c r="N2447" s="42">
        <f t="shared" si="55"/>
        <v>0</v>
      </c>
      <c r="O2447" s="3">
        <v>2445</v>
      </c>
    </row>
    <row r="2448" spans="1:15" x14ac:dyDescent="0.25">
      <c r="A2448" s="3">
        <v>8</v>
      </c>
      <c r="B2448" s="3" t="s">
        <v>295</v>
      </c>
      <c r="C2448" s="3" t="s">
        <v>262</v>
      </c>
      <c r="D2448" s="3" t="s">
        <v>444</v>
      </c>
      <c r="E2448" s="11" t="s">
        <v>144</v>
      </c>
      <c r="F2448" s="3" t="s">
        <v>8</v>
      </c>
      <c r="G2448" s="66" t="s">
        <v>984</v>
      </c>
      <c r="H2448" s="8" t="s">
        <v>504</v>
      </c>
      <c r="I2448" s="8"/>
      <c r="J2448" s="6" t="s">
        <v>108</v>
      </c>
      <c r="K2448" s="38">
        <v>0</v>
      </c>
      <c r="L2448" s="4" t="s">
        <v>264</v>
      </c>
      <c r="M2448" s="11">
        <f>_xlfn.NUMBERVALUE(LEFT(Table613[[#This Row],[Fiscal Year]], 4))</f>
        <v>2001</v>
      </c>
      <c r="N2448" s="42">
        <f t="shared" si="55"/>
        <v>0</v>
      </c>
      <c r="O2448" s="3">
        <v>2446</v>
      </c>
    </row>
    <row r="2449" spans="1:15" x14ac:dyDescent="0.25">
      <c r="A2449" s="3">
        <v>8</v>
      </c>
      <c r="B2449" s="3" t="s">
        <v>295</v>
      </c>
      <c r="C2449" s="3" t="s">
        <v>262</v>
      </c>
      <c r="D2449" s="3" t="s">
        <v>444</v>
      </c>
      <c r="E2449" s="11" t="s">
        <v>144</v>
      </c>
      <c r="F2449" s="3" t="s">
        <v>8</v>
      </c>
      <c r="G2449" s="66" t="s">
        <v>985</v>
      </c>
      <c r="H2449" s="8" t="s">
        <v>505</v>
      </c>
      <c r="I2449" s="8"/>
      <c r="J2449" s="6" t="s">
        <v>42</v>
      </c>
      <c r="K2449" s="38">
        <v>0</v>
      </c>
      <c r="L2449" s="4" t="s">
        <v>264</v>
      </c>
      <c r="M2449" s="11">
        <f>_xlfn.NUMBERVALUE(LEFT(Table613[[#This Row],[Fiscal Year]], 4))</f>
        <v>2001</v>
      </c>
      <c r="N2449" s="42">
        <f t="shared" si="55"/>
        <v>0</v>
      </c>
      <c r="O2449" s="3">
        <v>2447</v>
      </c>
    </row>
    <row r="2450" spans="1:15" x14ac:dyDescent="0.25">
      <c r="A2450" s="3">
        <v>8</v>
      </c>
      <c r="B2450" s="3" t="s">
        <v>295</v>
      </c>
      <c r="C2450" s="3" t="s">
        <v>262</v>
      </c>
      <c r="D2450" s="3" t="s">
        <v>444</v>
      </c>
      <c r="E2450" s="11" t="s">
        <v>144</v>
      </c>
      <c r="F2450" s="3" t="s">
        <v>8</v>
      </c>
      <c r="G2450" s="66" t="s">
        <v>986</v>
      </c>
      <c r="H2450" s="8" t="s">
        <v>599</v>
      </c>
      <c r="I2450" s="8"/>
      <c r="J2450" s="6" t="s">
        <v>42</v>
      </c>
      <c r="K2450" s="38">
        <v>0</v>
      </c>
      <c r="L2450" s="4" t="s">
        <v>264</v>
      </c>
      <c r="M2450" s="11">
        <f>_xlfn.NUMBERVALUE(LEFT(Table613[[#This Row],[Fiscal Year]], 4))</f>
        <v>2001</v>
      </c>
      <c r="N2450" s="42">
        <f t="shared" si="55"/>
        <v>0</v>
      </c>
      <c r="O2450" s="3">
        <v>2448</v>
      </c>
    </row>
    <row r="2451" spans="1:15" x14ac:dyDescent="0.25">
      <c r="A2451" s="3">
        <v>8</v>
      </c>
      <c r="B2451" s="3" t="s">
        <v>295</v>
      </c>
      <c r="C2451" s="3" t="s">
        <v>262</v>
      </c>
      <c r="D2451" s="3" t="s">
        <v>444</v>
      </c>
      <c r="E2451" s="11" t="s">
        <v>144</v>
      </c>
      <c r="F2451" s="3" t="s">
        <v>8</v>
      </c>
      <c r="G2451" s="66" t="s">
        <v>987</v>
      </c>
      <c r="H2451" s="8"/>
      <c r="I2451" s="8"/>
      <c r="J2451" s="6" t="s">
        <v>111</v>
      </c>
      <c r="K2451" s="38">
        <v>0</v>
      </c>
      <c r="L2451" s="4" t="s">
        <v>264</v>
      </c>
      <c r="M2451" s="11">
        <f>_xlfn.NUMBERVALUE(LEFT(Table613[[#This Row],[Fiscal Year]], 4))</f>
        <v>2001</v>
      </c>
      <c r="N2451" s="42">
        <f t="shared" si="55"/>
        <v>0</v>
      </c>
      <c r="O2451" s="3">
        <v>2449</v>
      </c>
    </row>
    <row r="2452" spans="1:15" x14ac:dyDescent="0.25">
      <c r="A2452" s="3">
        <v>8</v>
      </c>
      <c r="B2452" s="3" t="s">
        <v>295</v>
      </c>
      <c r="C2452" s="3" t="s">
        <v>262</v>
      </c>
      <c r="D2452" s="3" t="s">
        <v>444</v>
      </c>
      <c r="E2452" s="11" t="s">
        <v>144</v>
      </c>
      <c r="F2452" s="3" t="s">
        <v>8</v>
      </c>
      <c r="G2452" s="66" t="s">
        <v>988</v>
      </c>
      <c r="H2452" s="8"/>
      <c r="I2452" s="8"/>
      <c r="J2452" s="6" t="s">
        <v>107</v>
      </c>
      <c r="K2452" s="38">
        <v>0</v>
      </c>
      <c r="L2452" s="4" t="s">
        <v>264</v>
      </c>
      <c r="M2452" s="11">
        <f>_xlfn.NUMBERVALUE(LEFT(Table613[[#This Row],[Fiscal Year]], 4))</f>
        <v>2001</v>
      </c>
      <c r="N2452" s="42">
        <f t="shared" si="55"/>
        <v>0</v>
      </c>
      <c r="O2452" s="3">
        <v>2450</v>
      </c>
    </row>
    <row r="2453" spans="1:15" x14ac:dyDescent="0.25">
      <c r="A2453" s="3">
        <v>8</v>
      </c>
      <c r="B2453" s="3" t="s">
        <v>295</v>
      </c>
      <c r="C2453" s="3" t="s">
        <v>262</v>
      </c>
      <c r="D2453" s="3" t="s">
        <v>444</v>
      </c>
      <c r="E2453" s="11" t="s">
        <v>144</v>
      </c>
      <c r="F2453" s="3" t="s">
        <v>8</v>
      </c>
      <c r="G2453" s="66" t="s">
        <v>989</v>
      </c>
      <c r="H2453" s="8" t="s">
        <v>597</v>
      </c>
      <c r="I2453" s="8" t="s">
        <v>594</v>
      </c>
      <c r="J2453" s="6" t="s">
        <v>108</v>
      </c>
      <c r="K2453" s="38">
        <v>0</v>
      </c>
      <c r="L2453" s="4" t="s">
        <v>264</v>
      </c>
      <c r="M2453" s="11">
        <f>_xlfn.NUMBERVALUE(LEFT(Table613[[#This Row],[Fiscal Year]], 4))</f>
        <v>2001</v>
      </c>
      <c r="N2453" s="42">
        <f t="shared" si="55"/>
        <v>0</v>
      </c>
      <c r="O2453" s="3">
        <v>2451</v>
      </c>
    </row>
    <row r="2454" spans="1:15" x14ac:dyDescent="0.25">
      <c r="A2454" s="3">
        <v>8</v>
      </c>
      <c r="B2454" s="3" t="s">
        <v>295</v>
      </c>
      <c r="C2454" s="3" t="s">
        <v>262</v>
      </c>
      <c r="D2454" s="3" t="s">
        <v>444</v>
      </c>
      <c r="E2454" s="11" t="s">
        <v>144</v>
      </c>
      <c r="F2454" s="3" t="s">
        <v>8</v>
      </c>
      <c r="G2454" s="66" t="s">
        <v>990</v>
      </c>
      <c r="H2454" s="8" t="s">
        <v>506</v>
      </c>
      <c r="I2454" s="8"/>
      <c r="J2454" s="6" t="s">
        <v>106</v>
      </c>
      <c r="K2454" s="38">
        <v>0</v>
      </c>
      <c r="L2454" s="4" t="s">
        <v>264</v>
      </c>
      <c r="M2454" s="11">
        <f>_xlfn.NUMBERVALUE(LEFT(Table613[[#This Row],[Fiscal Year]], 4))</f>
        <v>2001</v>
      </c>
      <c r="N2454" s="42">
        <f t="shared" si="55"/>
        <v>0</v>
      </c>
      <c r="O2454" s="3">
        <v>2452</v>
      </c>
    </row>
    <row r="2455" spans="1:15" x14ac:dyDescent="0.25">
      <c r="A2455" s="3">
        <v>8</v>
      </c>
      <c r="B2455" s="3" t="s">
        <v>295</v>
      </c>
      <c r="C2455" s="3" t="s">
        <v>262</v>
      </c>
      <c r="D2455" s="3" t="s">
        <v>444</v>
      </c>
      <c r="E2455" s="11" t="s">
        <v>144</v>
      </c>
      <c r="F2455" s="3" t="s">
        <v>8</v>
      </c>
      <c r="G2455" s="66" t="s">
        <v>1004</v>
      </c>
      <c r="H2455" s="8"/>
      <c r="I2455" s="8"/>
      <c r="J2455" s="6" t="s">
        <v>76</v>
      </c>
      <c r="K2455" s="38">
        <v>0</v>
      </c>
      <c r="L2455" s="4" t="s">
        <v>264</v>
      </c>
      <c r="M2455" s="11">
        <f>_xlfn.NUMBERVALUE(LEFT(Table613[[#This Row],[Fiscal Year]], 4))</f>
        <v>2001</v>
      </c>
      <c r="N2455" s="42">
        <f t="shared" si="55"/>
        <v>0</v>
      </c>
      <c r="O2455" s="3">
        <v>2453</v>
      </c>
    </row>
    <row r="2456" spans="1:15" x14ac:dyDescent="0.25">
      <c r="A2456" s="3">
        <v>8</v>
      </c>
      <c r="B2456" s="3" t="s">
        <v>295</v>
      </c>
      <c r="C2456" s="3" t="s">
        <v>262</v>
      </c>
      <c r="D2456" s="3" t="s">
        <v>444</v>
      </c>
      <c r="E2456" s="11" t="s">
        <v>144</v>
      </c>
      <c r="F2456" s="3" t="s">
        <v>8</v>
      </c>
      <c r="G2456" s="48" t="s">
        <v>991</v>
      </c>
      <c r="H2456" s="8" t="s">
        <v>503</v>
      </c>
      <c r="I2456" s="8"/>
      <c r="J2456" s="6" t="s">
        <v>110</v>
      </c>
      <c r="K2456" s="38">
        <v>40000</v>
      </c>
      <c r="L2456" s="4" t="s">
        <v>264</v>
      </c>
      <c r="M2456" s="11">
        <f>_xlfn.NUMBERVALUE(LEFT(Table613[[#This Row],[Fiscal Year]], 4))</f>
        <v>2001</v>
      </c>
      <c r="N2456" s="42">
        <f>K2456*(1+VLOOKUP(M2456,$AF$8:$AH$31,3,0))</f>
        <v>56833.653303218518</v>
      </c>
      <c r="O2456" s="3">
        <v>2454</v>
      </c>
    </row>
    <row r="2457" spans="1:15" x14ac:dyDescent="0.25">
      <c r="A2457" s="3">
        <v>8</v>
      </c>
      <c r="B2457" s="3" t="s">
        <v>295</v>
      </c>
      <c r="C2457" s="3" t="s">
        <v>262</v>
      </c>
      <c r="D2457" s="3" t="s">
        <v>444</v>
      </c>
      <c r="E2457" s="11" t="s">
        <v>144</v>
      </c>
      <c r="F2457" s="3" t="s">
        <v>8</v>
      </c>
      <c r="G2457" s="66" t="s">
        <v>992</v>
      </c>
      <c r="H2457" s="8" t="s">
        <v>504</v>
      </c>
      <c r="I2457" s="8"/>
      <c r="J2457" s="6" t="s">
        <v>108</v>
      </c>
      <c r="K2457" s="38">
        <v>0</v>
      </c>
      <c r="L2457" s="4" t="s">
        <v>264</v>
      </c>
      <c r="M2457" s="11">
        <f>_xlfn.NUMBERVALUE(LEFT(Table613[[#This Row],[Fiscal Year]], 4))</f>
        <v>2001</v>
      </c>
      <c r="N2457" s="42">
        <f t="shared" si="55"/>
        <v>0</v>
      </c>
      <c r="O2457" s="3">
        <v>2455</v>
      </c>
    </row>
    <row r="2458" spans="1:15" x14ac:dyDescent="0.25">
      <c r="A2458" s="3">
        <v>8</v>
      </c>
      <c r="B2458" s="3" t="s">
        <v>295</v>
      </c>
      <c r="C2458" s="3" t="s">
        <v>262</v>
      </c>
      <c r="D2458" s="3" t="s">
        <v>444</v>
      </c>
      <c r="E2458" s="11" t="s">
        <v>144</v>
      </c>
      <c r="F2458" s="3" t="s">
        <v>8</v>
      </c>
      <c r="G2458" s="66" t="s">
        <v>993</v>
      </c>
      <c r="H2458" s="8" t="s">
        <v>602</v>
      </c>
      <c r="I2458" s="8"/>
      <c r="J2458" s="6" t="s">
        <v>108</v>
      </c>
      <c r="K2458" s="38">
        <v>0</v>
      </c>
      <c r="L2458" s="4" t="s">
        <v>264</v>
      </c>
      <c r="M2458" s="11">
        <f>_xlfn.NUMBERVALUE(LEFT(Table613[[#This Row],[Fiscal Year]], 4))</f>
        <v>2001</v>
      </c>
      <c r="N2458" s="42">
        <f t="shared" si="55"/>
        <v>0</v>
      </c>
      <c r="O2458" s="3">
        <v>2456</v>
      </c>
    </row>
    <row r="2459" spans="1:15" x14ac:dyDescent="0.25">
      <c r="A2459" s="3">
        <v>8</v>
      </c>
      <c r="B2459" s="3" t="s">
        <v>295</v>
      </c>
      <c r="C2459" s="3" t="s">
        <v>262</v>
      </c>
      <c r="D2459" s="3" t="s">
        <v>444</v>
      </c>
      <c r="E2459" s="11" t="s">
        <v>144</v>
      </c>
      <c r="F2459" s="3" t="s">
        <v>8</v>
      </c>
      <c r="G2459" s="66" t="s">
        <v>994</v>
      </c>
      <c r="H2459" s="8" t="s">
        <v>504</v>
      </c>
      <c r="I2459" s="8"/>
      <c r="J2459" s="6" t="s">
        <v>108</v>
      </c>
      <c r="K2459" s="38">
        <v>5000</v>
      </c>
      <c r="L2459" s="4" t="s">
        <v>264</v>
      </c>
      <c r="M2459" s="11">
        <f>_xlfn.NUMBERVALUE(LEFT(Table613[[#This Row],[Fiscal Year]], 4))</f>
        <v>2001</v>
      </c>
      <c r="N2459" s="42">
        <f>K2459*(1+VLOOKUP(M2459,$AF$8:$AH$31,3,0))</f>
        <v>7104.2066629023147</v>
      </c>
      <c r="O2459" s="3">
        <v>2457</v>
      </c>
    </row>
    <row r="2460" spans="1:15" x14ac:dyDescent="0.25">
      <c r="A2460" s="3">
        <v>8</v>
      </c>
      <c r="B2460" s="3" t="s">
        <v>295</v>
      </c>
      <c r="C2460" s="3" t="s">
        <v>262</v>
      </c>
      <c r="D2460" s="3" t="s">
        <v>444</v>
      </c>
      <c r="E2460" s="11" t="s">
        <v>144</v>
      </c>
      <c r="F2460" s="3" t="s">
        <v>8</v>
      </c>
      <c r="G2460" s="66" t="s">
        <v>995</v>
      </c>
      <c r="H2460" s="8" t="s">
        <v>504</v>
      </c>
      <c r="I2460" s="8"/>
      <c r="J2460" s="6" t="s">
        <v>108</v>
      </c>
      <c r="K2460" s="38">
        <v>0</v>
      </c>
      <c r="L2460" s="4" t="s">
        <v>264</v>
      </c>
      <c r="M2460" s="11">
        <f>_xlfn.NUMBERVALUE(LEFT(Table613[[#This Row],[Fiscal Year]], 4))</f>
        <v>2001</v>
      </c>
      <c r="N2460" s="42">
        <f t="shared" si="55"/>
        <v>0</v>
      </c>
      <c r="O2460" s="3">
        <v>2458</v>
      </c>
    </row>
    <row r="2461" spans="1:15" x14ac:dyDescent="0.25">
      <c r="A2461" s="3">
        <v>8</v>
      </c>
      <c r="B2461" s="3" t="s">
        <v>295</v>
      </c>
      <c r="C2461" s="3" t="s">
        <v>262</v>
      </c>
      <c r="D2461" s="3" t="s">
        <v>444</v>
      </c>
      <c r="E2461" s="11" t="s">
        <v>144</v>
      </c>
      <c r="F2461" s="3" t="s">
        <v>8</v>
      </c>
      <c r="G2461" s="48" t="s">
        <v>996</v>
      </c>
      <c r="H2461" s="8" t="s">
        <v>504</v>
      </c>
      <c r="I2461" s="8"/>
      <c r="J2461" s="6" t="s">
        <v>108</v>
      </c>
      <c r="K2461" s="38">
        <v>250000</v>
      </c>
      <c r="L2461" s="4" t="s">
        <v>264</v>
      </c>
      <c r="M2461" s="11">
        <f>_xlfn.NUMBERVALUE(LEFT(Table613[[#This Row],[Fiscal Year]], 4))</f>
        <v>2001</v>
      </c>
      <c r="N2461" s="42">
        <f t="shared" si="55"/>
        <v>355210.33314511576</v>
      </c>
      <c r="O2461" s="3">
        <v>2459</v>
      </c>
    </row>
    <row r="2462" spans="1:15" x14ac:dyDescent="0.25">
      <c r="A2462" s="3">
        <v>8</v>
      </c>
      <c r="B2462" s="3" t="s">
        <v>295</v>
      </c>
      <c r="C2462" s="3" t="s">
        <v>262</v>
      </c>
      <c r="D2462" s="3" t="s">
        <v>444</v>
      </c>
      <c r="E2462" s="11" t="s">
        <v>144</v>
      </c>
      <c r="F2462" s="3" t="s">
        <v>8</v>
      </c>
      <c r="G2462" s="66" t="s">
        <v>997</v>
      </c>
      <c r="H2462" s="8" t="s">
        <v>593</v>
      </c>
      <c r="I2462" s="8" t="s">
        <v>594</v>
      </c>
      <c r="J2462" s="6" t="s">
        <v>108</v>
      </c>
      <c r="K2462" s="38">
        <v>5500</v>
      </c>
      <c r="L2462" s="4" t="s">
        <v>264</v>
      </c>
      <c r="M2462" s="11">
        <f>_xlfn.NUMBERVALUE(LEFT(Table613[[#This Row],[Fiscal Year]], 4))</f>
        <v>2001</v>
      </c>
      <c r="N2462" s="42">
        <f t="shared" si="55"/>
        <v>7814.6273291925463</v>
      </c>
      <c r="O2462" s="3">
        <v>2460</v>
      </c>
    </row>
    <row r="2463" spans="1:15" x14ac:dyDescent="0.25">
      <c r="A2463" s="3">
        <v>8</v>
      </c>
      <c r="B2463" s="3" t="s">
        <v>295</v>
      </c>
      <c r="C2463" s="3" t="s">
        <v>262</v>
      </c>
      <c r="D2463" s="3" t="s">
        <v>444</v>
      </c>
      <c r="E2463" s="11" t="s">
        <v>144</v>
      </c>
      <c r="F2463" s="3" t="s">
        <v>8</v>
      </c>
      <c r="G2463" s="66" t="s">
        <v>998</v>
      </c>
      <c r="H2463" s="8" t="s">
        <v>504</v>
      </c>
      <c r="I2463" s="8"/>
      <c r="J2463" s="6" t="s">
        <v>108</v>
      </c>
      <c r="K2463" s="38">
        <v>12000</v>
      </c>
      <c r="L2463" s="4" t="s">
        <v>264</v>
      </c>
      <c r="M2463" s="11">
        <f>_xlfn.NUMBERVALUE(LEFT(Table613[[#This Row],[Fiscal Year]], 4))</f>
        <v>2001</v>
      </c>
      <c r="N2463" s="42">
        <f t="shared" si="55"/>
        <v>17050.095990965554</v>
      </c>
      <c r="O2463" s="3">
        <v>2461</v>
      </c>
    </row>
    <row r="2464" spans="1:15" x14ac:dyDescent="0.25">
      <c r="A2464" s="3">
        <v>8</v>
      </c>
      <c r="B2464" s="3" t="s">
        <v>295</v>
      </c>
      <c r="C2464" s="3" t="s">
        <v>262</v>
      </c>
      <c r="D2464" s="3" t="s">
        <v>444</v>
      </c>
      <c r="E2464" s="11" t="s">
        <v>144</v>
      </c>
      <c r="F2464" s="3" t="s">
        <v>8</v>
      </c>
      <c r="G2464" s="66" t="s">
        <v>999</v>
      </c>
      <c r="H2464" s="8" t="s">
        <v>504</v>
      </c>
      <c r="I2464" s="8"/>
      <c r="J2464" s="6" t="s">
        <v>108</v>
      </c>
      <c r="K2464" s="38">
        <v>80000</v>
      </c>
      <c r="L2464" s="4" t="s">
        <v>264</v>
      </c>
      <c r="M2464" s="11">
        <f>_xlfn.NUMBERVALUE(LEFT(Table613[[#This Row],[Fiscal Year]], 4))</f>
        <v>2001</v>
      </c>
      <c r="N2464" s="42">
        <f t="shared" si="55"/>
        <v>113667.30660643704</v>
      </c>
      <c r="O2464" s="3">
        <v>2462</v>
      </c>
    </row>
    <row r="2465" spans="1:15" x14ac:dyDescent="0.25">
      <c r="A2465" s="3">
        <v>8</v>
      </c>
      <c r="B2465" s="3" t="s">
        <v>295</v>
      </c>
      <c r="C2465" s="3" t="s">
        <v>262</v>
      </c>
      <c r="D2465" s="3" t="s">
        <v>444</v>
      </c>
      <c r="E2465" s="11" t="s">
        <v>144</v>
      </c>
      <c r="F2465" s="3" t="s">
        <v>8</v>
      </c>
      <c r="G2465" s="66" t="s">
        <v>1000</v>
      </c>
      <c r="H2465" s="8" t="s">
        <v>505</v>
      </c>
      <c r="I2465" s="8"/>
      <c r="J2465" s="6" t="s">
        <v>42</v>
      </c>
      <c r="K2465" s="38">
        <v>0</v>
      </c>
      <c r="L2465" s="4" t="s">
        <v>264</v>
      </c>
      <c r="M2465" s="11">
        <f>_xlfn.NUMBERVALUE(LEFT(Table613[[#This Row],[Fiscal Year]], 4))</f>
        <v>2001</v>
      </c>
      <c r="N2465" s="42">
        <f t="shared" si="55"/>
        <v>0</v>
      </c>
      <c r="O2465" s="3">
        <v>2463</v>
      </c>
    </row>
    <row r="2466" spans="1:15" x14ac:dyDescent="0.25">
      <c r="A2466" s="3">
        <v>8</v>
      </c>
      <c r="B2466" s="3" t="s">
        <v>295</v>
      </c>
      <c r="C2466" s="3" t="s">
        <v>262</v>
      </c>
      <c r="D2466" s="3" t="s">
        <v>444</v>
      </c>
      <c r="E2466" s="11" t="s">
        <v>144</v>
      </c>
      <c r="F2466" s="3" t="s">
        <v>8</v>
      </c>
      <c r="G2466" s="66" t="s">
        <v>1001</v>
      </c>
      <c r="H2466" s="8" t="s">
        <v>599</v>
      </c>
      <c r="I2466" s="8"/>
      <c r="J2466" s="6" t="s">
        <v>42</v>
      </c>
      <c r="K2466" s="38">
        <v>0</v>
      </c>
      <c r="L2466" s="4" t="s">
        <v>264</v>
      </c>
      <c r="M2466" s="11">
        <f>_xlfn.NUMBERVALUE(LEFT(Table613[[#This Row],[Fiscal Year]], 4))</f>
        <v>2001</v>
      </c>
      <c r="N2466" s="42">
        <f t="shared" si="55"/>
        <v>0</v>
      </c>
      <c r="O2466" s="3">
        <v>2464</v>
      </c>
    </row>
    <row r="2467" spans="1:15" x14ac:dyDescent="0.25">
      <c r="A2467" s="3">
        <v>8</v>
      </c>
      <c r="B2467" s="3" t="s">
        <v>295</v>
      </c>
      <c r="C2467" s="3" t="s">
        <v>262</v>
      </c>
      <c r="D2467" s="3" t="s">
        <v>444</v>
      </c>
      <c r="E2467" s="11" t="s">
        <v>144</v>
      </c>
      <c r="F2467" s="3" t="s">
        <v>8</v>
      </c>
      <c r="G2467" s="66" t="s">
        <v>1005</v>
      </c>
      <c r="H2467" s="8"/>
      <c r="I2467" s="8"/>
      <c r="J2467" s="6" t="s">
        <v>111</v>
      </c>
      <c r="K2467" s="38">
        <v>10000</v>
      </c>
      <c r="L2467" s="4" t="s">
        <v>264</v>
      </c>
      <c r="M2467" s="11">
        <f>_xlfn.NUMBERVALUE(LEFT(Table613[[#This Row],[Fiscal Year]], 4))</f>
        <v>2001</v>
      </c>
      <c r="N2467" s="42">
        <f t="shared" si="55"/>
        <v>14208.413325804629</v>
      </c>
      <c r="O2467" s="3">
        <v>2465</v>
      </c>
    </row>
    <row r="2468" spans="1:15" x14ac:dyDescent="0.25">
      <c r="A2468" s="3">
        <v>8</v>
      </c>
      <c r="B2468" s="3" t="s">
        <v>295</v>
      </c>
      <c r="C2468" s="3" t="s">
        <v>262</v>
      </c>
      <c r="D2468" s="3" t="s">
        <v>444</v>
      </c>
      <c r="E2468" s="11" t="s">
        <v>144</v>
      </c>
      <c r="F2468" s="3" t="s">
        <v>8</v>
      </c>
      <c r="G2468" s="66" t="s">
        <v>1006</v>
      </c>
      <c r="H2468" s="8"/>
      <c r="I2468" s="8"/>
      <c r="J2468" s="6" t="s">
        <v>107</v>
      </c>
      <c r="K2468" s="38">
        <v>15000</v>
      </c>
      <c r="L2468" s="4" t="s">
        <v>264</v>
      </c>
      <c r="M2468" s="11">
        <f>_xlfn.NUMBERVALUE(LEFT(Table613[[#This Row],[Fiscal Year]], 4))</f>
        <v>2001</v>
      </c>
      <c r="N2468" s="42">
        <f t="shared" si="55"/>
        <v>21312.619988706945</v>
      </c>
      <c r="O2468" s="3">
        <v>2466</v>
      </c>
    </row>
    <row r="2469" spans="1:15" x14ac:dyDescent="0.25">
      <c r="A2469" s="3">
        <v>8</v>
      </c>
      <c r="B2469" s="3" t="s">
        <v>295</v>
      </c>
      <c r="C2469" s="3" t="s">
        <v>262</v>
      </c>
      <c r="D2469" s="3" t="s">
        <v>444</v>
      </c>
      <c r="E2469" s="11" t="s">
        <v>144</v>
      </c>
      <c r="F2469" s="3" t="s">
        <v>8</v>
      </c>
      <c r="G2469" s="66" t="s">
        <v>1002</v>
      </c>
      <c r="H2469" s="8" t="s">
        <v>597</v>
      </c>
      <c r="I2469" s="8" t="s">
        <v>594</v>
      </c>
      <c r="J2469" s="6" t="s">
        <v>108</v>
      </c>
      <c r="K2469" s="38">
        <v>0</v>
      </c>
      <c r="L2469" s="4" t="s">
        <v>264</v>
      </c>
      <c r="M2469" s="11">
        <f>_xlfn.NUMBERVALUE(LEFT(Table613[[#This Row],[Fiscal Year]], 4))</f>
        <v>2001</v>
      </c>
      <c r="N2469" s="42">
        <f t="shared" si="55"/>
        <v>0</v>
      </c>
      <c r="O2469" s="3">
        <v>2467</v>
      </c>
    </row>
    <row r="2470" spans="1:15" x14ac:dyDescent="0.25">
      <c r="A2470" s="3">
        <v>8</v>
      </c>
      <c r="B2470" s="3" t="s">
        <v>295</v>
      </c>
      <c r="C2470" s="3" t="s">
        <v>262</v>
      </c>
      <c r="D2470" s="3" t="s">
        <v>444</v>
      </c>
      <c r="E2470" s="11" t="s">
        <v>144</v>
      </c>
      <c r="F2470" s="3" t="s">
        <v>8</v>
      </c>
      <c r="G2470" s="66" t="s">
        <v>1003</v>
      </c>
      <c r="H2470" s="8" t="s">
        <v>506</v>
      </c>
      <c r="I2470" s="8"/>
      <c r="J2470" s="6" t="s">
        <v>106</v>
      </c>
      <c r="K2470" s="38">
        <v>0</v>
      </c>
      <c r="L2470" s="4" t="s">
        <v>264</v>
      </c>
      <c r="M2470" s="11">
        <f>_xlfn.NUMBERVALUE(LEFT(Table613[[#This Row],[Fiscal Year]], 4))</f>
        <v>2001</v>
      </c>
      <c r="N2470" s="42">
        <f t="shared" si="55"/>
        <v>0</v>
      </c>
      <c r="O2470" s="3">
        <v>2468</v>
      </c>
    </row>
    <row r="2471" spans="1:15" x14ac:dyDescent="0.25">
      <c r="A2471" s="3">
        <v>8</v>
      </c>
      <c r="B2471" s="3" t="s">
        <v>295</v>
      </c>
      <c r="C2471" s="3" t="s">
        <v>262</v>
      </c>
      <c r="D2471" s="3" t="s">
        <v>444</v>
      </c>
      <c r="E2471" s="11" t="s">
        <v>144</v>
      </c>
      <c r="F2471" s="3" t="s">
        <v>8</v>
      </c>
      <c r="G2471" s="66" t="s">
        <v>1007</v>
      </c>
      <c r="H2471" s="8"/>
      <c r="I2471" s="8"/>
      <c r="J2471" s="6" t="s">
        <v>76</v>
      </c>
      <c r="K2471" s="38">
        <v>15000</v>
      </c>
      <c r="L2471" s="4" t="s">
        <v>264</v>
      </c>
      <c r="M2471" s="11">
        <f>_xlfn.NUMBERVALUE(LEFT(Table613[[#This Row],[Fiscal Year]], 4))</f>
        <v>2001</v>
      </c>
      <c r="N2471" s="42">
        <f t="shared" si="55"/>
        <v>21312.619988706945</v>
      </c>
      <c r="O2471" s="3">
        <v>2469</v>
      </c>
    </row>
    <row r="2472" spans="1:15" x14ac:dyDescent="0.25">
      <c r="E2472" s="11"/>
      <c r="G2472" s="66"/>
      <c r="H2472" s="8"/>
      <c r="I2472" s="8"/>
      <c r="J2472" s="6"/>
      <c r="L2472" s="4"/>
      <c r="O2472" s="3">
        <v>2470</v>
      </c>
    </row>
    <row r="2473" spans="1:15" x14ac:dyDescent="0.25">
      <c r="A2473" s="3">
        <v>8</v>
      </c>
      <c r="B2473" s="3" t="s">
        <v>296</v>
      </c>
      <c r="C2473" s="3" t="s">
        <v>262</v>
      </c>
      <c r="D2473" s="3" t="s">
        <v>444</v>
      </c>
      <c r="E2473" s="11" t="s">
        <v>144</v>
      </c>
      <c r="F2473" s="3" t="s">
        <v>8</v>
      </c>
      <c r="G2473" s="48" t="s">
        <v>976</v>
      </c>
      <c r="H2473" s="8" t="s">
        <v>503</v>
      </c>
      <c r="I2473" s="8" t="s">
        <v>640</v>
      </c>
      <c r="J2473" s="6" t="s">
        <v>110</v>
      </c>
      <c r="K2473" s="38">
        <v>0</v>
      </c>
      <c r="L2473" s="4" t="s">
        <v>264</v>
      </c>
      <c r="M2473" s="11">
        <f>_xlfn.NUMBERVALUE(LEFT(Table613[[#This Row],[Fiscal Year]], 4))</f>
        <v>2001</v>
      </c>
      <c r="N2473" s="42">
        <f t="shared" ref="N2473:N2536" si="56">K2473*(1+VLOOKUP(M2473,$AF$8:$AH$31,3,0))</f>
        <v>0</v>
      </c>
      <c r="O2473" s="3">
        <v>2471</v>
      </c>
    </row>
    <row r="2474" spans="1:15" x14ac:dyDescent="0.25">
      <c r="A2474" s="3">
        <v>8</v>
      </c>
      <c r="B2474" s="3" t="s">
        <v>296</v>
      </c>
      <c r="C2474" s="3" t="s">
        <v>262</v>
      </c>
      <c r="D2474" s="3" t="s">
        <v>444</v>
      </c>
      <c r="E2474" s="11" t="s">
        <v>144</v>
      </c>
      <c r="F2474" s="3" t="s">
        <v>8</v>
      </c>
      <c r="G2474" s="66" t="s">
        <v>977</v>
      </c>
      <c r="H2474" s="8" t="s">
        <v>504</v>
      </c>
      <c r="I2474" s="8"/>
      <c r="J2474" s="6" t="s">
        <v>108</v>
      </c>
      <c r="K2474" s="38">
        <v>0</v>
      </c>
      <c r="L2474" s="4" t="s">
        <v>264</v>
      </c>
      <c r="M2474" s="11">
        <f>_xlfn.NUMBERVALUE(LEFT(Table613[[#This Row],[Fiscal Year]], 4))</f>
        <v>2001</v>
      </c>
      <c r="N2474" s="42">
        <f t="shared" si="56"/>
        <v>0</v>
      </c>
      <c r="O2474" s="3">
        <v>2472</v>
      </c>
    </row>
    <row r="2475" spans="1:15" x14ac:dyDescent="0.25">
      <c r="A2475" s="3">
        <v>8</v>
      </c>
      <c r="B2475" s="3" t="s">
        <v>296</v>
      </c>
      <c r="C2475" s="3" t="s">
        <v>262</v>
      </c>
      <c r="D2475" s="3" t="s">
        <v>444</v>
      </c>
      <c r="E2475" s="11" t="s">
        <v>144</v>
      </c>
      <c r="F2475" s="3" t="s">
        <v>8</v>
      </c>
      <c r="G2475" s="66" t="s">
        <v>978</v>
      </c>
      <c r="H2475" s="8" t="s">
        <v>602</v>
      </c>
      <c r="I2475" s="8"/>
      <c r="J2475" s="6" t="s">
        <v>108</v>
      </c>
      <c r="K2475" s="38">
        <v>0</v>
      </c>
      <c r="L2475" s="4" t="s">
        <v>264</v>
      </c>
      <c r="M2475" s="11">
        <f>_xlfn.NUMBERVALUE(LEFT(Table613[[#This Row],[Fiscal Year]], 4))</f>
        <v>2001</v>
      </c>
      <c r="N2475" s="42">
        <f t="shared" si="56"/>
        <v>0</v>
      </c>
      <c r="O2475" s="3">
        <v>2473</v>
      </c>
    </row>
    <row r="2476" spans="1:15" x14ac:dyDescent="0.25">
      <c r="A2476" s="3">
        <v>8</v>
      </c>
      <c r="B2476" s="3" t="s">
        <v>296</v>
      </c>
      <c r="C2476" s="3" t="s">
        <v>262</v>
      </c>
      <c r="D2476" s="3" t="s">
        <v>444</v>
      </c>
      <c r="E2476" s="11" t="s">
        <v>144</v>
      </c>
      <c r="F2476" s="3" t="s">
        <v>8</v>
      </c>
      <c r="G2476" s="66" t="s">
        <v>979</v>
      </c>
      <c r="H2476" s="8" t="s">
        <v>504</v>
      </c>
      <c r="I2476" s="8"/>
      <c r="J2476" s="6" t="s">
        <v>108</v>
      </c>
      <c r="K2476" s="38">
        <v>0</v>
      </c>
      <c r="L2476" s="4" t="s">
        <v>264</v>
      </c>
      <c r="M2476" s="11">
        <f>_xlfn.NUMBERVALUE(LEFT(Table613[[#This Row],[Fiscal Year]], 4))</f>
        <v>2001</v>
      </c>
      <c r="N2476" s="42">
        <f t="shared" si="56"/>
        <v>0</v>
      </c>
      <c r="O2476" s="3">
        <v>2474</v>
      </c>
    </row>
    <row r="2477" spans="1:15" x14ac:dyDescent="0.25">
      <c r="A2477" s="3">
        <v>8</v>
      </c>
      <c r="B2477" s="3" t="s">
        <v>296</v>
      </c>
      <c r="C2477" s="3" t="s">
        <v>262</v>
      </c>
      <c r="D2477" s="3" t="s">
        <v>444</v>
      </c>
      <c r="E2477" s="11" t="s">
        <v>144</v>
      </c>
      <c r="F2477" s="3" t="s">
        <v>8</v>
      </c>
      <c r="G2477" s="66" t="s">
        <v>980</v>
      </c>
      <c r="H2477" s="8" t="s">
        <v>504</v>
      </c>
      <c r="I2477" s="8"/>
      <c r="J2477" s="6" t="s">
        <v>108</v>
      </c>
      <c r="K2477" s="38">
        <v>0</v>
      </c>
      <c r="L2477" s="4" t="s">
        <v>264</v>
      </c>
      <c r="M2477" s="11">
        <f>_xlfn.NUMBERVALUE(LEFT(Table613[[#This Row],[Fiscal Year]], 4))</f>
        <v>2001</v>
      </c>
      <c r="N2477" s="42">
        <f t="shared" si="56"/>
        <v>0</v>
      </c>
      <c r="O2477" s="3">
        <v>2475</v>
      </c>
    </row>
    <row r="2478" spans="1:15" x14ac:dyDescent="0.25">
      <c r="A2478" s="3">
        <v>8</v>
      </c>
      <c r="B2478" s="3" t="s">
        <v>296</v>
      </c>
      <c r="C2478" s="3" t="s">
        <v>262</v>
      </c>
      <c r="D2478" s="3" t="s">
        <v>444</v>
      </c>
      <c r="E2478" s="11" t="s">
        <v>144</v>
      </c>
      <c r="F2478" s="3" t="s">
        <v>8</v>
      </c>
      <c r="G2478" s="48" t="s">
        <v>981</v>
      </c>
      <c r="H2478" s="8" t="s">
        <v>504</v>
      </c>
      <c r="I2478" s="8"/>
      <c r="J2478" s="6" t="s">
        <v>108</v>
      </c>
      <c r="K2478" s="38">
        <v>0</v>
      </c>
      <c r="L2478" s="4" t="s">
        <v>264</v>
      </c>
      <c r="M2478" s="11">
        <f>_xlfn.NUMBERVALUE(LEFT(Table613[[#This Row],[Fiscal Year]], 4))</f>
        <v>2001</v>
      </c>
      <c r="N2478" s="42">
        <f t="shared" si="56"/>
        <v>0</v>
      </c>
      <c r="O2478" s="3">
        <v>2476</v>
      </c>
    </row>
    <row r="2479" spans="1:15" x14ac:dyDescent="0.25">
      <c r="A2479" s="3">
        <v>8</v>
      </c>
      <c r="B2479" s="3" t="s">
        <v>296</v>
      </c>
      <c r="C2479" s="3" t="s">
        <v>262</v>
      </c>
      <c r="D2479" s="3" t="s">
        <v>444</v>
      </c>
      <c r="E2479" s="11" t="s">
        <v>144</v>
      </c>
      <c r="F2479" s="3" t="s">
        <v>8</v>
      </c>
      <c r="G2479" s="66" t="s">
        <v>982</v>
      </c>
      <c r="H2479" s="8" t="s">
        <v>593</v>
      </c>
      <c r="I2479" s="8" t="s">
        <v>594</v>
      </c>
      <c r="J2479" s="6" t="s">
        <v>108</v>
      </c>
      <c r="K2479" s="38">
        <v>700</v>
      </c>
      <c r="L2479" s="4" t="s">
        <v>264</v>
      </c>
      <c r="M2479" s="11">
        <f>_xlfn.NUMBERVALUE(LEFT(Table613[[#This Row],[Fiscal Year]], 4))</f>
        <v>2001</v>
      </c>
      <c r="N2479" s="42">
        <f>K2479*(1+VLOOKUP(M2479,$AF$8:$AH$31,3,0))</f>
        <v>994.58893280632412</v>
      </c>
      <c r="O2479" s="3">
        <v>2477</v>
      </c>
    </row>
    <row r="2480" spans="1:15" x14ac:dyDescent="0.25">
      <c r="A2480" s="3">
        <v>8</v>
      </c>
      <c r="B2480" s="3" t="s">
        <v>296</v>
      </c>
      <c r="C2480" s="3" t="s">
        <v>262</v>
      </c>
      <c r="D2480" s="3" t="s">
        <v>444</v>
      </c>
      <c r="E2480" s="11" t="s">
        <v>144</v>
      </c>
      <c r="F2480" s="3" t="s">
        <v>8</v>
      </c>
      <c r="G2480" s="66" t="s">
        <v>983</v>
      </c>
      <c r="H2480" s="8" t="s">
        <v>504</v>
      </c>
      <c r="I2480" s="8"/>
      <c r="J2480" s="6" t="s">
        <v>108</v>
      </c>
      <c r="K2480" s="38">
        <v>0</v>
      </c>
      <c r="L2480" s="4" t="s">
        <v>264</v>
      </c>
      <c r="M2480" s="11">
        <f>_xlfn.NUMBERVALUE(LEFT(Table613[[#This Row],[Fiscal Year]], 4))</f>
        <v>2001</v>
      </c>
      <c r="N2480" s="42">
        <f t="shared" si="56"/>
        <v>0</v>
      </c>
      <c r="O2480" s="3">
        <v>2478</v>
      </c>
    </row>
    <row r="2481" spans="1:15" x14ac:dyDescent="0.25">
      <c r="A2481" s="3">
        <v>8</v>
      </c>
      <c r="B2481" s="3" t="s">
        <v>296</v>
      </c>
      <c r="C2481" s="3" t="s">
        <v>262</v>
      </c>
      <c r="D2481" s="3" t="s">
        <v>444</v>
      </c>
      <c r="E2481" s="11" t="s">
        <v>144</v>
      </c>
      <c r="F2481" s="3" t="s">
        <v>8</v>
      </c>
      <c r="G2481" s="66" t="s">
        <v>984</v>
      </c>
      <c r="H2481" s="8" t="s">
        <v>504</v>
      </c>
      <c r="I2481" s="8"/>
      <c r="J2481" s="6" t="s">
        <v>108</v>
      </c>
      <c r="K2481" s="38">
        <v>0</v>
      </c>
      <c r="L2481" s="4" t="s">
        <v>264</v>
      </c>
      <c r="M2481" s="11">
        <f>_xlfn.NUMBERVALUE(LEFT(Table613[[#This Row],[Fiscal Year]], 4))</f>
        <v>2001</v>
      </c>
      <c r="N2481" s="42">
        <f t="shared" si="56"/>
        <v>0</v>
      </c>
      <c r="O2481" s="3">
        <v>2479</v>
      </c>
    </row>
    <row r="2482" spans="1:15" x14ac:dyDescent="0.25">
      <c r="A2482" s="3">
        <v>8</v>
      </c>
      <c r="B2482" s="3" t="s">
        <v>296</v>
      </c>
      <c r="C2482" s="3" t="s">
        <v>262</v>
      </c>
      <c r="D2482" s="3" t="s">
        <v>444</v>
      </c>
      <c r="E2482" s="11" t="s">
        <v>144</v>
      </c>
      <c r="F2482" s="3" t="s">
        <v>8</v>
      </c>
      <c r="G2482" s="66" t="s">
        <v>985</v>
      </c>
      <c r="H2482" s="8" t="s">
        <v>505</v>
      </c>
      <c r="I2482" s="8"/>
      <c r="J2482" s="6" t="s">
        <v>42</v>
      </c>
      <c r="K2482" s="38">
        <v>0</v>
      </c>
      <c r="L2482" s="4" t="s">
        <v>264</v>
      </c>
      <c r="M2482" s="11">
        <f>_xlfn.NUMBERVALUE(LEFT(Table613[[#This Row],[Fiscal Year]], 4))</f>
        <v>2001</v>
      </c>
      <c r="N2482" s="42">
        <f t="shared" si="56"/>
        <v>0</v>
      </c>
      <c r="O2482" s="3">
        <v>2480</v>
      </c>
    </row>
    <row r="2483" spans="1:15" x14ac:dyDescent="0.25">
      <c r="A2483" s="3">
        <v>8</v>
      </c>
      <c r="B2483" s="3" t="s">
        <v>296</v>
      </c>
      <c r="C2483" s="3" t="s">
        <v>262</v>
      </c>
      <c r="D2483" s="3" t="s">
        <v>444</v>
      </c>
      <c r="E2483" s="11" t="s">
        <v>144</v>
      </c>
      <c r="F2483" s="3" t="s">
        <v>8</v>
      </c>
      <c r="G2483" s="66" t="s">
        <v>986</v>
      </c>
      <c r="H2483" s="8" t="s">
        <v>599</v>
      </c>
      <c r="I2483" s="8"/>
      <c r="J2483" s="6" t="s">
        <v>42</v>
      </c>
      <c r="K2483" s="38">
        <v>0</v>
      </c>
      <c r="L2483" s="4" t="s">
        <v>264</v>
      </c>
      <c r="M2483" s="11">
        <f>_xlfn.NUMBERVALUE(LEFT(Table613[[#This Row],[Fiscal Year]], 4))</f>
        <v>2001</v>
      </c>
      <c r="N2483" s="42">
        <f t="shared" si="56"/>
        <v>0</v>
      </c>
      <c r="O2483" s="3">
        <v>2481</v>
      </c>
    </row>
    <row r="2484" spans="1:15" x14ac:dyDescent="0.25">
      <c r="A2484" s="3">
        <v>8</v>
      </c>
      <c r="B2484" s="3" t="s">
        <v>296</v>
      </c>
      <c r="C2484" s="3" t="s">
        <v>262</v>
      </c>
      <c r="D2484" s="3" t="s">
        <v>444</v>
      </c>
      <c r="E2484" s="11" t="s">
        <v>144</v>
      </c>
      <c r="F2484" s="3" t="s">
        <v>8</v>
      </c>
      <c r="G2484" s="66" t="s">
        <v>987</v>
      </c>
      <c r="H2484" s="8"/>
      <c r="I2484" s="8"/>
      <c r="J2484" s="6" t="s">
        <v>111</v>
      </c>
      <c r="K2484" s="38">
        <v>0</v>
      </c>
      <c r="L2484" s="4" t="s">
        <v>264</v>
      </c>
      <c r="M2484" s="11">
        <f>_xlfn.NUMBERVALUE(LEFT(Table613[[#This Row],[Fiscal Year]], 4))</f>
        <v>2001</v>
      </c>
      <c r="N2484" s="42">
        <f t="shared" si="56"/>
        <v>0</v>
      </c>
      <c r="O2484" s="3">
        <v>2482</v>
      </c>
    </row>
    <row r="2485" spans="1:15" x14ac:dyDescent="0.25">
      <c r="A2485" s="3">
        <v>8</v>
      </c>
      <c r="B2485" s="3" t="s">
        <v>296</v>
      </c>
      <c r="C2485" s="3" t="s">
        <v>262</v>
      </c>
      <c r="D2485" s="3" t="s">
        <v>444</v>
      </c>
      <c r="E2485" s="11" t="s">
        <v>144</v>
      </c>
      <c r="F2485" s="3" t="s">
        <v>8</v>
      </c>
      <c r="G2485" s="66" t="s">
        <v>988</v>
      </c>
      <c r="H2485" s="8"/>
      <c r="I2485" s="8"/>
      <c r="J2485" s="6" t="s">
        <v>107</v>
      </c>
      <c r="K2485" s="38">
        <v>3000</v>
      </c>
      <c r="L2485" s="4" t="s">
        <v>264</v>
      </c>
      <c r="M2485" s="11">
        <f>_xlfn.NUMBERVALUE(LEFT(Table613[[#This Row],[Fiscal Year]], 4))</f>
        <v>2001</v>
      </c>
      <c r="N2485" s="42">
        <f>K2485*(1+VLOOKUP(M2485,$AF$8:$AH$31,3,0))</f>
        <v>4262.5239977413885</v>
      </c>
      <c r="O2485" s="3">
        <v>2483</v>
      </c>
    </row>
    <row r="2486" spans="1:15" x14ac:dyDescent="0.25">
      <c r="A2486" s="3">
        <v>8</v>
      </c>
      <c r="B2486" s="3" t="s">
        <v>296</v>
      </c>
      <c r="C2486" s="3" t="s">
        <v>262</v>
      </c>
      <c r="D2486" s="3" t="s">
        <v>444</v>
      </c>
      <c r="E2486" s="11" t="s">
        <v>144</v>
      </c>
      <c r="F2486" s="3" t="s">
        <v>8</v>
      </c>
      <c r="G2486" s="66" t="s">
        <v>989</v>
      </c>
      <c r="H2486" s="8" t="s">
        <v>597</v>
      </c>
      <c r="I2486" s="8" t="s">
        <v>594</v>
      </c>
      <c r="J2486" s="6" t="s">
        <v>108</v>
      </c>
      <c r="K2486" s="38">
        <v>0</v>
      </c>
      <c r="L2486" s="4" t="s">
        <v>264</v>
      </c>
      <c r="M2486" s="11">
        <f>_xlfn.NUMBERVALUE(LEFT(Table613[[#This Row],[Fiscal Year]], 4))</f>
        <v>2001</v>
      </c>
      <c r="N2486" s="42">
        <f t="shared" si="56"/>
        <v>0</v>
      </c>
      <c r="O2486" s="3">
        <v>2484</v>
      </c>
    </row>
    <row r="2487" spans="1:15" x14ac:dyDescent="0.25">
      <c r="A2487" s="3">
        <v>8</v>
      </c>
      <c r="B2487" s="3" t="s">
        <v>296</v>
      </c>
      <c r="C2487" s="3" t="s">
        <v>262</v>
      </c>
      <c r="D2487" s="3" t="s">
        <v>444</v>
      </c>
      <c r="E2487" s="11" t="s">
        <v>144</v>
      </c>
      <c r="F2487" s="3" t="s">
        <v>8</v>
      </c>
      <c r="G2487" s="66" t="s">
        <v>990</v>
      </c>
      <c r="H2487" s="8" t="s">
        <v>506</v>
      </c>
      <c r="I2487" s="8"/>
      <c r="J2487" s="6" t="s">
        <v>106</v>
      </c>
      <c r="K2487" s="38">
        <v>0</v>
      </c>
      <c r="L2487" s="4" t="s">
        <v>264</v>
      </c>
      <c r="M2487" s="11">
        <f>_xlfn.NUMBERVALUE(LEFT(Table613[[#This Row],[Fiscal Year]], 4))</f>
        <v>2001</v>
      </c>
      <c r="N2487" s="42">
        <f t="shared" si="56"/>
        <v>0</v>
      </c>
      <c r="O2487" s="3">
        <v>2485</v>
      </c>
    </row>
    <row r="2488" spans="1:15" x14ac:dyDescent="0.25">
      <c r="A2488" s="3">
        <v>8</v>
      </c>
      <c r="B2488" s="3" t="s">
        <v>296</v>
      </c>
      <c r="C2488" s="3" t="s">
        <v>262</v>
      </c>
      <c r="D2488" s="3" t="s">
        <v>444</v>
      </c>
      <c r="E2488" s="11" t="s">
        <v>144</v>
      </c>
      <c r="F2488" s="3" t="s">
        <v>8</v>
      </c>
      <c r="G2488" s="66" t="s">
        <v>1004</v>
      </c>
      <c r="H2488" s="8"/>
      <c r="I2488" s="8"/>
      <c r="J2488" s="6" t="s">
        <v>76</v>
      </c>
      <c r="K2488" s="38">
        <v>0</v>
      </c>
      <c r="L2488" s="4" t="s">
        <v>264</v>
      </c>
      <c r="M2488" s="11">
        <f>_xlfn.NUMBERVALUE(LEFT(Table613[[#This Row],[Fiscal Year]], 4))</f>
        <v>2001</v>
      </c>
      <c r="N2488" s="42">
        <f t="shared" si="56"/>
        <v>0</v>
      </c>
      <c r="O2488" s="3">
        <v>2486</v>
      </c>
    </row>
    <row r="2489" spans="1:15" x14ac:dyDescent="0.25">
      <c r="A2489" s="3">
        <v>8</v>
      </c>
      <c r="B2489" s="3" t="s">
        <v>296</v>
      </c>
      <c r="C2489" s="3" t="s">
        <v>262</v>
      </c>
      <c r="D2489" s="3" t="s">
        <v>444</v>
      </c>
      <c r="E2489" s="11" t="s">
        <v>144</v>
      </c>
      <c r="F2489" s="3" t="s">
        <v>8</v>
      </c>
      <c r="G2489" s="48" t="s">
        <v>991</v>
      </c>
      <c r="H2489" s="8" t="s">
        <v>503</v>
      </c>
      <c r="I2489" s="8"/>
      <c r="J2489" s="6" t="s">
        <v>110</v>
      </c>
      <c r="K2489" s="38">
        <v>36503</v>
      </c>
      <c r="L2489" s="4" t="s">
        <v>264</v>
      </c>
      <c r="M2489" s="11">
        <f>_xlfn.NUMBERVALUE(LEFT(Table613[[#This Row],[Fiscal Year]], 4))</f>
        <v>2001</v>
      </c>
      <c r="N2489" s="42">
        <f t="shared" si="56"/>
        <v>51864.971163184637</v>
      </c>
      <c r="O2489" s="3">
        <v>2487</v>
      </c>
    </row>
    <row r="2490" spans="1:15" x14ac:dyDescent="0.25">
      <c r="A2490" s="3">
        <v>8</v>
      </c>
      <c r="B2490" s="3" t="s">
        <v>296</v>
      </c>
      <c r="C2490" s="3" t="s">
        <v>262</v>
      </c>
      <c r="D2490" s="3" t="s">
        <v>444</v>
      </c>
      <c r="E2490" s="11" t="s">
        <v>144</v>
      </c>
      <c r="F2490" s="3" t="s">
        <v>8</v>
      </c>
      <c r="G2490" s="66" t="s">
        <v>992</v>
      </c>
      <c r="H2490" s="8" t="s">
        <v>504</v>
      </c>
      <c r="I2490" s="8"/>
      <c r="J2490" s="6" t="s">
        <v>108</v>
      </c>
      <c r="K2490" s="38">
        <v>93939</v>
      </c>
      <c r="L2490" s="4" t="s">
        <v>264</v>
      </c>
      <c r="M2490" s="11">
        <f>_xlfn.NUMBERVALUE(LEFT(Table613[[#This Row],[Fiscal Year]], 4))</f>
        <v>2001</v>
      </c>
      <c r="N2490" s="42">
        <f t="shared" si="56"/>
        <v>133472.41394127611</v>
      </c>
      <c r="O2490" s="3">
        <v>2488</v>
      </c>
    </row>
    <row r="2491" spans="1:15" x14ac:dyDescent="0.25">
      <c r="A2491" s="3">
        <v>8</v>
      </c>
      <c r="B2491" s="3" t="s">
        <v>296</v>
      </c>
      <c r="C2491" s="3" t="s">
        <v>262</v>
      </c>
      <c r="D2491" s="3" t="s">
        <v>444</v>
      </c>
      <c r="E2491" s="11" t="s">
        <v>144</v>
      </c>
      <c r="F2491" s="3" t="s">
        <v>8</v>
      </c>
      <c r="G2491" s="66" t="s">
        <v>993</v>
      </c>
      <c r="H2491" s="8" t="s">
        <v>602</v>
      </c>
      <c r="I2491" s="8"/>
      <c r="J2491" s="6" t="s">
        <v>108</v>
      </c>
      <c r="K2491" s="38">
        <v>41470</v>
      </c>
      <c r="L2491" s="4" t="s">
        <v>264</v>
      </c>
      <c r="M2491" s="11">
        <f>_xlfn.NUMBERVALUE(LEFT(Table613[[#This Row],[Fiscal Year]], 4))</f>
        <v>2001</v>
      </c>
      <c r="N2491" s="42">
        <f t="shared" si="56"/>
        <v>58922.290062111802</v>
      </c>
      <c r="O2491" s="3">
        <v>2489</v>
      </c>
    </row>
    <row r="2492" spans="1:15" x14ac:dyDescent="0.25">
      <c r="A2492" s="3">
        <v>8</v>
      </c>
      <c r="B2492" s="3" t="s">
        <v>296</v>
      </c>
      <c r="C2492" s="3" t="s">
        <v>262</v>
      </c>
      <c r="D2492" s="3" t="s">
        <v>444</v>
      </c>
      <c r="E2492" s="11" t="s">
        <v>144</v>
      </c>
      <c r="F2492" s="3" t="s">
        <v>8</v>
      </c>
      <c r="G2492" s="66" t="s">
        <v>994</v>
      </c>
      <c r="H2492" s="8" t="s">
        <v>504</v>
      </c>
      <c r="I2492" s="8"/>
      <c r="J2492" s="6" t="s">
        <v>108</v>
      </c>
      <c r="K2492" s="38">
        <v>27935</v>
      </c>
      <c r="L2492" s="4" t="s">
        <v>264</v>
      </c>
      <c r="M2492" s="11">
        <f>_xlfn.NUMBERVALUE(LEFT(Table613[[#This Row],[Fiscal Year]], 4))</f>
        <v>2001</v>
      </c>
      <c r="N2492" s="42">
        <f t="shared" si="56"/>
        <v>39691.202625635233</v>
      </c>
      <c r="O2492" s="3">
        <v>2490</v>
      </c>
    </row>
    <row r="2493" spans="1:15" x14ac:dyDescent="0.25">
      <c r="A2493" s="3">
        <v>8</v>
      </c>
      <c r="B2493" s="3" t="s">
        <v>296</v>
      </c>
      <c r="C2493" s="3" t="s">
        <v>262</v>
      </c>
      <c r="D2493" s="3" t="s">
        <v>444</v>
      </c>
      <c r="E2493" s="11" t="s">
        <v>144</v>
      </c>
      <c r="F2493" s="3" t="s">
        <v>8</v>
      </c>
      <c r="G2493" s="66" t="s">
        <v>995</v>
      </c>
      <c r="H2493" s="8" t="s">
        <v>504</v>
      </c>
      <c r="I2493" s="8"/>
      <c r="J2493" s="6" t="s">
        <v>108</v>
      </c>
      <c r="K2493" s="38">
        <v>7400</v>
      </c>
      <c r="L2493" s="4" t="s">
        <v>264</v>
      </c>
      <c r="M2493" s="11">
        <f>_xlfn.NUMBERVALUE(LEFT(Table613[[#This Row],[Fiscal Year]], 4))</f>
        <v>2001</v>
      </c>
      <c r="N2493" s="42">
        <f t="shared" si="56"/>
        <v>10514.225861095427</v>
      </c>
      <c r="O2493" s="3">
        <v>2491</v>
      </c>
    </row>
    <row r="2494" spans="1:15" x14ac:dyDescent="0.25">
      <c r="A2494" s="3">
        <v>8</v>
      </c>
      <c r="B2494" s="3" t="s">
        <v>296</v>
      </c>
      <c r="C2494" s="3" t="s">
        <v>262</v>
      </c>
      <c r="D2494" s="3" t="s">
        <v>444</v>
      </c>
      <c r="E2494" s="11" t="s">
        <v>144</v>
      </c>
      <c r="F2494" s="3" t="s">
        <v>8</v>
      </c>
      <c r="G2494" s="48" t="s">
        <v>996</v>
      </c>
      <c r="H2494" s="8" t="s">
        <v>504</v>
      </c>
      <c r="I2494" s="8"/>
      <c r="J2494" s="6" t="s">
        <v>108</v>
      </c>
      <c r="K2494" s="38">
        <v>151291</v>
      </c>
      <c r="L2494" s="4" t="s">
        <v>264</v>
      </c>
      <c r="M2494" s="11">
        <f>_xlfn.NUMBERVALUE(LEFT(Table613[[#This Row],[Fiscal Year]], 4))</f>
        <v>2001</v>
      </c>
      <c r="N2494" s="42">
        <f t="shared" si="56"/>
        <v>214960.50604743083</v>
      </c>
      <c r="O2494" s="3">
        <v>2492</v>
      </c>
    </row>
    <row r="2495" spans="1:15" x14ac:dyDescent="0.25">
      <c r="A2495" s="3">
        <v>8</v>
      </c>
      <c r="B2495" s="3" t="s">
        <v>296</v>
      </c>
      <c r="C2495" s="3" t="s">
        <v>262</v>
      </c>
      <c r="D2495" s="3" t="s">
        <v>444</v>
      </c>
      <c r="E2495" s="11" t="s">
        <v>144</v>
      </c>
      <c r="F2495" s="3" t="s">
        <v>8</v>
      </c>
      <c r="G2495" s="66" t="s">
        <v>997</v>
      </c>
      <c r="H2495" s="8" t="s">
        <v>593</v>
      </c>
      <c r="I2495" s="8" t="s">
        <v>594</v>
      </c>
      <c r="J2495" s="6" t="s">
        <v>108</v>
      </c>
      <c r="K2495" s="38">
        <v>0</v>
      </c>
      <c r="L2495" s="4" t="s">
        <v>264</v>
      </c>
      <c r="M2495" s="11">
        <f>_xlfn.NUMBERVALUE(LEFT(Table613[[#This Row],[Fiscal Year]], 4))</f>
        <v>2001</v>
      </c>
      <c r="N2495" s="42">
        <f t="shared" si="56"/>
        <v>0</v>
      </c>
      <c r="O2495" s="3">
        <v>2493</v>
      </c>
    </row>
    <row r="2496" spans="1:15" x14ac:dyDescent="0.25">
      <c r="A2496" s="3">
        <v>8</v>
      </c>
      <c r="B2496" s="3" t="s">
        <v>296</v>
      </c>
      <c r="C2496" s="3" t="s">
        <v>262</v>
      </c>
      <c r="D2496" s="3" t="s">
        <v>444</v>
      </c>
      <c r="E2496" s="11" t="s">
        <v>144</v>
      </c>
      <c r="F2496" s="3" t="s">
        <v>8</v>
      </c>
      <c r="G2496" s="66" t="s">
        <v>998</v>
      </c>
      <c r="H2496" s="8" t="s">
        <v>504</v>
      </c>
      <c r="I2496" s="8"/>
      <c r="J2496" s="6" t="s">
        <v>108</v>
      </c>
      <c r="K2496" s="38">
        <v>0</v>
      </c>
      <c r="L2496" s="4" t="s">
        <v>264</v>
      </c>
      <c r="M2496" s="11">
        <f>_xlfn.NUMBERVALUE(LEFT(Table613[[#This Row],[Fiscal Year]], 4))</f>
        <v>2001</v>
      </c>
      <c r="N2496" s="42">
        <f t="shared" si="56"/>
        <v>0</v>
      </c>
      <c r="O2496" s="3">
        <v>2494</v>
      </c>
    </row>
    <row r="2497" spans="1:15" x14ac:dyDescent="0.25">
      <c r="A2497" s="3">
        <v>8</v>
      </c>
      <c r="B2497" s="3" t="s">
        <v>296</v>
      </c>
      <c r="C2497" s="3" t="s">
        <v>262</v>
      </c>
      <c r="D2497" s="3" t="s">
        <v>444</v>
      </c>
      <c r="E2497" s="11" t="s">
        <v>144</v>
      </c>
      <c r="F2497" s="3" t="s">
        <v>8</v>
      </c>
      <c r="G2497" s="66" t="s">
        <v>999</v>
      </c>
      <c r="H2497" s="8" t="s">
        <v>504</v>
      </c>
      <c r="I2497" s="8"/>
      <c r="J2497" s="6" t="s">
        <v>108</v>
      </c>
      <c r="K2497" s="38">
        <v>10000</v>
      </c>
      <c r="L2497" s="4" t="s">
        <v>264</v>
      </c>
      <c r="M2497" s="11">
        <f>_xlfn.NUMBERVALUE(LEFT(Table613[[#This Row],[Fiscal Year]], 4))</f>
        <v>2001</v>
      </c>
      <c r="N2497" s="42">
        <f t="shared" si="56"/>
        <v>14208.413325804629</v>
      </c>
      <c r="O2497" s="3">
        <v>2495</v>
      </c>
    </row>
    <row r="2498" spans="1:15" x14ac:dyDescent="0.25">
      <c r="A2498" s="3">
        <v>8</v>
      </c>
      <c r="B2498" s="3" t="s">
        <v>296</v>
      </c>
      <c r="C2498" s="3" t="s">
        <v>262</v>
      </c>
      <c r="D2498" s="3" t="s">
        <v>444</v>
      </c>
      <c r="E2498" s="11" t="s">
        <v>144</v>
      </c>
      <c r="F2498" s="3" t="s">
        <v>8</v>
      </c>
      <c r="G2498" s="66" t="s">
        <v>1000</v>
      </c>
      <c r="H2498" s="8" t="s">
        <v>505</v>
      </c>
      <c r="I2498" s="8"/>
      <c r="J2498" s="6" t="s">
        <v>42</v>
      </c>
      <c r="K2498" s="38">
        <v>2000</v>
      </c>
      <c r="L2498" s="4" t="s">
        <v>264</v>
      </c>
      <c r="M2498" s="11">
        <f>_xlfn.NUMBERVALUE(LEFT(Table613[[#This Row],[Fiscal Year]], 4))</f>
        <v>2001</v>
      </c>
      <c r="N2498" s="42">
        <f t="shared" si="56"/>
        <v>2841.6826651609258</v>
      </c>
      <c r="O2498" s="3">
        <v>2496</v>
      </c>
    </row>
    <row r="2499" spans="1:15" x14ac:dyDescent="0.25">
      <c r="A2499" s="3">
        <v>8</v>
      </c>
      <c r="B2499" s="3" t="s">
        <v>296</v>
      </c>
      <c r="C2499" s="3" t="s">
        <v>262</v>
      </c>
      <c r="D2499" s="3" t="s">
        <v>444</v>
      </c>
      <c r="E2499" s="11" t="s">
        <v>144</v>
      </c>
      <c r="F2499" s="3" t="s">
        <v>8</v>
      </c>
      <c r="G2499" s="66" t="s">
        <v>1001</v>
      </c>
      <c r="H2499" s="8" t="s">
        <v>599</v>
      </c>
      <c r="I2499" s="8"/>
      <c r="J2499" s="6" t="s">
        <v>42</v>
      </c>
      <c r="K2499" s="38">
        <v>1000</v>
      </c>
      <c r="L2499" s="4" t="s">
        <v>264</v>
      </c>
      <c r="M2499" s="11">
        <f>_xlfn.NUMBERVALUE(LEFT(Table613[[#This Row],[Fiscal Year]], 4))</f>
        <v>2001</v>
      </c>
      <c r="N2499" s="42">
        <f t="shared" si="56"/>
        <v>1420.8413325804629</v>
      </c>
      <c r="O2499" s="3">
        <v>2497</v>
      </c>
    </row>
    <row r="2500" spans="1:15" x14ac:dyDescent="0.25">
      <c r="A2500" s="3">
        <v>8</v>
      </c>
      <c r="B2500" s="3" t="s">
        <v>296</v>
      </c>
      <c r="C2500" s="3" t="s">
        <v>262</v>
      </c>
      <c r="D2500" s="3" t="s">
        <v>444</v>
      </c>
      <c r="E2500" s="11" t="s">
        <v>144</v>
      </c>
      <c r="F2500" s="3" t="s">
        <v>8</v>
      </c>
      <c r="G2500" s="66" t="s">
        <v>1005</v>
      </c>
      <c r="H2500" s="8"/>
      <c r="I2500" s="8"/>
      <c r="J2500" s="6" t="s">
        <v>111</v>
      </c>
      <c r="K2500" s="38">
        <v>5500</v>
      </c>
      <c r="L2500" s="4" t="s">
        <v>264</v>
      </c>
      <c r="M2500" s="11">
        <f>_xlfn.NUMBERVALUE(LEFT(Table613[[#This Row],[Fiscal Year]], 4))</f>
        <v>2001</v>
      </c>
      <c r="N2500" s="42">
        <f t="shared" si="56"/>
        <v>7814.6273291925463</v>
      </c>
      <c r="O2500" s="3">
        <v>2498</v>
      </c>
    </row>
    <row r="2501" spans="1:15" x14ac:dyDescent="0.25">
      <c r="A2501" s="3">
        <v>8</v>
      </c>
      <c r="B2501" s="3" t="s">
        <v>296</v>
      </c>
      <c r="C2501" s="3" t="s">
        <v>262</v>
      </c>
      <c r="D2501" s="3" t="s">
        <v>444</v>
      </c>
      <c r="E2501" s="11" t="s">
        <v>144</v>
      </c>
      <c r="F2501" s="3" t="s">
        <v>8</v>
      </c>
      <c r="G2501" s="66" t="s">
        <v>1006</v>
      </c>
      <c r="H2501" s="8"/>
      <c r="I2501" s="8"/>
      <c r="J2501" s="6" t="s">
        <v>107</v>
      </c>
      <c r="K2501" s="38">
        <v>5000</v>
      </c>
      <c r="L2501" s="4" t="s">
        <v>264</v>
      </c>
      <c r="M2501" s="11">
        <f>_xlfn.NUMBERVALUE(LEFT(Table613[[#This Row],[Fiscal Year]], 4))</f>
        <v>2001</v>
      </c>
      <c r="N2501" s="42">
        <f t="shared" si="56"/>
        <v>7104.2066629023147</v>
      </c>
      <c r="O2501" s="3">
        <v>2499</v>
      </c>
    </row>
    <row r="2502" spans="1:15" x14ac:dyDescent="0.25">
      <c r="A2502" s="3">
        <v>8</v>
      </c>
      <c r="B2502" s="3" t="s">
        <v>296</v>
      </c>
      <c r="C2502" s="3" t="s">
        <v>262</v>
      </c>
      <c r="D2502" s="3" t="s">
        <v>444</v>
      </c>
      <c r="E2502" s="11" t="s">
        <v>144</v>
      </c>
      <c r="F2502" s="3" t="s">
        <v>8</v>
      </c>
      <c r="G2502" s="66" t="s">
        <v>1002</v>
      </c>
      <c r="H2502" s="8" t="s">
        <v>597</v>
      </c>
      <c r="I2502" s="8" t="s">
        <v>594</v>
      </c>
      <c r="J2502" s="6" t="s">
        <v>108</v>
      </c>
      <c r="K2502" s="38">
        <v>3000</v>
      </c>
      <c r="L2502" s="4" t="s">
        <v>264</v>
      </c>
      <c r="M2502" s="11">
        <f>_xlfn.NUMBERVALUE(LEFT(Table613[[#This Row],[Fiscal Year]], 4))</f>
        <v>2001</v>
      </c>
      <c r="N2502" s="42">
        <f t="shared" si="56"/>
        <v>4262.5239977413885</v>
      </c>
      <c r="O2502" s="3">
        <v>2500</v>
      </c>
    </row>
    <row r="2503" spans="1:15" x14ac:dyDescent="0.25">
      <c r="A2503" s="3">
        <v>8</v>
      </c>
      <c r="B2503" s="3" t="s">
        <v>296</v>
      </c>
      <c r="C2503" s="3" t="s">
        <v>262</v>
      </c>
      <c r="D2503" s="3" t="s">
        <v>444</v>
      </c>
      <c r="E2503" s="11" t="s">
        <v>144</v>
      </c>
      <c r="F2503" s="3" t="s">
        <v>8</v>
      </c>
      <c r="G2503" s="66" t="s">
        <v>1003</v>
      </c>
      <c r="H2503" s="8" t="s">
        <v>506</v>
      </c>
      <c r="I2503" s="8"/>
      <c r="J2503" s="6" t="s">
        <v>106</v>
      </c>
      <c r="K2503" s="38">
        <v>2000</v>
      </c>
      <c r="L2503" s="4" t="s">
        <v>264</v>
      </c>
      <c r="M2503" s="11">
        <f>_xlfn.NUMBERVALUE(LEFT(Table613[[#This Row],[Fiscal Year]], 4))</f>
        <v>2001</v>
      </c>
      <c r="N2503" s="42">
        <f t="shared" si="56"/>
        <v>2841.6826651609258</v>
      </c>
      <c r="O2503" s="3">
        <v>2501</v>
      </c>
    </row>
    <row r="2504" spans="1:15" x14ac:dyDescent="0.25">
      <c r="A2504" s="3">
        <v>8</v>
      </c>
      <c r="B2504" s="3" t="s">
        <v>296</v>
      </c>
      <c r="C2504" s="3" t="s">
        <v>262</v>
      </c>
      <c r="D2504" s="3" t="s">
        <v>444</v>
      </c>
      <c r="E2504" s="11" t="s">
        <v>144</v>
      </c>
      <c r="F2504" s="3" t="s">
        <v>8</v>
      </c>
      <c r="G2504" s="66" t="s">
        <v>1007</v>
      </c>
      <c r="H2504" s="8"/>
      <c r="I2504" s="8"/>
      <c r="J2504" s="6" t="s">
        <v>76</v>
      </c>
      <c r="K2504" s="38">
        <v>8000</v>
      </c>
      <c r="L2504" s="4" t="s">
        <v>264</v>
      </c>
      <c r="M2504" s="11">
        <f>_xlfn.NUMBERVALUE(LEFT(Table613[[#This Row],[Fiscal Year]], 4))</f>
        <v>2001</v>
      </c>
      <c r="N2504" s="42">
        <f t="shared" si="56"/>
        <v>11366.730660643703</v>
      </c>
      <c r="O2504" s="3">
        <v>2502</v>
      </c>
    </row>
    <row r="2505" spans="1:15" x14ac:dyDescent="0.25">
      <c r="E2505" s="11"/>
      <c r="G2505" s="66"/>
      <c r="H2505" s="8"/>
      <c r="I2505" s="8"/>
      <c r="J2505" s="6"/>
      <c r="L2505" s="4"/>
      <c r="O2505" s="3">
        <v>2503</v>
      </c>
    </row>
    <row r="2506" spans="1:15" x14ac:dyDescent="0.25">
      <c r="A2506" s="3">
        <v>5</v>
      </c>
      <c r="B2506" s="3" t="s">
        <v>14</v>
      </c>
      <c r="C2506" s="3" t="s">
        <v>14</v>
      </c>
      <c r="D2506" s="3" t="s">
        <v>445</v>
      </c>
      <c r="E2506" s="11" t="s">
        <v>144</v>
      </c>
      <c r="F2506" s="3" t="s">
        <v>5</v>
      </c>
      <c r="G2506" s="48" t="s">
        <v>81</v>
      </c>
      <c r="H2506" s="8" t="s">
        <v>514</v>
      </c>
      <c r="I2506" s="8" t="s">
        <v>458</v>
      </c>
      <c r="J2506" s="6" t="s">
        <v>108</v>
      </c>
      <c r="K2506" s="38">
        <v>250000</v>
      </c>
      <c r="L2506" s="4" t="s">
        <v>26</v>
      </c>
      <c r="M2506" s="11">
        <f>_xlfn.NUMBERVALUE(LEFT(Table613[[#This Row],[Fiscal Year]], 4))</f>
        <v>2018</v>
      </c>
      <c r="N2506" s="42">
        <f t="shared" si="56"/>
        <v>250000</v>
      </c>
      <c r="O2506" s="3">
        <v>2504</v>
      </c>
    </row>
    <row r="2507" spans="1:15" x14ac:dyDescent="0.25">
      <c r="A2507" s="3">
        <v>5</v>
      </c>
      <c r="B2507" s="3" t="s">
        <v>14</v>
      </c>
      <c r="C2507" s="3" t="s">
        <v>14</v>
      </c>
      <c r="D2507" s="3" t="s">
        <v>445</v>
      </c>
      <c r="E2507" s="11" t="s">
        <v>144</v>
      </c>
      <c r="F2507" s="3" t="s">
        <v>5</v>
      </c>
      <c r="G2507" s="66" t="s">
        <v>46</v>
      </c>
      <c r="H2507" s="6"/>
      <c r="I2507" s="47" t="s">
        <v>613</v>
      </c>
      <c r="J2507" s="6" t="s">
        <v>111</v>
      </c>
      <c r="K2507" s="38">
        <v>0</v>
      </c>
      <c r="L2507" s="4" t="s">
        <v>26</v>
      </c>
      <c r="M2507" s="11">
        <f>_xlfn.NUMBERVALUE(LEFT(Table613[[#This Row],[Fiscal Year]], 4))</f>
        <v>2018</v>
      </c>
      <c r="N2507" s="42">
        <f t="shared" si="56"/>
        <v>0</v>
      </c>
      <c r="O2507" s="3">
        <v>2505</v>
      </c>
    </row>
    <row r="2508" spans="1:15" x14ac:dyDescent="0.25">
      <c r="A2508" s="3">
        <v>5</v>
      </c>
      <c r="B2508" s="3" t="s">
        <v>14</v>
      </c>
      <c r="C2508" s="3" t="s">
        <v>14</v>
      </c>
      <c r="D2508" s="3" t="s">
        <v>445</v>
      </c>
      <c r="E2508" s="11" t="s">
        <v>144</v>
      </c>
      <c r="F2508" s="3" t="s">
        <v>5</v>
      </c>
      <c r="G2508" s="48" t="s">
        <v>82</v>
      </c>
      <c r="H2508" s="8"/>
      <c r="I2508" s="8"/>
      <c r="J2508" s="6" t="s">
        <v>108</v>
      </c>
      <c r="K2508" s="38">
        <v>5500000</v>
      </c>
      <c r="L2508" s="4" t="s">
        <v>26</v>
      </c>
      <c r="M2508" s="11">
        <f>_xlfn.NUMBERVALUE(LEFT(Table613[[#This Row],[Fiscal Year]], 4))</f>
        <v>2018</v>
      </c>
      <c r="N2508" s="42">
        <f>K2508*(1+VLOOKUP(M2508,$AF$8:$AH$31,3,0))</f>
        <v>5500000</v>
      </c>
      <c r="O2508" s="3">
        <v>2506</v>
      </c>
    </row>
    <row r="2509" spans="1:15" x14ac:dyDescent="0.25">
      <c r="A2509" s="3">
        <v>5</v>
      </c>
      <c r="B2509" s="3" t="s">
        <v>14</v>
      </c>
      <c r="C2509" s="3" t="s">
        <v>14</v>
      </c>
      <c r="D2509" s="3" t="s">
        <v>445</v>
      </c>
      <c r="E2509" s="11" t="s">
        <v>144</v>
      </c>
      <c r="F2509" s="3" t="s">
        <v>5</v>
      </c>
      <c r="G2509" s="66" t="s">
        <v>83</v>
      </c>
      <c r="H2509" s="8"/>
      <c r="I2509" s="8"/>
      <c r="J2509" s="6" t="s">
        <v>76</v>
      </c>
      <c r="K2509" s="38">
        <v>0</v>
      </c>
      <c r="L2509" s="4" t="s">
        <v>26</v>
      </c>
      <c r="M2509" s="11">
        <f>_xlfn.NUMBERVALUE(LEFT(Table613[[#This Row],[Fiscal Year]], 4))</f>
        <v>2018</v>
      </c>
      <c r="N2509" s="42">
        <f t="shared" si="56"/>
        <v>0</v>
      </c>
      <c r="O2509" s="3">
        <v>2507</v>
      </c>
    </row>
    <row r="2510" spans="1:15" x14ac:dyDescent="0.25">
      <c r="A2510" s="3">
        <v>5</v>
      </c>
      <c r="B2510" s="3" t="s">
        <v>14</v>
      </c>
      <c r="C2510" s="3" t="s">
        <v>14</v>
      </c>
      <c r="D2510" s="3" t="s">
        <v>445</v>
      </c>
      <c r="E2510" s="11" t="s">
        <v>144</v>
      </c>
      <c r="F2510" s="3" t="s">
        <v>5</v>
      </c>
      <c r="G2510" s="66" t="s">
        <v>84</v>
      </c>
      <c r="H2510" s="8"/>
      <c r="I2510" s="8"/>
      <c r="J2510" s="6" t="s">
        <v>108</v>
      </c>
      <c r="K2510" s="38">
        <v>1323000</v>
      </c>
      <c r="L2510" s="4" t="s">
        <v>26</v>
      </c>
      <c r="M2510" s="11">
        <f>_xlfn.NUMBERVALUE(LEFT(Table613[[#This Row],[Fiscal Year]], 4))</f>
        <v>2018</v>
      </c>
      <c r="N2510" s="42">
        <f>K2510*(1+VLOOKUP(M2510,$AF$8:$AH$31,3,0))</f>
        <v>1323000</v>
      </c>
      <c r="O2510" s="3">
        <v>2508</v>
      </c>
    </row>
    <row r="2511" spans="1:15" x14ac:dyDescent="0.25">
      <c r="A2511" s="3">
        <v>5</v>
      </c>
      <c r="B2511" s="3" t="s">
        <v>14</v>
      </c>
      <c r="C2511" s="3" t="s">
        <v>14</v>
      </c>
      <c r="D2511" s="3" t="s">
        <v>445</v>
      </c>
      <c r="E2511" s="11" t="s">
        <v>144</v>
      </c>
      <c r="F2511" s="3" t="s">
        <v>5</v>
      </c>
      <c r="G2511" s="66" t="s">
        <v>85</v>
      </c>
      <c r="H2511" s="8"/>
      <c r="I2511" s="8"/>
      <c r="J2511" s="6" t="s">
        <v>108</v>
      </c>
      <c r="K2511" s="38">
        <v>0</v>
      </c>
      <c r="L2511" s="4" t="s">
        <v>26</v>
      </c>
      <c r="M2511" s="11">
        <f>_xlfn.NUMBERVALUE(LEFT(Table613[[#This Row],[Fiscal Year]], 4))</f>
        <v>2018</v>
      </c>
      <c r="N2511" s="42">
        <f t="shared" si="56"/>
        <v>0</v>
      </c>
      <c r="O2511" s="3">
        <v>2509</v>
      </c>
    </row>
    <row r="2512" spans="1:15" x14ac:dyDescent="0.25">
      <c r="A2512" s="3">
        <v>5</v>
      </c>
      <c r="B2512" s="3" t="s">
        <v>14</v>
      </c>
      <c r="C2512" s="3" t="s">
        <v>14</v>
      </c>
      <c r="D2512" s="3" t="s">
        <v>445</v>
      </c>
      <c r="E2512" s="11" t="s">
        <v>144</v>
      </c>
      <c r="F2512" s="3" t="s">
        <v>5</v>
      </c>
      <c r="G2512" s="66" t="s">
        <v>86</v>
      </c>
      <c r="H2512" s="8"/>
      <c r="I2512" s="8"/>
      <c r="J2512" s="6" t="s">
        <v>106</v>
      </c>
      <c r="K2512" s="38">
        <v>8000</v>
      </c>
      <c r="L2512" s="4" t="s">
        <v>26</v>
      </c>
      <c r="M2512" s="11">
        <f>_xlfn.NUMBERVALUE(LEFT(Table613[[#This Row],[Fiscal Year]], 4))</f>
        <v>2018</v>
      </c>
      <c r="N2512" s="42">
        <f t="shared" si="56"/>
        <v>8000</v>
      </c>
      <c r="O2512" s="3">
        <v>2510</v>
      </c>
    </row>
    <row r="2513" spans="1:15" x14ac:dyDescent="0.25">
      <c r="A2513" s="3">
        <v>5</v>
      </c>
      <c r="B2513" s="3" t="s">
        <v>14</v>
      </c>
      <c r="C2513" s="3" t="s">
        <v>14</v>
      </c>
      <c r="D2513" s="3" t="s">
        <v>445</v>
      </c>
      <c r="E2513" s="11" t="s">
        <v>144</v>
      </c>
      <c r="F2513" s="3" t="s">
        <v>5</v>
      </c>
      <c r="G2513" s="48" t="s">
        <v>87</v>
      </c>
      <c r="H2513" s="8"/>
      <c r="I2513" s="8"/>
      <c r="J2513" s="6" t="s">
        <v>108</v>
      </c>
      <c r="K2513" s="38">
        <v>435000</v>
      </c>
      <c r="L2513" s="4" t="s">
        <v>26</v>
      </c>
      <c r="M2513" s="11">
        <f>_xlfn.NUMBERVALUE(LEFT(Table613[[#This Row],[Fiscal Year]], 4))</f>
        <v>2018</v>
      </c>
      <c r="N2513" s="42">
        <f t="shared" si="56"/>
        <v>435000</v>
      </c>
      <c r="O2513" s="3">
        <v>2511</v>
      </c>
    </row>
    <row r="2514" spans="1:15" x14ac:dyDescent="0.25">
      <c r="A2514" s="3">
        <v>5</v>
      </c>
      <c r="B2514" s="3" t="s">
        <v>14</v>
      </c>
      <c r="C2514" s="3" t="s">
        <v>14</v>
      </c>
      <c r="D2514" s="3" t="s">
        <v>445</v>
      </c>
      <c r="E2514" s="11" t="s">
        <v>144</v>
      </c>
      <c r="F2514" s="3" t="s">
        <v>5</v>
      </c>
      <c r="G2514" s="66" t="s">
        <v>88</v>
      </c>
      <c r="H2514" s="8"/>
      <c r="I2514" s="8"/>
      <c r="J2514" s="6" t="s">
        <v>106</v>
      </c>
      <c r="K2514" s="38">
        <v>3000</v>
      </c>
      <c r="L2514" s="4" t="s">
        <v>26</v>
      </c>
      <c r="M2514" s="11">
        <f>_xlfn.NUMBERVALUE(LEFT(Table613[[#This Row],[Fiscal Year]], 4))</f>
        <v>2018</v>
      </c>
      <c r="N2514" s="42">
        <f t="shared" si="56"/>
        <v>3000</v>
      </c>
      <c r="O2514" s="3">
        <v>2512</v>
      </c>
    </row>
    <row r="2515" spans="1:15" x14ac:dyDescent="0.25">
      <c r="A2515" s="3">
        <v>5</v>
      </c>
      <c r="B2515" s="3" t="s">
        <v>14</v>
      </c>
      <c r="C2515" s="3" t="s">
        <v>14</v>
      </c>
      <c r="D2515" s="3" t="s">
        <v>445</v>
      </c>
      <c r="E2515" s="11" t="s">
        <v>144</v>
      </c>
      <c r="F2515" s="3" t="s">
        <v>5</v>
      </c>
      <c r="G2515" s="66" t="s">
        <v>112</v>
      </c>
      <c r="H2515" s="8" t="s">
        <v>515</v>
      </c>
      <c r="I2515" s="8" t="s">
        <v>458</v>
      </c>
      <c r="J2515" s="6" t="s">
        <v>106</v>
      </c>
      <c r="K2515" s="38">
        <v>0</v>
      </c>
      <c r="L2515" s="4" t="s">
        <v>26</v>
      </c>
      <c r="M2515" s="11">
        <f>_xlfn.NUMBERVALUE(LEFT(Table613[[#This Row],[Fiscal Year]], 4))</f>
        <v>2018</v>
      </c>
      <c r="N2515" s="42">
        <f t="shared" si="56"/>
        <v>0</v>
      </c>
      <c r="O2515" s="3">
        <v>2513</v>
      </c>
    </row>
    <row r="2516" spans="1:15" x14ac:dyDescent="0.25">
      <c r="A2516" s="3">
        <v>5</v>
      </c>
      <c r="B2516" s="3" t="s">
        <v>14</v>
      </c>
      <c r="C2516" s="3" t="s">
        <v>14</v>
      </c>
      <c r="D2516" s="3" t="s">
        <v>445</v>
      </c>
      <c r="E2516" s="11" t="s">
        <v>144</v>
      </c>
      <c r="F2516" s="3" t="s">
        <v>5</v>
      </c>
      <c r="G2516" s="66" t="s">
        <v>113</v>
      </c>
      <c r="H2516" s="8" t="s">
        <v>516</v>
      </c>
      <c r="I2516" s="47" t="s">
        <v>517</v>
      </c>
      <c r="J2516" s="6" t="s">
        <v>455</v>
      </c>
      <c r="K2516" s="38">
        <v>33000</v>
      </c>
      <c r="L2516" s="4" t="s">
        <v>26</v>
      </c>
      <c r="M2516" s="11">
        <f>_xlfn.NUMBERVALUE(LEFT(Table613[[#This Row],[Fiscal Year]], 4))</f>
        <v>2018</v>
      </c>
      <c r="N2516" s="42">
        <f t="shared" si="56"/>
        <v>33000</v>
      </c>
      <c r="O2516" s="3">
        <v>2514</v>
      </c>
    </row>
    <row r="2517" spans="1:15" x14ac:dyDescent="0.25">
      <c r="A2517" s="3">
        <v>5</v>
      </c>
      <c r="B2517" s="3" t="s">
        <v>14</v>
      </c>
      <c r="C2517" s="3" t="s">
        <v>14</v>
      </c>
      <c r="D2517" s="3" t="s">
        <v>445</v>
      </c>
      <c r="E2517" s="11" t="s">
        <v>144</v>
      </c>
      <c r="F2517" s="3" t="s">
        <v>5</v>
      </c>
      <c r="G2517" s="48" t="s">
        <v>95</v>
      </c>
      <c r="H2517" s="8"/>
      <c r="I2517" s="8"/>
      <c r="J2517" s="6" t="s">
        <v>109</v>
      </c>
      <c r="K2517" s="38">
        <v>300000</v>
      </c>
      <c r="L2517" s="4" t="s">
        <v>26</v>
      </c>
      <c r="M2517" s="11">
        <f>_xlfn.NUMBERVALUE(LEFT(Table613[[#This Row],[Fiscal Year]], 4))</f>
        <v>2018</v>
      </c>
      <c r="N2517" s="42">
        <f t="shared" si="56"/>
        <v>300000</v>
      </c>
      <c r="O2517" s="3">
        <v>2515</v>
      </c>
    </row>
    <row r="2518" spans="1:15" x14ac:dyDescent="0.25">
      <c r="A2518" s="3">
        <v>5</v>
      </c>
      <c r="B2518" s="3" t="s">
        <v>14</v>
      </c>
      <c r="C2518" s="3" t="s">
        <v>14</v>
      </c>
      <c r="D2518" s="3" t="s">
        <v>445</v>
      </c>
      <c r="E2518" s="11" t="s">
        <v>144</v>
      </c>
      <c r="F2518" s="3" t="s">
        <v>5</v>
      </c>
      <c r="G2518" s="48" t="s">
        <v>89</v>
      </c>
      <c r="H2518" s="8"/>
      <c r="I2518" s="8"/>
      <c r="J2518" s="6" t="s">
        <v>111</v>
      </c>
      <c r="K2518" s="38">
        <v>250000</v>
      </c>
      <c r="L2518" s="4" t="s">
        <v>26</v>
      </c>
      <c r="M2518" s="11">
        <f>_xlfn.NUMBERVALUE(LEFT(Table613[[#This Row],[Fiscal Year]], 4))</f>
        <v>2018</v>
      </c>
      <c r="N2518" s="42">
        <f t="shared" si="56"/>
        <v>250000</v>
      </c>
      <c r="O2518" s="3">
        <v>2516</v>
      </c>
    </row>
    <row r="2519" spans="1:15" x14ac:dyDescent="0.25">
      <c r="A2519" s="3">
        <v>5</v>
      </c>
      <c r="B2519" s="3" t="s">
        <v>14</v>
      </c>
      <c r="C2519" s="3" t="s">
        <v>14</v>
      </c>
      <c r="D2519" s="3" t="s">
        <v>445</v>
      </c>
      <c r="E2519" s="11" t="s">
        <v>144</v>
      </c>
      <c r="F2519" s="3" t="s">
        <v>5</v>
      </c>
      <c r="G2519" s="48" t="s">
        <v>90</v>
      </c>
      <c r="H2519" s="8" t="s">
        <v>615</v>
      </c>
      <c r="I2519" s="8"/>
      <c r="J2519" s="6" t="s">
        <v>455</v>
      </c>
      <c r="K2519" s="38">
        <v>26000</v>
      </c>
      <c r="L2519" s="4" t="s">
        <v>26</v>
      </c>
      <c r="M2519" s="11">
        <f>_xlfn.NUMBERVALUE(LEFT(Table613[[#This Row],[Fiscal Year]], 4))</f>
        <v>2018</v>
      </c>
      <c r="N2519" s="42">
        <f t="shared" si="56"/>
        <v>26000</v>
      </c>
      <c r="O2519" s="3">
        <v>2517</v>
      </c>
    </row>
    <row r="2520" spans="1:15" x14ac:dyDescent="0.25">
      <c r="A2520" s="3">
        <v>5</v>
      </c>
      <c r="B2520" s="3" t="s">
        <v>14</v>
      </c>
      <c r="C2520" s="3" t="s">
        <v>14</v>
      </c>
      <c r="D2520" s="3" t="s">
        <v>445</v>
      </c>
      <c r="E2520" s="11" t="s">
        <v>144</v>
      </c>
      <c r="F2520" s="3" t="s">
        <v>5</v>
      </c>
      <c r="G2520" s="48" t="s">
        <v>91</v>
      </c>
      <c r="H2520" s="8"/>
      <c r="I2520" s="8"/>
      <c r="J2520" s="6" t="s">
        <v>107</v>
      </c>
      <c r="K2520" s="38">
        <v>22000</v>
      </c>
      <c r="L2520" s="4" t="s">
        <v>26</v>
      </c>
      <c r="M2520" s="11">
        <f>_xlfn.NUMBERVALUE(LEFT(Table613[[#This Row],[Fiscal Year]], 4))</f>
        <v>2018</v>
      </c>
      <c r="N2520" s="42">
        <f t="shared" si="56"/>
        <v>22000</v>
      </c>
      <c r="O2520" s="3">
        <v>2518</v>
      </c>
    </row>
    <row r="2521" spans="1:15" x14ac:dyDescent="0.25">
      <c r="A2521" s="3">
        <v>5</v>
      </c>
      <c r="B2521" s="3" t="s">
        <v>14</v>
      </c>
      <c r="C2521" s="3" t="s">
        <v>14</v>
      </c>
      <c r="D2521" s="3" t="s">
        <v>445</v>
      </c>
      <c r="E2521" s="11" t="s">
        <v>144</v>
      </c>
      <c r="F2521" s="3" t="s">
        <v>5</v>
      </c>
      <c r="G2521" s="48" t="s">
        <v>92</v>
      </c>
      <c r="H2521" s="8" t="s">
        <v>614</v>
      </c>
      <c r="I2521" s="8"/>
      <c r="J2521" s="6" t="s">
        <v>455</v>
      </c>
      <c r="K2521" s="38">
        <v>0</v>
      </c>
      <c r="L2521" s="4" t="s">
        <v>26</v>
      </c>
      <c r="M2521" s="11">
        <f>_xlfn.NUMBERVALUE(LEFT(Table613[[#This Row],[Fiscal Year]], 4))</f>
        <v>2018</v>
      </c>
      <c r="N2521" s="42">
        <f t="shared" si="56"/>
        <v>0</v>
      </c>
      <c r="O2521" s="3">
        <v>2519</v>
      </c>
    </row>
    <row r="2522" spans="1:15" x14ac:dyDescent="0.25">
      <c r="A2522" s="3">
        <v>5</v>
      </c>
      <c r="B2522" s="3" t="s">
        <v>14</v>
      </c>
      <c r="C2522" s="3" t="s">
        <v>14</v>
      </c>
      <c r="D2522" s="3" t="s">
        <v>445</v>
      </c>
      <c r="E2522" s="11" t="s">
        <v>144</v>
      </c>
      <c r="F2522" s="3" t="s">
        <v>5</v>
      </c>
      <c r="G2522" s="48" t="s">
        <v>93</v>
      </c>
      <c r="H2522" s="8"/>
      <c r="I2522" s="8"/>
      <c r="J2522" s="6" t="s">
        <v>605</v>
      </c>
      <c r="K2522" s="38">
        <v>8000</v>
      </c>
      <c r="L2522" s="4" t="s">
        <v>26</v>
      </c>
      <c r="M2522" s="11">
        <f>_xlfn.NUMBERVALUE(LEFT(Table613[[#This Row],[Fiscal Year]], 4))</f>
        <v>2018</v>
      </c>
      <c r="N2522" s="42">
        <f t="shared" si="56"/>
        <v>8000</v>
      </c>
      <c r="O2522" s="3">
        <v>2520</v>
      </c>
    </row>
    <row r="2523" spans="1:15" x14ac:dyDescent="0.25">
      <c r="A2523" s="3">
        <v>5</v>
      </c>
      <c r="B2523" s="3" t="s">
        <v>14</v>
      </c>
      <c r="C2523" s="3" t="s">
        <v>14</v>
      </c>
      <c r="D2523" s="3" t="s">
        <v>445</v>
      </c>
      <c r="E2523" s="11" t="s">
        <v>144</v>
      </c>
      <c r="F2523" s="3" t="s">
        <v>5</v>
      </c>
      <c r="G2523" s="66" t="s">
        <v>94</v>
      </c>
      <c r="H2523" s="8"/>
      <c r="I2523" s="8"/>
      <c r="J2523" s="6" t="s">
        <v>47</v>
      </c>
      <c r="K2523" s="38">
        <v>45000</v>
      </c>
      <c r="L2523" s="4" t="s">
        <v>26</v>
      </c>
      <c r="M2523" s="11">
        <f>_xlfn.NUMBERVALUE(LEFT(Table613[[#This Row],[Fiscal Year]], 4))</f>
        <v>2018</v>
      </c>
      <c r="N2523" s="42">
        <f t="shared" si="56"/>
        <v>45000</v>
      </c>
      <c r="O2523" s="3">
        <v>2521</v>
      </c>
    </row>
    <row r="2524" spans="1:15" x14ac:dyDescent="0.25">
      <c r="E2524" s="11"/>
      <c r="G2524" s="66"/>
      <c r="H2524" s="8"/>
      <c r="I2524" s="8"/>
      <c r="J2524" s="6"/>
      <c r="L2524" s="4"/>
      <c r="O2524" s="3">
        <v>2522</v>
      </c>
    </row>
    <row r="2525" spans="1:15" x14ac:dyDescent="0.25">
      <c r="A2525" s="3">
        <v>5</v>
      </c>
      <c r="B2525" s="3" t="s">
        <v>15</v>
      </c>
      <c r="C2525" s="3" t="s">
        <v>14</v>
      </c>
      <c r="D2525" s="3" t="s">
        <v>445</v>
      </c>
      <c r="E2525" s="11" t="s">
        <v>144</v>
      </c>
      <c r="F2525" s="3" t="s">
        <v>8</v>
      </c>
      <c r="G2525" s="48" t="s">
        <v>81</v>
      </c>
      <c r="H2525" s="8" t="s">
        <v>518</v>
      </c>
      <c r="I2525" s="8"/>
      <c r="J2525" s="6" t="s">
        <v>108</v>
      </c>
      <c r="K2525" s="38">
        <v>4800000</v>
      </c>
      <c r="L2525" s="4" t="s">
        <v>26</v>
      </c>
      <c r="M2525" s="11">
        <f>_xlfn.NUMBERVALUE(LEFT(Table613[[#This Row],[Fiscal Year]], 4))</f>
        <v>2018</v>
      </c>
      <c r="N2525" s="42">
        <f t="shared" si="56"/>
        <v>4800000</v>
      </c>
      <c r="O2525" s="3">
        <v>2523</v>
      </c>
    </row>
    <row r="2526" spans="1:15" x14ac:dyDescent="0.25">
      <c r="A2526" s="3">
        <v>5</v>
      </c>
      <c r="B2526" s="3" t="s">
        <v>15</v>
      </c>
      <c r="C2526" s="3" t="s">
        <v>14</v>
      </c>
      <c r="D2526" s="3" t="s">
        <v>445</v>
      </c>
      <c r="E2526" s="11" t="s">
        <v>144</v>
      </c>
      <c r="F2526" s="3" t="s">
        <v>8</v>
      </c>
      <c r="G2526" s="66" t="s">
        <v>46</v>
      </c>
      <c r="H2526" s="8"/>
      <c r="I2526" s="8"/>
      <c r="J2526" s="6" t="s">
        <v>111</v>
      </c>
      <c r="K2526" s="38">
        <v>0</v>
      </c>
      <c r="L2526" s="4" t="s">
        <v>26</v>
      </c>
      <c r="M2526" s="11">
        <f>_xlfn.NUMBERVALUE(LEFT(Table613[[#This Row],[Fiscal Year]], 4))</f>
        <v>2018</v>
      </c>
      <c r="N2526" s="42">
        <f t="shared" si="56"/>
        <v>0</v>
      </c>
      <c r="O2526" s="3">
        <v>2524</v>
      </c>
    </row>
    <row r="2527" spans="1:15" x14ac:dyDescent="0.25">
      <c r="A2527" s="3">
        <v>5</v>
      </c>
      <c r="B2527" s="3" t="s">
        <v>15</v>
      </c>
      <c r="C2527" s="3" t="s">
        <v>14</v>
      </c>
      <c r="D2527" s="3" t="s">
        <v>445</v>
      </c>
      <c r="E2527" s="11" t="s">
        <v>144</v>
      </c>
      <c r="F2527" s="3" t="s">
        <v>8</v>
      </c>
      <c r="G2527" s="48" t="s">
        <v>82</v>
      </c>
      <c r="H2527" s="8"/>
      <c r="I2527" s="8"/>
      <c r="J2527" s="6" t="s">
        <v>108</v>
      </c>
      <c r="K2527" s="38">
        <v>19900000</v>
      </c>
      <c r="L2527" s="4" t="s">
        <v>26</v>
      </c>
      <c r="M2527" s="11">
        <f>_xlfn.NUMBERVALUE(LEFT(Table613[[#This Row],[Fiscal Year]], 4))</f>
        <v>2018</v>
      </c>
      <c r="N2527" s="42">
        <f t="shared" si="56"/>
        <v>19900000</v>
      </c>
      <c r="O2527" s="3">
        <v>2525</v>
      </c>
    </row>
    <row r="2528" spans="1:15" x14ac:dyDescent="0.25">
      <c r="A2528" s="3">
        <v>5</v>
      </c>
      <c r="B2528" s="3" t="s">
        <v>15</v>
      </c>
      <c r="C2528" s="3" t="s">
        <v>14</v>
      </c>
      <c r="D2528" s="3" t="s">
        <v>445</v>
      </c>
      <c r="E2528" s="11" t="s">
        <v>144</v>
      </c>
      <c r="F2528" s="3" t="s">
        <v>8</v>
      </c>
      <c r="G2528" s="66" t="s">
        <v>83</v>
      </c>
      <c r="H2528" s="8"/>
      <c r="I2528" s="8"/>
      <c r="J2528" s="6" t="s">
        <v>76</v>
      </c>
      <c r="K2528" s="38">
        <v>22000</v>
      </c>
      <c r="L2528" s="4" t="s">
        <v>26</v>
      </c>
      <c r="M2528" s="11">
        <f>_xlfn.NUMBERVALUE(LEFT(Table613[[#This Row],[Fiscal Year]], 4))</f>
        <v>2018</v>
      </c>
      <c r="N2528" s="42">
        <f t="shared" si="56"/>
        <v>22000</v>
      </c>
      <c r="O2528" s="3">
        <v>2526</v>
      </c>
    </row>
    <row r="2529" spans="1:15" x14ac:dyDescent="0.25">
      <c r="A2529" s="3">
        <v>5</v>
      </c>
      <c r="B2529" s="3" t="s">
        <v>15</v>
      </c>
      <c r="C2529" s="3" t="s">
        <v>14</v>
      </c>
      <c r="D2529" s="3" t="s">
        <v>445</v>
      </c>
      <c r="E2529" s="11" t="s">
        <v>144</v>
      </c>
      <c r="F2529" s="3" t="s">
        <v>8</v>
      </c>
      <c r="G2529" s="66" t="s">
        <v>84</v>
      </c>
      <c r="H2529" s="8"/>
      <c r="I2529" s="8"/>
      <c r="J2529" s="6" t="s">
        <v>108</v>
      </c>
      <c r="K2529" s="38">
        <v>4000</v>
      </c>
      <c r="L2529" s="4" t="s">
        <v>26</v>
      </c>
      <c r="M2529" s="11">
        <f>_xlfn.NUMBERVALUE(LEFT(Table613[[#This Row],[Fiscal Year]], 4))</f>
        <v>2018</v>
      </c>
      <c r="N2529" s="42">
        <f t="shared" si="56"/>
        <v>4000</v>
      </c>
      <c r="O2529" s="3">
        <v>2527</v>
      </c>
    </row>
    <row r="2530" spans="1:15" x14ac:dyDescent="0.25">
      <c r="A2530" s="3">
        <v>5</v>
      </c>
      <c r="B2530" s="3" t="s">
        <v>15</v>
      </c>
      <c r="C2530" s="3" t="s">
        <v>14</v>
      </c>
      <c r="D2530" s="3" t="s">
        <v>445</v>
      </c>
      <c r="E2530" s="11" t="s">
        <v>144</v>
      </c>
      <c r="F2530" s="3" t="s">
        <v>8</v>
      </c>
      <c r="G2530" s="66" t="s">
        <v>85</v>
      </c>
      <c r="H2530" s="8"/>
      <c r="I2530" s="8"/>
      <c r="J2530" s="6" t="s">
        <v>108</v>
      </c>
      <c r="K2530" s="38">
        <v>0</v>
      </c>
      <c r="L2530" s="4" t="s">
        <v>26</v>
      </c>
      <c r="M2530" s="11">
        <f>_xlfn.NUMBERVALUE(LEFT(Table613[[#This Row],[Fiscal Year]], 4))</f>
        <v>2018</v>
      </c>
      <c r="N2530" s="42">
        <f t="shared" si="56"/>
        <v>0</v>
      </c>
      <c r="O2530" s="3">
        <v>2528</v>
      </c>
    </row>
    <row r="2531" spans="1:15" x14ac:dyDescent="0.25">
      <c r="A2531" s="3">
        <v>5</v>
      </c>
      <c r="B2531" s="3" t="s">
        <v>15</v>
      </c>
      <c r="C2531" s="3" t="s">
        <v>14</v>
      </c>
      <c r="D2531" s="3" t="s">
        <v>445</v>
      </c>
      <c r="E2531" s="11" t="s">
        <v>144</v>
      </c>
      <c r="F2531" s="3" t="s">
        <v>8</v>
      </c>
      <c r="G2531" s="66" t="s">
        <v>86</v>
      </c>
      <c r="H2531" s="8"/>
      <c r="I2531" s="8"/>
      <c r="J2531" s="6" t="s">
        <v>106</v>
      </c>
      <c r="K2531" s="38">
        <v>6300</v>
      </c>
      <c r="L2531" s="4" t="s">
        <v>26</v>
      </c>
      <c r="M2531" s="11">
        <f>_xlfn.NUMBERVALUE(LEFT(Table613[[#This Row],[Fiscal Year]], 4))</f>
        <v>2018</v>
      </c>
      <c r="N2531" s="42">
        <f t="shared" si="56"/>
        <v>6300</v>
      </c>
      <c r="O2531" s="3">
        <v>2529</v>
      </c>
    </row>
    <row r="2532" spans="1:15" x14ac:dyDescent="0.25">
      <c r="A2532" s="3">
        <v>5</v>
      </c>
      <c r="B2532" s="3" t="s">
        <v>15</v>
      </c>
      <c r="C2532" s="3" t="s">
        <v>14</v>
      </c>
      <c r="D2532" s="3" t="s">
        <v>445</v>
      </c>
      <c r="E2532" s="11" t="s">
        <v>144</v>
      </c>
      <c r="F2532" s="3" t="s">
        <v>8</v>
      </c>
      <c r="G2532" s="48" t="s">
        <v>87</v>
      </c>
      <c r="H2532" s="8"/>
      <c r="I2532" s="8"/>
      <c r="J2532" s="6" t="s">
        <v>108</v>
      </c>
      <c r="K2532" s="38">
        <v>580000</v>
      </c>
      <c r="L2532" s="4" t="s">
        <v>26</v>
      </c>
      <c r="M2532" s="11">
        <f>_xlfn.NUMBERVALUE(LEFT(Table613[[#This Row],[Fiscal Year]], 4))</f>
        <v>2018</v>
      </c>
      <c r="N2532" s="42">
        <f t="shared" si="56"/>
        <v>580000</v>
      </c>
      <c r="O2532" s="3">
        <v>2530</v>
      </c>
    </row>
    <row r="2533" spans="1:15" x14ac:dyDescent="0.25">
      <c r="A2533" s="3">
        <v>5</v>
      </c>
      <c r="B2533" s="3" t="s">
        <v>15</v>
      </c>
      <c r="C2533" s="3" t="s">
        <v>14</v>
      </c>
      <c r="D2533" s="3" t="s">
        <v>445</v>
      </c>
      <c r="E2533" s="11" t="s">
        <v>144</v>
      </c>
      <c r="F2533" s="3" t="s">
        <v>8</v>
      </c>
      <c r="G2533" s="66" t="s">
        <v>88</v>
      </c>
      <c r="H2533" s="8"/>
      <c r="I2533" s="8"/>
      <c r="J2533" s="6" t="s">
        <v>106</v>
      </c>
      <c r="K2533" s="38">
        <v>600</v>
      </c>
      <c r="L2533" s="4" t="s">
        <v>26</v>
      </c>
      <c r="M2533" s="11">
        <f>_xlfn.NUMBERVALUE(LEFT(Table613[[#This Row],[Fiscal Year]], 4))</f>
        <v>2018</v>
      </c>
      <c r="N2533" s="42">
        <f t="shared" si="56"/>
        <v>600</v>
      </c>
      <c r="O2533" s="3">
        <v>2531</v>
      </c>
    </row>
    <row r="2534" spans="1:15" x14ac:dyDescent="0.25">
      <c r="A2534" s="3">
        <v>5</v>
      </c>
      <c r="B2534" s="3" t="s">
        <v>15</v>
      </c>
      <c r="C2534" s="3" t="s">
        <v>14</v>
      </c>
      <c r="D2534" s="3" t="s">
        <v>445</v>
      </c>
      <c r="E2534" s="11" t="s">
        <v>144</v>
      </c>
      <c r="F2534" s="3" t="s">
        <v>8</v>
      </c>
      <c r="G2534" s="66" t="s">
        <v>112</v>
      </c>
      <c r="H2534" s="8"/>
      <c r="I2534" s="8"/>
      <c r="J2534" s="8" t="s">
        <v>106</v>
      </c>
      <c r="K2534" s="38">
        <v>0</v>
      </c>
      <c r="L2534" s="4" t="s">
        <v>26</v>
      </c>
      <c r="M2534" s="11">
        <f>_xlfn.NUMBERVALUE(LEFT(Table613[[#This Row],[Fiscal Year]], 4))</f>
        <v>2018</v>
      </c>
      <c r="N2534" s="42">
        <f t="shared" si="56"/>
        <v>0</v>
      </c>
      <c r="O2534" s="3">
        <v>2532</v>
      </c>
    </row>
    <row r="2535" spans="1:15" x14ac:dyDescent="0.25">
      <c r="A2535" s="3">
        <v>5</v>
      </c>
      <c r="B2535" s="3" t="s">
        <v>15</v>
      </c>
      <c r="C2535" s="3" t="s">
        <v>14</v>
      </c>
      <c r="D2535" s="3" t="s">
        <v>445</v>
      </c>
      <c r="E2535" s="11" t="s">
        <v>144</v>
      </c>
      <c r="F2535" s="3" t="s">
        <v>8</v>
      </c>
      <c r="G2535" s="66" t="s">
        <v>113</v>
      </c>
      <c r="H2535" s="8" t="s">
        <v>625</v>
      </c>
      <c r="I2535" s="47" t="s">
        <v>626</v>
      </c>
      <c r="J2535" s="6" t="s">
        <v>455</v>
      </c>
      <c r="K2535" s="38">
        <v>8400</v>
      </c>
      <c r="L2535" s="4" t="s">
        <v>26</v>
      </c>
      <c r="M2535" s="11">
        <f>_xlfn.NUMBERVALUE(LEFT(Table613[[#This Row],[Fiscal Year]], 4))</f>
        <v>2018</v>
      </c>
      <c r="N2535" s="42">
        <f t="shared" si="56"/>
        <v>8400</v>
      </c>
      <c r="O2535" s="3">
        <v>2533</v>
      </c>
    </row>
    <row r="2536" spans="1:15" x14ac:dyDescent="0.25">
      <c r="A2536" s="3">
        <v>5</v>
      </c>
      <c r="B2536" s="3" t="s">
        <v>15</v>
      </c>
      <c r="C2536" s="3" t="s">
        <v>14</v>
      </c>
      <c r="D2536" s="3" t="s">
        <v>445</v>
      </c>
      <c r="E2536" s="11" t="s">
        <v>144</v>
      </c>
      <c r="F2536" s="3" t="s">
        <v>8</v>
      </c>
      <c r="G2536" s="48" t="s">
        <v>95</v>
      </c>
      <c r="H2536" s="8"/>
      <c r="I2536" s="8"/>
      <c r="J2536" s="6" t="s">
        <v>109</v>
      </c>
      <c r="K2536" s="38">
        <v>174800</v>
      </c>
      <c r="L2536" s="4" t="s">
        <v>26</v>
      </c>
      <c r="M2536" s="11">
        <f>_xlfn.NUMBERVALUE(LEFT(Table613[[#This Row],[Fiscal Year]], 4))</f>
        <v>2018</v>
      </c>
      <c r="N2536" s="42">
        <f t="shared" si="56"/>
        <v>174800</v>
      </c>
      <c r="O2536" s="3">
        <v>2534</v>
      </c>
    </row>
    <row r="2537" spans="1:15" x14ac:dyDescent="0.25">
      <c r="A2537" s="3">
        <v>5</v>
      </c>
      <c r="B2537" s="3" t="s">
        <v>15</v>
      </c>
      <c r="C2537" s="3" t="s">
        <v>14</v>
      </c>
      <c r="D2537" s="3" t="s">
        <v>445</v>
      </c>
      <c r="E2537" s="11" t="s">
        <v>144</v>
      </c>
      <c r="F2537" s="3" t="s">
        <v>8</v>
      </c>
      <c r="G2537" s="48" t="s">
        <v>89</v>
      </c>
      <c r="H2537" s="8"/>
      <c r="I2537" s="8"/>
      <c r="J2537" s="6" t="s">
        <v>111</v>
      </c>
      <c r="K2537" s="38">
        <v>475000</v>
      </c>
      <c r="L2537" s="4" t="s">
        <v>26</v>
      </c>
      <c r="M2537" s="11">
        <f>_xlfn.NUMBERVALUE(LEFT(Table613[[#This Row],[Fiscal Year]], 4))</f>
        <v>2018</v>
      </c>
      <c r="N2537" s="42">
        <f t="shared" ref="N2537:N2599" si="57">K2537*(1+VLOOKUP(M2537,$AF$8:$AH$31,3,0))</f>
        <v>475000</v>
      </c>
      <c r="O2537" s="3">
        <v>2535</v>
      </c>
    </row>
    <row r="2538" spans="1:15" x14ac:dyDescent="0.25">
      <c r="A2538" s="3">
        <v>5</v>
      </c>
      <c r="B2538" s="3" t="s">
        <v>15</v>
      </c>
      <c r="C2538" s="3" t="s">
        <v>14</v>
      </c>
      <c r="D2538" s="3" t="s">
        <v>445</v>
      </c>
      <c r="E2538" s="11" t="s">
        <v>144</v>
      </c>
      <c r="F2538" s="3" t="s">
        <v>8</v>
      </c>
      <c r="G2538" s="48" t="s">
        <v>90</v>
      </c>
      <c r="H2538" s="8" t="s">
        <v>625</v>
      </c>
      <c r="I2538" s="47" t="s">
        <v>626</v>
      </c>
      <c r="J2538" s="6" t="s">
        <v>455</v>
      </c>
      <c r="K2538" s="38">
        <v>30000</v>
      </c>
      <c r="L2538" s="4" t="s">
        <v>26</v>
      </c>
      <c r="M2538" s="11">
        <f>_xlfn.NUMBERVALUE(LEFT(Table613[[#This Row],[Fiscal Year]], 4))</f>
        <v>2018</v>
      </c>
      <c r="N2538" s="42">
        <f t="shared" si="57"/>
        <v>30000</v>
      </c>
      <c r="O2538" s="3">
        <v>2536</v>
      </c>
    </row>
    <row r="2539" spans="1:15" x14ac:dyDescent="0.25">
      <c r="A2539" s="3">
        <v>5</v>
      </c>
      <c r="B2539" s="3" t="s">
        <v>15</v>
      </c>
      <c r="C2539" s="3" t="s">
        <v>14</v>
      </c>
      <c r="D2539" s="3" t="s">
        <v>445</v>
      </c>
      <c r="E2539" s="11" t="s">
        <v>144</v>
      </c>
      <c r="F2539" s="3" t="s">
        <v>8</v>
      </c>
      <c r="G2539" s="48" t="s">
        <v>91</v>
      </c>
      <c r="H2539" s="8"/>
      <c r="I2539" s="8"/>
      <c r="J2539" s="6" t="s">
        <v>107</v>
      </c>
      <c r="K2539" s="38">
        <v>30000</v>
      </c>
      <c r="L2539" s="4" t="s">
        <v>26</v>
      </c>
      <c r="M2539" s="11">
        <f>_xlfn.NUMBERVALUE(LEFT(Table613[[#This Row],[Fiscal Year]], 4))</f>
        <v>2018</v>
      </c>
      <c r="N2539" s="42">
        <f t="shared" si="57"/>
        <v>30000</v>
      </c>
      <c r="O2539" s="3">
        <v>2537</v>
      </c>
    </row>
    <row r="2540" spans="1:15" x14ac:dyDescent="0.25">
      <c r="A2540" s="3">
        <v>5</v>
      </c>
      <c r="B2540" s="3" t="s">
        <v>15</v>
      </c>
      <c r="C2540" s="3" t="s">
        <v>14</v>
      </c>
      <c r="D2540" s="3" t="s">
        <v>445</v>
      </c>
      <c r="E2540" s="11" t="s">
        <v>144</v>
      </c>
      <c r="F2540" s="3" t="s">
        <v>8</v>
      </c>
      <c r="G2540" s="48" t="s">
        <v>92</v>
      </c>
      <c r="H2540" s="8" t="s">
        <v>625</v>
      </c>
      <c r="I2540" s="47" t="s">
        <v>626</v>
      </c>
      <c r="J2540" s="6" t="s">
        <v>455</v>
      </c>
      <c r="K2540" s="38">
        <v>2000</v>
      </c>
      <c r="L2540" s="4" t="s">
        <v>26</v>
      </c>
      <c r="M2540" s="11">
        <f>_xlfn.NUMBERVALUE(LEFT(Table613[[#This Row],[Fiscal Year]], 4))</f>
        <v>2018</v>
      </c>
      <c r="N2540" s="42">
        <f t="shared" si="57"/>
        <v>2000</v>
      </c>
      <c r="O2540" s="3">
        <v>2538</v>
      </c>
    </row>
    <row r="2541" spans="1:15" x14ac:dyDescent="0.25">
      <c r="A2541" s="3">
        <v>5</v>
      </c>
      <c r="B2541" s="3" t="s">
        <v>15</v>
      </c>
      <c r="C2541" s="3" t="s">
        <v>14</v>
      </c>
      <c r="D2541" s="3" t="s">
        <v>445</v>
      </c>
      <c r="E2541" s="11" t="s">
        <v>144</v>
      </c>
      <c r="F2541" s="3" t="s">
        <v>8</v>
      </c>
      <c r="G2541" s="48" t="s">
        <v>93</v>
      </c>
      <c r="H2541" s="8"/>
      <c r="I2541" s="8"/>
      <c r="J2541" s="6" t="s">
        <v>605</v>
      </c>
      <c r="K2541" s="38">
        <v>10600</v>
      </c>
      <c r="L2541" s="4" t="s">
        <v>26</v>
      </c>
      <c r="M2541" s="11">
        <f>_xlfn.NUMBERVALUE(LEFT(Table613[[#This Row],[Fiscal Year]], 4))</f>
        <v>2018</v>
      </c>
      <c r="N2541" s="42">
        <f t="shared" si="57"/>
        <v>10600</v>
      </c>
      <c r="O2541" s="3">
        <v>2539</v>
      </c>
    </row>
    <row r="2542" spans="1:15" x14ac:dyDescent="0.25">
      <c r="A2542" s="3">
        <v>5</v>
      </c>
      <c r="B2542" s="3" t="s">
        <v>15</v>
      </c>
      <c r="C2542" s="3" t="s">
        <v>14</v>
      </c>
      <c r="D2542" s="3" t="s">
        <v>445</v>
      </c>
      <c r="E2542" s="11" t="s">
        <v>144</v>
      </c>
      <c r="F2542" s="3" t="s">
        <v>8</v>
      </c>
      <c r="G2542" s="66" t="s">
        <v>94</v>
      </c>
      <c r="H2542" s="8"/>
      <c r="I2542" s="8"/>
      <c r="J2542" s="6" t="s">
        <v>47</v>
      </c>
      <c r="K2542" s="38">
        <v>200000</v>
      </c>
      <c r="L2542" s="4" t="s">
        <v>26</v>
      </c>
      <c r="M2542" s="11">
        <f>_xlfn.NUMBERVALUE(LEFT(Table613[[#This Row],[Fiscal Year]], 4))</f>
        <v>2018</v>
      </c>
      <c r="N2542" s="42">
        <f t="shared" si="57"/>
        <v>200000</v>
      </c>
      <c r="O2542" s="3">
        <v>2540</v>
      </c>
    </row>
    <row r="2543" spans="1:15" x14ac:dyDescent="0.25">
      <c r="E2543" s="11"/>
      <c r="G2543" s="66"/>
      <c r="H2543" s="8"/>
      <c r="I2543" s="8"/>
      <c r="J2543" s="6"/>
      <c r="L2543" s="4"/>
      <c r="O2543" s="3">
        <v>2541</v>
      </c>
    </row>
    <row r="2544" spans="1:15" x14ac:dyDescent="0.25">
      <c r="A2544" s="3">
        <v>5</v>
      </c>
      <c r="B2544" s="9" t="s">
        <v>121</v>
      </c>
      <c r="C2544" s="3" t="s">
        <v>121</v>
      </c>
      <c r="D2544" s="3" t="s">
        <v>445</v>
      </c>
      <c r="E2544" s="28" t="s">
        <v>144</v>
      </c>
      <c r="F2544" s="3" t="s">
        <v>122</v>
      </c>
      <c r="G2544" s="48" t="s">
        <v>32</v>
      </c>
      <c r="H2544" s="8"/>
      <c r="I2544" s="8"/>
      <c r="J2544" s="6" t="s">
        <v>110</v>
      </c>
      <c r="K2544" s="38">
        <v>177456</v>
      </c>
      <c r="L2544" s="4" t="s">
        <v>29</v>
      </c>
      <c r="M2544" s="11">
        <f>_xlfn.NUMBERVALUE(LEFT(Table613[[#This Row],[Fiscal Year]], 4))</f>
        <v>2015</v>
      </c>
      <c r="N2544" s="42">
        <f t="shared" si="57"/>
        <v>188411.10015189872</v>
      </c>
      <c r="O2544" s="3">
        <v>2542</v>
      </c>
    </row>
    <row r="2545" spans="1:15" x14ac:dyDescent="0.25">
      <c r="A2545" s="3">
        <v>5</v>
      </c>
      <c r="B2545" s="3" t="s">
        <v>121</v>
      </c>
      <c r="C2545" s="3" t="s">
        <v>121</v>
      </c>
      <c r="D2545" s="3" t="s">
        <v>445</v>
      </c>
      <c r="E2545" s="11" t="s">
        <v>144</v>
      </c>
      <c r="F2545" s="3" t="s">
        <v>122</v>
      </c>
      <c r="G2545" s="48" t="s">
        <v>70</v>
      </c>
      <c r="H2545" s="8" t="s">
        <v>519</v>
      </c>
      <c r="I2545" s="8" t="s">
        <v>458</v>
      </c>
      <c r="J2545" s="6" t="s">
        <v>107</v>
      </c>
      <c r="K2545" s="38">
        <v>1930923</v>
      </c>
      <c r="L2545" s="4" t="s">
        <v>29</v>
      </c>
      <c r="M2545" s="11">
        <f>_xlfn.NUMBERVALUE(LEFT(Table613[[#This Row],[Fiscal Year]], 4))</f>
        <v>2015</v>
      </c>
      <c r="N2545" s="42">
        <f t="shared" si="57"/>
        <v>2050126.9426708859</v>
      </c>
      <c r="O2545" s="3">
        <v>2543</v>
      </c>
    </row>
    <row r="2546" spans="1:15" x14ac:dyDescent="0.25">
      <c r="A2546" s="3">
        <v>5</v>
      </c>
      <c r="B2546" s="3" t="s">
        <v>121</v>
      </c>
      <c r="C2546" s="3" t="s">
        <v>121</v>
      </c>
      <c r="D2546" s="3" t="s">
        <v>445</v>
      </c>
      <c r="E2546" s="11" t="s">
        <v>144</v>
      </c>
      <c r="F2546" s="3" t="s">
        <v>122</v>
      </c>
      <c r="G2546" s="48" t="s">
        <v>69</v>
      </c>
      <c r="H2546" s="8" t="s">
        <v>520</v>
      </c>
      <c r="I2546" s="8" t="s">
        <v>458</v>
      </c>
      <c r="J2546" s="6" t="s">
        <v>109</v>
      </c>
      <c r="K2546" s="38">
        <v>121558</v>
      </c>
      <c r="L2546" s="4" t="s">
        <v>29</v>
      </c>
      <c r="M2546" s="11">
        <f>_xlfn.NUMBERVALUE(LEFT(Table613[[#This Row],[Fiscal Year]], 4))</f>
        <v>2015</v>
      </c>
      <c r="N2546" s="42">
        <f t="shared" si="57"/>
        <v>129062.28311392404</v>
      </c>
      <c r="O2546" s="3">
        <v>2544</v>
      </c>
    </row>
    <row r="2547" spans="1:15" x14ac:dyDescent="0.25">
      <c r="A2547" s="3">
        <v>5</v>
      </c>
      <c r="B2547" s="3" t="s">
        <v>121</v>
      </c>
      <c r="C2547" s="3" t="s">
        <v>121</v>
      </c>
      <c r="D2547" s="3" t="s">
        <v>445</v>
      </c>
      <c r="E2547" s="11" t="s">
        <v>144</v>
      </c>
      <c r="F2547" s="3" t="s">
        <v>122</v>
      </c>
      <c r="G2547" s="48" t="s">
        <v>127</v>
      </c>
      <c r="H2547" s="8" t="s">
        <v>521</v>
      </c>
      <c r="I2547" s="8" t="s">
        <v>458</v>
      </c>
      <c r="J2547" s="6" t="s">
        <v>108</v>
      </c>
      <c r="K2547" s="38">
        <v>20962406</v>
      </c>
      <c r="L2547" s="4" t="s">
        <v>29</v>
      </c>
      <c r="M2547" s="11">
        <f>_xlfn.NUMBERVALUE(LEFT(Table613[[#This Row],[Fiscal Year]], 4))</f>
        <v>2015</v>
      </c>
      <c r="N2547" s="42">
        <f t="shared" si="57"/>
        <v>22256502.886860758</v>
      </c>
      <c r="O2547" s="3">
        <v>2545</v>
      </c>
    </row>
    <row r="2548" spans="1:15" x14ac:dyDescent="0.25">
      <c r="A2548" s="3">
        <v>5</v>
      </c>
      <c r="B2548" s="3" t="s">
        <v>121</v>
      </c>
      <c r="C2548" s="3" t="s">
        <v>121</v>
      </c>
      <c r="D2548" s="3" t="s">
        <v>445</v>
      </c>
      <c r="E2548" s="11" t="s">
        <v>144</v>
      </c>
      <c r="F2548" s="3" t="s">
        <v>122</v>
      </c>
      <c r="G2548" s="66" t="s">
        <v>128</v>
      </c>
      <c r="H2548" s="8"/>
      <c r="I2548" s="8"/>
      <c r="J2548" s="6" t="s">
        <v>106</v>
      </c>
      <c r="K2548" s="38">
        <v>64653</v>
      </c>
      <c r="L2548" s="4" t="s">
        <v>29</v>
      </c>
      <c r="M2548" s="11">
        <f>_xlfn.NUMBERVALUE(LEFT(Table613[[#This Row],[Fiscal Year]], 4))</f>
        <v>2015</v>
      </c>
      <c r="N2548" s="42">
        <f t="shared" si="57"/>
        <v>68644.299759493661</v>
      </c>
      <c r="O2548" s="3">
        <v>2546</v>
      </c>
    </row>
    <row r="2549" spans="1:15" x14ac:dyDescent="0.25">
      <c r="A2549" s="3">
        <v>5</v>
      </c>
      <c r="B2549" s="3" t="s">
        <v>121</v>
      </c>
      <c r="C2549" s="3" t="s">
        <v>121</v>
      </c>
      <c r="D2549" s="3" t="s">
        <v>445</v>
      </c>
      <c r="E2549" s="11" t="s">
        <v>144</v>
      </c>
      <c r="F2549" s="3" t="s">
        <v>122</v>
      </c>
      <c r="G2549" s="48" t="s">
        <v>129</v>
      </c>
      <c r="H2549" s="6" t="s">
        <v>522</v>
      </c>
      <c r="I2549" s="8" t="s">
        <v>458</v>
      </c>
      <c r="J2549" s="6" t="s">
        <v>453</v>
      </c>
      <c r="K2549" s="38">
        <v>381672</v>
      </c>
      <c r="L2549" s="4" t="s">
        <v>29</v>
      </c>
      <c r="M2549" s="11">
        <f>_xlfn.NUMBERVALUE(LEFT(Table613[[#This Row],[Fiscal Year]], 4))</f>
        <v>2015</v>
      </c>
      <c r="N2549" s="42">
        <f t="shared" si="57"/>
        <v>405234.2068860759</v>
      </c>
      <c r="O2549" s="3">
        <v>2547</v>
      </c>
    </row>
    <row r="2550" spans="1:15" x14ac:dyDescent="0.25">
      <c r="A2550" s="3">
        <v>5</v>
      </c>
      <c r="B2550" s="3" t="s">
        <v>121</v>
      </c>
      <c r="C2550" s="3" t="s">
        <v>121</v>
      </c>
      <c r="D2550" s="3" t="s">
        <v>445</v>
      </c>
      <c r="E2550" s="11" t="s">
        <v>144</v>
      </c>
      <c r="F2550" s="3" t="s">
        <v>122</v>
      </c>
      <c r="G2550" s="48" t="s">
        <v>59</v>
      </c>
      <c r="H2550" s="8"/>
      <c r="I2550" s="8"/>
      <c r="J2550" s="6" t="s">
        <v>111</v>
      </c>
      <c r="K2550" s="38">
        <v>1894011</v>
      </c>
      <c r="L2550" s="4" t="s">
        <v>29</v>
      </c>
      <c r="M2550" s="11">
        <f>_xlfn.NUMBERVALUE(LEFT(Table613[[#This Row],[Fiscal Year]], 4))</f>
        <v>2015</v>
      </c>
      <c r="N2550" s="42">
        <f t="shared" si="57"/>
        <v>2010936.2107215188</v>
      </c>
      <c r="O2550" s="3">
        <v>2548</v>
      </c>
    </row>
    <row r="2551" spans="1:15" x14ac:dyDescent="0.25">
      <c r="A2551" s="3">
        <v>5</v>
      </c>
      <c r="B2551" s="3" t="s">
        <v>121</v>
      </c>
      <c r="C2551" s="3" t="s">
        <v>121</v>
      </c>
      <c r="D2551" s="3" t="s">
        <v>445</v>
      </c>
      <c r="E2551" s="11" t="s">
        <v>144</v>
      </c>
      <c r="F2551" s="3" t="s">
        <v>122</v>
      </c>
      <c r="G2551" s="66" t="s">
        <v>33</v>
      </c>
      <c r="H2551" s="8" t="s">
        <v>524</v>
      </c>
      <c r="I2551" s="47" t="s">
        <v>523</v>
      </c>
      <c r="J2551" s="6" t="s">
        <v>47</v>
      </c>
      <c r="K2551" s="38">
        <v>158637</v>
      </c>
      <c r="L2551" s="4" t="s">
        <v>29</v>
      </c>
      <c r="M2551" s="11">
        <f>_xlfn.NUMBERVALUE(LEFT(Table613[[#This Row],[Fiscal Year]], 4))</f>
        <v>2015</v>
      </c>
      <c r="N2551" s="42">
        <f t="shared" si="57"/>
        <v>168430.32467088607</v>
      </c>
      <c r="O2551" s="3">
        <v>2549</v>
      </c>
    </row>
    <row r="2552" spans="1:15" x14ac:dyDescent="0.25">
      <c r="E2552" s="11"/>
      <c r="G2552" s="66"/>
      <c r="H2552" s="8"/>
      <c r="I2552" s="8"/>
      <c r="J2552" s="6"/>
      <c r="L2552" s="4"/>
      <c r="O2552" s="3">
        <v>2550</v>
      </c>
    </row>
    <row r="2553" spans="1:15" x14ac:dyDescent="0.25">
      <c r="A2553" s="3">
        <v>5</v>
      </c>
      <c r="B2553" s="3" t="s">
        <v>123</v>
      </c>
      <c r="C2553" s="3" t="s">
        <v>121</v>
      </c>
      <c r="D2553" s="3" t="s">
        <v>445</v>
      </c>
      <c r="E2553" s="11" t="s">
        <v>144</v>
      </c>
      <c r="F2553" s="3" t="s">
        <v>8</v>
      </c>
      <c r="G2553" s="48" t="s">
        <v>32</v>
      </c>
      <c r="H2553" s="8"/>
      <c r="I2553" s="8"/>
      <c r="J2553" s="6" t="s">
        <v>110</v>
      </c>
      <c r="K2553" s="38">
        <v>3500</v>
      </c>
      <c r="L2553" s="4" t="s">
        <v>29</v>
      </c>
      <c r="M2553" s="11">
        <f>_xlfn.NUMBERVALUE(LEFT(Table613[[#This Row],[Fiscal Year]], 4))</f>
        <v>2015</v>
      </c>
      <c r="N2553" s="42">
        <f t="shared" si="57"/>
        <v>3716.0696202531644</v>
      </c>
      <c r="O2553" s="3">
        <v>2551</v>
      </c>
    </row>
    <row r="2554" spans="1:15" x14ac:dyDescent="0.25">
      <c r="A2554" s="3">
        <v>5</v>
      </c>
      <c r="B2554" s="3" t="s">
        <v>123</v>
      </c>
      <c r="C2554" s="3" t="s">
        <v>121</v>
      </c>
      <c r="D2554" s="3" t="s">
        <v>445</v>
      </c>
      <c r="E2554" s="11" t="s">
        <v>144</v>
      </c>
      <c r="F2554" s="3" t="s">
        <v>8</v>
      </c>
      <c r="G2554" s="48" t="s">
        <v>70</v>
      </c>
      <c r="H2554" s="8" t="s">
        <v>519</v>
      </c>
      <c r="I2554" s="8" t="s">
        <v>458</v>
      </c>
      <c r="J2554" s="6" t="s">
        <v>107</v>
      </c>
      <c r="K2554" s="38">
        <v>73500</v>
      </c>
      <c r="L2554" s="4" t="s">
        <v>29</v>
      </c>
      <c r="M2554" s="11">
        <f>_xlfn.NUMBERVALUE(LEFT(Table613[[#This Row],[Fiscal Year]], 4))</f>
        <v>2015</v>
      </c>
      <c r="N2554" s="42">
        <f t="shared" si="57"/>
        <v>78037.462025316447</v>
      </c>
      <c r="O2554" s="3">
        <v>2552</v>
      </c>
    </row>
    <row r="2555" spans="1:15" x14ac:dyDescent="0.25">
      <c r="A2555" s="3">
        <v>5</v>
      </c>
      <c r="B2555" s="3" t="s">
        <v>123</v>
      </c>
      <c r="C2555" s="3" t="s">
        <v>121</v>
      </c>
      <c r="D2555" s="3" t="s">
        <v>445</v>
      </c>
      <c r="E2555" s="11" t="s">
        <v>144</v>
      </c>
      <c r="F2555" s="3" t="s">
        <v>8</v>
      </c>
      <c r="G2555" s="48" t="s">
        <v>69</v>
      </c>
      <c r="H2555" s="8" t="s">
        <v>520</v>
      </c>
      <c r="I2555" s="8" t="s">
        <v>458</v>
      </c>
      <c r="J2555" s="6" t="s">
        <v>109</v>
      </c>
      <c r="K2555" s="38" t="s">
        <v>28</v>
      </c>
      <c r="L2555" s="4" t="s">
        <v>29</v>
      </c>
      <c r="M2555" s="11">
        <f>_xlfn.NUMBERVALUE(LEFT(Table613[[#This Row],[Fiscal Year]], 4))</f>
        <v>2015</v>
      </c>
      <c r="O2555" s="3">
        <v>2553</v>
      </c>
    </row>
    <row r="2556" spans="1:15" x14ac:dyDescent="0.25">
      <c r="A2556" s="3">
        <v>5</v>
      </c>
      <c r="B2556" s="3" t="s">
        <v>123</v>
      </c>
      <c r="C2556" s="3" t="s">
        <v>121</v>
      </c>
      <c r="D2556" s="3" t="s">
        <v>445</v>
      </c>
      <c r="E2556" s="11" t="s">
        <v>144</v>
      </c>
      <c r="F2556" s="3" t="s">
        <v>8</v>
      </c>
      <c r="G2556" s="48" t="s">
        <v>127</v>
      </c>
      <c r="H2556" s="8" t="s">
        <v>521</v>
      </c>
      <c r="I2556" s="8" t="s">
        <v>458</v>
      </c>
      <c r="J2556" s="6" t="s">
        <v>108</v>
      </c>
      <c r="K2556" s="38">
        <v>1789200</v>
      </c>
      <c r="L2556" s="4" t="s">
        <v>29</v>
      </c>
      <c r="M2556" s="11">
        <f>_xlfn.NUMBERVALUE(LEFT(Table613[[#This Row],[Fiscal Year]], 4))</f>
        <v>2015</v>
      </c>
      <c r="N2556" s="42">
        <f t="shared" si="57"/>
        <v>1899654.7898734177</v>
      </c>
      <c r="O2556" s="3">
        <v>2554</v>
      </c>
    </row>
    <row r="2557" spans="1:15" x14ac:dyDescent="0.25">
      <c r="A2557" s="3">
        <v>5</v>
      </c>
      <c r="B2557" s="3" t="s">
        <v>123</v>
      </c>
      <c r="C2557" s="3" t="s">
        <v>121</v>
      </c>
      <c r="D2557" s="3" t="s">
        <v>445</v>
      </c>
      <c r="E2557" s="11" t="s">
        <v>144</v>
      </c>
      <c r="F2557" s="3" t="s">
        <v>8</v>
      </c>
      <c r="G2557" s="66" t="s">
        <v>128</v>
      </c>
      <c r="H2557" s="6"/>
      <c r="I2557" s="8"/>
      <c r="J2557" s="6" t="s">
        <v>106</v>
      </c>
      <c r="K2557" s="38">
        <v>46400</v>
      </c>
      <c r="L2557" s="4" t="s">
        <v>29</v>
      </c>
      <c r="M2557" s="11">
        <f>_xlfn.NUMBERVALUE(LEFT(Table613[[#This Row],[Fiscal Year]], 4))</f>
        <v>2015</v>
      </c>
      <c r="N2557" s="42">
        <f t="shared" si="57"/>
        <v>49264.465822784805</v>
      </c>
      <c r="O2557" s="3">
        <v>2555</v>
      </c>
    </row>
    <row r="2558" spans="1:15" x14ac:dyDescent="0.25">
      <c r="A2558" s="3">
        <v>5</v>
      </c>
      <c r="B2558" s="3" t="s">
        <v>123</v>
      </c>
      <c r="C2558" s="3" t="s">
        <v>121</v>
      </c>
      <c r="D2558" s="3" t="s">
        <v>445</v>
      </c>
      <c r="E2558" s="11" t="s">
        <v>144</v>
      </c>
      <c r="F2558" s="3" t="s">
        <v>8</v>
      </c>
      <c r="G2558" s="48" t="s">
        <v>129</v>
      </c>
      <c r="H2558" s="6" t="s">
        <v>522</v>
      </c>
      <c r="I2558" s="8" t="s">
        <v>458</v>
      </c>
      <c r="J2558" s="6" t="s">
        <v>453</v>
      </c>
      <c r="K2558" s="38">
        <v>104200</v>
      </c>
      <c r="L2558" s="4" t="s">
        <v>29</v>
      </c>
      <c r="M2558" s="11">
        <f>_xlfn.NUMBERVALUE(LEFT(Table613[[#This Row],[Fiscal Year]], 4))</f>
        <v>2015</v>
      </c>
      <c r="N2558" s="42">
        <f t="shared" si="57"/>
        <v>110632.70126582278</v>
      </c>
      <c r="O2558" s="3">
        <v>2556</v>
      </c>
    </row>
    <row r="2559" spans="1:15" x14ac:dyDescent="0.25">
      <c r="A2559" s="3">
        <v>5</v>
      </c>
      <c r="B2559" s="3" t="s">
        <v>123</v>
      </c>
      <c r="C2559" s="3" t="s">
        <v>121</v>
      </c>
      <c r="D2559" s="3" t="s">
        <v>445</v>
      </c>
      <c r="E2559" s="11" t="s">
        <v>144</v>
      </c>
      <c r="F2559" s="3" t="s">
        <v>8</v>
      </c>
      <c r="G2559" s="48" t="s">
        <v>59</v>
      </c>
      <c r="H2559" s="8"/>
      <c r="I2559" s="8"/>
      <c r="J2559" s="6" t="s">
        <v>111</v>
      </c>
      <c r="K2559" s="38">
        <v>4500</v>
      </c>
      <c r="L2559" s="4" t="s">
        <v>29</v>
      </c>
      <c r="M2559" s="11">
        <f>_xlfn.NUMBERVALUE(LEFT(Table613[[#This Row],[Fiscal Year]], 4))</f>
        <v>2015</v>
      </c>
      <c r="N2559" s="42">
        <f t="shared" si="57"/>
        <v>4777.8037974683539</v>
      </c>
      <c r="O2559" s="3">
        <v>2557</v>
      </c>
    </row>
    <row r="2560" spans="1:15" x14ac:dyDescent="0.25">
      <c r="A2560" s="3">
        <v>5</v>
      </c>
      <c r="B2560" s="3" t="s">
        <v>123</v>
      </c>
      <c r="C2560" s="3" t="s">
        <v>121</v>
      </c>
      <c r="D2560" s="3" t="s">
        <v>445</v>
      </c>
      <c r="E2560" s="11" t="s">
        <v>144</v>
      </c>
      <c r="F2560" s="3" t="s">
        <v>8</v>
      </c>
      <c r="G2560" s="66" t="s">
        <v>33</v>
      </c>
      <c r="H2560" s="8"/>
      <c r="I2560" s="8"/>
      <c r="J2560" s="6" t="s">
        <v>47</v>
      </c>
      <c r="K2560" s="38" t="s">
        <v>28</v>
      </c>
      <c r="L2560" s="4" t="s">
        <v>29</v>
      </c>
      <c r="M2560" s="11">
        <f>_xlfn.NUMBERVALUE(LEFT(Table613[[#This Row],[Fiscal Year]], 4))</f>
        <v>2015</v>
      </c>
      <c r="O2560" s="3">
        <v>2558</v>
      </c>
    </row>
    <row r="2561" spans="1:15" x14ac:dyDescent="0.25">
      <c r="E2561" s="11"/>
      <c r="G2561" s="66"/>
      <c r="H2561" s="8"/>
      <c r="I2561" s="8"/>
      <c r="J2561" s="6"/>
      <c r="L2561" s="4"/>
      <c r="O2561" s="3">
        <v>2559</v>
      </c>
    </row>
    <row r="2562" spans="1:15" x14ac:dyDescent="0.25">
      <c r="A2562" s="3">
        <v>5</v>
      </c>
      <c r="B2562" s="3" t="s">
        <v>121</v>
      </c>
      <c r="C2562" s="3" t="s">
        <v>121</v>
      </c>
      <c r="D2562" s="3" t="s">
        <v>445</v>
      </c>
      <c r="E2562" s="11" t="s">
        <v>144</v>
      </c>
      <c r="F2562" s="3" t="s">
        <v>8</v>
      </c>
      <c r="G2562" s="48" t="s">
        <v>32</v>
      </c>
      <c r="H2562" s="8" t="s">
        <v>519</v>
      </c>
      <c r="I2562" s="8" t="s">
        <v>458</v>
      </c>
      <c r="J2562" s="6" t="s">
        <v>110</v>
      </c>
      <c r="K2562" s="38">
        <v>3914</v>
      </c>
      <c r="L2562" s="4" t="s">
        <v>29</v>
      </c>
      <c r="M2562" s="11">
        <f>_xlfn.NUMBERVALUE(LEFT(Table613[[#This Row],[Fiscal Year]], 4))</f>
        <v>2015</v>
      </c>
      <c r="N2562" s="42">
        <f t="shared" si="57"/>
        <v>4155.6275696202529</v>
      </c>
      <c r="O2562" s="3">
        <v>2560</v>
      </c>
    </row>
    <row r="2563" spans="1:15" x14ac:dyDescent="0.25">
      <c r="A2563" s="3">
        <v>5</v>
      </c>
      <c r="B2563" s="3" t="s">
        <v>121</v>
      </c>
      <c r="C2563" s="3" t="s">
        <v>121</v>
      </c>
      <c r="D2563" s="3" t="s">
        <v>445</v>
      </c>
      <c r="E2563" s="11" t="s">
        <v>144</v>
      </c>
      <c r="F2563" s="3" t="s">
        <v>8</v>
      </c>
      <c r="G2563" s="48" t="s">
        <v>70</v>
      </c>
      <c r="H2563" s="8" t="s">
        <v>520</v>
      </c>
      <c r="I2563" s="8" t="s">
        <v>458</v>
      </c>
      <c r="J2563" s="6" t="s">
        <v>107</v>
      </c>
      <c r="K2563" s="38">
        <v>60873</v>
      </c>
      <c r="L2563" s="4" t="s">
        <v>29</v>
      </c>
      <c r="M2563" s="11">
        <f>_xlfn.NUMBERVALUE(LEFT(Table613[[#This Row],[Fiscal Year]], 4))</f>
        <v>2015</v>
      </c>
      <c r="N2563" s="42">
        <f t="shared" si="57"/>
        <v>64630.944569620253</v>
      </c>
      <c r="O2563" s="3">
        <v>2561</v>
      </c>
    </row>
    <row r="2564" spans="1:15" x14ac:dyDescent="0.25">
      <c r="A2564" s="3">
        <v>5</v>
      </c>
      <c r="B2564" s="3" t="s">
        <v>121</v>
      </c>
      <c r="C2564" s="3" t="s">
        <v>121</v>
      </c>
      <c r="D2564" s="3" t="s">
        <v>445</v>
      </c>
      <c r="E2564" s="11" t="s">
        <v>144</v>
      </c>
      <c r="F2564" s="3" t="s">
        <v>8</v>
      </c>
      <c r="G2564" s="48" t="s">
        <v>69</v>
      </c>
      <c r="H2564" s="8" t="s">
        <v>521</v>
      </c>
      <c r="I2564" s="8" t="s">
        <v>458</v>
      </c>
      <c r="J2564" s="6" t="s">
        <v>109</v>
      </c>
      <c r="K2564" s="38">
        <v>117111</v>
      </c>
      <c r="L2564" s="4" t="s">
        <v>29</v>
      </c>
      <c r="M2564" s="11">
        <f>_xlfn.NUMBERVALUE(LEFT(Table613[[#This Row],[Fiscal Year]], 4))</f>
        <v>2015</v>
      </c>
      <c r="N2564" s="42">
        <f t="shared" si="57"/>
        <v>124340.7512278481</v>
      </c>
      <c r="O2564" s="3">
        <v>2562</v>
      </c>
    </row>
    <row r="2565" spans="1:15" x14ac:dyDescent="0.25">
      <c r="A2565" s="3">
        <v>5</v>
      </c>
      <c r="B2565" s="3" t="s">
        <v>121</v>
      </c>
      <c r="C2565" s="3" t="s">
        <v>121</v>
      </c>
      <c r="D2565" s="3" t="s">
        <v>445</v>
      </c>
      <c r="E2565" s="11" t="s">
        <v>144</v>
      </c>
      <c r="F2565" s="3" t="s">
        <v>8</v>
      </c>
      <c r="G2565" s="48" t="s">
        <v>127</v>
      </c>
      <c r="H2565" s="6"/>
      <c r="I2565" s="8"/>
      <c r="J2565" s="6" t="s">
        <v>108</v>
      </c>
      <c r="K2565" s="38">
        <v>4163775</v>
      </c>
      <c r="L2565" s="4" t="s">
        <v>29</v>
      </c>
      <c r="M2565" s="11">
        <f>_xlfn.NUMBERVALUE(LEFT(Table613[[#This Row],[Fiscal Year]], 4))</f>
        <v>2015</v>
      </c>
      <c r="N2565" s="42">
        <f t="shared" si="57"/>
        <v>4420822.2237341767</v>
      </c>
      <c r="O2565" s="3">
        <v>2563</v>
      </c>
    </row>
    <row r="2566" spans="1:15" x14ac:dyDescent="0.25">
      <c r="A2566" s="3">
        <v>5</v>
      </c>
      <c r="B2566" s="3" t="s">
        <v>121</v>
      </c>
      <c r="C2566" s="3" t="s">
        <v>121</v>
      </c>
      <c r="D2566" s="3" t="s">
        <v>445</v>
      </c>
      <c r="E2566" s="11" t="s">
        <v>144</v>
      </c>
      <c r="F2566" s="3" t="s">
        <v>8</v>
      </c>
      <c r="G2566" s="66" t="s">
        <v>128</v>
      </c>
      <c r="H2566" s="6"/>
      <c r="I2566" s="8"/>
      <c r="J2566" s="6" t="s">
        <v>106</v>
      </c>
      <c r="K2566" s="38">
        <v>5851327</v>
      </c>
      <c r="L2566" s="4" t="s">
        <v>29</v>
      </c>
      <c r="M2566" s="11">
        <f>_xlfn.NUMBERVALUE(LEFT(Table613[[#This Row],[Fiscal Year]], 4))</f>
        <v>2015</v>
      </c>
      <c r="N2566" s="42">
        <f t="shared" si="57"/>
        <v>6212553.8579620253</v>
      </c>
      <c r="O2566" s="3">
        <v>2564</v>
      </c>
    </row>
    <row r="2567" spans="1:15" x14ac:dyDescent="0.25">
      <c r="A2567" s="3">
        <v>5</v>
      </c>
      <c r="B2567" s="3" t="s">
        <v>121</v>
      </c>
      <c r="C2567" s="3" t="s">
        <v>121</v>
      </c>
      <c r="D2567" s="3" t="s">
        <v>445</v>
      </c>
      <c r="E2567" s="11" t="s">
        <v>144</v>
      </c>
      <c r="F2567" s="3" t="s">
        <v>8</v>
      </c>
      <c r="G2567" s="66" t="s">
        <v>129</v>
      </c>
      <c r="H2567" s="6" t="s">
        <v>522</v>
      </c>
      <c r="I2567" s="8" t="s">
        <v>458</v>
      </c>
      <c r="J2567" s="6" t="s">
        <v>453</v>
      </c>
      <c r="K2567" s="38">
        <v>43157</v>
      </c>
      <c r="L2567" s="4" t="s">
        <v>29</v>
      </c>
      <c r="M2567" s="11">
        <f>_xlfn.NUMBERVALUE(LEFT(Table613[[#This Row],[Fiscal Year]], 4))</f>
        <v>2015</v>
      </c>
      <c r="N2567" s="42">
        <f t="shared" si="57"/>
        <v>45821.261886075947</v>
      </c>
      <c r="O2567" s="3">
        <v>2565</v>
      </c>
    </row>
    <row r="2568" spans="1:15" x14ac:dyDescent="0.25">
      <c r="A2568" s="3">
        <v>5</v>
      </c>
      <c r="B2568" s="3" t="s">
        <v>121</v>
      </c>
      <c r="C2568" s="3" t="s">
        <v>121</v>
      </c>
      <c r="D2568" s="3" t="s">
        <v>445</v>
      </c>
      <c r="E2568" s="11" t="s">
        <v>144</v>
      </c>
      <c r="F2568" s="3" t="s">
        <v>8</v>
      </c>
      <c r="G2568" s="48" t="s">
        <v>59</v>
      </c>
      <c r="H2568" s="8"/>
      <c r="I2568" s="8"/>
      <c r="J2568" s="6" t="s">
        <v>111</v>
      </c>
      <c r="K2568" s="38">
        <v>13287</v>
      </c>
      <c r="L2568" s="4" t="s">
        <v>29</v>
      </c>
      <c r="M2568" s="11">
        <f>_xlfn.NUMBERVALUE(LEFT(Table613[[#This Row],[Fiscal Year]], 4))</f>
        <v>2015</v>
      </c>
      <c r="N2568" s="42">
        <f t="shared" si="57"/>
        <v>14107.262012658228</v>
      </c>
      <c r="O2568" s="3">
        <v>2566</v>
      </c>
    </row>
    <row r="2569" spans="1:15" x14ac:dyDescent="0.25">
      <c r="A2569" s="3">
        <v>5</v>
      </c>
      <c r="B2569" s="3" t="s">
        <v>121</v>
      </c>
      <c r="C2569" s="3" t="s">
        <v>121</v>
      </c>
      <c r="D2569" s="3" t="s">
        <v>445</v>
      </c>
      <c r="E2569" s="11" t="s">
        <v>144</v>
      </c>
      <c r="F2569" s="3" t="s">
        <v>8</v>
      </c>
      <c r="G2569" s="66" t="s">
        <v>33</v>
      </c>
      <c r="H2569" s="8"/>
      <c r="I2569" s="8"/>
      <c r="J2569" s="6" t="s">
        <v>47</v>
      </c>
      <c r="K2569" s="38" t="s">
        <v>28</v>
      </c>
      <c r="L2569" s="4" t="s">
        <v>29</v>
      </c>
      <c r="M2569" s="11">
        <f>_xlfn.NUMBERVALUE(LEFT(Table613[[#This Row],[Fiscal Year]], 4))</f>
        <v>2015</v>
      </c>
      <c r="O2569" s="3">
        <v>2567</v>
      </c>
    </row>
    <row r="2570" spans="1:15" x14ac:dyDescent="0.25">
      <c r="E2570" s="11"/>
      <c r="G2570" s="66"/>
      <c r="H2570" s="8"/>
      <c r="I2570" s="8"/>
      <c r="J2570" s="6"/>
      <c r="L2570" s="4"/>
      <c r="O2570" s="3">
        <v>2568</v>
      </c>
    </row>
    <row r="2571" spans="1:15" x14ac:dyDescent="0.25">
      <c r="A2571" s="3">
        <v>5</v>
      </c>
      <c r="B2571" s="3" t="s">
        <v>124</v>
      </c>
      <c r="C2571" s="3" t="s">
        <v>124</v>
      </c>
      <c r="D2571" s="3" t="s">
        <v>445</v>
      </c>
      <c r="E2571" s="11" t="s">
        <v>144</v>
      </c>
      <c r="F2571" s="3" t="s">
        <v>5</v>
      </c>
      <c r="G2571" s="48" t="s">
        <v>1072</v>
      </c>
      <c r="H2571" s="8" t="s">
        <v>526</v>
      </c>
      <c r="I2571" s="47" t="s">
        <v>525</v>
      </c>
      <c r="J2571" s="6" t="s">
        <v>110</v>
      </c>
      <c r="K2571" s="38">
        <v>195290</v>
      </c>
      <c r="L2571" s="4" t="s">
        <v>29</v>
      </c>
      <c r="M2571" s="11">
        <f>_xlfn.NUMBERVALUE(LEFT(Table613[[#This Row],[Fiscal Year]], 4))</f>
        <v>2015</v>
      </c>
      <c r="N2571" s="42">
        <f t="shared" si="57"/>
        <v>207346.06746835442</v>
      </c>
      <c r="O2571" s="3">
        <v>2569</v>
      </c>
    </row>
    <row r="2572" spans="1:15" x14ac:dyDescent="0.25">
      <c r="A2572" s="3">
        <v>5</v>
      </c>
      <c r="B2572" s="3" t="s">
        <v>124</v>
      </c>
      <c r="C2572" s="3" t="s">
        <v>124</v>
      </c>
      <c r="D2572" s="3" t="s">
        <v>445</v>
      </c>
      <c r="E2572" s="11" t="s">
        <v>144</v>
      </c>
      <c r="F2572" s="3" t="s">
        <v>5</v>
      </c>
      <c r="G2572" s="48" t="s">
        <v>1073</v>
      </c>
      <c r="H2572" s="8" t="s">
        <v>527</v>
      </c>
      <c r="I2572" s="8" t="s">
        <v>458</v>
      </c>
      <c r="J2572" s="6" t="s">
        <v>107</v>
      </c>
      <c r="K2572" s="38">
        <v>112718</v>
      </c>
      <c r="L2572" s="4" t="s">
        <v>29</v>
      </c>
      <c r="M2572" s="11">
        <f>_xlfn.NUMBERVALUE(LEFT(Table613[[#This Row],[Fiscal Year]], 4))</f>
        <v>2015</v>
      </c>
      <c r="N2572" s="42">
        <f t="shared" si="57"/>
        <v>119676.55298734177</v>
      </c>
      <c r="O2572" s="3">
        <v>2570</v>
      </c>
    </row>
    <row r="2573" spans="1:15" x14ac:dyDescent="0.25">
      <c r="A2573" s="3">
        <v>5</v>
      </c>
      <c r="B2573" s="3" t="s">
        <v>124</v>
      </c>
      <c r="C2573" s="3" t="s">
        <v>124</v>
      </c>
      <c r="D2573" s="3" t="s">
        <v>445</v>
      </c>
      <c r="E2573" s="11" t="s">
        <v>144</v>
      </c>
      <c r="F2573" s="3" t="s">
        <v>5</v>
      </c>
      <c r="G2573" s="48" t="s">
        <v>1074</v>
      </c>
      <c r="H2573" s="8"/>
      <c r="I2573" s="8"/>
      <c r="J2573" s="6" t="s">
        <v>109</v>
      </c>
      <c r="K2573" s="38">
        <v>310200</v>
      </c>
      <c r="L2573" s="4" t="s">
        <v>29</v>
      </c>
      <c r="M2573" s="11">
        <f>_xlfn.NUMBERVALUE(LEFT(Table613[[#This Row],[Fiscal Year]], 4))</f>
        <v>2015</v>
      </c>
      <c r="N2573" s="42">
        <f t="shared" si="57"/>
        <v>329349.94177215185</v>
      </c>
      <c r="O2573" s="3">
        <v>2571</v>
      </c>
    </row>
    <row r="2574" spans="1:15" x14ac:dyDescent="0.25">
      <c r="A2574" s="3">
        <v>5</v>
      </c>
      <c r="B2574" s="3" t="s">
        <v>124</v>
      </c>
      <c r="C2574" s="3" t="s">
        <v>124</v>
      </c>
      <c r="D2574" s="3" t="s">
        <v>445</v>
      </c>
      <c r="E2574" s="11" t="s">
        <v>144</v>
      </c>
      <c r="F2574" s="3" t="s">
        <v>5</v>
      </c>
      <c r="G2574" s="48" t="s">
        <v>1075</v>
      </c>
      <c r="H2574" s="8" t="s">
        <v>534</v>
      </c>
      <c r="I2574" s="47" t="s">
        <v>535</v>
      </c>
      <c r="J2574" s="6" t="s">
        <v>108</v>
      </c>
      <c r="K2574" s="38">
        <v>163602</v>
      </c>
      <c r="L2574" s="4" t="s">
        <v>29</v>
      </c>
      <c r="M2574" s="11">
        <f>_xlfn.NUMBERVALUE(LEFT(Table613[[#This Row],[Fiscal Year]], 4))</f>
        <v>2015</v>
      </c>
      <c r="N2574" s="42">
        <f t="shared" si="57"/>
        <v>173701.8348607595</v>
      </c>
      <c r="O2574" s="3">
        <v>2572</v>
      </c>
    </row>
    <row r="2575" spans="1:15" x14ac:dyDescent="0.25">
      <c r="A2575" s="3">
        <v>5</v>
      </c>
      <c r="B2575" s="3" t="s">
        <v>124</v>
      </c>
      <c r="C2575" s="3" t="s">
        <v>124</v>
      </c>
      <c r="D2575" s="3" t="s">
        <v>445</v>
      </c>
      <c r="E2575" s="11" t="s">
        <v>144</v>
      </c>
      <c r="F2575" s="3" t="s">
        <v>5</v>
      </c>
      <c r="G2575" s="48" t="s">
        <v>1076</v>
      </c>
      <c r="H2575" s="8"/>
      <c r="I2575" s="8"/>
      <c r="J2575" s="6" t="s">
        <v>106</v>
      </c>
      <c r="K2575" s="38">
        <v>163602</v>
      </c>
      <c r="L2575" s="4" t="s">
        <v>29</v>
      </c>
      <c r="M2575" s="11">
        <f>_xlfn.NUMBERVALUE(LEFT(Table613[[#This Row],[Fiscal Year]], 4))</f>
        <v>2015</v>
      </c>
      <c r="N2575" s="42">
        <f t="shared" si="57"/>
        <v>173701.8348607595</v>
      </c>
      <c r="O2575" s="3">
        <v>2573</v>
      </c>
    </row>
    <row r="2576" spans="1:15" x14ac:dyDescent="0.25">
      <c r="A2576" s="3">
        <v>5</v>
      </c>
      <c r="B2576" s="3" t="s">
        <v>124</v>
      </c>
      <c r="C2576" s="3" t="s">
        <v>124</v>
      </c>
      <c r="D2576" s="3" t="s">
        <v>445</v>
      </c>
      <c r="E2576" s="11" t="s">
        <v>144</v>
      </c>
      <c r="F2576" s="3" t="s">
        <v>5</v>
      </c>
      <c r="G2576" s="61" t="s">
        <v>1077</v>
      </c>
      <c r="H2576" s="8"/>
      <c r="I2576" s="8"/>
      <c r="J2576" s="6" t="s">
        <v>42</v>
      </c>
      <c r="K2576" s="38">
        <v>300055</v>
      </c>
      <c r="L2576" s="4" t="s">
        <v>29</v>
      </c>
      <c r="M2576" s="11">
        <f>_xlfn.NUMBERVALUE(LEFT(Table613[[#This Row],[Fiscal Year]], 4))</f>
        <v>2015</v>
      </c>
      <c r="N2576" s="42">
        <f t="shared" si="57"/>
        <v>318578.64854430378</v>
      </c>
      <c r="O2576" s="3">
        <v>2574</v>
      </c>
    </row>
    <row r="2577" spans="1:15" x14ac:dyDescent="0.25">
      <c r="A2577" s="3">
        <v>5</v>
      </c>
      <c r="B2577" s="3" t="s">
        <v>124</v>
      </c>
      <c r="C2577" s="3" t="s">
        <v>124</v>
      </c>
      <c r="D2577" s="3" t="s">
        <v>445</v>
      </c>
      <c r="E2577" s="11" t="s">
        <v>144</v>
      </c>
      <c r="F2577" s="3" t="s">
        <v>5</v>
      </c>
      <c r="G2577" s="48" t="s">
        <v>1078</v>
      </c>
      <c r="H2577" s="8"/>
      <c r="I2577" s="8"/>
      <c r="J2577" s="6" t="s">
        <v>111</v>
      </c>
      <c r="K2577" s="38">
        <v>112718</v>
      </c>
      <c r="L2577" s="4" t="s">
        <v>29</v>
      </c>
      <c r="M2577" s="11">
        <f>_xlfn.NUMBERVALUE(LEFT(Table613[[#This Row],[Fiscal Year]], 4))</f>
        <v>2015</v>
      </c>
      <c r="N2577" s="42">
        <f t="shared" si="57"/>
        <v>119676.55298734177</v>
      </c>
      <c r="O2577" s="3">
        <v>2575</v>
      </c>
    </row>
    <row r="2578" spans="1:15" x14ac:dyDescent="0.25">
      <c r="A2578" s="3">
        <v>5</v>
      </c>
      <c r="B2578" s="3" t="s">
        <v>124</v>
      </c>
      <c r="C2578" s="3" t="s">
        <v>124</v>
      </c>
      <c r="D2578" s="3" t="s">
        <v>445</v>
      </c>
      <c r="E2578" s="11" t="s">
        <v>144</v>
      </c>
      <c r="F2578" s="3" t="s">
        <v>5</v>
      </c>
      <c r="G2578" s="48" t="s">
        <v>1079</v>
      </c>
      <c r="H2578" s="8" t="s">
        <v>528</v>
      </c>
      <c r="I2578" s="8" t="s">
        <v>458</v>
      </c>
      <c r="J2578" s="6" t="s">
        <v>455</v>
      </c>
      <c r="K2578" s="38">
        <v>113507</v>
      </c>
      <c r="L2578" s="4" t="s">
        <v>29</v>
      </c>
      <c r="M2578" s="11">
        <f>_xlfn.NUMBERVALUE(LEFT(Table613[[#This Row],[Fiscal Year]], 4))</f>
        <v>2015</v>
      </c>
      <c r="N2578" s="42">
        <f t="shared" si="57"/>
        <v>120514.26125316454</v>
      </c>
      <c r="O2578" s="3">
        <v>2576</v>
      </c>
    </row>
    <row r="2579" spans="1:15" x14ac:dyDescent="0.25">
      <c r="A2579" s="3">
        <v>5</v>
      </c>
      <c r="B2579" s="3" t="s">
        <v>124</v>
      </c>
      <c r="C2579" s="3" t="s">
        <v>124</v>
      </c>
      <c r="D2579" s="3" t="s">
        <v>445</v>
      </c>
      <c r="E2579" s="11" t="s">
        <v>144</v>
      </c>
      <c r="F2579" s="3" t="s">
        <v>5</v>
      </c>
      <c r="G2579" s="48" t="s">
        <v>1080</v>
      </c>
      <c r="H2579" s="8" t="s">
        <v>531</v>
      </c>
      <c r="I2579" s="8"/>
      <c r="J2579" s="6" t="s">
        <v>108</v>
      </c>
      <c r="K2579" s="38">
        <v>12954399</v>
      </c>
      <c r="L2579" s="4" t="s">
        <v>29</v>
      </c>
      <c r="M2579" s="11">
        <f>_xlfn.NUMBERVALUE(LEFT(Table613[[#This Row],[Fiscal Year]], 4))</f>
        <v>2015</v>
      </c>
      <c r="N2579" s="42">
        <f t="shared" si="57"/>
        <v>13754128.163582278</v>
      </c>
      <c r="O2579" s="3">
        <v>2577</v>
      </c>
    </row>
    <row r="2580" spans="1:15" x14ac:dyDescent="0.25">
      <c r="A2580" s="3">
        <v>5</v>
      </c>
      <c r="B2580" s="3" t="s">
        <v>124</v>
      </c>
      <c r="C2580" s="3" t="s">
        <v>124</v>
      </c>
      <c r="D2580" s="3" t="s">
        <v>445</v>
      </c>
      <c r="E2580" s="11" t="s">
        <v>144</v>
      </c>
      <c r="F2580" s="3" t="s">
        <v>5</v>
      </c>
      <c r="G2580" s="48" t="s">
        <v>1081</v>
      </c>
      <c r="H2580" s="8"/>
      <c r="I2580" s="8"/>
      <c r="J2580" s="6" t="s">
        <v>108</v>
      </c>
      <c r="K2580" s="38">
        <v>1232665</v>
      </c>
      <c r="L2580" s="4" t="s">
        <v>29</v>
      </c>
      <c r="M2580" s="11">
        <f>_xlfn.NUMBERVALUE(LEFT(Table613[[#This Row],[Fiscal Year]], 4))</f>
        <v>2015</v>
      </c>
      <c r="N2580" s="42">
        <f t="shared" si="57"/>
        <v>1308762.559556962</v>
      </c>
      <c r="O2580" s="3">
        <v>2578</v>
      </c>
    </row>
    <row r="2581" spans="1:15" x14ac:dyDescent="0.25">
      <c r="A2581" s="3">
        <v>5</v>
      </c>
      <c r="B2581" s="3" t="s">
        <v>124</v>
      </c>
      <c r="C2581" s="3" t="s">
        <v>124</v>
      </c>
      <c r="D2581" s="3" t="s">
        <v>445</v>
      </c>
      <c r="E2581" s="11" t="s">
        <v>144</v>
      </c>
      <c r="F2581" s="3" t="s">
        <v>5</v>
      </c>
      <c r="G2581" s="48" t="s">
        <v>1082</v>
      </c>
      <c r="H2581" s="8"/>
      <c r="I2581" s="8"/>
      <c r="J2581" s="6" t="s">
        <v>108</v>
      </c>
      <c r="K2581" s="38">
        <v>373000</v>
      </c>
      <c r="L2581" s="4" t="s">
        <v>29</v>
      </c>
      <c r="M2581" s="11">
        <f>_xlfn.NUMBERVALUE(LEFT(Table613[[#This Row],[Fiscal Year]], 4))</f>
        <v>2015</v>
      </c>
      <c r="N2581" s="42">
        <f t="shared" si="57"/>
        <v>396026.84810126579</v>
      </c>
      <c r="O2581" s="3">
        <v>2579</v>
      </c>
    </row>
    <row r="2582" spans="1:15" x14ac:dyDescent="0.25">
      <c r="A2582" s="3">
        <v>5</v>
      </c>
      <c r="B2582" s="3" t="s">
        <v>124</v>
      </c>
      <c r="C2582" s="3" t="s">
        <v>124</v>
      </c>
      <c r="D2582" s="3" t="s">
        <v>445</v>
      </c>
      <c r="E2582" s="11" t="s">
        <v>144</v>
      </c>
      <c r="F2582" s="3" t="s">
        <v>5</v>
      </c>
      <c r="G2582" s="48" t="s">
        <v>1083</v>
      </c>
      <c r="H2582" s="8"/>
      <c r="I2582" s="8"/>
      <c r="J2582" s="6" t="s">
        <v>108</v>
      </c>
      <c r="K2582" s="38">
        <v>980000</v>
      </c>
      <c r="L2582" s="4" t="s">
        <v>29</v>
      </c>
      <c r="M2582" s="11">
        <f>_xlfn.NUMBERVALUE(LEFT(Table613[[#This Row],[Fiscal Year]], 4))</f>
        <v>2015</v>
      </c>
      <c r="N2582" s="42">
        <f t="shared" si="57"/>
        <v>1040499.493670886</v>
      </c>
      <c r="O2582" s="3">
        <v>2580</v>
      </c>
    </row>
    <row r="2583" spans="1:15" x14ac:dyDescent="0.25">
      <c r="A2583" s="3">
        <v>5</v>
      </c>
      <c r="B2583" s="3" t="s">
        <v>124</v>
      </c>
      <c r="C2583" s="3" t="s">
        <v>124</v>
      </c>
      <c r="D2583" s="3" t="s">
        <v>445</v>
      </c>
      <c r="E2583" s="11" t="s">
        <v>144</v>
      </c>
      <c r="F2583" s="3" t="s">
        <v>5</v>
      </c>
      <c r="G2583" s="48" t="s">
        <v>1084</v>
      </c>
      <c r="H2583" s="8"/>
      <c r="I2583" s="8"/>
      <c r="J2583" s="6" t="s">
        <v>106</v>
      </c>
      <c r="K2583" s="38">
        <v>21562</v>
      </c>
      <c r="L2583" s="4" t="s">
        <v>29</v>
      </c>
      <c r="M2583" s="11">
        <f>_xlfn.NUMBERVALUE(LEFT(Table613[[#This Row],[Fiscal Year]], 4))</f>
        <v>2015</v>
      </c>
      <c r="N2583" s="42">
        <f t="shared" si="57"/>
        <v>22893.112329113923</v>
      </c>
      <c r="O2583" s="3">
        <v>2581</v>
      </c>
    </row>
    <row r="2584" spans="1:15" x14ac:dyDescent="0.25">
      <c r="A2584" s="3">
        <v>5</v>
      </c>
      <c r="B2584" s="3" t="s">
        <v>124</v>
      </c>
      <c r="C2584" s="3" t="s">
        <v>124</v>
      </c>
      <c r="D2584" s="3" t="s">
        <v>445</v>
      </c>
      <c r="E2584" s="11" t="s">
        <v>144</v>
      </c>
      <c r="F2584" s="3" t="s">
        <v>5</v>
      </c>
      <c r="G2584" s="48" t="s">
        <v>1085</v>
      </c>
      <c r="H2584" s="8" t="s">
        <v>598</v>
      </c>
      <c r="I2584" s="8" t="s">
        <v>590</v>
      </c>
      <c r="J2584" s="6" t="s">
        <v>108</v>
      </c>
      <c r="K2584" s="38">
        <v>67000</v>
      </c>
      <c r="L2584" s="4" t="s">
        <v>29</v>
      </c>
      <c r="M2584" s="11">
        <f>_xlfn.NUMBERVALUE(LEFT(Table613[[#This Row],[Fiscal Year]], 4))</f>
        <v>2015</v>
      </c>
      <c r="N2584" s="42">
        <f t="shared" si="57"/>
        <v>71136.189873417723</v>
      </c>
      <c r="O2584" s="3">
        <v>2582</v>
      </c>
    </row>
    <row r="2585" spans="1:15" x14ac:dyDescent="0.25">
      <c r="A2585" s="3">
        <v>5</v>
      </c>
      <c r="B2585" s="3" t="s">
        <v>124</v>
      </c>
      <c r="C2585" s="3" t="s">
        <v>124</v>
      </c>
      <c r="D2585" s="3" t="s">
        <v>445</v>
      </c>
      <c r="E2585" s="11" t="s">
        <v>144</v>
      </c>
      <c r="F2585" s="3" t="s">
        <v>5</v>
      </c>
      <c r="G2585" s="48" t="s">
        <v>1086</v>
      </c>
      <c r="H2585" s="8" t="s">
        <v>530</v>
      </c>
      <c r="I2585" s="8"/>
      <c r="J2585" s="6" t="s">
        <v>107</v>
      </c>
      <c r="K2585" s="38">
        <v>420000</v>
      </c>
      <c r="L2585" s="4" t="s">
        <v>29</v>
      </c>
      <c r="M2585" s="11">
        <f>_xlfn.NUMBERVALUE(LEFT(Table613[[#This Row],[Fiscal Year]], 4))</f>
        <v>2015</v>
      </c>
      <c r="N2585" s="42">
        <f t="shared" si="57"/>
        <v>445928.3544303797</v>
      </c>
      <c r="O2585" s="3">
        <v>2583</v>
      </c>
    </row>
    <row r="2586" spans="1:15" x14ac:dyDescent="0.25">
      <c r="A2586" s="3">
        <v>5</v>
      </c>
      <c r="B2586" s="3" t="s">
        <v>124</v>
      </c>
      <c r="C2586" s="3" t="s">
        <v>124</v>
      </c>
      <c r="D2586" s="3" t="s">
        <v>445</v>
      </c>
      <c r="E2586" s="11" t="s">
        <v>144</v>
      </c>
      <c r="F2586" s="3" t="s">
        <v>5</v>
      </c>
      <c r="G2586" s="48" t="s">
        <v>1087</v>
      </c>
      <c r="H2586" s="8"/>
      <c r="I2586" s="8"/>
      <c r="J2586" s="6" t="s">
        <v>455</v>
      </c>
      <c r="K2586" s="38">
        <v>300000</v>
      </c>
      <c r="L2586" s="4" t="s">
        <v>29</v>
      </c>
      <c r="M2586" s="11">
        <f>_xlfn.NUMBERVALUE(LEFT(Table613[[#This Row],[Fiscal Year]], 4))</f>
        <v>2015</v>
      </c>
      <c r="N2586" s="42">
        <f t="shared" si="57"/>
        <v>318520.25316455693</v>
      </c>
      <c r="O2586" s="3">
        <v>2584</v>
      </c>
    </row>
    <row r="2587" spans="1:15" x14ac:dyDescent="0.25">
      <c r="A2587" s="3">
        <v>5</v>
      </c>
      <c r="B2587" s="3" t="s">
        <v>124</v>
      </c>
      <c r="C2587" s="3" t="s">
        <v>124</v>
      </c>
      <c r="D2587" s="3" t="s">
        <v>445</v>
      </c>
      <c r="E2587" s="11" t="s">
        <v>144</v>
      </c>
      <c r="F2587" s="3" t="s">
        <v>5</v>
      </c>
      <c r="G2587" s="48" t="s">
        <v>1088</v>
      </c>
      <c r="H2587" s="8" t="s">
        <v>529</v>
      </c>
      <c r="I2587" s="47" t="s">
        <v>628</v>
      </c>
      <c r="J2587" s="6" t="s">
        <v>455</v>
      </c>
      <c r="K2587" s="38">
        <v>65895</v>
      </c>
      <c r="L2587" s="4" t="s">
        <v>29</v>
      </c>
      <c r="M2587" s="11">
        <f>_xlfn.NUMBERVALUE(LEFT(Table613[[#This Row],[Fiscal Year]], 4))</f>
        <v>2015</v>
      </c>
      <c r="N2587" s="42">
        <f t="shared" si="57"/>
        <v>69962.973607594933</v>
      </c>
      <c r="O2587" s="3">
        <v>2585</v>
      </c>
    </row>
    <row r="2588" spans="1:15" x14ac:dyDescent="0.25">
      <c r="A2588" s="3">
        <v>5</v>
      </c>
      <c r="B2588" s="3" t="s">
        <v>124</v>
      </c>
      <c r="C2588" s="3" t="s">
        <v>124</v>
      </c>
      <c r="D2588" s="3" t="s">
        <v>445</v>
      </c>
      <c r="E2588" s="11" t="s">
        <v>144</v>
      </c>
      <c r="F2588" s="3" t="s">
        <v>5</v>
      </c>
      <c r="G2588" s="48" t="s">
        <v>1089</v>
      </c>
      <c r="H2588" s="8"/>
      <c r="I2588" s="8"/>
      <c r="J2588" s="6" t="s">
        <v>42</v>
      </c>
      <c r="K2588" s="38">
        <v>170220</v>
      </c>
      <c r="L2588" s="4" t="s">
        <v>29</v>
      </c>
      <c r="M2588" s="11">
        <f>_xlfn.NUMBERVALUE(LEFT(Table613[[#This Row],[Fiscal Year]], 4))</f>
        <v>2015</v>
      </c>
      <c r="N2588" s="42">
        <f t="shared" si="57"/>
        <v>180728.39164556962</v>
      </c>
      <c r="O2588" s="3">
        <v>2586</v>
      </c>
    </row>
    <row r="2589" spans="1:15" x14ac:dyDescent="0.25">
      <c r="A2589" s="3">
        <v>5</v>
      </c>
      <c r="B2589" s="3" t="s">
        <v>124</v>
      </c>
      <c r="C2589" s="3" t="s">
        <v>124</v>
      </c>
      <c r="D2589" s="3" t="s">
        <v>445</v>
      </c>
      <c r="E2589" s="11" t="s">
        <v>144</v>
      </c>
      <c r="F2589" s="3" t="s">
        <v>5</v>
      </c>
      <c r="G2589" s="48" t="s">
        <v>1090</v>
      </c>
      <c r="H2589" s="8"/>
      <c r="I2589" s="8"/>
      <c r="J2589" s="6" t="s">
        <v>47</v>
      </c>
      <c r="K2589" s="38">
        <v>181446</v>
      </c>
      <c r="L2589" s="4" t="s">
        <v>29</v>
      </c>
      <c r="M2589" s="11">
        <f>_xlfn.NUMBERVALUE(LEFT(Table613[[#This Row],[Fiscal Year]], 4))</f>
        <v>2015</v>
      </c>
      <c r="N2589" s="42">
        <f t="shared" si="57"/>
        <v>192647.41951898733</v>
      </c>
      <c r="O2589" s="3">
        <v>2587</v>
      </c>
    </row>
    <row r="2590" spans="1:15" x14ac:dyDescent="0.25">
      <c r="E2590" s="11"/>
      <c r="G2590" s="66"/>
      <c r="H2590" s="8"/>
      <c r="I2590" s="8"/>
      <c r="J2590" s="6"/>
      <c r="L2590" s="4"/>
      <c r="O2590" s="3">
        <v>2588</v>
      </c>
    </row>
    <row r="2591" spans="1:15" x14ac:dyDescent="0.25">
      <c r="A2591" s="3">
        <v>5</v>
      </c>
      <c r="B2591" s="3" t="s">
        <v>124</v>
      </c>
      <c r="C2591" s="3" t="s">
        <v>124</v>
      </c>
      <c r="D2591" s="3" t="s">
        <v>445</v>
      </c>
      <c r="E2591" s="11" t="s">
        <v>144</v>
      </c>
      <c r="F2591" s="3" t="s">
        <v>8</v>
      </c>
      <c r="G2591" s="48" t="s">
        <v>32</v>
      </c>
      <c r="H2591" s="8" t="s">
        <v>532</v>
      </c>
      <c r="I2591" s="47" t="s">
        <v>533</v>
      </c>
      <c r="J2591" s="6" t="s">
        <v>110</v>
      </c>
      <c r="K2591" s="38">
        <v>269694</v>
      </c>
      <c r="L2591" s="4" t="s">
        <v>29</v>
      </c>
      <c r="M2591" s="11">
        <f>_xlfn.NUMBERVALUE(LEFT(Table613[[#This Row],[Fiscal Year]], 4))</f>
        <v>2015</v>
      </c>
      <c r="N2591" s="42">
        <f t="shared" si="57"/>
        <v>286343.33718987339</v>
      </c>
      <c r="O2591" s="3">
        <v>2589</v>
      </c>
    </row>
    <row r="2592" spans="1:15" x14ac:dyDescent="0.25">
      <c r="A2592" s="3">
        <v>5</v>
      </c>
      <c r="B2592" s="3" t="s">
        <v>124</v>
      </c>
      <c r="C2592" s="3" t="s">
        <v>124</v>
      </c>
      <c r="D2592" s="3" t="s">
        <v>445</v>
      </c>
      <c r="E2592" s="11" t="s">
        <v>144</v>
      </c>
      <c r="F2592" s="3" t="s">
        <v>8</v>
      </c>
      <c r="G2592" s="48" t="s">
        <v>70</v>
      </c>
      <c r="H2592" s="8" t="s">
        <v>538</v>
      </c>
      <c r="I2592" s="8" t="s">
        <v>543</v>
      </c>
      <c r="J2592" s="6" t="s">
        <v>107</v>
      </c>
      <c r="K2592" s="38">
        <v>241470</v>
      </c>
      <c r="L2592" s="4" t="s">
        <v>29</v>
      </c>
      <c r="M2592" s="11">
        <f>_xlfn.NUMBERVALUE(LEFT(Table613[[#This Row],[Fiscal Year]], 4))</f>
        <v>2015</v>
      </c>
      <c r="N2592" s="42">
        <f t="shared" si="57"/>
        <v>256376.95177215189</v>
      </c>
      <c r="O2592" s="3">
        <v>2590</v>
      </c>
    </row>
    <row r="2593" spans="1:15" x14ac:dyDescent="0.25">
      <c r="A2593" s="3">
        <v>5</v>
      </c>
      <c r="B2593" s="3" t="s">
        <v>124</v>
      </c>
      <c r="C2593" s="3" t="s">
        <v>124</v>
      </c>
      <c r="D2593" s="3" t="s">
        <v>445</v>
      </c>
      <c r="E2593" s="11" t="s">
        <v>144</v>
      </c>
      <c r="F2593" s="3" t="s">
        <v>8</v>
      </c>
      <c r="G2593" s="48" t="s">
        <v>130</v>
      </c>
      <c r="H2593" s="8" t="s">
        <v>537</v>
      </c>
      <c r="I2593" s="8" t="s">
        <v>536</v>
      </c>
      <c r="J2593" s="6" t="s">
        <v>109</v>
      </c>
      <c r="K2593" s="38">
        <v>28288</v>
      </c>
      <c r="L2593" s="4" t="s">
        <v>29</v>
      </c>
      <c r="M2593" s="11">
        <f>_xlfn.NUMBERVALUE(LEFT(Table613[[#This Row],[Fiscal Year]], 4))</f>
        <v>2015</v>
      </c>
      <c r="N2593" s="42">
        <f t="shared" si="57"/>
        <v>30034.336405063288</v>
      </c>
      <c r="O2593" s="3">
        <v>2591</v>
      </c>
    </row>
    <row r="2594" spans="1:15" x14ac:dyDescent="0.25">
      <c r="A2594" s="3">
        <v>5</v>
      </c>
      <c r="B2594" s="3" t="s">
        <v>124</v>
      </c>
      <c r="C2594" s="3" t="s">
        <v>124</v>
      </c>
      <c r="D2594" s="3" t="s">
        <v>445</v>
      </c>
      <c r="E2594" s="11" t="s">
        <v>144</v>
      </c>
      <c r="F2594" s="3" t="s">
        <v>8</v>
      </c>
      <c r="G2594" s="48" t="s">
        <v>127</v>
      </c>
      <c r="H2594" s="8" t="s">
        <v>540</v>
      </c>
      <c r="I2594" s="8" t="s">
        <v>536</v>
      </c>
      <c r="J2594" s="6" t="s">
        <v>108</v>
      </c>
      <c r="K2594" s="38">
        <v>248829</v>
      </c>
      <c r="L2594" s="4" t="s">
        <v>29</v>
      </c>
      <c r="M2594" s="11">
        <f>_xlfn.NUMBERVALUE(LEFT(Table613[[#This Row],[Fiscal Year]], 4))</f>
        <v>2015</v>
      </c>
      <c r="N2594" s="42">
        <f t="shared" si="57"/>
        <v>264190.25358227844</v>
      </c>
      <c r="O2594" s="3">
        <v>2592</v>
      </c>
    </row>
    <row r="2595" spans="1:15" x14ac:dyDescent="0.25">
      <c r="A2595" s="3">
        <v>5</v>
      </c>
      <c r="B2595" s="3" t="s">
        <v>124</v>
      </c>
      <c r="C2595" s="3" t="s">
        <v>124</v>
      </c>
      <c r="D2595" s="3" t="s">
        <v>445</v>
      </c>
      <c r="E2595" s="11" t="s">
        <v>144</v>
      </c>
      <c r="F2595" s="3" t="s">
        <v>8</v>
      </c>
      <c r="G2595" s="66" t="s">
        <v>131</v>
      </c>
      <c r="H2595" s="8" t="s">
        <v>541</v>
      </c>
      <c r="I2595" s="8" t="s">
        <v>536</v>
      </c>
      <c r="J2595" s="6" t="s">
        <v>106</v>
      </c>
      <c r="K2595" s="38">
        <v>63960</v>
      </c>
      <c r="L2595" s="4" t="s">
        <v>29</v>
      </c>
      <c r="M2595" s="11">
        <f>_xlfn.NUMBERVALUE(LEFT(Table613[[#This Row],[Fiscal Year]], 4))</f>
        <v>2015</v>
      </c>
      <c r="N2595" s="42">
        <f t="shared" si="57"/>
        <v>67908.517974683535</v>
      </c>
      <c r="O2595" s="3">
        <v>2593</v>
      </c>
    </row>
    <row r="2596" spans="1:15" x14ac:dyDescent="0.25">
      <c r="A2596" s="3">
        <v>5</v>
      </c>
      <c r="B2596" s="3" t="s">
        <v>124</v>
      </c>
      <c r="C2596" s="3" t="s">
        <v>124</v>
      </c>
      <c r="D2596" s="3" t="s">
        <v>445</v>
      </c>
      <c r="E2596" s="11" t="s">
        <v>144</v>
      </c>
      <c r="F2596" s="3" t="s">
        <v>8</v>
      </c>
      <c r="G2596" s="48" t="s">
        <v>133</v>
      </c>
      <c r="H2596" s="8" t="s">
        <v>542</v>
      </c>
      <c r="I2596" s="8" t="s">
        <v>536</v>
      </c>
      <c r="J2596" s="6" t="s">
        <v>42</v>
      </c>
      <c r="K2596" s="38">
        <v>213113</v>
      </c>
      <c r="L2596" s="4" t="s">
        <v>29</v>
      </c>
      <c r="M2596" s="11">
        <f>_xlfn.NUMBERVALUE(LEFT(Table613[[#This Row],[Fiscal Year]], 4))</f>
        <v>2015</v>
      </c>
      <c r="N2596" s="42">
        <f t="shared" si="57"/>
        <v>226269.35570886073</v>
      </c>
      <c r="O2596" s="3">
        <v>2594</v>
      </c>
    </row>
    <row r="2597" spans="1:15" x14ac:dyDescent="0.25">
      <c r="A2597" s="3">
        <v>5</v>
      </c>
      <c r="B2597" s="3" t="s">
        <v>124</v>
      </c>
      <c r="C2597" s="3" t="s">
        <v>124</v>
      </c>
      <c r="D2597" s="3" t="s">
        <v>445</v>
      </c>
      <c r="E2597" s="11" t="s">
        <v>144</v>
      </c>
      <c r="F2597" s="3" t="s">
        <v>8</v>
      </c>
      <c r="G2597" s="48" t="s">
        <v>132</v>
      </c>
      <c r="H2597" s="8"/>
      <c r="I2597" s="8"/>
      <c r="J2597" s="6" t="s">
        <v>111</v>
      </c>
      <c r="K2597" s="38">
        <v>152829</v>
      </c>
      <c r="L2597" s="4" t="s">
        <v>29</v>
      </c>
      <c r="M2597" s="11">
        <f>_xlfn.NUMBERVALUE(LEFT(Table613[[#This Row],[Fiscal Year]], 4))</f>
        <v>2015</v>
      </c>
      <c r="N2597" s="42">
        <f t="shared" si="57"/>
        <v>162263.77256962025</v>
      </c>
      <c r="O2597" s="3">
        <v>2595</v>
      </c>
    </row>
    <row r="2598" spans="1:15" x14ac:dyDescent="0.25">
      <c r="A2598" s="3">
        <v>5</v>
      </c>
      <c r="B2598" s="3" t="s">
        <v>124</v>
      </c>
      <c r="C2598" s="3" t="s">
        <v>124</v>
      </c>
      <c r="D2598" s="3" t="s">
        <v>445</v>
      </c>
      <c r="E2598" s="11" t="s">
        <v>144</v>
      </c>
      <c r="F2598" s="3" t="s">
        <v>8</v>
      </c>
      <c r="G2598" s="48" t="s">
        <v>78</v>
      </c>
      <c r="H2598" s="8"/>
      <c r="I2598" s="8"/>
      <c r="J2598" s="6" t="s">
        <v>47</v>
      </c>
      <c r="K2598" s="38">
        <v>434671</v>
      </c>
      <c r="L2598" s="4" t="s">
        <v>29</v>
      </c>
      <c r="M2598" s="11">
        <f>_xlfn.NUMBERVALUE(LEFT(Table613[[#This Row],[Fiscal Year]], 4))</f>
        <v>2015</v>
      </c>
      <c r="N2598" s="42">
        <f t="shared" si="57"/>
        <v>461505.05654430378</v>
      </c>
      <c r="O2598" s="3">
        <v>2596</v>
      </c>
    </row>
    <row r="2599" spans="1:15" x14ac:dyDescent="0.25">
      <c r="A2599" s="3">
        <v>5</v>
      </c>
      <c r="B2599" s="3" t="s">
        <v>124</v>
      </c>
      <c r="C2599" s="3" t="s">
        <v>124</v>
      </c>
      <c r="D2599" s="3" t="s">
        <v>445</v>
      </c>
      <c r="E2599" s="11" t="s">
        <v>144</v>
      </c>
      <c r="F2599" s="3" t="s">
        <v>8</v>
      </c>
      <c r="G2599" s="48" t="s">
        <v>134</v>
      </c>
      <c r="H2599" s="6" t="s">
        <v>627</v>
      </c>
      <c r="I2599" s="47" t="s">
        <v>628</v>
      </c>
      <c r="J2599" s="6" t="s">
        <v>455</v>
      </c>
      <c r="K2599" s="38">
        <v>73955</v>
      </c>
      <c r="L2599" s="4" t="s">
        <v>29</v>
      </c>
      <c r="M2599" s="11">
        <f>_xlfn.NUMBERVALUE(LEFT(Table613[[#This Row],[Fiscal Year]], 4))</f>
        <v>2015</v>
      </c>
      <c r="N2599" s="42">
        <f t="shared" si="57"/>
        <v>78520.551075949363</v>
      </c>
      <c r="O2599" s="3">
        <v>2597</v>
      </c>
    </row>
    <row r="2600" spans="1:15" x14ac:dyDescent="0.25">
      <c r="A2600" s="3">
        <v>5</v>
      </c>
      <c r="B2600" s="3" t="s">
        <v>124</v>
      </c>
      <c r="C2600" s="3" t="s">
        <v>124</v>
      </c>
      <c r="D2600" s="3" t="s">
        <v>445</v>
      </c>
      <c r="E2600" s="11" t="s">
        <v>144</v>
      </c>
      <c r="F2600" s="3" t="s">
        <v>8</v>
      </c>
      <c r="G2600" s="48" t="s">
        <v>135</v>
      </c>
      <c r="H2600" s="8" t="s">
        <v>1091</v>
      </c>
      <c r="I2600" s="8" t="s">
        <v>953</v>
      </c>
      <c r="J2600" s="6" t="s">
        <v>455</v>
      </c>
      <c r="K2600" s="38" t="s">
        <v>226</v>
      </c>
      <c r="L2600" s="4" t="s">
        <v>29</v>
      </c>
      <c r="M2600" s="11">
        <f>_xlfn.NUMBERVALUE(LEFT(Table613[[#This Row],[Fiscal Year]], 4))</f>
        <v>2015</v>
      </c>
      <c r="O2600" s="3">
        <v>2598</v>
      </c>
    </row>
    <row r="2601" spans="1:15" x14ac:dyDescent="0.25">
      <c r="E2601" s="11"/>
      <c r="G2601" s="48"/>
      <c r="H2601" s="8"/>
      <c r="I2601" s="8"/>
      <c r="J2601" s="6"/>
      <c r="L2601" s="4"/>
      <c r="O2601" s="3">
        <v>2599</v>
      </c>
    </row>
    <row r="2602" spans="1:15" x14ac:dyDescent="0.25">
      <c r="A2602" s="3">
        <v>5</v>
      </c>
      <c r="B2602" s="18" t="s">
        <v>138</v>
      </c>
      <c r="C2602" s="3" t="s">
        <v>124</v>
      </c>
      <c r="D2602" s="3" t="s">
        <v>445</v>
      </c>
      <c r="E2602" s="11" t="s">
        <v>144</v>
      </c>
      <c r="F2602" s="3" t="s">
        <v>8</v>
      </c>
      <c r="G2602" s="48" t="s">
        <v>1092</v>
      </c>
      <c r="H2602" s="8"/>
      <c r="I2602" s="8"/>
      <c r="J2602" s="75"/>
      <c r="K2602" s="38">
        <v>900000</v>
      </c>
      <c r="L2602" s="4" t="s">
        <v>29</v>
      </c>
      <c r="M2602" s="11">
        <v>2015</v>
      </c>
      <c r="N2602" s="42">
        <f t="shared" ref="N2602:N2635" si="58">K2602*(1+VLOOKUP(M2602,$AF$8:$AH$31,3,0))</f>
        <v>955560.75949367078</v>
      </c>
      <c r="O2602" s="3">
        <v>2600</v>
      </c>
    </row>
    <row r="2603" spans="1:15" x14ac:dyDescent="0.25">
      <c r="A2603" s="3">
        <v>5</v>
      </c>
      <c r="B2603" s="3" t="s">
        <v>138</v>
      </c>
      <c r="C2603" s="3" t="s">
        <v>124</v>
      </c>
      <c r="D2603" s="3" t="s">
        <v>445</v>
      </c>
      <c r="E2603" s="11" t="s">
        <v>144</v>
      </c>
      <c r="F2603" s="3" t="s">
        <v>8</v>
      </c>
      <c r="G2603" s="48" t="s">
        <v>1093</v>
      </c>
      <c r="H2603" s="8"/>
      <c r="I2603" s="8"/>
      <c r="J2603" s="75"/>
      <c r="K2603" s="38">
        <v>30000</v>
      </c>
      <c r="L2603" s="4" t="s">
        <v>29</v>
      </c>
      <c r="M2603" s="11">
        <v>2015</v>
      </c>
      <c r="N2603" s="42">
        <f t="shared" si="58"/>
        <v>31852.025316455696</v>
      </c>
      <c r="O2603" s="3">
        <v>2601</v>
      </c>
    </row>
    <row r="2604" spans="1:15" x14ac:dyDescent="0.25">
      <c r="A2604" s="3">
        <v>5</v>
      </c>
      <c r="B2604" s="3" t="s">
        <v>138</v>
      </c>
      <c r="C2604" s="3" t="s">
        <v>124</v>
      </c>
      <c r="D2604" s="3" t="s">
        <v>445</v>
      </c>
      <c r="E2604" s="11" t="s">
        <v>144</v>
      </c>
      <c r="F2604" s="3" t="s">
        <v>8</v>
      </c>
      <c r="G2604" s="48" t="s">
        <v>70</v>
      </c>
      <c r="H2604" s="8"/>
      <c r="I2604" s="8"/>
      <c r="J2604" s="75"/>
      <c r="K2604" s="38">
        <v>2618000</v>
      </c>
      <c r="L2604" s="4" t="s">
        <v>29</v>
      </c>
      <c r="M2604" s="11">
        <v>2015</v>
      </c>
      <c r="N2604" s="42">
        <f t="shared" si="58"/>
        <v>2779620.0759493671</v>
      </c>
      <c r="O2604" s="3">
        <v>2602</v>
      </c>
    </row>
    <row r="2605" spans="1:15" x14ac:dyDescent="0.25">
      <c r="A2605" s="3">
        <v>5</v>
      </c>
      <c r="B2605" s="3" t="s">
        <v>138</v>
      </c>
      <c r="C2605" s="3" t="s">
        <v>124</v>
      </c>
      <c r="D2605" s="3" t="s">
        <v>445</v>
      </c>
      <c r="E2605" s="11" t="s">
        <v>144</v>
      </c>
      <c r="F2605" s="3" t="s">
        <v>8</v>
      </c>
      <c r="G2605" s="48" t="s">
        <v>1094</v>
      </c>
      <c r="H2605" s="8"/>
      <c r="I2605" s="8"/>
      <c r="J2605" s="75"/>
      <c r="K2605" s="38">
        <v>265000</v>
      </c>
      <c r="L2605" s="4" t="s">
        <v>29</v>
      </c>
      <c r="M2605" s="11">
        <v>2015</v>
      </c>
      <c r="N2605" s="42">
        <f t="shared" si="58"/>
        <v>281359.55696202529</v>
      </c>
      <c r="O2605" s="3">
        <v>2603</v>
      </c>
    </row>
    <row r="2606" spans="1:15" x14ac:dyDescent="0.25">
      <c r="A2606" s="3">
        <v>5</v>
      </c>
      <c r="B2606" s="3" t="s">
        <v>138</v>
      </c>
      <c r="C2606" s="3" t="s">
        <v>124</v>
      </c>
      <c r="D2606" s="3" t="s">
        <v>445</v>
      </c>
      <c r="E2606" s="11" t="s">
        <v>144</v>
      </c>
      <c r="F2606" s="3" t="s">
        <v>8</v>
      </c>
      <c r="G2606" s="48" t="s">
        <v>1095</v>
      </c>
      <c r="H2606" s="8"/>
      <c r="I2606" s="8"/>
      <c r="J2606" s="75"/>
      <c r="K2606" s="38">
        <v>75000</v>
      </c>
      <c r="L2606" s="4" t="s">
        <v>29</v>
      </c>
      <c r="M2606" s="11">
        <v>2015</v>
      </c>
      <c r="N2606" s="42">
        <f t="shared" si="58"/>
        <v>79630.063291139231</v>
      </c>
      <c r="O2606" s="3">
        <v>2604</v>
      </c>
    </row>
    <row r="2607" spans="1:15" x14ac:dyDescent="0.25">
      <c r="A2607" s="3">
        <v>5</v>
      </c>
      <c r="B2607" s="3" t="s">
        <v>138</v>
      </c>
      <c r="C2607" s="3" t="s">
        <v>124</v>
      </c>
      <c r="D2607" s="3" t="s">
        <v>445</v>
      </c>
      <c r="E2607" s="11" t="s">
        <v>144</v>
      </c>
      <c r="F2607" s="3" t="s">
        <v>8</v>
      </c>
      <c r="G2607" s="48" t="s">
        <v>1096</v>
      </c>
      <c r="H2607" s="8"/>
      <c r="I2607" s="8"/>
      <c r="J2607" s="75"/>
      <c r="K2607" s="38">
        <v>84000</v>
      </c>
      <c r="L2607" s="4" t="s">
        <v>29</v>
      </c>
      <c r="M2607" s="11">
        <v>2015</v>
      </c>
      <c r="N2607" s="42">
        <f t="shared" si="58"/>
        <v>89185.670886075939</v>
      </c>
      <c r="O2607" s="3">
        <v>2605</v>
      </c>
    </row>
    <row r="2608" spans="1:15" x14ac:dyDescent="0.25">
      <c r="E2608" s="11"/>
      <c r="G2608" s="48"/>
      <c r="H2608" s="8"/>
      <c r="I2608" s="8"/>
      <c r="J2608" s="6"/>
      <c r="L2608" s="4"/>
      <c r="O2608" s="3">
        <v>2606</v>
      </c>
    </row>
    <row r="2609" spans="1:15" x14ac:dyDescent="0.25">
      <c r="A2609" s="3">
        <v>5</v>
      </c>
      <c r="B2609" s="3" t="s">
        <v>125</v>
      </c>
      <c r="C2609" s="3" t="s">
        <v>124</v>
      </c>
      <c r="D2609" s="3" t="s">
        <v>445</v>
      </c>
      <c r="E2609" s="11" t="s">
        <v>144</v>
      </c>
      <c r="F2609" s="3" t="s">
        <v>8</v>
      </c>
      <c r="G2609" s="48" t="s">
        <v>32</v>
      </c>
      <c r="H2609" s="8"/>
      <c r="I2609" s="8"/>
      <c r="J2609" s="6" t="s">
        <v>110</v>
      </c>
      <c r="K2609" s="38">
        <v>308495</v>
      </c>
      <c r="L2609" s="4" t="s">
        <v>29</v>
      </c>
      <c r="M2609" s="11">
        <f>_xlfn.NUMBERVALUE(LEFT(Table613[[#This Row],[Fiscal Year]], 4))</f>
        <v>2015</v>
      </c>
      <c r="N2609" s="42">
        <f t="shared" si="58"/>
        <v>327539.685</v>
      </c>
      <c r="O2609" s="3">
        <v>2607</v>
      </c>
    </row>
    <row r="2610" spans="1:15" x14ac:dyDescent="0.25">
      <c r="A2610" s="3">
        <v>5</v>
      </c>
      <c r="B2610" s="3" t="s">
        <v>125</v>
      </c>
      <c r="C2610" s="3" t="s">
        <v>124</v>
      </c>
      <c r="D2610" s="3" t="s">
        <v>445</v>
      </c>
      <c r="E2610" s="11" t="s">
        <v>144</v>
      </c>
      <c r="F2610" s="3" t="s">
        <v>8</v>
      </c>
      <c r="G2610" s="61" t="s">
        <v>136</v>
      </c>
      <c r="H2610" s="8" t="s">
        <v>544</v>
      </c>
      <c r="I2610" s="8" t="s">
        <v>536</v>
      </c>
      <c r="J2610" s="6" t="s">
        <v>455</v>
      </c>
      <c r="K2610" s="38">
        <v>249423</v>
      </c>
      <c r="L2610" s="4" t="s">
        <v>29</v>
      </c>
      <c r="M2610" s="11">
        <f>_xlfn.NUMBERVALUE(LEFT(Table613[[#This Row],[Fiscal Year]], 4))</f>
        <v>2015</v>
      </c>
      <c r="N2610" s="42">
        <f t="shared" si="58"/>
        <v>264820.92368354427</v>
      </c>
      <c r="O2610" s="3">
        <v>2608</v>
      </c>
    </row>
    <row r="2611" spans="1:15" x14ac:dyDescent="0.25">
      <c r="A2611" s="3">
        <v>5</v>
      </c>
      <c r="B2611" s="3" t="s">
        <v>125</v>
      </c>
      <c r="C2611" s="3" t="s">
        <v>124</v>
      </c>
      <c r="D2611" s="3" t="s">
        <v>445</v>
      </c>
      <c r="E2611" s="11" t="s">
        <v>144</v>
      </c>
      <c r="F2611" s="3" t="s">
        <v>8</v>
      </c>
      <c r="G2611" s="48" t="s">
        <v>130</v>
      </c>
      <c r="H2611" s="8" t="s">
        <v>545</v>
      </c>
      <c r="I2611" s="8" t="s">
        <v>536</v>
      </c>
      <c r="J2611" s="6" t="s">
        <v>109</v>
      </c>
      <c r="K2611" s="38">
        <v>30193</v>
      </c>
      <c r="L2611" s="4" t="s">
        <v>29</v>
      </c>
      <c r="M2611" s="11">
        <f>_xlfn.NUMBERVALUE(LEFT(Table613[[#This Row],[Fiscal Year]], 4))</f>
        <v>2015</v>
      </c>
      <c r="N2611" s="42">
        <f t="shared" si="58"/>
        <v>32056.940012658226</v>
      </c>
      <c r="O2611" s="3">
        <v>2609</v>
      </c>
    </row>
    <row r="2612" spans="1:15" x14ac:dyDescent="0.25">
      <c r="A2612" s="3">
        <v>5</v>
      </c>
      <c r="B2612" s="3" t="s">
        <v>125</v>
      </c>
      <c r="C2612" s="3" t="s">
        <v>124</v>
      </c>
      <c r="D2612" s="3" t="s">
        <v>445</v>
      </c>
      <c r="E2612" s="11" t="s">
        <v>144</v>
      </c>
      <c r="F2612" s="3" t="s">
        <v>8</v>
      </c>
      <c r="G2612" s="48" t="s">
        <v>137</v>
      </c>
      <c r="H2612" s="8"/>
      <c r="I2612" s="8"/>
      <c r="J2612" s="6" t="s">
        <v>108</v>
      </c>
      <c r="K2612" s="38">
        <v>253616</v>
      </c>
      <c r="L2612" s="4" t="s">
        <v>29</v>
      </c>
      <c r="M2612" s="11">
        <f>_xlfn.NUMBERVALUE(LEFT(Table613[[#This Row],[Fiscal Year]], 4))</f>
        <v>2015</v>
      </c>
      <c r="N2612" s="42">
        <f t="shared" si="58"/>
        <v>269272.77508860757</v>
      </c>
      <c r="O2612" s="3">
        <v>2610</v>
      </c>
    </row>
    <row r="2613" spans="1:15" x14ac:dyDescent="0.25">
      <c r="A2613" s="3">
        <v>5</v>
      </c>
      <c r="B2613" s="3" t="s">
        <v>125</v>
      </c>
      <c r="C2613" s="3" t="s">
        <v>124</v>
      </c>
      <c r="D2613" s="3" t="s">
        <v>445</v>
      </c>
      <c r="E2613" s="11" t="s">
        <v>144</v>
      </c>
      <c r="F2613" s="3" t="s">
        <v>8</v>
      </c>
      <c r="G2613" s="48" t="s">
        <v>68</v>
      </c>
      <c r="H2613" s="8" t="s">
        <v>546</v>
      </c>
      <c r="I2613" s="8" t="s">
        <v>536</v>
      </c>
      <c r="J2613" s="6" t="s">
        <v>42</v>
      </c>
      <c r="K2613" s="38">
        <v>28880</v>
      </c>
      <c r="L2613" s="4" t="s">
        <v>29</v>
      </c>
      <c r="M2613" s="11">
        <f>_xlfn.NUMBERVALUE(LEFT(Table613[[#This Row],[Fiscal Year]], 4))</f>
        <v>2015</v>
      </c>
      <c r="N2613" s="42">
        <f t="shared" si="58"/>
        <v>30662.883037974683</v>
      </c>
      <c r="O2613" s="3">
        <v>2611</v>
      </c>
    </row>
    <row r="2614" spans="1:15" x14ac:dyDescent="0.25">
      <c r="A2614" s="3">
        <v>5</v>
      </c>
      <c r="B2614" s="3" t="s">
        <v>125</v>
      </c>
      <c r="C2614" s="3" t="s">
        <v>124</v>
      </c>
      <c r="D2614" s="3" t="s">
        <v>445</v>
      </c>
      <c r="E2614" s="11" t="s">
        <v>144</v>
      </c>
      <c r="F2614" s="3" t="s">
        <v>8</v>
      </c>
      <c r="G2614" s="61" t="s">
        <v>135</v>
      </c>
      <c r="H2614" s="8"/>
      <c r="I2614" s="8"/>
      <c r="J2614" s="6" t="s">
        <v>455</v>
      </c>
      <c r="K2614" s="38">
        <v>39382</v>
      </c>
      <c r="L2614" s="4" t="s">
        <v>29</v>
      </c>
      <c r="M2614" s="11">
        <f>_xlfn.NUMBERVALUE(LEFT(Table613[[#This Row],[Fiscal Year]], 4))</f>
        <v>2015</v>
      </c>
      <c r="N2614" s="42">
        <f t="shared" si="58"/>
        <v>41813.215367088604</v>
      </c>
      <c r="O2614" s="3">
        <v>2612</v>
      </c>
    </row>
    <row r="2615" spans="1:15" x14ac:dyDescent="0.25">
      <c r="E2615" s="11"/>
      <c r="G2615" s="66"/>
      <c r="H2615" s="8"/>
      <c r="I2615" s="8"/>
      <c r="J2615" s="6"/>
      <c r="L2615" s="4"/>
      <c r="O2615" s="3">
        <v>2613</v>
      </c>
    </row>
    <row r="2616" spans="1:15" x14ac:dyDescent="0.25">
      <c r="A2616" s="3">
        <v>5</v>
      </c>
      <c r="B2616" s="3" t="s">
        <v>126</v>
      </c>
      <c r="C2616" s="3" t="s">
        <v>124</v>
      </c>
      <c r="D2616" s="3" t="s">
        <v>445</v>
      </c>
      <c r="E2616" s="11" t="s">
        <v>144</v>
      </c>
      <c r="F2616" s="3" t="s">
        <v>8</v>
      </c>
      <c r="G2616" s="48" t="s">
        <v>1097</v>
      </c>
      <c r="H2616" s="8" t="s">
        <v>547</v>
      </c>
      <c r="I2616" s="8" t="s">
        <v>536</v>
      </c>
      <c r="J2616" s="6" t="s">
        <v>110</v>
      </c>
      <c r="K2616" s="38">
        <v>170081</v>
      </c>
      <c r="L2616" s="4" t="s">
        <v>29</v>
      </c>
      <c r="M2616" s="11">
        <f>_xlfn.NUMBERVALUE(LEFT(Table613[[#This Row],[Fiscal Year]], 4))</f>
        <v>2015</v>
      </c>
      <c r="N2616" s="42">
        <f t="shared" si="58"/>
        <v>180580.81059493669</v>
      </c>
      <c r="O2616" s="3">
        <v>2614</v>
      </c>
    </row>
    <row r="2617" spans="1:15" x14ac:dyDescent="0.25">
      <c r="A2617" s="3">
        <v>5</v>
      </c>
      <c r="B2617" s="3" t="s">
        <v>126</v>
      </c>
      <c r="C2617" s="3" t="s">
        <v>124</v>
      </c>
      <c r="D2617" s="3" t="s">
        <v>445</v>
      </c>
      <c r="E2617" s="11" t="s">
        <v>144</v>
      </c>
      <c r="F2617" s="3" t="s">
        <v>8</v>
      </c>
      <c r="G2617" s="48" t="s">
        <v>1098</v>
      </c>
      <c r="H2617" s="8"/>
      <c r="I2617" s="8"/>
      <c r="J2617" s="6" t="s">
        <v>110</v>
      </c>
      <c r="K2617" s="38">
        <v>50695</v>
      </c>
      <c r="L2617" s="4" t="s">
        <v>29</v>
      </c>
      <c r="M2617" s="11">
        <f>_xlfn.NUMBERVALUE(LEFT(Table613[[#This Row],[Fiscal Year]], 4))</f>
        <v>2015</v>
      </c>
      <c r="N2617" s="42">
        <f t="shared" si="58"/>
        <v>53824.61411392405</v>
      </c>
      <c r="O2617" s="3">
        <v>2615</v>
      </c>
    </row>
    <row r="2618" spans="1:15" x14ac:dyDescent="0.25">
      <c r="A2618" s="3">
        <v>5</v>
      </c>
      <c r="B2618" s="3" t="s">
        <v>126</v>
      </c>
      <c r="C2618" s="3" t="s">
        <v>124</v>
      </c>
      <c r="D2618" s="3" t="s">
        <v>445</v>
      </c>
      <c r="E2618" s="11" t="s">
        <v>144</v>
      </c>
      <c r="F2618" s="3" t="s">
        <v>8</v>
      </c>
      <c r="G2618" s="48" t="s">
        <v>1099</v>
      </c>
      <c r="H2618" s="8"/>
      <c r="I2618" s="8"/>
      <c r="J2618" s="6" t="s">
        <v>76</v>
      </c>
      <c r="K2618" s="38">
        <v>12941</v>
      </c>
      <c r="L2618" s="4" t="s">
        <v>29</v>
      </c>
      <c r="M2618" s="11">
        <f>_xlfn.NUMBERVALUE(LEFT(Table613[[#This Row],[Fiscal Year]], 4))</f>
        <v>2015</v>
      </c>
      <c r="N2618" s="42">
        <f t="shared" si="58"/>
        <v>13739.901987341771</v>
      </c>
      <c r="O2618" s="3">
        <v>2616</v>
      </c>
    </row>
    <row r="2619" spans="1:15" x14ac:dyDescent="0.25">
      <c r="A2619" s="3">
        <v>5</v>
      </c>
      <c r="B2619" s="3" t="s">
        <v>126</v>
      </c>
      <c r="C2619" s="3" t="s">
        <v>124</v>
      </c>
      <c r="D2619" s="3" t="s">
        <v>445</v>
      </c>
      <c r="E2619" s="11" t="s">
        <v>144</v>
      </c>
      <c r="F2619" s="3" t="s">
        <v>8</v>
      </c>
      <c r="G2619" s="61" t="s">
        <v>1100</v>
      </c>
      <c r="H2619" s="8" t="s">
        <v>548</v>
      </c>
      <c r="I2619" s="8" t="s">
        <v>536</v>
      </c>
      <c r="J2619" s="6" t="s">
        <v>108</v>
      </c>
      <c r="K2619" s="38">
        <v>304570</v>
      </c>
      <c r="L2619" s="4" t="s">
        <v>29</v>
      </c>
      <c r="M2619" s="11">
        <f>_xlfn.NUMBERVALUE(LEFT(Table613[[#This Row],[Fiscal Year]], 4))</f>
        <v>2015</v>
      </c>
      <c r="N2619" s="42">
        <f t="shared" si="58"/>
        <v>323372.37835443037</v>
      </c>
      <c r="O2619" s="3">
        <v>2617</v>
      </c>
    </row>
    <row r="2620" spans="1:15" x14ac:dyDescent="0.25">
      <c r="A2620" s="3">
        <v>5</v>
      </c>
      <c r="B2620" s="3" t="s">
        <v>126</v>
      </c>
      <c r="C2620" s="3" t="s">
        <v>124</v>
      </c>
      <c r="D2620" s="3" t="s">
        <v>445</v>
      </c>
      <c r="E2620" s="11" t="s">
        <v>144</v>
      </c>
      <c r="F2620" s="3" t="s">
        <v>8</v>
      </c>
      <c r="G2620" s="48" t="s">
        <v>1101</v>
      </c>
      <c r="H2620" s="8"/>
      <c r="I2620" s="8"/>
      <c r="J2620" s="6" t="s">
        <v>108</v>
      </c>
      <c r="K2620" s="38">
        <v>222614</v>
      </c>
      <c r="L2620" s="4" t="s">
        <v>29</v>
      </c>
      <c r="M2620" s="11">
        <f>_xlfn.NUMBERVALUE(LEFT(Table613[[#This Row],[Fiscal Year]], 4))</f>
        <v>2015</v>
      </c>
      <c r="N2620" s="42">
        <f t="shared" si="58"/>
        <v>236356.89212658227</v>
      </c>
      <c r="O2620" s="3">
        <v>2618</v>
      </c>
    </row>
    <row r="2621" spans="1:15" x14ac:dyDescent="0.25">
      <c r="A2621" s="3">
        <v>5</v>
      </c>
      <c r="B2621" s="3" t="s">
        <v>126</v>
      </c>
      <c r="C2621" s="3" t="s">
        <v>124</v>
      </c>
      <c r="D2621" s="3" t="s">
        <v>445</v>
      </c>
      <c r="E2621" s="11" t="s">
        <v>144</v>
      </c>
      <c r="F2621" s="3" t="s">
        <v>8</v>
      </c>
      <c r="G2621" s="48" t="s">
        <v>1102</v>
      </c>
      <c r="H2621" s="8"/>
      <c r="I2621" s="8"/>
      <c r="J2621" s="6" t="s">
        <v>110</v>
      </c>
      <c r="K2621" s="38">
        <v>325</v>
      </c>
      <c r="L2621" s="4" t="s">
        <v>29</v>
      </c>
      <c r="M2621" s="11">
        <f>_xlfn.NUMBERVALUE(LEFT(Table613[[#This Row],[Fiscal Year]], 4))</f>
        <v>2015</v>
      </c>
      <c r="N2621" s="42">
        <f t="shared" si="58"/>
        <v>345.06360759493668</v>
      </c>
      <c r="O2621" s="3">
        <v>2619</v>
      </c>
    </row>
    <row r="2622" spans="1:15" x14ac:dyDescent="0.25">
      <c r="A2622" s="3">
        <v>5</v>
      </c>
      <c r="B2622" s="3" t="s">
        <v>126</v>
      </c>
      <c r="C2622" s="3" t="s">
        <v>124</v>
      </c>
      <c r="D2622" s="3" t="s">
        <v>445</v>
      </c>
      <c r="E2622" s="11" t="s">
        <v>144</v>
      </c>
      <c r="F2622" s="3" t="s">
        <v>8</v>
      </c>
      <c r="G2622" s="48" t="s">
        <v>1103</v>
      </c>
      <c r="H2622" s="8" t="s">
        <v>629</v>
      </c>
      <c r="I2622" s="8" t="s">
        <v>630</v>
      </c>
      <c r="J2622" s="6" t="s">
        <v>455</v>
      </c>
      <c r="K2622" s="38" t="s">
        <v>827</v>
      </c>
      <c r="L2622" s="4" t="s">
        <v>29</v>
      </c>
      <c r="M2622" s="11">
        <f>_xlfn.NUMBERVALUE(LEFT(Table613[[#This Row],[Fiscal Year]], 4))</f>
        <v>2015</v>
      </c>
      <c r="O2622" s="3">
        <v>2620</v>
      </c>
    </row>
    <row r="2623" spans="1:15" x14ac:dyDescent="0.25">
      <c r="A2623" s="3">
        <v>5</v>
      </c>
      <c r="B2623" s="3" t="s">
        <v>126</v>
      </c>
      <c r="C2623" s="3" t="s">
        <v>124</v>
      </c>
      <c r="D2623" s="3" t="s">
        <v>445</v>
      </c>
      <c r="E2623" s="11" t="s">
        <v>144</v>
      </c>
      <c r="F2623" s="3" t="s">
        <v>8</v>
      </c>
      <c r="G2623" s="48" t="s">
        <v>1104</v>
      </c>
      <c r="H2623" s="8" t="s">
        <v>529</v>
      </c>
      <c r="I2623" s="8"/>
      <c r="J2623" s="6" t="s">
        <v>47</v>
      </c>
      <c r="K2623" s="38">
        <v>24210</v>
      </c>
      <c r="L2623" s="4" t="s">
        <v>29</v>
      </c>
      <c r="M2623" s="11">
        <f>_xlfn.NUMBERVALUE(LEFT(Table613[[#This Row],[Fiscal Year]], 4))</f>
        <v>2015</v>
      </c>
      <c r="N2623" s="42">
        <f t="shared" si="58"/>
        <v>25704.584430379746</v>
      </c>
      <c r="O2623" s="3">
        <v>2621</v>
      </c>
    </row>
    <row r="2624" spans="1:15" x14ac:dyDescent="0.25">
      <c r="A2624" s="3">
        <v>5</v>
      </c>
      <c r="B2624" s="3" t="s">
        <v>126</v>
      </c>
      <c r="C2624" s="3" t="s">
        <v>124</v>
      </c>
      <c r="D2624" s="3" t="s">
        <v>445</v>
      </c>
      <c r="E2624" s="11" t="s">
        <v>144</v>
      </c>
      <c r="F2624" s="3" t="s">
        <v>8</v>
      </c>
      <c r="G2624" s="48" t="s">
        <v>1105</v>
      </c>
      <c r="H2624" s="8"/>
      <c r="I2624" s="8"/>
      <c r="J2624" s="6" t="s">
        <v>42</v>
      </c>
      <c r="K2624" s="38">
        <v>12695</v>
      </c>
      <c r="L2624" s="4" t="s">
        <v>29</v>
      </c>
      <c r="M2624" s="11">
        <f>_xlfn.NUMBERVALUE(LEFT(Table613[[#This Row],[Fiscal Year]], 4))</f>
        <v>2015</v>
      </c>
      <c r="N2624" s="42">
        <f t="shared" si="58"/>
        <v>13478.715379746835</v>
      </c>
      <c r="O2624" s="3">
        <v>2622</v>
      </c>
    </row>
    <row r="2625" spans="1:15" x14ac:dyDescent="0.25">
      <c r="A2625" s="3">
        <v>5</v>
      </c>
      <c r="B2625" s="3" t="s">
        <v>126</v>
      </c>
      <c r="C2625" s="3" t="s">
        <v>124</v>
      </c>
      <c r="D2625" s="3" t="s">
        <v>445</v>
      </c>
      <c r="E2625" s="11" t="s">
        <v>144</v>
      </c>
      <c r="F2625" s="3" t="s">
        <v>8</v>
      </c>
      <c r="G2625" s="48" t="s">
        <v>1106</v>
      </c>
      <c r="H2625" s="8"/>
      <c r="I2625" s="8"/>
      <c r="J2625" s="6" t="s">
        <v>111</v>
      </c>
      <c r="K2625" s="38">
        <v>0</v>
      </c>
      <c r="L2625" s="4" t="s">
        <v>29</v>
      </c>
      <c r="M2625" s="11">
        <f>_xlfn.NUMBERVALUE(LEFT(Table613[[#This Row],[Fiscal Year]], 4))</f>
        <v>2015</v>
      </c>
      <c r="N2625" s="42">
        <f t="shared" si="58"/>
        <v>0</v>
      </c>
      <c r="O2625" s="3">
        <v>2623</v>
      </c>
    </row>
    <row r="2626" spans="1:15" x14ac:dyDescent="0.25">
      <c r="A2626" s="3">
        <v>5</v>
      </c>
      <c r="B2626" s="3" t="s">
        <v>126</v>
      </c>
      <c r="C2626" s="3" t="s">
        <v>124</v>
      </c>
      <c r="D2626" s="3" t="s">
        <v>445</v>
      </c>
      <c r="E2626" s="11" t="s">
        <v>144</v>
      </c>
      <c r="F2626" s="3" t="s">
        <v>8</v>
      </c>
      <c r="G2626" s="48" t="s">
        <v>1107</v>
      </c>
      <c r="H2626" s="8" t="s">
        <v>549</v>
      </c>
      <c r="I2626" s="8"/>
      <c r="J2626" s="6" t="s">
        <v>110</v>
      </c>
      <c r="K2626" s="38">
        <v>23982</v>
      </c>
      <c r="L2626" s="4" t="s">
        <v>29</v>
      </c>
      <c r="M2626" s="11">
        <f>_xlfn.NUMBERVALUE(LEFT(Table613[[#This Row],[Fiscal Year]], 4))</f>
        <v>2015</v>
      </c>
      <c r="N2626" s="42">
        <f t="shared" si="58"/>
        <v>25462.509037974683</v>
      </c>
      <c r="O2626" s="3">
        <v>2624</v>
      </c>
    </row>
    <row r="2627" spans="1:15" x14ac:dyDescent="0.25">
      <c r="A2627" s="3">
        <v>5</v>
      </c>
      <c r="B2627" s="3" t="s">
        <v>126</v>
      </c>
      <c r="C2627" s="3" t="s">
        <v>124</v>
      </c>
      <c r="D2627" s="3" t="s">
        <v>445</v>
      </c>
      <c r="E2627" s="11" t="s">
        <v>144</v>
      </c>
      <c r="F2627" s="3" t="s">
        <v>8</v>
      </c>
      <c r="G2627" s="48" t="s">
        <v>1108</v>
      </c>
      <c r="H2627" s="8"/>
      <c r="I2627" s="8"/>
      <c r="J2627" s="6" t="s">
        <v>105</v>
      </c>
      <c r="K2627" s="38">
        <v>1000</v>
      </c>
      <c r="L2627" s="4" t="s">
        <v>29</v>
      </c>
      <c r="M2627" s="11">
        <f>_xlfn.NUMBERVALUE(LEFT(Table613[[#This Row],[Fiscal Year]], 4))</f>
        <v>2015</v>
      </c>
      <c r="N2627" s="42">
        <f t="shared" si="58"/>
        <v>1061.7341772151899</v>
      </c>
      <c r="O2627" s="3">
        <v>2625</v>
      </c>
    </row>
    <row r="2628" spans="1:15" x14ac:dyDescent="0.25">
      <c r="A2628" s="3">
        <v>5</v>
      </c>
      <c r="B2628" s="3" t="s">
        <v>126</v>
      </c>
      <c r="C2628" s="3" t="s">
        <v>124</v>
      </c>
      <c r="D2628" s="3" t="s">
        <v>445</v>
      </c>
      <c r="E2628" s="11" t="s">
        <v>144</v>
      </c>
      <c r="F2628" s="3" t="s">
        <v>8</v>
      </c>
      <c r="G2628" s="48" t="s">
        <v>1109</v>
      </c>
      <c r="H2628" s="8"/>
      <c r="I2628" s="8"/>
      <c r="J2628" s="6" t="s">
        <v>110</v>
      </c>
      <c r="K2628" s="38">
        <v>1155</v>
      </c>
      <c r="L2628" s="4" t="s">
        <v>29</v>
      </c>
      <c r="M2628" s="11">
        <f>_xlfn.NUMBERVALUE(LEFT(Table613[[#This Row],[Fiscal Year]], 4))</f>
        <v>2015</v>
      </c>
      <c r="N2628" s="42">
        <f t="shared" si="58"/>
        <v>1226.3029746835443</v>
      </c>
      <c r="O2628" s="3">
        <v>2626</v>
      </c>
    </row>
    <row r="2629" spans="1:15" x14ac:dyDescent="0.25">
      <c r="E2629" s="11"/>
      <c r="G2629" s="66"/>
      <c r="H2629" s="8"/>
      <c r="I2629" s="8"/>
      <c r="J2629" s="6"/>
      <c r="L2629" s="4"/>
      <c r="O2629" s="3">
        <v>2627</v>
      </c>
    </row>
    <row r="2630" spans="1:15" x14ac:dyDescent="0.25">
      <c r="A2630" s="3">
        <v>5</v>
      </c>
      <c r="B2630" s="3" t="s">
        <v>140</v>
      </c>
      <c r="C2630" s="3" t="s">
        <v>124</v>
      </c>
      <c r="D2630" s="3" t="s">
        <v>445</v>
      </c>
      <c r="E2630" s="11" t="s">
        <v>144</v>
      </c>
      <c r="F2630" s="3" t="s">
        <v>8</v>
      </c>
      <c r="G2630" s="48" t="s">
        <v>1072</v>
      </c>
      <c r="H2630" s="8"/>
      <c r="I2630" s="8"/>
      <c r="J2630" s="6" t="s">
        <v>110</v>
      </c>
      <c r="K2630" s="38">
        <v>513497</v>
      </c>
      <c r="L2630" s="4" t="s">
        <v>30</v>
      </c>
      <c r="M2630" s="11">
        <f>_xlfn.NUMBERVALUE(LEFT(Table613[[#This Row],[Fiscal Year]], 4))</f>
        <v>2014</v>
      </c>
      <c r="N2630" s="42">
        <f t="shared" si="58"/>
        <v>545888.31266159704</v>
      </c>
      <c r="O2630" s="3">
        <v>2628</v>
      </c>
    </row>
    <row r="2631" spans="1:15" x14ac:dyDescent="0.25">
      <c r="A2631" s="3">
        <v>5</v>
      </c>
      <c r="B2631" s="3" t="s">
        <v>140</v>
      </c>
      <c r="C2631" s="3" t="s">
        <v>124</v>
      </c>
      <c r="D2631" s="3" t="s">
        <v>445</v>
      </c>
      <c r="E2631" s="11" t="s">
        <v>144</v>
      </c>
      <c r="F2631" s="3" t="s">
        <v>8</v>
      </c>
      <c r="G2631" s="48" t="s">
        <v>1073</v>
      </c>
      <c r="H2631" s="8" t="s">
        <v>550</v>
      </c>
      <c r="I2631" s="8" t="s">
        <v>536</v>
      </c>
      <c r="J2631" s="6" t="s">
        <v>107</v>
      </c>
      <c r="K2631" s="38">
        <v>4930</v>
      </c>
      <c r="L2631" s="4" t="s">
        <v>30</v>
      </c>
      <c r="M2631" s="11">
        <f>_xlfn.NUMBERVALUE(LEFT(Table613[[#This Row],[Fiscal Year]], 4))</f>
        <v>2014</v>
      </c>
      <c r="N2631" s="42">
        <f t="shared" si="58"/>
        <v>5240.9836501901145</v>
      </c>
      <c r="O2631" s="3">
        <v>2629</v>
      </c>
    </row>
    <row r="2632" spans="1:15" x14ac:dyDescent="0.25">
      <c r="A2632" s="3">
        <v>5</v>
      </c>
      <c r="B2632" s="3" t="s">
        <v>140</v>
      </c>
      <c r="C2632" s="3" t="s">
        <v>124</v>
      </c>
      <c r="D2632" s="3" t="s">
        <v>445</v>
      </c>
      <c r="E2632" s="11" t="s">
        <v>144</v>
      </c>
      <c r="F2632" s="3" t="s">
        <v>8</v>
      </c>
      <c r="G2632" s="48" t="s">
        <v>1074</v>
      </c>
      <c r="H2632" s="8" t="s">
        <v>551</v>
      </c>
      <c r="I2632" s="8" t="s">
        <v>536</v>
      </c>
      <c r="J2632" s="6" t="s">
        <v>109</v>
      </c>
      <c r="K2632" s="38" t="s">
        <v>1117</v>
      </c>
      <c r="L2632" s="4" t="s">
        <v>30</v>
      </c>
      <c r="M2632" s="11">
        <f>_xlfn.NUMBERVALUE(LEFT(Table613[[#This Row],[Fiscal Year]], 4))</f>
        <v>2014</v>
      </c>
      <c r="O2632" s="3">
        <v>2630</v>
      </c>
    </row>
    <row r="2633" spans="1:15" x14ac:dyDescent="0.25">
      <c r="A2633" s="3">
        <v>5</v>
      </c>
      <c r="B2633" s="3" t="s">
        <v>140</v>
      </c>
      <c r="C2633" s="3" t="s">
        <v>124</v>
      </c>
      <c r="D2633" s="3" t="s">
        <v>445</v>
      </c>
      <c r="E2633" s="11" t="s">
        <v>144</v>
      </c>
      <c r="F2633" s="3" t="s">
        <v>8</v>
      </c>
      <c r="G2633" s="48" t="s">
        <v>1075</v>
      </c>
      <c r="H2633" s="8" t="s">
        <v>539</v>
      </c>
      <c r="I2633" s="8" t="s">
        <v>536</v>
      </c>
      <c r="J2633" s="6" t="s">
        <v>108</v>
      </c>
      <c r="K2633" s="38">
        <v>1108167</v>
      </c>
      <c r="L2633" s="4" t="s">
        <v>30</v>
      </c>
      <c r="M2633" s="11">
        <f>_xlfn.NUMBERVALUE(LEFT(Table613[[#This Row],[Fiscal Year]], 4))</f>
        <v>2014</v>
      </c>
      <c r="N2633" s="42">
        <f t="shared" si="58"/>
        <v>1178070.0058174906</v>
      </c>
      <c r="O2633" s="3">
        <v>2631</v>
      </c>
    </row>
    <row r="2634" spans="1:15" x14ac:dyDescent="0.25">
      <c r="A2634" s="3">
        <v>5</v>
      </c>
      <c r="B2634" s="3" t="s">
        <v>140</v>
      </c>
      <c r="C2634" s="3" t="s">
        <v>124</v>
      </c>
      <c r="D2634" s="3" t="s">
        <v>445</v>
      </c>
      <c r="E2634" s="11" t="s">
        <v>144</v>
      </c>
      <c r="F2634" s="3" t="s">
        <v>8</v>
      </c>
      <c r="G2634" s="48" t="s">
        <v>1076</v>
      </c>
      <c r="H2634" s="8" t="s">
        <v>541</v>
      </c>
      <c r="I2634" s="8" t="s">
        <v>536</v>
      </c>
      <c r="J2634" s="6" t="s">
        <v>106</v>
      </c>
      <c r="K2634" s="38" t="s">
        <v>1118</v>
      </c>
      <c r="L2634" s="4" t="s">
        <v>30</v>
      </c>
      <c r="M2634" s="11">
        <f>_xlfn.NUMBERVALUE(LEFT(Table613[[#This Row],[Fiscal Year]], 4))</f>
        <v>2014</v>
      </c>
      <c r="O2634" s="3">
        <v>2632</v>
      </c>
    </row>
    <row r="2635" spans="1:15" x14ac:dyDescent="0.25">
      <c r="A2635" s="3">
        <v>5</v>
      </c>
      <c r="B2635" s="3" t="s">
        <v>140</v>
      </c>
      <c r="C2635" s="3" t="s">
        <v>124</v>
      </c>
      <c r="D2635" s="3" t="s">
        <v>445</v>
      </c>
      <c r="E2635" s="11" t="s">
        <v>144</v>
      </c>
      <c r="F2635" s="3" t="s">
        <v>8</v>
      </c>
      <c r="G2635" s="48" t="s">
        <v>1111</v>
      </c>
      <c r="H2635" s="8" t="s">
        <v>552</v>
      </c>
      <c r="I2635" s="8" t="s">
        <v>536</v>
      </c>
      <c r="J2635" s="6" t="s">
        <v>42</v>
      </c>
      <c r="K2635" s="38">
        <v>30742</v>
      </c>
      <c r="L2635" s="4" t="s">
        <v>30</v>
      </c>
      <c r="M2635" s="11">
        <f>_xlfn.NUMBERVALUE(LEFT(Table613[[#This Row],[Fiscal Year]], 4))</f>
        <v>2014</v>
      </c>
      <c r="N2635" s="42">
        <f t="shared" si="58"/>
        <v>32681.200684410647</v>
      </c>
      <c r="O2635" s="3">
        <v>2633</v>
      </c>
    </row>
    <row r="2636" spans="1:15" x14ac:dyDescent="0.25">
      <c r="A2636" s="3">
        <v>5</v>
      </c>
      <c r="B2636" s="3" t="s">
        <v>140</v>
      </c>
      <c r="C2636" s="3" t="s">
        <v>124</v>
      </c>
      <c r="D2636" s="3" t="s">
        <v>445</v>
      </c>
      <c r="E2636" s="11" t="s">
        <v>144</v>
      </c>
      <c r="F2636" s="3" t="s">
        <v>8</v>
      </c>
      <c r="G2636" s="48" t="s">
        <v>1078</v>
      </c>
      <c r="H2636" s="8" t="s">
        <v>553</v>
      </c>
      <c r="I2636" s="8" t="s">
        <v>536</v>
      </c>
      <c r="J2636" s="6" t="s">
        <v>111</v>
      </c>
      <c r="K2636" s="38" t="s">
        <v>1119</v>
      </c>
      <c r="L2636" s="4" t="s">
        <v>30</v>
      </c>
      <c r="M2636" s="11">
        <f>_xlfn.NUMBERVALUE(LEFT(Table613[[#This Row],[Fiscal Year]], 4))</f>
        <v>2014</v>
      </c>
      <c r="O2636" s="3">
        <v>2634</v>
      </c>
    </row>
    <row r="2637" spans="1:15" x14ac:dyDescent="0.25">
      <c r="A2637" s="3">
        <v>5</v>
      </c>
      <c r="B2637" s="3" t="s">
        <v>140</v>
      </c>
      <c r="C2637" s="3" t="s">
        <v>124</v>
      </c>
      <c r="D2637" s="3" t="s">
        <v>445</v>
      </c>
      <c r="E2637" s="11" t="s">
        <v>144</v>
      </c>
      <c r="F2637" s="3" t="s">
        <v>8</v>
      </c>
      <c r="G2637" s="48" t="s">
        <v>1112</v>
      </c>
      <c r="H2637" s="8"/>
      <c r="I2637" s="8"/>
      <c r="J2637" s="6" t="s">
        <v>455</v>
      </c>
      <c r="K2637" s="38" t="s">
        <v>28</v>
      </c>
      <c r="L2637" s="4" t="s">
        <v>30</v>
      </c>
      <c r="M2637" s="11">
        <f>_xlfn.NUMBERVALUE(LEFT(Table613[[#This Row],[Fiscal Year]], 4))</f>
        <v>2014</v>
      </c>
      <c r="O2637" s="3">
        <v>2635</v>
      </c>
    </row>
    <row r="2638" spans="1:15" x14ac:dyDescent="0.25">
      <c r="A2638" s="3">
        <v>5</v>
      </c>
      <c r="B2638" s="3" t="s">
        <v>140</v>
      </c>
      <c r="C2638" s="3" t="s">
        <v>124</v>
      </c>
      <c r="D2638" s="3" t="s">
        <v>445</v>
      </c>
      <c r="E2638" s="11" t="s">
        <v>144</v>
      </c>
      <c r="F2638" s="3" t="s">
        <v>8</v>
      </c>
      <c r="G2638" s="48" t="s">
        <v>1113</v>
      </c>
      <c r="H2638" s="8"/>
      <c r="I2638" s="8"/>
      <c r="J2638" s="6" t="s">
        <v>455</v>
      </c>
      <c r="K2638" s="38">
        <v>0</v>
      </c>
      <c r="L2638" s="4" t="s">
        <v>30</v>
      </c>
      <c r="M2638" s="11">
        <f>_xlfn.NUMBERVALUE(LEFT(Table613[[#This Row],[Fiscal Year]], 4))</f>
        <v>2014</v>
      </c>
      <c r="N2638" s="42">
        <f>K2638*(1+VLOOKUP(M2638,$AF$8:$AH$31,3,0))</f>
        <v>0</v>
      </c>
      <c r="O2638" s="3">
        <v>2636</v>
      </c>
    </row>
    <row r="2639" spans="1:15" x14ac:dyDescent="0.25">
      <c r="A2639" s="3">
        <v>5</v>
      </c>
      <c r="B2639" s="3" t="s">
        <v>140</v>
      </c>
      <c r="C2639" s="3" t="s">
        <v>124</v>
      </c>
      <c r="D2639" s="3" t="s">
        <v>445</v>
      </c>
      <c r="E2639" s="11" t="s">
        <v>144</v>
      </c>
      <c r="F2639" s="3" t="s">
        <v>8</v>
      </c>
      <c r="G2639" s="48" t="s">
        <v>1114</v>
      </c>
      <c r="H2639" s="6" t="s">
        <v>631</v>
      </c>
      <c r="I2639" s="47" t="s">
        <v>628</v>
      </c>
      <c r="J2639" s="6" t="s">
        <v>455</v>
      </c>
      <c r="K2639" s="38">
        <v>782</v>
      </c>
      <c r="L2639" s="4" t="s">
        <v>30</v>
      </c>
      <c r="M2639" s="11">
        <f>_xlfn.NUMBERVALUE(LEFT(Table613[[#This Row],[Fiscal Year]], 4))</f>
        <v>2014</v>
      </c>
      <c r="N2639" s="42">
        <f t="shared" ref="N2639:N2694" si="59">K2639*(1+VLOOKUP(M2639,$AF$8:$AH$31,3,0))</f>
        <v>831.32844106463881</v>
      </c>
      <c r="O2639" s="3">
        <v>2637</v>
      </c>
    </row>
    <row r="2640" spans="1:15" x14ac:dyDescent="0.25">
      <c r="A2640" s="3">
        <v>5</v>
      </c>
      <c r="B2640" s="3" t="s">
        <v>140</v>
      </c>
      <c r="C2640" s="3" t="s">
        <v>124</v>
      </c>
      <c r="D2640" s="3" t="s">
        <v>445</v>
      </c>
      <c r="E2640" s="11" t="s">
        <v>144</v>
      </c>
      <c r="F2640" s="3" t="s">
        <v>8</v>
      </c>
      <c r="G2640" s="48" t="s">
        <v>1115</v>
      </c>
      <c r="H2640" s="8"/>
      <c r="I2640" s="8"/>
      <c r="J2640" s="6" t="s">
        <v>47</v>
      </c>
      <c r="K2640" s="38">
        <v>6507</v>
      </c>
      <c r="L2640" s="4" t="s">
        <v>30</v>
      </c>
      <c r="M2640" s="11">
        <f>_xlfn.NUMBERVALUE(LEFT(Table613[[#This Row],[Fiscal Year]], 4))</f>
        <v>2014</v>
      </c>
      <c r="N2640" s="42">
        <f t="shared" si="59"/>
        <v>6917.4605703422058</v>
      </c>
      <c r="O2640" s="3">
        <v>2638</v>
      </c>
    </row>
    <row r="2641" spans="1:15" x14ac:dyDescent="0.25">
      <c r="A2641" s="3">
        <v>5</v>
      </c>
      <c r="B2641" s="3" t="s">
        <v>140</v>
      </c>
      <c r="C2641" s="3" t="s">
        <v>124</v>
      </c>
      <c r="D2641" s="3" t="s">
        <v>445</v>
      </c>
      <c r="E2641" s="11" t="s">
        <v>144</v>
      </c>
      <c r="F2641" s="3" t="s">
        <v>8</v>
      </c>
      <c r="G2641" s="48" t="s">
        <v>1116</v>
      </c>
      <c r="H2641" s="8" t="s">
        <v>1110</v>
      </c>
      <c r="I2641" s="8" t="s">
        <v>502</v>
      </c>
      <c r="J2641" s="6" t="s">
        <v>42</v>
      </c>
      <c r="K2641" s="38">
        <v>4251</v>
      </c>
      <c r="L2641" s="4" t="s">
        <v>30</v>
      </c>
      <c r="M2641" s="11">
        <f>_xlfn.NUMBERVALUE(LEFT(Table613[[#This Row],[Fiscal Year]], 4))</f>
        <v>2014</v>
      </c>
      <c r="N2641" s="42">
        <f t="shared" si="59"/>
        <v>4519.1524334600763</v>
      </c>
      <c r="O2641" s="3">
        <v>2639</v>
      </c>
    </row>
    <row r="2642" spans="1:15" x14ac:dyDescent="0.25">
      <c r="E2642" s="11"/>
      <c r="G2642" s="66"/>
      <c r="H2642" s="8"/>
      <c r="I2642" s="8"/>
      <c r="J2642" s="6"/>
      <c r="L2642" s="4"/>
      <c r="O2642" s="3">
        <v>2640</v>
      </c>
    </row>
    <row r="2643" spans="1:15" x14ac:dyDescent="0.25">
      <c r="A2643" s="3">
        <v>5</v>
      </c>
      <c r="B2643" s="3" t="s">
        <v>416</v>
      </c>
      <c r="C2643" s="3" t="s">
        <v>417</v>
      </c>
      <c r="D2643" s="3" t="s">
        <v>445</v>
      </c>
      <c r="E2643" s="11" t="s">
        <v>144</v>
      </c>
      <c r="F2643" s="3" t="s">
        <v>8</v>
      </c>
      <c r="G2643" s="61" t="s">
        <v>32</v>
      </c>
      <c r="H2643" s="8" t="s">
        <v>1120</v>
      </c>
      <c r="I2643" s="8" t="s">
        <v>429</v>
      </c>
      <c r="J2643" s="6" t="s">
        <v>110</v>
      </c>
      <c r="K2643" s="38">
        <v>1478952</v>
      </c>
      <c r="L2643" s="4" t="s">
        <v>25</v>
      </c>
      <c r="M2643" s="11">
        <f>_xlfn.NUMBERVALUE(LEFT(Table613[[#This Row],[Fiscal Year]], 4))</f>
        <v>2017</v>
      </c>
      <c r="N2643" s="42">
        <f t="shared" si="59"/>
        <v>1518360.5496205632</v>
      </c>
      <c r="O2643" s="3">
        <v>2641</v>
      </c>
    </row>
    <row r="2644" spans="1:15" x14ac:dyDescent="0.25">
      <c r="A2644" s="3">
        <v>5</v>
      </c>
      <c r="B2644" s="3" t="s">
        <v>416</v>
      </c>
      <c r="C2644" s="3" t="s">
        <v>417</v>
      </c>
      <c r="D2644" s="3" t="s">
        <v>445</v>
      </c>
      <c r="E2644" s="11" t="s">
        <v>144</v>
      </c>
      <c r="F2644" s="3" t="s">
        <v>8</v>
      </c>
      <c r="G2644" s="61" t="s">
        <v>68</v>
      </c>
      <c r="H2644" s="8" t="s">
        <v>554</v>
      </c>
      <c r="I2644" s="8" t="s">
        <v>536</v>
      </c>
      <c r="J2644" s="6" t="s">
        <v>42</v>
      </c>
      <c r="K2644" s="38">
        <v>4008</v>
      </c>
      <c r="L2644" s="4" t="s">
        <v>25</v>
      </c>
      <c r="M2644" s="11">
        <f>_xlfn.NUMBERVALUE(LEFT(Table613[[#This Row],[Fiscal Year]], 4))</f>
        <v>2017</v>
      </c>
      <c r="N2644" s="42">
        <f t="shared" si="59"/>
        <v>4114.7982374541007</v>
      </c>
      <c r="O2644" s="3">
        <v>2642</v>
      </c>
    </row>
    <row r="2645" spans="1:15" x14ac:dyDescent="0.25">
      <c r="A2645" s="3">
        <v>5</v>
      </c>
      <c r="B2645" s="3" t="s">
        <v>416</v>
      </c>
      <c r="C2645" s="3" t="s">
        <v>417</v>
      </c>
      <c r="D2645" s="3" t="s">
        <v>445</v>
      </c>
      <c r="E2645" s="11" t="s">
        <v>144</v>
      </c>
      <c r="F2645" s="3" t="s">
        <v>8</v>
      </c>
      <c r="G2645" s="61" t="s">
        <v>127</v>
      </c>
      <c r="H2645" s="8" t="s">
        <v>555</v>
      </c>
      <c r="I2645" s="47" t="s">
        <v>556</v>
      </c>
      <c r="J2645" s="6" t="s">
        <v>108</v>
      </c>
      <c r="K2645" s="38">
        <v>2948593</v>
      </c>
      <c r="L2645" s="4" t="s">
        <v>25</v>
      </c>
      <c r="M2645" s="11">
        <f>_xlfn.NUMBERVALUE(LEFT(Table613[[#This Row],[Fiscal Year]], 4))</f>
        <v>2017</v>
      </c>
      <c r="N2645" s="42">
        <f t="shared" si="59"/>
        <v>3027161.9958506734</v>
      </c>
      <c r="O2645" s="3">
        <v>2643</v>
      </c>
    </row>
    <row r="2646" spans="1:15" x14ac:dyDescent="0.25">
      <c r="A2646" s="3">
        <v>5</v>
      </c>
      <c r="B2646" s="3" t="s">
        <v>416</v>
      </c>
      <c r="C2646" s="3" t="s">
        <v>417</v>
      </c>
      <c r="D2646" s="3" t="s">
        <v>445</v>
      </c>
      <c r="E2646" s="11" t="s">
        <v>144</v>
      </c>
      <c r="F2646" s="3" t="s">
        <v>8</v>
      </c>
      <c r="G2646" s="61" t="s">
        <v>334</v>
      </c>
      <c r="H2646" s="8" t="s">
        <v>559</v>
      </c>
      <c r="I2646" s="8" t="s">
        <v>557</v>
      </c>
      <c r="J2646" s="6" t="s">
        <v>109</v>
      </c>
      <c r="K2646" s="38">
        <v>3281</v>
      </c>
      <c r="L2646" s="4" t="s">
        <v>25</v>
      </c>
      <c r="M2646" s="11">
        <f>_xlfn.NUMBERVALUE(LEFT(Table613[[#This Row],[Fiscal Year]], 4))</f>
        <v>2017</v>
      </c>
      <c r="N2646" s="42">
        <f t="shared" si="59"/>
        <v>3368.4264014687888</v>
      </c>
      <c r="O2646" s="3">
        <v>2644</v>
      </c>
    </row>
    <row r="2647" spans="1:15" x14ac:dyDescent="0.25">
      <c r="A2647" s="3">
        <v>5</v>
      </c>
      <c r="B2647" s="3" t="s">
        <v>416</v>
      </c>
      <c r="C2647" s="3" t="s">
        <v>417</v>
      </c>
      <c r="D2647" s="3" t="s">
        <v>445</v>
      </c>
      <c r="E2647" s="11" t="s">
        <v>144</v>
      </c>
      <c r="F2647" s="3" t="s">
        <v>8</v>
      </c>
      <c r="G2647" s="61" t="s">
        <v>70</v>
      </c>
      <c r="H2647" s="8" t="s">
        <v>558</v>
      </c>
      <c r="I2647" s="8" t="s">
        <v>458</v>
      </c>
      <c r="J2647" s="6" t="s">
        <v>107</v>
      </c>
      <c r="K2647" s="38">
        <v>3281</v>
      </c>
      <c r="L2647" s="4" t="s">
        <v>25</v>
      </c>
      <c r="M2647" s="11">
        <f>_xlfn.NUMBERVALUE(LEFT(Table613[[#This Row],[Fiscal Year]], 4))</f>
        <v>2017</v>
      </c>
      <c r="N2647" s="42">
        <f t="shared" si="59"/>
        <v>3368.4264014687888</v>
      </c>
      <c r="O2647" s="3">
        <v>2645</v>
      </c>
    </row>
    <row r="2648" spans="1:15" x14ac:dyDescent="0.25">
      <c r="A2648" s="3">
        <v>5</v>
      </c>
      <c r="B2648" s="3" t="s">
        <v>416</v>
      </c>
      <c r="C2648" s="3" t="s">
        <v>417</v>
      </c>
      <c r="D2648" s="3" t="s">
        <v>445</v>
      </c>
      <c r="E2648" s="11" t="s">
        <v>144</v>
      </c>
      <c r="F2648" s="3" t="s">
        <v>8</v>
      </c>
      <c r="G2648" s="61" t="s">
        <v>418</v>
      </c>
      <c r="H2648" s="8"/>
      <c r="I2648" s="8"/>
      <c r="J2648" s="6" t="s">
        <v>111</v>
      </c>
      <c r="K2648" s="38">
        <v>73639</v>
      </c>
      <c r="L2648" s="4" t="s">
        <v>25</v>
      </c>
      <c r="M2648" s="11">
        <f>_xlfn.NUMBERVALUE(LEFT(Table613[[#This Row],[Fiscal Year]], 4))</f>
        <v>2017</v>
      </c>
      <c r="N2648" s="42">
        <f t="shared" si="59"/>
        <v>75601.204443084469</v>
      </c>
      <c r="O2648" s="3">
        <v>2646</v>
      </c>
    </row>
    <row r="2649" spans="1:15" x14ac:dyDescent="0.25">
      <c r="A2649" s="3">
        <v>5</v>
      </c>
      <c r="B2649" s="3" t="s">
        <v>416</v>
      </c>
      <c r="C2649" s="3" t="s">
        <v>417</v>
      </c>
      <c r="D2649" s="3" t="s">
        <v>445</v>
      </c>
      <c r="E2649" s="11" t="s">
        <v>144</v>
      </c>
      <c r="F2649" s="3" t="s">
        <v>8</v>
      </c>
      <c r="G2649" s="61" t="s">
        <v>419</v>
      </c>
      <c r="H2649" s="8"/>
      <c r="I2649" s="8"/>
      <c r="J2649" s="6" t="s">
        <v>47</v>
      </c>
      <c r="K2649" s="38">
        <v>257441</v>
      </c>
      <c r="L2649" s="4" t="s">
        <v>25</v>
      </c>
      <c r="M2649" s="11">
        <f>_xlfn.NUMBERVALUE(LEFT(Table613[[#This Row],[Fiscal Year]], 4))</f>
        <v>2017</v>
      </c>
      <c r="N2649" s="42">
        <f t="shared" si="59"/>
        <v>264300.84157894738</v>
      </c>
      <c r="O2649" s="3">
        <v>2647</v>
      </c>
    </row>
    <row r="2650" spans="1:15" x14ac:dyDescent="0.25">
      <c r="A2650" s="3">
        <v>5</v>
      </c>
      <c r="B2650" s="3" t="s">
        <v>416</v>
      </c>
      <c r="C2650" s="3" t="s">
        <v>417</v>
      </c>
      <c r="D2650" s="3" t="s">
        <v>445</v>
      </c>
      <c r="E2650" s="11" t="s">
        <v>144</v>
      </c>
      <c r="F2650" s="3" t="s">
        <v>8</v>
      </c>
      <c r="G2650" s="61" t="s">
        <v>420</v>
      </c>
      <c r="H2650" s="8" t="s">
        <v>604</v>
      </c>
      <c r="I2650" s="8"/>
      <c r="J2650" s="6" t="s">
        <v>455</v>
      </c>
      <c r="K2650" s="38">
        <v>54998</v>
      </c>
      <c r="L2650" s="4" t="s">
        <v>25</v>
      </c>
      <c r="M2650" s="11">
        <f>_xlfn.NUMBERVALUE(LEFT(Table613[[#This Row],[Fiscal Year]], 4))</f>
        <v>2017</v>
      </c>
      <c r="N2650" s="42">
        <f t="shared" si="59"/>
        <v>56463.491383108943</v>
      </c>
      <c r="O2650" s="3">
        <v>2648</v>
      </c>
    </row>
    <row r="2651" spans="1:15" x14ac:dyDescent="0.25">
      <c r="E2651" s="11"/>
      <c r="G2651" s="66"/>
      <c r="H2651" s="8"/>
      <c r="I2651" s="8"/>
      <c r="J2651" s="6"/>
      <c r="L2651" s="4"/>
      <c r="O2651" s="3">
        <v>2649</v>
      </c>
    </row>
    <row r="2652" spans="1:15" x14ac:dyDescent="0.25">
      <c r="A2652" s="3">
        <v>5</v>
      </c>
      <c r="B2652" s="3" t="s">
        <v>417</v>
      </c>
      <c r="C2652" s="3" t="s">
        <v>121</v>
      </c>
      <c r="D2652" s="3" t="s">
        <v>445</v>
      </c>
      <c r="E2652" s="11" t="s">
        <v>144</v>
      </c>
      <c r="F2652" s="3" t="s">
        <v>5</v>
      </c>
      <c r="G2652" s="48" t="s">
        <v>32</v>
      </c>
      <c r="H2652" s="8" t="s">
        <v>1121</v>
      </c>
      <c r="I2652" s="8" t="s">
        <v>429</v>
      </c>
      <c r="J2652" s="6" t="s">
        <v>110</v>
      </c>
      <c r="K2652" s="38">
        <v>87437</v>
      </c>
      <c r="L2652" s="4" t="s">
        <v>25</v>
      </c>
      <c r="M2652" s="11">
        <f>_xlfn.NUMBERVALUE(LEFT(Table613[[#This Row],[Fiscal Year]], 4))</f>
        <v>2017</v>
      </c>
      <c r="N2652" s="42">
        <f t="shared" si="59"/>
        <v>89766.869632802947</v>
      </c>
      <c r="O2652" s="3">
        <v>2650</v>
      </c>
    </row>
    <row r="2653" spans="1:15" x14ac:dyDescent="0.25">
      <c r="A2653" s="3">
        <v>5</v>
      </c>
      <c r="B2653" s="3" t="s">
        <v>417</v>
      </c>
      <c r="C2653" s="3" t="s">
        <v>121</v>
      </c>
      <c r="D2653" s="3" t="s">
        <v>445</v>
      </c>
      <c r="E2653" s="11" t="s">
        <v>144</v>
      </c>
      <c r="F2653" s="3" t="s">
        <v>5</v>
      </c>
      <c r="G2653" s="66" t="s">
        <v>421</v>
      </c>
      <c r="H2653" s="8"/>
      <c r="I2653" s="8" t="s">
        <v>458</v>
      </c>
      <c r="J2653" s="6" t="s">
        <v>106</v>
      </c>
      <c r="K2653" s="38">
        <v>10670</v>
      </c>
      <c r="L2653" s="4" t="s">
        <v>25</v>
      </c>
      <c r="M2653" s="11">
        <f>_xlfn.NUMBERVALUE(LEFT(Table613[[#This Row],[Fiscal Year]], 4))</f>
        <v>2017</v>
      </c>
      <c r="N2653" s="42">
        <f t="shared" si="59"/>
        <v>10954.315667074665</v>
      </c>
      <c r="O2653" s="3">
        <v>2651</v>
      </c>
    </row>
    <row r="2654" spans="1:15" x14ac:dyDescent="0.25">
      <c r="A2654" s="3">
        <v>5</v>
      </c>
      <c r="B2654" s="3" t="s">
        <v>417</v>
      </c>
      <c r="C2654" s="3" t="s">
        <v>121</v>
      </c>
      <c r="D2654" s="3" t="s">
        <v>445</v>
      </c>
      <c r="E2654" s="11" t="s">
        <v>144</v>
      </c>
      <c r="F2654" s="3" t="s">
        <v>5</v>
      </c>
      <c r="G2654" s="48" t="s">
        <v>68</v>
      </c>
      <c r="H2654" s="8" t="s">
        <v>560</v>
      </c>
      <c r="I2654" s="47" t="s">
        <v>561</v>
      </c>
      <c r="J2654" s="6" t="s">
        <v>42</v>
      </c>
      <c r="K2654" s="38">
        <v>11076</v>
      </c>
      <c r="L2654" s="4" t="s">
        <v>25</v>
      </c>
      <c r="M2654" s="11">
        <f>_xlfn.NUMBERVALUE(LEFT(Table613[[#This Row],[Fiscal Year]], 4))</f>
        <v>2017</v>
      </c>
      <c r="N2654" s="42">
        <f t="shared" si="59"/>
        <v>11371.134051407591</v>
      </c>
      <c r="O2654" s="3">
        <v>2652</v>
      </c>
    </row>
    <row r="2655" spans="1:15" x14ac:dyDescent="0.25">
      <c r="A2655" s="3">
        <v>5</v>
      </c>
      <c r="B2655" s="3" t="s">
        <v>417</v>
      </c>
      <c r="C2655" s="3" t="s">
        <v>121</v>
      </c>
      <c r="D2655" s="3" t="s">
        <v>445</v>
      </c>
      <c r="E2655" s="11" t="s">
        <v>144</v>
      </c>
      <c r="F2655" s="3" t="s">
        <v>5</v>
      </c>
      <c r="G2655" s="48" t="s">
        <v>127</v>
      </c>
      <c r="H2655" s="8" t="s">
        <v>562</v>
      </c>
      <c r="I2655" s="8" t="s">
        <v>458</v>
      </c>
      <c r="J2655" s="6" t="s">
        <v>108</v>
      </c>
      <c r="K2655" s="38">
        <v>53184</v>
      </c>
      <c r="L2655" s="4" t="s">
        <v>25</v>
      </c>
      <c r="M2655" s="11">
        <f>_xlfn.NUMBERVALUE(LEFT(Table613[[#This Row],[Fiscal Year]], 4))</f>
        <v>2017</v>
      </c>
      <c r="N2655" s="42">
        <f t="shared" si="59"/>
        <v>54601.155055079565</v>
      </c>
      <c r="O2655" s="3">
        <v>2653</v>
      </c>
    </row>
    <row r="2656" spans="1:15" x14ac:dyDescent="0.25">
      <c r="A2656" s="3">
        <v>5</v>
      </c>
      <c r="B2656" s="3" t="s">
        <v>417</v>
      </c>
      <c r="C2656" s="3" t="s">
        <v>121</v>
      </c>
      <c r="D2656" s="3" t="s">
        <v>445</v>
      </c>
      <c r="E2656" s="11" t="s">
        <v>144</v>
      </c>
      <c r="F2656" s="3" t="s">
        <v>5</v>
      </c>
      <c r="G2656" s="66" t="s">
        <v>334</v>
      </c>
      <c r="H2656" s="8" t="s">
        <v>563</v>
      </c>
      <c r="I2656" s="8" t="s">
        <v>458</v>
      </c>
      <c r="J2656" s="6" t="s">
        <v>109</v>
      </c>
      <c r="K2656" s="38">
        <v>34213</v>
      </c>
      <c r="L2656" s="4" t="s">
        <v>25</v>
      </c>
      <c r="M2656" s="11">
        <f>_xlfn.NUMBERVALUE(LEFT(Table613[[#This Row],[Fiscal Year]], 4))</f>
        <v>2017</v>
      </c>
      <c r="N2656" s="42">
        <f t="shared" si="59"/>
        <v>35124.648727050189</v>
      </c>
      <c r="O2656" s="3">
        <v>2654</v>
      </c>
    </row>
    <row r="2657" spans="1:15" x14ac:dyDescent="0.25">
      <c r="A2657" s="3">
        <v>5</v>
      </c>
      <c r="B2657" s="3" t="s">
        <v>417</v>
      </c>
      <c r="C2657" s="3" t="s">
        <v>121</v>
      </c>
      <c r="D2657" s="3" t="s">
        <v>445</v>
      </c>
      <c r="E2657" s="11" t="s">
        <v>144</v>
      </c>
      <c r="F2657" s="3" t="s">
        <v>5</v>
      </c>
      <c r="G2657" s="48" t="s">
        <v>70</v>
      </c>
      <c r="H2657" s="8" t="s">
        <v>564</v>
      </c>
      <c r="I2657" s="8" t="s">
        <v>458</v>
      </c>
      <c r="J2657" s="6" t="s">
        <v>107</v>
      </c>
      <c r="K2657" s="38">
        <v>7676</v>
      </c>
      <c r="L2657" s="4" t="s">
        <v>25</v>
      </c>
      <c r="M2657" s="11">
        <f>_xlfn.NUMBERVALUE(LEFT(Table613[[#This Row],[Fiscal Year]], 4))</f>
        <v>2017</v>
      </c>
      <c r="N2657" s="42">
        <f t="shared" si="59"/>
        <v>7880.5367441860471</v>
      </c>
      <c r="O2657" s="3">
        <v>2655</v>
      </c>
    </row>
    <row r="2658" spans="1:15" x14ac:dyDescent="0.25">
      <c r="A2658" s="3">
        <v>5</v>
      </c>
      <c r="B2658" s="3" t="s">
        <v>417</v>
      </c>
      <c r="C2658" s="3" t="s">
        <v>121</v>
      </c>
      <c r="D2658" s="3" t="s">
        <v>445</v>
      </c>
      <c r="E2658" s="11" t="s">
        <v>144</v>
      </c>
      <c r="F2658" s="3" t="s">
        <v>5</v>
      </c>
      <c r="G2658" s="66" t="s">
        <v>418</v>
      </c>
      <c r="H2658" s="8" t="s">
        <v>565</v>
      </c>
      <c r="I2658" s="8" t="s">
        <v>458</v>
      </c>
      <c r="J2658" s="6" t="s">
        <v>111</v>
      </c>
      <c r="K2658" s="38">
        <v>12344</v>
      </c>
      <c r="L2658" s="4" t="s">
        <v>25</v>
      </c>
      <c r="M2658" s="11">
        <f>_xlfn.NUMBERVALUE(LEFT(Table613[[#This Row],[Fiscal Year]], 4))</f>
        <v>2017</v>
      </c>
      <c r="N2658" s="42">
        <f t="shared" si="59"/>
        <v>12672.92151774786</v>
      </c>
      <c r="O2658" s="3">
        <v>2656</v>
      </c>
    </row>
    <row r="2659" spans="1:15" x14ac:dyDescent="0.25">
      <c r="A2659" s="3">
        <v>5</v>
      </c>
      <c r="B2659" s="3" t="s">
        <v>417</v>
      </c>
      <c r="C2659" s="3" t="s">
        <v>121</v>
      </c>
      <c r="D2659" s="3" t="s">
        <v>445</v>
      </c>
      <c r="E2659" s="11" t="s">
        <v>144</v>
      </c>
      <c r="F2659" s="3" t="s">
        <v>5</v>
      </c>
      <c r="G2659" s="66" t="s">
        <v>419</v>
      </c>
      <c r="H2659" s="8"/>
      <c r="I2659" s="8"/>
      <c r="J2659" s="6" t="s">
        <v>47</v>
      </c>
      <c r="K2659" s="38">
        <v>22847</v>
      </c>
      <c r="L2659" s="4" t="s">
        <v>25</v>
      </c>
      <c r="M2659" s="11">
        <f>_xlfn.NUMBERVALUE(LEFT(Table613[[#This Row],[Fiscal Year]], 4))</f>
        <v>2017</v>
      </c>
      <c r="N2659" s="42">
        <f t="shared" si="59"/>
        <v>23455.787258261938</v>
      </c>
      <c r="O2659" s="3">
        <v>2657</v>
      </c>
    </row>
    <row r="2660" spans="1:15" x14ac:dyDescent="0.25">
      <c r="A2660" s="3">
        <v>5</v>
      </c>
      <c r="B2660" s="3" t="s">
        <v>417</v>
      </c>
      <c r="C2660" s="3" t="s">
        <v>121</v>
      </c>
      <c r="D2660" s="3" t="s">
        <v>445</v>
      </c>
      <c r="E2660" s="11" t="s">
        <v>144</v>
      </c>
      <c r="F2660" s="3" t="s">
        <v>5</v>
      </c>
      <c r="G2660" s="66" t="s">
        <v>420</v>
      </c>
      <c r="H2660" s="8" t="s">
        <v>566</v>
      </c>
      <c r="I2660" s="47" t="s">
        <v>567</v>
      </c>
      <c r="J2660" s="6" t="s">
        <v>455</v>
      </c>
      <c r="K2660" s="38">
        <v>1987</v>
      </c>
      <c r="L2660" s="4" t="s">
        <v>25</v>
      </c>
      <c r="M2660" s="11">
        <f>_xlfn.NUMBERVALUE(LEFT(Table613[[#This Row],[Fiscal Year]], 4))</f>
        <v>2017</v>
      </c>
      <c r="N2660" s="42">
        <f t="shared" si="59"/>
        <v>2039.9461321909428</v>
      </c>
      <c r="O2660" s="3">
        <v>2658</v>
      </c>
    </row>
    <row r="2661" spans="1:15" x14ac:dyDescent="0.25">
      <c r="A2661" s="3">
        <v>5</v>
      </c>
      <c r="B2661" s="3" t="s">
        <v>417</v>
      </c>
      <c r="C2661" s="3" t="s">
        <v>121</v>
      </c>
      <c r="D2661" s="3" t="s">
        <v>445</v>
      </c>
      <c r="E2661" s="11" t="s">
        <v>144</v>
      </c>
      <c r="F2661" s="3" t="s">
        <v>5</v>
      </c>
      <c r="G2661" s="48" t="s">
        <v>422</v>
      </c>
      <c r="H2661" s="8"/>
      <c r="I2661" s="8"/>
      <c r="J2661" s="6" t="s">
        <v>110</v>
      </c>
      <c r="K2661" s="38">
        <v>149549</v>
      </c>
      <c r="L2661" s="4" t="s">
        <v>25</v>
      </c>
      <c r="M2661" s="11">
        <f>_xlfn.NUMBERVALUE(LEFT(Table613[[#This Row],[Fiscal Year]], 4))</f>
        <v>2017</v>
      </c>
      <c r="N2661" s="42">
        <f t="shared" si="59"/>
        <v>153533.92255813954</v>
      </c>
      <c r="O2661" s="3">
        <v>2659</v>
      </c>
    </row>
    <row r="2662" spans="1:15" x14ac:dyDescent="0.25">
      <c r="E2662" s="11"/>
      <c r="G2662" s="66"/>
      <c r="H2662" s="8"/>
      <c r="I2662" s="8"/>
      <c r="J2662" s="6"/>
      <c r="L2662" s="4"/>
      <c r="O2662" s="3">
        <v>2660</v>
      </c>
    </row>
    <row r="2663" spans="1:15" x14ac:dyDescent="0.25">
      <c r="A2663" s="18">
        <v>7</v>
      </c>
      <c r="B2663" s="5" t="s">
        <v>16</v>
      </c>
      <c r="C2663" s="3" t="s">
        <v>1455</v>
      </c>
      <c r="E2663" s="24" t="s">
        <v>143</v>
      </c>
      <c r="F2663" s="5" t="s">
        <v>8</v>
      </c>
      <c r="G2663" s="48" t="s">
        <v>96</v>
      </c>
      <c r="H2663" s="8"/>
      <c r="I2663" s="8"/>
      <c r="J2663" s="6" t="s">
        <v>455</v>
      </c>
      <c r="K2663" s="38">
        <v>149049</v>
      </c>
      <c r="L2663" s="4" t="s">
        <v>24</v>
      </c>
      <c r="M2663" s="11">
        <f>_xlfn.NUMBERVALUE(LEFT(Table613[[#This Row],[Fiscal Year]], 4))</f>
        <v>2016</v>
      </c>
      <c r="N2663" s="42">
        <f t="shared" si="59"/>
        <v>156272.2871625</v>
      </c>
      <c r="O2663" s="3">
        <v>2661</v>
      </c>
    </row>
    <row r="2664" spans="1:15" x14ac:dyDescent="0.25">
      <c r="E2664" s="11"/>
      <c r="G2664" s="66"/>
      <c r="H2664" s="8"/>
      <c r="I2664" s="8"/>
      <c r="J2664" s="6"/>
      <c r="L2664" s="4"/>
      <c r="O2664" s="3">
        <v>2662</v>
      </c>
    </row>
    <row r="2665" spans="1:15" x14ac:dyDescent="0.25">
      <c r="A2665" s="3">
        <v>8</v>
      </c>
      <c r="B2665" s="3" t="s">
        <v>17</v>
      </c>
      <c r="C2665" s="3" t="s">
        <v>20</v>
      </c>
      <c r="D2665" s="3" t="s">
        <v>446</v>
      </c>
      <c r="E2665" s="11" t="s">
        <v>144</v>
      </c>
      <c r="F2665" s="3" t="s">
        <v>8</v>
      </c>
      <c r="G2665" s="48" t="s">
        <v>28</v>
      </c>
      <c r="H2665" s="8"/>
      <c r="I2665" s="8"/>
      <c r="J2665" s="6"/>
      <c r="L2665" s="4" t="s">
        <v>30</v>
      </c>
      <c r="M2665" s="11">
        <f>_xlfn.NUMBERVALUE(LEFT(Table613[[#This Row],[Fiscal Year]], 4))</f>
        <v>2014</v>
      </c>
      <c r="N2665" s="42">
        <f t="shared" si="59"/>
        <v>0</v>
      </c>
      <c r="O2665" s="3">
        <v>2663</v>
      </c>
    </row>
    <row r="2666" spans="1:15" x14ac:dyDescent="0.25">
      <c r="E2666" s="11"/>
      <c r="G2666" s="66"/>
      <c r="H2666" s="8"/>
      <c r="I2666" s="8"/>
      <c r="J2666" s="6"/>
      <c r="L2666" s="4"/>
      <c r="O2666" s="3">
        <v>2664</v>
      </c>
    </row>
    <row r="2667" spans="1:15" x14ac:dyDescent="0.25">
      <c r="A2667" s="3">
        <v>8</v>
      </c>
      <c r="B2667" s="3" t="s">
        <v>18</v>
      </c>
      <c r="C2667" s="3" t="s">
        <v>20</v>
      </c>
      <c r="D2667" s="3" t="s">
        <v>446</v>
      </c>
      <c r="E2667" s="11" t="s">
        <v>144</v>
      </c>
      <c r="F2667" s="3" t="s">
        <v>8</v>
      </c>
      <c r="G2667" s="48" t="s">
        <v>28</v>
      </c>
      <c r="H2667" s="8"/>
      <c r="I2667" s="8"/>
      <c r="J2667" s="6"/>
      <c r="L2667" s="4" t="s">
        <v>30</v>
      </c>
      <c r="M2667" s="11">
        <f>_xlfn.NUMBERVALUE(LEFT(Table613[[#This Row],[Fiscal Year]], 4))</f>
        <v>2014</v>
      </c>
      <c r="N2667" s="42">
        <f t="shared" si="59"/>
        <v>0</v>
      </c>
      <c r="O2667" s="3">
        <v>2665</v>
      </c>
    </row>
    <row r="2668" spans="1:15" x14ac:dyDescent="0.25">
      <c r="E2668" s="11"/>
      <c r="G2668" s="66"/>
      <c r="H2668" s="8"/>
      <c r="I2668" s="8"/>
      <c r="J2668" s="6"/>
      <c r="L2668" s="4"/>
      <c r="O2668" s="3">
        <v>2666</v>
      </c>
    </row>
    <row r="2669" spans="1:15" x14ac:dyDescent="0.25">
      <c r="A2669" s="9">
        <v>8</v>
      </c>
      <c r="B2669" s="9" t="s">
        <v>19</v>
      </c>
      <c r="C2669" s="3" t="s">
        <v>19</v>
      </c>
      <c r="D2669" s="3" t="s">
        <v>446</v>
      </c>
      <c r="E2669" s="28" t="s">
        <v>144</v>
      </c>
      <c r="F2669" s="9" t="s">
        <v>5</v>
      </c>
      <c r="G2669" s="61" t="s">
        <v>323</v>
      </c>
      <c r="H2669" s="8"/>
      <c r="I2669" s="8"/>
      <c r="J2669" s="6" t="s">
        <v>110</v>
      </c>
      <c r="K2669" s="38">
        <v>398357</v>
      </c>
      <c r="L2669" s="4" t="s">
        <v>25</v>
      </c>
      <c r="M2669" s="11">
        <f>_xlfn.NUMBERVALUE(LEFT(Table613[[#This Row],[Fiscal Year]], 4))</f>
        <v>2017</v>
      </c>
      <c r="N2669" s="42">
        <f t="shared" si="59"/>
        <v>408971.72691554471</v>
      </c>
      <c r="O2669" s="3">
        <v>2667</v>
      </c>
    </row>
    <row r="2670" spans="1:15" x14ac:dyDescent="0.25">
      <c r="A2670" s="9">
        <v>8</v>
      </c>
      <c r="B2670" s="9" t="s">
        <v>19</v>
      </c>
      <c r="C2670" s="3" t="s">
        <v>19</v>
      </c>
      <c r="D2670" s="3" t="s">
        <v>446</v>
      </c>
      <c r="E2670" s="28" t="s">
        <v>144</v>
      </c>
      <c r="F2670" s="9" t="s">
        <v>5</v>
      </c>
      <c r="G2670" s="61" t="s">
        <v>320</v>
      </c>
      <c r="H2670" s="6"/>
      <c r="I2670" s="47" t="s">
        <v>569</v>
      </c>
      <c r="J2670" s="6" t="s">
        <v>110</v>
      </c>
      <c r="K2670" s="38">
        <v>56921</v>
      </c>
      <c r="L2670" s="4" t="s">
        <v>25</v>
      </c>
      <c r="M2670" s="11">
        <f>_xlfn.NUMBERVALUE(LEFT(Table613[[#This Row],[Fiscal Year]], 4))</f>
        <v>2017</v>
      </c>
      <c r="N2670" s="42">
        <f t="shared" si="59"/>
        <v>58437.732154222773</v>
      </c>
      <c r="O2670" s="3">
        <v>2668</v>
      </c>
    </row>
    <row r="2671" spans="1:15" x14ac:dyDescent="0.25">
      <c r="A2671" s="9">
        <v>8</v>
      </c>
      <c r="B2671" s="9" t="s">
        <v>19</v>
      </c>
      <c r="C2671" s="3" t="s">
        <v>19</v>
      </c>
      <c r="D2671" s="3" t="s">
        <v>446</v>
      </c>
      <c r="E2671" s="28" t="s">
        <v>144</v>
      </c>
      <c r="F2671" s="9" t="s">
        <v>5</v>
      </c>
      <c r="G2671" s="48" t="s">
        <v>324</v>
      </c>
      <c r="H2671" s="8" t="s">
        <v>568</v>
      </c>
      <c r="I2671" s="47" t="s">
        <v>569</v>
      </c>
      <c r="J2671" s="6" t="s">
        <v>455</v>
      </c>
      <c r="K2671" s="38">
        <v>270731</v>
      </c>
      <c r="L2671" s="4" t="s">
        <v>25</v>
      </c>
      <c r="M2671" s="11">
        <f>_xlfn.NUMBERVALUE(LEFT(Table613[[#This Row],[Fiscal Year]], 4))</f>
        <v>2017</v>
      </c>
      <c r="N2671" s="42">
        <f t="shared" si="59"/>
        <v>277944.97046511632</v>
      </c>
      <c r="O2671" s="3">
        <v>2669</v>
      </c>
    </row>
    <row r="2672" spans="1:15" x14ac:dyDescent="0.25">
      <c r="A2672" s="9">
        <v>8</v>
      </c>
      <c r="B2672" s="9" t="s">
        <v>19</v>
      </c>
      <c r="C2672" s="3" t="s">
        <v>19</v>
      </c>
      <c r="D2672" s="3" t="s">
        <v>446</v>
      </c>
      <c r="E2672" s="28" t="s">
        <v>144</v>
      </c>
      <c r="F2672" s="9" t="s">
        <v>5</v>
      </c>
      <c r="G2672" s="61" t="s">
        <v>210</v>
      </c>
      <c r="H2672" s="8" t="s">
        <v>571</v>
      </c>
      <c r="I2672" s="47" t="s">
        <v>570</v>
      </c>
      <c r="J2672" s="6" t="s">
        <v>107</v>
      </c>
      <c r="K2672" s="38">
        <v>175000</v>
      </c>
      <c r="L2672" s="4" t="s">
        <v>25</v>
      </c>
      <c r="M2672" s="11">
        <f>_xlfn.NUMBERVALUE(LEFT(Table613[[#This Row],[Fiscal Year]], 4))</f>
        <v>2017</v>
      </c>
      <c r="N2672" s="42">
        <f t="shared" si="59"/>
        <v>179663.09669522647</v>
      </c>
      <c r="O2672" s="3">
        <v>2670</v>
      </c>
    </row>
    <row r="2673" spans="1:15" x14ac:dyDescent="0.25">
      <c r="A2673" s="9">
        <v>8</v>
      </c>
      <c r="B2673" s="9" t="s">
        <v>19</v>
      </c>
      <c r="C2673" s="3" t="s">
        <v>19</v>
      </c>
      <c r="D2673" s="3" t="s">
        <v>446</v>
      </c>
      <c r="E2673" s="28" t="s">
        <v>144</v>
      </c>
      <c r="F2673" s="9" t="s">
        <v>5</v>
      </c>
      <c r="G2673" s="61" t="s">
        <v>209</v>
      </c>
      <c r="H2673" s="8"/>
      <c r="I2673" s="8"/>
      <c r="J2673" s="6" t="s">
        <v>111</v>
      </c>
      <c r="K2673" s="38">
        <v>175000</v>
      </c>
      <c r="L2673" s="4" t="s">
        <v>25</v>
      </c>
      <c r="M2673" s="11">
        <f>_xlfn.NUMBERVALUE(LEFT(Table613[[#This Row],[Fiscal Year]], 4))</f>
        <v>2017</v>
      </c>
      <c r="N2673" s="42">
        <f t="shared" si="59"/>
        <v>179663.09669522647</v>
      </c>
      <c r="O2673" s="3">
        <v>2671</v>
      </c>
    </row>
    <row r="2674" spans="1:15" x14ac:dyDescent="0.25">
      <c r="A2674" s="9">
        <v>8</v>
      </c>
      <c r="B2674" s="9" t="s">
        <v>19</v>
      </c>
      <c r="C2674" s="3" t="s">
        <v>19</v>
      </c>
      <c r="D2674" s="3" t="s">
        <v>446</v>
      </c>
      <c r="E2674" s="28" t="s">
        <v>144</v>
      </c>
      <c r="F2674" s="9" t="s">
        <v>5</v>
      </c>
      <c r="G2674" s="61" t="s">
        <v>325</v>
      </c>
      <c r="H2674" s="8"/>
      <c r="I2674" s="8"/>
      <c r="J2674" s="6" t="s">
        <v>109</v>
      </c>
      <c r="K2674" s="38">
        <v>175000</v>
      </c>
      <c r="L2674" s="4" t="s">
        <v>25</v>
      </c>
      <c r="M2674" s="11">
        <f>_xlfn.NUMBERVALUE(LEFT(Table613[[#This Row],[Fiscal Year]], 4))</f>
        <v>2017</v>
      </c>
      <c r="N2674" s="42">
        <f t="shared" si="59"/>
        <v>179663.09669522647</v>
      </c>
      <c r="O2674" s="3">
        <v>2672</v>
      </c>
    </row>
    <row r="2675" spans="1:15" x14ac:dyDescent="0.25">
      <c r="A2675" s="9">
        <v>8</v>
      </c>
      <c r="B2675" s="9" t="s">
        <v>19</v>
      </c>
      <c r="C2675" s="3" t="s">
        <v>19</v>
      </c>
      <c r="D2675" s="3" t="s">
        <v>446</v>
      </c>
      <c r="E2675" s="28" t="s">
        <v>144</v>
      </c>
      <c r="F2675" s="9" t="s">
        <v>5</v>
      </c>
      <c r="G2675" s="48" t="s">
        <v>326</v>
      </c>
      <c r="H2675" s="8"/>
      <c r="I2675" s="8"/>
      <c r="J2675" s="6" t="s">
        <v>106</v>
      </c>
      <c r="K2675" s="38" t="s">
        <v>28</v>
      </c>
      <c r="L2675" s="4" t="s">
        <v>25</v>
      </c>
      <c r="M2675" s="11">
        <f>_xlfn.NUMBERVALUE(LEFT(Table613[[#This Row],[Fiscal Year]], 4))</f>
        <v>2017</v>
      </c>
      <c r="O2675" s="3">
        <v>2673</v>
      </c>
    </row>
    <row r="2676" spans="1:15" x14ac:dyDescent="0.25">
      <c r="A2676" s="9">
        <v>8</v>
      </c>
      <c r="B2676" s="9" t="s">
        <v>19</v>
      </c>
      <c r="C2676" s="3" t="s">
        <v>19</v>
      </c>
      <c r="D2676" s="3" t="s">
        <v>446</v>
      </c>
      <c r="E2676" s="28" t="s">
        <v>144</v>
      </c>
      <c r="F2676" s="9" t="s">
        <v>5</v>
      </c>
      <c r="G2676" s="61" t="s">
        <v>327</v>
      </c>
      <c r="H2676" s="8"/>
      <c r="I2676" s="8"/>
      <c r="J2676" s="6" t="s">
        <v>108</v>
      </c>
      <c r="K2676" s="38">
        <v>1364228</v>
      </c>
      <c r="L2676" s="4" t="s">
        <v>25</v>
      </c>
      <c r="M2676" s="11">
        <f>_xlfn.NUMBERVALUE(LEFT(Table613[[#This Row],[Fiscal Year]], 4))</f>
        <v>2017</v>
      </c>
      <c r="N2676" s="42">
        <f t="shared" si="59"/>
        <v>1400579.5833047738</v>
      </c>
      <c r="O2676" s="3">
        <v>2674</v>
      </c>
    </row>
    <row r="2677" spans="1:15" x14ac:dyDescent="0.25">
      <c r="A2677" s="9">
        <v>8</v>
      </c>
      <c r="B2677" s="9" t="s">
        <v>19</v>
      </c>
      <c r="C2677" s="3" t="s">
        <v>19</v>
      </c>
      <c r="D2677" s="3" t="s">
        <v>446</v>
      </c>
      <c r="E2677" s="28" t="s">
        <v>144</v>
      </c>
      <c r="F2677" s="9" t="s">
        <v>5</v>
      </c>
      <c r="G2677" s="48" t="s">
        <v>328</v>
      </c>
      <c r="H2677" s="8"/>
      <c r="I2677" s="8"/>
      <c r="J2677" s="6" t="s">
        <v>42</v>
      </c>
      <c r="K2677" s="38" t="s">
        <v>28</v>
      </c>
      <c r="L2677" s="4" t="s">
        <v>25</v>
      </c>
      <c r="M2677" s="11">
        <f>_xlfn.NUMBERVALUE(LEFT(Table613[[#This Row],[Fiscal Year]], 4))</f>
        <v>2017</v>
      </c>
      <c r="O2677" s="3">
        <v>2675</v>
      </c>
    </row>
    <row r="2678" spans="1:15" x14ac:dyDescent="0.25">
      <c r="A2678" s="9">
        <v>8</v>
      </c>
      <c r="B2678" s="9" t="s">
        <v>19</v>
      </c>
      <c r="C2678" s="3" t="s">
        <v>19</v>
      </c>
      <c r="D2678" s="3" t="s">
        <v>446</v>
      </c>
      <c r="E2678" s="28" t="s">
        <v>144</v>
      </c>
      <c r="F2678" s="9" t="s">
        <v>5</v>
      </c>
      <c r="G2678" s="48" t="s">
        <v>78</v>
      </c>
      <c r="H2678" s="8"/>
      <c r="I2678" s="8"/>
      <c r="J2678" s="6" t="s">
        <v>47</v>
      </c>
      <c r="K2678" s="38" t="s">
        <v>28</v>
      </c>
      <c r="L2678" s="4" t="s">
        <v>25</v>
      </c>
      <c r="M2678" s="11">
        <f>_xlfn.NUMBERVALUE(LEFT(Table613[[#This Row],[Fiscal Year]], 4))</f>
        <v>2017</v>
      </c>
      <c r="O2678" s="3">
        <v>2676</v>
      </c>
    </row>
    <row r="2679" spans="1:15" x14ac:dyDescent="0.25">
      <c r="A2679" s="9">
        <v>8</v>
      </c>
      <c r="B2679" s="9" t="s">
        <v>19</v>
      </c>
      <c r="C2679" s="3" t="s">
        <v>19</v>
      </c>
      <c r="D2679" s="3" t="s">
        <v>446</v>
      </c>
      <c r="E2679" s="28" t="s">
        <v>144</v>
      </c>
      <c r="F2679" s="9" t="s">
        <v>5</v>
      </c>
      <c r="G2679" s="48" t="s">
        <v>329</v>
      </c>
      <c r="H2679" s="8" t="s">
        <v>632</v>
      </c>
      <c r="I2679" s="47" t="s">
        <v>633</v>
      </c>
      <c r="J2679" s="6" t="s">
        <v>455</v>
      </c>
      <c r="K2679" s="38">
        <v>10000</v>
      </c>
      <c r="L2679" s="4" t="s">
        <v>25</v>
      </c>
      <c r="M2679" s="11">
        <f>_xlfn.NUMBERVALUE(LEFT(Table613[[#This Row],[Fiscal Year]], 4))</f>
        <v>2017</v>
      </c>
      <c r="N2679" s="42">
        <f t="shared" si="59"/>
        <v>10266.462668298655</v>
      </c>
      <c r="O2679" s="3">
        <v>2677</v>
      </c>
    </row>
    <row r="2680" spans="1:15" x14ac:dyDescent="0.25">
      <c r="A2680" s="9">
        <v>8</v>
      </c>
      <c r="B2680" s="9" t="s">
        <v>19</v>
      </c>
      <c r="C2680" s="3" t="s">
        <v>19</v>
      </c>
      <c r="D2680" s="3" t="s">
        <v>446</v>
      </c>
      <c r="E2680" s="28" t="s">
        <v>144</v>
      </c>
      <c r="F2680" s="9" t="s">
        <v>5</v>
      </c>
      <c r="G2680" s="61" t="s">
        <v>322</v>
      </c>
      <c r="H2680" s="8"/>
      <c r="I2680" s="8"/>
      <c r="J2680" s="6" t="s">
        <v>110</v>
      </c>
      <c r="K2680" s="38">
        <v>271992</v>
      </c>
      <c r="L2680" s="4" t="s">
        <v>25</v>
      </c>
      <c r="M2680" s="11">
        <f>_xlfn.NUMBERVALUE(LEFT(Table613[[#This Row],[Fiscal Year]], 4))</f>
        <v>2017</v>
      </c>
      <c r="N2680" s="42">
        <f t="shared" si="59"/>
        <v>279239.57140758878</v>
      </c>
      <c r="O2680" s="3">
        <v>2678</v>
      </c>
    </row>
    <row r="2681" spans="1:15" x14ac:dyDescent="0.25">
      <c r="A2681" s="9">
        <v>8</v>
      </c>
      <c r="B2681" s="9" t="s">
        <v>19</v>
      </c>
      <c r="C2681" s="3" t="s">
        <v>19</v>
      </c>
      <c r="D2681" s="3" t="s">
        <v>446</v>
      </c>
      <c r="E2681" s="28" t="s">
        <v>144</v>
      </c>
      <c r="F2681" s="9" t="s">
        <v>5</v>
      </c>
      <c r="G2681" s="61" t="s">
        <v>330</v>
      </c>
      <c r="H2681" s="8"/>
      <c r="I2681" s="8"/>
      <c r="J2681" s="6" t="s">
        <v>108</v>
      </c>
      <c r="K2681" s="38">
        <v>3594565</v>
      </c>
      <c r="L2681" s="4" t="s">
        <v>25</v>
      </c>
      <c r="M2681" s="11">
        <f>_xlfn.NUMBERVALUE(LEFT(Table613[[#This Row],[Fiscal Year]], 4))</f>
        <v>2017</v>
      </c>
      <c r="N2681" s="42">
        <f t="shared" si="59"/>
        <v>3690346.7381272954</v>
      </c>
      <c r="O2681" s="3">
        <v>2679</v>
      </c>
    </row>
    <row r="2682" spans="1:15" x14ac:dyDescent="0.25">
      <c r="A2682" s="9">
        <v>8</v>
      </c>
      <c r="B2682" s="9" t="s">
        <v>19</v>
      </c>
      <c r="C2682" s="3" t="s">
        <v>19</v>
      </c>
      <c r="D2682" s="3" t="s">
        <v>446</v>
      </c>
      <c r="E2682" s="28" t="s">
        <v>144</v>
      </c>
      <c r="F2682" s="9" t="s">
        <v>5</v>
      </c>
      <c r="G2682" s="61" t="s">
        <v>331</v>
      </c>
      <c r="H2682" s="8"/>
      <c r="I2682" s="8"/>
      <c r="J2682" s="6" t="s">
        <v>108</v>
      </c>
      <c r="K2682" s="38">
        <v>206483</v>
      </c>
      <c r="L2682" s="4" t="s">
        <v>25</v>
      </c>
      <c r="M2682" s="11">
        <f>_xlfn.NUMBERVALUE(LEFT(Table613[[#This Row],[Fiscal Year]], 4))</f>
        <v>2017</v>
      </c>
      <c r="N2682" s="42">
        <f t="shared" si="59"/>
        <v>211985.00111383112</v>
      </c>
      <c r="O2682" s="3">
        <v>2680</v>
      </c>
    </row>
    <row r="2683" spans="1:15" x14ac:dyDescent="0.25">
      <c r="A2683" s="9">
        <v>8</v>
      </c>
      <c r="B2683" s="9" t="s">
        <v>19</v>
      </c>
      <c r="C2683" s="3" t="s">
        <v>19</v>
      </c>
      <c r="D2683" s="3" t="s">
        <v>446</v>
      </c>
      <c r="E2683" s="28" t="s">
        <v>144</v>
      </c>
      <c r="F2683" s="9" t="s">
        <v>5</v>
      </c>
      <c r="G2683" s="61" t="s">
        <v>332</v>
      </c>
      <c r="H2683" s="6" t="s">
        <v>634</v>
      </c>
      <c r="I2683" s="47" t="s">
        <v>635</v>
      </c>
      <c r="J2683" s="6" t="s">
        <v>455</v>
      </c>
      <c r="K2683" s="38">
        <v>3963859</v>
      </c>
      <c r="L2683" s="4" t="s">
        <v>25</v>
      </c>
      <c r="M2683" s="11">
        <f>_xlfn.NUMBERVALUE(LEFT(Table613[[#This Row],[Fiscal Year]], 4))</f>
        <v>2017</v>
      </c>
      <c r="N2683" s="42">
        <f t="shared" si="59"/>
        <v>4069481.0445899637</v>
      </c>
      <c r="O2683" s="3">
        <v>2681</v>
      </c>
    </row>
    <row r="2684" spans="1:15" x14ac:dyDescent="0.25">
      <c r="A2684" s="9"/>
      <c r="B2684" s="9"/>
      <c r="E2684" s="28"/>
      <c r="F2684" s="9"/>
      <c r="G2684" s="48"/>
      <c r="H2684" s="8"/>
      <c r="I2684" s="8"/>
      <c r="J2684" s="6"/>
      <c r="L2684" s="4"/>
      <c r="O2684" s="3">
        <v>2682</v>
      </c>
    </row>
    <row r="2685" spans="1:15" x14ac:dyDescent="0.25">
      <c r="A2685" s="9">
        <v>8</v>
      </c>
      <c r="B2685" s="18" t="s">
        <v>19</v>
      </c>
      <c r="C2685" s="3" t="s">
        <v>19</v>
      </c>
      <c r="D2685" s="3" t="s">
        <v>446</v>
      </c>
      <c r="E2685" s="28" t="s">
        <v>144</v>
      </c>
      <c r="F2685" s="9" t="s">
        <v>122</v>
      </c>
      <c r="G2685" s="48" t="s">
        <v>1122</v>
      </c>
      <c r="H2685" s="8" t="s">
        <v>572</v>
      </c>
      <c r="I2685" s="47" t="s">
        <v>570</v>
      </c>
      <c r="J2685" s="6" t="s">
        <v>110</v>
      </c>
      <c r="K2685" s="38">
        <v>1255863</v>
      </c>
      <c r="L2685" s="4" t="s">
        <v>25</v>
      </c>
      <c r="M2685" s="11">
        <f>_xlfn.NUMBERVALUE(LEFT(Table613[[#This Row],[Fiscal Year]], 4))</f>
        <v>2017</v>
      </c>
      <c r="N2685" s="42">
        <f t="shared" si="59"/>
        <v>1289327.0605997553</v>
      </c>
      <c r="O2685" s="3">
        <v>2683</v>
      </c>
    </row>
    <row r="2686" spans="1:15" x14ac:dyDescent="0.25">
      <c r="A2686" s="9">
        <v>8</v>
      </c>
      <c r="B2686" s="9" t="s">
        <v>19</v>
      </c>
      <c r="C2686" s="3" t="s">
        <v>19</v>
      </c>
      <c r="D2686" s="3" t="s">
        <v>446</v>
      </c>
      <c r="E2686" s="28" t="s">
        <v>144</v>
      </c>
      <c r="F2686" s="9" t="s">
        <v>122</v>
      </c>
      <c r="G2686" s="48" t="s">
        <v>320</v>
      </c>
      <c r="H2686" s="8"/>
      <c r="I2686" s="8"/>
      <c r="J2686" s="6" t="s">
        <v>110</v>
      </c>
      <c r="K2686" s="38" t="s">
        <v>28</v>
      </c>
      <c r="L2686" s="4" t="s">
        <v>25</v>
      </c>
      <c r="M2686" s="11">
        <f>_xlfn.NUMBERVALUE(LEFT(Table613[[#This Row],[Fiscal Year]], 4))</f>
        <v>2017</v>
      </c>
      <c r="O2686" s="3">
        <v>2684</v>
      </c>
    </row>
    <row r="2687" spans="1:15" x14ac:dyDescent="0.25">
      <c r="A2687" s="9">
        <v>8</v>
      </c>
      <c r="B2687" s="9" t="s">
        <v>19</v>
      </c>
      <c r="C2687" s="3" t="s">
        <v>19</v>
      </c>
      <c r="D2687" s="3" t="s">
        <v>446</v>
      </c>
      <c r="E2687" s="28" t="s">
        <v>144</v>
      </c>
      <c r="F2687" s="9" t="s">
        <v>122</v>
      </c>
      <c r="G2687" s="48" t="s">
        <v>321</v>
      </c>
      <c r="H2687" s="8"/>
      <c r="I2687" s="8"/>
      <c r="J2687" s="6" t="s">
        <v>455</v>
      </c>
      <c r="K2687" s="38" t="s">
        <v>28</v>
      </c>
      <c r="L2687" s="4" t="s">
        <v>25</v>
      </c>
      <c r="M2687" s="11">
        <f>_xlfn.NUMBERVALUE(LEFT(Table613[[#This Row],[Fiscal Year]], 4))</f>
        <v>2017</v>
      </c>
      <c r="O2687" s="3">
        <v>2685</v>
      </c>
    </row>
    <row r="2688" spans="1:15" x14ac:dyDescent="0.25">
      <c r="A2688" s="9">
        <v>8</v>
      </c>
      <c r="B2688" s="9" t="s">
        <v>19</v>
      </c>
      <c r="C2688" s="3" t="s">
        <v>19</v>
      </c>
      <c r="D2688" s="3" t="s">
        <v>446</v>
      </c>
      <c r="E2688" s="28" t="s">
        <v>144</v>
      </c>
      <c r="F2688" s="9" t="s">
        <v>122</v>
      </c>
      <c r="G2688" s="48" t="s">
        <v>210</v>
      </c>
      <c r="H2688" s="8"/>
      <c r="I2688" s="8"/>
      <c r="J2688" s="6" t="s">
        <v>107</v>
      </c>
      <c r="K2688" s="38" t="s">
        <v>28</v>
      </c>
      <c r="L2688" s="4" t="s">
        <v>25</v>
      </c>
      <c r="M2688" s="11">
        <f>_xlfn.NUMBERVALUE(LEFT(Table613[[#This Row],[Fiscal Year]], 4))</f>
        <v>2017</v>
      </c>
      <c r="O2688" s="3">
        <v>2686</v>
      </c>
    </row>
    <row r="2689" spans="1:15" x14ac:dyDescent="0.25">
      <c r="A2689" s="9">
        <v>8</v>
      </c>
      <c r="B2689" s="9" t="s">
        <v>19</v>
      </c>
      <c r="C2689" s="3" t="s">
        <v>19</v>
      </c>
      <c r="D2689" s="3" t="s">
        <v>446</v>
      </c>
      <c r="E2689" s="28" t="s">
        <v>144</v>
      </c>
      <c r="F2689" s="9" t="s">
        <v>122</v>
      </c>
      <c r="G2689" s="48" t="s">
        <v>209</v>
      </c>
      <c r="H2689" s="8"/>
      <c r="I2689" s="8"/>
      <c r="J2689" s="6" t="s">
        <v>111</v>
      </c>
      <c r="K2689" s="38" t="s">
        <v>28</v>
      </c>
      <c r="L2689" s="4" t="s">
        <v>25</v>
      </c>
      <c r="M2689" s="11">
        <f>_xlfn.NUMBERVALUE(LEFT(Table613[[#This Row],[Fiscal Year]], 4))</f>
        <v>2017</v>
      </c>
      <c r="O2689" s="3">
        <v>2687</v>
      </c>
    </row>
    <row r="2690" spans="1:15" x14ac:dyDescent="0.25">
      <c r="A2690" s="9">
        <v>8</v>
      </c>
      <c r="B2690" s="9" t="s">
        <v>19</v>
      </c>
      <c r="C2690" s="3" t="s">
        <v>19</v>
      </c>
      <c r="D2690" s="3" t="s">
        <v>446</v>
      </c>
      <c r="E2690" s="28" t="s">
        <v>144</v>
      </c>
      <c r="F2690" s="9" t="s">
        <v>122</v>
      </c>
      <c r="G2690" s="48" t="s">
        <v>325</v>
      </c>
      <c r="H2690" s="8"/>
      <c r="I2690" s="8"/>
      <c r="J2690" s="6" t="s">
        <v>109</v>
      </c>
      <c r="K2690" s="38" t="s">
        <v>28</v>
      </c>
      <c r="L2690" s="4" t="s">
        <v>25</v>
      </c>
      <c r="M2690" s="11">
        <f>_xlfn.NUMBERVALUE(LEFT(Table613[[#This Row],[Fiscal Year]], 4))</f>
        <v>2017</v>
      </c>
      <c r="O2690" s="3">
        <v>2688</v>
      </c>
    </row>
    <row r="2691" spans="1:15" x14ac:dyDescent="0.25">
      <c r="A2691" s="9">
        <v>8</v>
      </c>
      <c r="B2691" s="9" t="s">
        <v>19</v>
      </c>
      <c r="C2691" s="3" t="s">
        <v>19</v>
      </c>
      <c r="D2691" s="3" t="s">
        <v>446</v>
      </c>
      <c r="E2691" s="28" t="s">
        <v>144</v>
      </c>
      <c r="F2691" s="9" t="s">
        <v>122</v>
      </c>
      <c r="G2691" s="48" t="s">
        <v>1126</v>
      </c>
      <c r="H2691" s="8"/>
      <c r="I2691" s="8"/>
      <c r="J2691" s="6" t="s">
        <v>106</v>
      </c>
      <c r="K2691" s="38" t="s">
        <v>28</v>
      </c>
      <c r="L2691" s="4" t="s">
        <v>25</v>
      </c>
      <c r="M2691" s="11">
        <f>_xlfn.NUMBERVALUE(LEFT(Table613[[#This Row],[Fiscal Year]], 4))</f>
        <v>2017</v>
      </c>
      <c r="O2691" s="3">
        <v>2689</v>
      </c>
    </row>
    <row r="2692" spans="1:15" x14ac:dyDescent="0.25">
      <c r="A2692" s="9">
        <v>8</v>
      </c>
      <c r="B2692" s="9" t="s">
        <v>19</v>
      </c>
      <c r="C2692" s="3" t="s">
        <v>19</v>
      </c>
      <c r="D2692" s="3" t="s">
        <v>446</v>
      </c>
      <c r="E2692" s="28" t="s">
        <v>144</v>
      </c>
      <c r="F2692" s="9" t="s">
        <v>122</v>
      </c>
      <c r="G2692" s="48" t="s">
        <v>1123</v>
      </c>
      <c r="H2692" s="8"/>
      <c r="I2692" s="8"/>
      <c r="J2692" s="6" t="s">
        <v>108</v>
      </c>
      <c r="K2692" s="38" t="s">
        <v>433</v>
      </c>
      <c r="L2692" s="4" t="s">
        <v>25</v>
      </c>
      <c r="M2692" s="11">
        <f>_xlfn.NUMBERVALUE(LEFT(Table613[[#This Row],[Fiscal Year]], 4))</f>
        <v>2017</v>
      </c>
      <c r="O2692" s="3">
        <v>2690</v>
      </c>
    </row>
    <row r="2693" spans="1:15" x14ac:dyDescent="0.25">
      <c r="A2693" s="9">
        <v>8</v>
      </c>
      <c r="B2693" s="9" t="s">
        <v>19</v>
      </c>
      <c r="C2693" s="3" t="s">
        <v>19</v>
      </c>
      <c r="D2693" s="3" t="s">
        <v>446</v>
      </c>
      <c r="E2693" s="28" t="s">
        <v>144</v>
      </c>
      <c r="F2693" s="9" t="s">
        <v>122</v>
      </c>
      <c r="G2693" s="48" t="s">
        <v>1124</v>
      </c>
      <c r="H2693" s="8"/>
      <c r="I2693" s="8"/>
      <c r="J2693" s="6" t="s">
        <v>42</v>
      </c>
      <c r="K2693" s="38">
        <v>54252</v>
      </c>
      <c r="L2693" s="4" t="s">
        <v>25</v>
      </c>
      <c r="M2693" s="11">
        <f>_xlfn.NUMBERVALUE(LEFT(Table613[[#This Row],[Fiscal Year]], 4))</f>
        <v>2017</v>
      </c>
      <c r="N2693" s="42">
        <f t="shared" si="59"/>
        <v>55697.613268053865</v>
      </c>
      <c r="O2693" s="3">
        <v>2691</v>
      </c>
    </row>
    <row r="2694" spans="1:15" x14ac:dyDescent="0.25">
      <c r="A2694" s="9">
        <v>8</v>
      </c>
      <c r="B2694" s="9" t="s">
        <v>19</v>
      </c>
      <c r="C2694" s="3" t="s">
        <v>19</v>
      </c>
      <c r="D2694" s="3" t="s">
        <v>446</v>
      </c>
      <c r="E2694" s="28" t="s">
        <v>144</v>
      </c>
      <c r="F2694" s="9" t="s">
        <v>122</v>
      </c>
      <c r="G2694" s="48" t="s">
        <v>1125</v>
      </c>
      <c r="H2694" s="8"/>
      <c r="I2694" s="8"/>
      <c r="J2694" s="6" t="s">
        <v>47</v>
      </c>
      <c r="K2694" s="38">
        <v>545289</v>
      </c>
      <c r="L2694" s="4" t="s">
        <v>25</v>
      </c>
      <c r="M2694" s="11">
        <f>_xlfn.NUMBERVALUE(LEFT(Table613[[#This Row],[Fiscal Year]], 4))</f>
        <v>2017</v>
      </c>
      <c r="N2694" s="42">
        <f t="shared" si="59"/>
        <v>559818.9161933905</v>
      </c>
      <c r="O2694" s="3">
        <v>2692</v>
      </c>
    </row>
    <row r="2695" spans="1:15" x14ac:dyDescent="0.25">
      <c r="A2695" s="9">
        <v>8</v>
      </c>
      <c r="B2695" s="9" t="s">
        <v>19</v>
      </c>
      <c r="C2695" s="3" t="s">
        <v>19</v>
      </c>
      <c r="D2695" s="3" t="s">
        <v>446</v>
      </c>
      <c r="E2695" s="28" t="s">
        <v>144</v>
      </c>
      <c r="F2695" s="9" t="s">
        <v>122</v>
      </c>
      <c r="G2695" s="48" t="s">
        <v>329</v>
      </c>
      <c r="H2695" s="8"/>
      <c r="I2695" s="8"/>
      <c r="J2695" s="6" t="s">
        <v>455</v>
      </c>
      <c r="K2695" s="38" t="s">
        <v>28</v>
      </c>
      <c r="L2695" s="4" t="s">
        <v>25</v>
      </c>
      <c r="M2695" s="11">
        <f>_xlfn.NUMBERVALUE(LEFT(Table613[[#This Row],[Fiscal Year]], 4))</f>
        <v>2017</v>
      </c>
      <c r="O2695" s="3">
        <v>2693</v>
      </c>
    </row>
    <row r="2696" spans="1:15" x14ac:dyDescent="0.25">
      <c r="A2696" s="9">
        <v>8</v>
      </c>
      <c r="B2696" s="9" t="s">
        <v>19</v>
      </c>
      <c r="C2696" s="3" t="s">
        <v>19</v>
      </c>
      <c r="D2696" s="3" t="s">
        <v>446</v>
      </c>
      <c r="E2696" s="28" t="s">
        <v>144</v>
      </c>
      <c r="F2696" s="9" t="s">
        <v>122</v>
      </c>
      <c r="G2696" s="48" t="s">
        <v>67</v>
      </c>
      <c r="H2696" s="8"/>
      <c r="I2696" s="8"/>
      <c r="J2696" s="6" t="s">
        <v>455</v>
      </c>
      <c r="K2696" s="38" t="s">
        <v>28</v>
      </c>
      <c r="L2696" s="4" t="s">
        <v>25</v>
      </c>
      <c r="M2696" s="11">
        <f>_xlfn.NUMBERVALUE(LEFT(Table613[[#This Row],[Fiscal Year]], 4))</f>
        <v>2017</v>
      </c>
      <c r="O2696" s="3">
        <v>2694</v>
      </c>
    </row>
    <row r="2697" spans="1:15" x14ac:dyDescent="0.25">
      <c r="A2697" s="9"/>
      <c r="B2697" s="9"/>
      <c r="E2697" s="28"/>
      <c r="F2697" s="9"/>
      <c r="G2697" s="48"/>
      <c r="H2697" s="8"/>
      <c r="I2697" s="8"/>
      <c r="J2697" s="6"/>
      <c r="L2697" s="4"/>
      <c r="O2697" s="3">
        <v>2695</v>
      </c>
    </row>
    <row r="2698" spans="1:15" x14ac:dyDescent="0.25">
      <c r="A2698" s="9">
        <v>8</v>
      </c>
      <c r="B2698" s="9" t="s">
        <v>297</v>
      </c>
      <c r="C2698" s="3" t="s">
        <v>19</v>
      </c>
      <c r="D2698" s="3" t="s">
        <v>446</v>
      </c>
      <c r="E2698" s="28" t="s">
        <v>144</v>
      </c>
      <c r="F2698" s="9" t="s">
        <v>8</v>
      </c>
      <c r="G2698" s="48" t="s">
        <v>32</v>
      </c>
      <c r="H2698" s="8"/>
      <c r="I2698" s="47" t="s">
        <v>573</v>
      </c>
      <c r="J2698" s="6" t="s">
        <v>110</v>
      </c>
      <c r="K2698" s="38">
        <v>0</v>
      </c>
      <c r="L2698" s="4" t="s">
        <v>25</v>
      </c>
      <c r="M2698" s="11">
        <f>_xlfn.NUMBERVALUE(LEFT(Table613[[#This Row],[Fiscal Year]], 4))</f>
        <v>2017</v>
      </c>
      <c r="N2698" s="42">
        <f t="shared" ref="N2698:N2760" si="60">K2698*(1+VLOOKUP(M2698,$AF$8:$AH$31,3,0))</f>
        <v>0</v>
      </c>
      <c r="O2698" s="3">
        <v>2696</v>
      </c>
    </row>
    <row r="2699" spans="1:15" x14ac:dyDescent="0.25">
      <c r="A2699" s="9">
        <v>8</v>
      </c>
      <c r="B2699" s="9" t="s">
        <v>297</v>
      </c>
      <c r="C2699" s="3" t="s">
        <v>19</v>
      </c>
      <c r="D2699" s="3" t="s">
        <v>446</v>
      </c>
      <c r="E2699" s="28" t="s">
        <v>144</v>
      </c>
      <c r="F2699" s="9" t="s">
        <v>8</v>
      </c>
      <c r="G2699" s="48" t="s">
        <v>320</v>
      </c>
      <c r="H2699" s="8"/>
      <c r="I2699" s="47" t="s">
        <v>577</v>
      </c>
      <c r="J2699" s="6" t="s">
        <v>110</v>
      </c>
      <c r="K2699" s="38">
        <v>38000</v>
      </c>
      <c r="L2699" s="4" t="s">
        <v>25</v>
      </c>
      <c r="M2699" s="11">
        <f>_xlfn.NUMBERVALUE(LEFT(Table613[[#This Row],[Fiscal Year]], 4))</f>
        <v>2017</v>
      </c>
      <c r="N2699" s="42">
        <f t="shared" si="60"/>
        <v>39012.558139534885</v>
      </c>
      <c r="O2699" s="3">
        <v>2697</v>
      </c>
    </row>
    <row r="2700" spans="1:15" x14ac:dyDescent="0.25">
      <c r="A2700" s="9">
        <v>8</v>
      </c>
      <c r="B2700" s="9" t="s">
        <v>297</v>
      </c>
      <c r="C2700" s="3" t="s">
        <v>19</v>
      </c>
      <c r="D2700" s="3" t="s">
        <v>446</v>
      </c>
      <c r="E2700" s="28" t="s">
        <v>144</v>
      </c>
      <c r="F2700" s="9" t="s">
        <v>8</v>
      </c>
      <c r="G2700" s="48" t="s">
        <v>321</v>
      </c>
      <c r="H2700" s="8"/>
      <c r="I2700" s="8"/>
      <c r="J2700" s="6" t="s">
        <v>455</v>
      </c>
      <c r="K2700" s="38">
        <v>700000</v>
      </c>
      <c r="L2700" s="4" t="s">
        <v>25</v>
      </c>
      <c r="M2700" s="11">
        <f>_xlfn.NUMBERVALUE(LEFT(Table613[[#This Row],[Fiscal Year]], 4))</f>
        <v>2017</v>
      </c>
      <c r="N2700" s="42">
        <f t="shared" si="60"/>
        <v>718652.38678090589</v>
      </c>
      <c r="O2700" s="3">
        <v>2698</v>
      </c>
    </row>
    <row r="2701" spans="1:15" x14ac:dyDescent="0.25">
      <c r="A2701" s="9">
        <v>8</v>
      </c>
      <c r="B2701" s="9" t="s">
        <v>297</v>
      </c>
      <c r="C2701" s="3" t="s">
        <v>19</v>
      </c>
      <c r="D2701" s="3" t="s">
        <v>446</v>
      </c>
      <c r="E2701" s="28" t="s">
        <v>144</v>
      </c>
      <c r="F2701" s="9" t="s">
        <v>8</v>
      </c>
      <c r="G2701" s="48" t="s">
        <v>210</v>
      </c>
      <c r="H2701" s="8"/>
      <c r="I2701" s="8"/>
      <c r="J2701" s="6" t="s">
        <v>107</v>
      </c>
      <c r="K2701" s="38" t="s">
        <v>827</v>
      </c>
      <c r="L2701" s="4" t="s">
        <v>25</v>
      </c>
      <c r="M2701" s="11">
        <f>_xlfn.NUMBERVALUE(LEFT(Table613[[#This Row],[Fiscal Year]], 4))</f>
        <v>2017</v>
      </c>
      <c r="O2701" s="3">
        <v>2699</v>
      </c>
    </row>
    <row r="2702" spans="1:15" x14ac:dyDescent="0.25">
      <c r="A2702" s="9">
        <v>8</v>
      </c>
      <c r="B2702" s="9" t="s">
        <v>297</v>
      </c>
      <c r="C2702" s="3" t="s">
        <v>19</v>
      </c>
      <c r="D2702" s="3" t="s">
        <v>446</v>
      </c>
      <c r="E2702" s="28" t="s">
        <v>144</v>
      </c>
      <c r="F2702" s="9" t="s">
        <v>8</v>
      </c>
      <c r="G2702" s="48" t="s">
        <v>209</v>
      </c>
      <c r="H2702" s="8"/>
      <c r="I2702" s="8"/>
      <c r="J2702" s="6" t="s">
        <v>111</v>
      </c>
      <c r="K2702" s="38">
        <v>5640</v>
      </c>
      <c r="L2702" s="4" t="s">
        <v>25</v>
      </c>
      <c r="M2702" s="11">
        <f>_xlfn.NUMBERVALUE(LEFT(Table613[[#This Row],[Fiscal Year]], 4))</f>
        <v>2017</v>
      </c>
      <c r="N2702" s="42">
        <f t="shared" si="60"/>
        <v>5790.2849449204414</v>
      </c>
      <c r="O2702" s="3">
        <v>2700</v>
      </c>
    </row>
    <row r="2703" spans="1:15" x14ac:dyDescent="0.25">
      <c r="A2703" s="9">
        <v>8</v>
      </c>
      <c r="B2703" s="9" t="s">
        <v>297</v>
      </c>
      <c r="C2703" s="3" t="s">
        <v>19</v>
      </c>
      <c r="D2703" s="3" t="s">
        <v>446</v>
      </c>
      <c r="E2703" s="28" t="s">
        <v>144</v>
      </c>
      <c r="F2703" s="9" t="s">
        <v>8</v>
      </c>
      <c r="G2703" s="48" t="s">
        <v>325</v>
      </c>
      <c r="H2703" s="8"/>
      <c r="I2703" s="8"/>
      <c r="J2703" s="6" t="s">
        <v>109</v>
      </c>
      <c r="K2703" s="38">
        <v>147600</v>
      </c>
      <c r="L2703" s="4" t="s">
        <v>25</v>
      </c>
      <c r="M2703" s="11">
        <f>_xlfn.NUMBERVALUE(LEFT(Table613[[#This Row],[Fiscal Year]], 4))</f>
        <v>2017</v>
      </c>
      <c r="N2703" s="42">
        <f t="shared" si="60"/>
        <v>151532.98898408815</v>
      </c>
      <c r="O2703" s="3">
        <v>2701</v>
      </c>
    </row>
    <row r="2704" spans="1:15" x14ac:dyDescent="0.25">
      <c r="A2704" s="9">
        <v>8</v>
      </c>
      <c r="B2704" s="9" t="s">
        <v>297</v>
      </c>
      <c r="C2704" s="3" t="s">
        <v>19</v>
      </c>
      <c r="D2704" s="3" t="s">
        <v>446</v>
      </c>
      <c r="E2704" s="28" t="s">
        <v>144</v>
      </c>
      <c r="F2704" s="9" t="s">
        <v>8</v>
      </c>
      <c r="G2704" s="48" t="s">
        <v>326</v>
      </c>
      <c r="H2704" s="8"/>
      <c r="I2704" s="8"/>
      <c r="J2704" s="6" t="s">
        <v>106</v>
      </c>
      <c r="K2704" s="38">
        <v>2400</v>
      </c>
      <c r="L2704" s="4" t="s">
        <v>25</v>
      </c>
      <c r="M2704" s="11">
        <f>_xlfn.NUMBERVALUE(LEFT(Table613[[#This Row],[Fiscal Year]], 4))</f>
        <v>2017</v>
      </c>
      <c r="N2704" s="42">
        <f t="shared" si="60"/>
        <v>2463.951040391677</v>
      </c>
      <c r="O2704" s="3">
        <v>2702</v>
      </c>
    </row>
    <row r="2705" spans="1:15" x14ac:dyDescent="0.25">
      <c r="A2705" s="9">
        <v>8</v>
      </c>
      <c r="B2705" s="9" t="s">
        <v>297</v>
      </c>
      <c r="C2705" s="3" t="s">
        <v>19</v>
      </c>
      <c r="D2705" s="3" t="s">
        <v>446</v>
      </c>
      <c r="E2705" s="28" t="s">
        <v>144</v>
      </c>
      <c r="F2705" s="9" t="s">
        <v>8</v>
      </c>
      <c r="G2705" s="48" t="s">
        <v>327</v>
      </c>
      <c r="H2705" s="8"/>
      <c r="I2705" s="8"/>
      <c r="J2705" s="6" t="s">
        <v>108</v>
      </c>
      <c r="K2705" s="38">
        <v>118000</v>
      </c>
      <c r="L2705" s="4" t="s">
        <v>25</v>
      </c>
      <c r="M2705" s="11">
        <f>_xlfn.NUMBERVALUE(LEFT(Table613[[#This Row],[Fiscal Year]], 4))</f>
        <v>2017</v>
      </c>
      <c r="N2705" s="42">
        <f t="shared" si="60"/>
        <v>121144.25948592412</v>
      </c>
      <c r="O2705" s="3">
        <v>2703</v>
      </c>
    </row>
    <row r="2706" spans="1:15" x14ac:dyDescent="0.25">
      <c r="A2706" s="9">
        <v>8</v>
      </c>
      <c r="B2706" s="9" t="s">
        <v>297</v>
      </c>
      <c r="C2706" s="3" t="s">
        <v>19</v>
      </c>
      <c r="D2706" s="3" t="s">
        <v>446</v>
      </c>
      <c r="E2706" s="28" t="s">
        <v>144</v>
      </c>
      <c r="F2706" s="9" t="s">
        <v>8</v>
      </c>
      <c r="G2706" s="48" t="s">
        <v>328</v>
      </c>
      <c r="H2706" s="8"/>
      <c r="I2706" s="8"/>
      <c r="J2706" s="6" t="s">
        <v>42</v>
      </c>
      <c r="K2706" s="38">
        <v>1000</v>
      </c>
      <c r="L2706" s="4" t="s">
        <v>25</v>
      </c>
      <c r="M2706" s="11">
        <f>_xlfn.NUMBERVALUE(LEFT(Table613[[#This Row],[Fiscal Year]], 4))</f>
        <v>2017</v>
      </c>
      <c r="N2706" s="42">
        <f t="shared" si="60"/>
        <v>1026.6462668298655</v>
      </c>
      <c r="O2706" s="3">
        <v>2704</v>
      </c>
    </row>
    <row r="2707" spans="1:15" x14ac:dyDescent="0.25">
      <c r="A2707" s="9">
        <v>8</v>
      </c>
      <c r="B2707" s="9" t="s">
        <v>297</v>
      </c>
      <c r="C2707" s="3" t="s">
        <v>19</v>
      </c>
      <c r="D2707" s="3" t="s">
        <v>446</v>
      </c>
      <c r="E2707" s="28" t="s">
        <v>144</v>
      </c>
      <c r="F2707" s="9" t="s">
        <v>8</v>
      </c>
      <c r="G2707" s="48" t="s">
        <v>78</v>
      </c>
      <c r="H2707" s="8"/>
      <c r="I2707" s="8"/>
      <c r="J2707" s="6" t="s">
        <v>47</v>
      </c>
      <c r="K2707" s="38">
        <v>11400</v>
      </c>
      <c r="L2707" s="4" t="s">
        <v>25</v>
      </c>
      <c r="M2707" s="11">
        <f>_xlfn.NUMBERVALUE(LEFT(Table613[[#This Row],[Fiscal Year]], 4))</f>
        <v>2017</v>
      </c>
      <c r="N2707" s="42">
        <f t="shared" si="60"/>
        <v>11703.767441860466</v>
      </c>
      <c r="O2707" s="3">
        <v>2705</v>
      </c>
    </row>
    <row r="2708" spans="1:15" x14ac:dyDescent="0.25">
      <c r="A2708" s="9">
        <v>8</v>
      </c>
      <c r="B2708" s="9" t="s">
        <v>297</v>
      </c>
      <c r="C2708" s="3" t="s">
        <v>19</v>
      </c>
      <c r="D2708" s="3" t="s">
        <v>446</v>
      </c>
      <c r="E2708" s="28" t="s">
        <v>144</v>
      </c>
      <c r="F2708" s="9" t="s">
        <v>8</v>
      </c>
      <c r="G2708" s="48" t="s">
        <v>329</v>
      </c>
      <c r="H2708" s="8"/>
      <c r="I2708" s="8"/>
      <c r="J2708" s="6" t="s">
        <v>455</v>
      </c>
      <c r="K2708" s="38">
        <v>900</v>
      </c>
      <c r="L2708" s="4" t="s">
        <v>25</v>
      </c>
      <c r="M2708" s="11">
        <f>_xlfn.NUMBERVALUE(LEFT(Table613[[#This Row],[Fiscal Year]], 4))</f>
        <v>2017</v>
      </c>
      <c r="N2708" s="42">
        <f t="shared" si="60"/>
        <v>923.98164014687893</v>
      </c>
      <c r="O2708" s="3">
        <v>2706</v>
      </c>
    </row>
    <row r="2709" spans="1:15" x14ac:dyDescent="0.25">
      <c r="A2709" s="9">
        <v>8</v>
      </c>
      <c r="B2709" s="9" t="s">
        <v>297</v>
      </c>
      <c r="C2709" s="3" t="s">
        <v>19</v>
      </c>
      <c r="D2709" s="3" t="s">
        <v>446</v>
      </c>
      <c r="E2709" s="28" t="s">
        <v>144</v>
      </c>
      <c r="F2709" s="9" t="s">
        <v>8</v>
      </c>
      <c r="G2709" s="48" t="s">
        <v>67</v>
      </c>
      <c r="H2709" s="8"/>
      <c r="I2709" s="8"/>
      <c r="J2709" s="6" t="s">
        <v>455</v>
      </c>
      <c r="K2709" s="38">
        <v>77540</v>
      </c>
      <c r="L2709" s="4" t="s">
        <v>25</v>
      </c>
      <c r="M2709" s="11">
        <f>_xlfn.NUMBERVALUE(LEFT(Table613[[#This Row],[Fiscal Year]], 4))</f>
        <v>2017</v>
      </c>
      <c r="N2709" s="42">
        <f t="shared" si="60"/>
        <v>79606.151529987765</v>
      </c>
      <c r="O2709" s="3">
        <v>2707</v>
      </c>
    </row>
    <row r="2710" spans="1:15" x14ac:dyDescent="0.25">
      <c r="A2710" s="9"/>
      <c r="B2710" s="9"/>
      <c r="E2710" s="28"/>
      <c r="F2710" s="9"/>
      <c r="G2710" s="48"/>
      <c r="H2710" s="8"/>
      <c r="I2710" s="8"/>
      <c r="J2710" s="6"/>
      <c r="L2710" s="4"/>
      <c r="O2710" s="3">
        <v>2708</v>
      </c>
    </row>
    <row r="2711" spans="1:15" x14ac:dyDescent="0.25">
      <c r="A2711" s="9">
        <v>8</v>
      </c>
      <c r="B2711" s="9" t="s">
        <v>298</v>
      </c>
      <c r="C2711" s="3" t="s">
        <v>19</v>
      </c>
      <c r="D2711" s="3" t="s">
        <v>446</v>
      </c>
      <c r="E2711" s="28" t="s">
        <v>144</v>
      </c>
      <c r="F2711" s="9" t="s">
        <v>8</v>
      </c>
      <c r="G2711" s="48" t="s">
        <v>32</v>
      </c>
      <c r="H2711" s="8" t="s">
        <v>575</v>
      </c>
      <c r="I2711" s="47" t="s">
        <v>574</v>
      </c>
      <c r="J2711" s="6" t="s">
        <v>110</v>
      </c>
      <c r="K2711" s="38">
        <v>189191</v>
      </c>
      <c r="L2711" s="4" t="s">
        <v>25</v>
      </c>
      <c r="M2711" s="11">
        <f>_xlfn.NUMBERVALUE(LEFT(Table613[[#This Row],[Fiscal Year]], 4))</f>
        <v>2017</v>
      </c>
      <c r="N2711" s="42">
        <f t="shared" si="60"/>
        <v>194232.23386780909</v>
      </c>
      <c r="O2711" s="3">
        <v>2709</v>
      </c>
    </row>
    <row r="2712" spans="1:15" x14ac:dyDescent="0.25">
      <c r="A2712" s="9">
        <v>8</v>
      </c>
      <c r="B2712" s="9" t="s">
        <v>298</v>
      </c>
      <c r="C2712" s="3" t="s">
        <v>19</v>
      </c>
      <c r="D2712" s="3" t="s">
        <v>446</v>
      </c>
      <c r="E2712" s="28" t="s">
        <v>144</v>
      </c>
      <c r="F2712" s="9" t="s">
        <v>8</v>
      </c>
      <c r="G2712" s="48" t="s">
        <v>320</v>
      </c>
      <c r="H2712" s="8" t="s">
        <v>581</v>
      </c>
      <c r="I2712" s="47" t="s">
        <v>580</v>
      </c>
      <c r="J2712" s="6" t="s">
        <v>110</v>
      </c>
      <c r="K2712" s="38">
        <v>35577</v>
      </c>
      <c r="L2712" s="4" t="s">
        <v>25</v>
      </c>
      <c r="M2712" s="11">
        <f>_xlfn.NUMBERVALUE(LEFT(Table613[[#This Row],[Fiscal Year]], 4))</f>
        <v>2017</v>
      </c>
      <c r="N2712" s="42">
        <f t="shared" si="60"/>
        <v>36524.994235006125</v>
      </c>
      <c r="O2712" s="3">
        <v>2710</v>
      </c>
    </row>
    <row r="2713" spans="1:15" x14ac:dyDescent="0.25">
      <c r="A2713" s="9">
        <v>8</v>
      </c>
      <c r="B2713" s="9" t="s">
        <v>298</v>
      </c>
      <c r="C2713" s="3" t="s">
        <v>19</v>
      </c>
      <c r="D2713" s="3" t="s">
        <v>446</v>
      </c>
      <c r="E2713" s="28" t="s">
        <v>144</v>
      </c>
      <c r="F2713" s="9" t="s">
        <v>8</v>
      </c>
      <c r="G2713" s="48" t="s">
        <v>321</v>
      </c>
      <c r="H2713" s="8"/>
      <c r="I2713" s="8"/>
      <c r="J2713" s="6" t="s">
        <v>455</v>
      </c>
      <c r="K2713" s="38">
        <v>365558</v>
      </c>
      <c r="L2713" s="4" t="s">
        <v>25</v>
      </c>
      <c r="M2713" s="11">
        <f>_xlfn.NUMBERVALUE(LEFT(Table613[[#This Row],[Fiscal Year]], 4))</f>
        <v>2017</v>
      </c>
      <c r="N2713" s="42">
        <f t="shared" si="60"/>
        <v>375298.75600979198</v>
      </c>
      <c r="O2713" s="3">
        <v>2711</v>
      </c>
    </row>
    <row r="2714" spans="1:15" x14ac:dyDescent="0.25">
      <c r="A2714" s="9">
        <v>8</v>
      </c>
      <c r="B2714" s="9" t="s">
        <v>298</v>
      </c>
      <c r="C2714" s="3" t="s">
        <v>19</v>
      </c>
      <c r="D2714" s="3" t="s">
        <v>446</v>
      </c>
      <c r="E2714" s="28" t="s">
        <v>144</v>
      </c>
      <c r="F2714" s="9" t="s">
        <v>8</v>
      </c>
      <c r="G2714" s="48" t="s">
        <v>210</v>
      </c>
      <c r="H2714" s="8"/>
      <c r="I2714" s="8"/>
      <c r="J2714" s="6" t="s">
        <v>107</v>
      </c>
      <c r="K2714" s="38">
        <v>58649</v>
      </c>
      <c r="L2714" s="4" t="s">
        <v>25</v>
      </c>
      <c r="M2714" s="11">
        <f>_xlfn.NUMBERVALUE(LEFT(Table613[[#This Row],[Fiscal Year]], 4))</f>
        <v>2017</v>
      </c>
      <c r="N2714" s="42">
        <f t="shared" si="60"/>
        <v>60211.776903304781</v>
      </c>
      <c r="O2714" s="3">
        <v>2712</v>
      </c>
    </row>
    <row r="2715" spans="1:15" x14ac:dyDescent="0.25">
      <c r="A2715" s="9">
        <v>8</v>
      </c>
      <c r="B2715" s="9" t="s">
        <v>298</v>
      </c>
      <c r="C2715" s="3" t="s">
        <v>19</v>
      </c>
      <c r="D2715" s="3" t="s">
        <v>446</v>
      </c>
      <c r="E2715" s="28" t="s">
        <v>144</v>
      </c>
      <c r="F2715" s="9" t="s">
        <v>8</v>
      </c>
      <c r="G2715" s="48" t="s">
        <v>209</v>
      </c>
      <c r="H2715" s="8"/>
      <c r="I2715" s="8"/>
      <c r="J2715" s="6" t="s">
        <v>111</v>
      </c>
      <c r="K2715" s="38">
        <v>37838</v>
      </c>
      <c r="L2715" s="4" t="s">
        <v>25</v>
      </c>
      <c r="M2715" s="11">
        <f>_xlfn.NUMBERVALUE(LEFT(Table613[[#This Row],[Fiscal Year]], 4))</f>
        <v>2017</v>
      </c>
      <c r="N2715" s="42">
        <f t="shared" si="60"/>
        <v>38846.241444308449</v>
      </c>
      <c r="O2715" s="3">
        <v>2713</v>
      </c>
    </row>
    <row r="2716" spans="1:15" x14ac:dyDescent="0.25">
      <c r="A2716" s="9">
        <v>8</v>
      </c>
      <c r="B2716" s="9" t="s">
        <v>298</v>
      </c>
      <c r="C2716" s="3" t="s">
        <v>19</v>
      </c>
      <c r="D2716" s="3" t="s">
        <v>446</v>
      </c>
      <c r="E2716" s="28" t="s">
        <v>144</v>
      </c>
      <c r="F2716" s="9" t="s">
        <v>8</v>
      </c>
      <c r="G2716" s="48" t="s">
        <v>325</v>
      </c>
      <c r="H2716" s="8"/>
      <c r="I2716" s="8"/>
      <c r="J2716" s="6" t="s">
        <v>109</v>
      </c>
      <c r="K2716" s="38">
        <v>30000</v>
      </c>
      <c r="L2716" s="4" t="s">
        <v>25</v>
      </c>
      <c r="M2716" s="11">
        <f>_xlfn.NUMBERVALUE(LEFT(Table613[[#This Row],[Fiscal Year]], 4))</f>
        <v>2017</v>
      </c>
      <c r="N2716" s="42">
        <f t="shared" si="60"/>
        <v>30799.388004895965</v>
      </c>
      <c r="O2716" s="3">
        <v>2714</v>
      </c>
    </row>
    <row r="2717" spans="1:15" x14ac:dyDescent="0.25">
      <c r="A2717" s="9">
        <v>8</v>
      </c>
      <c r="B2717" s="9" t="s">
        <v>298</v>
      </c>
      <c r="C2717" s="3" t="s">
        <v>19</v>
      </c>
      <c r="D2717" s="3" t="s">
        <v>446</v>
      </c>
      <c r="E2717" s="28" t="s">
        <v>144</v>
      </c>
      <c r="F2717" s="9" t="s">
        <v>8</v>
      </c>
      <c r="G2717" s="48" t="s">
        <v>326</v>
      </c>
      <c r="H2717" s="8"/>
      <c r="I2717" s="8"/>
      <c r="J2717" s="6" t="s">
        <v>106</v>
      </c>
      <c r="K2717" s="38">
        <v>33000</v>
      </c>
      <c r="L2717" s="4" t="s">
        <v>25</v>
      </c>
      <c r="M2717" s="11">
        <f>_xlfn.NUMBERVALUE(LEFT(Table613[[#This Row],[Fiscal Year]], 4))</f>
        <v>2017</v>
      </c>
      <c r="N2717" s="42">
        <f t="shared" si="60"/>
        <v>33879.326805385565</v>
      </c>
      <c r="O2717" s="3">
        <v>2715</v>
      </c>
    </row>
    <row r="2718" spans="1:15" x14ac:dyDescent="0.25">
      <c r="A2718" s="9">
        <v>8</v>
      </c>
      <c r="B2718" s="9" t="s">
        <v>298</v>
      </c>
      <c r="C2718" s="3" t="s">
        <v>19</v>
      </c>
      <c r="D2718" s="3" t="s">
        <v>446</v>
      </c>
      <c r="E2718" s="28" t="s">
        <v>144</v>
      </c>
      <c r="F2718" s="9" t="s">
        <v>8</v>
      </c>
      <c r="G2718" s="48" t="s">
        <v>327</v>
      </c>
      <c r="H2718" s="8"/>
      <c r="I2718" s="8"/>
      <c r="J2718" s="6" t="s">
        <v>108</v>
      </c>
      <c r="K2718" s="38">
        <v>106773</v>
      </c>
      <c r="L2718" s="4" t="s">
        <v>25</v>
      </c>
      <c r="M2718" s="11">
        <f>_xlfn.NUMBERVALUE(LEFT(Table613[[#This Row],[Fiscal Year]], 4))</f>
        <v>2017</v>
      </c>
      <c r="N2718" s="42">
        <f t="shared" si="60"/>
        <v>109618.10184822523</v>
      </c>
      <c r="O2718" s="3">
        <v>2716</v>
      </c>
    </row>
    <row r="2719" spans="1:15" x14ac:dyDescent="0.25">
      <c r="A2719" s="9">
        <v>8</v>
      </c>
      <c r="B2719" s="9" t="s">
        <v>298</v>
      </c>
      <c r="C2719" s="3" t="s">
        <v>19</v>
      </c>
      <c r="D2719" s="3" t="s">
        <v>446</v>
      </c>
      <c r="E2719" s="28" t="s">
        <v>144</v>
      </c>
      <c r="F2719" s="9" t="s">
        <v>8</v>
      </c>
      <c r="G2719" s="48" t="s">
        <v>328</v>
      </c>
      <c r="H2719" s="8"/>
      <c r="I2719" s="8"/>
      <c r="J2719" s="6" t="s">
        <v>42</v>
      </c>
      <c r="K2719" s="38">
        <v>0</v>
      </c>
      <c r="L2719" s="4" t="s">
        <v>25</v>
      </c>
      <c r="M2719" s="11">
        <f>_xlfn.NUMBERVALUE(LEFT(Table613[[#This Row],[Fiscal Year]], 4))</f>
        <v>2017</v>
      </c>
      <c r="N2719" s="42">
        <f t="shared" si="60"/>
        <v>0</v>
      </c>
      <c r="O2719" s="3">
        <v>2717</v>
      </c>
    </row>
    <row r="2720" spans="1:15" x14ac:dyDescent="0.25">
      <c r="A2720" s="9">
        <v>8</v>
      </c>
      <c r="B2720" s="9" t="s">
        <v>298</v>
      </c>
      <c r="C2720" s="3" t="s">
        <v>19</v>
      </c>
      <c r="D2720" s="3" t="s">
        <v>446</v>
      </c>
      <c r="E2720" s="28" t="s">
        <v>144</v>
      </c>
      <c r="F2720" s="9" t="s">
        <v>8</v>
      </c>
      <c r="G2720" s="48" t="s">
        <v>78</v>
      </c>
      <c r="H2720" s="8"/>
      <c r="I2720" s="8"/>
      <c r="J2720" s="6" t="s">
        <v>47</v>
      </c>
      <c r="K2720" s="38">
        <v>0</v>
      </c>
      <c r="L2720" s="4" t="s">
        <v>25</v>
      </c>
      <c r="M2720" s="11">
        <f>_xlfn.NUMBERVALUE(LEFT(Table613[[#This Row],[Fiscal Year]], 4))</f>
        <v>2017</v>
      </c>
      <c r="N2720" s="42">
        <f t="shared" si="60"/>
        <v>0</v>
      </c>
      <c r="O2720" s="3">
        <v>2718</v>
      </c>
    </row>
    <row r="2721" spans="1:15" x14ac:dyDescent="0.25">
      <c r="A2721" s="9">
        <v>8</v>
      </c>
      <c r="B2721" s="9" t="s">
        <v>298</v>
      </c>
      <c r="C2721" s="3" t="s">
        <v>19</v>
      </c>
      <c r="D2721" s="3" t="s">
        <v>446</v>
      </c>
      <c r="E2721" s="28" t="s">
        <v>144</v>
      </c>
      <c r="F2721" s="9" t="s">
        <v>8</v>
      </c>
      <c r="G2721" s="48" t="s">
        <v>329</v>
      </c>
      <c r="H2721" s="8" t="s">
        <v>576</v>
      </c>
      <c r="I2721" s="8"/>
      <c r="J2721" s="6" t="s">
        <v>455</v>
      </c>
      <c r="K2721" s="38">
        <v>0</v>
      </c>
      <c r="L2721" s="4" t="s">
        <v>25</v>
      </c>
      <c r="M2721" s="11">
        <f>_xlfn.NUMBERVALUE(LEFT(Table613[[#This Row],[Fiscal Year]], 4))</f>
        <v>2017</v>
      </c>
      <c r="N2721" s="42">
        <f t="shared" si="60"/>
        <v>0</v>
      </c>
      <c r="O2721" s="3">
        <v>2719</v>
      </c>
    </row>
    <row r="2722" spans="1:15" x14ac:dyDescent="0.25">
      <c r="A2722" s="9">
        <v>8</v>
      </c>
      <c r="B2722" s="9" t="s">
        <v>298</v>
      </c>
      <c r="C2722" s="3" t="s">
        <v>19</v>
      </c>
      <c r="D2722" s="3" t="s">
        <v>446</v>
      </c>
      <c r="E2722" s="28" t="s">
        <v>144</v>
      </c>
      <c r="F2722" s="9" t="s">
        <v>8</v>
      </c>
      <c r="G2722" s="48" t="s">
        <v>67</v>
      </c>
      <c r="H2722" s="8"/>
      <c r="I2722" s="8"/>
      <c r="J2722" s="6" t="s">
        <v>455</v>
      </c>
      <c r="K2722" s="38">
        <v>10000</v>
      </c>
      <c r="L2722" s="4" t="s">
        <v>25</v>
      </c>
      <c r="M2722" s="11">
        <f>_xlfn.NUMBERVALUE(LEFT(Table613[[#This Row],[Fiscal Year]], 4))</f>
        <v>2017</v>
      </c>
      <c r="N2722" s="42">
        <f t="shared" si="60"/>
        <v>10266.462668298655</v>
      </c>
      <c r="O2722" s="3">
        <v>2720</v>
      </c>
    </row>
    <row r="2723" spans="1:15" x14ac:dyDescent="0.25">
      <c r="A2723" s="9"/>
      <c r="B2723" s="9"/>
      <c r="E2723" s="28"/>
      <c r="F2723" s="9"/>
      <c r="G2723" s="48"/>
      <c r="H2723" s="8"/>
      <c r="I2723" s="8"/>
      <c r="J2723" s="6"/>
      <c r="L2723" s="4"/>
      <c r="O2723" s="3">
        <v>2721</v>
      </c>
    </row>
    <row r="2724" spans="1:15" x14ac:dyDescent="0.25">
      <c r="A2724" s="9">
        <v>8</v>
      </c>
      <c r="B2724" s="5" t="s">
        <v>299</v>
      </c>
      <c r="C2724" s="3" t="s">
        <v>19</v>
      </c>
      <c r="D2724" s="3" t="s">
        <v>446</v>
      </c>
      <c r="E2724" s="28" t="s">
        <v>144</v>
      </c>
      <c r="F2724" s="9" t="s">
        <v>8</v>
      </c>
      <c r="G2724" s="48" t="s">
        <v>32</v>
      </c>
      <c r="H2724" s="8"/>
      <c r="I2724" s="47" t="s">
        <v>577</v>
      </c>
      <c r="J2724" s="6" t="s">
        <v>110</v>
      </c>
      <c r="K2724" s="38">
        <v>30902.5</v>
      </c>
      <c r="L2724" s="4" t="s">
        <v>25</v>
      </c>
      <c r="M2724" s="11">
        <f>_xlfn.NUMBERVALUE(LEFT(Table613[[#This Row],[Fiscal Year]], 4))</f>
        <v>2017</v>
      </c>
      <c r="N2724" s="42">
        <f t="shared" si="60"/>
        <v>31725.936260709917</v>
      </c>
      <c r="O2724" s="3">
        <v>2722</v>
      </c>
    </row>
    <row r="2725" spans="1:15" x14ac:dyDescent="0.25">
      <c r="A2725" s="9">
        <v>8</v>
      </c>
      <c r="B2725" s="9" t="s">
        <v>299</v>
      </c>
      <c r="C2725" s="3" t="s">
        <v>19</v>
      </c>
      <c r="D2725" s="3" t="s">
        <v>446</v>
      </c>
      <c r="E2725" s="28" t="s">
        <v>144</v>
      </c>
      <c r="F2725" s="9" t="s">
        <v>8</v>
      </c>
      <c r="G2725" s="48" t="s">
        <v>320</v>
      </c>
      <c r="H2725" s="8"/>
      <c r="I2725" s="8"/>
      <c r="J2725" s="6" t="s">
        <v>110</v>
      </c>
      <c r="K2725" s="38">
        <v>14230</v>
      </c>
      <c r="L2725" s="4" t="s">
        <v>25</v>
      </c>
      <c r="M2725" s="11">
        <f>_xlfn.NUMBERVALUE(LEFT(Table613[[#This Row],[Fiscal Year]], 4))</f>
        <v>2017</v>
      </c>
      <c r="N2725" s="42">
        <f t="shared" si="60"/>
        <v>14609.176376988986</v>
      </c>
      <c r="O2725" s="3">
        <v>2723</v>
      </c>
    </row>
    <row r="2726" spans="1:15" x14ac:dyDescent="0.25">
      <c r="A2726" s="9">
        <v>8</v>
      </c>
      <c r="B2726" s="9" t="s">
        <v>299</v>
      </c>
      <c r="C2726" s="3" t="s">
        <v>19</v>
      </c>
      <c r="D2726" s="3" t="s">
        <v>446</v>
      </c>
      <c r="E2726" s="28" t="s">
        <v>144</v>
      </c>
      <c r="F2726" s="9" t="s">
        <v>8</v>
      </c>
      <c r="G2726" s="48" t="s">
        <v>321</v>
      </c>
      <c r="H2726" s="8"/>
      <c r="I2726" s="8"/>
      <c r="J2726" s="6" t="s">
        <v>455</v>
      </c>
      <c r="K2726" s="38">
        <v>105380.8</v>
      </c>
      <c r="L2726" s="4" t="s">
        <v>25</v>
      </c>
      <c r="M2726" s="11">
        <f>_xlfn.NUMBERVALUE(LEFT(Table613[[#This Row],[Fiscal Year]], 4))</f>
        <v>2017</v>
      </c>
      <c r="N2726" s="42">
        <f t="shared" si="60"/>
        <v>108188.80491554469</v>
      </c>
      <c r="O2726" s="3">
        <v>2724</v>
      </c>
    </row>
    <row r="2727" spans="1:15" x14ac:dyDescent="0.25">
      <c r="A2727" s="9">
        <v>8</v>
      </c>
      <c r="B2727" s="9" t="s">
        <v>299</v>
      </c>
      <c r="C2727" s="3" t="s">
        <v>19</v>
      </c>
      <c r="D2727" s="3" t="s">
        <v>446</v>
      </c>
      <c r="E2727" s="28" t="s">
        <v>144</v>
      </c>
      <c r="F2727" s="9" t="s">
        <v>8</v>
      </c>
      <c r="G2727" s="48" t="s">
        <v>210</v>
      </c>
      <c r="H2727" s="8" t="s">
        <v>1127</v>
      </c>
      <c r="I2727" s="8" t="s">
        <v>429</v>
      </c>
      <c r="J2727" s="6" t="s">
        <v>107</v>
      </c>
      <c r="K2727" s="38" t="s">
        <v>1134</v>
      </c>
      <c r="L2727" s="4" t="s">
        <v>25</v>
      </c>
      <c r="M2727" s="11">
        <f>_xlfn.NUMBERVALUE(LEFT(Table613[[#This Row],[Fiscal Year]], 4))</f>
        <v>2017</v>
      </c>
      <c r="O2727" s="3">
        <v>2725</v>
      </c>
    </row>
    <row r="2728" spans="1:15" x14ac:dyDescent="0.25">
      <c r="A2728" s="9">
        <v>8</v>
      </c>
      <c r="B2728" s="9" t="s">
        <v>299</v>
      </c>
      <c r="C2728" s="3" t="s">
        <v>19</v>
      </c>
      <c r="D2728" s="3" t="s">
        <v>446</v>
      </c>
      <c r="E2728" s="28" t="s">
        <v>144</v>
      </c>
      <c r="F2728" s="9" t="s">
        <v>8</v>
      </c>
      <c r="G2728" s="48" t="s">
        <v>209</v>
      </c>
      <c r="H2728" s="8" t="s">
        <v>1127</v>
      </c>
      <c r="I2728" s="8" t="s">
        <v>429</v>
      </c>
      <c r="J2728" s="6" t="s">
        <v>111</v>
      </c>
      <c r="K2728" s="38" t="s">
        <v>1134</v>
      </c>
      <c r="L2728" s="4" t="s">
        <v>25</v>
      </c>
      <c r="M2728" s="11">
        <f>_xlfn.NUMBERVALUE(LEFT(Table613[[#This Row],[Fiscal Year]], 4))</f>
        <v>2017</v>
      </c>
      <c r="O2728" s="3">
        <v>2726</v>
      </c>
    </row>
    <row r="2729" spans="1:15" x14ac:dyDescent="0.25">
      <c r="A2729" s="9">
        <v>8</v>
      </c>
      <c r="B2729" s="9" t="s">
        <v>299</v>
      </c>
      <c r="C2729" s="3" t="s">
        <v>19</v>
      </c>
      <c r="D2729" s="3" t="s">
        <v>446</v>
      </c>
      <c r="E2729" s="28" t="s">
        <v>144</v>
      </c>
      <c r="F2729" s="9" t="s">
        <v>8</v>
      </c>
      <c r="G2729" s="48" t="s">
        <v>325</v>
      </c>
      <c r="H2729" s="8" t="s">
        <v>1128</v>
      </c>
      <c r="I2729" s="8" t="s">
        <v>429</v>
      </c>
      <c r="J2729" s="6" t="s">
        <v>109</v>
      </c>
      <c r="K2729" s="38" t="s">
        <v>1135</v>
      </c>
      <c r="L2729" s="4" t="s">
        <v>25</v>
      </c>
      <c r="M2729" s="11">
        <f>_xlfn.NUMBERVALUE(LEFT(Table613[[#This Row],[Fiscal Year]], 4))</f>
        <v>2017</v>
      </c>
      <c r="O2729" s="3">
        <v>2727</v>
      </c>
    </row>
    <row r="2730" spans="1:15" x14ac:dyDescent="0.25">
      <c r="A2730" s="9">
        <v>8</v>
      </c>
      <c r="B2730" s="9" t="s">
        <v>299</v>
      </c>
      <c r="C2730" s="3" t="s">
        <v>19</v>
      </c>
      <c r="D2730" s="3" t="s">
        <v>446</v>
      </c>
      <c r="E2730" s="28" t="s">
        <v>144</v>
      </c>
      <c r="F2730" s="9" t="s">
        <v>8</v>
      </c>
      <c r="G2730" s="48" t="s">
        <v>326</v>
      </c>
      <c r="H2730" s="8" t="s">
        <v>1129</v>
      </c>
      <c r="I2730" s="8" t="s">
        <v>429</v>
      </c>
      <c r="J2730" s="6" t="s">
        <v>106</v>
      </c>
      <c r="K2730" s="38" t="s">
        <v>1136</v>
      </c>
      <c r="L2730" s="4" t="s">
        <v>25</v>
      </c>
      <c r="M2730" s="11">
        <f>_xlfn.NUMBERVALUE(LEFT(Table613[[#This Row],[Fiscal Year]], 4))</f>
        <v>2017</v>
      </c>
      <c r="O2730" s="3">
        <v>2728</v>
      </c>
    </row>
    <row r="2731" spans="1:15" x14ac:dyDescent="0.25">
      <c r="A2731" s="9">
        <v>8</v>
      </c>
      <c r="B2731" s="9" t="s">
        <v>299</v>
      </c>
      <c r="C2731" s="3" t="s">
        <v>19</v>
      </c>
      <c r="D2731" s="3" t="s">
        <v>446</v>
      </c>
      <c r="E2731" s="28" t="s">
        <v>144</v>
      </c>
      <c r="F2731" s="9" t="s">
        <v>8</v>
      </c>
      <c r="G2731" s="48" t="s">
        <v>327</v>
      </c>
      <c r="H2731" s="8" t="s">
        <v>1130</v>
      </c>
      <c r="I2731" s="8" t="s">
        <v>429</v>
      </c>
      <c r="J2731" s="6" t="s">
        <v>108</v>
      </c>
      <c r="K2731" s="38" t="s">
        <v>1137</v>
      </c>
      <c r="L2731" s="4" t="s">
        <v>25</v>
      </c>
      <c r="M2731" s="11">
        <f>_xlfn.NUMBERVALUE(LEFT(Table613[[#This Row],[Fiscal Year]], 4))</f>
        <v>2017</v>
      </c>
      <c r="O2731" s="3">
        <v>2729</v>
      </c>
    </row>
    <row r="2732" spans="1:15" x14ac:dyDescent="0.25">
      <c r="A2732" s="9">
        <v>8</v>
      </c>
      <c r="B2732" s="9" t="s">
        <v>299</v>
      </c>
      <c r="C2732" s="3" t="s">
        <v>19</v>
      </c>
      <c r="D2732" s="3" t="s">
        <v>446</v>
      </c>
      <c r="E2732" s="28" t="s">
        <v>144</v>
      </c>
      <c r="F2732" s="9" t="s">
        <v>8</v>
      </c>
      <c r="G2732" s="48" t="s">
        <v>328</v>
      </c>
      <c r="H2732" s="8" t="s">
        <v>1132</v>
      </c>
      <c r="I2732" s="8" t="s">
        <v>429</v>
      </c>
      <c r="J2732" s="6" t="s">
        <v>42</v>
      </c>
      <c r="K2732" s="38" t="s">
        <v>1138</v>
      </c>
      <c r="L2732" s="4" t="s">
        <v>25</v>
      </c>
      <c r="M2732" s="11">
        <f>_xlfn.NUMBERVALUE(LEFT(Table613[[#This Row],[Fiscal Year]], 4))</f>
        <v>2017</v>
      </c>
      <c r="O2732" s="3">
        <v>2730</v>
      </c>
    </row>
    <row r="2733" spans="1:15" x14ac:dyDescent="0.25">
      <c r="A2733" s="9">
        <v>8</v>
      </c>
      <c r="B2733" s="9" t="s">
        <v>299</v>
      </c>
      <c r="C2733" s="3" t="s">
        <v>19</v>
      </c>
      <c r="D2733" s="3" t="s">
        <v>446</v>
      </c>
      <c r="E2733" s="28" t="s">
        <v>144</v>
      </c>
      <c r="F2733" s="9" t="s">
        <v>8</v>
      </c>
      <c r="G2733" s="48" t="s">
        <v>78</v>
      </c>
      <c r="H2733" s="8" t="s">
        <v>1131</v>
      </c>
      <c r="I2733" s="8" t="s">
        <v>429</v>
      </c>
      <c r="J2733" s="6" t="s">
        <v>47</v>
      </c>
      <c r="K2733" s="40" t="s">
        <v>1139</v>
      </c>
      <c r="L2733" s="4" t="s">
        <v>25</v>
      </c>
      <c r="M2733" s="11">
        <f>_xlfn.NUMBERVALUE(LEFT(Table613[[#This Row],[Fiscal Year]], 4))</f>
        <v>2017</v>
      </c>
      <c r="O2733" s="3">
        <v>2731</v>
      </c>
    </row>
    <row r="2734" spans="1:15" x14ac:dyDescent="0.25">
      <c r="A2734" s="9">
        <v>8</v>
      </c>
      <c r="B2734" s="9" t="s">
        <v>299</v>
      </c>
      <c r="C2734" s="3" t="s">
        <v>19</v>
      </c>
      <c r="D2734" s="3" t="s">
        <v>446</v>
      </c>
      <c r="E2734" s="28" t="s">
        <v>144</v>
      </c>
      <c r="F2734" s="9" t="s">
        <v>8</v>
      </c>
      <c r="G2734" s="48" t="s">
        <v>329</v>
      </c>
      <c r="H2734" s="8" t="s">
        <v>1131</v>
      </c>
      <c r="I2734" s="8" t="s">
        <v>429</v>
      </c>
      <c r="J2734" s="6" t="s">
        <v>455</v>
      </c>
      <c r="K2734" s="40" t="s">
        <v>1139</v>
      </c>
      <c r="L2734" s="4" t="s">
        <v>25</v>
      </c>
      <c r="M2734" s="11">
        <f>_xlfn.NUMBERVALUE(LEFT(Table613[[#This Row],[Fiscal Year]], 4))</f>
        <v>2017</v>
      </c>
      <c r="O2734" s="3">
        <v>2732</v>
      </c>
    </row>
    <row r="2735" spans="1:15" x14ac:dyDescent="0.25">
      <c r="A2735" s="9">
        <v>8</v>
      </c>
      <c r="B2735" s="9" t="s">
        <v>299</v>
      </c>
      <c r="C2735" s="3" t="s">
        <v>19</v>
      </c>
      <c r="D2735" s="3" t="s">
        <v>446</v>
      </c>
      <c r="E2735" s="28" t="s">
        <v>144</v>
      </c>
      <c r="F2735" s="9" t="s">
        <v>8</v>
      </c>
      <c r="G2735" s="48" t="s">
        <v>434</v>
      </c>
      <c r="H2735" s="8" t="s">
        <v>1133</v>
      </c>
      <c r="I2735" s="8" t="s">
        <v>429</v>
      </c>
      <c r="J2735" s="6" t="s">
        <v>605</v>
      </c>
      <c r="K2735" s="38">
        <v>28841</v>
      </c>
      <c r="L2735" s="4" t="s">
        <v>25</v>
      </c>
      <c r="M2735" s="11">
        <f>_xlfn.NUMBERVALUE(LEFT(Table613[[#This Row],[Fiscal Year]], 4))</f>
        <v>2017</v>
      </c>
      <c r="N2735" s="42">
        <f t="shared" si="60"/>
        <v>29609.504981640152</v>
      </c>
      <c r="O2735" s="3">
        <v>2733</v>
      </c>
    </row>
    <row r="2736" spans="1:15" x14ac:dyDescent="0.25">
      <c r="E2736" s="11"/>
      <c r="G2736" s="66"/>
      <c r="H2736" s="8"/>
      <c r="I2736" s="8"/>
      <c r="J2736" s="6"/>
      <c r="L2736" s="4"/>
      <c r="O2736" s="3">
        <v>2734</v>
      </c>
    </row>
    <row r="2737" spans="1:15" x14ac:dyDescent="0.25">
      <c r="A2737" s="3">
        <v>8</v>
      </c>
      <c r="B2737" s="5" t="s">
        <v>1440</v>
      </c>
      <c r="C2737" s="3" t="s">
        <v>1440</v>
      </c>
      <c r="D2737" s="3" t="s">
        <v>446</v>
      </c>
      <c r="E2737" s="11" t="s">
        <v>144</v>
      </c>
      <c r="F2737" s="3" t="s">
        <v>5</v>
      </c>
      <c r="G2737" s="48" t="s">
        <v>32</v>
      </c>
      <c r="H2737" s="8"/>
      <c r="I2737" s="47" t="s">
        <v>578</v>
      </c>
      <c r="J2737" s="6" t="s">
        <v>110</v>
      </c>
      <c r="L2737" s="4" t="s">
        <v>29</v>
      </c>
      <c r="M2737" s="11">
        <f>_xlfn.NUMBERVALUE(LEFT(Table613[[#This Row],[Fiscal Year]], 4))</f>
        <v>2015</v>
      </c>
      <c r="N2737" s="42">
        <f t="shared" si="60"/>
        <v>0</v>
      </c>
      <c r="O2737" s="3">
        <v>2735</v>
      </c>
    </row>
    <row r="2738" spans="1:15" x14ac:dyDescent="0.25">
      <c r="A2738" s="3">
        <v>8</v>
      </c>
      <c r="B2738" s="5" t="s">
        <v>1440</v>
      </c>
      <c r="C2738" s="3" t="s">
        <v>1440</v>
      </c>
      <c r="D2738" s="3" t="s">
        <v>446</v>
      </c>
      <c r="E2738" s="11" t="s">
        <v>144</v>
      </c>
      <c r="F2738" s="3" t="s">
        <v>5</v>
      </c>
      <c r="G2738" s="48" t="s">
        <v>98</v>
      </c>
      <c r="H2738" s="8"/>
      <c r="I2738" s="8"/>
      <c r="J2738" s="6" t="s">
        <v>106</v>
      </c>
      <c r="K2738" s="38" t="s">
        <v>435</v>
      </c>
      <c r="L2738" s="4" t="s">
        <v>29</v>
      </c>
      <c r="M2738" s="11">
        <f>_xlfn.NUMBERVALUE(LEFT(Table613[[#This Row],[Fiscal Year]], 4))</f>
        <v>2015</v>
      </c>
      <c r="O2738" s="3">
        <v>2736</v>
      </c>
    </row>
    <row r="2739" spans="1:15" x14ac:dyDescent="0.25">
      <c r="A2739" s="3">
        <v>8</v>
      </c>
      <c r="B2739" s="5" t="s">
        <v>1440</v>
      </c>
      <c r="C2739" s="3" t="s">
        <v>1440</v>
      </c>
      <c r="D2739" s="3" t="s">
        <v>446</v>
      </c>
      <c r="E2739" s="11" t="s">
        <v>144</v>
      </c>
      <c r="F2739" s="3" t="s">
        <v>5</v>
      </c>
      <c r="G2739" s="66" t="s">
        <v>99</v>
      </c>
      <c r="H2739" s="8"/>
      <c r="I2739" s="8"/>
      <c r="J2739" s="6" t="s">
        <v>455</v>
      </c>
      <c r="K2739" s="38" t="s">
        <v>436</v>
      </c>
      <c r="L2739" s="4" t="s">
        <v>29</v>
      </c>
      <c r="M2739" s="11">
        <f>_xlfn.NUMBERVALUE(LEFT(Table613[[#This Row],[Fiscal Year]], 4))</f>
        <v>2015</v>
      </c>
      <c r="O2739" s="3">
        <v>2737</v>
      </c>
    </row>
    <row r="2740" spans="1:15" x14ac:dyDescent="0.25">
      <c r="A2740" s="3">
        <v>8</v>
      </c>
      <c r="B2740" s="5" t="s">
        <v>1440</v>
      </c>
      <c r="C2740" s="3" t="s">
        <v>1440</v>
      </c>
      <c r="D2740" s="3" t="s">
        <v>446</v>
      </c>
      <c r="E2740" s="11" t="s">
        <v>144</v>
      </c>
      <c r="F2740" s="3" t="s">
        <v>5</v>
      </c>
      <c r="G2740" s="66" t="s">
        <v>100</v>
      </c>
      <c r="H2740" s="8" t="s">
        <v>579</v>
      </c>
      <c r="I2740" s="47" t="s">
        <v>578</v>
      </c>
      <c r="J2740" s="6" t="s">
        <v>605</v>
      </c>
      <c r="L2740" s="4" t="s">
        <v>29</v>
      </c>
      <c r="M2740" s="11">
        <f>_xlfn.NUMBERVALUE(LEFT(Table613[[#This Row],[Fiscal Year]], 4))</f>
        <v>2015</v>
      </c>
      <c r="N2740" s="42">
        <f t="shared" si="60"/>
        <v>0</v>
      </c>
      <c r="O2740" s="3">
        <v>2738</v>
      </c>
    </row>
    <row r="2741" spans="1:15" x14ac:dyDescent="0.25">
      <c r="A2741" s="3">
        <v>8</v>
      </c>
      <c r="B2741" s="5" t="s">
        <v>1440</v>
      </c>
      <c r="C2741" s="3" t="s">
        <v>1440</v>
      </c>
      <c r="D2741" s="3" t="s">
        <v>446</v>
      </c>
      <c r="E2741" s="11" t="s">
        <v>144</v>
      </c>
      <c r="F2741" s="3" t="s">
        <v>5</v>
      </c>
      <c r="G2741" s="48" t="s">
        <v>101</v>
      </c>
      <c r="H2741" s="8"/>
      <c r="I2741" s="8"/>
      <c r="J2741" s="6" t="s">
        <v>108</v>
      </c>
      <c r="L2741" s="4" t="s">
        <v>29</v>
      </c>
      <c r="M2741" s="11">
        <f>_xlfn.NUMBERVALUE(LEFT(Table613[[#This Row],[Fiscal Year]], 4))</f>
        <v>2015</v>
      </c>
      <c r="N2741" s="42">
        <f t="shared" si="60"/>
        <v>0</v>
      </c>
      <c r="O2741" s="3">
        <v>2739</v>
      </c>
    </row>
    <row r="2742" spans="1:15" x14ac:dyDescent="0.25">
      <c r="A2742" s="3">
        <v>8</v>
      </c>
      <c r="B2742" s="5" t="s">
        <v>1440</v>
      </c>
      <c r="C2742" s="3" t="s">
        <v>1440</v>
      </c>
      <c r="D2742" s="3" t="s">
        <v>446</v>
      </c>
      <c r="E2742" s="11" t="s">
        <v>144</v>
      </c>
      <c r="F2742" s="3" t="s">
        <v>5</v>
      </c>
      <c r="G2742" s="66" t="s">
        <v>102</v>
      </c>
      <c r="H2742" s="8"/>
      <c r="I2742" s="8"/>
      <c r="J2742" s="6" t="s">
        <v>455</v>
      </c>
      <c r="L2742" s="4" t="s">
        <v>29</v>
      </c>
      <c r="M2742" s="11">
        <f>_xlfn.NUMBERVALUE(LEFT(Table613[[#This Row],[Fiscal Year]], 4))</f>
        <v>2015</v>
      </c>
      <c r="N2742" s="42">
        <f t="shared" si="60"/>
        <v>0</v>
      </c>
      <c r="O2742" s="3">
        <v>2740</v>
      </c>
    </row>
    <row r="2743" spans="1:15" x14ac:dyDescent="0.25">
      <c r="A2743" s="3">
        <v>8</v>
      </c>
      <c r="B2743" s="5" t="s">
        <v>1440</v>
      </c>
      <c r="C2743" s="3" t="s">
        <v>1440</v>
      </c>
      <c r="D2743" s="3" t="s">
        <v>446</v>
      </c>
      <c r="E2743" s="11" t="s">
        <v>144</v>
      </c>
      <c r="F2743" s="3" t="s">
        <v>5</v>
      </c>
      <c r="G2743" s="66" t="s">
        <v>97</v>
      </c>
      <c r="H2743" s="8"/>
      <c r="I2743" s="8"/>
      <c r="J2743" s="6" t="s">
        <v>42</v>
      </c>
      <c r="L2743" s="4" t="s">
        <v>29</v>
      </c>
      <c r="M2743" s="11">
        <f>_xlfn.NUMBERVALUE(LEFT(Table613[[#This Row],[Fiscal Year]], 4))</f>
        <v>2015</v>
      </c>
      <c r="N2743" s="42">
        <f t="shared" si="60"/>
        <v>0</v>
      </c>
      <c r="O2743" s="3">
        <v>2741</v>
      </c>
    </row>
    <row r="2744" spans="1:15" x14ac:dyDescent="0.25">
      <c r="E2744" s="11"/>
      <c r="G2744" s="66"/>
      <c r="H2744" s="8"/>
      <c r="I2744" s="8"/>
      <c r="J2744" s="6"/>
      <c r="L2744" s="4"/>
      <c r="O2744" s="3">
        <v>2742</v>
      </c>
    </row>
    <row r="2745" spans="1:15" x14ac:dyDescent="0.25">
      <c r="A2745" s="3">
        <v>9</v>
      </c>
      <c r="B2745" s="3" t="s">
        <v>1434</v>
      </c>
      <c r="C2745" s="3" t="s">
        <v>1434</v>
      </c>
      <c r="D2745" s="3" t="s">
        <v>21</v>
      </c>
      <c r="E2745" s="11" t="s">
        <v>144</v>
      </c>
      <c r="F2745" s="3" t="s">
        <v>8</v>
      </c>
      <c r="G2745" s="48" t="s">
        <v>1140</v>
      </c>
      <c r="H2745" s="6"/>
      <c r="I2745" s="8"/>
      <c r="J2745" s="6" t="s">
        <v>110</v>
      </c>
      <c r="K2745" s="38">
        <v>10552305</v>
      </c>
      <c r="L2745" s="4" t="s">
        <v>25</v>
      </c>
      <c r="M2745" s="11">
        <f>_xlfn.NUMBERVALUE(LEFT(Table613[[#This Row],[Fiscal Year]], 4))</f>
        <v>2017</v>
      </c>
      <c r="N2745" s="42">
        <f t="shared" si="60"/>
        <v>10833484.534700124</v>
      </c>
      <c r="O2745" s="3">
        <v>2743</v>
      </c>
    </row>
    <row r="2746" spans="1:15" x14ac:dyDescent="0.25">
      <c r="A2746" s="3">
        <v>9</v>
      </c>
      <c r="B2746" s="3" t="s">
        <v>1434</v>
      </c>
      <c r="C2746" s="3" t="s">
        <v>1434</v>
      </c>
      <c r="D2746" s="3" t="s">
        <v>21</v>
      </c>
      <c r="E2746" s="11" t="s">
        <v>144</v>
      </c>
      <c r="F2746" s="3" t="s">
        <v>8</v>
      </c>
      <c r="G2746" s="48" t="s">
        <v>1141</v>
      </c>
      <c r="H2746" s="8" t="s">
        <v>582</v>
      </c>
      <c r="I2746" s="47" t="s">
        <v>580</v>
      </c>
      <c r="J2746" s="6" t="s">
        <v>111</v>
      </c>
      <c r="K2746" s="38">
        <v>1965750</v>
      </c>
      <c r="L2746" s="4" t="s">
        <v>25</v>
      </c>
      <c r="M2746" s="11">
        <f>_xlfn.NUMBERVALUE(LEFT(Table613[[#This Row],[Fiscal Year]], 4))</f>
        <v>2017</v>
      </c>
      <c r="N2746" s="42">
        <f t="shared" si="60"/>
        <v>2018129.8990208081</v>
      </c>
      <c r="O2746" s="3">
        <v>2744</v>
      </c>
    </row>
    <row r="2747" spans="1:15" x14ac:dyDescent="0.25">
      <c r="A2747" s="3">
        <v>9</v>
      </c>
      <c r="B2747" s="3" t="s">
        <v>1434</v>
      </c>
      <c r="C2747" s="3" t="s">
        <v>1434</v>
      </c>
      <c r="D2747" s="3" t="s">
        <v>21</v>
      </c>
      <c r="E2747" s="11" t="s">
        <v>144</v>
      </c>
      <c r="F2747" s="3" t="s">
        <v>8</v>
      </c>
      <c r="G2747" s="66" t="s">
        <v>1142</v>
      </c>
      <c r="H2747" s="8"/>
      <c r="I2747" s="8"/>
      <c r="J2747" s="6" t="s">
        <v>107</v>
      </c>
      <c r="K2747" s="38">
        <v>854195</v>
      </c>
      <c r="L2747" s="4" t="s">
        <v>25</v>
      </c>
      <c r="M2747" s="11">
        <f>_xlfn.NUMBERVALUE(LEFT(Table613[[#This Row],[Fiscal Year]], 4))</f>
        <v>2017</v>
      </c>
      <c r="N2747" s="42">
        <f t="shared" si="60"/>
        <v>876956.10789473692</v>
      </c>
      <c r="O2747" s="3">
        <v>2745</v>
      </c>
    </row>
    <row r="2748" spans="1:15" x14ac:dyDescent="0.25">
      <c r="A2748" s="3">
        <v>9</v>
      </c>
      <c r="B2748" s="3" t="s">
        <v>1434</v>
      </c>
      <c r="C2748" s="3" t="s">
        <v>1434</v>
      </c>
      <c r="D2748" s="3" t="s">
        <v>21</v>
      </c>
      <c r="E2748" s="11" t="s">
        <v>144</v>
      </c>
      <c r="F2748" s="3" t="s">
        <v>8</v>
      </c>
      <c r="G2748" s="48" t="s">
        <v>1143</v>
      </c>
      <c r="H2748" s="8" t="s">
        <v>665</v>
      </c>
      <c r="I2748" s="70" t="s">
        <v>664</v>
      </c>
      <c r="J2748" s="6" t="s">
        <v>108</v>
      </c>
      <c r="K2748" s="38">
        <v>35368156</v>
      </c>
      <c r="L2748" s="4" t="s">
        <v>25</v>
      </c>
      <c r="M2748" s="11">
        <f>_xlfn.NUMBERVALUE(LEFT(Table613[[#This Row],[Fiscal Year]], 4))</f>
        <v>2017</v>
      </c>
      <c r="N2748" s="42">
        <f t="shared" si="60"/>
        <v>36310585.322056308</v>
      </c>
      <c r="O2748" s="3">
        <v>2746</v>
      </c>
    </row>
    <row r="2749" spans="1:15" x14ac:dyDescent="0.25">
      <c r="A2749" s="3">
        <v>9</v>
      </c>
      <c r="B2749" s="3" t="s">
        <v>1434</v>
      </c>
      <c r="C2749" s="3" t="s">
        <v>1434</v>
      </c>
      <c r="D2749" s="3" t="s">
        <v>21</v>
      </c>
      <c r="E2749" s="11" t="s">
        <v>144</v>
      </c>
      <c r="F2749" s="3" t="s">
        <v>8</v>
      </c>
      <c r="G2749" s="48" t="s">
        <v>1144</v>
      </c>
      <c r="H2749" s="8"/>
      <c r="I2749" s="8"/>
      <c r="J2749" s="6" t="s">
        <v>76</v>
      </c>
      <c r="K2749" s="38">
        <v>1196196</v>
      </c>
      <c r="L2749" s="4" t="s">
        <v>25</v>
      </c>
      <c r="M2749" s="11">
        <f>_xlfn.NUMBERVALUE(LEFT(Table613[[#This Row],[Fiscal Year]], 4))</f>
        <v>2017</v>
      </c>
      <c r="N2749" s="42">
        <f t="shared" si="60"/>
        <v>1228070.1577968178</v>
      </c>
      <c r="O2749" s="3">
        <v>2747</v>
      </c>
    </row>
    <row r="2750" spans="1:15" x14ac:dyDescent="0.25">
      <c r="A2750" s="3">
        <v>9</v>
      </c>
      <c r="B2750" s="3" t="s">
        <v>1434</v>
      </c>
      <c r="C2750" s="3" t="s">
        <v>1434</v>
      </c>
      <c r="D2750" s="3" t="s">
        <v>21</v>
      </c>
      <c r="E2750" s="11" t="s">
        <v>144</v>
      </c>
      <c r="F2750" s="3" t="s">
        <v>8</v>
      </c>
      <c r="G2750" s="66" t="s">
        <v>1145</v>
      </c>
      <c r="H2750" s="8"/>
      <c r="I2750" s="8"/>
      <c r="J2750" s="6" t="s">
        <v>109</v>
      </c>
      <c r="K2750" s="38">
        <v>1706604</v>
      </c>
      <c r="L2750" s="4" t="s">
        <v>25</v>
      </c>
      <c r="M2750" s="11">
        <f>_xlfn.NUMBERVALUE(LEFT(Table613[[#This Row],[Fiscal Year]], 4))</f>
        <v>2017</v>
      </c>
      <c r="N2750" s="42">
        <f t="shared" si="60"/>
        <v>1752078.6255569158</v>
      </c>
      <c r="O2750" s="3">
        <v>2748</v>
      </c>
    </row>
    <row r="2751" spans="1:15" x14ac:dyDescent="0.25">
      <c r="A2751" s="3">
        <v>9</v>
      </c>
      <c r="B2751" s="3" t="s">
        <v>1434</v>
      </c>
      <c r="C2751" s="3" t="s">
        <v>1434</v>
      </c>
      <c r="D2751" s="3" t="s">
        <v>21</v>
      </c>
      <c r="E2751" s="11" t="s">
        <v>144</v>
      </c>
      <c r="F2751" s="3" t="s">
        <v>8</v>
      </c>
      <c r="G2751" s="66" t="s">
        <v>1146</v>
      </c>
      <c r="H2751" s="8"/>
      <c r="I2751" s="8"/>
      <c r="J2751" s="6" t="s">
        <v>453</v>
      </c>
      <c r="K2751" s="38">
        <v>6591636</v>
      </c>
      <c r="L2751" s="4" t="s">
        <v>25</v>
      </c>
      <c r="M2751" s="11">
        <f>_xlfn.NUMBERVALUE(LEFT(Table613[[#This Row],[Fiscal Year]], 4))</f>
        <v>2017</v>
      </c>
      <c r="N2751" s="42">
        <f t="shared" si="60"/>
        <v>6767278.4917013468</v>
      </c>
      <c r="O2751" s="3">
        <v>2749</v>
      </c>
    </row>
    <row r="2752" spans="1:15" x14ac:dyDescent="0.25">
      <c r="A2752" s="3">
        <v>9</v>
      </c>
      <c r="B2752" s="3" t="s">
        <v>1434</v>
      </c>
      <c r="C2752" s="3" t="s">
        <v>1434</v>
      </c>
      <c r="D2752" s="3" t="s">
        <v>21</v>
      </c>
      <c r="E2752" s="11" t="s">
        <v>144</v>
      </c>
      <c r="F2752" s="3" t="s">
        <v>8</v>
      </c>
      <c r="G2752" s="66" t="s">
        <v>1147</v>
      </c>
      <c r="H2752" s="8"/>
      <c r="I2752" s="8"/>
      <c r="J2752" s="6" t="s">
        <v>106</v>
      </c>
      <c r="K2752" s="38">
        <v>7680158</v>
      </c>
      <c r="L2752" s="4" t="s">
        <v>25</v>
      </c>
      <c r="M2752" s="11">
        <f>_xlfn.NUMBERVALUE(LEFT(Table613[[#This Row],[Fiscal Year]], 4))</f>
        <v>2017</v>
      </c>
      <c r="N2752" s="42">
        <f t="shared" si="60"/>
        <v>7884805.5393635258</v>
      </c>
      <c r="O2752" s="3">
        <v>2750</v>
      </c>
    </row>
    <row r="2753" spans="1:15" x14ac:dyDescent="0.25">
      <c r="A2753" s="3">
        <v>9</v>
      </c>
      <c r="B2753" s="3" t="s">
        <v>1434</v>
      </c>
      <c r="C2753" s="3" t="s">
        <v>1434</v>
      </c>
      <c r="D2753" s="3" t="s">
        <v>21</v>
      </c>
      <c r="E2753" s="11" t="s">
        <v>144</v>
      </c>
      <c r="F2753" s="3" t="s">
        <v>8</v>
      </c>
      <c r="G2753" s="48" t="s">
        <v>1148</v>
      </c>
      <c r="H2753" s="8"/>
      <c r="I2753" s="8"/>
      <c r="J2753" s="6" t="s">
        <v>605</v>
      </c>
      <c r="K2753" s="38">
        <v>986995</v>
      </c>
      <c r="L2753" s="4" t="s">
        <v>25</v>
      </c>
      <c r="M2753" s="11">
        <f>_xlfn.NUMBERVALUE(LEFT(Table613[[#This Row],[Fiscal Year]], 4))</f>
        <v>2017</v>
      </c>
      <c r="N2753" s="42">
        <f t="shared" si="60"/>
        <v>1013294.7321297431</v>
      </c>
      <c r="O2753" s="3">
        <v>2751</v>
      </c>
    </row>
    <row r="2754" spans="1:15" x14ac:dyDescent="0.25">
      <c r="A2754" s="3">
        <v>9</v>
      </c>
      <c r="B2754" s="3" t="s">
        <v>1434</v>
      </c>
      <c r="C2754" s="3" t="s">
        <v>1434</v>
      </c>
      <c r="D2754" s="3" t="s">
        <v>21</v>
      </c>
      <c r="E2754" s="11" t="s">
        <v>144</v>
      </c>
      <c r="F2754" s="3" t="s">
        <v>8</v>
      </c>
      <c r="G2754" s="48" t="s">
        <v>1149</v>
      </c>
      <c r="H2754" s="8"/>
      <c r="I2754" s="8"/>
      <c r="J2754" s="6" t="s">
        <v>605</v>
      </c>
      <c r="K2754" s="38">
        <v>1124027</v>
      </c>
      <c r="L2754" s="4" t="s">
        <v>25</v>
      </c>
      <c r="M2754" s="11">
        <f>_xlfn.NUMBERVALUE(LEFT(Table613[[#This Row],[Fiscal Year]], 4))</f>
        <v>2017</v>
      </c>
      <c r="N2754" s="42">
        <f t="shared" si="60"/>
        <v>1153978.1233659731</v>
      </c>
      <c r="O2754" s="3">
        <v>2752</v>
      </c>
    </row>
    <row r="2755" spans="1:15" x14ac:dyDescent="0.25">
      <c r="A2755" s="3">
        <v>9</v>
      </c>
      <c r="B2755" s="3" t="s">
        <v>1434</v>
      </c>
      <c r="C2755" s="3" t="s">
        <v>1434</v>
      </c>
      <c r="D2755" s="3" t="s">
        <v>21</v>
      </c>
      <c r="E2755" s="11" t="s">
        <v>144</v>
      </c>
      <c r="F2755" s="3" t="s">
        <v>8</v>
      </c>
      <c r="G2755" s="48" t="s">
        <v>1150</v>
      </c>
      <c r="H2755" s="8"/>
      <c r="I2755" s="8"/>
      <c r="J2755" s="6" t="s">
        <v>605</v>
      </c>
      <c r="K2755" s="38">
        <v>1087300</v>
      </c>
      <c r="L2755" s="4" t="s">
        <v>25</v>
      </c>
      <c r="M2755" s="11">
        <f>_xlfn.NUMBERVALUE(LEFT(Table613[[#This Row],[Fiscal Year]], 4))</f>
        <v>2017</v>
      </c>
      <c r="N2755" s="42">
        <f t="shared" si="60"/>
        <v>1116272.4859241128</v>
      </c>
      <c r="O2755" s="3">
        <v>2753</v>
      </c>
    </row>
    <row r="2756" spans="1:15" x14ac:dyDescent="0.25">
      <c r="A2756" s="3">
        <v>9</v>
      </c>
      <c r="B2756" s="3" t="s">
        <v>1434</v>
      </c>
      <c r="C2756" s="3" t="s">
        <v>1434</v>
      </c>
      <c r="D2756" s="3" t="s">
        <v>21</v>
      </c>
      <c r="E2756" s="11" t="s">
        <v>144</v>
      </c>
      <c r="F2756" s="3" t="s">
        <v>8</v>
      </c>
      <c r="G2756" s="48" t="s">
        <v>1151</v>
      </c>
      <c r="H2756" s="8"/>
      <c r="I2756" s="8"/>
      <c r="J2756" s="6" t="s">
        <v>605</v>
      </c>
      <c r="K2756" s="38">
        <v>1016177</v>
      </c>
      <c r="L2756" s="4" t="s">
        <v>25</v>
      </c>
      <c r="M2756" s="11">
        <f>_xlfn.NUMBERVALUE(LEFT(Table613[[#This Row],[Fiscal Year]], 4))</f>
        <v>2017</v>
      </c>
      <c r="N2756" s="42">
        <f t="shared" si="60"/>
        <v>1043254.3234883723</v>
      </c>
      <c r="O2756" s="3">
        <v>2754</v>
      </c>
    </row>
    <row r="2757" spans="1:15" x14ac:dyDescent="0.25">
      <c r="A2757" s="3">
        <v>9</v>
      </c>
      <c r="B2757" s="3" t="s">
        <v>1434</v>
      </c>
      <c r="C2757" s="3" t="s">
        <v>1434</v>
      </c>
      <c r="D2757" s="3" t="s">
        <v>21</v>
      </c>
      <c r="E2757" s="11" t="s">
        <v>144</v>
      </c>
      <c r="F2757" s="3" t="s">
        <v>8</v>
      </c>
      <c r="G2757" s="48" t="s">
        <v>1152</v>
      </c>
      <c r="H2757" s="8"/>
      <c r="I2757" s="8"/>
      <c r="J2757" s="6" t="s">
        <v>605</v>
      </c>
      <c r="K2757" s="38">
        <v>2528113</v>
      </c>
      <c r="L2757" s="4" t="s">
        <v>25</v>
      </c>
      <c r="M2757" s="11">
        <f>_xlfn.NUMBERVALUE(LEFT(Table613[[#This Row],[Fiscal Year]], 4))</f>
        <v>2017</v>
      </c>
      <c r="N2757" s="42">
        <f t="shared" si="60"/>
        <v>2595477.7735740519</v>
      </c>
      <c r="O2757" s="3">
        <v>2755</v>
      </c>
    </row>
    <row r="2758" spans="1:15" x14ac:dyDescent="0.25">
      <c r="A2758" s="3">
        <v>9</v>
      </c>
      <c r="B2758" s="3" t="s">
        <v>1434</v>
      </c>
      <c r="C2758" s="3" t="s">
        <v>1434</v>
      </c>
      <c r="D2758" s="3" t="s">
        <v>21</v>
      </c>
      <c r="E2758" s="11" t="s">
        <v>144</v>
      </c>
      <c r="F2758" s="3" t="s">
        <v>8</v>
      </c>
      <c r="G2758" s="48" t="s">
        <v>1153</v>
      </c>
      <c r="H2758" s="8"/>
      <c r="I2758" s="8"/>
      <c r="J2758" s="6" t="s">
        <v>605</v>
      </c>
      <c r="K2758" s="38">
        <v>1210676</v>
      </c>
      <c r="L2758" s="4" t="s">
        <v>25</v>
      </c>
      <c r="M2758" s="11">
        <f>_xlfn.NUMBERVALUE(LEFT(Table613[[#This Row],[Fiscal Year]], 4))</f>
        <v>2017</v>
      </c>
      <c r="N2758" s="42">
        <f t="shared" si="60"/>
        <v>1242935.9957405142</v>
      </c>
      <c r="O2758" s="3">
        <v>2756</v>
      </c>
    </row>
    <row r="2759" spans="1:15" x14ac:dyDescent="0.25">
      <c r="A2759" s="3">
        <v>9</v>
      </c>
      <c r="B2759" s="3" t="s">
        <v>1434</v>
      </c>
      <c r="C2759" s="3" t="s">
        <v>1434</v>
      </c>
      <c r="D2759" s="3" t="s">
        <v>21</v>
      </c>
      <c r="E2759" s="11" t="s">
        <v>144</v>
      </c>
      <c r="F2759" s="3" t="s">
        <v>8</v>
      </c>
      <c r="G2759" s="48" t="s">
        <v>1154</v>
      </c>
      <c r="H2759" s="8"/>
      <c r="I2759" s="8"/>
      <c r="J2759" s="6" t="s">
        <v>455</v>
      </c>
      <c r="K2759" s="38">
        <v>249000</v>
      </c>
      <c r="L2759" s="4" t="s">
        <v>25</v>
      </c>
      <c r="M2759" s="11">
        <f>_xlfn.NUMBERVALUE(LEFT(Table613[[#This Row],[Fiscal Year]], 4))</f>
        <v>2017</v>
      </c>
      <c r="N2759" s="42">
        <f t="shared" si="60"/>
        <v>255634.92044063652</v>
      </c>
      <c r="O2759" s="3">
        <v>2757</v>
      </c>
    </row>
    <row r="2760" spans="1:15" x14ac:dyDescent="0.25">
      <c r="A2760" s="3">
        <v>9</v>
      </c>
      <c r="B2760" s="3" t="s">
        <v>1434</v>
      </c>
      <c r="C2760" s="3" t="s">
        <v>1434</v>
      </c>
      <c r="D2760" s="3" t="s">
        <v>21</v>
      </c>
      <c r="E2760" s="11" t="s">
        <v>144</v>
      </c>
      <c r="F2760" s="3" t="s">
        <v>8</v>
      </c>
      <c r="G2760" s="48" t="s">
        <v>1155</v>
      </c>
      <c r="H2760" s="8"/>
      <c r="I2760" s="8"/>
      <c r="J2760" s="6" t="s">
        <v>455</v>
      </c>
      <c r="K2760" s="38">
        <v>297339</v>
      </c>
      <c r="L2760" s="4" t="s">
        <v>25</v>
      </c>
      <c r="M2760" s="11">
        <f>_xlfn.NUMBERVALUE(LEFT(Table613[[#This Row],[Fiscal Year]], 4))</f>
        <v>2017</v>
      </c>
      <c r="N2760" s="42">
        <f t="shared" si="60"/>
        <v>305261.9743329254</v>
      </c>
      <c r="O2760" s="3">
        <v>2758</v>
      </c>
    </row>
    <row r="2761" spans="1:15" x14ac:dyDescent="0.25">
      <c r="E2761" s="11"/>
      <c r="G2761" s="66"/>
      <c r="H2761" s="8"/>
      <c r="I2761" s="8"/>
      <c r="J2761" s="6"/>
      <c r="L2761" s="4"/>
      <c r="O2761" s="3">
        <v>2759</v>
      </c>
    </row>
    <row r="2762" spans="1:15" x14ac:dyDescent="0.25">
      <c r="A2762" s="3">
        <v>9</v>
      </c>
      <c r="B2762" s="3" t="s">
        <v>1428</v>
      </c>
      <c r="C2762" s="3" t="s">
        <v>1428</v>
      </c>
      <c r="D2762" s="3" t="s">
        <v>21</v>
      </c>
      <c r="E2762" s="11" t="s">
        <v>144</v>
      </c>
      <c r="F2762" s="3" t="s">
        <v>5</v>
      </c>
      <c r="G2762" s="56" t="s">
        <v>1156</v>
      </c>
      <c r="H2762" s="8"/>
      <c r="I2762" s="47" t="s">
        <v>636</v>
      </c>
      <c r="J2762" s="6" t="s">
        <v>110</v>
      </c>
      <c r="K2762" s="38">
        <v>8654026</v>
      </c>
      <c r="L2762" s="4" t="s">
        <v>25</v>
      </c>
      <c r="M2762" s="11">
        <f>_xlfn.NUMBERVALUE(LEFT(Table613[[#This Row],[Fiscal Year]], 4))</f>
        <v>2017</v>
      </c>
      <c r="N2762" s="42">
        <f>K2762*(1+VLOOKUP(M2762,$AF$8:$AH$31,3,0))</f>
        <v>8884623.4859485943</v>
      </c>
      <c r="O2762" s="3">
        <v>2760</v>
      </c>
    </row>
    <row r="2763" spans="1:15" x14ac:dyDescent="0.25">
      <c r="A2763" s="3">
        <v>9</v>
      </c>
      <c r="B2763" s="3" t="s">
        <v>1428</v>
      </c>
      <c r="C2763" s="3" t="s">
        <v>1428</v>
      </c>
      <c r="D2763" s="3" t="s">
        <v>21</v>
      </c>
      <c r="E2763" s="11" t="s">
        <v>144</v>
      </c>
      <c r="F2763" s="3" t="s">
        <v>5</v>
      </c>
      <c r="G2763" s="56" t="s">
        <v>1157</v>
      </c>
      <c r="H2763" s="8"/>
      <c r="I2763" s="8"/>
      <c r="J2763" s="6" t="s">
        <v>111</v>
      </c>
      <c r="K2763" s="38" t="s">
        <v>1173</v>
      </c>
      <c r="L2763" s="4" t="s">
        <v>25</v>
      </c>
      <c r="M2763" s="11">
        <f>_xlfn.NUMBERVALUE(LEFT(Table613[[#This Row],[Fiscal Year]], 4))</f>
        <v>2017</v>
      </c>
      <c r="O2763" s="3">
        <v>2761</v>
      </c>
    </row>
    <row r="2764" spans="1:15" x14ac:dyDescent="0.25">
      <c r="A2764" s="3">
        <v>9</v>
      </c>
      <c r="B2764" s="3" t="s">
        <v>1428</v>
      </c>
      <c r="C2764" s="3" t="s">
        <v>1428</v>
      </c>
      <c r="D2764" s="3" t="s">
        <v>21</v>
      </c>
      <c r="E2764" s="11" t="s">
        <v>144</v>
      </c>
      <c r="F2764" s="3" t="s">
        <v>5</v>
      </c>
      <c r="G2764" s="63" t="s">
        <v>1185</v>
      </c>
      <c r="H2764" s="8"/>
      <c r="I2764" s="8"/>
      <c r="J2764" s="6" t="s">
        <v>111</v>
      </c>
      <c r="K2764" s="38">
        <v>0</v>
      </c>
      <c r="L2764" s="4" t="s">
        <v>25</v>
      </c>
      <c r="M2764" s="11">
        <f>_xlfn.NUMBERVALUE(LEFT(Table613[[#This Row],[Fiscal Year]], 4))</f>
        <v>2017</v>
      </c>
      <c r="N2764" s="42">
        <f>K2764*(1+VLOOKUP(M2764,$AF$8:$AH$31,3,0))</f>
        <v>0</v>
      </c>
      <c r="O2764" s="3">
        <v>2762</v>
      </c>
    </row>
    <row r="2765" spans="1:15" x14ac:dyDescent="0.25">
      <c r="A2765" s="3">
        <v>9</v>
      </c>
      <c r="B2765" s="3" t="s">
        <v>1428</v>
      </c>
      <c r="C2765" s="3" t="s">
        <v>1428</v>
      </c>
      <c r="D2765" s="3" t="s">
        <v>21</v>
      </c>
      <c r="E2765" s="11" t="s">
        <v>144</v>
      </c>
      <c r="F2765" s="3" t="s">
        <v>5</v>
      </c>
      <c r="G2765" s="63" t="s">
        <v>1186</v>
      </c>
      <c r="H2765" s="8"/>
      <c r="I2765" s="8"/>
      <c r="J2765" s="6" t="s">
        <v>111</v>
      </c>
      <c r="K2765" s="38">
        <v>0</v>
      </c>
      <c r="L2765" s="4" t="s">
        <v>25</v>
      </c>
      <c r="M2765" s="11">
        <f>_xlfn.NUMBERVALUE(LEFT(Table613[[#This Row],[Fiscal Year]], 4))</f>
        <v>2017</v>
      </c>
      <c r="N2765" s="42">
        <f>K2765*(1+VLOOKUP(M2765,$AF$8:$AH$31,3,0))</f>
        <v>0</v>
      </c>
      <c r="O2765" s="3">
        <v>2763</v>
      </c>
    </row>
    <row r="2766" spans="1:15" x14ac:dyDescent="0.25">
      <c r="A2766" s="3">
        <v>9</v>
      </c>
      <c r="B2766" s="3" t="s">
        <v>1428</v>
      </c>
      <c r="C2766" s="3" t="s">
        <v>1428</v>
      </c>
      <c r="D2766" s="3" t="s">
        <v>21</v>
      </c>
      <c r="E2766" s="11" t="s">
        <v>144</v>
      </c>
      <c r="F2766" s="3" t="s">
        <v>5</v>
      </c>
      <c r="G2766" s="63" t="s">
        <v>1187</v>
      </c>
      <c r="H2766" s="52"/>
      <c r="I2766" s="52"/>
      <c r="J2766" s="6" t="s">
        <v>111</v>
      </c>
      <c r="K2766" s="38">
        <v>2047374</v>
      </c>
      <c r="L2766" s="4" t="s">
        <v>25</v>
      </c>
      <c r="M2766" s="11">
        <f>_xlfn.NUMBERVALUE(LEFT(Table613[[#This Row],[Fiscal Year]], 4))</f>
        <v>2017</v>
      </c>
      <c r="N2766" s="42">
        <f>K2766*(1+VLOOKUP(M2766,$AF$8:$AH$31,3,0))</f>
        <v>2101928.873904529</v>
      </c>
      <c r="O2766" s="3">
        <v>2764</v>
      </c>
    </row>
    <row r="2767" spans="1:15" x14ac:dyDescent="0.25">
      <c r="A2767" s="3">
        <v>9</v>
      </c>
      <c r="B2767" s="3" t="s">
        <v>1428</v>
      </c>
      <c r="C2767" s="3" t="s">
        <v>1428</v>
      </c>
      <c r="D2767" s="3" t="s">
        <v>21</v>
      </c>
      <c r="E2767" s="11" t="s">
        <v>144</v>
      </c>
      <c r="F2767" s="3" t="s">
        <v>5</v>
      </c>
      <c r="G2767" s="63" t="s">
        <v>1176</v>
      </c>
      <c r="H2767" s="52"/>
      <c r="I2767" s="52"/>
      <c r="J2767" s="6" t="s">
        <v>76</v>
      </c>
      <c r="K2767" s="38" t="s">
        <v>1177</v>
      </c>
      <c r="L2767" s="4" t="s">
        <v>25</v>
      </c>
      <c r="M2767" s="11">
        <f>_xlfn.NUMBERVALUE(LEFT(Table613[[#This Row],[Fiscal Year]], 4))</f>
        <v>2017</v>
      </c>
      <c r="O2767" s="3">
        <v>2765</v>
      </c>
    </row>
    <row r="2768" spans="1:15" x14ac:dyDescent="0.25">
      <c r="A2768" s="3">
        <v>9</v>
      </c>
      <c r="B2768" s="3" t="s">
        <v>1428</v>
      </c>
      <c r="C2768" s="3" t="s">
        <v>1428</v>
      </c>
      <c r="D2768" s="3" t="s">
        <v>21</v>
      </c>
      <c r="E2768" s="11" t="s">
        <v>144</v>
      </c>
      <c r="F2768" s="3" t="s">
        <v>5</v>
      </c>
      <c r="G2768" s="63" t="s">
        <v>1180</v>
      </c>
      <c r="H2768" s="52"/>
      <c r="I2768" s="52"/>
      <c r="J2768" s="6" t="s">
        <v>76</v>
      </c>
      <c r="K2768" s="38">
        <v>252662</v>
      </c>
      <c r="L2768" s="4" t="s">
        <v>25</v>
      </c>
      <c r="M2768" s="11">
        <f>_xlfn.NUMBERVALUE(LEFT(Table613[[#This Row],[Fiscal Year]], 4))</f>
        <v>2017</v>
      </c>
      <c r="N2768" s="42">
        <f>K2768*(1+VLOOKUP(M2768,$AF$8:$AH$31,3,0))</f>
        <v>259394.49906976748</v>
      </c>
      <c r="O2768" s="3">
        <v>2766</v>
      </c>
    </row>
    <row r="2769" spans="1:15" x14ac:dyDescent="0.25">
      <c r="A2769" s="3">
        <v>9</v>
      </c>
      <c r="B2769" s="3" t="s">
        <v>1428</v>
      </c>
      <c r="C2769" s="3" t="s">
        <v>1428</v>
      </c>
      <c r="D2769" s="3" t="s">
        <v>21</v>
      </c>
      <c r="E2769" s="11" t="s">
        <v>144</v>
      </c>
      <c r="F2769" s="3" t="s">
        <v>5</v>
      </c>
      <c r="G2769" s="63" t="s">
        <v>1181</v>
      </c>
      <c r="H2769" s="52"/>
      <c r="I2769" s="52"/>
      <c r="J2769" s="6" t="s">
        <v>76</v>
      </c>
      <c r="K2769" s="38">
        <v>1074593</v>
      </c>
      <c r="L2769" s="4" t="s">
        <v>25</v>
      </c>
      <c r="M2769" s="11">
        <f>_xlfn.NUMBERVALUE(LEFT(Table613[[#This Row],[Fiscal Year]], 4))</f>
        <v>2017</v>
      </c>
      <c r="N2769" s="42">
        <f>K2769*(1+VLOOKUP(M2769,$AF$8:$AH$31,3,0))</f>
        <v>1103226.8918115057</v>
      </c>
      <c r="O2769" s="3">
        <v>2767</v>
      </c>
    </row>
    <row r="2770" spans="1:15" x14ac:dyDescent="0.25">
      <c r="A2770" s="3">
        <v>9</v>
      </c>
      <c r="B2770" s="3" t="s">
        <v>1428</v>
      </c>
      <c r="C2770" s="3" t="s">
        <v>1428</v>
      </c>
      <c r="D2770" s="3" t="s">
        <v>21</v>
      </c>
      <c r="E2770" s="11" t="s">
        <v>144</v>
      </c>
      <c r="F2770" s="3" t="s">
        <v>5</v>
      </c>
      <c r="G2770" s="65" t="s">
        <v>1182</v>
      </c>
      <c r="H2770" s="52"/>
      <c r="I2770" s="52"/>
      <c r="J2770" s="6" t="s">
        <v>76</v>
      </c>
      <c r="K2770" s="38">
        <v>43500</v>
      </c>
      <c r="L2770" s="4" t="s">
        <v>25</v>
      </c>
      <c r="M2770" s="11">
        <f>_xlfn.NUMBERVALUE(LEFT(Table613[[#This Row],[Fiscal Year]], 4))</f>
        <v>2017</v>
      </c>
      <c r="N2770" s="42">
        <f>K2770*(1+VLOOKUP(M2770,$AF$8:$AH$31,3,0))</f>
        <v>44659.112607099145</v>
      </c>
      <c r="O2770" s="3">
        <v>2768</v>
      </c>
    </row>
    <row r="2771" spans="1:15" x14ac:dyDescent="0.25">
      <c r="A2771" s="3">
        <v>9</v>
      </c>
      <c r="B2771" s="3" t="s">
        <v>1428</v>
      </c>
      <c r="C2771" s="3" t="s">
        <v>1428</v>
      </c>
      <c r="D2771" s="3" t="s">
        <v>21</v>
      </c>
      <c r="E2771" s="11" t="s">
        <v>144</v>
      </c>
      <c r="F2771" s="3" t="s">
        <v>5</v>
      </c>
      <c r="G2771" s="63" t="s">
        <v>1183</v>
      </c>
      <c r="H2771" s="52"/>
      <c r="I2771" s="52"/>
      <c r="J2771" s="6" t="s">
        <v>76</v>
      </c>
      <c r="K2771" s="38">
        <v>118546</v>
      </c>
      <c r="L2771" s="4" t="s">
        <v>25</v>
      </c>
      <c r="M2771" s="11">
        <f>_xlfn.NUMBERVALUE(LEFT(Table613[[#This Row],[Fiscal Year]], 4))</f>
        <v>2017</v>
      </c>
      <c r="N2771" s="42">
        <f>K2771*(1+VLOOKUP(M2771,$AF$8:$AH$31,3,0))</f>
        <v>121704.80834761323</v>
      </c>
      <c r="O2771" s="3">
        <v>2769</v>
      </c>
    </row>
    <row r="2772" spans="1:15" x14ac:dyDescent="0.25">
      <c r="A2772" s="3">
        <v>9</v>
      </c>
      <c r="B2772" s="3" t="s">
        <v>1428</v>
      </c>
      <c r="C2772" s="3" t="s">
        <v>1428</v>
      </c>
      <c r="D2772" s="3" t="s">
        <v>21</v>
      </c>
      <c r="E2772" s="11" t="s">
        <v>144</v>
      </c>
      <c r="F2772" s="3" t="s">
        <v>5</v>
      </c>
      <c r="G2772" s="63" t="s">
        <v>1179</v>
      </c>
      <c r="H2772" s="52"/>
      <c r="I2772" s="52"/>
      <c r="J2772" s="6" t="s">
        <v>111</v>
      </c>
      <c r="K2772" s="38" t="s">
        <v>1426</v>
      </c>
      <c r="L2772" s="4" t="s">
        <v>25</v>
      </c>
      <c r="M2772" s="11">
        <f>_xlfn.NUMBERVALUE(LEFT(Table613[[#This Row],[Fiscal Year]], 4))</f>
        <v>2017</v>
      </c>
      <c r="O2772" s="3">
        <v>2770</v>
      </c>
    </row>
    <row r="2773" spans="1:15" x14ac:dyDescent="0.25">
      <c r="A2773" s="3">
        <v>9</v>
      </c>
      <c r="B2773" s="3" t="s">
        <v>1428</v>
      </c>
      <c r="C2773" s="3" t="s">
        <v>1428</v>
      </c>
      <c r="D2773" s="3" t="s">
        <v>21</v>
      </c>
      <c r="E2773" s="11" t="s">
        <v>144</v>
      </c>
      <c r="F2773" s="3" t="s">
        <v>5</v>
      </c>
      <c r="G2773" s="63" t="s">
        <v>1184</v>
      </c>
      <c r="H2773" s="52"/>
      <c r="I2773" s="52"/>
      <c r="J2773" s="6" t="s">
        <v>111</v>
      </c>
      <c r="K2773" s="38">
        <v>558073</v>
      </c>
      <c r="L2773" s="4" t="s">
        <v>25</v>
      </c>
      <c r="M2773" s="11">
        <f>_xlfn.NUMBERVALUE(LEFT(Table613[[#This Row],[Fiscal Year]], 4))</f>
        <v>2017</v>
      </c>
      <c r="N2773" s="42">
        <f>K2773*(1+VLOOKUP(M2773,$AF$8:$AH$31,3,0))</f>
        <v>572943.56206854351</v>
      </c>
      <c r="O2773" s="3">
        <v>2771</v>
      </c>
    </row>
    <row r="2774" spans="1:15" x14ac:dyDescent="0.25">
      <c r="A2774" s="3">
        <v>9</v>
      </c>
      <c r="B2774" s="3" t="s">
        <v>1428</v>
      </c>
      <c r="C2774" s="3" t="s">
        <v>1428</v>
      </c>
      <c r="D2774" s="3" t="s">
        <v>21</v>
      </c>
      <c r="E2774" s="11" t="s">
        <v>144</v>
      </c>
      <c r="F2774" s="3" t="s">
        <v>5</v>
      </c>
      <c r="G2774" s="56" t="s">
        <v>1158</v>
      </c>
      <c r="H2774" s="52"/>
      <c r="I2774" s="52"/>
      <c r="J2774" s="6" t="s">
        <v>76</v>
      </c>
      <c r="K2774" s="38" t="s">
        <v>1174</v>
      </c>
      <c r="L2774" s="4" t="s">
        <v>25</v>
      </c>
      <c r="M2774" s="11">
        <f>_xlfn.NUMBERVALUE(LEFT(Table613[[#This Row],[Fiscal Year]], 4))</f>
        <v>2017</v>
      </c>
      <c r="O2774" s="3">
        <v>2772</v>
      </c>
    </row>
    <row r="2775" spans="1:15" x14ac:dyDescent="0.25">
      <c r="A2775" s="3">
        <v>9</v>
      </c>
      <c r="B2775" s="3" t="s">
        <v>1428</v>
      </c>
      <c r="C2775" s="3" t="s">
        <v>1428</v>
      </c>
      <c r="D2775" s="3" t="s">
        <v>21</v>
      </c>
      <c r="E2775" s="11" t="s">
        <v>144</v>
      </c>
      <c r="F2775" s="3" t="s">
        <v>5</v>
      </c>
      <c r="G2775" s="63" t="s">
        <v>1178</v>
      </c>
      <c r="H2775" s="8"/>
      <c r="I2775" s="8"/>
      <c r="J2775" s="6" t="s">
        <v>76</v>
      </c>
      <c r="K2775" s="38" t="s">
        <v>1427</v>
      </c>
      <c r="L2775" s="4" t="s">
        <v>25</v>
      </c>
      <c r="M2775" s="11">
        <f>_xlfn.NUMBERVALUE(LEFT(Table613[[#This Row],[Fiscal Year]], 4))</f>
        <v>2017</v>
      </c>
      <c r="O2775" s="3">
        <v>2773</v>
      </c>
    </row>
    <row r="2776" spans="1:15" x14ac:dyDescent="0.25">
      <c r="A2776" s="3">
        <v>9</v>
      </c>
      <c r="B2776" s="3" t="s">
        <v>1428</v>
      </c>
      <c r="C2776" s="3" t="s">
        <v>1428</v>
      </c>
      <c r="D2776" s="3" t="s">
        <v>21</v>
      </c>
      <c r="E2776" s="11" t="s">
        <v>144</v>
      </c>
      <c r="F2776" s="3" t="s">
        <v>5</v>
      </c>
      <c r="G2776" s="63" t="s">
        <v>1188</v>
      </c>
      <c r="H2776" s="8"/>
      <c r="I2776" s="8"/>
      <c r="J2776" s="6" t="s">
        <v>107</v>
      </c>
      <c r="K2776" s="38">
        <v>1533589</v>
      </c>
      <c r="L2776" s="4" t="s">
        <v>25</v>
      </c>
      <c r="M2776" s="11">
        <f>_xlfn.NUMBERVALUE(LEFT(Table613[[#This Row],[Fiscal Year]], 4))</f>
        <v>2017</v>
      </c>
      <c r="N2776" s="42">
        <f>K2776*(1+VLOOKUP(M2776,$AF$8:$AH$31,3,0))</f>
        <v>1574453.4217013465</v>
      </c>
      <c r="O2776" s="3">
        <v>2774</v>
      </c>
    </row>
    <row r="2777" spans="1:15" x14ac:dyDescent="0.25">
      <c r="A2777" s="3">
        <v>9</v>
      </c>
      <c r="B2777" s="3" t="s">
        <v>1428</v>
      </c>
      <c r="C2777" s="3" t="s">
        <v>1428</v>
      </c>
      <c r="D2777" s="3" t="s">
        <v>21</v>
      </c>
      <c r="E2777" s="11" t="s">
        <v>144</v>
      </c>
      <c r="F2777" s="3" t="s">
        <v>5</v>
      </c>
      <c r="G2777" s="63" t="s">
        <v>1189</v>
      </c>
      <c r="H2777" s="8"/>
      <c r="I2777" s="8"/>
      <c r="J2777" s="6" t="s">
        <v>76</v>
      </c>
      <c r="K2777" s="38">
        <v>1178673</v>
      </c>
      <c r="L2777" s="4" t="s">
        <v>25</v>
      </c>
      <c r="M2777" s="11">
        <f>_xlfn.NUMBERVALUE(LEFT(Table613[[#This Row],[Fiscal Year]], 4))</f>
        <v>2017</v>
      </c>
      <c r="N2777" s="42">
        <f>K2777*(1+VLOOKUP(M2777,$AF$8:$AH$31,3,0))</f>
        <v>1210080.2352631581</v>
      </c>
      <c r="O2777" s="3">
        <v>2775</v>
      </c>
    </row>
    <row r="2778" spans="1:15" x14ac:dyDescent="0.25">
      <c r="A2778" s="3">
        <v>9</v>
      </c>
      <c r="B2778" s="3" t="s">
        <v>1428</v>
      </c>
      <c r="C2778" s="3" t="s">
        <v>1428</v>
      </c>
      <c r="D2778" s="3" t="s">
        <v>21</v>
      </c>
      <c r="E2778" s="11" t="s">
        <v>144</v>
      </c>
      <c r="F2778" s="3" t="s">
        <v>5</v>
      </c>
      <c r="G2778" s="56" t="s">
        <v>1190</v>
      </c>
      <c r="H2778" s="8"/>
      <c r="I2778" s="8"/>
      <c r="J2778" s="6" t="s">
        <v>107</v>
      </c>
      <c r="K2778" s="38">
        <v>1791775</v>
      </c>
      <c r="L2778" s="4" t="s">
        <v>25</v>
      </c>
      <c r="M2778" s="11">
        <f>_xlfn.NUMBERVALUE(LEFT(Table613[[#This Row],[Fiscal Year]], 4))</f>
        <v>2017</v>
      </c>
      <c r="N2778" s="42">
        <f>K2778*(1+VLOOKUP(M2778,$AF$8:$AH$31,3,0))</f>
        <v>1839519.1147490821</v>
      </c>
      <c r="O2778" s="3">
        <v>2776</v>
      </c>
    </row>
    <row r="2779" spans="1:15" x14ac:dyDescent="0.25">
      <c r="A2779" s="3">
        <v>9</v>
      </c>
      <c r="B2779" s="3" t="s">
        <v>1428</v>
      </c>
      <c r="C2779" s="3" t="s">
        <v>1428</v>
      </c>
      <c r="D2779" s="3" t="s">
        <v>21</v>
      </c>
      <c r="E2779" s="11" t="s">
        <v>144</v>
      </c>
      <c r="F2779" s="3" t="s">
        <v>5</v>
      </c>
      <c r="G2779" s="63" t="s">
        <v>1159</v>
      </c>
      <c r="H2779" s="6"/>
      <c r="I2779" s="8"/>
      <c r="J2779" s="6" t="s">
        <v>108</v>
      </c>
      <c r="K2779" s="38" t="s">
        <v>1175</v>
      </c>
      <c r="L2779" s="4" t="s">
        <v>25</v>
      </c>
      <c r="M2779" s="11">
        <f>_xlfn.NUMBERVALUE(LEFT(Table613[[#This Row],[Fiscal Year]], 4))</f>
        <v>2017</v>
      </c>
      <c r="O2779" s="3">
        <v>2777</v>
      </c>
    </row>
    <row r="2780" spans="1:15" x14ac:dyDescent="0.25">
      <c r="A2780" s="3">
        <v>9</v>
      </c>
      <c r="B2780" s="3" t="s">
        <v>1428</v>
      </c>
      <c r="C2780" s="3" t="s">
        <v>1428</v>
      </c>
      <c r="D2780" s="3" t="s">
        <v>21</v>
      </c>
      <c r="E2780" s="11" t="s">
        <v>144</v>
      </c>
      <c r="F2780" s="3" t="s">
        <v>5</v>
      </c>
      <c r="G2780" s="63" t="s">
        <v>1191</v>
      </c>
      <c r="H2780" s="8"/>
      <c r="I2780" s="8"/>
      <c r="J2780" s="6" t="s">
        <v>108</v>
      </c>
      <c r="K2780" s="38">
        <v>191806</v>
      </c>
      <c r="L2780" s="4" t="s">
        <v>25</v>
      </c>
      <c r="M2780" s="11">
        <f>_xlfn.NUMBERVALUE(LEFT(Table613[[#This Row],[Fiscal Year]], 4))</f>
        <v>2017</v>
      </c>
      <c r="N2780" s="42">
        <f>K2780*(1+VLOOKUP(M2780,$AF$8:$AH$31,3,0))</f>
        <v>196916.91385556918</v>
      </c>
      <c r="O2780" s="3">
        <v>2778</v>
      </c>
    </row>
    <row r="2781" spans="1:15" x14ac:dyDescent="0.25">
      <c r="A2781" s="3">
        <v>9</v>
      </c>
      <c r="B2781" s="3" t="s">
        <v>1428</v>
      </c>
      <c r="C2781" s="3" t="s">
        <v>1428</v>
      </c>
      <c r="D2781" s="3" t="s">
        <v>21</v>
      </c>
      <c r="E2781" s="11" t="s">
        <v>144</v>
      </c>
      <c r="F2781" s="3" t="s">
        <v>5</v>
      </c>
      <c r="G2781" s="63" t="s">
        <v>1192</v>
      </c>
      <c r="H2781" s="6"/>
      <c r="I2781" s="8"/>
      <c r="J2781" s="6" t="s">
        <v>108</v>
      </c>
      <c r="K2781" s="38">
        <v>531283</v>
      </c>
      <c r="L2781" s="4" t="s">
        <v>25</v>
      </c>
      <c r="M2781" s="11">
        <f>_xlfn.NUMBERVALUE(LEFT(Table613[[#This Row],[Fiscal Year]], 4))</f>
        <v>2017</v>
      </c>
      <c r="N2781" s="42">
        <f>K2781*(1+VLOOKUP(M2781,$AF$8:$AH$31,3,0))</f>
        <v>545439.70858017146</v>
      </c>
      <c r="O2781" s="3">
        <v>2779</v>
      </c>
    </row>
    <row r="2782" spans="1:15" x14ac:dyDescent="0.25">
      <c r="A2782" s="3">
        <v>9</v>
      </c>
      <c r="B2782" s="3" t="s">
        <v>1428</v>
      </c>
      <c r="C2782" s="3" t="s">
        <v>1428</v>
      </c>
      <c r="D2782" s="3" t="s">
        <v>21</v>
      </c>
      <c r="E2782" s="11" t="s">
        <v>144</v>
      </c>
      <c r="F2782" s="3" t="s">
        <v>5</v>
      </c>
      <c r="G2782" s="63" t="s">
        <v>1193</v>
      </c>
      <c r="H2782" s="6"/>
      <c r="I2782" s="8"/>
      <c r="J2782" s="6" t="s">
        <v>108</v>
      </c>
      <c r="K2782" s="38">
        <v>5189016</v>
      </c>
      <c r="L2782" s="4" t="s">
        <v>25</v>
      </c>
      <c r="M2782" s="11">
        <f>_xlfn.NUMBERVALUE(LEFT(Table613[[#This Row],[Fiscal Year]], 4))</f>
        <v>2017</v>
      </c>
      <c r="N2782" s="42">
        <f>K2782*(1+VLOOKUP(M2782,$AF$8:$AH$31,3,0))</f>
        <v>5327283.9049204411</v>
      </c>
      <c r="O2782" s="3">
        <v>2780</v>
      </c>
    </row>
    <row r="2783" spans="1:15" x14ac:dyDescent="0.25">
      <c r="A2783" s="3">
        <v>9</v>
      </c>
      <c r="B2783" s="3" t="s">
        <v>1428</v>
      </c>
      <c r="C2783" s="3" t="s">
        <v>1428</v>
      </c>
      <c r="D2783" s="3" t="s">
        <v>21</v>
      </c>
      <c r="E2783" s="11" t="s">
        <v>144</v>
      </c>
      <c r="F2783" s="3" t="s">
        <v>5</v>
      </c>
      <c r="G2783" s="63" t="s">
        <v>1194</v>
      </c>
      <c r="H2783" s="6"/>
      <c r="I2783" s="8"/>
      <c r="J2783" s="6" t="s">
        <v>76</v>
      </c>
      <c r="K2783" s="38">
        <v>123810</v>
      </c>
      <c r="L2783" s="4" t="s">
        <v>25</v>
      </c>
      <c r="M2783" s="11">
        <f>_xlfn.NUMBERVALUE(LEFT(Table613[[#This Row],[Fiscal Year]], 4))</f>
        <v>2017</v>
      </c>
      <c r="N2783" s="42">
        <f>K2783*(1+VLOOKUP(M2783,$AF$8:$AH$31,3,0))</f>
        <v>127109.07429620564</v>
      </c>
      <c r="O2783" s="3">
        <v>2781</v>
      </c>
    </row>
    <row r="2784" spans="1:15" x14ac:dyDescent="0.25">
      <c r="A2784" s="3">
        <v>9</v>
      </c>
      <c r="B2784" s="3" t="s">
        <v>1428</v>
      </c>
      <c r="C2784" s="3" t="s">
        <v>1428</v>
      </c>
      <c r="D2784" s="3" t="s">
        <v>21</v>
      </c>
      <c r="E2784" s="11" t="s">
        <v>144</v>
      </c>
      <c r="F2784" s="3" t="s">
        <v>5</v>
      </c>
      <c r="G2784" s="63" t="s">
        <v>1195</v>
      </c>
      <c r="H2784" s="6"/>
      <c r="I2784" s="8"/>
      <c r="J2784" s="6" t="s">
        <v>108</v>
      </c>
      <c r="K2784" s="38">
        <v>0</v>
      </c>
      <c r="L2784" s="4" t="s">
        <v>25</v>
      </c>
      <c r="M2784" s="11">
        <f>_xlfn.NUMBERVALUE(LEFT(Table613[[#This Row],[Fiscal Year]], 4))</f>
        <v>2017</v>
      </c>
      <c r="N2784" s="42">
        <f>K2784*(1+VLOOKUP(M2784,$AF$8:$AH$31,3,0))</f>
        <v>0</v>
      </c>
      <c r="O2784" s="3">
        <v>2782</v>
      </c>
    </row>
    <row r="2785" spans="1:15" x14ac:dyDescent="0.25">
      <c r="A2785" s="3">
        <v>9</v>
      </c>
      <c r="B2785" s="3" t="s">
        <v>1428</v>
      </c>
      <c r="C2785" s="3" t="s">
        <v>1428</v>
      </c>
      <c r="D2785" s="3" t="s">
        <v>21</v>
      </c>
      <c r="E2785" s="11" t="s">
        <v>144</v>
      </c>
      <c r="F2785" s="3" t="s">
        <v>5</v>
      </c>
      <c r="G2785" s="63" t="s">
        <v>1196</v>
      </c>
      <c r="H2785" s="52"/>
      <c r="I2785" s="52"/>
      <c r="J2785" s="6" t="s">
        <v>108</v>
      </c>
      <c r="K2785" s="38">
        <v>563208</v>
      </c>
      <c r="L2785" s="4" t="s">
        <v>25</v>
      </c>
      <c r="M2785" s="11">
        <f>_xlfn.NUMBERVALUE(LEFT(Table613[[#This Row],[Fiscal Year]], 4))</f>
        <v>2017</v>
      </c>
      <c r="N2785" s="42">
        <f t="shared" ref="N2785:N2795" si="61">K2785*(1+VLOOKUP(M2785,$AF$8:$AH$31,3,0))</f>
        <v>578215.39064871485</v>
      </c>
      <c r="O2785" s="3">
        <v>2783</v>
      </c>
    </row>
    <row r="2786" spans="1:15" x14ac:dyDescent="0.25">
      <c r="A2786" s="3">
        <v>9</v>
      </c>
      <c r="B2786" s="3" t="s">
        <v>1428</v>
      </c>
      <c r="C2786" s="3" t="s">
        <v>1428</v>
      </c>
      <c r="D2786" s="3" t="s">
        <v>21</v>
      </c>
      <c r="E2786" s="11" t="s">
        <v>144</v>
      </c>
      <c r="F2786" s="3" t="s">
        <v>5</v>
      </c>
      <c r="G2786" s="63" t="s">
        <v>1197</v>
      </c>
      <c r="H2786" s="52"/>
      <c r="I2786" s="52"/>
      <c r="J2786" s="6" t="s">
        <v>108</v>
      </c>
      <c r="K2786" s="38">
        <v>1046000</v>
      </c>
      <c r="L2786" s="4" t="s">
        <v>25</v>
      </c>
      <c r="M2786" s="11">
        <f>_xlfn.NUMBERVALUE(LEFT(Table613[[#This Row],[Fiscal Year]], 4))</f>
        <v>2017</v>
      </c>
      <c r="N2786" s="42">
        <f t="shared" si="61"/>
        <v>1073871.9951040393</v>
      </c>
      <c r="O2786" s="3">
        <v>2784</v>
      </c>
    </row>
    <row r="2787" spans="1:15" x14ac:dyDescent="0.25">
      <c r="A2787" s="3">
        <v>9</v>
      </c>
      <c r="B2787" s="3" t="s">
        <v>1428</v>
      </c>
      <c r="C2787" s="3" t="s">
        <v>1428</v>
      </c>
      <c r="D2787" s="3" t="s">
        <v>21</v>
      </c>
      <c r="E2787" s="11" t="s">
        <v>144</v>
      </c>
      <c r="F2787" s="3" t="s">
        <v>5</v>
      </c>
      <c r="G2787" s="63" t="s">
        <v>1198</v>
      </c>
      <c r="H2787" s="52"/>
      <c r="I2787" s="52"/>
      <c r="J2787" s="6" t="s">
        <v>76</v>
      </c>
      <c r="K2787" s="38">
        <v>117000</v>
      </c>
      <c r="L2787" s="4" t="s">
        <v>25</v>
      </c>
      <c r="M2787" s="11">
        <f>_xlfn.NUMBERVALUE(LEFT(Table613[[#This Row],[Fiscal Year]], 4))</f>
        <v>2017</v>
      </c>
      <c r="N2787" s="42">
        <f t="shared" si="61"/>
        <v>120117.61321909426</v>
      </c>
      <c r="O2787" s="3">
        <v>2785</v>
      </c>
    </row>
    <row r="2788" spans="1:15" x14ac:dyDescent="0.25">
      <c r="A2788" s="3">
        <v>9</v>
      </c>
      <c r="B2788" s="3" t="s">
        <v>1428</v>
      </c>
      <c r="C2788" s="3" t="s">
        <v>1428</v>
      </c>
      <c r="D2788" s="3" t="s">
        <v>21</v>
      </c>
      <c r="E2788" s="11" t="s">
        <v>144</v>
      </c>
      <c r="F2788" s="3" t="s">
        <v>5</v>
      </c>
      <c r="G2788" s="63" t="s">
        <v>1199</v>
      </c>
      <c r="H2788" s="52"/>
      <c r="I2788" s="52"/>
      <c r="J2788" s="6" t="s">
        <v>108</v>
      </c>
      <c r="K2788" s="38">
        <v>114000</v>
      </c>
      <c r="L2788" s="4" t="s">
        <v>25</v>
      </c>
      <c r="M2788" s="11">
        <f>_xlfn.NUMBERVALUE(LEFT(Table613[[#This Row],[Fiscal Year]], 4))</f>
        <v>2017</v>
      </c>
      <c r="N2788" s="42">
        <f t="shared" si="61"/>
        <v>117037.67441860467</v>
      </c>
      <c r="O2788" s="3">
        <v>2786</v>
      </c>
    </row>
    <row r="2789" spans="1:15" x14ac:dyDescent="0.25">
      <c r="A2789" s="3">
        <v>9</v>
      </c>
      <c r="B2789" s="3" t="s">
        <v>1428</v>
      </c>
      <c r="C2789" s="3" t="s">
        <v>1428</v>
      </c>
      <c r="D2789" s="3" t="s">
        <v>21</v>
      </c>
      <c r="E2789" s="11" t="s">
        <v>144</v>
      </c>
      <c r="F2789" s="3" t="s">
        <v>5</v>
      </c>
      <c r="G2789" s="56" t="s">
        <v>1200</v>
      </c>
      <c r="H2789" s="52"/>
      <c r="I2789" s="52"/>
      <c r="J2789" s="6" t="s">
        <v>108</v>
      </c>
      <c r="K2789" s="38">
        <v>38650</v>
      </c>
      <c r="L2789" s="4" t="s">
        <v>25</v>
      </c>
      <c r="M2789" s="11">
        <f>_xlfn.NUMBERVALUE(LEFT(Table613[[#This Row],[Fiscal Year]], 4))</f>
        <v>2017</v>
      </c>
      <c r="N2789" s="42">
        <f t="shared" si="61"/>
        <v>39679.878212974298</v>
      </c>
      <c r="O2789" s="3">
        <v>2787</v>
      </c>
    </row>
    <row r="2790" spans="1:15" x14ac:dyDescent="0.25">
      <c r="A2790" s="3">
        <v>9</v>
      </c>
      <c r="B2790" s="3" t="s">
        <v>1428</v>
      </c>
      <c r="C2790" s="3" t="s">
        <v>1428</v>
      </c>
      <c r="D2790" s="3" t="s">
        <v>21</v>
      </c>
      <c r="E2790" s="11" t="s">
        <v>144</v>
      </c>
      <c r="F2790" s="3" t="s">
        <v>5</v>
      </c>
      <c r="G2790" s="56" t="s">
        <v>1201</v>
      </c>
      <c r="H2790" s="52"/>
      <c r="I2790" s="52"/>
      <c r="J2790" s="6" t="s">
        <v>108</v>
      </c>
      <c r="K2790" s="38">
        <v>14500</v>
      </c>
      <c r="L2790" s="4" t="s">
        <v>25</v>
      </c>
      <c r="M2790" s="11">
        <f>_xlfn.NUMBERVALUE(LEFT(Table613[[#This Row],[Fiscal Year]], 4))</f>
        <v>2017</v>
      </c>
      <c r="N2790" s="42">
        <f t="shared" si="61"/>
        <v>14886.37086903305</v>
      </c>
      <c r="O2790" s="3">
        <v>2788</v>
      </c>
    </row>
    <row r="2791" spans="1:15" x14ac:dyDescent="0.25">
      <c r="A2791" s="3">
        <v>9</v>
      </c>
      <c r="B2791" s="3" t="s">
        <v>1428</v>
      </c>
      <c r="C2791" s="3" t="s">
        <v>1428</v>
      </c>
      <c r="D2791" s="3" t="s">
        <v>21</v>
      </c>
      <c r="E2791" s="11" t="s">
        <v>144</v>
      </c>
      <c r="F2791" s="3" t="s">
        <v>5</v>
      </c>
      <c r="G2791" s="56" t="s">
        <v>1202</v>
      </c>
      <c r="H2791" s="52"/>
      <c r="I2791" s="52"/>
      <c r="J2791" s="6" t="s">
        <v>76</v>
      </c>
      <c r="K2791" s="38">
        <v>102950</v>
      </c>
      <c r="L2791" s="4" t="s">
        <v>25</v>
      </c>
      <c r="M2791" s="11">
        <f>_xlfn.NUMBERVALUE(LEFT(Table613[[#This Row],[Fiscal Year]], 4))</f>
        <v>2017</v>
      </c>
      <c r="N2791" s="42">
        <f t="shared" si="61"/>
        <v>105693.23317013466</v>
      </c>
      <c r="O2791" s="3">
        <v>2789</v>
      </c>
    </row>
    <row r="2792" spans="1:15" x14ac:dyDescent="0.25">
      <c r="A2792" s="3">
        <v>9</v>
      </c>
      <c r="B2792" s="3" t="s">
        <v>1428</v>
      </c>
      <c r="C2792" s="3" t="s">
        <v>1428</v>
      </c>
      <c r="D2792" s="3" t="s">
        <v>21</v>
      </c>
      <c r="E2792" s="11" t="s">
        <v>144</v>
      </c>
      <c r="F2792" s="3" t="s">
        <v>5</v>
      </c>
      <c r="G2792" s="56" t="s">
        <v>1203</v>
      </c>
      <c r="H2792" s="52"/>
      <c r="I2792" s="52"/>
      <c r="J2792" s="6" t="s">
        <v>108</v>
      </c>
      <c r="K2792" s="38">
        <v>182382</v>
      </c>
      <c r="L2792" s="4" t="s">
        <v>25</v>
      </c>
      <c r="M2792" s="11">
        <f>_xlfn.NUMBERVALUE(LEFT(Table613[[#This Row],[Fiscal Year]], 4))</f>
        <v>2017</v>
      </c>
      <c r="N2792" s="42">
        <f t="shared" si="61"/>
        <v>187241.79943696453</v>
      </c>
      <c r="O2792" s="3">
        <v>2790</v>
      </c>
    </row>
    <row r="2793" spans="1:15" x14ac:dyDescent="0.25">
      <c r="A2793" s="3">
        <v>9</v>
      </c>
      <c r="B2793" s="3" t="s">
        <v>1428</v>
      </c>
      <c r="C2793" s="3" t="s">
        <v>1428</v>
      </c>
      <c r="D2793" s="3" t="s">
        <v>21</v>
      </c>
      <c r="E2793" s="11" t="s">
        <v>144</v>
      </c>
      <c r="F2793" s="3" t="s">
        <v>5</v>
      </c>
      <c r="G2793" s="56" t="s">
        <v>1204</v>
      </c>
      <c r="H2793" s="8"/>
      <c r="I2793" s="8"/>
      <c r="J2793" s="6" t="s">
        <v>108</v>
      </c>
      <c r="K2793" s="38">
        <v>10000</v>
      </c>
      <c r="L2793" s="4" t="s">
        <v>25</v>
      </c>
      <c r="M2793" s="11">
        <f>_xlfn.NUMBERVALUE(LEFT(Table613[[#This Row],[Fiscal Year]], 4))</f>
        <v>2017</v>
      </c>
      <c r="N2793" s="42">
        <f t="shared" si="61"/>
        <v>10266.462668298655</v>
      </c>
      <c r="O2793" s="3">
        <v>2791</v>
      </c>
    </row>
    <row r="2794" spans="1:15" x14ac:dyDescent="0.25">
      <c r="A2794" s="3">
        <v>9</v>
      </c>
      <c r="B2794" s="3" t="s">
        <v>1428</v>
      </c>
      <c r="C2794" s="3" t="s">
        <v>1428</v>
      </c>
      <c r="D2794" s="3" t="s">
        <v>21</v>
      </c>
      <c r="E2794" s="11" t="s">
        <v>144</v>
      </c>
      <c r="F2794" s="3" t="s">
        <v>5</v>
      </c>
      <c r="G2794" s="56" t="s">
        <v>1205</v>
      </c>
      <c r="H2794" s="8"/>
      <c r="I2794" s="8"/>
      <c r="J2794" s="6" t="s">
        <v>108</v>
      </c>
      <c r="K2794" s="38">
        <v>50000</v>
      </c>
      <c r="L2794" s="4" t="s">
        <v>25</v>
      </c>
      <c r="M2794" s="11">
        <f>_xlfn.NUMBERVALUE(LEFT(Table613[[#This Row],[Fiscal Year]], 4))</f>
        <v>2017</v>
      </c>
      <c r="N2794" s="42">
        <f t="shared" si="61"/>
        <v>51332.313341493274</v>
      </c>
      <c r="O2794" s="3">
        <v>2792</v>
      </c>
    </row>
    <row r="2795" spans="1:15" x14ac:dyDescent="0.25">
      <c r="A2795" s="3">
        <v>9</v>
      </c>
      <c r="B2795" s="3" t="s">
        <v>1428</v>
      </c>
      <c r="C2795" s="3" t="s">
        <v>1428</v>
      </c>
      <c r="D2795" s="3" t="s">
        <v>21</v>
      </c>
      <c r="E2795" s="11" t="s">
        <v>144</v>
      </c>
      <c r="F2795" s="3" t="s">
        <v>5</v>
      </c>
      <c r="G2795" s="56" t="s">
        <v>1206</v>
      </c>
      <c r="H2795" s="8"/>
      <c r="I2795" s="8"/>
      <c r="J2795" s="6" t="s">
        <v>108</v>
      </c>
      <c r="K2795" s="38">
        <v>85725</v>
      </c>
      <c r="L2795" s="4" t="s">
        <v>25</v>
      </c>
      <c r="M2795" s="11">
        <f>_xlfn.NUMBERVALUE(LEFT(Table613[[#This Row],[Fiscal Year]], 4))</f>
        <v>2017</v>
      </c>
      <c r="N2795" s="42">
        <f t="shared" si="61"/>
        <v>88009.251223990213</v>
      </c>
      <c r="O2795" s="3">
        <v>2793</v>
      </c>
    </row>
    <row r="2796" spans="1:15" x14ac:dyDescent="0.25">
      <c r="A2796" s="3">
        <v>9</v>
      </c>
      <c r="B2796" s="3" t="s">
        <v>1428</v>
      </c>
      <c r="C2796" s="3" t="s">
        <v>1428</v>
      </c>
      <c r="D2796" s="3" t="s">
        <v>21</v>
      </c>
      <c r="E2796" s="11" t="s">
        <v>144</v>
      </c>
      <c r="F2796" s="3" t="s">
        <v>5</v>
      </c>
      <c r="G2796" s="56" t="s">
        <v>1207</v>
      </c>
      <c r="H2796" s="8"/>
      <c r="I2796" s="8"/>
      <c r="J2796" s="6" t="s">
        <v>108</v>
      </c>
      <c r="K2796" s="38">
        <v>0</v>
      </c>
      <c r="L2796" s="4" t="s">
        <v>25</v>
      </c>
      <c r="M2796" s="11">
        <f>_xlfn.NUMBERVALUE(LEFT(Table613[[#This Row],[Fiscal Year]], 4))</f>
        <v>2017</v>
      </c>
      <c r="N2796" s="42">
        <f t="shared" ref="N2796:N2804" si="62">K2796*(1+VLOOKUP(M2796,$AF$8:$AH$31,3,0))</f>
        <v>0</v>
      </c>
      <c r="O2796" s="3">
        <v>2794</v>
      </c>
    </row>
    <row r="2797" spans="1:15" x14ac:dyDescent="0.25">
      <c r="A2797" s="3">
        <v>9</v>
      </c>
      <c r="B2797" s="3" t="s">
        <v>1428</v>
      </c>
      <c r="C2797" s="3" t="s">
        <v>1428</v>
      </c>
      <c r="D2797" s="3" t="s">
        <v>21</v>
      </c>
      <c r="E2797" s="11" t="s">
        <v>144</v>
      </c>
      <c r="F2797" s="3" t="s">
        <v>5</v>
      </c>
      <c r="G2797" s="63" t="s">
        <v>1208</v>
      </c>
      <c r="H2797" s="8"/>
      <c r="I2797" s="8"/>
      <c r="J2797" s="6" t="s">
        <v>108</v>
      </c>
      <c r="K2797" s="38">
        <v>85463</v>
      </c>
      <c r="L2797" s="4" t="s">
        <v>25</v>
      </c>
      <c r="M2797" s="11">
        <f>_xlfn.NUMBERVALUE(LEFT(Table613[[#This Row],[Fiscal Year]], 4))</f>
        <v>2017</v>
      </c>
      <c r="N2797" s="42">
        <f t="shared" si="62"/>
        <v>87740.269902080792</v>
      </c>
      <c r="O2797" s="3">
        <v>2795</v>
      </c>
    </row>
    <row r="2798" spans="1:15" x14ac:dyDescent="0.25">
      <c r="A2798" s="3">
        <v>9</v>
      </c>
      <c r="B2798" s="3" t="s">
        <v>1428</v>
      </c>
      <c r="C2798" s="3" t="s">
        <v>1428</v>
      </c>
      <c r="D2798" s="3" t="s">
        <v>21</v>
      </c>
      <c r="E2798" s="11" t="s">
        <v>144</v>
      </c>
      <c r="F2798" s="3" t="s">
        <v>5</v>
      </c>
      <c r="G2798" s="63" t="s">
        <v>1209</v>
      </c>
      <c r="H2798" s="8"/>
      <c r="I2798" s="8"/>
      <c r="J2798" s="6" t="s">
        <v>108</v>
      </c>
      <c r="K2798" s="38">
        <v>666736</v>
      </c>
      <c r="L2798" s="4" t="s">
        <v>25</v>
      </c>
      <c r="M2798" s="11">
        <f>_xlfn.NUMBERVALUE(LEFT(Table613[[#This Row],[Fiscal Year]], 4))</f>
        <v>2017</v>
      </c>
      <c r="N2798" s="42">
        <f t="shared" si="62"/>
        <v>684502.02536107716</v>
      </c>
      <c r="O2798" s="3">
        <v>2796</v>
      </c>
    </row>
    <row r="2799" spans="1:15" x14ac:dyDescent="0.25">
      <c r="A2799" s="3">
        <v>9</v>
      </c>
      <c r="B2799" s="3" t="s">
        <v>1428</v>
      </c>
      <c r="C2799" s="3" t="s">
        <v>1428</v>
      </c>
      <c r="D2799" s="3" t="s">
        <v>21</v>
      </c>
      <c r="E2799" s="11" t="s">
        <v>144</v>
      </c>
      <c r="F2799" s="3" t="s">
        <v>5</v>
      </c>
      <c r="G2799" s="63" t="s">
        <v>1210</v>
      </c>
      <c r="H2799" s="8"/>
      <c r="I2799" s="8"/>
      <c r="J2799" s="6" t="s">
        <v>76</v>
      </c>
      <c r="K2799" s="38">
        <v>187890</v>
      </c>
      <c r="L2799" s="4" t="s">
        <v>25</v>
      </c>
      <c r="M2799" s="11">
        <f>_xlfn.NUMBERVALUE(LEFT(Table613[[#This Row],[Fiscal Year]], 4))</f>
        <v>2017</v>
      </c>
      <c r="N2799" s="42">
        <f t="shared" si="62"/>
        <v>192896.56707466341</v>
      </c>
      <c r="O2799" s="3">
        <v>2797</v>
      </c>
    </row>
    <row r="2800" spans="1:15" x14ac:dyDescent="0.25">
      <c r="A2800" s="3">
        <v>9</v>
      </c>
      <c r="B2800" s="3" t="s">
        <v>1428</v>
      </c>
      <c r="C2800" s="3" t="s">
        <v>1428</v>
      </c>
      <c r="D2800" s="3" t="s">
        <v>21</v>
      </c>
      <c r="E2800" s="11" t="s">
        <v>144</v>
      </c>
      <c r="F2800" s="3" t="s">
        <v>5</v>
      </c>
      <c r="G2800" s="63" t="s">
        <v>1211</v>
      </c>
      <c r="H2800" s="8"/>
      <c r="I2800" s="8"/>
      <c r="J2800" s="6" t="s">
        <v>108</v>
      </c>
      <c r="K2800" s="38">
        <v>0</v>
      </c>
      <c r="L2800" s="4" t="s">
        <v>25</v>
      </c>
      <c r="M2800" s="11">
        <f>_xlfn.NUMBERVALUE(LEFT(Table613[[#This Row],[Fiscal Year]], 4))</f>
        <v>2017</v>
      </c>
      <c r="N2800" s="42">
        <f t="shared" si="62"/>
        <v>0</v>
      </c>
      <c r="O2800" s="3">
        <v>2798</v>
      </c>
    </row>
    <row r="2801" spans="1:15" x14ac:dyDescent="0.25">
      <c r="A2801" s="3">
        <v>9</v>
      </c>
      <c r="B2801" s="3" t="s">
        <v>1428</v>
      </c>
      <c r="C2801" s="3" t="s">
        <v>1428</v>
      </c>
      <c r="D2801" s="3" t="s">
        <v>21</v>
      </c>
      <c r="E2801" s="11" t="s">
        <v>144</v>
      </c>
      <c r="F2801" s="3" t="s">
        <v>5</v>
      </c>
      <c r="G2801" s="63" t="s">
        <v>1212</v>
      </c>
      <c r="H2801" s="52"/>
      <c r="I2801" s="52"/>
      <c r="J2801" s="6" t="s">
        <v>108</v>
      </c>
      <c r="K2801" s="38">
        <v>1643</v>
      </c>
      <c r="L2801" s="4" t="s">
        <v>25</v>
      </c>
      <c r="M2801" s="11">
        <f>_xlfn.NUMBERVALUE(LEFT(Table613[[#This Row],[Fiscal Year]], 4))</f>
        <v>2017</v>
      </c>
      <c r="N2801" s="42">
        <f t="shared" si="62"/>
        <v>1686.7798164014689</v>
      </c>
      <c r="O2801" s="3">
        <v>2799</v>
      </c>
    </row>
    <row r="2802" spans="1:15" x14ac:dyDescent="0.25">
      <c r="A2802" s="3">
        <v>9</v>
      </c>
      <c r="B2802" s="3" t="s">
        <v>1428</v>
      </c>
      <c r="C2802" s="3" t="s">
        <v>1428</v>
      </c>
      <c r="D2802" s="3" t="s">
        <v>21</v>
      </c>
      <c r="E2802" s="11" t="s">
        <v>144</v>
      </c>
      <c r="F2802" s="3" t="s">
        <v>5</v>
      </c>
      <c r="G2802" s="63" t="s">
        <v>1213</v>
      </c>
      <c r="H2802" s="52"/>
      <c r="I2802" s="52"/>
      <c r="J2802" s="6" t="s">
        <v>108</v>
      </c>
      <c r="K2802" s="38">
        <v>8284</v>
      </c>
      <c r="L2802" s="4" t="s">
        <v>25</v>
      </c>
      <c r="M2802" s="11">
        <f>_xlfn.NUMBERVALUE(LEFT(Table613[[#This Row],[Fiscal Year]], 4))</f>
        <v>2017</v>
      </c>
      <c r="N2802" s="42">
        <f t="shared" si="62"/>
        <v>8504.7376744186058</v>
      </c>
      <c r="O2802" s="3">
        <v>2800</v>
      </c>
    </row>
    <row r="2803" spans="1:15" x14ac:dyDescent="0.25">
      <c r="A2803" s="3">
        <v>9</v>
      </c>
      <c r="B2803" s="3" t="s">
        <v>1428</v>
      </c>
      <c r="C2803" s="3" t="s">
        <v>1428</v>
      </c>
      <c r="D2803" s="3" t="s">
        <v>21</v>
      </c>
      <c r="E2803" s="11" t="s">
        <v>144</v>
      </c>
      <c r="F2803" s="3" t="s">
        <v>5</v>
      </c>
      <c r="G2803" s="63" t="s">
        <v>1214</v>
      </c>
      <c r="H2803" s="52"/>
      <c r="I2803" s="52"/>
      <c r="J2803" s="6" t="s">
        <v>76</v>
      </c>
      <c r="K2803" s="38">
        <v>1494</v>
      </c>
      <c r="L2803" s="4" t="s">
        <v>25</v>
      </c>
      <c r="M2803" s="11">
        <f>_xlfn.NUMBERVALUE(LEFT(Table613[[#This Row],[Fiscal Year]], 4))</f>
        <v>2017</v>
      </c>
      <c r="N2803" s="42">
        <f t="shared" si="62"/>
        <v>1533.809522643819</v>
      </c>
      <c r="O2803" s="3">
        <v>2801</v>
      </c>
    </row>
    <row r="2804" spans="1:15" x14ac:dyDescent="0.25">
      <c r="A2804" s="3">
        <v>9</v>
      </c>
      <c r="B2804" s="3" t="s">
        <v>1428</v>
      </c>
      <c r="C2804" s="3" t="s">
        <v>1428</v>
      </c>
      <c r="D2804" s="3" t="s">
        <v>21</v>
      </c>
      <c r="E2804" s="11" t="s">
        <v>144</v>
      </c>
      <c r="F2804" s="3" t="s">
        <v>5</v>
      </c>
      <c r="G2804" s="63" t="s">
        <v>1215</v>
      </c>
      <c r="H2804" s="52"/>
      <c r="I2804" s="52"/>
      <c r="J2804" s="6" t="s">
        <v>108</v>
      </c>
      <c r="K2804" s="38">
        <v>0</v>
      </c>
      <c r="L2804" s="4" t="s">
        <v>25</v>
      </c>
      <c r="M2804" s="11">
        <f>_xlfn.NUMBERVALUE(LEFT(Table613[[#This Row],[Fiscal Year]], 4))</f>
        <v>2017</v>
      </c>
      <c r="N2804" s="42">
        <f t="shared" si="62"/>
        <v>0</v>
      </c>
      <c r="O2804" s="3">
        <v>2802</v>
      </c>
    </row>
    <row r="2805" spans="1:15" x14ac:dyDescent="0.25">
      <c r="A2805" s="3">
        <v>9</v>
      </c>
      <c r="B2805" s="3" t="s">
        <v>1428</v>
      </c>
      <c r="C2805" s="3" t="s">
        <v>1428</v>
      </c>
      <c r="D2805" s="3" t="s">
        <v>21</v>
      </c>
      <c r="E2805" s="11" t="s">
        <v>144</v>
      </c>
      <c r="F2805" s="3" t="s">
        <v>5</v>
      </c>
      <c r="G2805" s="56" t="s">
        <v>1216</v>
      </c>
      <c r="H2805" s="8"/>
      <c r="I2805" s="8"/>
      <c r="J2805" s="6" t="s">
        <v>108</v>
      </c>
      <c r="K2805" s="38">
        <v>20000</v>
      </c>
      <c r="L2805" s="4" t="s">
        <v>25</v>
      </c>
      <c r="M2805" s="11">
        <f>_xlfn.NUMBERVALUE(LEFT(Table613[[#This Row],[Fiscal Year]], 4))</f>
        <v>2017</v>
      </c>
      <c r="N2805" s="42">
        <f t="shared" ref="N2805:N2812" si="63">K2805*(1+VLOOKUP(M2805,$AF$8:$AH$31,3,0))</f>
        <v>20532.925336597309</v>
      </c>
      <c r="O2805" s="3">
        <v>2803</v>
      </c>
    </row>
    <row r="2806" spans="1:15" x14ac:dyDescent="0.25">
      <c r="A2806" s="3">
        <v>9</v>
      </c>
      <c r="B2806" s="3" t="s">
        <v>1428</v>
      </c>
      <c r="C2806" s="3" t="s">
        <v>1428</v>
      </c>
      <c r="D2806" s="3" t="s">
        <v>21</v>
      </c>
      <c r="E2806" s="11" t="s">
        <v>144</v>
      </c>
      <c r="F2806" s="3" t="s">
        <v>5</v>
      </c>
      <c r="G2806" s="56" t="s">
        <v>1217</v>
      </c>
      <c r="H2806" s="8"/>
      <c r="I2806" s="8"/>
      <c r="J2806" s="6" t="s">
        <v>76</v>
      </c>
      <c r="K2806" s="38">
        <v>50000</v>
      </c>
      <c r="L2806" s="4" t="s">
        <v>25</v>
      </c>
      <c r="M2806" s="11">
        <f>_xlfn.NUMBERVALUE(LEFT(Table613[[#This Row],[Fiscal Year]], 4))</f>
        <v>2017</v>
      </c>
      <c r="N2806" s="42">
        <f t="shared" si="63"/>
        <v>51332.313341493274</v>
      </c>
      <c r="O2806" s="3">
        <v>2804</v>
      </c>
    </row>
    <row r="2807" spans="1:15" x14ac:dyDescent="0.25">
      <c r="A2807" s="3">
        <v>9</v>
      </c>
      <c r="B2807" s="3" t="s">
        <v>1428</v>
      </c>
      <c r="C2807" s="3" t="s">
        <v>1428</v>
      </c>
      <c r="D2807" s="3" t="s">
        <v>21</v>
      </c>
      <c r="E2807" s="11" t="s">
        <v>144</v>
      </c>
      <c r="F2807" s="3" t="s">
        <v>5</v>
      </c>
      <c r="G2807" s="56" t="s">
        <v>1218</v>
      </c>
      <c r="H2807" s="8"/>
      <c r="I2807" s="8"/>
      <c r="J2807" s="6" t="s">
        <v>108</v>
      </c>
      <c r="K2807" s="38">
        <v>8380</v>
      </c>
      <c r="L2807" s="4" t="s">
        <v>25</v>
      </c>
      <c r="M2807" s="11">
        <f>_xlfn.NUMBERVALUE(LEFT(Table613[[#This Row],[Fiscal Year]], 4))</f>
        <v>2017</v>
      </c>
      <c r="N2807" s="42">
        <f t="shared" si="63"/>
        <v>8603.2957160342721</v>
      </c>
      <c r="O2807" s="3">
        <v>2805</v>
      </c>
    </row>
    <row r="2808" spans="1:15" x14ac:dyDescent="0.25">
      <c r="A2808" s="3">
        <v>9</v>
      </c>
      <c r="B2808" s="3" t="s">
        <v>1428</v>
      </c>
      <c r="C2808" s="3" t="s">
        <v>1428</v>
      </c>
      <c r="D2808" s="3" t="s">
        <v>21</v>
      </c>
      <c r="E2808" s="11" t="s">
        <v>144</v>
      </c>
      <c r="F2808" s="3" t="s">
        <v>5</v>
      </c>
      <c r="G2808" s="56" t="s">
        <v>1219</v>
      </c>
      <c r="H2808" s="8"/>
      <c r="I2808" s="8"/>
      <c r="J2808" s="6" t="s">
        <v>76</v>
      </c>
      <c r="K2808" s="38">
        <v>200000</v>
      </c>
      <c r="L2808" s="4" t="s">
        <v>25</v>
      </c>
      <c r="M2808" s="11">
        <f>_xlfn.NUMBERVALUE(LEFT(Table613[[#This Row],[Fiscal Year]], 4))</f>
        <v>2017</v>
      </c>
      <c r="N2808" s="42">
        <f t="shared" si="63"/>
        <v>205329.2533659731</v>
      </c>
      <c r="O2808" s="3">
        <v>2806</v>
      </c>
    </row>
    <row r="2809" spans="1:15" x14ac:dyDescent="0.25">
      <c r="A2809" s="3">
        <v>9</v>
      </c>
      <c r="B2809" s="3" t="s">
        <v>1428</v>
      </c>
      <c r="C2809" s="3" t="s">
        <v>1428</v>
      </c>
      <c r="D2809" s="3" t="s">
        <v>21</v>
      </c>
      <c r="E2809" s="11" t="s">
        <v>144</v>
      </c>
      <c r="F2809" s="3" t="s">
        <v>5</v>
      </c>
      <c r="G2809" s="56" t="s">
        <v>1220</v>
      </c>
      <c r="H2809" s="52"/>
      <c r="I2809" s="52"/>
      <c r="J2809" s="6" t="s">
        <v>108</v>
      </c>
      <c r="K2809" s="41">
        <v>24750</v>
      </c>
      <c r="L2809" s="4" t="s">
        <v>25</v>
      </c>
      <c r="M2809" s="11">
        <f>_xlfn.NUMBERVALUE(LEFT(Table613[[#This Row],[Fiscal Year]], 4))</f>
        <v>2017</v>
      </c>
      <c r="N2809" s="42">
        <f t="shared" si="63"/>
        <v>25409.495104039172</v>
      </c>
      <c r="O2809" s="3">
        <v>2807</v>
      </c>
    </row>
    <row r="2810" spans="1:15" x14ac:dyDescent="0.25">
      <c r="A2810" s="3">
        <v>9</v>
      </c>
      <c r="B2810" s="3" t="s">
        <v>1428</v>
      </c>
      <c r="C2810" s="3" t="s">
        <v>1428</v>
      </c>
      <c r="D2810" s="3" t="s">
        <v>21</v>
      </c>
      <c r="E2810" s="11" t="s">
        <v>144</v>
      </c>
      <c r="F2810" s="3" t="s">
        <v>5</v>
      </c>
      <c r="G2810" s="56" t="s">
        <v>1221</v>
      </c>
      <c r="H2810" s="52"/>
      <c r="I2810" s="52"/>
      <c r="J2810" s="6" t="s">
        <v>108</v>
      </c>
      <c r="K2810" s="41">
        <v>110448</v>
      </c>
      <c r="L2810" s="4" t="s">
        <v>25</v>
      </c>
      <c r="M2810" s="11">
        <f>_xlfn.NUMBERVALUE(LEFT(Table613[[#This Row],[Fiscal Year]], 4))</f>
        <v>2017</v>
      </c>
      <c r="N2810" s="42">
        <f t="shared" si="63"/>
        <v>113391.02687882498</v>
      </c>
      <c r="O2810" s="3">
        <v>2808</v>
      </c>
    </row>
    <row r="2811" spans="1:15" x14ac:dyDescent="0.25">
      <c r="A2811" s="3">
        <v>9</v>
      </c>
      <c r="B2811" s="3" t="s">
        <v>1428</v>
      </c>
      <c r="C2811" s="3" t="s">
        <v>1428</v>
      </c>
      <c r="D2811" s="3" t="s">
        <v>21</v>
      </c>
      <c r="E2811" s="11" t="s">
        <v>144</v>
      </c>
      <c r="F2811" s="3" t="s">
        <v>5</v>
      </c>
      <c r="G2811" s="56" t="s">
        <v>1222</v>
      </c>
      <c r="H2811" s="52"/>
      <c r="I2811" s="52"/>
      <c r="J2811" s="6" t="s">
        <v>76</v>
      </c>
      <c r="K2811" s="41">
        <v>1005264</v>
      </c>
      <c r="L2811" s="4" t="s">
        <v>25</v>
      </c>
      <c r="M2811" s="11">
        <f>_xlfn.NUMBERVALUE(LEFT(Table613[[#This Row],[Fiscal Year]], 4))</f>
        <v>2017</v>
      </c>
      <c r="N2811" s="42">
        <f t="shared" si="63"/>
        <v>1032050.5327784579</v>
      </c>
      <c r="O2811" s="3">
        <v>2809</v>
      </c>
    </row>
    <row r="2812" spans="1:15" x14ac:dyDescent="0.25">
      <c r="A2812" s="3">
        <v>9</v>
      </c>
      <c r="B2812" s="3" t="s">
        <v>1428</v>
      </c>
      <c r="C2812" s="3" t="s">
        <v>1428</v>
      </c>
      <c r="D2812" s="3" t="s">
        <v>21</v>
      </c>
      <c r="E2812" s="11" t="s">
        <v>144</v>
      </c>
      <c r="F2812" s="3" t="s">
        <v>5</v>
      </c>
      <c r="G2812" s="56" t="s">
        <v>1223</v>
      </c>
      <c r="H2812" s="52"/>
      <c r="I2812" s="52"/>
      <c r="J2812" s="6" t="s">
        <v>108</v>
      </c>
      <c r="K2812" s="41">
        <v>114036</v>
      </c>
      <c r="L2812" s="4" t="s">
        <v>25</v>
      </c>
      <c r="M2812" s="11">
        <f>_xlfn.NUMBERVALUE(LEFT(Table613[[#This Row],[Fiscal Year]], 4))</f>
        <v>2017</v>
      </c>
      <c r="N2812" s="42">
        <f t="shared" si="63"/>
        <v>117074.63368421054</v>
      </c>
      <c r="O2812" s="3">
        <v>2810</v>
      </c>
    </row>
    <row r="2813" spans="1:15" x14ac:dyDescent="0.25">
      <c r="A2813" s="3">
        <v>9</v>
      </c>
      <c r="B2813" s="3" t="s">
        <v>1428</v>
      </c>
      <c r="C2813" s="3" t="s">
        <v>1428</v>
      </c>
      <c r="D2813" s="3" t="s">
        <v>21</v>
      </c>
      <c r="E2813" s="11" t="s">
        <v>144</v>
      </c>
      <c r="F2813" s="3" t="s">
        <v>5</v>
      </c>
      <c r="G2813" s="56" t="s">
        <v>1224</v>
      </c>
      <c r="H2813" s="52"/>
      <c r="I2813" s="52"/>
      <c r="J2813" s="6" t="s">
        <v>108</v>
      </c>
      <c r="K2813" s="41">
        <v>0</v>
      </c>
      <c r="L2813" s="4" t="s">
        <v>25</v>
      </c>
      <c r="M2813" s="11">
        <f>_xlfn.NUMBERVALUE(LEFT(Table613[[#This Row],[Fiscal Year]], 4))</f>
        <v>2017</v>
      </c>
      <c r="N2813" s="42">
        <f t="shared" ref="N2813:N2825" si="64">K2813*(1+VLOOKUP(M2813,$AF$8:$AH$31,3,0))</f>
        <v>0</v>
      </c>
      <c r="O2813" s="3">
        <v>2811</v>
      </c>
    </row>
    <row r="2814" spans="1:15" x14ac:dyDescent="0.25">
      <c r="A2814" s="3">
        <v>9</v>
      </c>
      <c r="B2814" s="3" t="s">
        <v>1428</v>
      </c>
      <c r="C2814" s="3" t="s">
        <v>1428</v>
      </c>
      <c r="D2814" s="3" t="s">
        <v>21</v>
      </c>
      <c r="E2814" s="11" t="s">
        <v>144</v>
      </c>
      <c r="F2814" s="3" t="s">
        <v>5</v>
      </c>
      <c r="G2814" s="56" t="s">
        <v>1225</v>
      </c>
      <c r="H2814" s="52"/>
      <c r="I2814" s="52"/>
      <c r="J2814" s="6" t="s">
        <v>111</v>
      </c>
      <c r="K2814" s="41">
        <v>0</v>
      </c>
      <c r="L2814" s="4" t="s">
        <v>25</v>
      </c>
      <c r="M2814" s="11">
        <f>_xlfn.NUMBERVALUE(LEFT(Table613[[#This Row],[Fiscal Year]], 4))</f>
        <v>2017</v>
      </c>
      <c r="N2814" s="42">
        <f t="shared" si="64"/>
        <v>0</v>
      </c>
      <c r="O2814" s="3">
        <v>2812</v>
      </c>
    </row>
    <row r="2815" spans="1:15" x14ac:dyDescent="0.25">
      <c r="A2815" s="3">
        <v>9</v>
      </c>
      <c r="B2815" s="3" t="s">
        <v>1428</v>
      </c>
      <c r="C2815" s="3" t="s">
        <v>1428</v>
      </c>
      <c r="D2815" s="3" t="s">
        <v>21</v>
      </c>
      <c r="E2815" s="11" t="s">
        <v>144</v>
      </c>
      <c r="F2815" s="3" t="s">
        <v>5</v>
      </c>
      <c r="G2815" s="56" t="s">
        <v>1226</v>
      </c>
      <c r="H2815" s="52"/>
      <c r="I2815" s="52"/>
      <c r="J2815" s="6" t="s">
        <v>108</v>
      </c>
      <c r="K2815" s="41">
        <v>113779</v>
      </c>
      <c r="L2815" s="4" t="s">
        <v>25</v>
      </c>
      <c r="M2815" s="11">
        <f>_xlfn.NUMBERVALUE(LEFT(Table613[[#This Row],[Fiscal Year]], 4))</f>
        <v>2017</v>
      </c>
      <c r="N2815" s="42">
        <f t="shared" si="64"/>
        <v>116810.78559363527</v>
      </c>
      <c r="O2815" s="3">
        <v>2813</v>
      </c>
    </row>
    <row r="2816" spans="1:15" x14ac:dyDescent="0.25">
      <c r="A2816" s="3">
        <v>9</v>
      </c>
      <c r="B2816" s="3" t="s">
        <v>1428</v>
      </c>
      <c r="C2816" s="3" t="s">
        <v>1428</v>
      </c>
      <c r="D2816" s="3" t="s">
        <v>21</v>
      </c>
      <c r="E2816" s="11" t="s">
        <v>144</v>
      </c>
      <c r="F2816" s="3" t="s">
        <v>5</v>
      </c>
      <c r="G2816" s="56" t="s">
        <v>1227</v>
      </c>
      <c r="H2816" s="52"/>
      <c r="I2816" s="52"/>
      <c r="J2816" s="6" t="s">
        <v>76</v>
      </c>
      <c r="K2816" s="41">
        <v>162925</v>
      </c>
      <c r="L2816" s="4" t="s">
        <v>25</v>
      </c>
      <c r="M2816" s="11">
        <f>_xlfn.NUMBERVALUE(LEFT(Table613[[#This Row],[Fiscal Year]], 4))</f>
        <v>2017</v>
      </c>
      <c r="N2816" s="42">
        <f t="shared" si="64"/>
        <v>167266.34302325585</v>
      </c>
      <c r="O2816" s="3">
        <v>2814</v>
      </c>
    </row>
    <row r="2817" spans="1:15" x14ac:dyDescent="0.25">
      <c r="A2817" s="3">
        <v>9</v>
      </c>
      <c r="B2817" s="3" t="s">
        <v>1428</v>
      </c>
      <c r="C2817" s="3" t="s">
        <v>1428</v>
      </c>
      <c r="D2817" s="3" t="s">
        <v>21</v>
      </c>
      <c r="E2817" s="11" t="s">
        <v>144</v>
      </c>
      <c r="F2817" s="3" t="s">
        <v>5</v>
      </c>
      <c r="G2817" s="56" t="s">
        <v>1228</v>
      </c>
      <c r="H2817" s="52"/>
      <c r="I2817" s="52"/>
      <c r="J2817" s="6" t="s">
        <v>108</v>
      </c>
      <c r="K2817" s="41">
        <v>0</v>
      </c>
      <c r="L2817" s="4" t="s">
        <v>25</v>
      </c>
      <c r="M2817" s="11">
        <f>_xlfn.NUMBERVALUE(LEFT(Table613[[#This Row],[Fiscal Year]], 4))</f>
        <v>2017</v>
      </c>
      <c r="N2817" s="42">
        <f t="shared" si="64"/>
        <v>0</v>
      </c>
      <c r="O2817" s="3">
        <v>2815</v>
      </c>
    </row>
    <row r="2818" spans="1:15" x14ac:dyDescent="0.25">
      <c r="A2818" s="3">
        <v>9</v>
      </c>
      <c r="B2818" s="3" t="s">
        <v>1428</v>
      </c>
      <c r="C2818" s="3" t="s">
        <v>1428</v>
      </c>
      <c r="D2818" s="3" t="s">
        <v>21</v>
      </c>
      <c r="E2818" s="11" t="s">
        <v>144</v>
      </c>
      <c r="F2818" s="3" t="s">
        <v>5</v>
      </c>
      <c r="G2818" s="56" t="s">
        <v>1229</v>
      </c>
      <c r="H2818" s="52"/>
      <c r="I2818" s="52"/>
      <c r="J2818" s="6" t="s">
        <v>108</v>
      </c>
      <c r="K2818" s="41">
        <v>95209</v>
      </c>
      <c r="L2818" s="4" t="s">
        <v>25</v>
      </c>
      <c r="M2818" s="11">
        <f>_xlfn.NUMBERVALUE(LEFT(Table613[[#This Row],[Fiscal Year]], 4))</f>
        <v>2017</v>
      </c>
      <c r="N2818" s="42">
        <f t="shared" si="64"/>
        <v>97745.964418604664</v>
      </c>
      <c r="O2818" s="3">
        <v>2816</v>
      </c>
    </row>
    <row r="2819" spans="1:15" x14ac:dyDescent="0.25">
      <c r="A2819" s="3">
        <v>9</v>
      </c>
      <c r="B2819" s="3" t="s">
        <v>1428</v>
      </c>
      <c r="C2819" s="3" t="s">
        <v>1428</v>
      </c>
      <c r="D2819" s="3" t="s">
        <v>21</v>
      </c>
      <c r="E2819" s="11" t="s">
        <v>144</v>
      </c>
      <c r="F2819" s="3" t="s">
        <v>5</v>
      </c>
      <c r="G2819" s="56" t="s">
        <v>1230</v>
      </c>
      <c r="H2819" s="52"/>
      <c r="I2819" s="52"/>
      <c r="J2819" s="6" t="s">
        <v>108</v>
      </c>
      <c r="K2819" s="41">
        <v>0</v>
      </c>
      <c r="L2819" s="4" t="s">
        <v>25</v>
      </c>
      <c r="M2819" s="11">
        <f>_xlfn.NUMBERVALUE(LEFT(Table613[[#This Row],[Fiscal Year]], 4))</f>
        <v>2017</v>
      </c>
      <c r="N2819" s="42">
        <f t="shared" si="64"/>
        <v>0</v>
      </c>
      <c r="O2819" s="3">
        <v>2817</v>
      </c>
    </row>
    <row r="2820" spans="1:15" x14ac:dyDescent="0.25">
      <c r="A2820" s="3">
        <v>9</v>
      </c>
      <c r="B2820" s="3" t="s">
        <v>1428</v>
      </c>
      <c r="C2820" s="3" t="s">
        <v>1428</v>
      </c>
      <c r="D2820" s="3" t="s">
        <v>21</v>
      </c>
      <c r="E2820" s="11" t="s">
        <v>144</v>
      </c>
      <c r="F2820" s="3" t="s">
        <v>5</v>
      </c>
      <c r="G2820" s="56" t="s">
        <v>1231</v>
      </c>
      <c r="H2820" s="52"/>
      <c r="I2820" s="52"/>
      <c r="J2820" s="6" t="s">
        <v>76</v>
      </c>
      <c r="K2820" s="41">
        <v>0</v>
      </c>
      <c r="L2820" s="4" t="s">
        <v>25</v>
      </c>
      <c r="M2820" s="11">
        <f>_xlfn.NUMBERVALUE(LEFT(Table613[[#This Row],[Fiscal Year]], 4))</f>
        <v>2017</v>
      </c>
      <c r="N2820" s="42">
        <f t="shared" si="64"/>
        <v>0</v>
      </c>
      <c r="O2820" s="3">
        <v>2818</v>
      </c>
    </row>
    <row r="2821" spans="1:15" x14ac:dyDescent="0.25">
      <c r="A2821" s="3">
        <v>9</v>
      </c>
      <c r="B2821" s="3" t="s">
        <v>1428</v>
      </c>
      <c r="C2821" s="3" t="s">
        <v>1428</v>
      </c>
      <c r="D2821" s="3" t="s">
        <v>21</v>
      </c>
      <c r="E2821" s="11" t="s">
        <v>144</v>
      </c>
      <c r="F2821" s="3" t="s">
        <v>5</v>
      </c>
      <c r="G2821" s="56" t="s">
        <v>1232</v>
      </c>
      <c r="H2821" s="52"/>
      <c r="I2821" s="52"/>
      <c r="J2821" s="6" t="s">
        <v>108</v>
      </c>
      <c r="K2821" s="41">
        <v>0</v>
      </c>
      <c r="L2821" s="4" t="s">
        <v>25</v>
      </c>
      <c r="M2821" s="11">
        <f>_xlfn.NUMBERVALUE(LEFT(Table613[[#This Row],[Fiscal Year]], 4))</f>
        <v>2017</v>
      </c>
      <c r="N2821" s="42">
        <f t="shared" si="64"/>
        <v>0</v>
      </c>
      <c r="O2821" s="3">
        <v>2819</v>
      </c>
    </row>
    <row r="2822" spans="1:15" x14ac:dyDescent="0.25">
      <c r="A2822" s="3">
        <v>9</v>
      </c>
      <c r="B2822" s="3" t="s">
        <v>1428</v>
      </c>
      <c r="C2822" s="3" t="s">
        <v>1428</v>
      </c>
      <c r="D2822" s="3" t="s">
        <v>21</v>
      </c>
      <c r="E2822" s="11" t="s">
        <v>144</v>
      </c>
      <c r="F2822" s="3" t="s">
        <v>5</v>
      </c>
      <c r="G2822" s="56" t="s">
        <v>1233</v>
      </c>
      <c r="H2822" s="52"/>
      <c r="I2822" s="52"/>
      <c r="J2822" s="6" t="s">
        <v>109</v>
      </c>
      <c r="K2822" s="41">
        <v>259787</v>
      </c>
      <c r="L2822" s="4" t="s">
        <v>25</v>
      </c>
      <c r="M2822" s="11">
        <f>_xlfn.NUMBERVALUE(LEFT(Table613[[#This Row],[Fiscal Year]], 4))</f>
        <v>2017</v>
      </c>
      <c r="N2822" s="42">
        <f t="shared" si="64"/>
        <v>266709.35372093029</v>
      </c>
      <c r="O2822" s="3">
        <v>2820</v>
      </c>
    </row>
    <row r="2823" spans="1:15" x14ac:dyDescent="0.25">
      <c r="A2823" s="3">
        <v>9</v>
      </c>
      <c r="B2823" s="3" t="s">
        <v>1428</v>
      </c>
      <c r="C2823" s="3" t="s">
        <v>1428</v>
      </c>
      <c r="D2823" s="3" t="s">
        <v>21</v>
      </c>
      <c r="E2823" s="11" t="s">
        <v>144</v>
      </c>
      <c r="F2823" s="3" t="s">
        <v>5</v>
      </c>
      <c r="G2823" s="56" t="s">
        <v>1234</v>
      </c>
      <c r="H2823" s="52"/>
      <c r="I2823" s="52"/>
      <c r="J2823" s="6" t="s">
        <v>109</v>
      </c>
      <c r="K2823" s="41">
        <v>949924</v>
      </c>
      <c r="L2823" s="4" t="s">
        <v>25</v>
      </c>
      <c r="M2823" s="11">
        <f>_xlfn.NUMBERVALUE(LEFT(Table613[[#This Row],[Fiscal Year]], 4))</f>
        <v>2017</v>
      </c>
      <c r="N2823" s="42">
        <f t="shared" si="64"/>
        <v>975235.92837209313</v>
      </c>
      <c r="O2823" s="3">
        <v>2821</v>
      </c>
    </row>
    <row r="2824" spans="1:15" x14ac:dyDescent="0.25">
      <c r="A2824" s="3">
        <v>9</v>
      </c>
      <c r="B2824" s="3" t="s">
        <v>1428</v>
      </c>
      <c r="C2824" s="3" t="s">
        <v>1428</v>
      </c>
      <c r="D2824" s="3" t="s">
        <v>21</v>
      </c>
      <c r="E2824" s="11" t="s">
        <v>144</v>
      </c>
      <c r="F2824" s="3" t="s">
        <v>5</v>
      </c>
      <c r="G2824" s="56" t="s">
        <v>1235</v>
      </c>
      <c r="H2824" s="52"/>
      <c r="I2824" s="52"/>
      <c r="J2824" s="6" t="s">
        <v>109</v>
      </c>
      <c r="K2824" s="41">
        <v>224724</v>
      </c>
      <c r="L2824" s="4" t="s">
        <v>25</v>
      </c>
      <c r="M2824" s="11">
        <f>_xlfn.NUMBERVALUE(LEFT(Table613[[#This Row],[Fiscal Year]], 4))</f>
        <v>2017</v>
      </c>
      <c r="N2824" s="42">
        <f t="shared" si="64"/>
        <v>230712.05566707469</v>
      </c>
      <c r="O2824" s="3">
        <v>2822</v>
      </c>
    </row>
    <row r="2825" spans="1:15" x14ac:dyDescent="0.25">
      <c r="A2825" s="3">
        <v>9</v>
      </c>
      <c r="B2825" s="3" t="s">
        <v>1428</v>
      </c>
      <c r="C2825" s="3" t="s">
        <v>1428</v>
      </c>
      <c r="D2825" s="3" t="s">
        <v>21</v>
      </c>
      <c r="E2825" s="11" t="s">
        <v>144</v>
      </c>
      <c r="F2825" s="3" t="s">
        <v>5</v>
      </c>
      <c r="G2825" s="56" t="s">
        <v>1236</v>
      </c>
      <c r="H2825" s="52"/>
      <c r="I2825" s="52"/>
      <c r="J2825" s="6" t="s">
        <v>109</v>
      </c>
      <c r="K2825" s="41">
        <v>0</v>
      </c>
      <c r="L2825" s="4" t="s">
        <v>25</v>
      </c>
      <c r="M2825" s="11">
        <f>_xlfn.NUMBERVALUE(LEFT(Table613[[#This Row],[Fiscal Year]], 4))</f>
        <v>2017</v>
      </c>
      <c r="N2825" s="42">
        <f t="shared" si="64"/>
        <v>0</v>
      </c>
      <c r="O2825" s="3">
        <v>2823</v>
      </c>
    </row>
    <row r="2826" spans="1:15" x14ac:dyDescent="0.25">
      <c r="A2826" s="3">
        <v>9</v>
      </c>
      <c r="B2826" s="3" t="s">
        <v>1428</v>
      </c>
      <c r="C2826" s="3" t="s">
        <v>1428</v>
      </c>
      <c r="D2826" s="3" t="s">
        <v>21</v>
      </c>
      <c r="E2826" s="11" t="s">
        <v>144</v>
      </c>
      <c r="F2826" s="3" t="s">
        <v>5</v>
      </c>
      <c r="G2826" s="56" t="s">
        <v>1237</v>
      </c>
      <c r="H2826" s="52"/>
      <c r="I2826" s="52"/>
      <c r="J2826" s="6" t="s">
        <v>111</v>
      </c>
      <c r="K2826" s="41">
        <v>260229</v>
      </c>
      <c r="L2826" s="4" t="s">
        <v>25</v>
      </c>
      <c r="M2826" s="11">
        <f>_xlfn.NUMBERVALUE(LEFT(Table613[[#This Row],[Fiscal Year]], 4))</f>
        <v>2017</v>
      </c>
      <c r="N2826" s="42">
        <f t="shared" ref="N2826:N2889" si="65">K2826*(1+VLOOKUP(M2826,$AF$8:$AH$31,3,0))</f>
        <v>267163.13137086906</v>
      </c>
      <c r="O2826" s="3">
        <v>2824</v>
      </c>
    </row>
    <row r="2827" spans="1:15" x14ac:dyDescent="0.25">
      <c r="A2827" s="3">
        <v>9</v>
      </c>
      <c r="B2827" s="3" t="s">
        <v>1428</v>
      </c>
      <c r="C2827" s="3" t="s">
        <v>1428</v>
      </c>
      <c r="D2827" s="3" t="s">
        <v>21</v>
      </c>
      <c r="E2827" s="11" t="s">
        <v>144</v>
      </c>
      <c r="F2827" s="3" t="s">
        <v>5</v>
      </c>
      <c r="G2827" s="56" t="s">
        <v>1238</v>
      </c>
      <c r="H2827" s="8"/>
      <c r="I2827" s="8"/>
      <c r="J2827" s="6" t="s">
        <v>111</v>
      </c>
      <c r="K2827" s="41">
        <v>924124</v>
      </c>
      <c r="L2827" s="4" t="s">
        <v>25</v>
      </c>
      <c r="M2827" s="11">
        <f>_xlfn.NUMBERVALUE(LEFT(Table613[[#This Row],[Fiscal Year]], 4))</f>
        <v>2017</v>
      </c>
      <c r="N2827" s="42">
        <f t="shared" si="65"/>
        <v>948748.45468788256</v>
      </c>
      <c r="O2827" s="3">
        <v>2825</v>
      </c>
    </row>
    <row r="2828" spans="1:15" x14ac:dyDescent="0.25">
      <c r="A2828" s="3">
        <v>9</v>
      </c>
      <c r="B2828" s="3" t="s">
        <v>1428</v>
      </c>
      <c r="C2828" s="3" t="s">
        <v>1428</v>
      </c>
      <c r="D2828" s="3" t="s">
        <v>21</v>
      </c>
      <c r="E2828" s="11" t="s">
        <v>144</v>
      </c>
      <c r="F2828" s="3" t="s">
        <v>5</v>
      </c>
      <c r="G2828" s="56" t="s">
        <v>1239</v>
      </c>
      <c r="H2828" s="8"/>
      <c r="I2828" s="8"/>
      <c r="J2828" s="6" t="s">
        <v>42</v>
      </c>
      <c r="K2828" s="41">
        <v>961692</v>
      </c>
      <c r="L2828" s="4" t="s">
        <v>25</v>
      </c>
      <c r="M2828" s="11">
        <f>_xlfn.NUMBERVALUE(LEFT(Table613[[#This Row],[Fiscal Year]], 4))</f>
        <v>2017</v>
      </c>
      <c r="N2828" s="42">
        <f t="shared" si="65"/>
        <v>987317.50164014695</v>
      </c>
      <c r="O2828" s="3">
        <v>2826</v>
      </c>
    </row>
    <row r="2829" spans="1:15" x14ac:dyDescent="0.25">
      <c r="A2829" s="3">
        <v>9</v>
      </c>
      <c r="B2829" s="3" t="s">
        <v>1428</v>
      </c>
      <c r="C2829" s="3" t="s">
        <v>1428</v>
      </c>
      <c r="D2829" s="3" t="s">
        <v>21</v>
      </c>
      <c r="E2829" s="11" t="s">
        <v>144</v>
      </c>
      <c r="F2829" s="3" t="s">
        <v>5</v>
      </c>
      <c r="G2829" s="56" t="s">
        <v>1160</v>
      </c>
      <c r="H2829" s="8"/>
      <c r="I2829" s="8"/>
      <c r="J2829" s="6" t="s">
        <v>106</v>
      </c>
      <c r="K2829" s="41">
        <v>424900</v>
      </c>
      <c r="L2829" s="4" t="s">
        <v>25</v>
      </c>
      <c r="M2829" s="11">
        <f>_xlfn.NUMBERVALUE(LEFT(Table613[[#This Row],[Fiscal Year]], 4))</f>
        <v>2017</v>
      </c>
      <c r="N2829" s="42">
        <f t="shared" si="65"/>
        <v>436221.99877600983</v>
      </c>
      <c r="O2829" s="3">
        <v>2827</v>
      </c>
    </row>
    <row r="2830" spans="1:15" x14ac:dyDescent="0.25">
      <c r="A2830" s="3">
        <v>9</v>
      </c>
      <c r="B2830" s="3" t="s">
        <v>1428</v>
      </c>
      <c r="C2830" s="3" t="s">
        <v>1428</v>
      </c>
      <c r="D2830" s="3" t="s">
        <v>21</v>
      </c>
      <c r="E2830" s="11" t="s">
        <v>144</v>
      </c>
      <c r="F2830" s="3" t="s">
        <v>5</v>
      </c>
      <c r="G2830" s="56" t="s">
        <v>1161</v>
      </c>
      <c r="H2830" s="8"/>
      <c r="I2830" s="8"/>
      <c r="J2830" s="6" t="s">
        <v>42</v>
      </c>
      <c r="K2830" s="41">
        <v>0</v>
      </c>
      <c r="L2830" s="4" t="s">
        <v>25</v>
      </c>
      <c r="M2830" s="11">
        <f>_xlfn.NUMBERVALUE(LEFT(Table613[[#This Row],[Fiscal Year]], 4))</f>
        <v>2017</v>
      </c>
      <c r="N2830" s="42">
        <f t="shared" si="65"/>
        <v>0</v>
      </c>
      <c r="O2830" s="3">
        <v>2828</v>
      </c>
    </row>
    <row r="2831" spans="1:15" x14ac:dyDescent="0.25">
      <c r="A2831" s="3">
        <v>9</v>
      </c>
      <c r="B2831" s="3" t="s">
        <v>1428</v>
      </c>
      <c r="C2831" s="3" t="s">
        <v>1428</v>
      </c>
      <c r="D2831" s="3" t="s">
        <v>21</v>
      </c>
      <c r="E2831" s="11" t="s">
        <v>144</v>
      </c>
      <c r="F2831" s="3" t="s">
        <v>5</v>
      </c>
      <c r="G2831" s="56" t="s">
        <v>1162</v>
      </c>
      <c r="H2831" s="52"/>
      <c r="I2831" s="52"/>
      <c r="J2831" s="6" t="s">
        <v>105</v>
      </c>
      <c r="K2831" s="41">
        <v>32500</v>
      </c>
      <c r="L2831" s="4" t="s">
        <v>25</v>
      </c>
      <c r="M2831" s="11">
        <f>_xlfn.NUMBERVALUE(LEFT(Table613[[#This Row],[Fiscal Year]], 4))</f>
        <v>2017</v>
      </c>
      <c r="N2831" s="42">
        <f>K2831*(1+VLOOKUP(M2831,$AF$8:$AH$31,3,0))</f>
        <v>33366.003671970626</v>
      </c>
      <c r="O2831" s="3">
        <v>2829</v>
      </c>
    </row>
    <row r="2832" spans="1:15" x14ac:dyDescent="0.25">
      <c r="A2832" s="3">
        <v>9</v>
      </c>
      <c r="B2832" s="3" t="s">
        <v>1428</v>
      </c>
      <c r="C2832" s="3" t="s">
        <v>1428</v>
      </c>
      <c r="D2832" s="3" t="s">
        <v>21</v>
      </c>
      <c r="E2832" s="11" t="s">
        <v>144</v>
      </c>
      <c r="F2832" s="3" t="s">
        <v>5</v>
      </c>
      <c r="G2832" s="56" t="s">
        <v>1163</v>
      </c>
      <c r="H2832" s="8"/>
      <c r="I2832" s="8"/>
      <c r="J2832" s="6" t="s">
        <v>455</v>
      </c>
      <c r="K2832" s="41">
        <v>0</v>
      </c>
      <c r="L2832" s="4" t="s">
        <v>25</v>
      </c>
      <c r="M2832" s="11">
        <f>_xlfn.NUMBERVALUE(LEFT(Table613[[#This Row],[Fiscal Year]], 4))</f>
        <v>2017</v>
      </c>
      <c r="N2832" s="42">
        <f t="shared" si="65"/>
        <v>0</v>
      </c>
      <c r="O2832" s="3">
        <v>2830</v>
      </c>
    </row>
    <row r="2833" spans="1:15" x14ac:dyDescent="0.25">
      <c r="A2833" s="3">
        <v>9</v>
      </c>
      <c r="B2833" s="3" t="s">
        <v>1428</v>
      </c>
      <c r="C2833" s="3" t="s">
        <v>1428</v>
      </c>
      <c r="D2833" s="3" t="s">
        <v>21</v>
      </c>
      <c r="E2833" s="11" t="s">
        <v>144</v>
      </c>
      <c r="F2833" s="3" t="s">
        <v>5</v>
      </c>
      <c r="G2833" s="56" t="s">
        <v>1164</v>
      </c>
      <c r="H2833" s="8"/>
      <c r="I2833" s="8"/>
      <c r="J2833" s="6" t="s">
        <v>108</v>
      </c>
      <c r="K2833" s="41">
        <v>0</v>
      </c>
      <c r="L2833" s="4" t="s">
        <v>25</v>
      </c>
      <c r="M2833" s="11">
        <f>_xlfn.NUMBERVALUE(LEFT(Table613[[#This Row],[Fiscal Year]], 4))</f>
        <v>2017</v>
      </c>
      <c r="N2833" s="42">
        <f t="shared" si="65"/>
        <v>0</v>
      </c>
      <c r="O2833" s="3">
        <v>2831</v>
      </c>
    </row>
    <row r="2834" spans="1:15" x14ac:dyDescent="0.25">
      <c r="A2834" s="3">
        <v>9</v>
      </c>
      <c r="B2834" s="3" t="s">
        <v>1428</v>
      </c>
      <c r="C2834" s="3" t="s">
        <v>1428</v>
      </c>
      <c r="D2834" s="3" t="s">
        <v>21</v>
      </c>
      <c r="E2834" s="11" t="s">
        <v>144</v>
      </c>
      <c r="F2834" s="3" t="s">
        <v>5</v>
      </c>
      <c r="G2834" s="56" t="s">
        <v>1165</v>
      </c>
      <c r="H2834" s="8"/>
      <c r="I2834" s="8"/>
      <c r="J2834" s="6" t="s">
        <v>605</v>
      </c>
      <c r="K2834" s="41">
        <v>1364567</v>
      </c>
      <c r="L2834" s="4" t="s">
        <v>25</v>
      </c>
      <c r="M2834" s="11">
        <f>_xlfn.NUMBERVALUE(LEFT(Table613[[#This Row],[Fiscal Year]], 4))</f>
        <v>2017</v>
      </c>
      <c r="N2834" s="42">
        <f t="shared" si="65"/>
        <v>1400927.616389229</v>
      </c>
      <c r="O2834" s="3">
        <v>2832</v>
      </c>
    </row>
    <row r="2835" spans="1:15" x14ac:dyDescent="0.25">
      <c r="A2835" s="3">
        <v>9</v>
      </c>
      <c r="B2835" s="3" t="s">
        <v>1428</v>
      </c>
      <c r="C2835" s="3" t="s">
        <v>1428</v>
      </c>
      <c r="D2835" s="3" t="s">
        <v>21</v>
      </c>
      <c r="E2835" s="11" t="s">
        <v>144</v>
      </c>
      <c r="F2835" s="3" t="s">
        <v>5</v>
      </c>
      <c r="G2835" s="56" t="s">
        <v>1166</v>
      </c>
      <c r="H2835" s="8"/>
      <c r="I2835" s="8"/>
      <c r="J2835" s="6" t="s">
        <v>605</v>
      </c>
      <c r="K2835" s="41">
        <v>1055954</v>
      </c>
      <c r="L2835" s="4" t="s">
        <v>25</v>
      </c>
      <c r="M2835" s="11">
        <f>_xlfn.NUMBERVALUE(LEFT(Table613[[#This Row],[Fiscal Year]], 4))</f>
        <v>2017</v>
      </c>
      <c r="N2835" s="42">
        <f t="shared" si="65"/>
        <v>1084091.2320440637</v>
      </c>
      <c r="O2835" s="3">
        <v>2833</v>
      </c>
    </row>
    <row r="2836" spans="1:15" x14ac:dyDescent="0.25">
      <c r="A2836" s="3">
        <v>9</v>
      </c>
      <c r="B2836" s="3" t="s">
        <v>1428</v>
      </c>
      <c r="C2836" s="3" t="s">
        <v>1428</v>
      </c>
      <c r="D2836" s="3" t="s">
        <v>21</v>
      </c>
      <c r="E2836" s="11" t="s">
        <v>144</v>
      </c>
      <c r="F2836" s="3" t="s">
        <v>5</v>
      </c>
      <c r="G2836" s="56" t="s">
        <v>1167</v>
      </c>
      <c r="H2836" s="52"/>
      <c r="I2836" s="52"/>
      <c r="J2836" s="6" t="s">
        <v>605</v>
      </c>
      <c r="K2836" s="41">
        <v>3077350</v>
      </c>
      <c r="L2836" s="4" t="s">
        <v>25</v>
      </c>
      <c r="M2836" s="11">
        <f>_xlfn.NUMBERVALUE(LEFT(Table613[[#This Row],[Fiscal Year]], 4))</f>
        <v>2017</v>
      </c>
      <c r="N2836" s="42">
        <f t="shared" si="65"/>
        <v>3159349.8892288865</v>
      </c>
      <c r="O2836" s="3">
        <v>2834</v>
      </c>
    </row>
    <row r="2837" spans="1:15" x14ac:dyDescent="0.25">
      <c r="A2837" s="3">
        <v>9</v>
      </c>
      <c r="B2837" s="3" t="s">
        <v>1428</v>
      </c>
      <c r="C2837" s="3" t="s">
        <v>1428</v>
      </c>
      <c r="D2837" s="3" t="s">
        <v>21</v>
      </c>
      <c r="E2837" s="11" t="s">
        <v>144</v>
      </c>
      <c r="F2837" s="3" t="s">
        <v>5</v>
      </c>
      <c r="G2837" s="48" t="s">
        <v>1168</v>
      </c>
      <c r="H2837" s="6"/>
      <c r="I2837" s="8"/>
      <c r="J2837" s="6" t="s">
        <v>605</v>
      </c>
      <c r="K2837" s="41">
        <v>0</v>
      </c>
      <c r="L2837" s="4" t="s">
        <v>25</v>
      </c>
      <c r="M2837" s="11">
        <f>_xlfn.NUMBERVALUE(LEFT(Table613[[#This Row],[Fiscal Year]], 4))</f>
        <v>2017</v>
      </c>
      <c r="N2837" s="42">
        <f t="shared" si="65"/>
        <v>0</v>
      </c>
      <c r="O2837" s="3">
        <v>2835</v>
      </c>
    </row>
    <row r="2838" spans="1:15" x14ac:dyDescent="0.25">
      <c r="A2838" s="3">
        <v>9</v>
      </c>
      <c r="B2838" s="3" t="s">
        <v>1428</v>
      </c>
      <c r="C2838" s="3" t="s">
        <v>1428</v>
      </c>
      <c r="D2838" s="3" t="s">
        <v>21</v>
      </c>
      <c r="E2838" s="11" t="s">
        <v>144</v>
      </c>
      <c r="F2838" s="3" t="s">
        <v>5</v>
      </c>
      <c r="G2838" s="48" t="s">
        <v>1169</v>
      </c>
      <c r="H2838" s="8"/>
      <c r="I2838" s="8"/>
      <c r="J2838" s="6" t="s">
        <v>455</v>
      </c>
      <c r="K2838" s="41">
        <v>0</v>
      </c>
      <c r="L2838" s="4" t="s">
        <v>25</v>
      </c>
      <c r="M2838" s="11">
        <f>_xlfn.NUMBERVALUE(LEFT(Table613[[#This Row],[Fiscal Year]], 4))</f>
        <v>2017</v>
      </c>
      <c r="N2838" s="42">
        <f t="shared" si="65"/>
        <v>0</v>
      </c>
      <c r="O2838" s="3">
        <v>2836</v>
      </c>
    </row>
    <row r="2839" spans="1:15" x14ac:dyDescent="0.25">
      <c r="A2839" s="3">
        <v>9</v>
      </c>
      <c r="B2839" s="3" t="s">
        <v>1428</v>
      </c>
      <c r="C2839" s="3" t="s">
        <v>1428</v>
      </c>
      <c r="D2839" s="3" t="s">
        <v>21</v>
      </c>
      <c r="E2839" s="11" t="s">
        <v>144</v>
      </c>
      <c r="F2839" s="3" t="s">
        <v>5</v>
      </c>
      <c r="G2839" s="56" t="s">
        <v>1170</v>
      </c>
      <c r="H2839" s="8"/>
      <c r="I2839" s="8"/>
      <c r="J2839" s="6" t="s">
        <v>455</v>
      </c>
      <c r="K2839" s="41">
        <v>1072369</v>
      </c>
      <c r="L2839" s="4" t="s">
        <v>25</v>
      </c>
      <c r="M2839" s="11">
        <f>_xlfn.NUMBERVALUE(LEFT(Table613[[#This Row],[Fiscal Year]], 4))</f>
        <v>2017</v>
      </c>
      <c r="N2839" s="42">
        <f>K2839*(1+VLOOKUP(M2839,$AF$8:$AH$31,3,0))</f>
        <v>1100943.630514076</v>
      </c>
      <c r="O2839" s="3">
        <v>2837</v>
      </c>
    </row>
    <row r="2840" spans="1:15" x14ac:dyDescent="0.25">
      <c r="A2840" s="3">
        <v>9</v>
      </c>
      <c r="B2840" s="3" t="s">
        <v>1428</v>
      </c>
      <c r="C2840" s="3" t="s">
        <v>1428</v>
      </c>
      <c r="D2840" s="3" t="s">
        <v>21</v>
      </c>
      <c r="E2840" s="11" t="s">
        <v>144</v>
      </c>
      <c r="F2840" s="3" t="s">
        <v>5</v>
      </c>
      <c r="G2840" s="56" t="s">
        <v>1171</v>
      </c>
      <c r="H2840" s="8"/>
      <c r="I2840" s="8"/>
      <c r="J2840" s="6" t="s">
        <v>455</v>
      </c>
      <c r="K2840" s="41">
        <v>0</v>
      </c>
      <c r="L2840" s="4" t="s">
        <v>25</v>
      </c>
      <c r="M2840" s="11">
        <f>_xlfn.NUMBERVALUE(LEFT(Table613[[#This Row],[Fiscal Year]], 4))</f>
        <v>2017</v>
      </c>
      <c r="N2840" s="42">
        <f t="shared" si="65"/>
        <v>0</v>
      </c>
      <c r="O2840" s="3">
        <v>2838</v>
      </c>
    </row>
    <row r="2841" spans="1:15" x14ac:dyDescent="0.25">
      <c r="A2841" s="3">
        <v>9</v>
      </c>
      <c r="B2841" s="3" t="s">
        <v>1428</v>
      </c>
      <c r="C2841" s="3" t="s">
        <v>1428</v>
      </c>
      <c r="D2841" s="3" t="s">
        <v>21</v>
      </c>
      <c r="E2841" s="11" t="s">
        <v>144</v>
      </c>
      <c r="F2841" s="3" t="s">
        <v>5</v>
      </c>
      <c r="G2841" s="56" t="s">
        <v>1172</v>
      </c>
      <c r="H2841" s="52"/>
      <c r="I2841" s="52"/>
      <c r="J2841" s="6" t="s">
        <v>455</v>
      </c>
      <c r="K2841" s="41">
        <v>0</v>
      </c>
      <c r="L2841" s="4" t="s">
        <v>25</v>
      </c>
      <c r="M2841" s="11">
        <f>_xlfn.NUMBERVALUE(LEFT(Table613[[#This Row],[Fiscal Year]], 4))</f>
        <v>2017</v>
      </c>
      <c r="N2841" s="42">
        <f t="shared" si="65"/>
        <v>0</v>
      </c>
      <c r="O2841" s="3">
        <v>2839</v>
      </c>
    </row>
    <row r="2842" spans="1:15" x14ac:dyDescent="0.25">
      <c r="B2842" s="9"/>
      <c r="E2842" s="28"/>
      <c r="F2842" s="9"/>
      <c r="G2842" s="48"/>
      <c r="H2842" s="8"/>
      <c r="I2842" s="8"/>
      <c r="J2842" s="6"/>
      <c r="K2842" s="41"/>
      <c r="L2842" s="27"/>
      <c r="O2842" s="3">
        <v>2840</v>
      </c>
    </row>
    <row r="2843" spans="1:15" x14ac:dyDescent="0.25">
      <c r="A2843" s="3">
        <v>9</v>
      </c>
      <c r="B2843" s="9" t="s">
        <v>301</v>
      </c>
      <c r="C2843" s="3" t="s">
        <v>21</v>
      </c>
      <c r="D2843" s="3" t="s">
        <v>21</v>
      </c>
      <c r="E2843" s="11" t="s">
        <v>144</v>
      </c>
      <c r="F2843" s="9" t="s">
        <v>67</v>
      </c>
      <c r="G2843" s="48" t="s">
        <v>1240</v>
      </c>
      <c r="H2843" s="8" t="s">
        <v>583</v>
      </c>
      <c r="I2843" s="8"/>
      <c r="J2843" s="6" t="s">
        <v>110</v>
      </c>
      <c r="K2843" s="41">
        <v>37960</v>
      </c>
      <c r="L2843" s="27" t="s">
        <v>25</v>
      </c>
      <c r="M2843" s="11">
        <f>_xlfn.NUMBERVALUE(LEFT(Table613[[#This Row],[Fiscal Year]], 4))</f>
        <v>2017</v>
      </c>
      <c r="N2843" s="42">
        <f t="shared" si="65"/>
        <v>38971.492288861693</v>
      </c>
      <c r="O2843" s="3">
        <v>2841</v>
      </c>
    </row>
    <row r="2844" spans="1:15" x14ac:dyDescent="0.25">
      <c r="A2844" s="3">
        <v>9</v>
      </c>
      <c r="B2844" s="9" t="s">
        <v>301</v>
      </c>
      <c r="C2844" s="3" t="s">
        <v>21</v>
      </c>
      <c r="D2844" s="3" t="s">
        <v>21</v>
      </c>
      <c r="E2844" s="11" t="s">
        <v>144</v>
      </c>
      <c r="F2844" s="9" t="s">
        <v>67</v>
      </c>
      <c r="G2844" s="48" t="s">
        <v>1241</v>
      </c>
      <c r="H2844" s="8"/>
      <c r="I2844" s="8"/>
      <c r="J2844" s="6" t="s">
        <v>111</v>
      </c>
      <c r="K2844" s="41">
        <v>67165</v>
      </c>
      <c r="L2844" s="27" t="s">
        <v>25</v>
      </c>
      <c r="M2844" s="11">
        <f>_xlfn.NUMBERVALUE(LEFT(Table613[[#This Row],[Fiscal Year]], 4))</f>
        <v>2017</v>
      </c>
      <c r="N2844" s="42">
        <f t="shared" si="65"/>
        <v>68954.696511627917</v>
      </c>
      <c r="O2844" s="3">
        <v>2842</v>
      </c>
    </row>
    <row r="2845" spans="1:15" x14ac:dyDescent="0.25">
      <c r="A2845" s="3">
        <v>9</v>
      </c>
      <c r="B2845" s="9" t="s">
        <v>301</v>
      </c>
      <c r="C2845" s="3" t="s">
        <v>21</v>
      </c>
      <c r="D2845" s="3" t="s">
        <v>21</v>
      </c>
      <c r="E2845" s="11" t="s">
        <v>144</v>
      </c>
      <c r="F2845" s="9" t="s">
        <v>67</v>
      </c>
      <c r="G2845" s="48" t="s">
        <v>1242</v>
      </c>
      <c r="H2845" s="8"/>
      <c r="I2845" s="8"/>
      <c r="J2845" s="6" t="s">
        <v>107</v>
      </c>
      <c r="K2845" s="41">
        <v>124025</v>
      </c>
      <c r="L2845" s="27" t="s">
        <v>25</v>
      </c>
      <c r="M2845" s="11">
        <f>_xlfn.NUMBERVALUE(LEFT(Table613[[#This Row],[Fiscal Year]], 4))</f>
        <v>2017</v>
      </c>
      <c r="N2845" s="42">
        <f t="shared" si="65"/>
        <v>127329.80324357406</v>
      </c>
      <c r="O2845" s="3">
        <v>2843</v>
      </c>
    </row>
    <row r="2846" spans="1:15" x14ac:dyDescent="0.25">
      <c r="A2846" s="3">
        <v>9</v>
      </c>
      <c r="B2846" s="9" t="s">
        <v>301</v>
      </c>
      <c r="C2846" s="3" t="s">
        <v>21</v>
      </c>
      <c r="D2846" s="3" t="s">
        <v>21</v>
      </c>
      <c r="E2846" s="11" t="s">
        <v>144</v>
      </c>
      <c r="F2846" s="9" t="s">
        <v>67</v>
      </c>
      <c r="G2846" s="66" t="s">
        <v>1243</v>
      </c>
      <c r="H2846" s="8"/>
      <c r="I2846" s="8"/>
      <c r="J2846" s="6" t="s">
        <v>108</v>
      </c>
      <c r="K2846" s="38">
        <v>1489345</v>
      </c>
      <c r="L2846" s="27" t="s">
        <v>25</v>
      </c>
      <c r="M2846" s="11">
        <f>_xlfn.NUMBERVALUE(LEFT(Table613[[#This Row],[Fiscal Year]], 4))</f>
        <v>2017</v>
      </c>
      <c r="N2846" s="42">
        <f t="shared" si="65"/>
        <v>1529030.4842717261</v>
      </c>
      <c r="O2846" s="3">
        <v>2844</v>
      </c>
    </row>
    <row r="2847" spans="1:15" x14ac:dyDescent="0.25">
      <c r="A2847" s="3">
        <v>9</v>
      </c>
      <c r="B2847" s="9" t="s">
        <v>301</v>
      </c>
      <c r="C2847" s="3" t="s">
        <v>21</v>
      </c>
      <c r="D2847" s="3" t="s">
        <v>21</v>
      </c>
      <c r="E2847" s="11" t="s">
        <v>144</v>
      </c>
      <c r="F2847" s="9" t="s">
        <v>67</v>
      </c>
      <c r="G2847" s="66" t="s">
        <v>1244</v>
      </c>
      <c r="H2847" s="8"/>
      <c r="I2847" s="8"/>
      <c r="J2847" s="6" t="s">
        <v>109</v>
      </c>
      <c r="K2847" s="38">
        <v>628735</v>
      </c>
      <c r="L2847" s="27" t="s">
        <v>25</v>
      </c>
      <c r="M2847" s="11">
        <f>_xlfn.NUMBERVALUE(LEFT(Table613[[#This Row],[Fiscal Year]], 4))</f>
        <v>2017</v>
      </c>
      <c r="N2847" s="42">
        <f t="shared" si="65"/>
        <v>645488.44057527545</v>
      </c>
      <c r="O2847" s="3">
        <v>2845</v>
      </c>
    </row>
    <row r="2848" spans="1:15" x14ac:dyDescent="0.25">
      <c r="A2848" s="3">
        <v>9</v>
      </c>
      <c r="B2848" s="9" t="s">
        <v>301</v>
      </c>
      <c r="C2848" s="3" t="s">
        <v>21</v>
      </c>
      <c r="D2848" s="3" t="s">
        <v>21</v>
      </c>
      <c r="E2848" s="11" t="s">
        <v>144</v>
      </c>
      <c r="F2848" s="9" t="s">
        <v>67</v>
      </c>
      <c r="G2848" s="66" t="s">
        <v>1245</v>
      </c>
      <c r="H2848" s="8"/>
      <c r="I2848" s="8"/>
      <c r="J2848" s="6" t="s">
        <v>111</v>
      </c>
      <c r="K2848" s="38">
        <v>0</v>
      </c>
      <c r="L2848" s="27" t="s">
        <v>25</v>
      </c>
      <c r="M2848" s="11">
        <f>_xlfn.NUMBERVALUE(LEFT(Table613[[#This Row],[Fiscal Year]], 4))</f>
        <v>2017</v>
      </c>
      <c r="N2848" s="42">
        <f t="shared" si="65"/>
        <v>0</v>
      </c>
      <c r="O2848" s="3">
        <v>2846</v>
      </c>
    </row>
    <row r="2849" spans="1:15" x14ac:dyDescent="0.25">
      <c r="A2849" s="3">
        <v>9</v>
      </c>
      <c r="B2849" s="9" t="s">
        <v>301</v>
      </c>
      <c r="C2849" s="3" t="s">
        <v>21</v>
      </c>
      <c r="D2849" s="3" t="s">
        <v>21</v>
      </c>
      <c r="E2849" s="11" t="s">
        <v>144</v>
      </c>
      <c r="F2849" s="9" t="s">
        <v>67</v>
      </c>
      <c r="G2849" s="66" t="s">
        <v>1246</v>
      </c>
      <c r="H2849" s="8"/>
      <c r="I2849" s="8"/>
      <c r="J2849" s="6" t="s">
        <v>106</v>
      </c>
      <c r="K2849" s="38">
        <v>21555</v>
      </c>
      <c r="L2849" s="27" t="s">
        <v>25</v>
      </c>
      <c r="M2849" s="11">
        <f>_xlfn.NUMBERVALUE(LEFT(Table613[[#This Row],[Fiscal Year]], 4))</f>
        <v>2017</v>
      </c>
      <c r="N2849" s="42">
        <f t="shared" si="65"/>
        <v>22129.360281517751</v>
      </c>
      <c r="O2849" s="3">
        <v>2847</v>
      </c>
    </row>
    <row r="2850" spans="1:15" x14ac:dyDescent="0.25">
      <c r="A2850" s="3">
        <v>9</v>
      </c>
      <c r="B2850" s="9" t="s">
        <v>301</v>
      </c>
      <c r="C2850" s="3" t="s">
        <v>21</v>
      </c>
      <c r="D2850" s="3" t="s">
        <v>21</v>
      </c>
      <c r="E2850" s="11" t="s">
        <v>144</v>
      </c>
      <c r="F2850" s="9" t="s">
        <v>67</v>
      </c>
      <c r="G2850" s="66" t="s">
        <v>1247</v>
      </c>
      <c r="H2850" s="8" t="s">
        <v>638</v>
      </c>
      <c r="I2850" s="47" t="s">
        <v>637</v>
      </c>
      <c r="J2850" s="6" t="s">
        <v>455</v>
      </c>
      <c r="K2850" s="38">
        <v>38580</v>
      </c>
      <c r="L2850" s="27" t="s">
        <v>25</v>
      </c>
      <c r="M2850" s="11">
        <f>_xlfn.NUMBERVALUE(LEFT(Table613[[#This Row],[Fiscal Year]], 4))</f>
        <v>2017</v>
      </c>
      <c r="N2850" s="42">
        <f t="shared" si="65"/>
        <v>39608.012974296209</v>
      </c>
      <c r="O2850" s="3">
        <v>2848</v>
      </c>
    </row>
    <row r="2851" spans="1:15" x14ac:dyDescent="0.25">
      <c r="A2851" s="3">
        <v>9</v>
      </c>
      <c r="B2851" s="9" t="s">
        <v>301</v>
      </c>
      <c r="C2851" s="3" t="s">
        <v>21</v>
      </c>
      <c r="D2851" s="3" t="s">
        <v>21</v>
      </c>
      <c r="E2851" s="11" t="s">
        <v>144</v>
      </c>
      <c r="F2851" s="9" t="s">
        <v>67</v>
      </c>
      <c r="G2851" s="66" t="s">
        <v>1248</v>
      </c>
      <c r="H2851" s="8"/>
      <c r="I2851" s="8"/>
      <c r="J2851" s="6" t="s">
        <v>105</v>
      </c>
      <c r="K2851" s="38">
        <v>40480</v>
      </c>
      <c r="L2851" s="27" t="s">
        <v>25</v>
      </c>
      <c r="M2851" s="11">
        <f>_xlfn.NUMBERVALUE(LEFT(Table613[[#This Row],[Fiscal Year]], 4))</f>
        <v>2017</v>
      </c>
      <c r="N2851" s="42">
        <f t="shared" si="65"/>
        <v>41558.640881272957</v>
      </c>
      <c r="O2851" s="3">
        <v>2849</v>
      </c>
    </row>
    <row r="2852" spans="1:15" x14ac:dyDescent="0.25">
      <c r="A2852" s="3">
        <v>9</v>
      </c>
      <c r="B2852" s="9" t="s">
        <v>301</v>
      </c>
      <c r="C2852" s="3" t="s">
        <v>21</v>
      </c>
      <c r="D2852" s="3" t="s">
        <v>21</v>
      </c>
      <c r="E2852" s="11" t="s">
        <v>144</v>
      </c>
      <c r="F2852" s="9" t="s">
        <v>67</v>
      </c>
      <c r="G2852" s="48" t="s">
        <v>1249</v>
      </c>
      <c r="H2852" s="8"/>
      <c r="I2852" s="8"/>
      <c r="J2852" s="6" t="s">
        <v>455</v>
      </c>
      <c r="K2852" s="38">
        <v>114620</v>
      </c>
      <c r="L2852" s="27" t="s">
        <v>25</v>
      </c>
      <c r="M2852" s="11">
        <f>_xlfn.NUMBERVALUE(LEFT(Table613[[#This Row],[Fiscal Year]], 4))</f>
        <v>2017</v>
      </c>
      <c r="N2852" s="42">
        <f t="shared" si="65"/>
        <v>117674.19510403919</v>
      </c>
      <c r="O2852" s="3">
        <v>2850</v>
      </c>
    </row>
    <row r="2853" spans="1:15" x14ac:dyDescent="0.25">
      <c r="A2853" s="3">
        <v>9</v>
      </c>
      <c r="B2853" s="9" t="s">
        <v>301</v>
      </c>
      <c r="C2853" s="3" t="s">
        <v>21</v>
      </c>
      <c r="D2853" s="3" t="s">
        <v>21</v>
      </c>
      <c r="E2853" s="11" t="s">
        <v>144</v>
      </c>
      <c r="F2853" s="9" t="s">
        <v>67</v>
      </c>
      <c r="G2853" s="66" t="s">
        <v>1250</v>
      </c>
      <c r="H2853" s="8" t="s">
        <v>665</v>
      </c>
      <c r="I2853" s="70" t="s">
        <v>664</v>
      </c>
      <c r="J2853" s="6" t="s">
        <v>108</v>
      </c>
      <c r="K2853" s="38">
        <v>28270</v>
      </c>
      <c r="L2853" s="27" t="s">
        <v>25</v>
      </c>
      <c r="M2853" s="11">
        <f>_xlfn.NUMBERVALUE(LEFT(Table613[[#This Row],[Fiscal Year]], 4))</f>
        <v>2017</v>
      </c>
      <c r="N2853" s="42">
        <f t="shared" si="65"/>
        <v>29023.289963280298</v>
      </c>
      <c r="O2853" s="3">
        <v>2851</v>
      </c>
    </row>
    <row r="2854" spans="1:15" x14ac:dyDescent="0.25">
      <c r="A2854" s="3">
        <v>9</v>
      </c>
      <c r="B2854" s="9" t="s">
        <v>301</v>
      </c>
      <c r="C2854" s="3" t="s">
        <v>21</v>
      </c>
      <c r="D2854" s="3" t="s">
        <v>21</v>
      </c>
      <c r="E2854" s="11" t="s">
        <v>144</v>
      </c>
      <c r="F2854" s="9" t="s">
        <v>67</v>
      </c>
      <c r="G2854" s="48" t="s">
        <v>1251</v>
      </c>
      <c r="H2854" s="8" t="s">
        <v>584</v>
      </c>
      <c r="I2854" s="8"/>
      <c r="J2854" s="6" t="s">
        <v>110</v>
      </c>
      <c r="K2854" s="38">
        <v>2335</v>
      </c>
      <c r="L2854" s="27" t="s">
        <v>25</v>
      </c>
      <c r="M2854" s="11">
        <f>_xlfn.NUMBERVALUE(LEFT(Table613[[#This Row],[Fiscal Year]], 4))</f>
        <v>2017</v>
      </c>
      <c r="N2854" s="42">
        <f t="shared" si="65"/>
        <v>2397.219033047736</v>
      </c>
      <c r="O2854" s="3">
        <v>2852</v>
      </c>
    </row>
    <row r="2855" spans="1:15" x14ac:dyDescent="0.25">
      <c r="A2855" s="3">
        <v>9</v>
      </c>
      <c r="B2855" s="9" t="s">
        <v>301</v>
      </c>
      <c r="C2855" s="3" t="s">
        <v>21</v>
      </c>
      <c r="D2855" s="3" t="s">
        <v>21</v>
      </c>
      <c r="E2855" s="11" t="s">
        <v>144</v>
      </c>
      <c r="F2855" s="9" t="s">
        <v>67</v>
      </c>
      <c r="G2855" s="48" t="s">
        <v>1252</v>
      </c>
      <c r="H2855" s="8"/>
      <c r="I2855" s="8"/>
      <c r="J2855" s="6" t="s">
        <v>111</v>
      </c>
      <c r="K2855" s="38">
        <v>29530</v>
      </c>
      <c r="L2855" s="27" t="s">
        <v>25</v>
      </c>
      <c r="M2855" s="11">
        <f>_xlfn.NUMBERVALUE(LEFT(Table613[[#This Row],[Fiscal Year]], 4))</f>
        <v>2017</v>
      </c>
      <c r="N2855" s="42">
        <f t="shared" si="65"/>
        <v>30316.864259485927</v>
      </c>
      <c r="O2855" s="3">
        <v>2853</v>
      </c>
    </row>
    <row r="2856" spans="1:15" x14ac:dyDescent="0.25">
      <c r="A2856" s="3">
        <v>9</v>
      </c>
      <c r="B2856" s="9" t="s">
        <v>301</v>
      </c>
      <c r="C2856" s="3" t="s">
        <v>21</v>
      </c>
      <c r="D2856" s="3" t="s">
        <v>21</v>
      </c>
      <c r="E2856" s="11" t="s">
        <v>144</v>
      </c>
      <c r="F2856" s="9" t="s">
        <v>67</v>
      </c>
      <c r="G2856" s="66" t="s">
        <v>1253</v>
      </c>
      <c r="H2856" s="8"/>
      <c r="I2856" s="8"/>
      <c r="J2856" s="6" t="s">
        <v>455</v>
      </c>
      <c r="K2856" s="38">
        <v>4465</v>
      </c>
      <c r="L2856" s="27" t="s">
        <v>25</v>
      </c>
      <c r="M2856" s="11">
        <f>_xlfn.NUMBERVALUE(LEFT(Table613[[#This Row],[Fiscal Year]], 4))</f>
        <v>2017</v>
      </c>
      <c r="N2856" s="42">
        <f t="shared" si="65"/>
        <v>4583.9755813953498</v>
      </c>
      <c r="O2856" s="3">
        <v>2854</v>
      </c>
    </row>
    <row r="2857" spans="1:15" x14ac:dyDescent="0.25">
      <c r="A2857" s="3">
        <v>9</v>
      </c>
      <c r="B2857" s="9" t="s">
        <v>301</v>
      </c>
      <c r="C2857" s="3" t="s">
        <v>21</v>
      </c>
      <c r="D2857" s="3" t="s">
        <v>21</v>
      </c>
      <c r="E2857" s="11" t="s">
        <v>144</v>
      </c>
      <c r="F2857" s="9" t="s">
        <v>67</v>
      </c>
      <c r="G2857" s="48" t="s">
        <v>1254</v>
      </c>
      <c r="H2857" s="8"/>
      <c r="I2857" s="8"/>
      <c r="J2857" s="6" t="s">
        <v>605</v>
      </c>
      <c r="K2857" s="38">
        <v>1795</v>
      </c>
      <c r="L2857" s="27" t="s">
        <v>25</v>
      </c>
      <c r="M2857" s="11">
        <f>_xlfn.NUMBERVALUE(LEFT(Table613[[#This Row],[Fiscal Year]], 4))</f>
        <v>2017</v>
      </c>
      <c r="N2857" s="42">
        <f t="shared" si="65"/>
        <v>1842.8300489596086</v>
      </c>
      <c r="O2857" s="3">
        <v>2855</v>
      </c>
    </row>
    <row r="2858" spans="1:15" x14ac:dyDescent="0.25">
      <c r="A2858" s="3">
        <v>9</v>
      </c>
      <c r="B2858" s="9" t="s">
        <v>301</v>
      </c>
      <c r="C2858" s="3" t="s">
        <v>21</v>
      </c>
      <c r="D2858" s="3" t="s">
        <v>21</v>
      </c>
      <c r="E2858" s="11" t="s">
        <v>144</v>
      </c>
      <c r="F2858" s="9" t="s">
        <v>67</v>
      </c>
      <c r="G2858" s="48" t="s">
        <v>1255</v>
      </c>
      <c r="H2858" s="8" t="s">
        <v>585</v>
      </c>
      <c r="I2858" s="8"/>
      <c r="J2858" s="6" t="s">
        <v>110</v>
      </c>
      <c r="K2858" s="38">
        <v>0</v>
      </c>
      <c r="L2858" s="27" t="s">
        <v>25</v>
      </c>
      <c r="M2858" s="11">
        <f>_xlfn.NUMBERVALUE(LEFT(Table613[[#This Row],[Fiscal Year]], 4))</f>
        <v>2017</v>
      </c>
      <c r="N2858" s="42">
        <f t="shared" si="65"/>
        <v>0</v>
      </c>
      <c r="O2858" s="3">
        <v>2856</v>
      </c>
    </row>
    <row r="2859" spans="1:15" x14ac:dyDescent="0.25">
      <c r="A2859" s="3">
        <v>9</v>
      </c>
      <c r="B2859" s="9" t="s">
        <v>301</v>
      </c>
      <c r="C2859" s="3" t="s">
        <v>21</v>
      </c>
      <c r="D2859" s="3" t="s">
        <v>21</v>
      </c>
      <c r="E2859" s="11" t="s">
        <v>144</v>
      </c>
      <c r="F2859" s="9" t="s">
        <v>67</v>
      </c>
      <c r="G2859" s="66" t="s">
        <v>1256</v>
      </c>
      <c r="H2859" s="8"/>
      <c r="I2859" s="8"/>
      <c r="J2859" s="6" t="s">
        <v>455</v>
      </c>
      <c r="K2859" s="38">
        <v>1730</v>
      </c>
      <c r="L2859" s="27" t="s">
        <v>25</v>
      </c>
      <c r="M2859" s="11">
        <f>_xlfn.NUMBERVALUE(LEFT(Table613[[#This Row],[Fiscal Year]], 4))</f>
        <v>2017</v>
      </c>
      <c r="N2859" s="42">
        <f t="shared" si="65"/>
        <v>1776.0980416156674</v>
      </c>
      <c r="O2859" s="3">
        <v>2857</v>
      </c>
    </row>
    <row r="2860" spans="1:15" x14ac:dyDescent="0.25">
      <c r="E2860" s="11"/>
      <c r="G2860" s="66"/>
      <c r="H2860" s="8"/>
      <c r="I2860" s="8"/>
      <c r="J2860" s="6"/>
      <c r="L2860" s="4"/>
      <c r="O2860" s="3">
        <v>2858</v>
      </c>
    </row>
    <row r="2861" spans="1:15" x14ac:dyDescent="0.25">
      <c r="A2861" s="3">
        <v>9</v>
      </c>
      <c r="B2861" s="3" t="s">
        <v>300</v>
      </c>
      <c r="C2861" s="3" t="s">
        <v>21</v>
      </c>
      <c r="D2861" s="3" t="s">
        <v>21</v>
      </c>
      <c r="E2861" s="11" t="s">
        <v>144</v>
      </c>
      <c r="F2861" s="3" t="s">
        <v>67</v>
      </c>
      <c r="G2861" s="48" t="s">
        <v>1373</v>
      </c>
      <c r="H2861" s="8" t="s">
        <v>586</v>
      </c>
      <c r="I2861" s="8"/>
      <c r="J2861" s="6" t="s">
        <v>108</v>
      </c>
      <c r="K2861" s="38">
        <v>221654</v>
      </c>
      <c r="L2861" s="27" t="s">
        <v>25</v>
      </c>
      <c r="M2861" s="11">
        <f>_xlfn.NUMBERVALUE(LEFT(Table613[[#This Row],[Fiscal Year]], 4))</f>
        <v>2017</v>
      </c>
      <c r="N2861" s="42">
        <f t="shared" si="65"/>
        <v>227560.25162790701</v>
      </c>
      <c r="O2861" s="3">
        <v>2859</v>
      </c>
    </row>
    <row r="2862" spans="1:15" x14ac:dyDescent="0.25">
      <c r="A2862" s="3">
        <v>9</v>
      </c>
      <c r="B2862" s="3" t="s">
        <v>300</v>
      </c>
      <c r="C2862" s="3" t="s">
        <v>21</v>
      </c>
      <c r="D2862" s="3" t="s">
        <v>21</v>
      </c>
      <c r="E2862" s="11" t="s">
        <v>144</v>
      </c>
      <c r="F2862" s="3" t="s">
        <v>67</v>
      </c>
      <c r="G2862" s="48" t="s">
        <v>1374</v>
      </c>
      <c r="H2862" s="8"/>
      <c r="I2862" s="8"/>
      <c r="J2862" s="6" t="s">
        <v>108</v>
      </c>
      <c r="K2862" s="38">
        <v>58769</v>
      </c>
      <c r="L2862" s="27" t="s">
        <v>25</v>
      </c>
      <c r="M2862" s="11">
        <f>_xlfn.NUMBERVALUE(LEFT(Table613[[#This Row],[Fiscal Year]], 4))</f>
        <v>2017</v>
      </c>
      <c r="N2862" s="42">
        <f t="shared" si="65"/>
        <v>60334.974455324365</v>
      </c>
      <c r="O2862" s="3">
        <v>2860</v>
      </c>
    </row>
    <row r="2863" spans="1:15" x14ac:dyDescent="0.25">
      <c r="A2863" s="3">
        <v>9</v>
      </c>
      <c r="B2863" s="3" t="s">
        <v>300</v>
      </c>
      <c r="C2863" s="3" t="s">
        <v>21</v>
      </c>
      <c r="D2863" s="3" t="s">
        <v>21</v>
      </c>
      <c r="E2863" s="11" t="s">
        <v>144</v>
      </c>
      <c r="F2863" s="3" t="s">
        <v>67</v>
      </c>
      <c r="G2863" s="48" t="s">
        <v>1375</v>
      </c>
      <c r="H2863" s="8"/>
      <c r="I2863" s="8"/>
      <c r="J2863" s="6" t="s">
        <v>108</v>
      </c>
      <c r="K2863" s="38">
        <v>13124</v>
      </c>
      <c r="L2863" s="27" t="s">
        <v>25</v>
      </c>
      <c r="M2863" s="11">
        <f>_xlfn.NUMBERVALUE(LEFT(Table613[[#This Row],[Fiscal Year]], 4))</f>
        <v>2017</v>
      </c>
      <c r="N2863" s="42">
        <f t="shared" si="65"/>
        <v>13473.705605875155</v>
      </c>
      <c r="O2863" s="3">
        <v>2861</v>
      </c>
    </row>
    <row r="2864" spans="1:15" x14ac:dyDescent="0.25">
      <c r="A2864" s="3">
        <v>9</v>
      </c>
      <c r="B2864" s="3" t="s">
        <v>300</v>
      </c>
      <c r="C2864" s="3" t="s">
        <v>21</v>
      </c>
      <c r="D2864" s="3" t="s">
        <v>21</v>
      </c>
      <c r="E2864" s="11" t="s">
        <v>144</v>
      </c>
      <c r="F2864" s="3" t="s">
        <v>67</v>
      </c>
      <c r="G2864" s="48" t="s">
        <v>1376</v>
      </c>
      <c r="H2864" s="8"/>
      <c r="I2864" s="8"/>
      <c r="J2864" s="6" t="s">
        <v>108</v>
      </c>
      <c r="K2864" s="38">
        <v>638952</v>
      </c>
      <c r="L2864" s="27" t="s">
        <v>25</v>
      </c>
      <c r="M2864" s="11">
        <f>_xlfn.NUMBERVALUE(LEFT(Table613[[#This Row],[Fiscal Year]], 4))</f>
        <v>2017</v>
      </c>
      <c r="N2864" s="42">
        <f t="shared" si="65"/>
        <v>655977.68548347626</v>
      </c>
      <c r="O2864" s="3">
        <v>2862</v>
      </c>
    </row>
    <row r="2865" spans="1:15" x14ac:dyDescent="0.25">
      <c r="A2865" s="3">
        <v>9</v>
      </c>
      <c r="B2865" s="3" t="s">
        <v>300</v>
      </c>
      <c r="C2865" s="3" t="s">
        <v>21</v>
      </c>
      <c r="D2865" s="3" t="s">
        <v>21</v>
      </c>
      <c r="E2865" s="11" t="s">
        <v>144</v>
      </c>
      <c r="F2865" s="3" t="s">
        <v>67</v>
      </c>
      <c r="G2865" s="48" t="s">
        <v>1376</v>
      </c>
      <c r="H2865" s="8"/>
      <c r="I2865" s="8"/>
      <c r="J2865" s="6" t="s">
        <v>108</v>
      </c>
      <c r="K2865" s="38">
        <v>84298</v>
      </c>
      <c r="L2865" s="27" t="s">
        <v>25</v>
      </c>
      <c r="M2865" s="11">
        <f>_xlfn.NUMBERVALUE(LEFT(Table613[[#This Row],[Fiscal Year]], 4))</f>
        <v>2017</v>
      </c>
      <c r="N2865" s="42">
        <f t="shared" si="65"/>
        <v>86544.227001224004</v>
      </c>
      <c r="O2865" s="3">
        <v>2863</v>
      </c>
    </row>
    <row r="2866" spans="1:15" x14ac:dyDescent="0.25">
      <c r="A2866" s="3">
        <v>9</v>
      </c>
      <c r="B2866" s="3" t="s">
        <v>300</v>
      </c>
      <c r="C2866" s="3" t="s">
        <v>21</v>
      </c>
      <c r="D2866" s="3" t="s">
        <v>21</v>
      </c>
      <c r="E2866" s="11" t="s">
        <v>144</v>
      </c>
      <c r="F2866" s="3" t="s">
        <v>67</v>
      </c>
      <c r="G2866" s="48" t="s">
        <v>1377</v>
      </c>
      <c r="H2866" s="8"/>
      <c r="I2866" s="8"/>
      <c r="J2866" s="6" t="s">
        <v>108</v>
      </c>
      <c r="K2866" s="38">
        <v>1676456</v>
      </c>
      <c r="L2866" s="27" t="s">
        <v>25</v>
      </c>
      <c r="M2866" s="11">
        <f>_xlfn.NUMBERVALUE(LEFT(Table613[[#This Row],[Fiscal Year]], 4))</f>
        <v>2017</v>
      </c>
      <c r="N2866" s="42">
        <f t="shared" si="65"/>
        <v>1721127.293904529</v>
      </c>
      <c r="O2866" s="3">
        <v>2864</v>
      </c>
    </row>
    <row r="2867" spans="1:15" x14ac:dyDescent="0.25">
      <c r="A2867" s="3">
        <v>9</v>
      </c>
      <c r="B2867" s="3" t="s">
        <v>300</v>
      </c>
      <c r="C2867" s="3" t="s">
        <v>21</v>
      </c>
      <c r="D2867" s="3" t="s">
        <v>21</v>
      </c>
      <c r="E2867" s="11" t="s">
        <v>144</v>
      </c>
      <c r="F2867" s="3" t="s">
        <v>67</v>
      </c>
      <c r="G2867" s="48" t="s">
        <v>1378</v>
      </c>
      <c r="H2867" s="8"/>
      <c r="I2867" s="8"/>
      <c r="J2867" s="6" t="s">
        <v>108</v>
      </c>
      <c r="K2867" s="38">
        <v>22172</v>
      </c>
      <c r="L2867" s="27" t="s">
        <v>25</v>
      </c>
      <c r="M2867" s="11">
        <f>_xlfn.NUMBERVALUE(LEFT(Table613[[#This Row],[Fiscal Year]], 4))</f>
        <v>2017</v>
      </c>
      <c r="N2867" s="42">
        <f t="shared" si="65"/>
        <v>22762.801028151778</v>
      </c>
      <c r="O2867" s="3">
        <v>2865</v>
      </c>
    </row>
    <row r="2868" spans="1:15" x14ac:dyDescent="0.25">
      <c r="A2868" s="3">
        <v>9</v>
      </c>
      <c r="B2868" s="3" t="s">
        <v>300</v>
      </c>
      <c r="C2868" s="3" t="s">
        <v>21</v>
      </c>
      <c r="D2868" s="3" t="s">
        <v>21</v>
      </c>
      <c r="E2868" s="11" t="s">
        <v>144</v>
      </c>
      <c r="F2868" s="3" t="s">
        <v>67</v>
      </c>
      <c r="G2868" s="48" t="s">
        <v>1379</v>
      </c>
      <c r="H2868" s="49" t="s">
        <v>617</v>
      </c>
      <c r="I2868" s="8" t="s">
        <v>590</v>
      </c>
      <c r="J2868" s="6" t="s">
        <v>111</v>
      </c>
      <c r="K2868" s="38">
        <v>45574</v>
      </c>
      <c r="L2868" s="27" t="s">
        <v>25</v>
      </c>
      <c r="M2868" s="11">
        <f>_xlfn.NUMBERVALUE(LEFT(Table613[[#This Row],[Fiscal Year]], 4))</f>
        <v>2017</v>
      </c>
      <c r="N2868" s="42">
        <f t="shared" si="65"/>
        <v>46788.376964504292</v>
      </c>
      <c r="O2868" s="3">
        <v>2866</v>
      </c>
    </row>
    <row r="2869" spans="1:15" x14ac:dyDescent="0.25">
      <c r="A2869" s="3">
        <v>9</v>
      </c>
      <c r="B2869" s="9" t="s">
        <v>300</v>
      </c>
      <c r="C2869" s="3" t="s">
        <v>21</v>
      </c>
      <c r="D2869" s="3" t="s">
        <v>21</v>
      </c>
      <c r="E2869" s="11" t="s">
        <v>144</v>
      </c>
      <c r="F2869" s="3" t="s">
        <v>67</v>
      </c>
      <c r="G2869" s="66" t="s">
        <v>1380</v>
      </c>
      <c r="H2869" s="49" t="s">
        <v>616</v>
      </c>
      <c r="I2869" s="8" t="s">
        <v>590</v>
      </c>
      <c r="J2869" s="6" t="s">
        <v>111</v>
      </c>
      <c r="K2869" s="38">
        <v>44677</v>
      </c>
      <c r="L2869" s="27" t="s">
        <v>25</v>
      </c>
      <c r="M2869" s="11">
        <f>_xlfn.NUMBERVALUE(LEFT(Table613[[#This Row],[Fiscal Year]], 4))</f>
        <v>2017</v>
      </c>
      <c r="N2869" s="42">
        <f t="shared" si="65"/>
        <v>45867.475263157903</v>
      </c>
      <c r="O2869" s="3">
        <v>2867</v>
      </c>
    </row>
    <row r="2870" spans="1:15" x14ac:dyDescent="0.25">
      <c r="A2870" s="3">
        <v>9</v>
      </c>
      <c r="B2870" s="9" t="s">
        <v>300</v>
      </c>
      <c r="C2870" s="3" t="s">
        <v>21</v>
      </c>
      <c r="D2870" s="3" t="s">
        <v>21</v>
      </c>
      <c r="E2870" s="11" t="s">
        <v>144</v>
      </c>
      <c r="F2870" s="3" t="s">
        <v>67</v>
      </c>
      <c r="G2870" s="48" t="s">
        <v>1381</v>
      </c>
      <c r="H2870" s="72" t="s">
        <v>587</v>
      </c>
      <c r="I2870" s="8"/>
      <c r="J2870" s="6" t="s">
        <v>109</v>
      </c>
      <c r="K2870" s="38">
        <v>36448</v>
      </c>
      <c r="L2870" s="27" t="s">
        <v>25</v>
      </c>
      <c r="M2870" s="11">
        <f>_xlfn.NUMBERVALUE(LEFT(Table613[[#This Row],[Fiscal Year]], 4))</f>
        <v>2017</v>
      </c>
      <c r="N2870" s="42">
        <f t="shared" si="65"/>
        <v>37419.203133414936</v>
      </c>
      <c r="O2870" s="3">
        <v>2868</v>
      </c>
    </row>
    <row r="2871" spans="1:15" x14ac:dyDescent="0.25">
      <c r="A2871" s="3">
        <v>9</v>
      </c>
      <c r="B2871" s="9" t="s">
        <v>300</v>
      </c>
      <c r="C2871" s="3" t="s">
        <v>21</v>
      </c>
      <c r="D2871" s="3" t="s">
        <v>21</v>
      </c>
      <c r="E2871" s="11" t="s">
        <v>144</v>
      </c>
      <c r="F2871" s="3" t="s">
        <v>67</v>
      </c>
      <c r="G2871" s="48" t="s">
        <v>1382</v>
      </c>
      <c r="H2871" s="72"/>
      <c r="I2871" s="8"/>
      <c r="J2871" s="6" t="s">
        <v>109</v>
      </c>
      <c r="K2871" s="38">
        <v>12676</v>
      </c>
      <c r="L2871" s="27" t="s">
        <v>25</v>
      </c>
      <c r="M2871" s="11">
        <f>_xlfn.NUMBERVALUE(LEFT(Table613[[#This Row],[Fiscal Year]], 4))</f>
        <v>2017</v>
      </c>
      <c r="N2871" s="42">
        <f t="shared" si="65"/>
        <v>13013.768078335375</v>
      </c>
      <c r="O2871" s="3">
        <v>2869</v>
      </c>
    </row>
    <row r="2872" spans="1:15" x14ac:dyDescent="0.25">
      <c r="A2872" s="3">
        <v>9</v>
      </c>
      <c r="B2872" s="9" t="s">
        <v>300</v>
      </c>
      <c r="C2872" s="3" t="s">
        <v>21</v>
      </c>
      <c r="D2872" s="3" t="s">
        <v>21</v>
      </c>
      <c r="E2872" s="11" t="s">
        <v>144</v>
      </c>
      <c r="F2872" s="3" t="s">
        <v>67</v>
      </c>
      <c r="G2872" s="48" t="s">
        <v>1383</v>
      </c>
      <c r="H2872" s="72"/>
      <c r="I2872" s="8"/>
      <c r="J2872" s="6" t="s">
        <v>109</v>
      </c>
      <c r="K2872" s="38">
        <v>24180</v>
      </c>
      <c r="L2872" s="27" t="s">
        <v>25</v>
      </c>
      <c r="M2872" s="11">
        <f>_xlfn.NUMBERVALUE(LEFT(Table613[[#This Row],[Fiscal Year]], 4))</f>
        <v>2017</v>
      </c>
      <c r="N2872" s="42">
        <f t="shared" si="65"/>
        <v>24824.306731946148</v>
      </c>
      <c r="O2872" s="3">
        <v>2870</v>
      </c>
    </row>
    <row r="2873" spans="1:15" x14ac:dyDescent="0.25">
      <c r="A2873" s="3">
        <v>9</v>
      </c>
      <c r="B2873" s="9" t="s">
        <v>300</v>
      </c>
      <c r="C2873" s="3" t="s">
        <v>21</v>
      </c>
      <c r="D2873" s="3" t="s">
        <v>21</v>
      </c>
      <c r="E2873" s="11" t="s">
        <v>144</v>
      </c>
      <c r="F2873" s="3" t="s">
        <v>67</v>
      </c>
      <c r="G2873" s="48" t="s">
        <v>1384</v>
      </c>
      <c r="H2873" s="72"/>
      <c r="I2873" s="8"/>
      <c r="J2873" s="6" t="s">
        <v>42</v>
      </c>
      <c r="K2873" s="38">
        <v>20576</v>
      </c>
      <c r="L2873" s="27" t="s">
        <v>25</v>
      </c>
      <c r="M2873" s="11">
        <f>_xlfn.NUMBERVALUE(LEFT(Table613[[#This Row],[Fiscal Year]], 4))</f>
        <v>2017</v>
      </c>
      <c r="N2873" s="42">
        <f t="shared" si="65"/>
        <v>21124.27358629131</v>
      </c>
      <c r="O2873" s="3">
        <v>2871</v>
      </c>
    </row>
    <row r="2874" spans="1:15" x14ac:dyDescent="0.25">
      <c r="A2874" s="3">
        <v>9</v>
      </c>
      <c r="B2874" s="9" t="s">
        <v>300</v>
      </c>
      <c r="C2874" s="3" t="s">
        <v>21</v>
      </c>
      <c r="D2874" s="3" t="s">
        <v>21</v>
      </c>
      <c r="E2874" s="11" t="s">
        <v>144</v>
      </c>
      <c r="F2874" s="3" t="s">
        <v>67</v>
      </c>
      <c r="G2874" s="48" t="s">
        <v>1385</v>
      </c>
      <c r="H2874" s="72"/>
      <c r="I2874" s="8"/>
      <c r="J2874" s="6" t="s">
        <v>605</v>
      </c>
      <c r="K2874" s="38">
        <v>42306</v>
      </c>
      <c r="L2874" s="27" t="s">
        <v>25</v>
      </c>
      <c r="M2874" s="11">
        <f>_xlfn.NUMBERVALUE(LEFT(Table613[[#This Row],[Fiscal Year]], 4))</f>
        <v>2017</v>
      </c>
      <c r="N2874" s="42">
        <f t="shared" si="65"/>
        <v>43433.29696450429</v>
      </c>
      <c r="O2874" s="3">
        <v>2872</v>
      </c>
    </row>
    <row r="2875" spans="1:15" x14ac:dyDescent="0.25">
      <c r="A2875" s="3">
        <v>9</v>
      </c>
      <c r="B2875" s="9" t="s">
        <v>300</v>
      </c>
      <c r="C2875" s="3" t="s">
        <v>21</v>
      </c>
      <c r="D2875" s="3" t="s">
        <v>21</v>
      </c>
      <c r="E2875" s="11" t="s">
        <v>144</v>
      </c>
      <c r="F2875" s="3" t="s">
        <v>67</v>
      </c>
      <c r="G2875" s="48" t="s">
        <v>1386</v>
      </c>
      <c r="H2875" s="72"/>
      <c r="I2875" s="8"/>
      <c r="J2875" s="6" t="s">
        <v>605</v>
      </c>
      <c r="K2875" s="38">
        <v>69934</v>
      </c>
      <c r="L2875" s="27" t="s">
        <v>25</v>
      </c>
      <c r="M2875" s="11">
        <f>_xlfn.NUMBERVALUE(LEFT(Table613[[#This Row],[Fiscal Year]], 4))</f>
        <v>2017</v>
      </c>
      <c r="N2875" s="42">
        <f t="shared" si="65"/>
        <v>71797.48002447981</v>
      </c>
      <c r="O2875" s="3">
        <v>2873</v>
      </c>
    </row>
    <row r="2876" spans="1:15" x14ac:dyDescent="0.25">
      <c r="A2876" s="3">
        <v>9</v>
      </c>
      <c r="B2876" s="9" t="s">
        <v>300</v>
      </c>
      <c r="C2876" s="3" t="s">
        <v>21</v>
      </c>
      <c r="D2876" s="3" t="s">
        <v>21</v>
      </c>
      <c r="E2876" s="11" t="s">
        <v>144</v>
      </c>
      <c r="F2876" s="3" t="s">
        <v>67</v>
      </c>
      <c r="G2876" s="48" t="s">
        <v>1387</v>
      </c>
      <c r="H2876" s="72"/>
      <c r="I2876" s="8"/>
      <c r="J2876" s="6" t="s">
        <v>605</v>
      </c>
      <c r="K2876" s="38">
        <v>9097</v>
      </c>
      <c r="L2876" s="27" t="s">
        <v>25</v>
      </c>
      <c r="M2876" s="11">
        <f>_xlfn.NUMBERVALUE(LEFT(Table613[[#This Row],[Fiscal Year]], 4))</f>
        <v>2017</v>
      </c>
      <c r="N2876" s="42">
        <f t="shared" si="65"/>
        <v>9339.4010893512859</v>
      </c>
      <c r="O2876" s="3">
        <v>2874</v>
      </c>
    </row>
    <row r="2877" spans="1:15" x14ac:dyDescent="0.25">
      <c r="A2877" s="3">
        <v>9</v>
      </c>
      <c r="B2877" s="9" t="s">
        <v>300</v>
      </c>
      <c r="C2877" s="3" t="s">
        <v>21</v>
      </c>
      <c r="D2877" s="3" t="s">
        <v>21</v>
      </c>
      <c r="E2877" s="11" t="s">
        <v>144</v>
      </c>
      <c r="F2877" s="3" t="s">
        <v>67</v>
      </c>
      <c r="G2877" s="48" t="s">
        <v>1388</v>
      </c>
      <c r="H2877" s="72"/>
      <c r="I2877" s="8"/>
      <c r="J2877" s="6" t="s">
        <v>605</v>
      </c>
      <c r="K2877" s="38">
        <v>869</v>
      </c>
      <c r="L2877" s="27" t="s">
        <v>25</v>
      </c>
      <c r="M2877" s="11">
        <f>_xlfn.NUMBERVALUE(LEFT(Table613[[#This Row],[Fiscal Year]], 4))</f>
        <v>2017</v>
      </c>
      <c r="N2877" s="42">
        <f t="shared" si="65"/>
        <v>892.15560587515313</v>
      </c>
      <c r="O2877" s="3">
        <v>2875</v>
      </c>
    </row>
    <row r="2878" spans="1:15" x14ac:dyDescent="0.25">
      <c r="A2878" s="3">
        <v>9</v>
      </c>
      <c r="B2878" s="9" t="s">
        <v>300</v>
      </c>
      <c r="C2878" s="3" t="s">
        <v>21</v>
      </c>
      <c r="D2878" s="3" t="s">
        <v>21</v>
      </c>
      <c r="E2878" s="11" t="s">
        <v>144</v>
      </c>
      <c r="F2878" s="3" t="s">
        <v>67</v>
      </c>
      <c r="G2878" s="48" t="s">
        <v>1389</v>
      </c>
      <c r="H2878" s="72"/>
      <c r="I2878" s="8"/>
      <c r="J2878" s="6" t="s">
        <v>605</v>
      </c>
      <c r="K2878" s="38">
        <v>32584</v>
      </c>
      <c r="L2878" s="27" t="s">
        <v>25</v>
      </c>
      <c r="M2878" s="11">
        <f>_xlfn.NUMBERVALUE(LEFT(Table613[[#This Row],[Fiscal Year]], 4))</f>
        <v>2017</v>
      </c>
      <c r="N2878" s="42">
        <f t="shared" si="65"/>
        <v>33452.241958384337</v>
      </c>
      <c r="O2878" s="3">
        <v>2876</v>
      </c>
    </row>
    <row r="2879" spans="1:15" x14ac:dyDescent="0.25">
      <c r="A2879" s="3">
        <v>9</v>
      </c>
      <c r="B2879" s="9" t="s">
        <v>300</v>
      </c>
      <c r="C2879" s="3" t="s">
        <v>21</v>
      </c>
      <c r="D2879" s="3" t="s">
        <v>21</v>
      </c>
      <c r="E2879" s="11" t="s">
        <v>144</v>
      </c>
      <c r="F2879" s="3" t="s">
        <v>67</v>
      </c>
      <c r="G2879" s="48" t="s">
        <v>1390</v>
      </c>
      <c r="H2879" s="72"/>
      <c r="I2879" s="8"/>
      <c r="J2879" s="6" t="s">
        <v>47</v>
      </c>
      <c r="K2879" s="38">
        <v>14940</v>
      </c>
      <c r="L2879" s="27" t="s">
        <v>25</v>
      </c>
      <c r="M2879" s="11">
        <f>_xlfn.NUMBERVALUE(LEFT(Table613[[#This Row],[Fiscal Year]], 4))</f>
        <v>2017</v>
      </c>
      <c r="N2879" s="42">
        <f t="shared" si="65"/>
        <v>15338.09522643819</v>
      </c>
      <c r="O2879" s="3">
        <v>2877</v>
      </c>
    </row>
    <row r="2880" spans="1:15" x14ac:dyDescent="0.25">
      <c r="A2880" s="3">
        <v>9</v>
      </c>
      <c r="B2880" s="9" t="s">
        <v>300</v>
      </c>
      <c r="C2880" s="3" t="s">
        <v>21</v>
      </c>
      <c r="D2880" s="3" t="s">
        <v>21</v>
      </c>
      <c r="E2880" s="11" t="s">
        <v>144</v>
      </c>
      <c r="F2880" s="3" t="s">
        <v>67</v>
      </c>
      <c r="G2880" s="66" t="s">
        <v>1391</v>
      </c>
      <c r="H2880" s="72"/>
      <c r="I2880" s="8"/>
      <c r="J2880" s="6" t="s">
        <v>47</v>
      </c>
      <c r="K2880" s="38">
        <v>10992</v>
      </c>
      <c r="L2880" s="27" t="s">
        <v>25</v>
      </c>
      <c r="M2880" s="11">
        <f>_xlfn.NUMBERVALUE(LEFT(Table613[[#This Row],[Fiscal Year]], 4))</f>
        <v>2017</v>
      </c>
      <c r="N2880" s="42">
        <f t="shared" si="65"/>
        <v>11284.895764993882</v>
      </c>
      <c r="O2880" s="3">
        <v>2878</v>
      </c>
    </row>
    <row r="2881" spans="1:15" x14ac:dyDescent="0.25">
      <c r="A2881" s="3">
        <v>9</v>
      </c>
      <c r="B2881" s="9" t="s">
        <v>300</v>
      </c>
      <c r="C2881" s="3" t="s">
        <v>21</v>
      </c>
      <c r="D2881" s="3" t="s">
        <v>21</v>
      </c>
      <c r="E2881" s="11" t="s">
        <v>144</v>
      </c>
      <c r="F2881" s="3" t="s">
        <v>67</v>
      </c>
      <c r="G2881" s="66" t="s">
        <v>1392</v>
      </c>
      <c r="H2881" s="8"/>
      <c r="I2881" s="8"/>
      <c r="J2881" s="6" t="s">
        <v>47</v>
      </c>
      <c r="K2881" s="38">
        <v>13139</v>
      </c>
      <c r="L2881" s="27" t="s">
        <v>25</v>
      </c>
      <c r="M2881" s="11">
        <f>_xlfn.NUMBERVALUE(LEFT(Table613[[#This Row],[Fiscal Year]], 4))</f>
        <v>2017</v>
      </c>
      <c r="N2881" s="42">
        <f t="shared" si="65"/>
        <v>13489.105299877603</v>
      </c>
      <c r="O2881" s="3">
        <v>2879</v>
      </c>
    </row>
    <row r="2882" spans="1:15" x14ac:dyDescent="0.25">
      <c r="A2882" s="3">
        <v>9</v>
      </c>
      <c r="B2882" s="9" t="s">
        <v>300</v>
      </c>
      <c r="C2882" s="3" t="s">
        <v>21</v>
      </c>
      <c r="D2882" s="3" t="s">
        <v>21</v>
      </c>
      <c r="E2882" s="11" t="s">
        <v>144</v>
      </c>
      <c r="F2882" s="3" t="s">
        <v>67</v>
      </c>
      <c r="G2882" s="48" t="s">
        <v>1393</v>
      </c>
      <c r="H2882" s="8"/>
      <c r="I2882" s="8"/>
      <c r="J2882" s="6" t="s">
        <v>455</v>
      </c>
      <c r="K2882" s="38">
        <v>1913</v>
      </c>
      <c r="L2882" s="27" t="s">
        <v>25</v>
      </c>
      <c r="M2882" s="11">
        <f>_xlfn.NUMBERVALUE(LEFT(Table613[[#This Row],[Fiscal Year]], 4))</f>
        <v>2017</v>
      </c>
      <c r="N2882" s="42">
        <f t="shared" si="65"/>
        <v>1963.9743084455326</v>
      </c>
      <c r="O2882" s="3">
        <v>2880</v>
      </c>
    </row>
    <row r="2883" spans="1:15" x14ac:dyDescent="0.25">
      <c r="A2883" s="3">
        <v>9</v>
      </c>
      <c r="B2883" s="9" t="s">
        <v>300</v>
      </c>
      <c r="C2883" s="3" t="s">
        <v>21</v>
      </c>
      <c r="D2883" s="3" t="s">
        <v>21</v>
      </c>
      <c r="E2883" s="11" t="s">
        <v>144</v>
      </c>
      <c r="F2883" s="3" t="s">
        <v>67</v>
      </c>
      <c r="G2883" s="48" t="s">
        <v>1394</v>
      </c>
      <c r="H2883" s="8"/>
      <c r="I2883" s="8"/>
      <c r="J2883" s="6" t="s">
        <v>455</v>
      </c>
      <c r="K2883" s="38">
        <v>5708</v>
      </c>
      <c r="L2883" s="27" t="s">
        <v>25</v>
      </c>
      <c r="M2883" s="11">
        <f>_xlfn.NUMBERVALUE(LEFT(Table613[[#This Row],[Fiscal Year]], 4))</f>
        <v>2017</v>
      </c>
      <c r="N2883" s="42">
        <f t="shared" si="65"/>
        <v>5860.0968910648726</v>
      </c>
      <c r="O2883" s="3">
        <v>2881</v>
      </c>
    </row>
    <row r="2884" spans="1:15" x14ac:dyDescent="0.25">
      <c r="A2884" s="3">
        <v>9</v>
      </c>
      <c r="B2884" s="9" t="s">
        <v>300</v>
      </c>
      <c r="C2884" s="3" t="s">
        <v>21</v>
      </c>
      <c r="D2884" s="3" t="s">
        <v>21</v>
      </c>
      <c r="E2884" s="11" t="s">
        <v>144</v>
      </c>
      <c r="F2884" s="3" t="s">
        <v>67</v>
      </c>
      <c r="G2884" s="66" t="s">
        <v>1395</v>
      </c>
      <c r="H2884" s="8"/>
      <c r="I2884" s="8"/>
      <c r="J2884" s="6" t="s">
        <v>110</v>
      </c>
      <c r="K2884" s="38">
        <v>5021</v>
      </c>
      <c r="L2884" s="27" t="s">
        <v>25</v>
      </c>
      <c r="M2884" s="11">
        <f>_xlfn.NUMBERVALUE(LEFT(Table613[[#This Row],[Fiscal Year]], 4))</f>
        <v>2017</v>
      </c>
      <c r="N2884" s="42">
        <f t="shared" si="65"/>
        <v>5154.790905752755</v>
      </c>
      <c r="O2884" s="3">
        <v>2882</v>
      </c>
    </row>
    <row r="2885" spans="1:15" x14ac:dyDescent="0.25">
      <c r="A2885" s="3">
        <v>9</v>
      </c>
      <c r="B2885" s="9" t="s">
        <v>300</v>
      </c>
      <c r="C2885" s="3" t="s">
        <v>21</v>
      </c>
      <c r="D2885" s="3" t="s">
        <v>21</v>
      </c>
      <c r="E2885" s="11" t="s">
        <v>144</v>
      </c>
      <c r="F2885" s="3" t="s">
        <v>67</v>
      </c>
      <c r="G2885" s="48" t="s">
        <v>1396</v>
      </c>
      <c r="H2885" s="8"/>
      <c r="I2885" s="8"/>
      <c r="J2885" s="6" t="s">
        <v>42</v>
      </c>
      <c r="K2885" s="38">
        <v>10512</v>
      </c>
      <c r="L2885" s="27" t="s">
        <v>25</v>
      </c>
      <c r="M2885" s="11">
        <f>_xlfn.NUMBERVALUE(LEFT(Table613[[#This Row],[Fiscal Year]], 4))</f>
        <v>2017</v>
      </c>
      <c r="N2885" s="42">
        <f t="shared" si="65"/>
        <v>10792.105556915545</v>
      </c>
      <c r="O2885" s="3">
        <v>2883</v>
      </c>
    </row>
    <row r="2886" spans="1:15" x14ac:dyDescent="0.25">
      <c r="A2886" s="3">
        <v>9</v>
      </c>
      <c r="B2886" s="9" t="s">
        <v>300</v>
      </c>
      <c r="C2886" s="3" t="s">
        <v>21</v>
      </c>
      <c r="D2886" s="3" t="s">
        <v>21</v>
      </c>
      <c r="E2886" s="11" t="s">
        <v>144</v>
      </c>
      <c r="F2886" s="3" t="s">
        <v>67</v>
      </c>
      <c r="G2886" s="48" t="s">
        <v>1397</v>
      </c>
      <c r="H2886" s="8"/>
      <c r="I2886" s="8"/>
      <c r="J2886" s="6" t="s">
        <v>42</v>
      </c>
      <c r="K2886" s="38">
        <v>58765</v>
      </c>
      <c r="L2886" s="27" t="s">
        <v>25</v>
      </c>
      <c r="M2886" s="11">
        <f>_xlfn.NUMBERVALUE(LEFT(Table613[[#This Row],[Fiscal Year]], 4))</f>
        <v>2017</v>
      </c>
      <c r="N2886" s="42">
        <f t="shared" si="65"/>
        <v>60330.867870257047</v>
      </c>
      <c r="O2886" s="3">
        <v>2884</v>
      </c>
    </row>
    <row r="2887" spans="1:15" x14ac:dyDescent="0.25">
      <c r="A2887" s="3">
        <v>9</v>
      </c>
      <c r="B2887" s="9" t="s">
        <v>300</v>
      </c>
      <c r="C2887" s="3" t="s">
        <v>21</v>
      </c>
      <c r="D2887" s="3" t="s">
        <v>21</v>
      </c>
      <c r="E2887" s="11" t="s">
        <v>144</v>
      </c>
      <c r="F2887" s="3" t="s">
        <v>67</v>
      </c>
      <c r="G2887" s="48" t="s">
        <v>1398</v>
      </c>
      <c r="H2887" s="8"/>
      <c r="I2887" s="8"/>
      <c r="J2887" s="6" t="s">
        <v>42</v>
      </c>
      <c r="K2887" s="38">
        <v>21595</v>
      </c>
      <c r="L2887" s="27" t="s">
        <v>25</v>
      </c>
      <c r="M2887" s="11">
        <f>_xlfn.NUMBERVALUE(LEFT(Table613[[#This Row],[Fiscal Year]], 4))</f>
        <v>2017</v>
      </c>
      <c r="N2887" s="42">
        <f t="shared" si="65"/>
        <v>22170.426132190943</v>
      </c>
      <c r="O2887" s="3">
        <v>2885</v>
      </c>
    </row>
    <row r="2888" spans="1:15" x14ac:dyDescent="0.25">
      <c r="A2888" s="3">
        <v>9</v>
      </c>
      <c r="B2888" s="9" t="s">
        <v>300</v>
      </c>
      <c r="C2888" s="3" t="s">
        <v>21</v>
      </c>
      <c r="D2888" s="3" t="s">
        <v>21</v>
      </c>
      <c r="E2888" s="11" t="s">
        <v>144</v>
      </c>
      <c r="F2888" s="3" t="s">
        <v>67</v>
      </c>
      <c r="G2888" s="48" t="s">
        <v>1399</v>
      </c>
      <c r="H2888" s="8"/>
      <c r="I2888" s="8"/>
      <c r="J2888" s="6" t="s">
        <v>42</v>
      </c>
      <c r="K2888" s="38">
        <v>123333</v>
      </c>
      <c r="L2888" s="27" t="s">
        <v>25</v>
      </c>
      <c r="M2888" s="11">
        <f>_xlfn.NUMBERVALUE(LEFT(Table613[[#This Row],[Fiscal Year]], 4))</f>
        <v>2017</v>
      </c>
      <c r="N2888" s="42">
        <f t="shared" si="65"/>
        <v>126619.3640269278</v>
      </c>
      <c r="O2888" s="3">
        <v>2886</v>
      </c>
    </row>
    <row r="2889" spans="1:15" x14ac:dyDescent="0.25">
      <c r="A2889" s="3">
        <v>9</v>
      </c>
      <c r="B2889" s="9" t="s">
        <v>300</v>
      </c>
      <c r="C2889" s="3" t="s">
        <v>21</v>
      </c>
      <c r="D2889" s="3" t="s">
        <v>21</v>
      </c>
      <c r="E2889" s="11" t="s">
        <v>144</v>
      </c>
      <c r="F2889" s="3" t="s">
        <v>67</v>
      </c>
      <c r="G2889" s="66" t="s">
        <v>1400</v>
      </c>
      <c r="H2889" s="8"/>
      <c r="I2889" s="8"/>
      <c r="J2889" s="6" t="s">
        <v>42</v>
      </c>
      <c r="K2889" s="38">
        <v>55000</v>
      </c>
      <c r="L2889" s="27" t="s">
        <v>25</v>
      </c>
      <c r="M2889" s="11">
        <f>_xlfn.NUMBERVALUE(LEFT(Table613[[#This Row],[Fiscal Year]], 4))</f>
        <v>2017</v>
      </c>
      <c r="N2889" s="42">
        <f t="shared" si="65"/>
        <v>56465.544675642603</v>
      </c>
      <c r="O2889" s="3">
        <v>2887</v>
      </c>
    </row>
    <row r="2890" spans="1:15" x14ac:dyDescent="0.25">
      <c r="A2890" s="3">
        <v>9</v>
      </c>
      <c r="B2890" s="9" t="s">
        <v>300</v>
      </c>
      <c r="C2890" s="3" t="s">
        <v>21</v>
      </c>
      <c r="D2890" s="3" t="s">
        <v>21</v>
      </c>
      <c r="E2890" s="11" t="s">
        <v>144</v>
      </c>
      <c r="F2890" s="3" t="s">
        <v>67</v>
      </c>
      <c r="G2890" s="48" t="s">
        <v>1401</v>
      </c>
      <c r="H2890" s="8"/>
      <c r="I2890" s="8"/>
      <c r="J2890" s="6" t="s">
        <v>42</v>
      </c>
      <c r="K2890" s="38">
        <v>15000</v>
      </c>
      <c r="L2890" s="27" t="s">
        <v>25</v>
      </c>
      <c r="M2890" s="11">
        <f>_xlfn.NUMBERVALUE(LEFT(Table613[[#This Row],[Fiscal Year]], 4))</f>
        <v>2017</v>
      </c>
      <c r="N2890" s="42">
        <f t="shared" ref="N2890:N2942" si="66">K2890*(1+VLOOKUP(M2890,$AF$8:$AH$31,3,0))</f>
        <v>15399.694002447983</v>
      </c>
      <c r="O2890" s="3">
        <v>2888</v>
      </c>
    </row>
    <row r="2891" spans="1:15" x14ac:dyDescent="0.25">
      <c r="A2891" s="3">
        <v>9</v>
      </c>
      <c r="B2891" s="9" t="s">
        <v>300</v>
      </c>
      <c r="C2891" s="3" t="s">
        <v>21</v>
      </c>
      <c r="D2891" s="3" t="s">
        <v>21</v>
      </c>
      <c r="E2891" s="11" t="s">
        <v>144</v>
      </c>
      <c r="F2891" s="3" t="s">
        <v>67</v>
      </c>
      <c r="G2891" s="48" t="s">
        <v>1402</v>
      </c>
      <c r="H2891" s="8"/>
      <c r="I2891" s="8"/>
      <c r="J2891" s="6" t="s">
        <v>42</v>
      </c>
      <c r="K2891" s="38">
        <v>10000</v>
      </c>
      <c r="L2891" s="27" t="s">
        <v>25</v>
      </c>
      <c r="M2891" s="11">
        <f>_xlfn.NUMBERVALUE(LEFT(Table613[[#This Row],[Fiscal Year]], 4))</f>
        <v>2017</v>
      </c>
      <c r="N2891" s="42">
        <f t="shared" si="66"/>
        <v>10266.462668298655</v>
      </c>
      <c r="O2891" s="3">
        <v>2889</v>
      </c>
    </row>
    <row r="2892" spans="1:15" x14ac:dyDescent="0.25">
      <c r="A2892" s="3">
        <v>9</v>
      </c>
      <c r="B2892" s="9" t="s">
        <v>300</v>
      </c>
      <c r="C2892" s="3" t="s">
        <v>21</v>
      </c>
      <c r="D2892" s="3" t="s">
        <v>21</v>
      </c>
      <c r="E2892" s="11" t="s">
        <v>144</v>
      </c>
      <c r="F2892" s="3" t="s">
        <v>67</v>
      </c>
      <c r="G2892" s="48" t="s">
        <v>1403</v>
      </c>
      <c r="H2892" s="8"/>
      <c r="I2892" s="8"/>
      <c r="J2892" s="6" t="s">
        <v>42</v>
      </c>
      <c r="K2892" s="38">
        <v>20400</v>
      </c>
      <c r="L2892" s="27" t="s">
        <v>25</v>
      </c>
      <c r="M2892" s="11">
        <f>_xlfn.NUMBERVALUE(LEFT(Table613[[#This Row],[Fiscal Year]], 4))</f>
        <v>2017</v>
      </c>
      <c r="N2892" s="42">
        <f t="shared" si="66"/>
        <v>20943.583843329256</v>
      </c>
      <c r="O2892" s="3">
        <v>2890</v>
      </c>
    </row>
    <row r="2893" spans="1:15" x14ac:dyDescent="0.25">
      <c r="A2893" s="3">
        <v>9</v>
      </c>
      <c r="B2893" s="9" t="s">
        <v>300</v>
      </c>
      <c r="C2893" s="3" t="s">
        <v>21</v>
      </c>
      <c r="D2893" s="3" t="s">
        <v>21</v>
      </c>
      <c r="E2893" s="11" t="s">
        <v>144</v>
      </c>
      <c r="F2893" s="3" t="s">
        <v>67</v>
      </c>
      <c r="G2893" s="48" t="s">
        <v>1404</v>
      </c>
      <c r="H2893" s="8"/>
      <c r="I2893" s="8"/>
      <c r="J2893" s="6" t="s">
        <v>42</v>
      </c>
      <c r="K2893" s="38">
        <v>21000</v>
      </c>
      <c r="L2893" s="27" t="s">
        <v>25</v>
      </c>
      <c r="M2893" s="11">
        <f>_xlfn.NUMBERVALUE(LEFT(Table613[[#This Row],[Fiscal Year]], 4))</f>
        <v>2017</v>
      </c>
      <c r="N2893" s="42">
        <f t="shared" si="66"/>
        <v>21559.571603427175</v>
      </c>
      <c r="O2893" s="3">
        <v>2891</v>
      </c>
    </row>
    <row r="2894" spans="1:15" x14ac:dyDescent="0.25">
      <c r="A2894" s="3">
        <v>9</v>
      </c>
      <c r="B2894" s="9" t="s">
        <v>300</v>
      </c>
      <c r="C2894" s="3" t="s">
        <v>21</v>
      </c>
      <c r="D2894" s="3" t="s">
        <v>21</v>
      </c>
      <c r="E2894" s="11" t="s">
        <v>144</v>
      </c>
      <c r="F2894" s="3" t="s">
        <v>67</v>
      </c>
      <c r="G2894" s="66" t="s">
        <v>1405</v>
      </c>
      <c r="H2894" s="8"/>
      <c r="I2894" s="8"/>
      <c r="J2894" s="6" t="s">
        <v>42</v>
      </c>
      <c r="K2894" s="38">
        <v>10000</v>
      </c>
      <c r="L2894" s="27" t="s">
        <v>25</v>
      </c>
      <c r="M2894" s="11">
        <f>_xlfn.NUMBERVALUE(LEFT(Table613[[#This Row],[Fiscal Year]], 4))</f>
        <v>2017</v>
      </c>
      <c r="N2894" s="42">
        <f t="shared" si="66"/>
        <v>10266.462668298655</v>
      </c>
      <c r="O2894" s="3">
        <v>2892</v>
      </c>
    </row>
    <row r="2895" spans="1:15" x14ac:dyDescent="0.25">
      <c r="A2895" s="3">
        <v>9</v>
      </c>
      <c r="B2895" s="9" t="s">
        <v>300</v>
      </c>
      <c r="C2895" s="3" t="s">
        <v>21</v>
      </c>
      <c r="D2895" s="3" t="s">
        <v>21</v>
      </c>
      <c r="E2895" s="11" t="s">
        <v>144</v>
      </c>
      <c r="F2895" s="3" t="s">
        <v>67</v>
      </c>
      <c r="G2895" s="48" t="s">
        <v>1406</v>
      </c>
      <c r="H2895" s="8"/>
      <c r="I2895" s="8"/>
      <c r="J2895" s="6" t="s">
        <v>42</v>
      </c>
      <c r="K2895" s="38">
        <v>13014</v>
      </c>
      <c r="L2895" s="27" t="s">
        <v>25</v>
      </c>
      <c r="M2895" s="11">
        <f>_xlfn.NUMBERVALUE(LEFT(Table613[[#This Row],[Fiscal Year]], 4))</f>
        <v>2017</v>
      </c>
      <c r="N2895" s="42">
        <f t="shared" si="66"/>
        <v>13360.77451652387</v>
      </c>
      <c r="O2895" s="3">
        <v>2893</v>
      </c>
    </row>
    <row r="2896" spans="1:15" x14ac:dyDescent="0.25">
      <c r="A2896" s="3">
        <v>9</v>
      </c>
      <c r="B2896" s="9" t="s">
        <v>300</v>
      </c>
      <c r="C2896" s="3" t="s">
        <v>21</v>
      </c>
      <c r="D2896" s="3" t="s">
        <v>21</v>
      </c>
      <c r="E2896" s="11" t="s">
        <v>144</v>
      </c>
      <c r="F2896" s="3" t="s">
        <v>67</v>
      </c>
      <c r="G2896" s="48" t="s">
        <v>1407</v>
      </c>
      <c r="H2896" s="8"/>
      <c r="I2896" s="8"/>
      <c r="J2896" s="6" t="s">
        <v>42</v>
      </c>
      <c r="K2896" s="38">
        <v>11860</v>
      </c>
      <c r="L2896" s="27" t="s">
        <v>25</v>
      </c>
      <c r="M2896" s="11">
        <f>_xlfn.NUMBERVALUE(LEFT(Table613[[#This Row],[Fiscal Year]], 4))</f>
        <v>2017</v>
      </c>
      <c r="N2896" s="42">
        <f t="shared" si="66"/>
        <v>12176.024724602205</v>
      </c>
      <c r="O2896" s="3">
        <v>2894</v>
      </c>
    </row>
    <row r="2897" spans="1:15" x14ac:dyDescent="0.25">
      <c r="A2897" s="3">
        <v>9</v>
      </c>
      <c r="B2897" s="9" t="s">
        <v>300</v>
      </c>
      <c r="C2897" s="3" t="s">
        <v>21</v>
      </c>
      <c r="D2897" s="3" t="s">
        <v>21</v>
      </c>
      <c r="E2897" s="11" t="s">
        <v>144</v>
      </c>
      <c r="F2897" s="3" t="s">
        <v>67</v>
      </c>
      <c r="G2897" s="66" t="s">
        <v>1408</v>
      </c>
      <c r="H2897" s="8"/>
      <c r="I2897" s="8"/>
      <c r="J2897" s="6" t="s">
        <v>42</v>
      </c>
      <c r="K2897" s="38">
        <v>37875</v>
      </c>
      <c r="L2897" s="27" t="s">
        <v>25</v>
      </c>
      <c r="M2897" s="11">
        <f>_xlfn.NUMBERVALUE(LEFT(Table613[[#This Row],[Fiscal Year]], 4))</f>
        <v>2017</v>
      </c>
      <c r="N2897" s="42">
        <f t="shared" si="66"/>
        <v>38884.227356181153</v>
      </c>
      <c r="O2897" s="3">
        <v>2895</v>
      </c>
    </row>
    <row r="2898" spans="1:15" x14ac:dyDescent="0.25">
      <c r="A2898" s="3">
        <v>9</v>
      </c>
      <c r="B2898" s="9" t="s">
        <v>300</v>
      </c>
      <c r="C2898" s="3" t="s">
        <v>21</v>
      </c>
      <c r="D2898" s="3" t="s">
        <v>21</v>
      </c>
      <c r="E2898" s="11" t="s">
        <v>144</v>
      </c>
      <c r="F2898" s="3" t="s">
        <v>67</v>
      </c>
      <c r="G2898" s="48" t="s">
        <v>1409</v>
      </c>
      <c r="H2898" s="8" t="s">
        <v>649</v>
      </c>
      <c r="I2898" s="70" t="s">
        <v>650</v>
      </c>
      <c r="J2898" s="6" t="s">
        <v>455</v>
      </c>
      <c r="K2898" s="38">
        <v>172805</v>
      </c>
      <c r="L2898" s="27" t="s">
        <v>25</v>
      </c>
      <c r="M2898" s="11">
        <f>_xlfn.NUMBERVALUE(LEFT(Table613[[#This Row],[Fiscal Year]], 4))</f>
        <v>2017</v>
      </c>
      <c r="N2898" s="42">
        <f t="shared" si="66"/>
        <v>177409.60813953492</v>
      </c>
      <c r="O2898" s="3">
        <v>2896</v>
      </c>
    </row>
    <row r="2899" spans="1:15" x14ac:dyDescent="0.25">
      <c r="A2899" s="3">
        <v>9</v>
      </c>
      <c r="B2899" s="9" t="s">
        <v>300</v>
      </c>
      <c r="C2899" s="3" t="s">
        <v>21</v>
      </c>
      <c r="D2899" s="3" t="s">
        <v>21</v>
      </c>
      <c r="E2899" s="11" t="s">
        <v>144</v>
      </c>
      <c r="F2899" s="3" t="s">
        <v>67</v>
      </c>
      <c r="G2899" s="66" t="s">
        <v>1410</v>
      </c>
      <c r="H2899" s="8"/>
      <c r="I2899" s="8"/>
      <c r="J2899" s="6" t="s">
        <v>76</v>
      </c>
      <c r="K2899" s="38">
        <v>66402</v>
      </c>
      <c r="L2899" s="27" t="s">
        <v>25</v>
      </c>
      <c r="M2899" s="11">
        <f>_xlfn.NUMBERVALUE(LEFT(Table613[[#This Row],[Fiscal Year]], 4))</f>
        <v>2017</v>
      </c>
      <c r="N2899" s="42">
        <f t="shared" si="66"/>
        <v>68171.365410036728</v>
      </c>
      <c r="O2899" s="3">
        <v>2897</v>
      </c>
    </row>
    <row r="2900" spans="1:15" x14ac:dyDescent="0.25">
      <c r="A2900" s="3">
        <v>9</v>
      </c>
      <c r="B2900" s="9" t="s">
        <v>300</v>
      </c>
      <c r="C2900" s="3" t="s">
        <v>21</v>
      </c>
      <c r="D2900" s="3" t="s">
        <v>21</v>
      </c>
      <c r="E2900" s="11" t="s">
        <v>144</v>
      </c>
      <c r="F2900" s="3" t="s">
        <v>67</v>
      </c>
      <c r="G2900" s="66" t="s">
        <v>1411</v>
      </c>
      <c r="H2900" s="8"/>
      <c r="I2900" s="70" t="s">
        <v>651</v>
      </c>
      <c r="J2900" s="6" t="s">
        <v>455</v>
      </c>
      <c r="K2900" s="38">
        <v>197923</v>
      </c>
      <c r="L2900" s="27" t="s">
        <v>25</v>
      </c>
      <c r="M2900" s="11">
        <f>_xlfn.NUMBERVALUE(LEFT(Table613[[#This Row],[Fiscal Year]], 4))</f>
        <v>2017</v>
      </c>
      <c r="N2900" s="42">
        <f t="shared" si="66"/>
        <v>203196.90906976745</v>
      </c>
      <c r="O2900" s="3">
        <v>2898</v>
      </c>
    </row>
    <row r="2901" spans="1:15" x14ac:dyDescent="0.25">
      <c r="A2901" s="3">
        <v>9</v>
      </c>
      <c r="B2901" s="9" t="s">
        <v>300</v>
      </c>
      <c r="C2901" s="3" t="s">
        <v>21</v>
      </c>
      <c r="D2901" s="3" t="s">
        <v>21</v>
      </c>
      <c r="E2901" s="11" t="s">
        <v>144</v>
      </c>
      <c r="F2901" s="3" t="s">
        <v>67</v>
      </c>
      <c r="G2901" s="48" t="s">
        <v>1412</v>
      </c>
      <c r="H2901" s="8"/>
      <c r="I2901" s="8"/>
      <c r="J2901" s="6" t="s">
        <v>109</v>
      </c>
      <c r="K2901" s="38">
        <v>75800</v>
      </c>
      <c r="L2901" s="27" t="s">
        <v>25</v>
      </c>
      <c r="M2901" s="11">
        <f>_xlfn.NUMBERVALUE(LEFT(Table613[[#This Row],[Fiscal Year]], 4))</f>
        <v>2017</v>
      </c>
      <c r="N2901" s="42">
        <f t="shared" si="66"/>
        <v>77819.787025703801</v>
      </c>
      <c r="O2901" s="3">
        <v>2899</v>
      </c>
    </row>
    <row r="2902" spans="1:15" x14ac:dyDescent="0.25">
      <c r="A2902" s="3">
        <v>9</v>
      </c>
      <c r="B2902" s="9" t="s">
        <v>300</v>
      </c>
      <c r="C2902" s="3" t="s">
        <v>21</v>
      </c>
      <c r="D2902" s="3" t="s">
        <v>21</v>
      </c>
      <c r="E2902" s="11" t="s">
        <v>144</v>
      </c>
      <c r="F2902" s="3" t="s">
        <v>67</v>
      </c>
      <c r="G2902" s="48" t="s">
        <v>1413</v>
      </c>
      <c r="H2902" s="8"/>
      <c r="I2902" s="8"/>
      <c r="J2902" s="6" t="s">
        <v>109</v>
      </c>
      <c r="K2902" s="38">
        <v>4051</v>
      </c>
      <c r="L2902" s="27" t="s">
        <v>25</v>
      </c>
      <c r="M2902" s="11">
        <f>_xlfn.NUMBERVALUE(LEFT(Table613[[#This Row],[Fiscal Year]], 4))</f>
        <v>2017</v>
      </c>
      <c r="N2902" s="42">
        <f t="shared" si="66"/>
        <v>4158.9440269277848</v>
      </c>
      <c r="O2902" s="3">
        <v>2900</v>
      </c>
    </row>
    <row r="2903" spans="1:15" x14ac:dyDescent="0.25">
      <c r="A2903" s="3">
        <v>9</v>
      </c>
      <c r="B2903" s="9" t="s">
        <v>300</v>
      </c>
      <c r="C2903" s="3" t="s">
        <v>21</v>
      </c>
      <c r="D2903" s="3" t="s">
        <v>21</v>
      </c>
      <c r="E2903" s="11" t="s">
        <v>144</v>
      </c>
      <c r="F2903" s="3" t="s">
        <v>67</v>
      </c>
      <c r="G2903" s="48" t="s">
        <v>1414</v>
      </c>
      <c r="H2903" s="8"/>
      <c r="I2903" s="8"/>
      <c r="J2903" s="6" t="s">
        <v>605</v>
      </c>
      <c r="K2903" s="38">
        <v>222260</v>
      </c>
      <c r="L2903" s="27" t="s">
        <v>25</v>
      </c>
      <c r="M2903" s="11">
        <f>_xlfn.NUMBERVALUE(LEFT(Table613[[#This Row],[Fiscal Year]], 4))</f>
        <v>2017</v>
      </c>
      <c r="N2903" s="42">
        <f t="shared" si="66"/>
        <v>228182.3992656059</v>
      </c>
      <c r="O2903" s="3">
        <v>2901</v>
      </c>
    </row>
    <row r="2904" spans="1:15" x14ac:dyDescent="0.25">
      <c r="A2904" s="3">
        <v>9</v>
      </c>
      <c r="B2904" s="9" t="s">
        <v>300</v>
      </c>
      <c r="C2904" s="3" t="s">
        <v>21</v>
      </c>
      <c r="D2904" s="3" t="s">
        <v>21</v>
      </c>
      <c r="E2904" s="11" t="s">
        <v>144</v>
      </c>
      <c r="F2904" s="3" t="s">
        <v>67</v>
      </c>
      <c r="G2904" s="48" t="s">
        <v>1415</v>
      </c>
      <c r="H2904" s="8"/>
      <c r="I2904" s="8"/>
      <c r="J2904" s="6" t="s">
        <v>605</v>
      </c>
      <c r="K2904" s="38">
        <v>39998</v>
      </c>
      <c r="L2904" s="27" t="s">
        <v>25</v>
      </c>
      <c r="M2904" s="11">
        <f>_xlfn.NUMBERVALUE(LEFT(Table613[[#This Row],[Fiscal Year]], 4))</f>
        <v>2017</v>
      </c>
      <c r="N2904" s="42">
        <f t="shared" si="66"/>
        <v>41063.797380660959</v>
      </c>
      <c r="O2904" s="3">
        <v>2902</v>
      </c>
    </row>
    <row r="2905" spans="1:15" x14ac:dyDescent="0.25">
      <c r="A2905" s="3">
        <v>9</v>
      </c>
      <c r="B2905" s="9" t="s">
        <v>300</v>
      </c>
      <c r="C2905" s="3" t="s">
        <v>21</v>
      </c>
      <c r="D2905" s="3" t="s">
        <v>21</v>
      </c>
      <c r="E2905" s="11" t="s">
        <v>144</v>
      </c>
      <c r="F2905" s="3" t="s">
        <v>67</v>
      </c>
      <c r="G2905" s="48" t="s">
        <v>1416</v>
      </c>
      <c r="H2905" s="8"/>
      <c r="I2905" s="8"/>
      <c r="J2905" s="6" t="s">
        <v>605</v>
      </c>
      <c r="K2905" s="38">
        <v>6317</v>
      </c>
      <c r="L2905" s="27" t="s">
        <v>25</v>
      </c>
      <c r="M2905" s="11">
        <f>_xlfn.NUMBERVALUE(LEFT(Table613[[#This Row],[Fiscal Year]], 4))</f>
        <v>2017</v>
      </c>
      <c r="N2905" s="42">
        <f t="shared" si="66"/>
        <v>6485.32446756426</v>
      </c>
      <c r="O2905" s="3">
        <v>2903</v>
      </c>
    </row>
    <row r="2906" spans="1:15" x14ac:dyDescent="0.25">
      <c r="A2906" s="3">
        <v>9</v>
      </c>
      <c r="B2906" s="9" t="s">
        <v>300</v>
      </c>
      <c r="C2906" s="3" t="s">
        <v>21</v>
      </c>
      <c r="D2906" s="3" t="s">
        <v>21</v>
      </c>
      <c r="E2906" s="11" t="s">
        <v>144</v>
      </c>
      <c r="F2906" s="3" t="s">
        <v>67</v>
      </c>
      <c r="G2906" s="48" t="s">
        <v>1417</v>
      </c>
      <c r="H2906" s="8"/>
      <c r="I2906" s="8"/>
      <c r="J2906" s="6" t="s">
        <v>47</v>
      </c>
      <c r="K2906" s="38">
        <v>70066</v>
      </c>
      <c r="L2906" s="27" t="s">
        <v>25</v>
      </c>
      <c r="M2906" s="11">
        <f>_xlfn.NUMBERVALUE(LEFT(Table613[[#This Row],[Fiscal Year]], 4))</f>
        <v>2017</v>
      </c>
      <c r="N2906" s="42">
        <f t="shared" si="66"/>
        <v>71932.99733170135</v>
      </c>
      <c r="O2906" s="3">
        <v>2904</v>
      </c>
    </row>
    <row r="2907" spans="1:15" x14ac:dyDescent="0.25">
      <c r="A2907" s="3">
        <v>9</v>
      </c>
      <c r="B2907" s="9" t="s">
        <v>300</v>
      </c>
      <c r="C2907" s="3" t="s">
        <v>21</v>
      </c>
      <c r="D2907" s="3" t="s">
        <v>21</v>
      </c>
      <c r="E2907" s="11" t="s">
        <v>144</v>
      </c>
      <c r="F2907" s="3" t="s">
        <v>67</v>
      </c>
      <c r="G2907" s="48" t="s">
        <v>1418</v>
      </c>
      <c r="H2907" s="8"/>
      <c r="I2907" s="8"/>
      <c r="J2907" s="6" t="s">
        <v>47</v>
      </c>
      <c r="K2907" s="38">
        <v>2824</v>
      </c>
      <c r="L2907" s="27" t="s">
        <v>25</v>
      </c>
      <c r="M2907" s="11">
        <f>_xlfn.NUMBERVALUE(LEFT(Table613[[#This Row],[Fiscal Year]], 4))</f>
        <v>2017</v>
      </c>
      <c r="N2907" s="42">
        <f t="shared" si="66"/>
        <v>2899.2490575275401</v>
      </c>
      <c r="O2907" s="3">
        <v>2905</v>
      </c>
    </row>
    <row r="2908" spans="1:15" x14ac:dyDescent="0.25">
      <c r="A2908" s="3">
        <v>9</v>
      </c>
      <c r="B2908" s="9" t="s">
        <v>300</v>
      </c>
      <c r="C2908" s="3" t="s">
        <v>21</v>
      </c>
      <c r="D2908" s="3" t="s">
        <v>21</v>
      </c>
      <c r="E2908" s="11" t="s">
        <v>144</v>
      </c>
      <c r="F2908" s="3" t="s">
        <v>67</v>
      </c>
      <c r="G2908" s="48" t="s">
        <v>1419</v>
      </c>
      <c r="H2908" s="8"/>
      <c r="I2908" s="8"/>
      <c r="J2908" s="6" t="s">
        <v>109</v>
      </c>
      <c r="K2908" s="38">
        <v>70904</v>
      </c>
      <c r="L2908" s="27" t="s">
        <v>25</v>
      </c>
      <c r="M2908" s="11">
        <f>_xlfn.NUMBERVALUE(LEFT(Table613[[#This Row],[Fiscal Year]], 4))</f>
        <v>2017</v>
      </c>
      <c r="N2908" s="42">
        <f t="shared" si="66"/>
        <v>72793.326903304784</v>
      </c>
      <c r="O2908" s="3">
        <v>2906</v>
      </c>
    </row>
    <row r="2909" spans="1:15" x14ac:dyDescent="0.25">
      <c r="A2909" s="3">
        <v>9</v>
      </c>
      <c r="B2909" s="3" t="s">
        <v>300</v>
      </c>
      <c r="C2909" s="3" t="s">
        <v>21</v>
      </c>
      <c r="D2909" s="3" t="s">
        <v>21</v>
      </c>
      <c r="E2909" s="11" t="s">
        <v>144</v>
      </c>
      <c r="F2909" s="3" t="s">
        <v>67</v>
      </c>
      <c r="G2909" s="48" t="s">
        <v>1420</v>
      </c>
      <c r="H2909" s="8"/>
      <c r="I2909" s="8"/>
      <c r="J2909" s="6" t="s">
        <v>605</v>
      </c>
      <c r="K2909" s="38">
        <v>46910</v>
      </c>
      <c r="L2909" s="27" t="s">
        <v>25</v>
      </c>
      <c r="M2909" s="11">
        <f>_xlfn.NUMBERVALUE(LEFT(Table613[[#This Row],[Fiscal Year]], 4))</f>
        <v>2017</v>
      </c>
      <c r="N2909" s="42">
        <f t="shared" si="66"/>
        <v>48159.976376988991</v>
      </c>
      <c r="O2909" s="3">
        <v>2907</v>
      </c>
    </row>
    <row r="2910" spans="1:15" x14ac:dyDescent="0.25">
      <c r="A2910" s="3">
        <v>9</v>
      </c>
      <c r="B2910" s="3" t="s">
        <v>300</v>
      </c>
      <c r="C2910" s="3" t="s">
        <v>21</v>
      </c>
      <c r="D2910" s="3" t="s">
        <v>21</v>
      </c>
      <c r="E2910" s="11" t="s">
        <v>144</v>
      </c>
      <c r="F2910" s="3" t="s">
        <v>67</v>
      </c>
      <c r="G2910" s="48" t="s">
        <v>1421</v>
      </c>
      <c r="H2910" s="8"/>
      <c r="I2910" s="8"/>
      <c r="J2910" s="6" t="s">
        <v>108</v>
      </c>
      <c r="K2910" s="38">
        <v>168192</v>
      </c>
      <c r="L2910" s="27" t="s">
        <v>25</v>
      </c>
      <c r="M2910" s="11">
        <f>_xlfn.NUMBERVALUE(LEFT(Table613[[#This Row],[Fiscal Year]], 4))</f>
        <v>2017</v>
      </c>
      <c r="N2910" s="42">
        <f t="shared" si="66"/>
        <v>172673.68891064872</v>
      </c>
      <c r="O2910" s="3">
        <v>2908</v>
      </c>
    </row>
    <row r="2911" spans="1:15" x14ac:dyDescent="0.25">
      <c r="A2911" s="3">
        <v>9</v>
      </c>
      <c r="B2911" s="3" t="s">
        <v>300</v>
      </c>
      <c r="C2911" s="3" t="s">
        <v>21</v>
      </c>
      <c r="D2911" s="3" t="s">
        <v>21</v>
      </c>
      <c r="E2911" s="11" t="s">
        <v>144</v>
      </c>
      <c r="F2911" s="3" t="s">
        <v>67</v>
      </c>
      <c r="G2911" s="48" t="s">
        <v>1422</v>
      </c>
      <c r="H2911" s="8"/>
      <c r="I2911" s="8"/>
      <c r="J2911" s="6" t="s">
        <v>108</v>
      </c>
      <c r="K2911" s="38">
        <v>303358</v>
      </c>
      <c r="L2911" s="27" t="s">
        <v>25</v>
      </c>
      <c r="M2911" s="11">
        <f>_xlfn.NUMBERVALUE(LEFT(Table613[[#This Row],[Fiscal Year]], 4))</f>
        <v>2017</v>
      </c>
      <c r="N2911" s="42">
        <f t="shared" si="66"/>
        <v>311441.35821297433</v>
      </c>
      <c r="O2911" s="3">
        <v>2909</v>
      </c>
    </row>
    <row r="2912" spans="1:15" x14ac:dyDescent="0.25">
      <c r="A2912" s="3">
        <v>9</v>
      </c>
      <c r="B2912" s="3" t="s">
        <v>300</v>
      </c>
      <c r="C2912" s="3" t="s">
        <v>21</v>
      </c>
      <c r="D2912" s="3" t="s">
        <v>21</v>
      </c>
      <c r="E2912" s="11" t="s">
        <v>144</v>
      </c>
      <c r="F2912" s="3" t="s">
        <v>67</v>
      </c>
      <c r="G2912" s="48" t="s">
        <v>1423</v>
      </c>
      <c r="H2912" s="8"/>
      <c r="I2912" s="8"/>
      <c r="J2912" s="6" t="s">
        <v>108</v>
      </c>
      <c r="K2912" s="38">
        <v>21000</v>
      </c>
      <c r="L2912" s="27" t="s">
        <v>25</v>
      </c>
      <c r="M2912" s="11">
        <f>_xlfn.NUMBERVALUE(LEFT(Table613[[#This Row],[Fiscal Year]], 4))</f>
        <v>2017</v>
      </c>
      <c r="N2912" s="42">
        <f t="shared" si="66"/>
        <v>21559.571603427175</v>
      </c>
      <c r="O2912" s="3">
        <v>2910</v>
      </c>
    </row>
    <row r="2913" spans="1:15" x14ac:dyDescent="0.25">
      <c r="A2913" s="3">
        <v>9</v>
      </c>
      <c r="B2913" s="3" t="s">
        <v>300</v>
      </c>
      <c r="C2913" s="3" t="s">
        <v>21</v>
      </c>
      <c r="D2913" s="3" t="s">
        <v>21</v>
      </c>
      <c r="E2913" s="11" t="s">
        <v>144</v>
      </c>
      <c r="F2913" s="3" t="s">
        <v>67</v>
      </c>
      <c r="G2913" s="48" t="s">
        <v>1424</v>
      </c>
      <c r="H2913" s="8"/>
      <c r="I2913" s="8"/>
      <c r="J2913" s="6" t="s">
        <v>108</v>
      </c>
      <c r="K2913" s="38">
        <v>7309</v>
      </c>
      <c r="L2913" s="27" t="s">
        <v>25</v>
      </c>
      <c r="M2913" s="11">
        <f>_xlfn.NUMBERVALUE(LEFT(Table613[[#This Row],[Fiscal Year]], 4))</f>
        <v>2017</v>
      </c>
      <c r="N2913" s="42">
        <f t="shared" si="66"/>
        <v>7503.7575642594866</v>
      </c>
      <c r="O2913" s="3">
        <v>2911</v>
      </c>
    </row>
    <row r="2914" spans="1:15" x14ac:dyDescent="0.25">
      <c r="A2914" s="3">
        <v>9</v>
      </c>
      <c r="B2914" s="3" t="s">
        <v>300</v>
      </c>
      <c r="C2914" s="3" t="s">
        <v>21</v>
      </c>
      <c r="D2914" s="3" t="s">
        <v>21</v>
      </c>
      <c r="E2914" s="11" t="s">
        <v>144</v>
      </c>
      <c r="F2914" s="3" t="s">
        <v>67</v>
      </c>
      <c r="G2914" s="48" t="s">
        <v>1425</v>
      </c>
      <c r="H2914" s="8"/>
      <c r="I2914" s="8"/>
      <c r="J2914" s="6" t="s">
        <v>108</v>
      </c>
      <c r="K2914" s="38">
        <v>104320</v>
      </c>
      <c r="L2914" s="27" t="s">
        <v>25</v>
      </c>
      <c r="M2914" s="11">
        <f>_xlfn.NUMBERVALUE(LEFT(Table613[[#This Row],[Fiscal Year]], 4))</f>
        <v>2017</v>
      </c>
      <c r="N2914" s="42">
        <f t="shared" si="66"/>
        <v>107099.73855569157</v>
      </c>
      <c r="O2914" s="3">
        <v>2912</v>
      </c>
    </row>
    <row r="2915" spans="1:15" x14ac:dyDescent="0.25">
      <c r="E2915" s="11"/>
      <c r="G2915" s="66"/>
      <c r="H2915" s="8"/>
      <c r="I2915" s="8"/>
      <c r="J2915" s="6"/>
      <c r="L2915" s="4"/>
      <c r="O2915" s="3">
        <v>2913</v>
      </c>
    </row>
    <row r="2916" spans="1:15" x14ac:dyDescent="0.25">
      <c r="A2916" s="3">
        <v>9</v>
      </c>
      <c r="B2916" s="3" t="s">
        <v>22</v>
      </c>
      <c r="C2916" s="3" t="s">
        <v>21</v>
      </c>
      <c r="D2916" s="3" t="s">
        <v>21</v>
      </c>
      <c r="E2916" s="11" t="s">
        <v>144</v>
      </c>
      <c r="F2916" s="3" t="s">
        <v>8</v>
      </c>
      <c r="G2916" s="48" t="s">
        <v>343</v>
      </c>
      <c r="H2916" s="8"/>
      <c r="I2916" s="8"/>
      <c r="J2916" s="6" t="s">
        <v>110</v>
      </c>
      <c r="K2916" s="58">
        <v>235542</v>
      </c>
      <c r="L2916" s="4" t="s">
        <v>25</v>
      </c>
      <c r="M2916" s="11">
        <f>_xlfn.NUMBERVALUE(LEFT(Table613[[#This Row],[Fiscal Year]], 4))</f>
        <v>2017</v>
      </c>
      <c r="N2916" s="42">
        <f t="shared" si="66"/>
        <v>241818.31498164017</v>
      </c>
      <c r="O2916" s="3">
        <v>2914</v>
      </c>
    </row>
    <row r="2917" spans="1:15" x14ac:dyDescent="0.25">
      <c r="A2917" s="3">
        <v>9</v>
      </c>
      <c r="B2917" s="3" t="s">
        <v>22</v>
      </c>
      <c r="C2917" s="3" t="s">
        <v>21</v>
      </c>
      <c r="D2917" s="3" t="s">
        <v>21</v>
      </c>
      <c r="E2917" s="11" t="s">
        <v>144</v>
      </c>
      <c r="F2917" s="3" t="s">
        <v>8</v>
      </c>
      <c r="G2917" s="66" t="s">
        <v>344</v>
      </c>
      <c r="H2917" s="8"/>
      <c r="I2917" s="8"/>
      <c r="J2917" s="6" t="s">
        <v>455</v>
      </c>
      <c r="K2917" s="38">
        <v>1500</v>
      </c>
      <c r="L2917" s="4" t="s">
        <v>25</v>
      </c>
      <c r="M2917" s="11">
        <f>_xlfn.NUMBERVALUE(LEFT(Table613[[#This Row],[Fiscal Year]], 4))</f>
        <v>2017</v>
      </c>
      <c r="N2917" s="42">
        <f t="shared" si="66"/>
        <v>1539.9694002447982</v>
      </c>
      <c r="O2917" s="3">
        <v>2915</v>
      </c>
    </row>
    <row r="2918" spans="1:15" x14ac:dyDescent="0.25">
      <c r="A2918" s="3">
        <v>9</v>
      </c>
      <c r="B2918" s="3" t="s">
        <v>22</v>
      </c>
      <c r="C2918" s="3" t="s">
        <v>21</v>
      </c>
      <c r="D2918" s="3" t="s">
        <v>21</v>
      </c>
      <c r="E2918" s="11" t="s">
        <v>144</v>
      </c>
      <c r="F2918" s="3" t="s">
        <v>8</v>
      </c>
      <c r="G2918" s="48" t="s">
        <v>345</v>
      </c>
      <c r="H2918" s="8"/>
      <c r="I2918" s="8"/>
      <c r="J2918" s="6" t="s">
        <v>110</v>
      </c>
      <c r="K2918" s="38">
        <v>900</v>
      </c>
      <c r="L2918" s="4" t="s">
        <v>25</v>
      </c>
      <c r="M2918" s="11">
        <f>_xlfn.NUMBERVALUE(LEFT(Table613[[#This Row],[Fiscal Year]], 4))</f>
        <v>2017</v>
      </c>
      <c r="N2918" s="42">
        <f t="shared" si="66"/>
        <v>923.98164014687893</v>
      </c>
      <c r="O2918" s="3">
        <v>2916</v>
      </c>
    </row>
    <row r="2919" spans="1:15" x14ac:dyDescent="0.25">
      <c r="A2919" s="3">
        <v>9</v>
      </c>
      <c r="B2919" s="3" t="s">
        <v>22</v>
      </c>
      <c r="C2919" s="3" t="s">
        <v>21</v>
      </c>
      <c r="D2919" s="3" t="s">
        <v>21</v>
      </c>
      <c r="E2919" s="11" t="s">
        <v>144</v>
      </c>
      <c r="F2919" s="3" t="s">
        <v>8</v>
      </c>
      <c r="G2919" s="48" t="s">
        <v>346</v>
      </c>
      <c r="H2919" s="8"/>
      <c r="I2919" s="8"/>
      <c r="J2919" s="6" t="s">
        <v>110</v>
      </c>
      <c r="K2919" s="38">
        <v>35864</v>
      </c>
      <c r="L2919" s="4" t="s">
        <v>25</v>
      </c>
      <c r="M2919" s="11">
        <f>_xlfn.NUMBERVALUE(LEFT(Table613[[#This Row],[Fiscal Year]], 4))</f>
        <v>2017</v>
      </c>
      <c r="N2919" s="42">
        <f t="shared" si="66"/>
        <v>36819.641713586294</v>
      </c>
      <c r="O2919" s="3">
        <v>2917</v>
      </c>
    </row>
    <row r="2920" spans="1:15" x14ac:dyDescent="0.25">
      <c r="A2920" s="3">
        <v>9</v>
      </c>
      <c r="B2920" s="3" t="s">
        <v>22</v>
      </c>
      <c r="C2920" s="3" t="s">
        <v>21</v>
      </c>
      <c r="D2920" s="3" t="s">
        <v>21</v>
      </c>
      <c r="E2920" s="11" t="s">
        <v>144</v>
      </c>
      <c r="F2920" s="3" t="s">
        <v>8</v>
      </c>
      <c r="G2920" s="48" t="s">
        <v>347</v>
      </c>
      <c r="H2920" s="8"/>
      <c r="I2920" s="8"/>
      <c r="J2920" s="6" t="s">
        <v>110</v>
      </c>
      <c r="K2920" s="38">
        <v>14752</v>
      </c>
      <c r="L2920" s="4" t="s">
        <v>25</v>
      </c>
      <c r="M2920" s="11">
        <f>_xlfn.NUMBERVALUE(LEFT(Table613[[#This Row],[Fiscal Year]], 4))</f>
        <v>2017</v>
      </c>
      <c r="N2920" s="42">
        <f t="shared" si="66"/>
        <v>15145.085728274176</v>
      </c>
      <c r="O2920" s="3">
        <v>2918</v>
      </c>
    </row>
    <row r="2921" spans="1:15" x14ac:dyDescent="0.25">
      <c r="A2921" s="3">
        <v>9</v>
      </c>
      <c r="B2921" s="3" t="s">
        <v>22</v>
      </c>
      <c r="C2921" s="3" t="s">
        <v>21</v>
      </c>
      <c r="D2921" s="3" t="s">
        <v>21</v>
      </c>
      <c r="E2921" s="11" t="s">
        <v>144</v>
      </c>
      <c r="F2921" s="3" t="s">
        <v>8</v>
      </c>
      <c r="G2921" s="48" t="s">
        <v>348</v>
      </c>
      <c r="H2921" s="8"/>
      <c r="I2921" s="8"/>
      <c r="J2921" s="6" t="s">
        <v>110</v>
      </c>
      <c r="K2921" s="38">
        <v>3971</v>
      </c>
      <c r="L2921" s="4" t="s">
        <v>25</v>
      </c>
      <c r="M2921" s="11">
        <f>_xlfn.NUMBERVALUE(LEFT(Table613[[#This Row],[Fiscal Year]], 4))</f>
        <v>2017</v>
      </c>
      <c r="N2921" s="42">
        <f t="shared" si="66"/>
        <v>4076.8123255813957</v>
      </c>
      <c r="O2921" s="3">
        <v>2919</v>
      </c>
    </row>
    <row r="2922" spans="1:15" x14ac:dyDescent="0.25">
      <c r="A2922" s="3">
        <v>9</v>
      </c>
      <c r="B2922" s="3" t="s">
        <v>22</v>
      </c>
      <c r="C2922" s="3" t="s">
        <v>21</v>
      </c>
      <c r="D2922" s="3" t="s">
        <v>21</v>
      </c>
      <c r="E2922" s="11" t="s">
        <v>144</v>
      </c>
      <c r="F2922" s="3" t="s">
        <v>8</v>
      </c>
      <c r="G2922" s="66" t="s">
        <v>349</v>
      </c>
      <c r="H2922" s="8"/>
      <c r="I2922" s="8"/>
      <c r="J2922" s="6" t="s">
        <v>110</v>
      </c>
      <c r="K2922" s="38">
        <v>33097</v>
      </c>
      <c r="L2922" s="4" t="s">
        <v>25</v>
      </c>
      <c r="M2922" s="11">
        <f>_xlfn.NUMBERVALUE(LEFT(Table613[[#This Row],[Fiscal Year]], 4))</f>
        <v>2017</v>
      </c>
      <c r="N2922" s="42">
        <f t="shared" si="66"/>
        <v>33978.91149326806</v>
      </c>
      <c r="O2922" s="3">
        <v>2920</v>
      </c>
    </row>
    <row r="2923" spans="1:15" x14ac:dyDescent="0.25">
      <c r="A2923" s="3">
        <v>9</v>
      </c>
      <c r="B2923" s="3" t="s">
        <v>22</v>
      </c>
      <c r="C2923" s="3" t="s">
        <v>21</v>
      </c>
      <c r="D2923" s="3" t="s">
        <v>21</v>
      </c>
      <c r="E2923" s="11" t="s">
        <v>144</v>
      </c>
      <c r="F2923" s="3" t="s">
        <v>8</v>
      </c>
      <c r="G2923" s="66" t="s">
        <v>350</v>
      </c>
      <c r="H2923" s="8"/>
      <c r="I2923" s="8"/>
      <c r="J2923" s="6" t="s">
        <v>110</v>
      </c>
      <c r="K2923" s="38">
        <v>78010</v>
      </c>
      <c r="L2923" s="4" t="s">
        <v>25</v>
      </c>
      <c r="M2923" s="11">
        <f>_xlfn.NUMBERVALUE(LEFT(Table613[[#This Row],[Fiscal Year]], 4))</f>
        <v>2017</v>
      </c>
      <c r="N2923" s="42">
        <f t="shared" si="66"/>
        <v>80088.675275397807</v>
      </c>
      <c r="O2923" s="3">
        <v>2921</v>
      </c>
    </row>
    <row r="2924" spans="1:15" x14ac:dyDescent="0.25">
      <c r="A2924" s="3">
        <v>9</v>
      </c>
      <c r="B2924" s="3" t="s">
        <v>22</v>
      </c>
      <c r="C2924" s="3" t="s">
        <v>21</v>
      </c>
      <c r="D2924" s="3" t="s">
        <v>21</v>
      </c>
      <c r="E2924" s="11" t="s">
        <v>144</v>
      </c>
      <c r="F2924" s="3" t="s">
        <v>8</v>
      </c>
      <c r="G2924" s="48" t="s">
        <v>351</v>
      </c>
      <c r="H2924" s="8" t="s">
        <v>652</v>
      </c>
      <c r="I2924" s="8"/>
      <c r="J2924" s="6" t="s">
        <v>455</v>
      </c>
      <c r="K2924" s="38">
        <v>682</v>
      </c>
      <c r="L2924" s="4" t="s">
        <v>25</v>
      </c>
      <c r="M2924" s="11">
        <f>_xlfn.NUMBERVALUE(LEFT(Table613[[#This Row],[Fiscal Year]], 4))</f>
        <v>2017</v>
      </c>
      <c r="N2924" s="42">
        <f t="shared" si="66"/>
        <v>700.17275397796823</v>
      </c>
      <c r="O2924" s="3">
        <v>2922</v>
      </c>
    </row>
    <row r="2925" spans="1:15" x14ac:dyDescent="0.25">
      <c r="A2925" s="3">
        <v>9</v>
      </c>
      <c r="B2925" s="3" t="s">
        <v>22</v>
      </c>
      <c r="C2925" s="3" t="s">
        <v>21</v>
      </c>
      <c r="D2925" s="3" t="s">
        <v>21</v>
      </c>
      <c r="E2925" s="11" t="s">
        <v>144</v>
      </c>
      <c r="F2925" s="3" t="s">
        <v>8</v>
      </c>
      <c r="G2925" s="66" t="s">
        <v>452</v>
      </c>
      <c r="H2925" s="8"/>
      <c r="I2925" s="8"/>
      <c r="J2925" s="6" t="s">
        <v>110</v>
      </c>
      <c r="K2925" s="38">
        <v>3900</v>
      </c>
      <c r="L2925" s="4" t="s">
        <v>25</v>
      </c>
      <c r="M2925" s="11">
        <f>_xlfn.NUMBERVALUE(LEFT(Table613[[#This Row],[Fiscal Year]], 4))</f>
        <v>2017</v>
      </c>
      <c r="N2925" s="42">
        <f t="shared" si="66"/>
        <v>4003.9204406364752</v>
      </c>
      <c r="O2925" s="3">
        <v>2923</v>
      </c>
    </row>
    <row r="2926" spans="1:15" x14ac:dyDescent="0.25">
      <c r="A2926" s="3">
        <v>9</v>
      </c>
      <c r="B2926" s="3" t="s">
        <v>22</v>
      </c>
      <c r="C2926" s="3" t="s">
        <v>21</v>
      </c>
      <c r="D2926" s="3" t="s">
        <v>21</v>
      </c>
      <c r="E2926" s="11" t="s">
        <v>144</v>
      </c>
      <c r="F2926" s="3" t="s">
        <v>8</v>
      </c>
      <c r="G2926" s="66" t="s">
        <v>352</v>
      </c>
      <c r="H2926" s="8" t="s">
        <v>653</v>
      </c>
      <c r="I2926" s="8"/>
      <c r="J2926" s="6" t="s">
        <v>455</v>
      </c>
      <c r="K2926" s="38">
        <v>236000</v>
      </c>
      <c r="L2926" s="4" t="s">
        <v>25</v>
      </c>
      <c r="M2926" s="11">
        <f>_xlfn.NUMBERVALUE(LEFT(Table613[[#This Row],[Fiscal Year]], 4))</f>
        <v>2017</v>
      </c>
      <c r="N2926" s="42">
        <f t="shared" si="66"/>
        <v>242288.51897184824</v>
      </c>
      <c r="O2926" s="3">
        <v>2924</v>
      </c>
    </row>
    <row r="2927" spans="1:15" x14ac:dyDescent="0.25">
      <c r="A2927" s="3">
        <v>9</v>
      </c>
      <c r="B2927" s="3" t="s">
        <v>22</v>
      </c>
      <c r="C2927" s="3" t="s">
        <v>21</v>
      </c>
      <c r="D2927" s="3" t="s">
        <v>21</v>
      </c>
      <c r="E2927" s="11" t="s">
        <v>144</v>
      </c>
      <c r="F2927" s="3" t="s">
        <v>8</v>
      </c>
      <c r="G2927" s="48" t="s">
        <v>438</v>
      </c>
      <c r="H2927" s="8"/>
      <c r="I2927" s="8"/>
      <c r="J2927" s="6" t="s">
        <v>108</v>
      </c>
      <c r="K2927" s="38">
        <v>1550</v>
      </c>
      <c r="L2927" s="4" t="s">
        <v>25</v>
      </c>
      <c r="M2927" s="11">
        <f>_xlfn.NUMBERVALUE(LEFT(Table613[[#This Row],[Fiscal Year]], 4))</f>
        <v>2017</v>
      </c>
      <c r="N2927" s="42">
        <f t="shared" si="66"/>
        <v>1591.3017135862915</v>
      </c>
      <c r="O2927" s="3">
        <v>2925</v>
      </c>
    </row>
    <row r="2928" spans="1:15" x14ac:dyDescent="0.25">
      <c r="A2928" s="3">
        <v>9</v>
      </c>
      <c r="B2928" s="3" t="s">
        <v>22</v>
      </c>
      <c r="C2928" s="3" t="s">
        <v>21</v>
      </c>
      <c r="D2928" s="3" t="s">
        <v>21</v>
      </c>
      <c r="E2928" s="11" t="s">
        <v>144</v>
      </c>
      <c r="F2928" s="3" t="s">
        <v>8</v>
      </c>
      <c r="G2928" s="48" t="s">
        <v>437</v>
      </c>
      <c r="H2928" s="8"/>
      <c r="I2928" s="8"/>
      <c r="J2928" s="6" t="s">
        <v>108</v>
      </c>
      <c r="K2928" s="38">
        <v>625</v>
      </c>
      <c r="L2928" s="4" t="s">
        <v>25</v>
      </c>
      <c r="M2928" s="11">
        <v>2017</v>
      </c>
      <c r="N2928" s="42">
        <f t="shared" si="66"/>
        <v>641.65391676866591</v>
      </c>
      <c r="O2928" s="3">
        <v>2926</v>
      </c>
    </row>
    <row r="2929" spans="1:15" x14ac:dyDescent="0.25">
      <c r="A2929" s="3">
        <v>9</v>
      </c>
      <c r="B2929" s="3" t="s">
        <v>22</v>
      </c>
      <c r="C2929" s="3" t="s">
        <v>21</v>
      </c>
      <c r="D2929" s="3" t="s">
        <v>21</v>
      </c>
      <c r="E2929" s="11" t="s">
        <v>144</v>
      </c>
      <c r="F2929" s="3" t="s">
        <v>8</v>
      </c>
      <c r="G2929" s="66" t="s">
        <v>353</v>
      </c>
      <c r="H2929" s="8"/>
      <c r="I2929" s="8"/>
      <c r="J2929" s="6" t="s">
        <v>108</v>
      </c>
      <c r="K2929" s="38">
        <v>300</v>
      </c>
      <c r="L2929" s="4" t="s">
        <v>25</v>
      </c>
      <c r="M2929" s="11">
        <f>_xlfn.NUMBERVALUE(LEFT(Table613[[#This Row],[Fiscal Year]], 4))</f>
        <v>2017</v>
      </c>
      <c r="N2929" s="42">
        <f t="shared" si="66"/>
        <v>307.99388004895962</v>
      </c>
      <c r="O2929" s="3">
        <v>2927</v>
      </c>
    </row>
    <row r="2930" spans="1:15" x14ac:dyDescent="0.25">
      <c r="A2930" s="3">
        <v>9</v>
      </c>
      <c r="B2930" s="3" t="s">
        <v>22</v>
      </c>
      <c r="C2930" s="3" t="s">
        <v>21</v>
      </c>
      <c r="D2930" s="3" t="s">
        <v>21</v>
      </c>
      <c r="E2930" s="11" t="s">
        <v>144</v>
      </c>
      <c r="F2930" s="3" t="s">
        <v>8</v>
      </c>
      <c r="G2930" s="66" t="s">
        <v>354</v>
      </c>
      <c r="H2930" s="8" t="s">
        <v>656</v>
      </c>
      <c r="I2930" s="8" t="s">
        <v>657</v>
      </c>
      <c r="J2930" s="6" t="s">
        <v>455</v>
      </c>
      <c r="K2930" s="38">
        <v>10095</v>
      </c>
      <c r="L2930" s="4" t="s">
        <v>25</v>
      </c>
      <c r="M2930" s="11">
        <f>_xlfn.NUMBERVALUE(LEFT(Table613[[#This Row],[Fiscal Year]], 4))</f>
        <v>2017</v>
      </c>
      <c r="N2930" s="42">
        <f t="shared" si="66"/>
        <v>10363.994063647491</v>
      </c>
      <c r="O2930" s="3">
        <v>2928</v>
      </c>
    </row>
    <row r="2931" spans="1:15" x14ac:dyDescent="0.25">
      <c r="A2931" s="3">
        <v>9</v>
      </c>
      <c r="B2931" s="3" t="s">
        <v>22</v>
      </c>
      <c r="C2931" s="3" t="s">
        <v>21</v>
      </c>
      <c r="D2931" s="3" t="s">
        <v>21</v>
      </c>
      <c r="E2931" s="11" t="s">
        <v>144</v>
      </c>
      <c r="F2931" s="3" t="s">
        <v>8</v>
      </c>
      <c r="G2931" s="66" t="s">
        <v>355</v>
      </c>
      <c r="H2931" s="8" t="s">
        <v>658</v>
      </c>
      <c r="I2931" s="8" t="s">
        <v>659</v>
      </c>
      <c r="J2931" s="6" t="s">
        <v>108</v>
      </c>
      <c r="K2931" s="38">
        <v>25055</v>
      </c>
      <c r="L2931" s="4" t="s">
        <v>25</v>
      </c>
      <c r="M2931" s="11">
        <f>_xlfn.NUMBERVALUE(LEFT(Table613[[#This Row],[Fiscal Year]], 4))</f>
        <v>2017</v>
      </c>
      <c r="N2931" s="42">
        <f t="shared" si="66"/>
        <v>25722.622215422281</v>
      </c>
      <c r="O2931" s="3">
        <v>2929</v>
      </c>
    </row>
    <row r="2932" spans="1:15" x14ac:dyDescent="0.25">
      <c r="A2932" s="3">
        <v>9</v>
      </c>
      <c r="B2932" s="3" t="s">
        <v>22</v>
      </c>
      <c r="C2932" s="3" t="s">
        <v>21</v>
      </c>
      <c r="D2932" s="3" t="s">
        <v>21</v>
      </c>
      <c r="E2932" s="11" t="s">
        <v>144</v>
      </c>
      <c r="F2932" s="3" t="s">
        <v>8</v>
      </c>
      <c r="G2932" s="66" t="s">
        <v>356</v>
      </c>
      <c r="H2932" s="8" t="s">
        <v>654</v>
      </c>
      <c r="I2932" s="8" t="s">
        <v>655</v>
      </c>
      <c r="J2932" s="6" t="s">
        <v>455</v>
      </c>
      <c r="K2932" s="38">
        <v>155800</v>
      </c>
      <c r="L2932" s="4" t="s">
        <v>25</v>
      </c>
      <c r="M2932" s="11">
        <f>_xlfn.NUMBERVALUE(LEFT(Table613[[#This Row],[Fiscal Year]], 4))</f>
        <v>2017</v>
      </c>
      <c r="N2932" s="42">
        <f t="shared" si="66"/>
        <v>159951.48837209304</v>
      </c>
      <c r="O2932" s="3">
        <v>2930</v>
      </c>
    </row>
    <row r="2933" spans="1:15" x14ac:dyDescent="0.25">
      <c r="E2933" s="11"/>
      <c r="G2933" s="66"/>
      <c r="H2933" s="8"/>
      <c r="I2933" s="8"/>
      <c r="J2933" s="6"/>
      <c r="L2933" s="4"/>
      <c r="O2933" s="3">
        <v>2931</v>
      </c>
    </row>
    <row r="2934" spans="1:15" x14ac:dyDescent="0.25">
      <c r="A2934" s="3">
        <v>9</v>
      </c>
      <c r="B2934" s="3" t="s">
        <v>302</v>
      </c>
      <c r="C2934" s="3" t="s">
        <v>21</v>
      </c>
      <c r="D2934" s="3" t="s">
        <v>21</v>
      </c>
      <c r="E2934" s="11" t="s">
        <v>144</v>
      </c>
      <c r="F2934" s="3" t="s">
        <v>8</v>
      </c>
      <c r="G2934" s="48" t="s">
        <v>1240</v>
      </c>
      <c r="H2934" s="8"/>
      <c r="I2934" s="8"/>
      <c r="J2934" s="6" t="s">
        <v>110</v>
      </c>
      <c r="K2934" s="38">
        <v>543045</v>
      </c>
      <c r="L2934" s="4" t="s">
        <v>25</v>
      </c>
      <c r="M2934" s="11">
        <f>_xlfn.NUMBERVALUE(LEFT(Table613[[#This Row],[Fiscal Year]], 4))</f>
        <v>2017</v>
      </c>
      <c r="N2934" s="42">
        <f t="shared" si="66"/>
        <v>557515.12197062431</v>
      </c>
      <c r="O2934" s="3">
        <v>2932</v>
      </c>
    </row>
    <row r="2935" spans="1:15" x14ac:dyDescent="0.25">
      <c r="A2935" s="3">
        <v>9</v>
      </c>
      <c r="B2935" s="3" t="s">
        <v>302</v>
      </c>
      <c r="C2935" s="3" t="s">
        <v>21</v>
      </c>
      <c r="D2935" s="3" t="s">
        <v>21</v>
      </c>
      <c r="E2935" s="11" t="s">
        <v>144</v>
      </c>
      <c r="F2935" s="3" t="s">
        <v>8</v>
      </c>
      <c r="G2935" s="66" t="s">
        <v>1241</v>
      </c>
      <c r="H2935" s="8"/>
      <c r="I2935" s="8"/>
      <c r="J2935" s="6" t="s">
        <v>111</v>
      </c>
      <c r="K2935" s="38">
        <v>340387</v>
      </c>
      <c r="L2935" s="4" t="s">
        <v>25</v>
      </c>
      <c r="M2935" s="11">
        <f>_xlfn.NUMBERVALUE(LEFT(Table613[[#This Row],[Fiscal Year]], 4))</f>
        <v>2017</v>
      </c>
      <c r="N2935" s="42">
        <f t="shared" si="66"/>
        <v>349457.04282741743</v>
      </c>
      <c r="O2935" s="3">
        <v>2933</v>
      </c>
    </row>
    <row r="2936" spans="1:15" x14ac:dyDescent="0.25">
      <c r="A2936" s="3">
        <v>9</v>
      </c>
      <c r="B2936" s="3" t="s">
        <v>302</v>
      </c>
      <c r="C2936" s="3" t="s">
        <v>21</v>
      </c>
      <c r="D2936" s="3" t="s">
        <v>21</v>
      </c>
      <c r="E2936" s="11" t="s">
        <v>144</v>
      </c>
      <c r="F2936" s="3" t="s">
        <v>8</v>
      </c>
      <c r="G2936" s="66" t="s">
        <v>1242</v>
      </c>
      <c r="H2936" s="8"/>
      <c r="I2936" s="8"/>
      <c r="J2936" s="6" t="s">
        <v>107</v>
      </c>
      <c r="K2936" s="38">
        <v>446345</v>
      </c>
      <c r="L2936" s="4" t="s">
        <v>25</v>
      </c>
      <c r="M2936" s="11">
        <f>_xlfn.NUMBERVALUE(LEFT(Table613[[#This Row],[Fiscal Year]], 4))</f>
        <v>2017</v>
      </c>
      <c r="N2936" s="42">
        <f t="shared" si="66"/>
        <v>458238.42796817631</v>
      </c>
      <c r="O2936" s="3">
        <v>2934</v>
      </c>
    </row>
    <row r="2937" spans="1:15" x14ac:dyDescent="0.25">
      <c r="A2937" s="3">
        <v>9</v>
      </c>
      <c r="B2937" s="3" t="s">
        <v>302</v>
      </c>
      <c r="C2937" s="3" t="s">
        <v>21</v>
      </c>
      <c r="D2937" s="3" t="s">
        <v>21</v>
      </c>
      <c r="E2937" s="11" t="s">
        <v>144</v>
      </c>
      <c r="F2937" s="3" t="s">
        <v>8</v>
      </c>
      <c r="G2937" s="66" t="s">
        <v>1243</v>
      </c>
      <c r="H2937" s="8"/>
      <c r="I2937" s="8"/>
      <c r="J2937" s="6" t="s">
        <v>108</v>
      </c>
      <c r="K2937" s="38">
        <v>1487502</v>
      </c>
      <c r="L2937" s="4" t="s">
        <v>25</v>
      </c>
      <c r="M2937" s="11">
        <f>_xlfn.NUMBERVALUE(LEFT(Table613[[#This Row],[Fiscal Year]], 4))</f>
        <v>2017</v>
      </c>
      <c r="N2937" s="42">
        <f t="shared" si="66"/>
        <v>1527138.3752019585</v>
      </c>
      <c r="O2937" s="3">
        <v>2935</v>
      </c>
    </row>
    <row r="2938" spans="1:15" x14ac:dyDescent="0.25">
      <c r="A2938" s="3">
        <v>9</v>
      </c>
      <c r="B2938" s="3" t="s">
        <v>302</v>
      </c>
      <c r="C2938" s="3" t="s">
        <v>21</v>
      </c>
      <c r="D2938" s="3" t="s">
        <v>21</v>
      </c>
      <c r="E2938" s="11" t="s">
        <v>144</v>
      </c>
      <c r="F2938" s="3" t="s">
        <v>8</v>
      </c>
      <c r="G2938" s="66" t="s">
        <v>1257</v>
      </c>
      <c r="H2938" s="8"/>
      <c r="I2938" s="8"/>
      <c r="J2938" s="6" t="s">
        <v>109</v>
      </c>
      <c r="K2938" s="38">
        <v>21492</v>
      </c>
      <c r="L2938" s="4" t="s">
        <v>25</v>
      </c>
      <c r="M2938" s="11">
        <f>_xlfn.NUMBERVALUE(LEFT(Table613[[#This Row],[Fiscal Year]], 4))</f>
        <v>2017</v>
      </c>
      <c r="N2938" s="42">
        <f t="shared" si="66"/>
        <v>22064.68156670747</v>
      </c>
      <c r="O2938" s="3">
        <v>2936</v>
      </c>
    </row>
    <row r="2939" spans="1:15" x14ac:dyDescent="0.25">
      <c r="A2939" s="3">
        <v>9</v>
      </c>
      <c r="B2939" s="3" t="s">
        <v>302</v>
      </c>
      <c r="C2939" s="3" t="s">
        <v>21</v>
      </c>
      <c r="D2939" s="3" t="s">
        <v>21</v>
      </c>
      <c r="E2939" s="11" t="s">
        <v>144</v>
      </c>
      <c r="F2939" s="3" t="s">
        <v>8</v>
      </c>
      <c r="G2939" s="66" t="s">
        <v>1245</v>
      </c>
      <c r="H2939" s="8" t="s">
        <v>662</v>
      </c>
      <c r="I2939" s="8" t="s">
        <v>663</v>
      </c>
      <c r="J2939" s="6" t="s">
        <v>111</v>
      </c>
      <c r="K2939" s="38">
        <v>3208</v>
      </c>
      <c r="L2939" s="4" t="s">
        <v>25</v>
      </c>
      <c r="M2939" s="11">
        <f>_xlfn.NUMBERVALUE(LEFT(Table613[[#This Row],[Fiscal Year]], 4))</f>
        <v>2017</v>
      </c>
      <c r="N2939" s="42">
        <f t="shared" si="66"/>
        <v>3293.4812239902085</v>
      </c>
      <c r="O2939" s="3">
        <v>2937</v>
      </c>
    </row>
    <row r="2940" spans="1:15" x14ac:dyDescent="0.25">
      <c r="A2940" s="3">
        <v>9</v>
      </c>
      <c r="B2940" s="3" t="s">
        <v>302</v>
      </c>
      <c r="C2940" s="3" t="s">
        <v>21</v>
      </c>
      <c r="D2940" s="3" t="s">
        <v>21</v>
      </c>
      <c r="E2940" s="11" t="s">
        <v>144</v>
      </c>
      <c r="F2940" s="3" t="s">
        <v>8</v>
      </c>
      <c r="G2940" s="66" t="s">
        <v>1246</v>
      </c>
      <c r="H2940" s="8"/>
      <c r="I2940" s="8"/>
      <c r="J2940" s="6" t="s">
        <v>106</v>
      </c>
      <c r="K2940" s="38">
        <v>28870</v>
      </c>
      <c r="L2940" s="4" t="s">
        <v>25</v>
      </c>
      <c r="M2940" s="11">
        <f>_xlfn.NUMBERVALUE(LEFT(Table613[[#This Row],[Fiscal Year]], 4))</f>
        <v>2017</v>
      </c>
      <c r="N2940" s="42">
        <f t="shared" si="66"/>
        <v>29639.277723378218</v>
      </c>
      <c r="O2940" s="3">
        <v>2938</v>
      </c>
    </row>
    <row r="2941" spans="1:15" x14ac:dyDescent="0.25">
      <c r="A2941" s="3">
        <v>9</v>
      </c>
      <c r="B2941" s="3" t="s">
        <v>302</v>
      </c>
      <c r="C2941" s="3" t="s">
        <v>21</v>
      </c>
      <c r="D2941" s="3" t="s">
        <v>21</v>
      </c>
      <c r="E2941" s="11" t="s">
        <v>144</v>
      </c>
      <c r="F2941" s="3" t="s">
        <v>8</v>
      </c>
      <c r="G2941" s="66" t="s">
        <v>1258</v>
      </c>
      <c r="H2941" s="8"/>
      <c r="I2941" s="8"/>
      <c r="J2941" s="6" t="s">
        <v>47</v>
      </c>
      <c r="K2941" s="38">
        <v>48413</v>
      </c>
      <c r="L2941" s="4" t="s">
        <v>25</v>
      </c>
      <c r="M2941" s="11">
        <f>_xlfn.NUMBERVALUE(LEFT(Table613[[#This Row],[Fiscal Year]], 4))</f>
        <v>2017</v>
      </c>
      <c r="N2941" s="42">
        <f t="shared" si="66"/>
        <v>49703.025716034281</v>
      </c>
      <c r="O2941" s="3">
        <v>2939</v>
      </c>
    </row>
    <row r="2942" spans="1:15" x14ac:dyDescent="0.25">
      <c r="A2942" s="3">
        <v>9</v>
      </c>
      <c r="B2942" s="3" t="s">
        <v>302</v>
      </c>
      <c r="C2942" s="3" t="s">
        <v>21</v>
      </c>
      <c r="D2942" s="3" t="s">
        <v>21</v>
      </c>
      <c r="E2942" s="11" t="s">
        <v>144</v>
      </c>
      <c r="F2942" s="3" t="s">
        <v>8</v>
      </c>
      <c r="G2942" s="66" t="s">
        <v>1247</v>
      </c>
      <c r="H2942" s="8"/>
      <c r="I2942" s="8"/>
      <c r="J2942" s="6" t="s">
        <v>455</v>
      </c>
      <c r="K2942" s="38">
        <v>38664</v>
      </c>
      <c r="L2942" s="4" t="s">
        <v>25</v>
      </c>
      <c r="M2942" s="11">
        <f>_xlfn.NUMBERVALUE(LEFT(Table613[[#This Row],[Fiscal Year]], 4))</f>
        <v>2017</v>
      </c>
      <c r="N2942" s="42">
        <f t="shared" si="66"/>
        <v>39694.25126070992</v>
      </c>
      <c r="O2942" s="3">
        <v>2940</v>
      </c>
    </row>
    <row r="2943" spans="1:15" x14ac:dyDescent="0.25">
      <c r="A2943" s="3">
        <v>9</v>
      </c>
      <c r="B2943" s="3" t="s">
        <v>302</v>
      </c>
      <c r="C2943" s="3" t="s">
        <v>21</v>
      </c>
      <c r="D2943" s="3" t="s">
        <v>21</v>
      </c>
      <c r="E2943" s="11" t="s">
        <v>144</v>
      </c>
      <c r="F2943" s="3" t="s">
        <v>8</v>
      </c>
      <c r="G2943" s="66" t="s">
        <v>1248</v>
      </c>
      <c r="H2943" s="8" t="s">
        <v>660</v>
      </c>
      <c r="I2943" s="8" t="s">
        <v>663</v>
      </c>
      <c r="J2943" s="6" t="s">
        <v>105</v>
      </c>
      <c r="K2943" s="38" t="s">
        <v>660</v>
      </c>
      <c r="L2943" s="4" t="s">
        <v>25</v>
      </c>
      <c r="M2943" s="11">
        <f>_xlfn.NUMBERVALUE(LEFT(Table613[[#This Row],[Fiscal Year]], 4))</f>
        <v>2017</v>
      </c>
      <c r="O2943" s="3">
        <v>2941</v>
      </c>
    </row>
    <row r="2944" spans="1:15" x14ac:dyDescent="0.25">
      <c r="A2944" s="3">
        <v>9</v>
      </c>
      <c r="B2944" s="3" t="s">
        <v>302</v>
      </c>
      <c r="C2944" s="3" t="s">
        <v>21</v>
      </c>
      <c r="D2944" s="3" t="s">
        <v>21</v>
      </c>
      <c r="E2944" s="11" t="s">
        <v>144</v>
      </c>
      <c r="F2944" s="3" t="s">
        <v>8</v>
      </c>
      <c r="G2944" s="48" t="s">
        <v>1249</v>
      </c>
      <c r="H2944" s="8"/>
      <c r="I2944" s="8"/>
      <c r="J2944" s="6" t="s">
        <v>455</v>
      </c>
      <c r="K2944" s="38">
        <v>0</v>
      </c>
      <c r="L2944" s="4" t="s">
        <v>25</v>
      </c>
      <c r="M2944" s="11">
        <f>_xlfn.NUMBERVALUE(LEFT(Table613[[#This Row],[Fiscal Year]], 4))</f>
        <v>2017</v>
      </c>
      <c r="N2944" s="42">
        <f>K2944*(1+VLOOKUP(M2944,$AF$8:$AH$31,3,0))</f>
        <v>0</v>
      </c>
      <c r="O2944" s="3">
        <v>2942</v>
      </c>
    </row>
    <row r="2945" spans="1:15" x14ac:dyDescent="0.25">
      <c r="A2945" s="3">
        <v>9</v>
      </c>
      <c r="B2945" s="3" t="s">
        <v>302</v>
      </c>
      <c r="C2945" s="3" t="s">
        <v>21</v>
      </c>
      <c r="D2945" s="3" t="s">
        <v>21</v>
      </c>
      <c r="E2945" s="11" t="s">
        <v>144</v>
      </c>
      <c r="F2945" s="3" t="s">
        <v>8</v>
      </c>
      <c r="G2945" s="66" t="s">
        <v>1250</v>
      </c>
      <c r="H2945" s="8" t="s">
        <v>665</v>
      </c>
      <c r="I2945" s="70" t="s">
        <v>664</v>
      </c>
      <c r="J2945" s="6" t="s">
        <v>108</v>
      </c>
      <c r="K2945" s="38">
        <v>0</v>
      </c>
      <c r="L2945" s="4" t="s">
        <v>25</v>
      </c>
      <c r="M2945" s="11">
        <f>_xlfn.NUMBERVALUE(LEFT(Table613[[#This Row],[Fiscal Year]], 4))</f>
        <v>2017</v>
      </c>
      <c r="N2945" s="42">
        <f>K2945*(1+VLOOKUP(M2945,$AF$8:$AH$31,3,0))</f>
        <v>0</v>
      </c>
      <c r="O2945" s="3">
        <v>2943</v>
      </c>
    </row>
    <row r="2946" spans="1:15" x14ac:dyDescent="0.25">
      <c r="A2946" s="3">
        <v>9</v>
      </c>
      <c r="B2946" s="3" t="s">
        <v>302</v>
      </c>
      <c r="C2946" s="3" t="s">
        <v>21</v>
      </c>
      <c r="D2946" s="3" t="s">
        <v>21</v>
      </c>
      <c r="E2946" s="11" t="s">
        <v>144</v>
      </c>
      <c r="F2946" s="3" t="s">
        <v>8</v>
      </c>
      <c r="G2946" s="48" t="s">
        <v>1259</v>
      </c>
      <c r="H2946" s="8" t="s">
        <v>661</v>
      </c>
      <c r="I2946" s="8" t="s">
        <v>663</v>
      </c>
      <c r="J2946" s="6" t="s">
        <v>605</v>
      </c>
      <c r="K2946" s="38">
        <v>32004</v>
      </c>
      <c r="L2946" s="4" t="s">
        <v>25</v>
      </c>
      <c r="M2946" s="11">
        <f>_xlfn.NUMBERVALUE(LEFT(Table613[[#This Row],[Fiscal Year]], 4))</f>
        <v>2017</v>
      </c>
      <c r="N2946" s="42">
        <f t="shared" ref="N2946:N3009" si="67">K2946*(1+VLOOKUP(M2946,$AF$8:$AH$31,3,0))</f>
        <v>32856.787123623013</v>
      </c>
      <c r="O2946" s="3">
        <v>2944</v>
      </c>
    </row>
    <row r="2947" spans="1:15" x14ac:dyDescent="0.25">
      <c r="A2947" s="3">
        <v>9</v>
      </c>
      <c r="B2947" s="3" t="s">
        <v>302</v>
      </c>
      <c r="C2947" s="3" t="s">
        <v>21</v>
      </c>
      <c r="D2947" s="3" t="s">
        <v>21</v>
      </c>
      <c r="E2947" s="11" t="s">
        <v>144</v>
      </c>
      <c r="F2947" s="3" t="s">
        <v>8</v>
      </c>
      <c r="G2947" s="48" t="s">
        <v>1260</v>
      </c>
      <c r="H2947" s="8"/>
      <c r="I2947" s="8"/>
      <c r="J2947" s="6" t="s">
        <v>455</v>
      </c>
      <c r="K2947" s="38">
        <v>84442</v>
      </c>
      <c r="L2947" s="4" t="s">
        <v>25</v>
      </c>
      <c r="M2947" s="11">
        <f>_xlfn.NUMBERVALUE(LEFT(Table613[[#This Row],[Fiscal Year]], 4))</f>
        <v>2017</v>
      </c>
      <c r="N2947" s="42">
        <f t="shared" si="67"/>
        <v>86692.0640636475</v>
      </c>
      <c r="O2947" s="3">
        <v>2945</v>
      </c>
    </row>
    <row r="2948" spans="1:15" x14ac:dyDescent="0.25">
      <c r="E2948" s="11"/>
      <c r="G2948" s="66"/>
      <c r="H2948" s="8"/>
      <c r="I2948" s="8"/>
      <c r="J2948" s="6"/>
      <c r="L2948" s="4"/>
      <c r="O2948" s="3">
        <v>2946</v>
      </c>
    </row>
    <row r="2949" spans="1:15" x14ac:dyDescent="0.25">
      <c r="A2949" s="3">
        <v>9</v>
      </c>
      <c r="B2949" s="3" t="s">
        <v>303</v>
      </c>
      <c r="C2949" s="3" t="s">
        <v>21</v>
      </c>
      <c r="D2949" s="3" t="s">
        <v>21</v>
      </c>
      <c r="E2949" s="11" t="s">
        <v>144</v>
      </c>
      <c r="F2949" s="3" t="s">
        <v>8</v>
      </c>
      <c r="G2949" s="48" t="s">
        <v>1240</v>
      </c>
      <c r="H2949" s="8"/>
      <c r="I2949" s="8"/>
      <c r="J2949" s="6" t="s">
        <v>110</v>
      </c>
      <c r="K2949" s="38">
        <v>130893</v>
      </c>
      <c r="L2949" s="4" t="s">
        <v>25</v>
      </c>
      <c r="M2949" s="11">
        <f>_xlfn.NUMBERVALUE(LEFT(Table613[[#This Row],[Fiscal Year]], 4))</f>
        <v>2017</v>
      </c>
      <c r="N2949" s="42">
        <f t="shared" si="67"/>
        <v>134380.80980416157</v>
      </c>
      <c r="O2949" s="3">
        <v>2947</v>
      </c>
    </row>
    <row r="2950" spans="1:15" x14ac:dyDescent="0.25">
      <c r="A2950" s="3">
        <v>9</v>
      </c>
      <c r="B2950" s="3" t="s">
        <v>303</v>
      </c>
      <c r="C2950" s="3" t="s">
        <v>21</v>
      </c>
      <c r="D2950" s="3" t="s">
        <v>21</v>
      </c>
      <c r="E2950" s="11" t="s">
        <v>144</v>
      </c>
      <c r="F2950" s="3" t="s">
        <v>8</v>
      </c>
      <c r="G2950" s="66" t="s">
        <v>1241</v>
      </c>
      <c r="H2950" s="8"/>
      <c r="I2950" s="8"/>
      <c r="J2950" s="6" t="s">
        <v>111</v>
      </c>
      <c r="K2950" s="38">
        <v>275449</v>
      </c>
      <c r="L2950" s="4" t="s">
        <v>25</v>
      </c>
      <c r="M2950" s="11">
        <f>_xlfn.NUMBERVALUE(LEFT(Table613[[#This Row],[Fiscal Year]], 4))</f>
        <v>2017</v>
      </c>
      <c r="N2950" s="42">
        <f t="shared" si="67"/>
        <v>282788.6875520196</v>
      </c>
      <c r="O2950" s="3">
        <v>2948</v>
      </c>
    </row>
    <row r="2951" spans="1:15" x14ac:dyDescent="0.25">
      <c r="A2951" s="3">
        <v>9</v>
      </c>
      <c r="B2951" s="3" t="s">
        <v>303</v>
      </c>
      <c r="C2951" s="3" t="s">
        <v>21</v>
      </c>
      <c r="D2951" s="3" t="s">
        <v>21</v>
      </c>
      <c r="E2951" s="11" t="s">
        <v>144</v>
      </c>
      <c r="F2951" s="3" t="s">
        <v>8</v>
      </c>
      <c r="G2951" s="66" t="s">
        <v>1242</v>
      </c>
      <c r="H2951" s="8" t="s">
        <v>666</v>
      </c>
      <c r="I2951" s="8"/>
      <c r="J2951" s="6" t="s">
        <v>107</v>
      </c>
      <c r="K2951" s="38">
        <v>181841</v>
      </c>
      <c r="L2951" s="4" t="s">
        <v>25</v>
      </c>
      <c r="M2951" s="11">
        <f>_xlfn.NUMBERVALUE(LEFT(Table613[[#This Row],[Fiscal Year]], 4))</f>
        <v>2017</v>
      </c>
      <c r="N2951" s="42">
        <f t="shared" si="67"/>
        <v>186686.38380660958</v>
      </c>
      <c r="O2951" s="3">
        <v>2949</v>
      </c>
    </row>
    <row r="2952" spans="1:15" x14ac:dyDescent="0.25">
      <c r="A2952" s="3">
        <v>9</v>
      </c>
      <c r="B2952" s="3" t="s">
        <v>303</v>
      </c>
      <c r="C2952" s="3" t="s">
        <v>21</v>
      </c>
      <c r="D2952" s="3" t="s">
        <v>21</v>
      </c>
      <c r="E2952" s="11" t="s">
        <v>144</v>
      </c>
      <c r="F2952" s="3" t="s">
        <v>8</v>
      </c>
      <c r="G2952" s="48" t="s">
        <v>1243</v>
      </c>
      <c r="H2952" s="8"/>
      <c r="I2952" s="8"/>
      <c r="J2952" s="6" t="s">
        <v>108</v>
      </c>
      <c r="K2952" s="38">
        <v>1627820</v>
      </c>
      <c r="L2952" s="4" t="s">
        <v>25</v>
      </c>
      <c r="M2952" s="11">
        <f>_xlfn.NUMBERVALUE(LEFT(Table613[[#This Row],[Fiscal Year]], 4))</f>
        <v>2017</v>
      </c>
      <c r="N2952" s="42">
        <f t="shared" si="67"/>
        <v>1671195.3260709916</v>
      </c>
      <c r="O2952" s="3">
        <v>2950</v>
      </c>
    </row>
    <row r="2953" spans="1:15" x14ac:dyDescent="0.25">
      <c r="A2953" s="3">
        <v>9</v>
      </c>
      <c r="B2953" s="3" t="s">
        <v>303</v>
      </c>
      <c r="C2953" s="3" t="s">
        <v>21</v>
      </c>
      <c r="D2953" s="3" t="s">
        <v>21</v>
      </c>
      <c r="E2953" s="11" t="s">
        <v>144</v>
      </c>
      <c r="F2953" s="3" t="s">
        <v>8</v>
      </c>
      <c r="G2953" s="66" t="s">
        <v>1257</v>
      </c>
      <c r="H2953" s="8"/>
      <c r="I2953" s="8"/>
      <c r="J2953" s="6" t="s">
        <v>109</v>
      </c>
      <c r="K2953" s="38">
        <v>98545</v>
      </c>
      <c r="L2953" s="4" t="s">
        <v>25</v>
      </c>
      <c r="M2953" s="11">
        <f>_xlfn.NUMBERVALUE(LEFT(Table613[[#This Row],[Fiscal Year]], 4))</f>
        <v>2017</v>
      </c>
      <c r="N2953" s="42">
        <f t="shared" si="67"/>
        <v>101170.8563647491</v>
      </c>
      <c r="O2953" s="3">
        <v>2951</v>
      </c>
    </row>
    <row r="2954" spans="1:15" x14ac:dyDescent="0.25">
      <c r="A2954" s="3">
        <v>9</v>
      </c>
      <c r="B2954" s="3" t="s">
        <v>303</v>
      </c>
      <c r="C2954" s="3" t="s">
        <v>21</v>
      </c>
      <c r="D2954" s="3" t="s">
        <v>21</v>
      </c>
      <c r="E2954" s="11" t="s">
        <v>144</v>
      </c>
      <c r="F2954" s="3" t="s">
        <v>8</v>
      </c>
      <c r="G2954" s="66" t="s">
        <v>1245</v>
      </c>
      <c r="H2954" s="8"/>
      <c r="I2954" s="8"/>
      <c r="J2954" s="6" t="s">
        <v>111</v>
      </c>
      <c r="K2954" s="38">
        <v>24636</v>
      </c>
      <c r="L2954" s="4" t="s">
        <v>25</v>
      </c>
      <c r="M2954" s="11">
        <f>_xlfn.NUMBERVALUE(LEFT(Table613[[#This Row],[Fiscal Year]], 4))</f>
        <v>2017</v>
      </c>
      <c r="N2954" s="42">
        <f t="shared" si="67"/>
        <v>25292.457429620565</v>
      </c>
      <c r="O2954" s="3">
        <v>2952</v>
      </c>
    </row>
    <row r="2955" spans="1:15" x14ac:dyDescent="0.25">
      <c r="A2955" s="3">
        <v>9</v>
      </c>
      <c r="B2955" s="3" t="s">
        <v>303</v>
      </c>
      <c r="C2955" s="3" t="s">
        <v>21</v>
      </c>
      <c r="D2955" s="3" t="s">
        <v>21</v>
      </c>
      <c r="E2955" s="11" t="s">
        <v>144</v>
      </c>
      <c r="F2955" s="3" t="s">
        <v>8</v>
      </c>
      <c r="G2955" s="66" t="s">
        <v>1261</v>
      </c>
      <c r="H2955" s="8"/>
      <c r="I2955" s="8"/>
      <c r="J2955" s="6" t="s">
        <v>106</v>
      </c>
      <c r="K2955" s="38">
        <v>123182</v>
      </c>
      <c r="L2955" s="4" t="s">
        <v>25</v>
      </c>
      <c r="M2955" s="11">
        <f>_xlfn.NUMBERVALUE(LEFT(Table613[[#This Row],[Fiscal Year]], 4))</f>
        <v>2017</v>
      </c>
      <c r="N2955" s="42">
        <f t="shared" si="67"/>
        <v>126464.34044063649</v>
      </c>
      <c r="O2955" s="3">
        <v>2953</v>
      </c>
    </row>
    <row r="2956" spans="1:15" x14ac:dyDescent="0.25">
      <c r="A2956" s="3">
        <v>9</v>
      </c>
      <c r="B2956" s="3" t="s">
        <v>303</v>
      </c>
      <c r="C2956" s="3" t="s">
        <v>21</v>
      </c>
      <c r="D2956" s="3" t="s">
        <v>21</v>
      </c>
      <c r="E2956" s="11" t="s">
        <v>144</v>
      </c>
      <c r="F2956" s="3" t="s">
        <v>8</v>
      </c>
      <c r="G2956" s="66" t="s">
        <v>1247</v>
      </c>
      <c r="H2956" s="8" t="s">
        <v>667</v>
      </c>
      <c r="I2956" s="8" t="s">
        <v>668</v>
      </c>
      <c r="J2956" s="6" t="s">
        <v>455</v>
      </c>
      <c r="K2956" s="38">
        <v>24636</v>
      </c>
      <c r="L2956" s="4" t="s">
        <v>25</v>
      </c>
      <c r="M2956" s="11">
        <f>_xlfn.NUMBERVALUE(LEFT(Table613[[#This Row],[Fiscal Year]], 4))</f>
        <v>2017</v>
      </c>
      <c r="N2956" s="42">
        <f t="shared" si="67"/>
        <v>25292.457429620565</v>
      </c>
      <c r="O2956" s="3">
        <v>2954</v>
      </c>
    </row>
    <row r="2957" spans="1:15" x14ac:dyDescent="0.25">
      <c r="A2957" s="3">
        <v>9</v>
      </c>
      <c r="B2957" s="3" t="s">
        <v>303</v>
      </c>
      <c r="C2957" s="3" t="s">
        <v>21</v>
      </c>
      <c r="D2957" s="3" t="s">
        <v>21</v>
      </c>
      <c r="E2957" s="11" t="s">
        <v>144</v>
      </c>
      <c r="F2957" s="3" t="s">
        <v>8</v>
      </c>
      <c r="G2957" s="66" t="s">
        <v>1248</v>
      </c>
      <c r="H2957" s="8"/>
      <c r="I2957" s="8"/>
      <c r="J2957" s="6" t="s">
        <v>105</v>
      </c>
      <c r="K2957" s="38">
        <v>12318</v>
      </c>
      <c r="L2957" s="4" t="s">
        <v>25</v>
      </c>
      <c r="M2957" s="11">
        <f>_xlfn.NUMBERVALUE(LEFT(Table613[[#This Row],[Fiscal Year]], 4))</f>
        <v>2017</v>
      </c>
      <c r="N2957" s="42">
        <f t="shared" si="67"/>
        <v>12646.228714810282</v>
      </c>
      <c r="O2957" s="3">
        <v>2955</v>
      </c>
    </row>
    <row r="2958" spans="1:15" x14ac:dyDescent="0.25">
      <c r="A2958" s="3">
        <v>9</v>
      </c>
      <c r="B2958" s="3" t="s">
        <v>303</v>
      </c>
      <c r="C2958" s="3" t="s">
        <v>21</v>
      </c>
      <c r="D2958" s="3" t="s">
        <v>21</v>
      </c>
      <c r="E2958" s="11" t="s">
        <v>144</v>
      </c>
      <c r="F2958" s="3" t="s">
        <v>8</v>
      </c>
      <c r="G2958" s="48" t="s">
        <v>1262</v>
      </c>
      <c r="H2958" s="8"/>
      <c r="I2958" s="8"/>
      <c r="J2958" s="6" t="s">
        <v>455</v>
      </c>
      <c r="K2958" s="38">
        <v>0</v>
      </c>
      <c r="L2958" s="4" t="s">
        <v>25</v>
      </c>
      <c r="M2958" s="11">
        <f>_xlfn.NUMBERVALUE(LEFT(Table613[[#This Row],[Fiscal Year]], 4))</f>
        <v>2017</v>
      </c>
      <c r="N2958" s="42">
        <f t="shared" si="67"/>
        <v>0</v>
      </c>
      <c r="O2958" s="3">
        <v>2956</v>
      </c>
    </row>
    <row r="2959" spans="1:15" x14ac:dyDescent="0.25">
      <c r="A2959" s="3">
        <v>9</v>
      </c>
      <c r="B2959" s="3" t="s">
        <v>303</v>
      </c>
      <c r="C2959" s="3" t="s">
        <v>21</v>
      </c>
      <c r="D2959" s="3" t="s">
        <v>21</v>
      </c>
      <c r="E2959" s="11" t="s">
        <v>144</v>
      </c>
      <c r="F2959" s="3" t="s">
        <v>8</v>
      </c>
      <c r="G2959" s="66" t="s">
        <v>1250</v>
      </c>
      <c r="H2959" s="8" t="s">
        <v>665</v>
      </c>
      <c r="I2959" s="70" t="s">
        <v>664</v>
      </c>
      <c r="J2959" s="6" t="s">
        <v>108</v>
      </c>
      <c r="K2959" s="38">
        <v>12318</v>
      </c>
      <c r="L2959" s="4" t="s">
        <v>25</v>
      </c>
      <c r="M2959" s="11">
        <f>_xlfn.NUMBERVALUE(LEFT(Table613[[#This Row],[Fiscal Year]], 4))</f>
        <v>2017</v>
      </c>
      <c r="N2959" s="42">
        <f t="shared" si="67"/>
        <v>12646.228714810282</v>
      </c>
      <c r="O2959" s="3">
        <v>2957</v>
      </c>
    </row>
    <row r="2960" spans="1:15" x14ac:dyDescent="0.25">
      <c r="A2960" s="3">
        <v>9</v>
      </c>
      <c r="B2960" s="3" t="s">
        <v>303</v>
      </c>
      <c r="C2960" s="3" t="s">
        <v>21</v>
      </c>
      <c r="D2960" s="3" t="s">
        <v>21</v>
      </c>
      <c r="E2960" s="11" t="s">
        <v>144</v>
      </c>
      <c r="F2960" s="3" t="s">
        <v>8</v>
      </c>
      <c r="G2960" s="48" t="s">
        <v>1263</v>
      </c>
      <c r="H2960" s="8"/>
      <c r="I2960" s="8"/>
      <c r="J2960" s="6" t="s">
        <v>47</v>
      </c>
      <c r="K2960" s="38">
        <v>20542</v>
      </c>
      <c r="L2960" s="4" t="s">
        <v>25</v>
      </c>
      <c r="M2960" s="11">
        <f>_xlfn.NUMBERVALUE(LEFT(Table613[[#This Row],[Fiscal Year]], 4))</f>
        <v>2017</v>
      </c>
      <c r="N2960" s="42">
        <f t="shared" si="67"/>
        <v>21089.367613219096</v>
      </c>
      <c r="O2960" s="3">
        <v>2958</v>
      </c>
    </row>
    <row r="2961" spans="1:15" x14ac:dyDescent="0.25">
      <c r="A2961" s="3">
        <v>9</v>
      </c>
      <c r="B2961" s="3" t="s">
        <v>303</v>
      </c>
      <c r="C2961" s="3" t="s">
        <v>21</v>
      </c>
      <c r="D2961" s="3" t="s">
        <v>21</v>
      </c>
      <c r="E2961" s="11" t="s">
        <v>144</v>
      </c>
      <c r="F2961" s="3" t="s">
        <v>8</v>
      </c>
      <c r="G2961" s="66" t="s">
        <v>1264</v>
      </c>
      <c r="H2961" s="8"/>
      <c r="I2961" s="8"/>
      <c r="J2961" s="6" t="s">
        <v>605</v>
      </c>
      <c r="K2961" s="38">
        <v>6849</v>
      </c>
      <c r="L2961" s="4" t="s">
        <v>25</v>
      </c>
      <c r="M2961" s="11">
        <f>_xlfn.NUMBERVALUE(LEFT(Table613[[#This Row],[Fiscal Year]], 4))</f>
        <v>2017</v>
      </c>
      <c r="N2961" s="42">
        <f t="shared" si="67"/>
        <v>7031.5002815177486</v>
      </c>
      <c r="O2961" s="3">
        <v>2959</v>
      </c>
    </row>
    <row r="2962" spans="1:15" x14ac:dyDescent="0.25">
      <c r="A2962" s="3">
        <v>9</v>
      </c>
      <c r="B2962" s="3" t="s">
        <v>303</v>
      </c>
      <c r="C2962" s="3" t="s">
        <v>21</v>
      </c>
      <c r="D2962" s="3" t="s">
        <v>21</v>
      </c>
      <c r="E2962" s="11" t="s">
        <v>144</v>
      </c>
      <c r="F2962" s="3" t="s">
        <v>8</v>
      </c>
      <c r="G2962" s="48" t="s">
        <v>1265</v>
      </c>
      <c r="H2962" s="8"/>
      <c r="I2962" s="8"/>
      <c r="J2962" s="6" t="s">
        <v>455</v>
      </c>
      <c r="K2962" s="38">
        <v>4678</v>
      </c>
      <c r="L2962" s="4" t="s">
        <v>25</v>
      </c>
      <c r="M2962" s="11">
        <f>_xlfn.NUMBERVALUE(LEFT(Table613[[#This Row],[Fiscal Year]], 4))</f>
        <v>2017</v>
      </c>
      <c r="N2962" s="42">
        <f t="shared" si="67"/>
        <v>4802.651236230111</v>
      </c>
      <c r="O2962" s="3">
        <v>2960</v>
      </c>
    </row>
    <row r="2963" spans="1:15" x14ac:dyDescent="0.25">
      <c r="E2963" s="11"/>
      <c r="G2963" s="66"/>
      <c r="H2963" s="8"/>
      <c r="I2963" s="8"/>
      <c r="J2963" s="6"/>
      <c r="L2963" s="4"/>
      <c r="O2963" s="3">
        <v>2961</v>
      </c>
    </row>
    <row r="2964" spans="1:15" x14ac:dyDescent="0.25">
      <c r="A2964" s="3">
        <v>9</v>
      </c>
      <c r="B2964" s="3" t="s">
        <v>304</v>
      </c>
      <c r="C2964" s="3" t="s">
        <v>21</v>
      </c>
      <c r="D2964" s="3" t="s">
        <v>21</v>
      </c>
      <c r="E2964" s="11" t="s">
        <v>144</v>
      </c>
      <c r="F2964" s="3" t="s">
        <v>8</v>
      </c>
      <c r="G2964" s="63" t="s">
        <v>76</v>
      </c>
      <c r="H2964" s="52"/>
      <c r="I2964" s="52"/>
      <c r="J2964" s="6" t="s">
        <v>76</v>
      </c>
      <c r="K2964" s="38">
        <v>252098</v>
      </c>
      <c r="L2964" s="4" t="s">
        <v>25</v>
      </c>
      <c r="M2964" s="11">
        <f>_xlfn.NUMBERVALUE(LEFT(Table613[[#This Row],[Fiscal Year]], 4))</f>
        <v>2017</v>
      </c>
      <c r="N2964" s="42">
        <f t="shared" si="67"/>
        <v>258815.47057527542</v>
      </c>
      <c r="O2964" s="3">
        <v>2962</v>
      </c>
    </row>
    <row r="2965" spans="1:15" x14ac:dyDescent="0.25">
      <c r="A2965" s="3">
        <v>9</v>
      </c>
      <c r="B2965" s="3" t="s">
        <v>304</v>
      </c>
      <c r="C2965" s="3" t="s">
        <v>21</v>
      </c>
      <c r="D2965" s="3" t="s">
        <v>21</v>
      </c>
      <c r="E2965" s="11" t="s">
        <v>144</v>
      </c>
      <c r="F2965" s="3" t="s">
        <v>8</v>
      </c>
      <c r="G2965" s="63" t="s">
        <v>71</v>
      </c>
      <c r="H2965" s="52"/>
      <c r="I2965" s="52"/>
      <c r="J2965" s="6" t="s">
        <v>108</v>
      </c>
      <c r="K2965" s="38">
        <v>620809</v>
      </c>
      <c r="L2965" s="4" t="s">
        <v>25</v>
      </c>
      <c r="M2965" s="11">
        <f>_xlfn.NUMBERVALUE(LEFT(Table613[[#This Row],[Fiscal Year]], 4))</f>
        <v>2017</v>
      </c>
      <c r="N2965" s="42">
        <f t="shared" si="67"/>
        <v>637351.24226438196</v>
      </c>
      <c r="O2965" s="3">
        <v>2963</v>
      </c>
    </row>
    <row r="2966" spans="1:15" x14ac:dyDescent="0.25">
      <c r="A2966" s="3">
        <v>9</v>
      </c>
      <c r="B2966" s="3" t="s">
        <v>304</v>
      </c>
      <c r="C2966" s="3" t="s">
        <v>21</v>
      </c>
      <c r="D2966" s="3" t="s">
        <v>21</v>
      </c>
      <c r="E2966" s="11" t="s">
        <v>144</v>
      </c>
      <c r="F2966" s="3" t="s">
        <v>8</v>
      </c>
      <c r="G2966" s="64" t="s">
        <v>1266</v>
      </c>
      <c r="H2966" s="50"/>
      <c r="I2966" s="52"/>
      <c r="J2966" s="75"/>
      <c r="K2966" s="38">
        <v>59974</v>
      </c>
      <c r="L2966" s="4" t="s">
        <v>25</v>
      </c>
      <c r="M2966" s="11">
        <f>_xlfn.NUMBERVALUE(LEFT(Table613[[#This Row],[Fiscal Year]], 4))</f>
        <v>2017</v>
      </c>
      <c r="N2966" s="42">
        <f t="shared" si="67"/>
        <v>61572.083206854353</v>
      </c>
      <c r="O2966" s="3">
        <v>2964</v>
      </c>
    </row>
    <row r="2967" spans="1:15" x14ac:dyDescent="0.25">
      <c r="A2967" s="3">
        <v>9</v>
      </c>
      <c r="B2967" s="3" t="s">
        <v>304</v>
      </c>
      <c r="C2967" s="3" t="s">
        <v>21</v>
      </c>
      <c r="D2967" s="3" t="s">
        <v>21</v>
      </c>
      <c r="E2967" s="11" t="s">
        <v>144</v>
      </c>
      <c r="F2967" s="3" t="s">
        <v>8</v>
      </c>
      <c r="G2967" s="48" t="s">
        <v>1267</v>
      </c>
      <c r="H2967" s="8"/>
      <c r="I2967" s="8"/>
      <c r="J2967" s="6" t="s">
        <v>605</v>
      </c>
      <c r="K2967" s="38">
        <v>96452</v>
      </c>
      <c r="L2967" s="4" t="s">
        <v>25</v>
      </c>
      <c r="M2967" s="11">
        <v>2017</v>
      </c>
      <c r="N2967" s="42">
        <f t="shared" si="67"/>
        <v>99022.085728274193</v>
      </c>
      <c r="O2967" s="3">
        <v>2965</v>
      </c>
    </row>
    <row r="2968" spans="1:15" x14ac:dyDescent="0.25">
      <c r="A2968" s="3">
        <v>9</v>
      </c>
      <c r="B2968" s="3" t="s">
        <v>304</v>
      </c>
      <c r="C2968" s="3" t="s">
        <v>21</v>
      </c>
      <c r="D2968" s="3" t="s">
        <v>21</v>
      </c>
      <c r="E2968" s="11" t="s">
        <v>144</v>
      </c>
      <c r="F2968" s="3" t="s">
        <v>8</v>
      </c>
      <c r="G2968" s="48" t="s">
        <v>1268</v>
      </c>
      <c r="H2968" s="8"/>
      <c r="I2968" s="8"/>
      <c r="J2968" s="6" t="s">
        <v>455</v>
      </c>
      <c r="K2968" s="38">
        <v>35462</v>
      </c>
      <c r="L2968" s="4" t="s">
        <v>25</v>
      </c>
      <c r="M2968" s="11">
        <f>_xlfn.NUMBERVALUE(LEFT(Table613[[#This Row],[Fiscal Year]], 4))</f>
        <v>2017</v>
      </c>
      <c r="N2968" s="42">
        <f t="shared" si="67"/>
        <v>36406.929914320688</v>
      </c>
      <c r="O2968" s="3">
        <v>2966</v>
      </c>
    </row>
    <row r="2969" spans="1:15" x14ac:dyDescent="0.25">
      <c r="A2969" s="3">
        <v>9</v>
      </c>
      <c r="B2969" s="3" t="s">
        <v>304</v>
      </c>
      <c r="C2969" s="3" t="s">
        <v>21</v>
      </c>
      <c r="D2969" s="3" t="s">
        <v>21</v>
      </c>
      <c r="E2969" s="11" t="s">
        <v>144</v>
      </c>
      <c r="F2969" s="3" t="s">
        <v>8</v>
      </c>
      <c r="G2969" s="48" t="s">
        <v>1269</v>
      </c>
      <c r="H2969" s="8"/>
      <c r="I2969" s="8"/>
      <c r="J2969" s="6" t="s">
        <v>110</v>
      </c>
      <c r="K2969" s="38">
        <v>126732</v>
      </c>
      <c r="L2969" s="4" t="s">
        <v>25</v>
      </c>
      <c r="M2969" s="11">
        <f>_xlfn.NUMBERVALUE(LEFT(Table613[[#This Row],[Fiscal Year]], 4))</f>
        <v>2017</v>
      </c>
      <c r="N2969" s="42">
        <f t="shared" si="67"/>
        <v>130108.93468788252</v>
      </c>
      <c r="O2969" s="3">
        <v>2967</v>
      </c>
    </row>
    <row r="2970" spans="1:15" x14ac:dyDescent="0.25">
      <c r="A2970" s="3">
        <v>9</v>
      </c>
      <c r="B2970" s="3" t="s">
        <v>304</v>
      </c>
      <c r="C2970" s="3" t="s">
        <v>21</v>
      </c>
      <c r="D2970" s="3" t="s">
        <v>21</v>
      </c>
      <c r="E2970" s="11" t="s">
        <v>144</v>
      </c>
      <c r="F2970" s="3" t="s">
        <v>8</v>
      </c>
      <c r="G2970" s="48" t="s">
        <v>1270</v>
      </c>
      <c r="H2970" s="8"/>
      <c r="I2970" s="8"/>
      <c r="J2970" s="6" t="s">
        <v>110</v>
      </c>
      <c r="K2970" s="38">
        <v>651453</v>
      </c>
      <c r="L2970" s="4" t="s">
        <v>25</v>
      </c>
      <c r="M2970" s="11">
        <f>_xlfn.NUMBERVALUE(LEFT(Table613[[#This Row],[Fiscal Year]], 4))</f>
        <v>2017</v>
      </c>
      <c r="N2970" s="42">
        <f t="shared" si="67"/>
        <v>668811.79046511638</v>
      </c>
      <c r="O2970" s="3">
        <v>2968</v>
      </c>
    </row>
    <row r="2971" spans="1:15" x14ac:dyDescent="0.25">
      <c r="A2971" s="3">
        <v>9</v>
      </c>
      <c r="B2971" s="3" t="s">
        <v>304</v>
      </c>
      <c r="C2971" s="3" t="s">
        <v>21</v>
      </c>
      <c r="D2971" s="3" t="s">
        <v>21</v>
      </c>
      <c r="E2971" s="11" t="s">
        <v>144</v>
      </c>
      <c r="F2971" s="3" t="s">
        <v>8</v>
      </c>
      <c r="G2971" s="48" t="s">
        <v>1271</v>
      </c>
      <c r="H2971" s="8" t="s">
        <v>669</v>
      </c>
      <c r="I2971" s="8" t="s">
        <v>670</v>
      </c>
      <c r="J2971" s="6" t="s">
        <v>455</v>
      </c>
      <c r="K2971" s="38">
        <v>60138</v>
      </c>
      <c r="L2971" s="4" t="s">
        <v>25</v>
      </c>
      <c r="M2971" s="11">
        <f>_xlfn.NUMBERVALUE(LEFT(Table613[[#This Row],[Fiscal Year]], 4))</f>
        <v>2017</v>
      </c>
      <c r="N2971" s="42">
        <f t="shared" si="67"/>
        <v>61740.453194614449</v>
      </c>
      <c r="O2971" s="3">
        <v>2969</v>
      </c>
    </row>
    <row r="2972" spans="1:15" x14ac:dyDescent="0.25">
      <c r="E2972" s="11"/>
      <c r="G2972" s="66"/>
      <c r="H2972" s="6"/>
      <c r="I2972" s="8"/>
      <c r="J2972" s="6"/>
      <c r="L2972" s="4"/>
      <c r="O2972" s="3">
        <v>2970</v>
      </c>
    </row>
    <row r="2973" spans="1:15" x14ac:dyDescent="0.25">
      <c r="E2973" s="11"/>
      <c r="G2973" s="66"/>
      <c r="H2973" s="6"/>
      <c r="I2973" s="8"/>
      <c r="J2973" s="6"/>
      <c r="L2973" s="4"/>
      <c r="O2973" s="3">
        <v>2971</v>
      </c>
    </row>
    <row r="2974" spans="1:15" x14ac:dyDescent="0.25">
      <c r="E2974" s="11"/>
      <c r="G2974" s="66"/>
      <c r="H2974" s="8"/>
      <c r="I2974" s="8"/>
      <c r="J2974" s="6"/>
      <c r="L2974" s="4"/>
      <c r="O2974" s="3">
        <v>2972</v>
      </c>
    </row>
    <row r="2975" spans="1:15" x14ac:dyDescent="0.25">
      <c r="A2975" s="3">
        <v>9</v>
      </c>
      <c r="B2975" s="3" t="s">
        <v>305</v>
      </c>
      <c r="C2975" s="3" t="s">
        <v>21</v>
      </c>
      <c r="D2975" s="3" t="s">
        <v>21</v>
      </c>
      <c r="E2975" s="11" t="s">
        <v>144</v>
      </c>
      <c r="F2975" s="3" t="s">
        <v>8</v>
      </c>
      <c r="G2975" s="48" t="s">
        <v>333</v>
      </c>
      <c r="H2975" s="8"/>
      <c r="I2975" s="8"/>
      <c r="J2975" s="6" t="s">
        <v>110</v>
      </c>
      <c r="K2975" s="38">
        <v>308360</v>
      </c>
      <c r="L2975" s="4" t="s">
        <v>25</v>
      </c>
      <c r="M2975" s="11">
        <f>_xlfn.NUMBERVALUE(LEFT(Table613[[#This Row],[Fiscal Year]], 4))</f>
        <v>2017</v>
      </c>
      <c r="N2975" s="42">
        <f t="shared" si="67"/>
        <v>316576.64283965732</v>
      </c>
      <c r="O2975" s="3">
        <v>2973</v>
      </c>
    </row>
    <row r="2976" spans="1:15" x14ac:dyDescent="0.25">
      <c r="A2976" s="3">
        <v>9</v>
      </c>
      <c r="B2976" s="3" t="s">
        <v>305</v>
      </c>
      <c r="C2976" s="3" t="s">
        <v>21</v>
      </c>
      <c r="D2976" s="3" t="s">
        <v>21</v>
      </c>
      <c r="E2976" s="11" t="s">
        <v>144</v>
      </c>
      <c r="F2976" s="3" t="s">
        <v>8</v>
      </c>
      <c r="G2976" s="66" t="s">
        <v>209</v>
      </c>
      <c r="H2976" s="8"/>
      <c r="I2976" s="8"/>
      <c r="J2976" s="6" t="s">
        <v>111</v>
      </c>
      <c r="K2976" s="38">
        <v>318419</v>
      </c>
      <c r="L2976" s="4" t="s">
        <v>25</v>
      </c>
      <c r="M2976" s="11">
        <f>_xlfn.NUMBERVALUE(LEFT(Table613[[#This Row],[Fiscal Year]], 4))</f>
        <v>2017</v>
      </c>
      <c r="N2976" s="42">
        <f t="shared" si="67"/>
        <v>326903.67763769894</v>
      </c>
      <c r="O2976" s="3">
        <v>2974</v>
      </c>
    </row>
    <row r="2977" spans="1:15" x14ac:dyDescent="0.25">
      <c r="A2977" s="3">
        <v>9</v>
      </c>
      <c r="B2977" s="3" t="s">
        <v>305</v>
      </c>
      <c r="C2977" s="3" t="s">
        <v>21</v>
      </c>
      <c r="D2977" s="3" t="s">
        <v>21</v>
      </c>
      <c r="E2977" s="11" t="s">
        <v>144</v>
      </c>
      <c r="F2977" s="3" t="s">
        <v>8</v>
      </c>
      <c r="G2977" s="66" t="s">
        <v>70</v>
      </c>
      <c r="H2977" s="8"/>
      <c r="I2977" s="8"/>
      <c r="J2977" s="6" t="s">
        <v>107</v>
      </c>
      <c r="K2977" s="38">
        <v>397176</v>
      </c>
      <c r="L2977" s="4" t="s">
        <v>25</v>
      </c>
      <c r="M2977" s="11">
        <f>_xlfn.NUMBERVALUE(LEFT(Table613[[#This Row],[Fiscal Year]], 4))</f>
        <v>2017</v>
      </c>
      <c r="N2977" s="42">
        <f t="shared" si="67"/>
        <v>407759.25767441868</v>
      </c>
      <c r="O2977" s="3">
        <v>2975</v>
      </c>
    </row>
    <row r="2978" spans="1:15" x14ac:dyDescent="0.25">
      <c r="A2978" s="3">
        <v>9</v>
      </c>
      <c r="B2978" s="3" t="s">
        <v>305</v>
      </c>
      <c r="C2978" s="3" t="s">
        <v>21</v>
      </c>
      <c r="D2978" s="3" t="s">
        <v>21</v>
      </c>
      <c r="E2978" s="11" t="s">
        <v>144</v>
      </c>
      <c r="F2978" s="3" t="s">
        <v>8</v>
      </c>
      <c r="G2978" s="48" t="s">
        <v>337</v>
      </c>
      <c r="H2978" s="8" t="s">
        <v>676</v>
      </c>
      <c r="I2978" s="8" t="s">
        <v>675</v>
      </c>
      <c r="J2978" s="6" t="s">
        <v>108</v>
      </c>
      <c r="K2978" s="38">
        <v>2269179</v>
      </c>
      <c r="L2978" s="4" t="s">
        <v>25</v>
      </c>
      <c r="M2978" s="11">
        <f>_xlfn.NUMBERVALUE(LEFT(Table613[[#This Row],[Fiscal Year]], 4))</f>
        <v>2017</v>
      </c>
      <c r="N2978" s="42">
        <f t="shared" si="67"/>
        <v>2329644.1491187275</v>
      </c>
      <c r="O2978" s="3">
        <v>2976</v>
      </c>
    </row>
    <row r="2979" spans="1:15" x14ac:dyDescent="0.25">
      <c r="A2979" s="3">
        <v>9</v>
      </c>
      <c r="B2979" s="3" t="s">
        <v>305</v>
      </c>
      <c r="C2979" s="3" t="s">
        <v>21</v>
      </c>
      <c r="D2979" s="3" t="s">
        <v>21</v>
      </c>
      <c r="E2979" s="11" t="s">
        <v>144</v>
      </c>
      <c r="F2979" s="3" t="s">
        <v>8</v>
      </c>
      <c r="G2979" s="66" t="s">
        <v>208</v>
      </c>
      <c r="H2979" s="8"/>
      <c r="I2979" s="8"/>
      <c r="J2979" s="6" t="s">
        <v>109</v>
      </c>
      <c r="K2979" s="38">
        <v>356304</v>
      </c>
      <c r="L2979" s="4" t="s">
        <v>25</v>
      </c>
      <c r="M2979" s="11">
        <f>_xlfn.NUMBERVALUE(LEFT(Table613[[#This Row],[Fiscal Year]], 4))</f>
        <v>2017</v>
      </c>
      <c r="N2979" s="42">
        <f t="shared" si="67"/>
        <v>365798.17145654839</v>
      </c>
      <c r="O2979" s="3">
        <v>2977</v>
      </c>
    </row>
    <row r="2980" spans="1:15" x14ac:dyDescent="0.25">
      <c r="A2980" s="3">
        <v>9</v>
      </c>
      <c r="B2980" s="3" t="s">
        <v>305</v>
      </c>
      <c r="C2980" s="3" t="s">
        <v>21</v>
      </c>
      <c r="D2980" s="3" t="s">
        <v>21</v>
      </c>
      <c r="E2980" s="11" t="s">
        <v>144</v>
      </c>
      <c r="F2980" s="3" t="s">
        <v>8</v>
      </c>
      <c r="G2980" s="66" t="s">
        <v>335</v>
      </c>
      <c r="H2980" s="8"/>
      <c r="I2980" s="8"/>
      <c r="J2980" s="6" t="s">
        <v>453</v>
      </c>
      <c r="K2980" s="38">
        <v>93023</v>
      </c>
      <c r="L2980" s="4" t="s">
        <v>25</v>
      </c>
      <c r="M2980" s="11">
        <f>_xlfn.NUMBERVALUE(LEFT(Table613[[#This Row],[Fiscal Year]], 4))</f>
        <v>2017</v>
      </c>
      <c r="N2980" s="42">
        <f t="shared" si="67"/>
        <v>95501.715679314584</v>
      </c>
      <c r="O2980" s="3">
        <v>2978</v>
      </c>
    </row>
    <row r="2981" spans="1:15" x14ac:dyDescent="0.25">
      <c r="A2981" s="3">
        <v>9</v>
      </c>
      <c r="B2981" s="3" t="s">
        <v>305</v>
      </c>
      <c r="C2981" s="3" t="s">
        <v>21</v>
      </c>
      <c r="D2981" s="3" t="s">
        <v>21</v>
      </c>
      <c r="E2981" s="11" t="s">
        <v>144</v>
      </c>
      <c r="F2981" s="3" t="s">
        <v>8</v>
      </c>
      <c r="G2981" s="66" t="s">
        <v>338</v>
      </c>
      <c r="H2981" s="8"/>
      <c r="I2981" s="8"/>
      <c r="J2981" s="6" t="s">
        <v>106</v>
      </c>
      <c r="K2981" s="38">
        <v>92892</v>
      </c>
      <c r="L2981" s="4" t="s">
        <v>25</v>
      </c>
      <c r="M2981" s="11">
        <f>_xlfn.NUMBERVALUE(LEFT(Table613[[#This Row],[Fiscal Year]], 4))</f>
        <v>2017</v>
      </c>
      <c r="N2981" s="42">
        <f t="shared" si="67"/>
        <v>95367.225018359866</v>
      </c>
      <c r="O2981" s="3">
        <v>2979</v>
      </c>
    </row>
    <row r="2982" spans="1:15" x14ac:dyDescent="0.25">
      <c r="A2982" s="3">
        <v>9</v>
      </c>
      <c r="B2982" s="3" t="s">
        <v>305</v>
      </c>
      <c r="C2982" s="3" t="s">
        <v>21</v>
      </c>
      <c r="D2982" s="3" t="s">
        <v>21</v>
      </c>
      <c r="E2982" s="11" t="s">
        <v>144</v>
      </c>
      <c r="F2982" s="3" t="s">
        <v>8</v>
      </c>
      <c r="G2982" s="48" t="s">
        <v>341</v>
      </c>
      <c r="H2982" s="6" t="s">
        <v>674</v>
      </c>
      <c r="I2982" s="70" t="s">
        <v>673</v>
      </c>
      <c r="J2982" s="6" t="s">
        <v>455</v>
      </c>
      <c r="K2982" s="38">
        <v>85368</v>
      </c>
      <c r="L2982" s="4" t="s">
        <v>25</v>
      </c>
      <c r="M2982" s="11">
        <f>_xlfn.NUMBERVALUE(LEFT(Table613[[#This Row],[Fiscal Year]], 4))</f>
        <v>2017</v>
      </c>
      <c r="N2982" s="42">
        <f t="shared" si="67"/>
        <v>87642.738506731956</v>
      </c>
      <c r="O2982" s="3">
        <v>2980</v>
      </c>
    </row>
    <row r="2983" spans="1:15" x14ac:dyDescent="0.25">
      <c r="A2983" s="3">
        <v>9</v>
      </c>
      <c r="B2983" s="3" t="s">
        <v>305</v>
      </c>
      <c r="C2983" s="3" t="s">
        <v>21</v>
      </c>
      <c r="D2983" s="3" t="s">
        <v>21</v>
      </c>
      <c r="E2983" s="11" t="s">
        <v>144</v>
      </c>
      <c r="F2983" s="3" t="s">
        <v>8</v>
      </c>
      <c r="G2983" s="66" t="s">
        <v>357</v>
      </c>
      <c r="H2983" s="8"/>
      <c r="I2983" s="8"/>
      <c r="J2983" s="6" t="s">
        <v>605</v>
      </c>
      <c r="K2983" s="38">
        <v>187409</v>
      </c>
      <c r="L2983" s="4" t="s">
        <v>25</v>
      </c>
      <c r="M2983" s="11">
        <f>_xlfn.NUMBERVALUE(LEFT(Table613[[#This Row],[Fiscal Year]], 4))</f>
        <v>2017</v>
      </c>
      <c r="N2983" s="42">
        <f t="shared" si="67"/>
        <v>192402.75022031827</v>
      </c>
      <c r="O2983" s="3">
        <v>2981</v>
      </c>
    </row>
    <row r="2984" spans="1:15" x14ac:dyDescent="0.25">
      <c r="A2984" s="3">
        <v>9</v>
      </c>
      <c r="B2984" s="3" t="s">
        <v>305</v>
      </c>
      <c r="C2984" s="3" t="s">
        <v>21</v>
      </c>
      <c r="D2984" s="3" t="s">
        <v>21</v>
      </c>
      <c r="E2984" s="11" t="s">
        <v>144</v>
      </c>
      <c r="F2984" s="3" t="s">
        <v>8</v>
      </c>
      <c r="G2984" s="66" t="s">
        <v>358</v>
      </c>
      <c r="H2984" s="8"/>
      <c r="I2984" s="8"/>
      <c r="J2984" s="6" t="s">
        <v>455</v>
      </c>
      <c r="K2984" s="38">
        <v>23168</v>
      </c>
      <c r="L2984" s="4" t="s">
        <v>25</v>
      </c>
      <c r="M2984" s="11">
        <f>_xlfn.NUMBERVALUE(LEFT(Table613[[#This Row],[Fiscal Year]], 4))</f>
        <v>2017</v>
      </c>
      <c r="N2984" s="42">
        <f t="shared" si="67"/>
        <v>23785.340709914322</v>
      </c>
      <c r="O2984" s="3">
        <v>2982</v>
      </c>
    </row>
    <row r="2985" spans="1:15" x14ac:dyDescent="0.25">
      <c r="A2985" s="3">
        <v>9</v>
      </c>
      <c r="B2985" s="3" t="s">
        <v>305</v>
      </c>
      <c r="C2985" s="3" t="s">
        <v>21</v>
      </c>
      <c r="D2985" s="3" t="s">
        <v>21</v>
      </c>
      <c r="E2985" s="11" t="s">
        <v>144</v>
      </c>
      <c r="F2985" s="3" t="s">
        <v>8</v>
      </c>
      <c r="G2985" s="48" t="s">
        <v>359</v>
      </c>
      <c r="H2985" s="8" t="s">
        <v>672</v>
      </c>
      <c r="I2985" s="8" t="s">
        <v>671</v>
      </c>
      <c r="J2985" s="6" t="s">
        <v>455</v>
      </c>
      <c r="K2985" s="38">
        <v>83472</v>
      </c>
      <c r="L2985" s="4" t="s">
        <v>25</v>
      </c>
      <c r="M2985" s="11">
        <f>_xlfn.NUMBERVALUE(LEFT(Table613[[#This Row],[Fiscal Year]], 4))</f>
        <v>2017</v>
      </c>
      <c r="N2985" s="42">
        <f t="shared" si="67"/>
        <v>85696.217184822526</v>
      </c>
      <c r="O2985" s="3">
        <v>2983</v>
      </c>
    </row>
    <row r="2986" spans="1:15" x14ac:dyDescent="0.25">
      <c r="E2986" s="11"/>
      <c r="G2986" s="66"/>
      <c r="H2986" s="8"/>
      <c r="I2986" s="8"/>
      <c r="J2986" s="6"/>
      <c r="L2986" s="4"/>
      <c r="O2986" s="3">
        <v>2984</v>
      </c>
    </row>
    <row r="2987" spans="1:15" x14ac:dyDescent="0.25">
      <c r="A2987" s="3">
        <v>9</v>
      </c>
      <c r="B2987" s="3" t="s">
        <v>306</v>
      </c>
      <c r="C2987" s="3" t="s">
        <v>21</v>
      </c>
      <c r="D2987" s="3" t="s">
        <v>21</v>
      </c>
      <c r="E2987" s="11" t="s">
        <v>144</v>
      </c>
      <c r="F2987" s="3" t="s">
        <v>8</v>
      </c>
      <c r="G2987" s="48" t="s">
        <v>1140</v>
      </c>
      <c r="H2987" s="8"/>
      <c r="I2987" s="8"/>
      <c r="J2987" s="6" t="s">
        <v>110</v>
      </c>
      <c r="K2987" s="38">
        <v>59470</v>
      </c>
      <c r="L2987" s="4" t="s">
        <v>25</v>
      </c>
      <c r="M2987" s="11">
        <f>_xlfn.NUMBERVALUE(LEFT(Table613[[#This Row],[Fiscal Year]], 4))</f>
        <v>2017</v>
      </c>
      <c r="N2987" s="42">
        <f t="shared" si="67"/>
        <v>61054.653488372103</v>
      </c>
      <c r="O2987" s="3">
        <v>2985</v>
      </c>
    </row>
    <row r="2988" spans="1:15" x14ac:dyDescent="0.25">
      <c r="A2988" s="3">
        <v>9</v>
      </c>
      <c r="B2988" s="3" t="s">
        <v>306</v>
      </c>
      <c r="C2988" s="3" t="s">
        <v>21</v>
      </c>
      <c r="D2988" s="3" t="s">
        <v>21</v>
      </c>
      <c r="E2988" s="11" t="s">
        <v>144</v>
      </c>
      <c r="F2988" s="3" t="s">
        <v>8</v>
      </c>
      <c r="G2988" s="66" t="s">
        <v>1272</v>
      </c>
      <c r="H2988" s="8"/>
      <c r="I2988" s="8"/>
      <c r="J2988" s="6" t="s">
        <v>111</v>
      </c>
      <c r="K2988" s="38">
        <v>24675</v>
      </c>
      <c r="L2988" s="4" t="s">
        <v>25</v>
      </c>
      <c r="M2988" s="11">
        <f>_xlfn.NUMBERVALUE(LEFT(Table613[[#This Row],[Fiscal Year]], 4))</f>
        <v>2017</v>
      </c>
      <c r="N2988" s="42">
        <f t="shared" si="67"/>
        <v>25332.496634026931</v>
      </c>
      <c r="O2988" s="3">
        <v>2986</v>
      </c>
    </row>
    <row r="2989" spans="1:15" x14ac:dyDescent="0.25">
      <c r="A2989" s="3">
        <v>9</v>
      </c>
      <c r="B2989" s="3" t="s">
        <v>306</v>
      </c>
      <c r="C2989" s="3" t="s">
        <v>21</v>
      </c>
      <c r="D2989" s="3" t="s">
        <v>21</v>
      </c>
      <c r="E2989" s="11" t="s">
        <v>144</v>
      </c>
      <c r="F2989" s="3" t="s">
        <v>8</v>
      </c>
      <c r="G2989" s="66" t="s">
        <v>1273</v>
      </c>
      <c r="H2989" s="8"/>
      <c r="I2989" s="8"/>
      <c r="J2989" s="6" t="s">
        <v>107</v>
      </c>
      <c r="K2989" s="38">
        <v>27475</v>
      </c>
      <c r="L2989" s="4" t="s">
        <v>25</v>
      </c>
      <c r="M2989" s="11">
        <f>_xlfn.NUMBERVALUE(LEFT(Table613[[#This Row],[Fiscal Year]], 4))</f>
        <v>2017</v>
      </c>
      <c r="N2989" s="42">
        <f t="shared" si="67"/>
        <v>28207.106181150553</v>
      </c>
      <c r="O2989" s="3">
        <v>2987</v>
      </c>
    </row>
    <row r="2990" spans="1:15" x14ac:dyDescent="0.25">
      <c r="A2990" s="3">
        <v>9</v>
      </c>
      <c r="B2990" s="3" t="s">
        <v>306</v>
      </c>
      <c r="C2990" s="3" t="s">
        <v>21</v>
      </c>
      <c r="D2990" s="3" t="s">
        <v>21</v>
      </c>
      <c r="E2990" s="11" t="s">
        <v>144</v>
      </c>
      <c r="F2990" s="3" t="s">
        <v>8</v>
      </c>
      <c r="G2990" s="48" t="s">
        <v>1274</v>
      </c>
      <c r="H2990" s="8" t="s">
        <v>665</v>
      </c>
      <c r="I2990" s="70" t="s">
        <v>664</v>
      </c>
      <c r="J2990" s="6" t="s">
        <v>108</v>
      </c>
      <c r="K2990" s="38">
        <v>153215</v>
      </c>
      <c r="L2990" s="4" t="s">
        <v>25</v>
      </c>
      <c r="M2990" s="11">
        <f>_xlfn.NUMBERVALUE(LEFT(Table613[[#This Row],[Fiscal Year]], 4))</f>
        <v>2017</v>
      </c>
      <c r="N2990" s="42">
        <f t="shared" si="67"/>
        <v>157297.60777233783</v>
      </c>
      <c r="O2990" s="3">
        <v>2988</v>
      </c>
    </row>
    <row r="2991" spans="1:15" x14ac:dyDescent="0.25">
      <c r="A2991" s="3">
        <v>9</v>
      </c>
      <c r="B2991" s="3" t="s">
        <v>306</v>
      </c>
      <c r="C2991" s="3" t="s">
        <v>21</v>
      </c>
      <c r="D2991" s="3" t="s">
        <v>21</v>
      </c>
      <c r="E2991" s="11" t="s">
        <v>144</v>
      </c>
      <c r="F2991" s="3" t="s">
        <v>8</v>
      </c>
      <c r="G2991" s="66" t="s">
        <v>1145</v>
      </c>
      <c r="H2991" s="8"/>
      <c r="I2991" s="8"/>
      <c r="J2991" s="6" t="s">
        <v>109</v>
      </c>
      <c r="K2991" s="38">
        <v>13080</v>
      </c>
      <c r="L2991" s="4" t="s">
        <v>25</v>
      </c>
      <c r="M2991" s="11">
        <f>_xlfn.NUMBERVALUE(LEFT(Table613[[#This Row],[Fiscal Year]], 4))</f>
        <v>2017</v>
      </c>
      <c r="N2991" s="42">
        <f t="shared" si="67"/>
        <v>13428.53317013464</v>
      </c>
      <c r="O2991" s="3">
        <v>2989</v>
      </c>
    </row>
    <row r="2992" spans="1:15" x14ac:dyDescent="0.25">
      <c r="A2992" s="3">
        <v>9</v>
      </c>
      <c r="B2992" s="3" t="s">
        <v>306</v>
      </c>
      <c r="C2992" s="3" t="s">
        <v>21</v>
      </c>
      <c r="D2992" s="3" t="s">
        <v>21</v>
      </c>
      <c r="E2992" s="11" t="s">
        <v>144</v>
      </c>
      <c r="F2992" s="3" t="s">
        <v>8</v>
      </c>
      <c r="G2992" s="66" t="s">
        <v>1146</v>
      </c>
      <c r="H2992" s="8"/>
      <c r="I2992" s="8"/>
      <c r="J2992" s="6" t="s">
        <v>453</v>
      </c>
      <c r="K2992" s="38">
        <v>27080</v>
      </c>
      <c r="L2992" s="4" t="s">
        <v>25</v>
      </c>
      <c r="M2992" s="11">
        <f>_xlfn.NUMBERVALUE(LEFT(Table613[[#This Row],[Fiscal Year]], 4))</f>
        <v>2017</v>
      </c>
      <c r="N2992" s="42">
        <f t="shared" si="67"/>
        <v>27801.580905752759</v>
      </c>
      <c r="O2992" s="3">
        <v>2990</v>
      </c>
    </row>
    <row r="2993" spans="1:15" x14ac:dyDescent="0.25">
      <c r="A2993" s="3">
        <v>9</v>
      </c>
      <c r="B2993" s="3" t="s">
        <v>306</v>
      </c>
      <c r="C2993" s="3" t="s">
        <v>21</v>
      </c>
      <c r="D2993" s="3" t="s">
        <v>21</v>
      </c>
      <c r="E2993" s="11" t="s">
        <v>144</v>
      </c>
      <c r="F2993" s="3" t="s">
        <v>8</v>
      </c>
      <c r="G2993" s="66" t="s">
        <v>1275</v>
      </c>
      <c r="H2993" s="8" t="s">
        <v>677</v>
      </c>
      <c r="I2993" s="8" t="s">
        <v>678</v>
      </c>
      <c r="J2993" s="6" t="s">
        <v>106</v>
      </c>
      <c r="K2993" s="38">
        <v>57745</v>
      </c>
      <c r="L2993" s="4" t="s">
        <v>25</v>
      </c>
      <c r="M2993" s="11">
        <f>_xlfn.NUMBERVALUE(LEFT(Table613[[#This Row],[Fiscal Year]], 4))</f>
        <v>2017</v>
      </c>
      <c r="N2993" s="42">
        <f t="shared" si="67"/>
        <v>59283.688678090584</v>
      </c>
      <c r="O2993" s="3">
        <v>2991</v>
      </c>
    </row>
    <row r="2994" spans="1:15" x14ac:dyDescent="0.25">
      <c r="A2994" s="3">
        <v>9</v>
      </c>
      <c r="B2994" s="3" t="s">
        <v>306</v>
      </c>
      <c r="C2994" s="3" t="s">
        <v>21</v>
      </c>
      <c r="D2994" s="3" t="s">
        <v>21</v>
      </c>
      <c r="E2994" s="11" t="s">
        <v>144</v>
      </c>
      <c r="F2994" s="3" t="s">
        <v>8</v>
      </c>
      <c r="G2994" s="66" t="s">
        <v>1276</v>
      </c>
      <c r="H2994" s="8"/>
      <c r="I2994" s="8"/>
      <c r="J2994" s="6" t="s">
        <v>605</v>
      </c>
      <c r="K2994" s="38">
        <v>31580</v>
      </c>
      <c r="L2994" s="4" t="s">
        <v>25</v>
      </c>
      <c r="M2994" s="11">
        <f>_xlfn.NUMBERVALUE(LEFT(Table613[[#This Row],[Fiscal Year]], 4))</f>
        <v>2017</v>
      </c>
      <c r="N2994" s="42">
        <f t="shared" si="67"/>
        <v>32421.489106487152</v>
      </c>
      <c r="O2994" s="3">
        <v>2992</v>
      </c>
    </row>
    <row r="2995" spans="1:15" x14ac:dyDescent="0.25">
      <c r="A2995" s="3">
        <v>9</v>
      </c>
      <c r="B2995" s="3" t="s">
        <v>306</v>
      </c>
      <c r="C2995" s="3" t="s">
        <v>21</v>
      </c>
      <c r="D2995" s="3" t="s">
        <v>21</v>
      </c>
      <c r="E2995" s="11" t="s">
        <v>144</v>
      </c>
      <c r="F2995" s="3" t="s">
        <v>8</v>
      </c>
      <c r="G2995" s="48" t="s">
        <v>1277</v>
      </c>
      <c r="H2995" s="8"/>
      <c r="I2995" s="8"/>
      <c r="J2995" s="6" t="s">
        <v>605</v>
      </c>
      <c r="K2995" s="38">
        <v>52580</v>
      </c>
      <c r="L2995" s="4" t="s">
        <v>25</v>
      </c>
      <c r="M2995" s="11">
        <f>_xlfn.NUMBERVALUE(LEFT(Table613[[#This Row],[Fiscal Year]], 4))</f>
        <v>2017</v>
      </c>
      <c r="N2995" s="42">
        <f t="shared" si="67"/>
        <v>53981.060709914324</v>
      </c>
      <c r="O2995" s="3">
        <v>2993</v>
      </c>
    </row>
    <row r="2996" spans="1:15" x14ac:dyDescent="0.25">
      <c r="A2996" s="3">
        <v>9</v>
      </c>
      <c r="B2996" s="3" t="s">
        <v>306</v>
      </c>
      <c r="C2996" s="3" t="s">
        <v>21</v>
      </c>
      <c r="D2996" s="3" t="s">
        <v>21</v>
      </c>
      <c r="E2996" s="11" t="s">
        <v>144</v>
      </c>
      <c r="F2996" s="3" t="s">
        <v>8</v>
      </c>
      <c r="G2996" s="48" t="s">
        <v>1278</v>
      </c>
      <c r="H2996" s="8"/>
      <c r="I2996" s="8"/>
      <c r="J2996" s="6" t="s">
        <v>455</v>
      </c>
      <c r="K2996" s="38">
        <v>31680</v>
      </c>
      <c r="L2996" s="4" t="s">
        <v>25</v>
      </c>
      <c r="M2996" s="11">
        <f>_xlfn.NUMBERVALUE(LEFT(Table613[[#This Row],[Fiscal Year]], 4))</f>
        <v>2017</v>
      </c>
      <c r="N2996" s="42">
        <f t="shared" si="67"/>
        <v>32524.15373317014</v>
      </c>
      <c r="O2996" s="3">
        <v>2994</v>
      </c>
    </row>
    <row r="2997" spans="1:15" x14ac:dyDescent="0.25">
      <c r="E2997" s="11"/>
      <c r="G2997" s="66"/>
      <c r="H2997" s="8"/>
      <c r="I2997" s="8"/>
      <c r="J2997" s="6"/>
      <c r="L2997" s="4"/>
      <c r="O2997" s="3">
        <v>2995</v>
      </c>
    </row>
    <row r="2998" spans="1:15" x14ac:dyDescent="0.25">
      <c r="A2998" s="3">
        <v>9</v>
      </c>
      <c r="B2998" s="3" t="s">
        <v>307</v>
      </c>
      <c r="C2998" s="3" t="s">
        <v>21</v>
      </c>
      <c r="D2998" s="3" t="s">
        <v>21</v>
      </c>
      <c r="E2998" s="11" t="s">
        <v>144</v>
      </c>
      <c r="F2998" s="3" t="s">
        <v>8</v>
      </c>
      <c r="G2998" s="48" t="s">
        <v>1140</v>
      </c>
      <c r="H2998" s="8"/>
      <c r="I2998" s="8"/>
      <c r="J2998" s="6" t="s">
        <v>110</v>
      </c>
      <c r="K2998" s="38">
        <v>507867</v>
      </c>
      <c r="L2998" s="4" t="s">
        <v>25</v>
      </c>
      <c r="M2998" s="11">
        <f>_xlfn.NUMBERVALUE(LEFT(Table613[[#This Row],[Fiscal Year]], 4))</f>
        <v>2017</v>
      </c>
      <c r="N2998" s="42">
        <f t="shared" si="67"/>
        <v>521399.75959608331</v>
      </c>
      <c r="O2998" s="3">
        <v>2996</v>
      </c>
    </row>
    <row r="2999" spans="1:15" x14ac:dyDescent="0.25">
      <c r="A2999" s="3">
        <v>9</v>
      </c>
      <c r="B2999" s="3" t="s">
        <v>307</v>
      </c>
      <c r="C2999" s="3" t="s">
        <v>21</v>
      </c>
      <c r="D2999" s="3" t="s">
        <v>21</v>
      </c>
      <c r="E2999" s="11" t="s">
        <v>144</v>
      </c>
      <c r="F2999" s="3" t="s">
        <v>8</v>
      </c>
      <c r="G2999" s="66" t="s">
        <v>1272</v>
      </c>
      <c r="H2999" s="8"/>
      <c r="I2999" s="8"/>
      <c r="J2999" s="6" t="s">
        <v>111</v>
      </c>
      <c r="K2999" s="38">
        <v>664601</v>
      </c>
      <c r="L2999" s="4" t="s">
        <v>25</v>
      </c>
      <c r="M2999" s="11">
        <f>_xlfn.NUMBERVALUE(LEFT(Table613[[#This Row],[Fiscal Year]], 4))</f>
        <v>2017</v>
      </c>
      <c r="N2999" s="42">
        <f t="shared" si="67"/>
        <v>682310.13558139547</v>
      </c>
      <c r="O2999" s="3">
        <v>2997</v>
      </c>
    </row>
    <row r="3000" spans="1:15" x14ac:dyDescent="0.25">
      <c r="A3000" s="3">
        <v>9</v>
      </c>
      <c r="B3000" s="3" t="s">
        <v>307</v>
      </c>
      <c r="C3000" s="3" t="s">
        <v>21</v>
      </c>
      <c r="D3000" s="3" t="s">
        <v>21</v>
      </c>
      <c r="E3000" s="11" t="s">
        <v>144</v>
      </c>
      <c r="F3000" s="3" t="s">
        <v>8</v>
      </c>
      <c r="G3000" s="66" t="s">
        <v>1273</v>
      </c>
      <c r="H3000" s="8"/>
      <c r="I3000" s="8"/>
      <c r="J3000" s="6" t="s">
        <v>107</v>
      </c>
      <c r="K3000" s="38">
        <v>1373995</v>
      </c>
      <c r="L3000" s="4" t="s">
        <v>25</v>
      </c>
      <c r="M3000" s="11">
        <f>_xlfn.NUMBERVALUE(LEFT(Table613[[#This Row],[Fiscal Year]], 4))</f>
        <v>2017</v>
      </c>
      <c r="N3000" s="42">
        <f t="shared" si="67"/>
        <v>1410606.8373929011</v>
      </c>
      <c r="O3000" s="3">
        <v>2998</v>
      </c>
    </row>
    <row r="3001" spans="1:15" x14ac:dyDescent="0.25">
      <c r="A3001" s="3">
        <v>9</v>
      </c>
      <c r="B3001" s="3" t="s">
        <v>307</v>
      </c>
      <c r="C3001" s="3" t="s">
        <v>21</v>
      </c>
      <c r="D3001" s="3" t="s">
        <v>21</v>
      </c>
      <c r="E3001" s="11" t="s">
        <v>144</v>
      </c>
      <c r="F3001" s="3" t="s">
        <v>8</v>
      </c>
      <c r="G3001" s="48" t="s">
        <v>1279</v>
      </c>
      <c r="H3001" s="8" t="s">
        <v>681</v>
      </c>
      <c r="I3001" s="70" t="s">
        <v>679</v>
      </c>
      <c r="J3001" s="6" t="s">
        <v>108</v>
      </c>
      <c r="K3001" s="38">
        <v>1304494</v>
      </c>
      <c r="L3001" s="4" t="s">
        <v>25</v>
      </c>
      <c r="M3001" s="11">
        <f>_xlfn.NUMBERVALUE(LEFT(Table613[[#This Row],[Fiscal Year]], 4))</f>
        <v>2017</v>
      </c>
      <c r="N3001" s="42">
        <f t="shared" si="67"/>
        <v>1339253.8952019585</v>
      </c>
      <c r="O3001" s="3">
        <v>2999</v>
      </c>
    </row>
    <row r="3002" spans="1:15" x14ac:dyDescent="0.25">
      <c r="A3002" s="3">
        <v>9</v>
      </c>
      <c r="B3002" s="3" t="s">
        <v>307</v>
      </c>
      <c r="C3002" s="3" t="s">
        <v>21</v>
      </c>
      <c r="D3002" s="3" t="s">
        <v>21</v>
      </c>
      <c r="E3002" s="11" t="s">
        <v>144</v>
      </c>
      <c r="F3002" s="3" t="s">
        <v>8</v>
      </c>
      <c r="G3002" s="66" t="s">
        <v>1280</v>
      </c>
      <c r="H3002" s="8"/>
      <c r="I3002" s="8"/>
      <c r="J3002" s="6" t="s">
        <v>109</v>
      </c>
      <c r="K3002" s="38">
        <v>78724</v>
      </c>
      <c r="L3002" s="4" t="s">
        <v>25</v>
      </c>
      <c r="M3002" s="11">
        <f>_xlfn.NUMBERVALUE(LEFT(Table613[[#This Row],[Fiscal Year]], 4))</f>
        <v>2017</v>
      </c>
      <c r="N3002" s="42">
        <f t="shared" si="67"/>
        <v>80821.700709914337</v>
      </c>
      <c r="O3002" s="3">
        <v>3000</v>
      </c>
    </row>
    <row r="3003" spans="1:15" x14ac:dyDescent="0.25">
      <c r="A3003" s="3">
        <v>9</v>
      </c>
      <c r="B3003" s="3" t="s">
        <v>307</v>
      </c>
      <c r="C3003" s="3" t="s">
        <v>21</v>
      </c>
      <c r="D3003" s="3" t="s">
        <v>21</v>
      </c>
      <c r="E3003" s="11" t="s">
        <v>144</v>
      </c>
      <c r="F3003" s="3" t="s">
        <v>8</v>
      </c>
      <c r="G3003" s="66" t="s">
        <v>1281</v>
      </c>
      <c r="H3003" s="8"/>
      <c r="I3003" s="8"/>
      <c r="J3003" s="6" t="s">
        <v>111</v>
      </c>
      <c r="K3003" s="38">
        <v>40520</v>
      </c>
      <c r="L3003" s="4" t="s">
        <v>25</v>
      </c>
      <c r="M3003" s="11">
        <f>_xlfn.NUMBERVALUE(LEFT(Table613[[#This Row],[Fiscal Year]], 4))</f>
        <v>2017</v>
      </c>
      <c r="N3003" s="42">
        <f t="shared" si="67"/>
        <v>41599.706731946149</v>
      </c>
      <c r="O3003" s="3">
        <v>3001</v>
      </c>
    </row>
    <row r="3004" spans="1:15" x14ac:dyDescent="0.25">
      <c r="A3004" s="3">
        <v>9</v>
      </c>
      <c r="B3004" s="3" t="s">
        <v>307</v>
      </c>
      <c r="C3004" s="3" t="s">
        <v>21</v>
      </c>
      <c r="D3004" s="3" t="s">
        <v>21</v>
      </c>
      <c r="E3004" s="11" t="s">
        <v>144</v>
      </c>
      <c r="F3004" s="3" t="s">
        <v>8</v>
      </c>
      <c r="G3004" s="66" t="s">
        <v>1275</v>
      </c>
      <c r="H3004" s="8"/>
      <c r="I3004" s="8"/>
      <c r="J3004" s="6" t="s">
        <v>106</v>
      </c>
      <c r="K3004" s="38">
        <v>190481</v>
      </c>
      <c r="L3004" s="4" t="s">
        <v>25</v>
      </c>
      <c r="M3004" s="11">
        <f>_xlfn.NUMBERVALUE(LEFT(Table613[[#This Row],[Fiscal Year]], 4))</f>
        <v>2017</v>
      </c>
      <c r="N3004" s="42">
        <f t="shared" si="67"/>
        <v>195556.60755201962</v>
      </c>
      <c r="O3004" s="3">
        <v>3002</v>
      </c>
    </row>
    <row r="3005" spans="1:15" x14ac:dyDescent="0.25">
      <c r="A3005" s="3">
        <v>9</v>
      </c>
      <c r="B3005" s="3" t="s">
        <v>307</v>
      </c>
      <c r="C3005" s="3" t="s">
        <v>21</v>
      </c>
      <c r="D3005" s="3" t="s">
        <v>21</v>
      </c>
      <c r="E3005" s="11" t="s">
        <v>144</v>
      </c>
      <c r="F3005" s="3" t="s">
        <v>8</v>
      </c>
      <c r="G3005" s="66" t="s">
        <v>1282</v>
      </c>
      <c r="H3005" s="8"/>
      <c r="I3005" s="8"/>
      <c r="J3005" s="6" t="s">
        <v>42</v>
      </c>
      <c r="K3005" s="38">
        <v>19646</v>
      </c>
      <c r="L3005" s="4" t="s">
        <v>25</v>
      </c>
      <c r="M3005" s="11">
        <f>_xlfn.NUMBERVALUE(LEFT(Table613[[#This Row],[Fiscal Year]], 4))</f>
        <v>2017</v>
      </c>
      <c r="N3005" s="42">
        <f t="shared" si="67"/>
        <v>20169.492558139536</v>
      </c>
      <c r="O3005" s="3">
        <v>3003</v>
      </c>
    </row>
    <row r="3006" spans="1:15" x14ac:dyDescent="0.25">
      <c r="A3006" s="3">
        <v>9</v>
      </c>
      <c r="B3006" s="3" t="s">
        <v>307</v>
      </c>
      <c r="C3006" s="3" t="s">
        <v>21</v>
      </c>
      <c r="D3006" s="3" t="s">
        <v>21</v>
      </c>
      <c r="E3006" s="11" t="s">
        <v>144</v>
      </c>
      <c r="F3006" s="3" t="s">
        <v>8</v>
      </c>
      <c r="G3006" s="48" t="s">
        <v>1283</v>
      </c>
      <c r="H3006" s="8" t="s">
        <v>680</v>
      </c>
      <c r="I3006" s="70" t="s">
        <v>679</v>
      </c>
      <c r="J3006" s="6" t="s">
        <v>455</v>
      </c>
      <c r="K3006" s="38">
        <v>32267</v>
      </c>
      <c r="L3006" s="4" t="s">
        <v>25</v>
      </c>
      <c r="M3006" s="11">
        <f>_xlfn.NUMBERVALUE(LEFT(Table613[[#This Row],[Fiscal Year]], 4))</f>
        <v>2017</v>
      </c>
      <c r="N3006" s="42">
        <f t="shared" si="67"/>
        <v>33126.795091799271</v>
      </c>
      <c r="O3006" s="3">
        <v>3004</v>
      </c>
    </row>
    <row r="3007" spans="1:15" x14ac:dyDescent="0.25">
      <c r="A3007" s="3">
        <v>9</v>
      </c>
      <c r="B3007" s="3" t="s">
        <v>307</v>
      </c>
      <c r="C3007" s="3" t="s">
        <v>21</v>
      </c>
      <c r="D3007" s="3" t="s">
        <v>21</v>
      </c>
      <c r="E3007" s="11" t="s">
        <v>144</v>
      </c>
      <c r="F3007" s="3" t="s">
        <v>8</v>
      </c>
      <c r="G3007" s="66" t="s">
        <v>1284</v>
      </c>
      <c r="H3007" s="8" t="s">
        <v>665</v>
      </c>
      <c r="I3007" s="70" t="s">
        <v>664</v>
      </c>
      <c r="J3007" s="6" t="s">
        <v>108</v>
      </c>
      <c r="K3007" s="38">
        <v>0</v>
      </c>
      <c r="L3007" s="4" t="s">
        <v>25</v>
      </c>
      <c r="M3007" s="11">
        <f>_xlfn.NUMBERVALUE(LEFT(Table613[[#This Row],[Fiscal Year]], 4))</f>
        <v>2017</v>
      </c>
      <c r="N3007" s="42">
        <f t="shared" si="67"/>
        <v>0</v>
      </c>
      <c r="O3007" s="3">
        <v>3005</v>
      </c>
    </row>
    <row r="3008" spans="1:15" x14ac:dyDescent="0.25">
      <c r="A3008" s="3">
        <v>9</v>
      </c>
      <c r="B3008" s="3" t="s">
        <v>307</v>
      </c>
      <c r="C3008" s="3" t="s">
        <v>21</v>
      </c>
      <c r="D3008" s="3" t="s">
        <v>21</v>
      </c>
      <c r="E3008" s="11" t="s">
        <v>144</v>
      </c>
      <c r="F3008" s="3" t="s">
        <v>8</v>
      </c>
      <c r="G3008" s="66" t="s">
        <v>1285</v>
      </c>
      <c r="H3008" s="8"/>
      <c r="I3008" s="8"/>
      <c r="J3008" s="6" t="s">
        <v>455</v>
      </c>
      <c r="K3008" s="38">
        <v>59925</v>
      </c>
      <c r="L3008" s="4" t="s">
        <v>25</v>
      </c>
      <c r="M3008" s="11">
        <f>_xlfn.NUMBERVALUE(LEFT(Table613[[#This Row],[Fiscal Year]], 4))</f>
        <v>2017</v>
      </c>
      <c r="N3008" s="42">
        <f t="shared" si="67"/>
        <v>61521.777539779687</v>
      </c>
      <c r="O3008" s="3">
        <v>3006</v>
      </c>
    </row>
    <row r="3009" spans="1:15" x14ac:dyDescent="0.25">
      <c r="A3009" s="3">
        <v>9</v>
      </c>
      <c r="B3009" s="3" t="s">
        <v>307</v>
      </c>
      <c r="C3009" s="3" t="s">
        <v>21</v>
      </c>
      <c r="D3009" s="3" t="s">
        <v>21</v>
      </c>
      <c r="E3009" s="11" t="s">
        <v>144</v>
      </c>
      <c r="F3009" s="3" t="s">
        <v>8</v>
      </c>
      <c r="G3009" s="48" t="s">
        <v>1287</v>
      </c>
      <c r="H3009" s="8"/>
      <c r="I3009" s="8"/>
      <c r="J3009" s="6" t="s">
        <v>605</v>
      </c>
      <c r="K3009" s="38">
        <v>36133</v>
      </c>
      <c r="L3009" s="4" t="s">
        <v>25</v>
      </c>
      <c r="M3009" s="11">
        <f>_xlfn.NUMBERVALUE(LEFT(Table613[[#This Row],[Fiscal Year]], 4))</f>
        <v>2017</v>
      </c>
      <c r="N3009" s="42">
        <f t="shared" si="67"/>
        <v>37095.80955936353</v>
      </c>
      <c r="O3009" s="3">
        <v>3007</v>
      </c>
    </row>
    <row r="3010" spans="1:15" x14ac:dyDescent="0.25">
      <c r="A3010" s="3">
        <v>9</v>
      </c>
      <c r="B3010" s="3" t="s">
        <v>307</v>
      </c>
      <c r="C3010" s="3" t="s">
        <v>21</v>
      </c>
      <c r="D3010" s="3" t="s">
        <v>21</v>
      </c>
      <c r="E3010" s="11" t="s">
        <v>144</v>
      </c>
      <c r="F3010" s="3" t="s">
        <v>8</v>
      </c>
      <c r="G3010" s="48" t="s">
        <v>1288</v>
      </c>
      <c r="H3010" s="8"/>
      <c r="I3010" s="8"/>
      <c r="J3010" s="6" t="s">
        <v>605</v>
      </c>
      <c r="K3010" s="38">
        <v>22100</v>
      </c>
      <c r="L3010" s="4" t="s">
        <v>25</v>
      </c>
      <c r="M3010" s="11">
        <f>_xlfn.NUMBERVALUE(LEFT(Table613[[#This Row],[Fiscal Year]], 4))</f>
        <v>2017</v>
      </c>
      <c r="N3010" s="42">
        <f t="shared" ref="N3010:N3073" si="68">K3010*(1+VLOOKUP(M3010,$AF$8:$AH$31,3,0))</f>
        <v>22688.882496940027</v>
      </c>
      <c r="O3010" s="3">
        <v>3008</v>
      </c>
    </row>
    <row r="3011" spans="1:15" x14ac:dyDescent="0.25">
      <c r="A3011" s="3">
        <v>9</v>
      </c>
      <c r="B3011" s="3" t="s">
        <v>307</v>
      </c>
      <c r="C3011" s="3" t="s">
        <v>21</v>
      </c>
      <c r="D3011" s="3" t="s">
        <v>21</v>
      </c>
      <c r="E3011" s="11" t="s">
        <v>144</v>
      </c>
      <c r="F3011" s="3" t="s">
        <v>8</v>
      </c>
      <c r="G3011" s="69" t="s">
        <v>1289</v>
      </c>
      <c r="H3011" s="8" t="s">
        <v>680</v>
      </c>
      <c r="I3011" s="8"/>
      <c r="J3011" s="6" t="s">
        <v>605</v>
      </c>
      <c r="K3011" s="38">
        <v>31537</v>
      </c>
      <c r="L3011" s="4" t="s">
        <v>25</v>
      </c>
      <c r="M3011" s="11">
        <f>_xlfn.NUMBERVALUE(LEFT(Table613[[#This Row],[Fiscal Year]], 4))</f>
        <v>2017</v>
      </c>
      <c r="N3011" s="42">
        <f t="shared" si="68"/>
        <v>32377.343317013467</v>
      </c>
      <c r="O3011" s="3">
        <v>3009</v>
      </c>
    </row>
    <row r="3012" spans="1:15" x14ac:dyDescent="0.25">
      <c r="A3012" s="3">
        <v>9</v>
      </c>
      <c r="B3012" s="3" t="s">
        <v>307</v>
      </c>
      <c r="C3012" s="3" t="s">
        <v>21</v>
      </c>
      <c r="D3012" s="3" t="s">
        <v>21</v>
      </c>
      <c r="E3012" s="11" t="s">
        <v>144</v>
      </c>
      <c r="F3012" s="3" t="s">
        <v>8</v>
      </c>
      <c r="G3012" s="48" t="s">
        <v>1290</v>
      </c>
      <c r="H3012" s="8"/>
      <c r="I3012" s="8"/>
      <c r="J3012" s="6" t="s">
        <v>455</v>
      </c>
      <c r="K3012" s="38">
        <v>6171</v>
      </c>
      <c r="L3012" s="4" t="s">
        <v>25</v>
      </c>
      <c r="M3012" s="11">
        <f>_xlfn.NUMBERVALUE(LEFT(Table613[[#This Row],[Fiscal Year]], 4))</f>
        <v>2017</v>
      </c>
      <c r="N3012" s="42">
        <f t="shared" si="68"/>
        <v>6335.4341126070995</v>
      </c>
      <c r="O3012" s="3">
        <v>3010</v>
      </c>
    </row>
    <row r="3013" spans="1:15" x14ac:dyDescent="0.25">
      <c r="A3013" s="3">
        <v>9</v>
      </c>
      <c r="B3013" s="3" t="s">
        <v>307</v>
      </c>
      <c r="C3013" s="3" t="s">
        <v>21</v>
      </c>
      <c r="D3013" s="3" t="s">
        <v>21</v>
      </c>
      <c r="E3013" s="11" t="s">
        <v>144</v>
      </c>
      <c r="F3013" s="3" t="s">
        <v>8</v>
      </c>
      <c r="G3013" s="48" t="s">
        <v>1291</v>
      </c>
      <c r="H3013" s="8"/>
      <c r="I3013" s="8"/>
      <c r="J3013" s="6" t="s">
        <v>110</v>
      </c>
      <c r="K3013" s="38">
        <v>4193</v>
      </c>
      <c r="L3013" s="4" t="s">
        <v>25</v>
      </c>
      <c r="M3013" s="11">
        <f>_xlfn.NUMBERVALUE(LEFT(Table613[[#This Row],[Fiscal Year]], 4))</f>
        <v>2017</v>
      </c>
      <c r="N3013" s="42">
        <f t="shared" si="68"/>
        <v>4304.7277968176259</v>
      </c>
      <c r="O3013" s="3">
        <v>3011</v>
      </c>
    </row>
    <row r="3014" spans="1:15" x14ac:dyDescent="0.25">
      <c r="E3014" s="11"/>
      <c r="G3014" s="66"/>
      <c r="H3014" s="8"/>
      <c r="I3014" s="8"/>
      <c r="J3014" s="6"/>
      <c r="L3014" s="4"/>
      <c r="O3014" s="3">
        <v>3012</v>
      </c>
    </row>
    <row r="3015" spans="1:15" x14ac:dyDescent="0.25">
      <c r="A3015" s="3">
        <v>9</v>
      </c>
      <c r="B3015" s="3" t="s">
        <v>308</v>
      </c>
      <c r="C3015" s="3" t="s">
        <v>21</v>
      </c>
      <c r="D3015" s="3" t="s">
        <v>21</v>
      </c>
      <c r="E3015" s="11" t="s">
        <v>144</v>
      </c>
      <c r="F3015" s="3" t="s">
        <v>8</v>
      </c>
      <c r="G3015" s="48" t="s">
        <v>1140</v>
      </c>
      <c r="H3015" s="8"/>
      <c r="I3015" s="8"/>
      <c r="J3015" s="6" t="s">
        <v>110</v>
      </c>
      <c r="K3015" s="38">
        <v>63053</v>
      </c>
      <c r="L3015" s="4" t="s">
        <v>25</v>
      </c>
      <c r="M3015" s="11">
        <f>_xlfn.NUMBERVALUE(LEFT(Table613[[#This Row],[Fiscal Year]], 4))</f>
        <v>2017</v>
      </c>
      <c r="N3015" s="42">
        <f t="shared" si="68"/>
        <v>64733.127062423511</v>
      </c>
      <c r="O3015" s="3">
        <v>3013</v>
      </c>
    </row>
    <row r="3016" spans="1:15" x14ac:dyDescent="0.25">
      <c r="A3016" s="3">
        <v>9</v>
      </c>
      <c r="B3016" s="3" t="s">
        <v>308</v>
      </c>
      <c r="C3016" s="3" t="s">
        <v>21</v>
      </c>
      <c r="D3016" s="3" t="s">
        <v>21</v>
      </c>
      <c r="E3016" s="11" t="s">
        <v>144</v>
      </c>
      <c r="F3016" s="3" t="s">
        <v>8</v>
      </c>
      <c r="G3016" s="48" t="s">
        <v>1272</v>
      </c>
      <c r="H3016" s="8"/>
      <c r="I3016" s="8"/>
      <c r="J3016" s="6" t="s">
        <v>111</v>
      </c>
      <c r="K3016" s="38">
        <v>45742</v>
      </c>
      <c r="L3016" s="4" t="s">
        <v>25</v>
      </c>
      <c r="M3016" s="11">
        <f>_xlfn.NUMBERVALUE(LEFT(Table613[[#This Row],[Fiscal Year]], 4))</f>
        <v>2017</v>
      </c>
      <c r="N3016" s="42">
        <f t="shared" si="68"/>
        <v>46960.853537331706</v>
      </c>
      <c r="O3016" s="3">
        <v>3014</v>
      </c>
    </row>
    <row r="3017" spans="1:15" x14ac:dyDescent="0.25">
      <c r="A3017" s="3">
        <v>9</v>
      </c>
      <c r="B3017" s="3" t="s">
        <v>308</v>
      </c>
      <c r="C3017" s="3" t="s">
        <v>21</v>
      </c>
      <c r="D3017" s="3" t="s">
        <v>21</v>
      </c>
      <c r="E3017" s="11" t="s">
        <v>144</v>
      </c>
      <c r="F3017" s="3" t="s">
        <v>8</v>
      </c>
      <c r="G3017" s="48" t="s">
        <v>1273</v>
      </c>
      <c r="H3017" s="8"/>
      <c r="I3017" s="8"/>
      <c r="J3017" s="6" t="s">
        <v>107</v>
      </c>
      <c r="K3017" s="38">
        <v>31094</v>
      </c>
      <c r="L3017" s="4" t="s">
        <v>25</v>
      </c>
      <c r="M3017" s="11">
        <f>_xlfn.NUMBERVALUE(LEFT(Table613[[#This Row],[Fiscal Year]], 4))</f>
        <v>2017</v>
      </c>
      <c r="N3017" s="42">
        <f t="shared" si="68"/>
        <v>31922.539020807839</v>
      </c>
      <c r="O3017" s="3">
        <v>3015</v>
      </c>
    </row>
    <row r="3018" spans="1:15" x14ac:dyDescent="0.25">
      <c r="A3018" s="3">
        <v>9</v>
      </c>
      <c r="B3018" s="3" t="s">
        <v>308</v>
      </c>
      <c r="C3018" s="3" t="s">
        <v>21</v>
      </c>
      <c r="D3018" s="3" t="s">
        <v>21</v>
      </c>
      <c r="E3018" s="11" t="s">
        <v>144</v>
      </c>
      <c r="F3018" s="3" t="s">
        <v>8</v>
      </c>
      <c r="G3018" s="48" t="s">
        <v>1286</v>
      </c>
      <c r="H3018" s="8" t="s">
        <v>665</v>
      </c>
      <c r="I3018" s="70" t="s">
        <v>664</v>
      </c>
      <c r="J3018" s="6" t="s">
        <v>108</v>
      </c>
      <c r="K3018" s="38">
        <v>228470</v>
      </c>
      <c r="L3018" s="4" t="s">
        <v>25</v>
      </c>
      <c r="M3018" s="11">
        <f>_xlfn.NUMBERVALUE(LEFT(Table613[[#This Row],[Fiscal Year]], 4))</f>
        <v>2017</v>
      </c>
      <c r="N3018" s="42">
        <f t="shared" si="68"/>
        <v>234557.87258261937</v>
      </c>
      <c r="O3018" s="3">
        <v>3016</v>
      </c>
    </row>
    <row r="3019" spans="1:15" x14ac:dyDescent="0.25">
      <c r="A3019" s="3">
        <v>9</v>
      </c>
      <c r="B3019" s="3" t="s">
        <v>308</v>
      </c>
      <c r="C3019" s="3" t="s">
        <v>21</v>
      </c>
      <c r="D3019" s="3" t="s">
        <v>21</v>
      </c>
      <c r="E3019" s="11" t="s">
        <v>144</v>
      </c>
      <c r="F3019" s="3" t="s">
        <v>8</v>
      </c>
      <c r="G3019" s="48" t="s">
        <v>1145</v>
      </c>
      <c r="H3019" s="8"/>
      <c r="I3019" s="8"/>
      <c r="J3019" s="6" t="s">
        <v>109</v>
      </c>
      <c r="K3019" s="38">
        <v>10700</v>
      </c>
      <c r="L3019" s="4" t="s">
        <v>25</v>
      </c>
      <c r="M3019" s="11">
        <f>_xlfn.NUMBERVALUE(LEFT(Table613[[#This Row],[Fiscal Year]], 4))</f>
        <v>2017</v>
      </c>
      <c r="N3019" s="42">
        <f t="shared" si="68"/>
        <v>10985.115055079561</v>
      </c>
      <c r="O3019" s="3">
        <v>3017</v>
      </c>
    </row>
    <row r="3020" spans="1:15" x14ac:dyDescent="0.25">
      <c r="A3020" s="3">
        <v>9</v>
      </c>
      <c r="B3020" s="3" t="s">
        <v>308</v>
      </c>
      <c r="C3020" s="3" t="s">
        <v>21</v>
      </c>
      <c r="D3020" s="3" t="s">
        <v>21</v>
      </c>
      <c r="E3020" s="11" t="s">
        <v>144</v>
      </c>
      <c r="F3020" s="3" t="s">
        <v>8</v>
      </c>
      <c r="G3020" s="48" t="s">
        <v>1146</v>
      </c>
      <c r="H3020" s="8" t="s">
        <v>682</v>
      </c>
      <c r="I3020" s="70" t="s">
        <v>679</v>
      </c>
      <c r="J3020" s="6" t="s">
        <v>453</v>
      </c>
      <c r="K3020" s="38">
        <v>52508</v>
      </c>
      <c r="L3020" s="4" t="s">
        <v>25</v>
      </c>
      <c r="M3020" s="11">
        <f>_xlfn.NUMBERVALUE(LEFT(Table613[[#This Row],[Fiscal Year]], 4))</f>
        <v>2017</v>
      </c>
      <c r="N3020" s="42">
        <f t="shared" si="68"/>
        <v>53907.142178702576</v>
      </c>
      <c r="O3020" s="3">
        <v>3018</v>
      </c>
    </row>
    <row r="3021" spans="1:15" x14ac:dyDescent="0.25">
      <c r="A3021" s="3">
        <v>9</v>
      </c>
      <c r="B3021" s="3" t="s">
        <v>308</v>
      </c>
      <c r="C3021" s="3" t="s">
        <v>21</v>
      </c>
      <c r="D3021" s="3" t="s">
        <v>21</v>
      </c>
      <c r="E3021" s="11" t="s">
        <v>144</v>
      </c>
      <c r="F3021" s="3" t="s">
        <v>8</v>
      </c>
      <c r="G3021" s="48" t="s">
        <v>1275</v>
      </c>
      <c r="H3021" s="8"/>
      <c r="I3021" s="8"/>
      <c r="J3021" s="6" t="s">
        <v>106</v>
      </c>
      <c r="K3021" s="38">
        <v>37476</v>
      </c>
      <c r="L3021" s="4" t="s">
        <v>25</v>
      </c>
      <c r="M3021" s="11">
        <f>_xlfn.NUMBERVALUE(LEFT(Table613[[#This Row],[Fiscal Year]], 4))</f>
        <v>2017</v>
      </c>
      <c r="N3021" s="42">
        <f t="shared" si="68"/>
        <v>38474.595495716036</v>
      </c>
      <c r="O3021" s="3">
        <v>3019</v>
      </c>
    </row>
    <row r="3022" spans="1:15" x14ac:dyDescent="0.25">
      <c r="A3022" s="3">
        <v>9</v>
      </c>
      <c r="B3022" s="3" t="s">
        <v>308</v>
      </c>
      <c r="C3022" s="3" t="s">
        <v>21</v>
      </c>
      <c r="D3022" s="3" t="s">
        <v>21</v>
      </c>
      <c r="E3022" s="11" t="s">
        <v>144</v>
      </c>
      <c r="F3022" s="3" t="s">
        <v>8</v>
      </c>
      <c r="G3022" s="48" t="s">
        <v>1277</v>
      </c>
      <c r="H3022" s="8"/>
      <c r="I3022" s="8"/>
      <c r="J3022" s="6" t="s">
        <v>605</v>
      </c>
      <c r="K3022" s="38">
        <v>47975</v>
      </c>
      <c r="L3022" s="4" t="s">
        <v>25</v>
      </c>
      <c r="M3022" s="11">
        <f>_xlfn.NUMBERVALUE(LEFT(Table613[[#This Row],[Fiscal Year]], 4))</f>
        <v>2017</v>
      </c>
      <c r="N3022" s="42">
        <f t="shared" si="68"/>
        <v>49253.354651162794</v>
      </c>
      <c r="O3022" s="3">
        <v>3020</v>
      </c>
    </row>
    <row r="3023" spans="1:15" x14ac:dyDescent="0.25">
      <c r="A3023" s="3">
        <v>9</v>
      </c>
      <c r="B3023" s="3" t="s">
        <v>308</v>
      </c>
      <c r="C3023" s="3" t="s">
        <v>21</v>
      </c>
      <c r="D3023" s="3" t="s">
        <v>21</v>
      </c>
      <c r="E3023" s="11" t="s">
        <v>144</v>
      </c>
      <c r="F3023" s="3" t="s">
        <v>8</v>
      </c>
      <c r="G3023" s="48" t="s">
        <v>1292</v>
      </c>
      <c r="H3023" s="8"/>
      <c r="I3023" s="8"/>
      <c r="J3023" s="6" t="s">
        <v>605</v>
      </c>
      <c r="K3023" s="38">
        <v>37275</v>
      </c>
      <c r="L3023" s="4" t="s">
        <v>25</v>
      </c>
      <c r="M3023" s="11">
        <f>_xlfn.NUMBERVALUE(LEFT(Table613[[#This Row],[Fiscal Year]], 4))</f>
        <v>2017</v>
      </c>
      <c r="N3023" s="42">
        <f t="shared" si="68"/>
        <v>38268.239596083236</v>
      </c>
      <c r="O3023" s="3">
        <v>3021</v>
      </c>
    </row>
    <row r="3024" spans="1:15" x14ac:dyDescent="0.25">
      <c r="A3024" s="3">
        <v>9</v>
      </c>
      <c r="B3024" s="3" t="s">
        <v>308</v>
      </c>
      <c r="C3024" s="3" t="s">
        <v>21</v>
      </c>
      <c r="D3024" s="3" t="s">
        <v>21</v>
      </c>
      <c r="E3024" s="11" t="s">
        <v>144</v>
      </c>
      <c r="F3024" s="3" t="s">
        <v>8</v>
      </c>
      <c r="G3024" s="56" t="s">
        <v>1293</v>
      </c>
      <c r="H3024" s="8"/>
      <c r="I3024" s="8"/>
      <c r="J3024" s="6" t="s">
        <v>455</v>
      </c>
      <c r="K3024" s="38">
        <v>37918</v>
      </c>
      <c r="L3024" s="4" t="s">
        <v>25</v>
      </c>
      <c r="M3024" s="11">
        <f>_xlfn.NUMBERVALUE(LEFT(Table613[[#This Row],[Fiscal Year]], 4))</f>
        <v>2017</v>
      </c>
      <c r="N3024" s="42">
        <f t="shared" si="68"/>
        <v>38928.373145654841</v>
      </c>
      <c r="O3024" s="3">
        <v>3022</v>
      </c>
    </row>
    <row r="3025" spans="1:15" x14ac:dyDescent="0.25">
      <c r="E3025" s="11"/>
      <c r="G3025" s="66"/>
      <c r="H3025" s="8"/>
      <c r="I3025" s="8"/>
      <c r="J3025" s="6"/>
      <c r="L3025" s="4"/>
      <c r="O3025" s="3">
        <v>3023</v>
      </c>
    </row>
    <row r="3026" spans="1:15" x14ac:dyDescent="0.25">
      <c r="A3026" s="3">
        <v>9</v>
      </c>
      <c r="B3026" s="3" t="s">
        <v>309</v>
      </c>
      <c r="C3026" s="3" t="s">
        <v>21</v>
      </c>
      <c r="D3026" s="3" t="s">
        <v>21</v>
      </c>
      <c r="E3026" s="11" t="s">
        <v>144</v>
      </c>
      <c r="F3026" s="3" t="s">
        <v>8</v>
      </c>
      <c r="G3026" s="48" t="s">
        <v>1294</v>
      </c>
      <c r="H3026" s="8"/>
      <c r="I3026" s="8"/>
      <c r="J3026" s="6" t="s">
        <v>110</v>
      </c>
      <c r="K3026" s="38">
        <v>270088</v>
      </c>
      <c r="L3026" s="4" t="s">
        <v>25</v>
      </c>
      <c r="M3026" s="11">
        <f>_xlfn.NUMBERVALUE(LEFT(Table613[[#This Row],[Fiscal Year]], 4))</f>
        <v>2017</v>
      </c>
      <c r="N3026" s="42">
        <f t="shared" si="68"/>
        <v>277284.8369155447</v>
      </c>
      <c r="O3026" s="3">
        <v>3024</v>
      </c>
    </row>
    <row r="3027" spans="1:15" x14ac:dyDescent="0.25">
      <c r="A3027" s="3">
        <v>9</v>
      </c>
      <c r="B3027" s="3" t="s">
        <v>309</v>
      </c>
      <c r="C3027" s="3" t="s">
        <v>21</v>
      </c>
      <c r="D3027" s="3" t="s">
        <v>21</v>
      </c>
      <c r="E3027" s="11" t="s">
        <v>144</v>
      </c>
      <c r="F3027" s="3" t="s">
        <v>8</v>
      </c>
      <c r="G3027" s="66" t="s">
        <v>1272</v>
      </c>
      <c r="H3027" s="8"/>
      <c r="I3027" s="8"/>
      <c r="J3027" s="6" t="s">
        <v>111</v>
      </c>
      <c r="K3027" s="38">
        <v>15102</v>
      </c>
      <c r="L3027" s="4" t="s">
        <v>25</v>
      </c>
      <c r="M3027" s="11">
        <f>_xlfn.NUMBERVALUE(LEFT(Table613[[#This Row],[Fiscal Year]], 4))</f>
        <v>2017</v>
      </c>
      <c r="N3027" s="42">
        <f t="shared" si="68"/>
        <v>15504.411921664629</v>
      </c>
      <c r="O3027" s="3">
        <v>3025</v>
      </c>
    </row>
    <row r="3028" spans="1:15" x14ac:dyDescent="0.25">
      <c r="A3028" s="3">
        <v>9</v>
      </c>
      <c r="B3028" s="3" t="s">
        <v>309</v>
      </c>
      <c r="C3028" s="3" t="s">
        <v>21</v>
      </c>
      <c r="D3028" s="3" t="s">
        <v>21</v>
      </c>
      <c r="E3028" s="11" t="s">
        <v>144</v>
      </c>
      <c r="F3028" s="3" t="s">
        <v>8</v>
      </c>
      <c r="G3028" s="66" t="s">
        <v>1273</v>
      </c>
      <c r="H3028" s="8"/>
      <c r="I3028" s="8"/>
      <c r="J3028" s="6" t="s">
        <v>107</v>
      </c>
      <c r="K3028" s="38">
        <v>48111</v>
      </c>
      <c r="L3028" s="4" t="s">
        <v>25</v>
      </c>
      <c r="M3028" s="11">
        <f>_xlfn.NUMBERVALUE(LEFT(Table613[[#This Row],[Fiscal Year]], 4))</f>
        <v>2017</v>
      </c>
      <c r="N3028" s="42">
        <f t="shared" si="68"/>
        <v>49392.97854345166</v>
      </c>
      <c r="O3028" s="3">
        <v>3026</v>
      </c>
    </row>
    <row r="3029" spans="1:15" x14ac:dyDescent="0.25">
      <c r="A3029" s="3">
        <v>9</v>
      </c>
      <c r="B3029" s="3" t="s">
        <v>309</v>
      </c>
      <c r="C3029" s="3" t="s">
        <v>21</v>
      </c>
      <c r="D3029" s="3" t="s">
        <v>21</v>
      </c>
      <c r="E3029" s="11" t="s">
        <v>144</v>
      </c>
      <c r="F3029" s="3" t="s">
        <v>8</v>
      </c>
      <c r="G3029" s="48" t="s">
        <v>1279</v>
      </c>
      <c r="H3029" s="8"/>
      <c r="I3029" s="8"/>
      <c r="J3029" s="6" t="s">
        <v>108</v>
      </c>
      <c r="K3029" s="38">
        <v>1119975</v>
      </c>
      <c r="L3029" s="4" t="s">
        <v>25</v>
      </c>
      <c r="M3029" s="11">
        <f>_xlfn.NUMBERVALUE(LEFT(Table613[[#This Row],[Fiscal Year]], 4))</f>
        <v>2017</v>
      </c>
      <c r="N3029" s="42">
        <f t="shared" si="68"/>
        <v>1149818.1526927785</v>
      </c>
      <c r="O3029" s="3">
        <v>3027</v>
      </c>
    </row>
    <row r="3030" spans="1:15" x14ac:dyDescent="0.25">
      <c r="A3030" s="3">
        <v>9</v>
      </c>
      <c r="B3030" s="3" t="s">
        <v>309</v>
      </c>
      <c r="C3030" s="3" t="s">
        <v>21</v>
      </c>
      <c r="D3030" s="3" t="s">
        <v>21</v>
      </c>
      <c r="E3030" s="11" t="s">
        <v>144</v>
      </c>
      <c r="F3030" s="3" t="s">
        <v>8</v>
      </c>
      <c r="G3030" s="66" t="s">
        <v>1145</v>
      </c>
      <c r="H3030" s="8"/>
      <c r="I3030" s="8"/>
      <c r="J3030" s="6" t="s">
        <v>109</v>
      </c>
      <c r="K3030" s="38">
        <v>76111</v>
      </c>
      <c r="L3030" s="4" t="s">
        <v>25</v>
      </c>
      <c r="M3030" s="11">
        <f>_xlfn.NUMBERVALUE(LEFT(Table613[[#This Row],[Fiscal Year]], 4))</f>
        <v>2017</v>
      </c>
      <c r="N3030" s="42">
        <f t="shared" si="68"/>
        <v>78139.074014687896</v>
      </c>
      <c r="O3030" s="3">
        <v>3028</v>
      </c>
    </row>
    <row r="3031" spans="1:15" x14ac:dyDescent="0.25">
      <c r="A3031" s="3">
        <v>9</v>
      </c>
      <c r="B3031" s="3" t="s">
        <v>309</v>
      </c>
      <c r="C3031" s="3" t="s">
        <v>21</v>
      </c>
      <c r="D3031" s="3" t="s">
        <v>21</v>
      </c>
      <c r="E3031" s="11" t="s">
        <v>144</v>
      </c>
      <c r="F3031" s="3" t="s">
        <v>8</v>
      </c>
      <c r="G3031" s="66" t="s">
        <v>1281</v>
      </c>
      <c r="H3031" s="8"/>
      <c r="I3031" s="8"/>
      <c r="J3031" s="6" t="s">
        <v>111</v>
      </c>
      <c r="K3031" s="38">
        <v>16990</v>
      </c>
      <c r="L3031" s="4" t="s">
        <v>25</v>
      </c>
      <c r="M3031" s="11">
        <f>_xlfn.NUMBERVALUE(LEFT(Table613[[#This Row],[Fiscal Year]], 4))</f>
        <v>2017</v>
      </c>
      <c r="N3031" s="42">
        <f t="shared" si="68"/>
        <v>17442.720073439414</v>
      </c>
      <c r="O3031" s="3">
        <v>3029</v>
      </c>
    </row>
    <row r="3032" spans="1:15" x14ac:dyDescent="0.25">
      <c r="A3032" s="3">
        <v>9</v>
      </c>
      <c r="B3032" s="3" t="s">
        <v>309</v>
      </c>
      <c r="C3032" s="3" t="s">
        <v>21</v>
      </c>
      <c r="D3032" s="3" t="s">
        <v>21</v>
      </c>
      <c r="E3032" s="11" t="s">
        <v>144</v>
      </c>
      <c r="F3032" s="3" t="s">
        <v>8</v>
      </c>
      <c r="G3032" s="66" t="s">
        <v>1275</v>
      </c>
      <c r="H3032" s="8"/>
      <c r="I3032" s="8"/>
      <c r="J3032" s="6" t="s">
        <v>106</v>
      </c>
      <c r="K3032" s="38">
        <v>0</v>
      </c>
      <c r="L3032" s="4" t="s">
        <v>25</v>
      </c>
      <c r="M3032" s="11">
        <f>_xlfn.NUMBERVALUE(LEFT(Table613[[#This Row],[Fiscal Year]], 4))</f>
        <v>2017</v>
      </c>
      <c r="N3032" s="42">
        <f t="shared" si="68"/>
        <v>0</v>
      </c>
      <c r="O3032" s="3">
        <v>3030</v>
      </c>
    </row>
    <row r="3033" spans="1:15" x14ac:dyDescent="0.25">
      <c r="A3033" s="3">
        <v>9</v>
      </c>
      <c r="B3033" s="3" t="s">
        <v>309</v>
      </c>
      <c r="C3033" s="3" t="s">
        <v>21</v>
      </c>
      <c r="D3033" s="3" t="s">
        <v>21</v>
      </c>
      <c r="E3033" s="11" t="s">
        <v>144</v>
      </c>
      <c r="F3033" s="3" t="s">
        <v>8</v>
      </c>
      <c r="G3033" s="66" t="s">
        <v>1295</v>
      </c>
      <c r="H3033" s="8" t="s">
        <v>684</v>
      </c>
      <c r="I3033" s="8" t="s">
        <v>683</v>
      </c>
      <c r="J3033" s="6" t="s">
        <v>455</v>
      </c>
      <c r="K3033" s="38">
        <v>1000</v>
      </c>
      <c r="L3033" s="4" t="s">
        <v>25</v>
      </c>
      <c r="M3033" s="11">
        <f>_xlfn.NUMBERVALUE(LEFT(Table613[[#This Row],[Fiscal Year]], 4))</f>
        <v>2017</v>
      </c>
      <c r="N3033" s="42">
        <f t="shared" si="68"/>
        <v>1026.6462668298655</v>
      </c>
      <c r="O3033" s="3">
        <v>3031</v>
      </c>
    </row>
    <row r="3034" spans="1:15" x14ac:dyDescent="0.25">
      <c r="A3034" s="3">
        <v>9</v>
      </c>
      <c r="B3034" s="3" t="s">
        <v>309</v>
      </c>
      <c r="C3034" s="3" t="s">
        <v>21</v>
      </c>
      <c r="D3034" s="3" t="s">
        <v>21</v>
      </c>
      <c r="E3034" s="11" t="s">
        <v>144</v>
      </c>
      <c r="F3034" s="3" t="s">
        <v>8</v>
      </c>
      <c r="G3034" s="66" t="s">
        <v>1296</v>
      </c>
      <c r="H3034" s="8"/>
      <c r="I3034" s="8"/>
      <c r="J3034" s="6" t="s">
        <v>105</v>
      </c>
      <c r="K3034" s="38">
        <v>222168</v>
      </c>
      <c r="L3034" s="4" t="s">
        <v>25</v>
      </c>
      <c r="M3034" s="11">
        <f>_xlfn.NUMBERVALUE(LEFT(Table613[[#This Row],[Fiscal Year]], 4))</f>
        <v>2017</v>
      </c>
      <c r="N3034" s="42">
        <f t="shared" si="68"/>
        <v>228087.94780905754</v>
      </c>
      <c r="O3034" s="3">
        <v>3032</v>
      </c>
    </row>
    <row r="3035" spans="1:15" x14ac:dyDescent="0.25">
      <c r="A3035" s="3">
        <v>9</v>
      </c>
      <c r="B3035" s="3" t="s">
        <v>309</v>
      </c>
      <c r="C3035" s="3" t="s">
        <v>21</v>
      </c>
      <c r="D3035" s="3" t="s">
        <v>21</v>
      </c>
      <c r="E3035" s="11" t="s">
        <v>144</v>
      </c>
      <c r="F3035" s="3" t="s">
        <v>8</v>
      </c>
      <c r="G3035" s="48" t="s">
        <v>1297</v>
      </c>
      <c r="H3035" s="8"/>
      <c r="I3035" s="8"/>
      <c r="J3035" s="6" t="s">
        <v>605</v>
      </c>
      <c r="K3035" s="38">
        <v>129323</v>
      </c>
      <c r="L3035" s="4" t="s">
        <v>25</v>
      </c>
      <c r="M3035" s="11">
        <f>_xlfn.NUMBERVALUE(LEFT(Table613[[#This Row],[Fiscal Year]], 4))</f>
        <v>2017</v>
      </c>
      <c r="N3035" s="42">
        <f t="shared" si="68"/>
        <v>132768.97516523869</v>
      </c>
      <c r="O3035" s="3">
        <v>3033</v>
      </c>
    </row>
    <row r="3036" spans="1:15" x14ac:dyDescent="0.25">
      <c r="A3036" s="3">
        <v>9</v>
      </c>
      <c r="B3036" s="3" t="s">
        <v>309</v>
      </c>
      <c r="C3036" s="3" t="s">
        <v>21</v>
      </c>
      <c r="D3036" s="3" t="s">
        <v>21</v>
      </c>
      <c r="E3036" s="11" t="s">
        <v>144</v>
      </c>
      <c r="F3036" s="3" t="s">
        <v>8</v>
      </c>
      <c r="G3036" s="48" t="s">
        <v>1298</v>
      </c>
      <c r="H3036" s="8"/>
      <c r="I3036" s="8"/>
      <c r="J3036" s="6" t="s">
        <v>605</v>
      </c>
      <c r="K3036" s="38">
        <v>44533</v>
      </c>
      <c r="L3036" s="4" t="s">
        <v>25</v>
      </c>
      <c r="M3036" s="11">
        <f>_xlfn.NUMBERVALUE(LEFT(Table613[[#This Row],[Fiscal Year]], 4))</f>
        <v>2017</v>
      </c>
      <c r="N3036" s="42">
        <f t="shared" si="68"/>
        <v>45719.6382007344</v>
      </c>
      <c r="O3036" s="3">
        <v>3034</v>
      </c>
    </row>
    <row r="3037" spans="1:15" x14ac:dyDescent="0.25">
      <c r="A3037" s="3">
        <v>9</v>
      </c>
      <c r="B3037" s="3" t="s">
        <v>309</v>
      </c>
      <c r="C3037" s="3" t="s">
        <v>21</v>
      </c>
      <c r="D3037" s="3" t="s">
        <v>21</v>
      </c>
      <c r="E3037" s="11" t="s">
        <v>144</v>
      </c>
      <c r="F3037" s="3" t="s">
        <v>8</v>
      </c>
      <c r="G3037" s="56" t="s">
        <v>360</v>
      </c>
      <c r="H3037" s="8"/>
      <c r="I3037" s="8"/>
      <c r="J3037" s="6" t="s">
        <v>455</v>
      </c>
      <c r="K3037" s="38">
        <v>67437</v>
      </c>
      <c r="L3037" s="4" t="s">
        <v>25</v>
      </c>
      <c r="M3037" s="11">
        <f>_xlfn.NUMBERVALUE(LEFT(Table613[[#This Row],[Fiscal Year]], 4))</f>
        <v>2017</v>
      </c>
      <c r="N3037" s="42">
        <f t="shared" si="68"/>
        <v>69233.944296205635</v>
      </c>
      <c r="O3037" s="3">
        <v>3035</v>
      </c>
    </row>
    <row r="3038" spans="1:15" x14ac:dyDescent="0.25">
      <c r="E3038" s="11"/>
      <c r="G3038" s="66"/>
      <c r="H3038" s="8"/>
      <c r="I3038" s="8"/>
      <c r="J3038" s="6"/>
      <c r="L3038" s="4"/>
      <c r="O3038" s="3">
        <v>3036</v>
      </c>
    </row>
    <row r="3039" spans="1:15" x14ac:dyDescent="0.25">
      <c r="A3039" s="3">
        <v>9</v>
      </c>
      <c r="B3039" s="3" t="s">
        <v>310</v>
      </c>
      <c r="C3039" s="3" t="s">
        <v>21</v>
      </c>
      <c r="D3039" s="3" t="s">
        <v>21</v>
      </c>
      <c r="E3039" s="11" t="s">
        <v>144</v>
      </c>
      <c r="F3039" s="3" t="s">
        <v>8</v>
      </c>
      <c r="G3039" s="48" t="s">
        <v>1140</v>
      </c>
      <c r="H3039" s="8"/>
      <c r="I3039" s="8"/>
      <c r="J3039" s="6" t="s">
        <v>110</v>
      </c>
      <c r="K3039" s="38">
        <v>184385.73</v>
      </c>
      <c r="L3039" s="4" t="s">
        <v>25</v>
      </c>
      <c r="M3039" s="11">
        <f>_xlfn.NUMBERVALUE(LEFT(Table613[[#This Row],[Fiscal Year]], 4))</f>
        <v>2017</v>
      </c>
      <c r="N3039" s="42">
        <f t="shared" si="68"/>
        <v>189298.92136119955</v>
      </c>
      <c r="O3039" s="3">
        <v>3037</v>
      </c>
    </row>
    <row r="3040" spans="1:15" x14ac:dyDescent="0.25">
      <c r="A3040" s="3">
        <v>9</v>
      </c>
      <c r="B3040" s="3" t="s">
        <v>310</v>
      </c>
      <c r="C3040" s="3" t="s">
        <v>21</v>
      </c>
      <c r="D3040" s="3" t="s">
        <v>21</v>
      </c>
      <c r="E3040" s="11" t="s">
        <v>144</v>
      </c>
      <c r="F3040" s="3" t="s">
        <v>8</v>
      </c>
      <c r="G3040" s="48" t="s">
        <v>1272</v>
      </c>
      <c r="H3040" s="8"/>
      <c r="I3040" s="8"/>
      <c r="J3040" s="6" t="s">
        <v>111</v>
      </c>
      <c r="K3040" s="38">
        <v>46064.7</v>
      </c>
      <c r="L3040" s="4" t="s">
        <v>25</v>
      </c>
      <c r="M3040" s="11">
        <f>_xlfn.NUMBERVALUE(LEFT(Table613[[#This Row],[Fiscal Year]], 4))</f>
        <v>2017</v>
      </c>
      <c r="N3040" s="42">
        <f t="shared" si="68"/>
        <v>47292.152287637698</v>
      </c>
      <c r="O3040" s="3">
        <v>3038</v>
      </c>
    </row>
    <row r="3041" spans="1:15" x14ac:dyDescent="0.25">
      <c r="A3041" s="3">
        <v>9</v>
      </c>
      <c r="B3041" s="3" t="s">
        <v>310</v>
      </c>
      <c r="C3041" s="3" t="s">
        <v>21</v>
      </c>
      <c r="D3041" s="3" t="s">
        <v>21</v>
      </c>
      <c r="E3041" s="11" t="s">
        <v>144</v>
      </c>
      <c r="F3041" s="3" t="s">
        <v>8</v>
      </c>
      <c r="G3041" s="48" t="s">
        <v>1299</v>
      </c>
      <c r="H3041" s="8"/>
      <c r="I3041" s="8"/>
      <c r="J3041" s="6" t="s">
        <v>107</v>
      </c>
      <c r="K3041" s="38">
        <v>37646.07</v>
      </c>
      <c r="L3041" s="4" t="s">
        <v>25</v>
      </c>
      <c r="M3041" s="11">
        <f>_xlfn.NUMBERVALUE(LEFT(Table613[[#This Row],[Fiscal Year]], 4))</f>
        <v>2017</v>
      </c>
      <c r="N3041" s="42">
        <f t="shared" si="68"/>
        <v>38649.197226315795</v>
      </c>
      <c r="O3041" s="3">
        <v>3039</v>
      </c>
    </row>
    <row r="3042" spans="1:15" x14ac:dyDescent="0.25">
      <c r="A3042" s="3">
        <v>9</v>
      </c>
      <c r="B3042" s="3" t="s">
        <v>310</v>
      </c>
      <c r="C3042" s="3" t="s">
        <v>21</v>
      </c>
      <c r="D3042" s="3" t="s">
        <v>21</v>
      </c>
      <c r="E3042" s="11" t="s">
        <v>144</v>
      </c>
      <c r="F3042" s="3" t="s">
        <v>8</v>
      </c>
      <c r="G3042" s="48" t="s">
        <v>1300</v>
      </c>
      <c r="H3042" s="8" t="s">
        <v>685</v>
      </c>
      <c r="I3042" s="70" t="s">
        <v>686</v>
      </c>
      <c r="J3042" s="6" t="s">
        <v>108</v>
      </c>
      <c r="K3042" s="38">
        <v>1264855.17</v>
      </c>
      <c r="L3042" s="4" t="s">
        <v>25</v>
      </c>
      <c r="M3042" s="11">
        <f>_xlfn.NUMBERVALUE(LEFT(Table613[[#This Row],[Fiscal Year]], 4))</f>
        <v>2017</v>
      </c>
      <c r="N3042" s="42">
        <f t="shared" si="68"/>
        <v>1298558.8383609548</v>
      </c>
      <c r="O3042" s="3">
        <v>3040</v>
      </c>
    </row>
    <row r="3043" spans="1:15" x14ac:dyDescent="0.25">
      <c r="A3043" s="3">
        <v>9</v>
      </c>
      <c r="B3043" s="3" t="s">
        <v>310</v>
      </c>
      <c r="C3043" s="3" t="s">
        <v>21</v>
      </c>
      <c r="D3043" s="3" t="s">
        <v>21</v>
      </c>
      <c r="E3043" s="11" t="s">
        <v>144</v>
      </c>
      <c r="F3043" s="3" t="s">
        <v>8</v>
      </c>
      <c r="G3043" s="48" t="s">
        <v>1301</v>
      </c>
      <c r="H3043" s="8"/>
      <c r="I3043" s="8"/>
      <c r="J3043" s="6" t="s">
        <v>109</v>
      </c>
      <c r="K3043" s="38">
        <v>25255.89</v>
      </c>
      <c r="L3043" s="4" t="s">
        <v>25</v>
      </c>
      <c r="M3043" s="11">
        <f>_xlfn.NUMBERVALUE(LEFT(Table613[[#This Row],[Fiscal Year]], 4))</f>
        <v>2017</v>
      </c>
      <c r="N3043" s="42">
        <f t="shared" si="68"/>
        <v>25928.865183965732</v>
      </c>
      <c r="O3043" s="3">
        <v>3041</v>
      </c>
    </row>
    <row r="3044" spans="1:15" x14ac:dyDescent="0.25">
      <c r="A3044" s="3">
        <v>9</v>
      </c>
      <c r="B3044" s="3" t="s">
        <v>310</v>
      </c>
      <c r="C3044" s="3" t="s">
        <v>21</v>
      </c>
      <c r="D3044" s="3" t="s">
        <v>21</v>
      </c>
      <c r="E3044" s="11" t="s">
        <v>144</v>
      </c>
      <c r="F3044" s="3" t="s">
        <v>8</v>
      </c>
      <c r="G3044" s="48" t="s">
        <v>1302</v>
      </c>
      <c r="H3044" s="8"/>
      <c r="I3044" s="8"/>
      <c r="J3044" s="6" t="s">
        <v>111</v>
      </c>
      <c r="K3044" s="38">
        <v>16837.259999999998</v>
      </c>
      <c r="L3044" s="4" t="s">
        <v>25</v>
      </c>
      <c r="M3044" s="11">
        <f>_xlfn.NUMBERVALUE(LEFT(Table613[[#This Row],[Fiscal Year]], 4))</f>
        <v>2017</v>
      </c>
      <c r="N3044" s="42">
        <f t="shared" si="68"/>
        <v>17285.910122643818</v>
      </c>
      <c r="O3044" s="3">
        <v>3042</v>
      </c>
    </row>
    <row r="3045" spans="1:15" x14ac:dyDescent="0.25">
      <c r="A3045" s="3">
        <v>9</v>
      </c>
      <c r="B3045" s="3" t="s">
        <v>310</v>
      </c>
      <c r="C3045" s="3" t="s">
        <v>21</v>
      </c>
      <c r="D3045" s="3" t="s">
        <v>21</v>
      </c>
      <c r="E3045" s="11" t="s">
        <v>144</v>
      </c>
      <c r="F3045" s="3" t="s">
        <v>8</v>
      </c>
      <c r="G3045" s="48" t="s">
        <v>1147</v>
      </c>
      <c r="H3045" s="8"/>
      <c r="I3045" s="8"/>
      <c r="J3045" s="6" t="s">
        <v>106</v>
      </c>
      <c r="K3045" s="38">
        <v>446529.91</v>
      </c>
      <c r="L3045" s="4" t="s">
        <v>25</v>
      </c>
      <c r="M3045" s="11">
        <f>_xlfn.NUMBERVALUE(LEFT(Table613[[#This Row],[Fiscal Year]], 4))</f>
        <v>2017</v>
      </c>
      <c r="N3045" s="42">
        <f t="shared" si="68"/>
        <v>458428.2651293758</v>
      </c>
      <c r="O3045" s="3">
        <v>3043</v>
      </c>
    </row>
    <row r="3046" spans="1:15" x14ac:dyDescent="0.25">
      <c r="A3046" s="3">
        <v>9</v>
      </c>
      <c r="B3046" s="3" t="s">
        <v>310</v>
      </c>
      <c r="C3046" s="3" t="s">
        <v>21</v>
      </c>
      <c r="D3046" s="3" t="s">
        <v>21</v>
      </c>
      <c r="E3046" s="11" t="s">
        <v>144</v>
      </c>
      <c r="F3046" s="3" t="s">
        <v>8</v>
      </c>
      <c r="G3046" s="48" t="s">
        <v>1295</v>
      </c>
      <c r="H3046" s="8"/>
      <c r="I3046" s="8"/>
      <c r="J3046" s="6" t="s">
        <v>455</v>
      </c>
      <c r="K3046" s="38">
        <v>25575.23</v>
      </c>
      <c r="L3046" s="4" t="s">
        <v>25</v>
      </c>
      <c r="M3046" s="11">
        <f>_xlfn.NUMBERVALUE(LEFT(Table613[[#This Row],[Fiscal Year]], 4))</f>
        <v>2017</v>
      </c>
      <c r="N3046" s="42">
        <f t="shared" si="68"/>
        <v>26256.714402815182</v>
      </c>
      <c r="O3046" s="3">
        <v>3044</v>
      </c>
    </row>
    <row r="3047" spans="1:15" x14ac:dyDescent="0.25">
      <c r="A3047" s="3">
        <v>9</v>
      </c>
      <c r="B3047" s="3" t="s">
        <v>310</v>
      </c>
      <c r="C3047" s="3" t="s">
        <v>21</v>
      </c>
      <c r="D3047" s="3" t="s">
        <v>21</v>
      </c>
      <c r="E3047" s="11" t="s">
        <v>144</v>
      </c>
      <c r="F3047" s="3" t="s">
        <v>8</v>
      </c>
      <c r="G3047" s="48" t="s">
        <v>1296</v>
      </c>
      <c r="H3047" s="44" t="s">
        <v>687</v>
      </c>
      <c r="I3047" s="70" t="s">
        <v>686</v>
      </c>
      <c r="J3047" s="6" t="s">
        <v>105</v>
      </c>
      <c r="K3047" s="38">
        <v>0</v>
      </c>
      <c r="L3047" s="4" t="s">
        <v>25</v>
      </c>
      <c r="M3047" s="11">
        <f>_xlfn.NUMBERVALUE(LEFT(Table613[[#This Row],[Fiscal Year]], 4))</f>
        <v>2017</v>
      </c>
      <c r="N3047" s="42">
        <f t="shared" si="68"/>
        <v>0</v>
      </c>
      <c r="O3047" s="3">
        <v>3045</v>
      </c>
    </row>
    <row r="3048" spans="1:15" x14ac:dyDescent="0.25">
      <c r="A3048" s="3">
        <v>9</v>
      </c>
      <c r="B3048" s="3" t="s">
        <v>310</v>
      </c>
      <c r="C3048" s="3" t="s">
        <v>21</v>
      </c>
      <c r="D3048" s="3" t="s">
        <v>21</v>
      </c>
      <c r="E3048" s="11" t="s">
        <v>144</v>
      </c>
      <c r="F3048" s="3" t="s">
        <v>8</v>
      </c>
      <c r="G3048" s="48" t="s">
        <v>1303</v>
      </c>
      <c r="H3048" s="8"/>
      <c r="I3048" s="8"/>
      <c r="J3048" s="6" t="s">
        <v>455</v>
      </c>
      <c r="K3048" s="38">
        <v>0</v>
      </c>
      <c r="L3048" s="4" t="s">
        <v>25</v>
      </c>
      <c r="M3048" s="11">
        <f>_xlfn.NUMBERVALUE(LEFT(Table613[[#This Row],[Fiscal Year]], 4))</f>
        <v>2017</v>
      </c>
      <c r="N3048" s="42">
        <f t="shared" si="68"/>
        <v>0</v>
      </c>
      <c r="O3048" s="3">
        <v>3046</v>
      </c>
    </row>
    <row r="3049" spans="1:15" x14ac:dyDescent="0.25">
      <c r="A3049" s="3">
        <v>9</v>
      </c>
      <c r="B3049" s="3" t="s">
        <v>310</v>
      </c>
      <c r="C3049" s="3" t="s">
        <v>21</v>
      </c>
      <c r="D3049" s="3" t="s">
        <v>21</v>
      </c>
      <c r="E3049" s="11" t="s">
        <v>144</v>
      </c>
      <c r="F3049" s="3" t="s">
        <v>8</v>
      </c>
      <c r="G3049" s="48" t="s">
        <v>1284</v>
      </c>
      <c r="H3049" s="8" t="s">
        <v>665</v>
      </c>
      <c r="I3049" s="70" t="s">
        <v>664</v>
      </c>
      <c r="J3049" s="6" t="s">
        <v>108</v>
      </c>
      <c r="K3049" s="38">
        <v>0</v>
      </c>
      <c r="L3049" s="4" t="s">
        <v>25</v>
      </c>
      <c r="M3049" s="11">
        <f>_xlfn.NUMBERVALUE(LEFT(Table613[[#This Row],[Fiscal Year]], 4))</f>
        <v>2017</v>
      </c>
      <c r="N3049" s="42">
        <f t="shared" si="68"/>
        <v>0</v>
      </c>
      <c r="O3049" s="3">
        <v>3047</v>
      </c>
    </row>
    <row r="3050" spans="1:15" x14ac:dyDescent="0.25">
      <c r="A3050" s="3">
        <v>9</v>
      </c>
      <c r="B3050" s="3" t="s">
        <v>310</v>
      </c>
      <c r="C3050" s="3" t="s">
        <v>21</v>
      </c>
      <c r="D3050" s="3" t="s">
        <v>21</v>
      </c>
      <c r="E3050" s="11" t="s">
        <v>144</v>
      </c>
      <c r="F3050" s="3" t="s">
        <v>8</v>
      </c>
      <c r="G3050" s="48" t="s">
        <v>1304</v>
      </c>
      <c r="H3050" s="8"/>
      <c r="I3050" s="8"/>
      <c r="J3050" s="6" t="s">
        <v>108</v>
      </c>
      <c r="K3050" s="38">
        <v>8628.4</v>
      </c>
      <c r="L3050" s="4" t="s">
        <v>25</v>
      </c>
      <c r="M3050" s="11">
        <f>_xlfn.NUMBERVALUE(LEFT(Table613[[#This Row],[Fiscal Year]], 4))</f>
        <v>2017</v>
      </c>
      <c r="N3050" s="42">
        <f t="shared" si="68"/>
        <v>8858.3146487148115</v>
      </c>
      <c r="O3050" s="3">
        <v>3048</v>
      </c>
    </row>
    <row r="3051" spans="1:15" x14ac:dyDescent="0.25">
      <c r="A3051" s="3">
        <v>9</v>
      </c>
      <c r="B3051" s="3" t="s">
        <v>310</v>
      </c>
      <c r="C3051" s="3" t="s">
        <v>21</v>
      </c>
      <c r="D3051" s="3" t="s">
        <v>21</v>
      </c>
      <c r="E3051" s="11" t="s">
        <v>144</v>
      </c>
      <c r="F3051" s="3" t="s">
        <v>8</v>
      </c>
      <c r="G3051" s="48" t="s">
        <v>1305</v>
      </c>
      <c r="H3051" s="8" t="s">
        <v>600</v>
      </c>
      <c r="I3051" s="8" t="s">
        <v>590</v>
      </c>
      <c r="J3051" s="6" t="s">
        <v>42</v>
      </c>
      <c r="K3051" s="38">
        <v>275671.93</v>
      </c>
      <c r="L3051" s="4" t="s">
        <v>25</v>
      </c>
      <c r="M3051" s="11">
        <f>_xlfn.NUMBERVALUE(LEFT(Table613[[#This Row],[Fiscal Year]], 4))</f>
        <v>2017</v>
      </c>
      <c r="N3051" s="42">
        <f t="shared" si="68"/>
        <v>283017.55780428398</v>
      </c>
      <c r="O3051" s="3">
        <v>3049</v>
      </c>
    </row>
    <row r="3052" spans="1:15" x14ac:dyDescent="0.25">
      <c r="A3052" s="3">
        <v>9</v>
      </c>
      <c r="B3052" s="3" t="s">
        <v>310</v>
      </c>
      <c r="C3052" s="3" t="s">
        <v>21</v>
      </c>
      <c r="D3052" s="3" t="s">
        <v>21</v>
      </c>
      <c r="E3052" s="11" t="s">
        <v>144</v>
      </c>
      <c r="F3052" s="3" t="s">
        <v>8</v>
      </c>
      <c r="G3052" s="66" t="s">
        <v>1306</v>
      </c>
      <c r="H3052" s="8"/>
      <c r="I3052" s="8"/>
      <c r="J3052" s="6" t="s">
        <v>108</v>
      </c>
      <c r="K3052" s="38">
        <v>8240739.1600000001</v>
      </c>
      <c r="L3052" s="4" t="s">
        <v>25</v>
      </c>
      <c r="M3052" s="11">
        <f>_xlfn.NUMBERVALUE(LEFT(Table613[[#This Row],[Fiscal Year]], 4))</f>
        <v>2017</v>
      </c>
      <c r="N3052" s="42">
        <f t="shared" si="68"/>
        <v>8460324.0945326816</v>
      </c>
      <c r="O3052" s="3">
        <v>3050</v>
      </c>
    </row>
    <row r="3053" spans="1:15" x14ac:dyDescent="0.25">
      <c r="A3053" s="3">
        <v>9</v>
      </c>
      <c r="B3053" s="3" t="s">
        <v>310</v>
      </c>
      <c r="C3053" s="3" t="s">
        <v>21</v>
      </c>
      <c r="D3053" s="3" t="s">
        <v>21</v>
      </c>
      <c r="E3053" s="11" t="s">
        <v>144</v>
      </c>
      <c r="F3053" s="3" t="s">
        <v>8</v>
      </c>
      <c r="G3053" s="66" t="s">
        <v>1307</v>
      </c>
      <c r="H3053" s="8"/>
      <c r="I3053" s="8"/>
      <c r="J3053" s="6" t="s">
        <v>76</v>
      </c>
      <c r="K3053" s="38">
        <v>169162</v>
      </c>
      <c r="L3053" s="4" t="s">
        <v>25</v>
      </c>
      <c r="M3053" s="11">
        <f>_xlfn.NUMBERVALUE(LEFT(Table613[[#This Row],[Fiscal Year]], 4))</f>
        <v>2017</v>
      </c>
      <c r="N3053" s="42">
        <f t="shared" si="68"/>
        <v>173669.53578947371</v>
      </c>
      <c r="O3053" s="3">
        <v>3051</v>
      </c>
    </row>
    <row r="3054" spans="1:15" x14ac:dyDescent="0.25">
      <c r="A3054" s="3">
        <v>9</v>
      </c>
      <c r="B3054" s="3" t="s">
        <v>310</v>
      </c>
      <c r="C3054" s="3" t="s">
        <v>21</v>
      </c>
      <c r="D3054" s="3" t="s">
        <v>21</v>
      </c>
      <c r="E3054" s="11" t="s">
        <v>144</v>
      </c>
      <c r="F3054" s="3" t="s">
        <v>8</v>
      </c>
      <c r="G3054" s="61" t="s">
        <v>361</v>
      </c>
      <c r="H3054" s="8" t="s">
        <v>688</v>
      </c>
      <c r="I3054" s="70" t="s">
        <v>686</v>
      </c>
      <c r="J3054" s="6" t="s">
        <v>455</v>
      </c>
      <c r="K3054" s="38" t="s">
        <v>827</v>
      </c>
      <c r="L3054" s="4" t="s">
        <v>25</v>
      </c>
      <c r="M3054" s="11">
        <f>_xlfn.NUMBERVALUE(LEFT(Table613[[#This Row],[Fiscal Year]], 4))</f>
        <v>2017</v>
      </c>
      <c r="O3054" s="3">
        <v>3052</v>
      </c>
    </row>
    <row r="3055" spans="1:15" x14ac:dyDescent="0.25">
      <c r="A3055" s="3">
        <v>9</v>
      </c>
      <c r="B3055" s="3" t="s">
        <v>310</v>
      </c>
      <c r="C3055" s="3" t="s">
        <v>21</v>
      </c>
      <c r="D3055" s="3" t="s">
        <v>21</v>
      </c>
      <c r="E3055" s="11" t="s">
        <v>144</v>
      </c>
      <c r="F3055" s="3" t="s">
        <v>8</v>
      </c>
      <c r="G3055" s="69" t="s">
        <v>362</v>
      </c>
      <c r="H3055" s="8" t="s">
        <v>595</v>
      </c>
      <c r="I3055" s="8" t="s">
        <v>590</v>
      </c>
      <c r="J3055" s="6" t="s">
        <v>455</v>
      </c>
      <c r="K3055" s="38" t="s">
        <v>827</v>
      </c>
      <c r="L3055" s="4" t="s">
        <v>25</v>
      </c>
      <c r="M3055" s="11">
        <f>_xlfn.NUMBERVALUE(LEFT(Table613[[#This Row],[Fiscal Year]], 4))</f>
        <v>2017</v>
      </c>
      <c r="O3055" s="3">
        <v>3053</v>
      </c>
    </row>
    <row r="3056" spans="1:15" x14ac:dyDescent="0.25">
      <c r="A3056" s="3">
        <v>9</v>
      </c>
      <c r="B3056" s="3" t="s">
        <v>310</v>
      </c>
      <c r="C3056" s="3" t="s">
        <v>21</v>
      </c>
      <c r="D3056" s="3" t="s">
        <v>21</v>
      </c>
      <c r="E3056" s="11" t="s">
        <v>144</v>
      </c>
      <c r="F3056" s="3" t="s">
        <v>8</v>
      </c>
      <c r="G3056" s="69" t="s">
        <v>363</v>
      </c>
      <c r="H3056" s="8" t="s">
        <v>596</v>
      </c>
      <c r="I3056" s="8"/>
      <c r="J3056" s="6" t="s">
        <v>111</v>
      </c>
      <c r="K3056" s="38" t="s">
        <v>827</v>
      </c>
      <c r="L3056" s="4" t="s">
        <v>25</v>
      </c>
      <c r="M3056" s="11">
        <f>_xlfn.NUMBERVALUE(LEFT(Table613[[#This Row],[Fiscal Year]], 4))</f>
        <v>2017</v>
      </c>
      <c r="O3056" s="3">
        <v>3054</v>
      </c>
    </row>
    <row r="3057" spans="1:15" x14ac:dyDescent="0.25">
      <c r="A3057" s="3">
        <v>9</v>
      </c>
      <c r="B3057" s="3" t="s">
        <v>310</v>
      </c>
      <c r="C3057" s="3" t="s">
        <v>21</v>
      </c>
      <c r="D3057" s="3" t="s">
        <v>21</v>
      </c>
      <c r="E3057" s="11" t="s">
        <v>144</v>
      </c>
      <c r="F3057" s="3" t="s">
        <v>8</v>
      </c>
      <c r="G3057" s="69" t="s">
        <v>336</v>
      </c>
      <c r="H3057" s="8"/>
      <c r="I3057" s="8"/>
      <c r="J3057" s="6" t="s">
        <v>108</v>
      </c>
      <c r="K3057" s="38" t="s">
        <v>827</v>
      </c>
      <c r="L3057" s="4" t="s">
        <v>25</v>
      </c>
      <c r="M3057" s="11">
        <f>_xlfn.NUMBERVALUE(LEFT(Table613[[#This Row],[Fiscal Year]], 4))</f>
        <v>2017</v>
      </c>
      <c r="O3057" s="3">
        <v>3055</v>
      </c>
    </row>
    <row r="3058" spans="1:15" x14ac:dyDescent="0.25">
      <c r="A3058" s="3">
        <v>9</v>
      </c>
      <c r="B3058" s="3" t="s">
        <v>310</v>
      </c>
      <c r="C3058" s="3" t="s">
        <v>21</v>
      </c>
      <c r="D3058" s="3" t="s">
        <v>21</v>
      </c>
      <c r="E3058" s="11" t="s">
        <v>144</v>
      </c>
      <c r="F3058" s="3" t="s">
        <v>8</v>
      </c>
      <c r="G3058" s="69" t="s">
        <v>364</v>
      </c>
      <c r="H3058" s="8"/>
      <c r="I3058" s="8"/>
      <c r="J3058" s="6" t="s">
        <v>108</v>
      </c>
      <c r="K3058" s="38" t="s">
        <v>827</v>
      </c>
      <c r="L3058" s="4" t="s">
        <v>25</v>
      </c>
      <c r="M3058" s="11">
        <f>_xlfn.NUMBERVALUE(LEFT(Table613[[#This Row],[Fiscal Year]], 4))</f>
        <v>2017</v>
      </c>
      <c r="O3058" s="3">
        <v>3056</v>
      </c>
    </row>
    <row r="3059" spans="1:15" x14ac:dyDescent="0.25">
      <c r="A3059" s="3">
        <v>9</v>
      </c>
      <c r="B3059" s="3" t="s">
        <v>310</v>
      </c>
      <c r="C3059" s="3" t="s">
        <v>21</v>
      </c>
      <c r="D3059" s="3" t="s">
        <v>21</v>
      </c>
      <c r="E3059" s="11" t="s">
        <v>144</v>
      </c>
      <c r="F3059" s="3" t="s">
        <v>8</v>
      </c>
      <c r="G3059" s="69" t="s">
        <v>365</v>
      </c>
      <c r="H3059" s="8"/>
      <c r="I3059" s="8"/>
      <c r="J3059" s="6" t="s">
        <v>108</v>
      </c>
      <c r="K3059" s="38" t="s">
        <v>827</v>
      </c>
      <c r="L3059" s="4" t="s">
        <v>25</v>
      </c>
      <c r="M3059" s="11">
        <f>_xlfn.NUMBERVALUE(LEFT(Table613[[#This Row],[Fiscal Year]], 4))</f>
        <v>2017</v>
      </c>
      <c r="O3059" s="3">
        <v>3057</v>
      </c>
    </row>
    <row r="3060" spans="1:15" x14ac:dyDescent="0.25">
      <c r="A3060" s="3">
        <v>9</v>
      </c>
      <c r="B3060" s="3" t="s">
        <v>310</v>
      </c>
      <c r="C3060" s="3" t="s">
        <v>21</v>
      </c>
      <c r="D3060" s="3" t="s">
        <v>21</v>
      </c>
      <c r="E3060" s="11" t="s">
        <v>144</v>
      </c>
      <c r="F3060" s="3" t="s">
        <v>8</v>
      </c>
      <c r="G3060" s="63" t="s">
        <v>366</v>
      </c>
      <c r="H3060" s="8"/>
      <c r="I3060" s="8"/>
      <c r="J3060" s="6" t="s">
        <v>455</v>
      </c>
      <c r="K3060" s="38">
        <v>38527.89</v>
      </c>
      <c r="L3060" s="4" t="s">
        <v>25</v>
      </c>
      <c r="M3060" s="11">
        <f>_xlfn.NUMBERVALUE(LEFT(Table613[[#This Row],[Fiscal Year]], 4))</f>
        <v>2017</v>
      </c>
      <c r="N3060" s="42">
        <f t="shared" si="68"/>
        <v>39554.514437331709</v>
      </c>
      <c r="O3060" s="3">
        <v>3058</v>
      </c>
    </row>
    <row r="3061" spans="1:15" x14ac:dyDescent="0.25">
      <c r="A3061" s="3">
        <v>9</v>
      </c>
      <c r="B3061" s="3" t="s">
        <v>310</v>
      </c>
      <c r="C3061" s="3" t="s">
        <v>21</v>
      </c>
      <c r="D3061" s="3" t="s">
        <v>21</v>
      </c>
      <c r="E3061" s="11" t="s">
        <v>144</v>
      </c>
      <c r="F3061" s="3" t="s">
        <v>8</v>
      </c>
      <c r="G3061" s="63" t="s">
        <v>367</v>
      </c>
      <c r="H3061" s="8"/>
      <c r="I3061" s="8"/>
      <c r="J3061" s="6" t="s">
        <v>605</v>
      </c>
      <c r="K3061" s="38">
        <v>246173.86</v>
      </c>
      <c r="L3061" s="4" t="s">
        <v>25</v>
      </c>
      <c r="M3061" s="11">
        <f>_xlfn.NUMBERVALUE(LEFT(Table613[[#This Row],[Fiscal Year]], 4))</f>
        <v>2017</v>
      </c>
      <c r="N3061" s="42">
        <f t="shared" si="68"/>
        <v>252733.47436009793</v>
      </c>
      <c r="O3061" s="3">
        <v>3059</v>
      </c>
    </row>
    <row r="3062" spans="1:15" x14ac:dyDescent="0.25">
      <c r="E3062" s="11"/>
      <c r="G3062" s="66"/>
      <c r="H3062" s="8"/>
      <c r="I3062" s="8"/>
      <c r="J3062" s="6"/>
      <c r="L3062" s="4"/>
      <c r="O3062" s="3">
        <v>3060</v>
      </c>
    </row>
    <row r="3063" spans="1:15" x14ac:dyDescent="0.25">
      <c r="A3063" s="3">
        <v>9</v>
      </c>
      <c r="B3063" s="3" t="s">
        <v>311</v>
      </c>
      <c r="C3063" s="3" t="s">
        <v>21</v>
      </c>
      <c r="D3063" s="3" t="s">
        <v>21</v>
      </c>
      <c r="E3063" s="11" t="s">
        <v>144</v>
      </c>
      <c r="F3063" s="3" t="s">
        <v>8</v>
      </c>
      <c r="G3063" s="48" t="s">
        <v>1308</v>
      </c>
      <c r="H3063" s="8" t="s">
        <v>689</v>
      </c>
      <c r="I3063" s="8"/>
      <c r="J3063" s="6" t="s">
        <v>110</v>
      </c>
      <c r="K3063" s="38">
        <v>358560.58</v>
      </c>
      <c r="L3063" s="4" t="s">
        <v>25</v>
      </c>
      <c r="M3063" s="11">
        <f>_xlfn.NUMBERVALUE(LEFT(Table613[[#This Row],[Fiscal Year]], 4))</f>
        <v>2017</v>
      </c>
      <c r="N3063" s="42">
        <f t="shared" si="68"/>
        <v>368114.88088935136</v>
      </c>
      <c r="O3063" s="3">
        <v>3061</v>
      </c>
    </row>
    <row r="3064" spans="1:15" x14ac:dyDescent="0.25">
      <c r="A3064" s="3">
        <v>9</v>
      </c>
      <c r="B3064" s="3" t="s">
        <v>311</v>
      </c>
      <c r="C3064" s="3" t="s">
        <v>21</v>
      </c>
      <c r="D3064" s="3" t="s">
        <v>21</v>
      </c>
      <c r="E3064" s="11" t="s">
        <v>144</v>
      </c>
      <c r="F3064" s="3" t="s">
        <v>8</v>
      </c>
      <c r="G3064" s="48" t="s">
        <v>1309</v>
      </c>
      <c r="H3064" s="8"/>
      <c r="I3064" s="8"/>
      <c r="J3064" s="6" t="s">
        <v>110</v>
      </c>
      <c r="K3064" s="38">
        <v>20868.07</v>
      </c>
      <c r="L3064" s="4" t="s">
        <v>25</v>
      </c>
      <c r="M3064" s="11">
        <f>_xlfn.NUMBERVALUE(LEFT(Table613[[#This Row],[Fiscal Year]], 4))</f>
        <v>2017</v>
      </c>
      <c r="N3064" s="42">
        <f t="shared" si="68"/>
        <v>21424.12616144431</v>
      </c>
      <c r="O3064" s="3">
        <v>3062</v>
      </c>
    </row>
    <row r="3065" spans="1:15" x14ac:dyDescent="0.25">
      <c r="A3065" s="3">
        <v>9</v>
      </c>
      <c r="B3065" s="3" t="s">
        <v>311</v>
      </c>
      <c r="C3065" s="3" t="s">
        <v>21</v>
      </c>
      <c r="D3065" s="3" t="s">
        <v>21</v>
      </c>
      <c r="E3065" s="11" t="s">
        <v>144</v>
      </c>
      <c r="F3065" s="3" t="s">
        <v>8</v>
      </c>
      <c r="G3065" s="48" t="s">
        <v>1310</v>
      </c>
      <c r="H3065" s="8"/>
      <c r="I3065" s="8"/>
      <c r="J3065" s="6" t="s">
        <v>110</v>
      </c>
      <c r="K3065" s="38">
        <v>5001.37</v>
      </c>
      <c r="L3065" s="4" t="s">
        <v>25</v>
      </c>
      <c r="M3065" s="11">
        <f>_xlfn.NUMBERVALUE(LEFT(Table613[[#This Row],[Fiscal Year]], 4))</f>
        <v>2017</v>
      </c>
      <c r="N3065" s="42">
        <f t="shared" si="68"/>
        <v>5134.6378395348838</v>
      </c>
      <c r="O3065" s="3">
        <v>3063</v>
      </c>
    </row>
    <row r="3066" spans="1:15" x14ac:dyDescent="0.25">
      <c r="A3066" s="3">
        <v>9</v>
      </c>
      <c r="B3066" s="3" t="s">
        <v>311</v>
      </c>
      <c r="C3066" s="3" t="s">
        <v>21</v>
      </c>
      <c r="D3066" s="3" t="s">
        <v>21</v>
      </c>
      <c r="E3066" s="11" t="s">
        <v>144</v>
      </c>
      <c r="F3066" s="3" t="s">
        <v>8</v>
      </c>
      <c r="G3066" s="48" t="s">
        <v>1311</v>
      </c>
      <c r="H3066" s="8"/>
      <c r="I3066" s="8"/>
      <c r="J3066" s="6" t="s">
        <v>108</v>
      </c>
      <c r="K3066" s="38">
        <v>149570.26999999999</v>
      </c>
      <c r="L3066" s="4" t="s">
        <v>25</v>
      </c>
      <c r="M3066" s="11">
        <f>_xlfn.NUMBERVALUE(LEFT(Table613[[#This Row],[Fiscal Year]], 4))</f>
        <v>2017</v>
      </c>
      <c r="N3066" s="42">
        <f t="shared" si="68"/>
        <v>153555.75932423503</v>
      </c>
      <c r="O3066" s="3">
        <v>3064</v>
      </c>
    </row>
    <row r="3067" spans="1:15" x14ac:dyDescent="0.25">
      <c r="A3067" s="3">
        <v>9</v>
      </c>
      <c r="B3067" s="3" t="s">
        <v>311</v>
      </c>
      <c r="C3067" s="3" t="s">
        <v>21</v>
      </c>
      <c r="D3067" s="3" t="s">
        <v>21</v>
      </c>
      <c r="E3067" s="11" t="s">
        <v>144</v>
      </c>
      <c r="F3067" s="3" t="s">
        <v>8</v>
      </c>
      <c r="G3067" s="48" t="s">
        <v>1312</v>
      </c>
      <c r="H3067" s="8"/>
      <c r="I3067" s="8"/>
      <c r="J3067" s="6" t="s">
        <v>108</v>
      </c>
      <c r="K3067" s="38">
        <v>0</v>
      </c>
      <c r="L3067" s="4" t="s">
        <v>25</v>
      </c>
      <c r="M3067" s="11">
        <f>_xlfn.NUMBERVALUE(LEFT(Table613[[#This Row],[Fiscal Year]], 4))</f>
        <v>2017</v>
      </c>
      <c r="N3067" s="42">
        <f t="shared" si="68"/>
        <v>0</v>
      </c>
      <c r="O3067" s="3">
        <v>3065</v>
      </c>
    </row>
    <row r="3068" spans="1:15" x14ac:dyDescent="0.25">
      <c r="A3068" s="3">
        <v>9</v>
      </c>
      <c r="B3068" s="3" t="s">
        <v>311</v>
      </c>
      <c r="C3068" s="3" t="s">
        <v>21</v>
      </c>
      <c r="D3068" s="3" t="s">
        <v>21</v>
      </c>
      <c r="E3068" s="11" t="s">
        <v>144</v>
      </c>
      <c r="F3068" s="3" t="s">
        <v>8</v>
      </c>
      <c r="G3068" s="48" t="s">
        <v>1313</v>
      </c>
      <c r="H3068" s="8"/>
      <c r="I3068" s="8"/>
      <c r="J3068" s="6" t="s">
        <v>108</v>
      </c>
      <c r="K3068" s="38">
        <v>0</v>
      </c>
      <c r="L3068" s="4" t="s">
        <v>25</v>
      </c>
      <c r="M3068" s="11">
        <f>_xlfn.NUMBERVALUE(LEFT(Table613[[#This Row],[Fiscal Year]], 4))</f>
        <v>2017</v>
      </c>
      <c r="N3068" s="42">
        <f t="shared" si="68"/>
        <v>0</v>
      </c>
      <c r="O3068" s="3">
        <v>3066</v>
      </c>
    </row>
    <row r="3069" spans="1:15" x14ac:dyDescent="0.25">
      <c r="A3069" s="3">
        <v>9</v>
      </c>
      <c r="B3069" s="3" t="s">
        <v>311</v>
      </c>
      <c r="C3069" s="3" t="s">
        <v>21</v>
      </c>
      <c r="D3069" s="3" t="s">
        <v>21</v>
      </c>
      <c r="E3069" s="11" t="s">
        <v>144</v>
      </c>
      <c r="F3069" s="3" t="s">
        <v>8</v>
      </c>
      <c r="G3069" s="48" t="s">
        <v>1314</v>
      </c>
      <c r="H3069" s="8"/>
      <c r="I3069" s="8"/>
      <c r="J3069" s="6" t="s">
        <v>108</v>
      </c>
      <c r="K3069" s="38">
        <v>26615.33</v>
      </c>
      <c r="L3069" s="4" t="s">
        <v>25</v>
      </c>
      <c r="M3069" s="11">
        <f>_xlfn.NUMBERVALUE(LEFT(Table613[[#This Row],[Fiscal Year]], 4))</f>
        <v>2017</v>
      </c>
      <c r="N3069" s="42">
        <f t="shared" si="68"/>
        <v>27324.529184944924</v>
      </c>
      <c r="O3069" s="3">
        <v>3067</v>
      </c>
    </row>
    <row r="3070" spans="1:15" x14ac:dyDescent="0.25">
      <c r="A3070" s="3">
        <v>9</v>
      </c>
      <c r="B3070" s="3" t="s">
        <v>311</v>
      </c>
      <c r="C3070" s="3" t="s">
        <v>21</v>
      </c>
      <c r="D3070" s="3" t="s">
        <v>21</v>
      </c>
      <c r="E3070" s="11" t="s">
        <v>144</v>
      </c>
      <c r="F3070" s="3" t="s">
        <v>8</v>
      </c>
      <c r="G3070" s="48" t="s">
        <v>1315</v>
      </c>
      <c r="H3070" s="8"/>
      <c r="I3070" s="8"/>
      <c r="J3070" s="6" t="s">
        <v>108</v>
      </c>
      <c r="K3070" s="38">
        <v>61.64</v>
      </c>
      <c r="L3070" s="4" t="s">
        <v>25</v>
      </c>
      <c r="M3070" s="11">
        <f>_xlfn.NUMBERVALUE(LEFT(Table613[[#This Row],[Fiscal Year]], 4))</f>
        <v>2017</v>
      </c>
      <c r="N3070" s="42">
        <f t="shared" si="68"/>
        <v>63.282475887392906</v>
      </c>
      <c r="O3070" s="3">
        <v>3068</v>
      </c>
    </row>
    <row r="3071" spans="1:15" x14ac:dyDescent="0.25">
      <c r="A3071" s="3">
        <v>9</v>
      </c>
      <c r="B3071" s="3" t="s">
        <v>311</v>
      </c>
      <c r="C3071" s="3" t="s">
        <v>21</v>
      </c>
      <c r="D3071" s="3" t="s">
        <v>21</v>
      </c>
      <c r="E3071" s="11" t="s">
        <v>144</v>
      </c>
      <c r="F3071" s="3" t="s">
        <v>8</v>
      </c>
      <c r="G3071" s="48" t="s">
        <v>1316</v>
      </c>
      <c r="H3071" s="8"/>
      <c r="I3071" s="8"/>
      <c r="J3071" s="6" t="s">
        <v>108</v>
      </c>
      <c r="K3071" s="38">
        <v>1428.03</v>
      </c>
      <c r="L3071" s="4" t="s">
        <v>25</v>
      </c>
      <c r="M3071" s="11">
        <f>_xlfn.NUMBERVALUE(LEFT(Table613[[#This Row],[Fiscal Year]], 4))</f>
        <v>2017</v>
      </c>
      <c r="N3071" s="42">
        <f t="shared" si="68"/>
        <v>1466.0816684210529</v>
      </c>
      <c r="O3071" s="3">
        <v>3069</v>
      </c>
    </row>
    <row r="3072" spans="1:15" x14ac:dyDescent="0.25">
      <c r="A3072" s="3">
        <v>9</v>
      </c>
      <c r="B3072" s="3" t="s">
        <v>311</v>
      </c>
      <c r="C3072" s="3" t="s">
        <v>21</v>
      </c>
      <c r="D3072" s="3" t="s">
        <v>21</v>
      </c>
      <c r="E3072" s="11" t="s">
        <v>144</v>
      </c>
      <c r="F3072" s="3" t="s">
        <v>8</v>
      </c>
      <c r="G3072" s="48" t="s">
        <v>1317</v>
      </c>
      <c r="H3072" s="8"/>
      <c r="I3072" s="8"/>
      <c r="J3072" s="6" t="s">
        <v>108</v>
      </c>
      <c r="K3072" s="38">
        <v>0</v>
      </c>
      <c r="L3072" s="4" t="s">
        <v>25</v>
      </c>
      <c r="M3072" s="11">
        <f>_xlfn.NUMBERVALUE(LEFT(Table613[[#This Row],[Fiscal Year]], 4))</f>
        <v>2017</v>
      </c>
      <c r="N3072" s="42">
        <f t="shared" si="68"/>
        <v>0</v>
      </c>
      <c r="O3072" s="3">
        <v>3070</v>
      </c>
    </row>
    <row r="3073" spans="1:15" x14ac:dyDescent="0.25">
      <c r="A3073" s="3">
        <v>9</v>
      </c>
      <c r="B3073" s="3" t="s">
        <v>311</v>
      </c>
      <c r="C3073" s="3" t="s">
        <v>21</v>
      </c>
      <c r="D3073" s="3" t="s">
        <v>21</v>
      </c>
      <c r="E3073" s="11" t="s">
        <v>144</v>
      </c>
      <c r="F3073" s="3" t="s">
        <v>8</v>
      </c>
      <c r="G3073" s="48" t="s">
        <v>1318</v>
      </c>
      <c r="H3073" s="8"/>
      <c r="I3073" s="8"/>
      <c r="J3073" s="6" t="s">
        <v>108</v>
      </c>
      <c r="K3073" s="38">
        <v>22170.639999999999</v>
      </c>
      <c r="L3073" s="4" t="s">
        <v>25</v>
      </c>
      <c r="M3073" s="11">
        <f>_xlfn.NUMBERVALUE(LEFT(Table613[[#This Row],[Fiscal Year]], 4))</f>
        <v>2017</v>
      </c>
      <c r="N3073" s="42">
        <f t="shared" si="68"/>
        <v>22761.404789228887</v>
      </c>
      <c r="O3073" s="3">
        <v>3071</v>
      </c>
    </row>
    <row r="3074" spans="1:15" x14ac:dyDescent="0.25">
      <c r="A3074" s="3">
        <v>9</v>
      </c>
      <c r="B3074" s="3" t="s">
        <v>311</v>
      </c>
      <c r="C3074" s="3" t="s">
        <v>21</v>
      </c>
      <c r="D3074" s="3" t="s">
        <v>21</v>
      </c>
      <c r="E3074" s="11" t="s">
        <v>144</v>
      </c>
      <c r="F3074" s="3" t="s">
        <v>8</v>
      </c>
      <c r="G3074" s="48" t="s">
        <v>1319</v>
      </c>
      <c r="H3074" s="8"/>
      <c r="I3074" s="8"/>
      <c r="J3074" s="6" t="s">
        <v>108</v>
      </c>
      <c r="K3074" s="38">
        <v>32.1</v>
      </c>
      <c r="L3074" s="4" t="s">
        <v>25</v>
      </c>
      <c r="M3074" s="11">
        <f>_xlfn.NUMBERVALUE(LEFT(Table613[[#This Row],[Fiscal Year]], 4))</f>
        <v>2017</v>
      </c>
      <c r="N3074" s="42">
        <f t="shared" ref="N3074:N3131" si="69">K3074*(1+VLOOKUP(M3074,$AF$8:$AH$31,3,0))</f>
        <v>32.955345165238683</v>
      </c>
      <c r="O3074" s="3">
        <v>3072</v>
      </c>
    </row>
    <row r="3075" spans="1:15" x14ac:dyDescent="0.25">
      <c r="A3075" s="3">
        <v>9</v>
      </c>
      <c r="B3075" s="3" t="s">
        <v>311</v>
      </c>
      <c r="C3075" s="3" t="s">
        <v>21</v>
      </c>
      <c r="D3075" s="3" t="s">
        <v>21</v>
      </c>
      <c r="E3075" s="11" t="s">
        <v>144</v>
      </c>
      <c r="F3075" s="3" t="s">
        <v>8</v>
      </c>
      <c r="G3075" s="48" t="s">
        <v>1320</v>
      </c>
      <c r="H3075" s="8"/>
      <c r="I3075" s="8"/>
      <c r="J3075" s="6" t="s">
        <v>108</v>
      </c>
      <c r="K3075" s="38">
        <v>139899.95000000001</v>
      </c>
      <c r="L3075" s="4" t="s">
        <v>25</v>
      </c>
      <c r="M3075" s="11">
        <f>_xlfn.NUMBERVALUE(LEFT(Table613[[#This Row],[Fiscal Year]], 4))</f>
        <v>2017</v>
      </c>
      <c r="N3075" s="42">
        <f t="shared" si="69"/>
        <v>143627.76139718486</v>
      </c>
      <c r="O3075" s="3">
        <v>3073</v>
      </c>
    </row>
    <row r="3076" spans="1:15" x14ac:dyDescent="0.25">
      <c r="A3076" s="3">
        <v>9</v>
      </c>
      <c r="B3076" s="3" t="s">
        <v>311</v>
      </c>
      <c r="C3076" s="3" t="s">
        <v>21</v>
      </c>
      <c r="D3076" s="3" t="s">
        <v>21</v>
      </c>
      <c r="E3076" s="11" t="s">
        <v>144</v>
      </c>
      <c r="F3076" s="3" t="s">
        <v>8</v>
      </c>
      <c r="G3076" s="48" t="s">
        <v>1321</v>
      </c>
      <c r="H3076" s="8"/>
      <c r="I3076" s="8"/>
      <c r="J3076" s="6" t="s">
        <v>108</v>
      </c>
      <c r="K3076" s="38">
        <v>27.2</v>
      </c>
      <c r="L3076" s="4" t="s">
        <v>25</v>
      </c>
      <c r="M3076" s="11">
        <f>_xlfn.NUMBERVALUE(LEFT(Table613[[#This Row],[Fiscal Year]], 4))</f>
        <v>2017</v>
      </c>
      <c r="N3076" s="42">
        <f t="shared" si="69"/>
        <v>27.924778457772341</v>
      </c>
      <c r="O3076" s="3">
        <v>3074</v>
      </c>
    </row>
    <row r="3077" spans="1:15" x14ac:dyDescent="0.25">
      <c r="A3077" s="3">
        <v>9</v>
      </c>
      <c r="B3077" s="3" t="s">
        <v>311</v>
      </c>
      <c r="C3077" s="3" t="s">
        <v>21</v>
      </c>
      <c r="D3077" s="3" t="s">
        <v>21</v>
      </c>
      <c r="E3077" s="11" t="s">
        <v>144</v>
      </c>
      <c r="F3077" s="3" t="s">
        <v>8</v>
      </c>
      <c r="G3077" s="48" t="s">
        <v>1322</v>
      </c>
      <c r="H3077" s="8"/>
      <c r="I3077" s="8"/>
      <c r="J3077" s="6" t="s">
        <v>108</v>
      </c>
      <c r="K3077" s="38">
        <v>0</v>
      </c>
      <c r="L3077" s="4" t="s">
        <v>25</v>
      </c>
      <c r="M3077" s="11">
        <f>_xlfn.NUMBERVALUE(LEFT(Table613[[#This Row],[Fiscal Year]], 4))</f>
        <v>2017</v>
      </c>
      <c r="N3077" s="42">
        <f t="shared" si="69"/>
        <v>0</v>
      </c>
      <c r="O3077" s="3">
        <v>3075</v>
      </c>
    </row>
    <row r="3078" spans="1:15" x14ac:dyDescent="0.25">
      <c r="A3078" s="3">
        <v>9</v>
      </c>
      <c r="B3078" s="3" t="s">
        <v>311</v>
      </c>
      <c r="C3078" s="3" t="s">
        <v>21</v>
      </c>
      <c r="D3078" s="3" t="s">
        <v>21</v>
      </c>
      <c r="E3078" s="11" t="s">
        <v>144</v>
      </c>
      <c r="F3078" s="3" t="s">
        <v>8</v>
      </c>
      <c r="G3078" s="48" t="s">
        <v>1323</v>
      </c>
      <c r="H3078" s="8"/>
      <c r="I3078" s="8"/>
      <c r="J3078" s="6" t="s">
        <v>108</v>
      </c>
      <c r="K3078" s="38">
        <v>3182.91</v>
      </c>
      <c r="L3078" s="4" t="s">
        <v>25</v>
      </c>
      <c r="M3078" s="11">
        <f>_xlfn.NUMBERVALUE(LEFT(Table613[[#This Row],[Fiscal Year]], 4))</f>
        <v>2017</v>
      </c>
      <c r="N3078" s="42">
        <f t="shared" si="69"/>
        <v>3267.722669155447</v>
      </c>
      <c r="O3078" s="3">
        <v>3076</v>
      </c>
    </row>
    <row r="3079" spans="1:15" x14ac:dyDescent="0.25">
      <c r="A3079" s="3">
        <v>9</v>
      </c>
      <c r="B3079" s="3" t="s">
        <v>311</v>
      </c>
      <c r="C3079" s="3" t="s">
        <v>21</v>
      </c>
      <c r="D3079" s="3" t="s">
        <v>21</v>
      </c>
      <c r="E3079" s="11" t="s">
        <v>144</v>
      </c>
      <c r="F3079" s="3" t="s">
        <v>8</v>
      </c>
      <c r="G3079" s="48" t="s">
        <v>1324</v>
      </c>
      <c r="H3079" s="8"/>
      <c r="I3079" s="8"/>
      <c r="J3079" s="6" t="s">
        <v>108</v>
      </c>
      <c r="K3079" s="38">
        <v>670</v>
      </c>
      <c r="L3079" s="4" t="s">
        <v>25</v>
      </c>
      <c r="M3079" s="11">
        <f>_xlfn.NUMBERVALUE(LEFT(Table613[[#This Row],[Fiscal Year]], 4))</f>
        <v>2017</v>
      </c>
      <c r="N3079" s="42">
        <f t="shared" si="69"/>
        <v>687.85299877600983</v>
      </c>
      <c r="O3079" s="3">
        <v>3077</v>
      </c>
    </row>
    <row r="3080" spans="1:15" x14ac:dyDescent="0.25">
      <c r="A3080" s="3">
        <v>9</v>
      </c>
      <c r="B3080" s="3" t="s">
        <v>311</v>
      </c>
      <c r="C3080" s="3" t="s">
        <v>21</v>
      </c>
      <c r="D3080" s="3" t="s">
        <v>21</v>
      </c>
      <c r="E3080" s="11" t="s">
        <v>144</v>
      </c>
      <c r="F3080" s="3" t="s">
        <v>8</v>
      </c>
      <c r="G3080" s="48" t="s">
        <v>1325</v>
      </c>
      <c r="H3080" s="8"/>
      <c r="I3080" s="8"/>
      <c r="J3080" s="6" t="s">
        <v>108</v>
      </c>
      <c r="K3080" s="38">
        <v>55.66</v>
      </c>
      <c r="L3080" s="4" t="s">
        <v>25</v>
      </c>
      <c r="M3080" s="11">
        <f>_xlfn.NUMBERVALUE(LEFT(Table613[[#This Row],[Fiscal Year]], 4))</f>
        <v>2017</v>
      </c>
      <c r="N3080" s="42">
        <f t="shared" si="69"/>
        <v>57.143131211750308</v>
      </c>
      <c r="O3080" s="3">
        <v>3078</v>
      </c>
    </row>
    <row r="3081" spans="1:15" x14ac:dyDescent="0.25">
      <c r="A3081" s="3">
        <v>9</v>
      </c>
      <c r="B3081" s="3" t="s">
        <v>311</v>
      </c>
      <c r="C3081" s="3" t="s">
        <v>21</v>
      </c>
      <c r="D3081" s="3" t="s">
        <v>21</v>
      </c>
      <c r="E3081" s="11" t="s">
        <v>144</v>
      </c>
      <c r="F3081" s="3" t="s">
        <v>8</v>
      </c>
      <c r="G3081" s="48" t="s">
        <v>1326</v>
      </c>
      <c r="H3081" s="8"/>
      <c r="I3081" s="8"/>
      <c r="J3081" s="6" t="s">
        <v>108</v>
      </c>
      <c r="K3081" s="38">
        <v>1388.98</v>
      </c>
      <c r="L3081" s="4" t="s">
        <v>25</v>
      </c>
      <c r="M3081" s="11">
        <f>_xlfn.NUMBERVALUE(LEFT(Table613[[#This Row],[Fiscal Year]], 4))</f>
        <v>2017</v>
      </c>
      <c r="N3081" s="42">
        <f t="shared" si="69"/>
        <v>1425.9911317013466</v>
      </c>
      <c r="O3081" s="3">
        <v>3079</v>
      </c>
    </row>
    <row r="3082" spans="1:15" x14ac:dyDescent="0.25">
      <c r="A3082" s="3">
        <v>9</v>
      </c>
      <c r="B3082" s="3" t="s">
        <v>311</v>
      </c>
      <c r="C3082" s="3" t="s">
        <v>21</v>
      </c>
      <c r="D3082" s="3" t="s">
        <v>21</v>
      </c>
      <c r="E3082" s="11" t="s">
        <v>144</v>
      </c>
      <c r="F3082" s="3" t="s">
        <v>8</v>
      </c>
      <c r="G3082" s="48" t="s">
        <v>1327</v>
      </c>
      <c r="H3082" s="8"/>
      <c r="I3082" s="8"/>
      <c r="J3082" s="6" t="s">
        <v>108</v>
      </c>
      <c r="K3082" s="38">
        <v>853.56</v>
      </c>
      <c r="L3082" s="4" t="s">
        <v>25</v>
      </c>
      <c r="M3082" s="11">
        <f>_xlfn.NUMBERVALUE(LEFT(Table613[[#This Row],[Fiscal Year]], 4))</f>
        <v>2017</v>
      </c>
      <c r="N3082" s="42">
        <f t="shared" si="69"/>
        <v>876.30418751529987</v>
      </c>
      <c r="O3082" s="3">
        <v>3080</v>
      </c>
    </row>
    <row r="3083" spans="1:15" x14ac:dyDescent="0.25">
      <c r="A3083" s="3">
        <v>9</v>
      </c>
      <c r="B3083" s="3" t="s">
        <v>311</v>
      </c>
      <c r="C3083" s="3" t="s">
        <v>21</v>
      </c>
      <c r="D3083" s="3" t="s">
        <v>21</v>
      </c>
      <c r="E3083" s="11" t="s">
        <v>144</v>
      </c>
      <c r="F3083" s="3" t="s">
        <v>8</v>
      </c>
      <c r="G3083" s="48" t="s">
        <v>1328</v>
      </c>
      <c r="H3083" s="8"/>
      <c r="I3083" s="8"/>
      <c r="J3083" s="6" t="s">
        <v>108</v>
      </c>
      <c r="K3083" s="38">
        <v>501.74</v>
      </c>
      <c r="L3083" s="4" t="s">
        <v>25</v>
      </c>
      <c r="M3083" s="11">
        <f>_xlfn.NUMBERVALUE(LEFT(Table613[[#This Row],[Fiscal Year]], 4))</f>
        <v>2017</v>
      </c>
      <c r="N3083" s="42">
        <f t="shared" si="69"/>
        <v>515.10949791921666</v>
      </c>
      <c r="O3083" s="3">
        <v>3081</v>
      </c>
    </row>
    <row r="3084" spans="1:15" x14ac:dyDescent="0.25">
      <c r="A3084" s="3">
        <v>9</v>
      </c>
      <c r="B3084" s="3" t="s">
        <v>311</v>
      </c>
      <c r="C3084" s="3" t="s">
        <v>21</v>
      </c>
      <c r="D3084" s="3" t="s">
        <v>21</v>
      </c>
      <c r="E3084" s="11" t="s">
        <v>144</v>
      </c>
      <c r="F3084" s="3" t="s">
        <v>8</v>
      </c>
      <c r="G3084" s="48" t="s">
        <v>1329</v>
      </c>
      <c r="H3084" s="8"/>
      <c r="I3084" s="8"/>
      <c r="J3084" s="6" t="s">
        <v>110</v>
      </c>
      <c r="K3084" s="38">
        <v>12000</v>
      </c>
      <c r="L3084" s="4" t="s">
        <v>25</v>
      </c>
      <c r="M3084" s="11">
        <f>_xlfn.NUMBERVALUE(LEFT(Table613[[#This Row],[Fiscal Year]], 4))</f>
        <v>2017</v>
      </c>
      <c r="N3084" s="42">
        <f t="shared" si="69"/>
        <v>12319.755201958385</v>
      </c>
      <c r="O3084" s="3">
        <v>3082</v>
      </c>
    </row>
    <row r="3085" spans="1:15" x14ac:dyDescent="0.25">
      <c r="A3085" s="3">
        <v>9</v>
      </c>
      <c r="B3085" s="3" t="s">
        <v>311</v>
      </c>
      <c r="C3085" s="3" t="s">
        <v>21</v>
      </c>
      <c r="D3085" s="3" t="s">
        <v>21</v>
      </c>
      <c r="E3085" s="11" t="s">
        <v>144</v>
      </c>
      <c r="F3085" s="3" t="s">
        <v>8</v>
      </c>
      <c r="G3085" s="48" t="s">
        <v>1330</v>
      </c>
      <c r="H3085" s="8"/>
      <c r="I3085" s="8"/>
      <c r="J3085" s="6" t="s">
        <v>110</v>
      </c>
      <c r="K3085" s="38">
        <v>0</v>
      </c>
      <c r="L3085" s="4" t="s">
        <v>25</v>
      </c>
      <c r="M3085" s="11">
        <f>_xlfn.NUMBERVALUE(LEFT(Table613[[#This Row],[Fiscal Year]], 4))</f>
        <v>2017</v>
      </c>
      <c r="N3085" s="42">
        <f t="shared" si="69"/>
        <v>0</v>
      </c>
      <c r="O3085" s="3">
        <v>3083</v>
      </c>
    </row>
    <row r="3086" spans="1:15" x14ac:dyDescent="0.25">
      <c r="A3086" s="3">
        <v>9</v>
      </c>
      <c r="B3086" s="3" t="s">
        <v>311</v>
      </c>
      <c r="C3086" s="3" t="s">
        <v>21</v>
      </c>
      <c r="D3086" s="3" t="s">
        <v>21</v>
      </c>
      <c r="E3086" s="11" t="s">
        <v>144</v>
      </c>
      <c r="F3086" s="3" t="s">
        <v>8</v>
      </c>
      <c r="G3086" s="48" t="s">
        <v>1331</v>
      </c>
      <c r="H3086" s="8"/>
      <c r="I3086" s="8"/>
      <c r="J3086" s="6" t="s">
        <v>108</v>
      </c>
      <c r="K3086" s="38">
        <v>0</v>
      </c>
      <c r="L3086" s="4" t="s">
        <v>25</v>
      </c>
      <c r="M3086" s="11">
        <f>_xlfn.NUMBERVALUE(LEFT(Table613[[#This Row],[Fiscal Year]], 4))</f>
        <v>2017</v>
      </c>
      <c r="N3086" s="42">
        <f t="shared" si="69"/>
        <v>0</v>
      </c>
      <c r="O3086" s="3">
        <v>3084</v>
      </c>
    </row>
    <row r="3087" spans="1:15" x14ac:dyDescent="0.25">
      <c r="A3087" s="3">
        <v>9</v>
      </c>
      <c r="B3087" s="3" t="s">
        <v>311</v>
      </c>
      <c r="C3087" s="3" t="s">
        <v>21</v>
      </c>
      <c r="D3087" s="3" t="s">
        <v>21</v>
      </c>
      <c r="E3087" s="11" t="s">
        <v>144</v>
      </c>
      <c r="F3087" s="3" t="s">
        <v>8</v>
      </c>
      <c r="G3087" s="48" t="s">
        <v>1332</v>
      </c>
      <c r="H3087" s="8"/>
      <c r="I3087" s="8"/>
      <c r="J3087" s="6" t="s">
        <v>108</v>
      </c>
      <c r="K3087" s="38">
        <v>274002.82</v>
      </c>
      <c r="L3087" s="4" t="s">
        <v>25</v>
      </c>
      <c r="M3087" s="11">
        <f>_xlfn.NUMBERVALUE(LEFT(Table613[[#This Row],[Fiscal Year]], 4))</f>
        <v>2017</v>
      </c>
      <c r="N3087" s="42">
        <f t="shared" si="69"/>
        <v>281303.97225385561</v>
      </c>
      <c r="O3087" s="3">
        <v>3085</v>
      </c>
    </row>
    <row r="3088" spans="1:15" ht="15" customHeight="1" x14ac:dyDescent="0.25">
      <c r="A3088" s="3">
        <v>9</v>
      </c>
      <c r="B3088" s="3" t="s">
        <v>311</v>
      </c>
      <c r="C3088" s="3" t="s">
        <v>21</v>
      </c>
      <c r="D3088" s="3" t="s">
        <v>21</v>
      </c>
      <c r="E3088" s="11" t="s">
        <v>144</v>
      </c>
      <c r="F3088" s="3" t="s">
        <v>8</v>
      </c>
      <c r="G3088" s="48" t="s">
        <v>1334</v>
      </c>
      <c r="H3088" s="8"/>
      <c r="I3088" s="8"/>
      <c r="J3088" s="6" t="s">
        <v>455</v>
      </c>
      <c r="K3088" s="38">
        <v>76073</v>
      </c>
      <c r="L3088" s="4" t="s">
        <v>25</v>
      </c>
      <c r="M3088" s="11">
        <f>_xlfn.NUMBERVALUE(LEFT(Table613[[#This Row],[Fiscal Year]], 4))</f>
        <v>2017</v>
      </c>
      <c r="N3088" s="42">
        <f t="shared" si="69"/>
        <v>78100.061456548356</v>
      </c>
      <c r="O3088" s="3">
        <v>3086</v>
      </c>
    </row>
    <row r="3089" spans="1:15" x14ac:dyDescent="0.25">
      <c r="A3089" s="3">
        <v>9</v>
      </c>
      <c r="B3089" s="3" t="s">
        <v>311</v>
      </c>
      <c r="C3089" s="3" t="s">
        <v>21</v>
      </c>
      <c r="D3089" s="3" t="s">
        <v>21</v>
      </c>
      <c r="E3089" s="11" t="s">
        <v>144</v>
      </c>
      <c r="F3089" s="3" t="s">
        <v>8</v>
      </c>
      <c r="G3089" s="66" t="s">
        <v>1333</v>
      </c>
      <c r="H3089" s="8"/>
      <c r="I3089" s="8"/>
      <c r="J3089" s="6" t="s">
        <v>455</v>
      </c>
      <c r="K3089" s="38">
        <v>0</v>
      </c>
      <c r="L3089" s="4" t="s">
        <v>25</v>
      </c>
      <c r="M3089" s="11">
        <f>_xlfn.NUMBERVALUE(LEFT(Table613[[#This Row],[Fiscal Year]], 4))</f>
        <v>2017</v>
      </c>
      <c r="N3089" s="42">
        <f t="shared" si="69"/>
        <v>0</v>
      </c>
      <c r="O3089" s="3">
        <v>3087</v>
      </c>
    </row>
    <row r="3090" spans="1:15" x14ac:dyDescent="0.25">
      <c r="E3090" s="11"/>
      <c r="G3090" s="66"/>
      <c r="H3090" s="6"/>
      <c r="I3090" s="8"/>
      <c r="J3090" s="6"/>
      <c r="L3090" s="4"/>
      <c r="O3090" s="3">
        <v>3088</v>
      </c>
    </row>
    <row r="3091" spans="1:15" x14ac:dyDescent="0.25">
      <c r="A3091" s="3">
        <v>9</v>
      </c>
      <c r="B3091" s="3" t="s">
        <v>312</v>
      </c>
      <c r="C3091" s="3" t="s">
        <v>21</v>
      </c>
      <c r="D3091" s="3" t="s">
        <v>21</v>
      </c>
      <c r="E3091" s="11" t="s">
        <v>144</v>
      </c>
      <c r="F3091" s="3" t="s">
        <v>8</v>
      </c>
      <c r="G3091" s="66" t="s">
        <v>370</v>
      </c>
      <c r="H3091" s="8"/>
      <c r="I3091" s="8"/>
      <c r="J3091" s="6" t="s">
        <v>110</v>
      </c>
      <c r="K3091" s="38">
        <v>18882</v>
      </c>
      <c r="L3091" s="4" t="s">
        <v>25</v>
      </c>
      <c r="M3091" s="11">
        <f>_xlfn.NUMBERVALUE(LEFT(Table613[[#This Row],[Fiscal Year]], 4))</f>
        <v>2017</v>
      </c>
      <c r="N3091" s="42">
        <f t="shared" si="69"/>
        <v>19385.134810281521</v>
      </c>
      <c r="O3091" s="3">
        <v>3089</v>
      </c>
    </row>
    <row r="3092" spans="1:15" x14ac:dyDescent="0.25">
      <c r="A3092" s="3">
        <v>9</v>
      </c>
      <c r="B3092" s="3" t="s">
        <v>312</v>
      </c>
      <c r="C3092" s="3" t="s">
        <v>21</v>
      </c>
      <c r="D3092" s="3" t="s">
        <v>21</v>
      </c>
      <c r="E3092" s="11" t="s">
        <v>144</v>
      </c>
      <c r="F3092" s="3" t="s">
        <v>8</v>
      </c>
      <c r="G3092" s="48" t="s">
        <v>371</v>
      </c>
      <c r="H3092" s="8"/>
      <c r="I3092" s="8"/>
      <c r="J3092" s="6" t="s">
        <v>108</v>
      </c>
      <c r="K3092" s="38">
        <v>207751</v>
      </c>
      <c r="L3092" s="4" t="s">
        <v>25</v>
      </c>
      <c r="M3092" s="11">
        <f>_xlfn.NUMBERVALUE(LEFT(Table613[[#This Row],[Fiscal Year]], 4))</f>
        <v>2017</v>
      </c>
      <c r="N3092" s="42">
        <f t="shared" si="69"/>
        <v>213286.78858017139</v>
      </c>
      <c r="O3092" s="3">
        <v>3090</v>
      </c>
    </row>
    <row r="3093" spans="1:15" x14ac:dyDescent="0.25">
      <c r="A3093" s="3">
        <v>9</v>
      </c>
      <c r="B3093" s="3" t="s">
        <v>312</v>
      </c>
      <c r="C3093" s="3" t="s">
        <v>21</v>
      </c>
      <c r="D3093" s="3" t="s">
        <v>21</v>
      </c>
      <c r="E3093" s="11" t="s">
        <v>144</v>
      </c>
      <c r="F3093" s="3" t="s">
        <v>8</v>
      </c>
      <c r="G3093" s="48" t="s">
        <v>372</v>
      </c>
      <c r="H3093" s="8"/>
      <c r="I3093" s="8"/>
      <c r="J3093" s="6" t="s">
        <v>605</v>
      </c>
      <c r="K3093" s="38">
        <v>304075</v>
      </c>
      <c r="L3093" s="4" t="s">
        <v>25</v>
      </c>
      <c r="M3093" s="11">
        <f>_xlfn.NUMBERVALUE(LEFT(Table613[[#This Row],[Fiscal Year]], 4))</f>
        <v>2017</v>
      </c>
      <c r="N3093" s="42">
        <f t="shared" si="69"/>
        <v>312177.46358629136</v>
      </c>
      <c r="O3093" s="3">
        <v>3091</v>
      </c>
    </row>
    <row r="3094" spans="1:15" x14ac:dyDescent="0.25">
      <c r="A3094" s="3">
        <v>9</v>
      </c>
      <c r="B3094" s="3" t="s">
        <v>312</v>
      </c>
      <c r="C3094" s="3" t="s">
        <v>21</v>
      </c>
      <c r="D3094" s="3" t="s">
        <v>21</v>
      </c>
      <c r="E3094" s="11" t="s">
        <v>144</v>
      </c>
      <c r="F3094" s="3" t="s">
        <v>8</v>
      </c>
      <c r="G3094" s="48" t="s">
        <v>373</v>
      </c>
      <c r="H3094" s="8"/>
      <c r="I3094" s="8"/>
      <c r="J3094" s="6" t="s">
        <v>108</v>
      </c>
      <c r="K3094" s="38">
        <v>58031</v>
      </c>
      <c r="L3094" s="4" t="s">
        <v>25</v>
      </c>
      <c r="M3094" s="11">
        <f>_xlfn.NUMBERVALUE(LEFT(Table613[[#This Row],[Fiscal Year]], 4))</f>
        <v>2017</v>
      </c>
      <c r="N3094" s="42">
        <f t="shared" si="69"/>
        <v>59577.309510403924</v>
      </c>
      <c r="O3094" s="3">
        <v>3092</v>
      </c>
    </row>
    <row r="3095" spans="1:15" x14ac:dyDescent="0.25">
      <c r="A3095" s="3">
        <v>9</v>
      </c>
      <c r="B3095" s="3" t="s">
        <v>312</v>
      </c>
      <c r="C3095" s="3" t="s">
        <v>21</v>
      </c>
      <c r="D3095" s="3" t="s">
        <v>21</v>
      </c>
      <c r="E3095" s="11" t="s">
        <v>144</v>
      </c>
      <c r="F3095" s="3" t="s">
        <v>8</v>
      </c>
      <c r="G3095" s="66" t="s">
        <v>374</v>
      </c>
      <c r="H3095" s="8"/>
      <c r="I3095" s="8"/>
      <c r="J3095" s="6" t="s">
        <v>108</v>
      </c>
      <c r="K3095" s="38">
        <v>6916</v>
      </c>
      <c r="L3095" s="4" t="s">
        <v>25</v>
      </c>
      <c r="M3095" s="11">
        <f>_xlfn.NUMBERVALUE(LEFT(Table613[[#This Row],[Fiscal Year]], 4))</f>
        <v>2017</v>
      </c>
      <c r="N3095" s="42">
        <f t="shared" si="69"/>
        <v>7100.2855813953493</v>
      </c>
      <c r="O3095" s="3">
        <v>3093</v>
      </c>
    </row>
    <row r="3096" spans="1:15" x14ac:dyDescent="0.25">
      <c r="A3096" s="3">
        <v>9</v>
      </c>
      <c r="B3096" s="3" t="s">
        <v>312</v>
      </c>
      <c r="C3096" s="3" t="s">
        <v>21</v>
      </c>
      <c r="D3096" s="3" t="s">
        <v>21</v>
      </c>
      <c r="E3096" s="11" t="s">
        <v>144</v>
      </c>
      <c r="F3096" s="3" t="s">
        <v>8</v>
      </c>
      <c r="G3096" s="48" t="s">
        <v>375</v>
      </c>
      <c r="H3096" s="8"/>
      <c r="I3096" s="8"/>
      <c r="J3096" s="6" t="s">
        <v>108</v>
      </c>
      <c r="K3096" s="38">
        <v>23467</v>
      </c>
      <c r="L3096" s="4" t="s">
        <v>25</v>
      </c>
      <c r="M3096" s="11">
        <f>_xlfn.NUMBERVALUE(LEFT(Table613[[#This Row],[Fiscal Year]], 4))</f>
        <v>2017</v>
      </c>
      <c r="N3096" s="42">
        <f t="shared" si="69"/>
        <v>24092.307943696454</v>
      </c>
      <c r="O3096" s="3">
        <v>3094</v>
      </c>
    </row>
    <row r="3097" spans="1:15" x14ac:dyDescent="0.25">
      <c r="A3097" s="3">
        <v>9</v>
      </c>
      <c r="B3097" s="3" t="s">
        <v>312</v>
      </c>
      <c r="C3097" s="3" t="s">
        <v>21</v>
      </c>
      <c r="D3097" s="3" t="s">
        <v>21</v>
      </c>
      <c r="E3097" s="11" t="s">
        <v>144</v>
      </c>
      <c r="F3097" s="3" t="s">
        <v>8</v>
      </c>
      <c r="G3097" s="48" t="s">
        <v>96</v>
      </c>
      <c r="H3097" s="8"/>
      <c r="I3097" s="8"/>
      <c r="J3097" s="6" t="s">
        <v>455</v>
      </c>
      <c r="K3097" s="38">
        <v>161511</v>
      </c>
      <c r="L3097" s="4" t="s">
        <v>25</v>
      </c>
      <c r="M3097" s="11">
        <f>_xlfn.NUMBERVALUE(LEFT(Table613[[#This Row],[Fiscal Year]], 4))</f>
        <v>2017</v>
      </c>
      <c r="N3097" s="42">
        <f t="shared" si="69"/>
        <v>165814.66520195841</v>
      </c>
      <c r="O3097" s="3">
        <v>3095</v>
      </c>
    </row>
    <row r="3098" spans="1:15" x14ac:dyDescent="0.25">
      <c r="A3098" s="3">
        <v>9</v>
      </c>
      <c r="B3098" s="3" t="s">
        <v>312</v>
      </c>
      <c r="C3098" s="3" t="s">
        <v>21</v>
      </c>
      <c r="D3098" s="3" t="s">
        <v>21</v>
      </c>
      <c r="E3098" s="11" t="s">
        <v>144</v>
      </c>
      <c r="F3098" s="3" t="s">
        <v>8</v>
      </c>
      <c r="G3098" s="66" t="s">
        <v>376</v>
      </c>
      <c r="H3098" s="8"/>
      <c r="I3098" s="8"/>
      <c r="J3098" s="6" t="s">
        <v>108</v>
      </c>
      <c r="K3098" s="38">
        <v>410055</v>
      </c>
      <c r="L3098" s="4" t="s">
        <v>25</v>
      </c>
      <c r="M3098" s="11">
        <f>_xlfn.NUMBERVALUE(LEFT(Table613[[#This Row],[Fiscal Year]], 4))</f>
        <v>2017</v>
      </c>
      <c r="N3098" s="42">
        <f t="shared" si="69"/>
        <v>420981.43494492047</v>
      </c>
      <c r="O3098" s="3">
        <v>3096</v>
      </c>
    </row>
    <row r="3099" spans="1:15" x14ac:dyDescent="0.25">
      <c r="A3099" s="3">
        <v>9</v>
      </c>
      <c r="B3099" s="3" t="s">
        <v>312</v>
      </c>
      <c r="C3099" s="3" t="s">
        <v>21</v>
      </c>
      <c r="D3099" s="3" t="s">
        <v>21</v>
      </c>
      <c r="E3099" s="11" t="s">
        <v>144</v>
      </c>
      <c r="F3099" s="3" t="s">
        <v>8</v>
      </c>
      <c r="G3099" s="66" t="s">
        <v>377</v>
      </c>
      <c r="H3099" s="8"/>
      <c r="I3099" s="8"/>
      <c r="J3099" s="6" t="s">
        <v>110</v>
      </c>
      <c r="K3099" s="38">
        <v>8055</v>
      </c>
      <c r="L3099" s="4" t="s">
        <v>25</v>
      </c>
      <c r="M3099" s="11">
        <f>_xlfn.NUMBERVALUE(LEFT(Table613[[#This Row],[Fiscal Year]], 4))</f>
        <v>2017</v>
      </c>
      <c r="N3099" s="42">
        <f t="shared" si="69"/>
        <v>8269.635679314566</v>
      </c>
      <c r="O3099" s="3">
        <v>3097</v>
      </c>
    </row>
    <row r="3100" spans="1:15" x14ac:dyDescent="0.25">
      <c r="A3100" s="3">
        <v>9</v>
      </c>
      <c r="B3100" s="3" t="s">
        <v>312</v>
      </c>
      <c r="C3100" s="3" t="s">
        <v>21</v>
      </c>
      <c r="D3100" s="3" t="s">
        <v>21</v>
      </c>
      <c r="E3100" s="11" t="s">
        <v>144</v>
      </c>
      <c r="F3100" s="3" t="s">
        <v>8</v>
      </c>
      <c r="G3100" s="66" t="s">
        <v>378</v>
      </c>
      <c r="H3100" s="8"/>
      <c r="I3100" s="8"/>
      <c r="J3100" s="6" t="s">
        <v>110</v>
      </c>
      <c r="K3100" s="38">
        <v>24552</v>
      </c>
      <c r="L3100" s="4" t="s">
        <v>25</v>
      </c>
      <c r="M3100" s="11">
        <f>_xlfn.NUMBERVALUE(LEFT(Table613[[#This Row],[Fiscal Year]], 4))</f>
        <v>2017</v>
      </c>
      <c r="N3100" s="42">
        <f t="shared" si="69"/>
        <v>25206.219143206858</v>
      </c>
      <c r="O3100" s="3">
        <v>3098</v>
      </c>
    </row>
    <row r="3101" spans="1:15" x14ac:dyDescent="0.25">
      <c r="A3101" s="3">
        <v>9</v>
      </c>
      <c r="B3101" s="3" t="s">
        <v>312</v>
      </c>
      <c r="C3101" s="3" t="s">
        <v>21</v>
      </c>
      <c r="D3101" s="3" t="s">
        <v>21</v>
      </c>
      <c r="E3101" s="11" t="s">
        <v>144</v>
      </c>
      <c r="F3101" s="3" t="s">
        <v>8</v>
      </c>
      <c r="G3101" s="66" t="s">
        <v>379</v>
      </c>
      <c r="H3101" s="8"/>
      <c r="I3101" s="8"/>
      <c r="J3101" s="6" t="s">
        <v>110</v>
      </c>
      <c r="K3101" s="38">
        <v>21056</v>
      </c>
      <c r="L3101" s="4" t="s">
        <v>25</v>
      </c>
      <c r="M3101" s="11">
        <f>_xlfn.NUMBERVALUE(LEFT(Table613[[#This Row],[Fiscal Year]], 4))</f>
        <v>2017</v>
      </c>
      <c r="N3101" s="42">
        <f t="shared" si="69"/>
        <v>21617.063794369649</v>
      </c>
      <c r="O3101" s="3">
        <v>3099</v>
      </c>
    </row>
    <row r="3102" spans="1:15" x14ac:dyDescent="0.25">
      <c r="A3102" s="3">
        <v>9</v>
      </c>
      <c r="B3102" s="3" t="s">
        <v>312</v>
      </c>
      <c r="C3102" s="3" t="s">
        <v>21</v>
      </c>
      <c r="D3102" s="3" t="s">
        <v>21</v>
      </c>
      <c r="E3102" s="11" t="s">
        <v>144</v>
      </c>
      <c r="F3102" s="3" t="s">
        <v>8</v>
      </c>
      <c r="G3102" s="66" t="s">
        <v>380</v>
      </c>
      <c r="H3102" s="8"/>
      <c r="I3102" s="8"/>
      <c r="J3102" s="6" t="s">
        <v>110</v>
      </c>
      <c r="K3102" s="38">
        <v>16904</v>
      </c>
      <c r="L3102" s="4" t="s">
        <v>25</v>
      </c>
      <c r="M3102" s="11">
        <f>_xlfn.NUMBERVALUE(LEFT(Table613[[#This Row],[Fiscal Year]], 4))</f>
        <v>2017</v>
      </c>
      <c r="N3102" s="42">
        <f t="shared" si="69"/>
        <v>17354.428494492047</v>
      </c>
      <c r="O3102" s="3">
        <v>3100</v>
      </c>
    </row>
    <row r="3103" spans="1:15" x14ac:dyDescent="0.25">
      <c r="A3103" s="3">
        <v>9</v>
      </c>
      <c r="B3103" s="3" t="s">
        <v>312</v>
      </c>
      <c r="C3103" s="3" t="s">
        <v>21</v>
      </c>
      <c r="D3103" s="3" t="s">
        <v>21</v>
      </c>
      <c r="E3103" s="11" t="s">
        <v>144</v>
      </c>
      <c r="F3103" s="3" t="s">
        <v>8</v>
      </c>
      <c r="G3103" s="66" t="s">
        <v>381</v>
      </c>
      <c r="H3103" s="8"/>
      <c r="I3103" s="8"/>
      <c r="J3103" s="6" t="s">
        <v>110</v>
      </c>
      <c r="K3103" s="38">
        <v>8313</v>
      </c>
      <c r="L3103" s="4" t="s">
        <v>25</v>
      </c>
      <c r="M3103" s="11">
        <f>_xlfn.NUMBERVALUE(LEFT(Table613[[#This Row],[Fiscal Year]], 4))</f>
        <v>2017</v>
      </c>
      <c r="N3103" s="42">
        <f t="shared" si="69"/>
        <v>8534.5104161566724</v>
      </c>
      <c r="O3103" s="3">
        <v>3101</v>
      </c>
    </row>
    <row r="3104" spans="1:15" x14ac:dyDescent="0.25">
      <c r="A3104" s="3">
        <v>9</v>
      </c>
      <c r="B3104" s="3" t="s">
        <v>312</v>
      </c>
      <c r="C3104" s="3" t="s">
        <v>21</v>
      </c>
      <c r="D3104" s="3" t="s">
        <v>21</v>
      </c>
      <c r="E3104" s="11" t="s">
        <v>144</v>
      </c>
      <c r="F3104" s="3" t="s">
        <v>8</v>
      </c>
      <c r="G3104" s="66" t="s">
        <v>454</v>
      </c>
      <c r="H3104" s="8" t="s">
        <v>589</v>
      </c>
      <c r="I3104" s="8" t="s">
        <v>590</v>
      </c>
      <c r="J3104" s="6" t="s">
        <v>110</v>
      </c>
      <c r="K3104" s="38">
        <v>79847</v>
      </c>
      <c r="L3104" s="4" t="s">
        <v>25</v>
      </c>
      <c r="M3104" s="11">
        <f>_xlfn.NUMBERVALUE(LEFT(Table613[[#This Row],[Fiscal Year]], 4))</f>
        <v>2017</v>
      </c>
      <c r="N3104" s="42">
        <f t="shared" si="69"/>
        <v>81974.624467564267</v>
      </c>
      <c r="O3104" s="3">
        <v>3102</v>
      </c>
    </row>
    <row r="3105" spans="1:15" x14ac:dyDescent="0.25">
      <c r="A3105" s="3">
        <v>9</v>
      </c>
      <c r="B3105" s="3" t="s">
        <v>312</v>
      </c>
      <c r="C3105" s="3" t="s">
        <v>21</v>
      </c>
      <c r="D3105" s="3" t="s">
        <v>21</v>
      </c>
      <c r="E3105" s="11" t="s">
        <v>144</v>
      </c>
      <c r="F3105" s="3" t="s">
        <v>8</v>
      </c>
      <c r="G3105" s="66" t="s">
        <v>382</v>
      </c>
      <c r="H3105" s="8" t="s">
        <v>690</v>
      </c>
      <c r="I3105" s="8" t="s">
        <v>691</v>
      </c>
      <c r="J3105" s="6" t="s">
        <v>455</v>
      </c>
      <c r="K3105" s="38">
        <v>6596</v>
      </c>
      <c r="L3105" s="4" t="s">
        <v>25</v>
      </c>
      <c r="M3105" s="11">
        <f>_xlfn.NUMBERVALUE(LEFT(Table613[[#This Row],[Fiscal Year]], 4))</f>
        <v>2017</v>
      </c>
      <c r="N3105" s="42">
        <f t="shared" si="69"/>
        <v>6771.7587760097931</v>
      </c>
      <c r="O3105" s="3">
        <v>3103</v>
      </c>
    </row>
    <row r="3106" spans="1:15" x14ac:dyDescent="0.25">
      <c r="A3106" s="3">
        <v>9</v>
      </c>
      <c r="B3106" s="3" t="s">
        <v>312</v>
      </c>
      <c r="C3106" s="3" t="s">
        <v>21</v>
      </c>
      <c r="D3106" s="3" t="s">
        <v>21</v>
      </c>
      <c r="E3106" s="11" t="s">
        <v>144</v>
      </c>
      <c r="F3106" s="3" t="s">
        <v>8</v>
      </c>
      <c r="G3106" s="66" t="s">
        <v>383</v>
      </c>
      <c r="H3106" s="8"/>
      <c r="I3106" s="8"/>
      <c r="J3106" s="6" t="s">
        <v>110</v>
      </c>
      <c r="K3106" s="38" t="s">
        <v>439</v>
      </c>
      <c r="L3106" s="4" t="s">
        <v>25</v>
      </c>
      <c r="M3106" s="11">
        <f>_xlfn.NUMBERVALUE(LEFT(Table613[[#This Row],[Fiscal Year]], 4))</f>
        <v>2017</v>
      </c>
      <c r="O3106" s="3">
        <v>3104</v>
      </c>
    </row>
    <row r="3107" spans="1:15" x14ac:dyDescent="0.25">
      <c r="A3107" s="3">
        <v>9</v>
      </c>
      <c r="B3107" s="3" t="s">
        <v>312</v>
      </c>
      <c r="C3107" s="3" t="s">
        <v>21</v>
      </c>
      <c r="D3107" s="3" t="s">
        <v>21</v>
      </c>
      <c r="E3107" s="11" t="s">
        <v>144</v>
      </c>
      <c r="F3107" s="3" t="s">
        <v>8</v>
      </c>
      <c r="G3107" s="66" t="s">
        <v>384</v>
      </c>
      <c r="H3107" s="8" t="s">
        <v>591</v>
      </c>
      <c r="I3107" s="8" t="s">
        <v>590</v>
      </c>
      <c r="J3107" s="6" t="s">
        <v>110</v>
      </c>
      <c r="K3107" s="38">
        <v>36046</v>
      </c>
      <c r="L3107" s="4" t="s">
        <v>25</v>
      </c>
      <c r="M3107" s="11">
        <f>_xlfn.NUMBERVALUE(LEFT(Table613[[#This Row],[Fiscal Year]], 4))</f>
        <v>2017</v>
      </c>
      <c r="N3107" s="42">
        <f t="shared" si="69"/>
        <v>37006.49133414933</v>
      </c>
      <c r="O3107" s="3">
        <v>3105</v>
      </c>
    </row>
    <row r="3108" spans="1:15" x14ac:dyDescent="0.25">
      <c r="A3108" s="3">
        <v>9</v>
      </c>
      <c r="B3108" s="3" t="s">
        <v>312</v>
      </c>
      <c r="C3108" s="3" t="s">
        <v>21</v>
      </c>
      <c r="D3108" s="3" t="s">
        <v>21</v>
      </c>
      <c r="E3108" s="11" t="s">
        <v>144</v>
      </c>
      <c r="F3108" s="3" t="s">
        <v>8</v>
      </c>
      <c r="G3108" s="66" t="s">
        <v>1335</v>
      </c>
      <c r="H3108" s="8"/>
      <c r="I3108" s="8"/>
      <c r="J3108" s="75"/>
      <c r="K3108" s="38">
        <v>107603</v>
      </c>
      <c r="L3108" s="4" t="s">
        <v>25</v>
      </c>
      <c r="M3108" s="11">
        <f>_xlfn.NUMBERVALUE(LEFT(Table613[[#This Row],[Fiscal Year]], 4))</f>
        <v>2017</v>
      </c>
      <c r="N3108" s="42">
        <f t="shared" si="69"/>
        <v>110470.21824969402</v>
      </c>
      <c r="O3108" s="3">
        <v>3106</v>
      </c>
    </row>
    <row r="3109" spans="1:15" x14ac:dyDescent="0.25">
      <c r="A3109" s="3">
        <v>9</v>
      </c>
      <c r="B3109" s="3" t="s">
        <v>312</v>
      </c>
      <c r="C3109" s="3" t="s">
        <v>21</v>
      </c>
      <c r="D3109" s="3" t="s">
        <v>21</v>
      </c>
      <c r="E3109" s="11" t="s">
        <v>144</v>
      </c>
      <c r="F3109" s="3" t="s">
        <v>8</v>
      </c>
      <c r="G3109" s="66" t="s">
        <v>1336</v>
      </c>
      <c r="H3109" s="8"/>
      <c r="I3109" s="8"/>
      <c r="J3109" s="75"/>
      <c r="K3109" s="38">
        <v>81011</v>
      </c>
      <c r="L3109" s="4" t="s">
        <v>25</v>
      </c>
      <c r="M3109" s="11">
        <f>_xlfn.NUMBERVALUE(LEFT(Table613[[#This Row],[Fiscal Year]], 4))</f>
        <v>2017</v>
      </c>
      <c r="N3109" s="42">
        <f t="shared" si="69"/>
        <v>83169.640722154232</v>
      </c>
      <c r="O3109" s="3">
        <v>3107</v>
      </c>
    </row>
    <row r="3110" spans="1:15" x14ac:dyDescent="0.25">
      <c r="A3110" s="3">
        <v>9</v>
      </c>
      <c r="B3110" s="3" t="s">
        <v>312</v>
      </c>
      <c r="C3110" s="3" t="s">
        <v>21</v>
      </c>
      <c r="D3110" s="3" t="s">
        <v>21</v>
      </c>
      <c r="E3110" s="11" t="s">
        <v>144</v>
      </c>
      <c r="F3110" s="3" t="s">
        <v>8</v>
      </c>
      <c r="G3110" s="66" t="s">
        <v>1337</v>
      </c>
      <c r="H3110" s="8"/>
      <c r="I3110" s="8"/>
      <c r="J3110" s="75"/>
      <c r="K3110" s="38">
        <v>1256152</v>
      </c>
      <c r="L3110" s="4" t="s">
        <v>25</v>
      </c>
      <c r="M3110" s="11">
        <f>_xlfn.NUMBERVALUE(LEFT(Table613[[#This Row],[Fiscal Year]], 4))</f>
        <v>2017</v>
      </c>
      <c r="N3110" s="42">
        <f t="shared" si="69"/>
        <v>1289623.7613708691</v>
      </c>
      <c r="O3110" s="3">
        <v>3108</v>
      </c>
    </row>
    <row r="3111" spans="1:15" x14ac:dyDescent="0.25">
      <c r="A3111" s="3">
        <v>9</v>
      </c>
      <c r="B3111" s="3" t="s">
        <v>312</v>
      </c>
      <c r="C3111" s="3" t="s">
        <v>21</v>
      </c>
      <c r="D3111" s="3" t="s">
        <v>21</v>
      </c>
      <c r="E3111" s="11" t="s">
        <v>144</v>
      </c>
      <c r="F3111" s="3" t="s">
        <v>8</v>
      </c>
      <c r="G3111" s="66" t="s">
        <v>1338</v>
      </c>
      <c r="H3111" s="8"/>
      <c r="I3111" s="8"/>
      <c r="J3111" s="75"/>
      <c r="K3111" s="38">
        <v>15000</v>
      </c>
      <c r="L3111" s="4" t="s">
        <v>25</v>
      </c>
      <c r="M3111" s="11">
        <f>_xlfn.NUMBERVALUE(LEFT(Table613[[#This Row],[Fiscal Year]], 4))</f>
        <v>2017</v>
      </c>
      <c r="N3111" s="42">
        <f t="shared" si="69"/>
        <v>15399.694002447983</v>
      </c>
      <c r="O3111" s="3">
        <v>3109</v>
      </c>
    </row>
    <row r="3112" spans="1:15" x14ac:dyDescent="0.25">
      <c r="A3112" s="3">
        <v>9</v>
      </c>
      <c r="B3112" s="3" t="s">
        <v>312</v>
      </c>
      <c r="C3112" s="3" t="s">
        <v>21</v>
      </c>
      <c r="D3112" s="3" t="s">
        <v>21</v>
      </c>
      <c r="E3112" s="11" t="s">
        <v>144</v>
      </c>
      <c r="F3112" s="3" t="s">
        <v>8</v>
      </c>
      <c r="G3112" s="66" t="s">
        <v>1339</v>
      </c>
      <c r="H3112" s="8"/>
      <c r="I3112" s="8"/>
      <c r="J3112" s="75"/>
      <c r="K3112" s="38">
        <v>1923696</v>
      </c>
      <c r="L3112" s="4" t="s">
        <v>25</v>
      </c>
      <c r="M3112" s="11">
        <f>_xlfn.NUMBERVALUE(LEFT(Table613[[#This Row],[Fiscal Year]], 4))</f>
        <v>2017</v>
      </c>
      <c r="N3112" s="42">
        <f t="shared" si="69"/>
        <v>1974955.3169155449</v>
      </c>
      <c r="O3112" s="3">
        <v>3110</v>
      </c>
    </row>
    <row r="3113" spans="1:15" x14ac:dyDescent="0.25">
      <c r="A3113" s="3">
        <v>9</v>
      </c>
      <c r="B3113" s="3" t="s">
        <v>312</v>
      </c>
      <c r="C3113" s="3" t="s">
        <v>21</v>
      </c>
      <c r="D3113" s="3" t="s">
        <v>21</v>
      </c>
      <c r="E3113" s="11" t="s">
        <v>144</v>
      </c>
      <c r="F3113" s="3" t="s">
        <v>8</v>
      </c>
      <c r="G3113" s="66" t="s">
        <v>1340</v>
      </c>
      <c r="H3113" s="8"/>
      <c r="I3113" s="8"/>
      <c r="J3113" s="75"/>
      <c r="K3113" s="38">
        <v>284571</v>
      </c>
      <c r="L3113" s="4" t="s">
        <v>25</v>
      </c>
      <c r="M3113" s="11">
        <f>_xlfn.NUMBERVALUE(LEFT(Table613[[#This Row],[Fiscal Year]], 4))</f>
        <v>2017</v>
      </c>
      <c r="N3113" s="42">
        <f t="shared" si="69"/>
        <v>292153.75479804166</v>
      </c>
      <c r="O3113" s="3">
        <v>3111</v>
      </c>
    </row>
    <row r="3114" spans="1:15" x14ac:dyDescent="0.25">
      <c r="A3114" s="3">
        <v>9</v>
      </c>
      <c r="B3114" s="3" t="s">
        <v>312</v>
      </c>
      <c r="C3114" s="3" t="s">
        <v>21</v>
      </c>
      <c r="D3114" s="3" t="s">
        <v>21</v>
      </c>
      <c r="E3114" s="11" t="s">
        <v>144</v>
      </c>
      <c r="F3114" s="3" t="s">
        <v>8</v>
      </c>
      <c r="G3114" s="66" t="s">
        <v>1341</v>
      </c>
      <c r="H3114" s="8"/>
      <c r="I3114" s="8"/>
      <c r="J3114" s="75"/>
      <c r="K3114" s="38">
        <v>234001</v>
      </c>
      <c r="L3114" s="4" t="s">
        <v>25</v>
      </c>
      <c r="M3114" s="11">
        <f>_xlfn.NUMBERVALUE(LEFT(Table613[[#This Row],[Fiscal Year]], 4))</f>
        <v>2017</v>
      </c>
      <c r="N3114" s="42">
        <f t="shared" si="69"/>
        <v>240236.25308445535</v>
      </c>
      <c r="O3114" s="3">
        <v>3112</v>
      </c>
    </row>
    <row r="3115" spans="1:15" x14ac:dyDescent="0.25">
      <c r="E3115" s="11"/>
      <c r="G3115" s="66"/>
      <c r="H3115" s="8"/>
      <c r="I3115" s="8"/>
      <c r="J3115" s="6"/>
      <c r="L3115" s="4"/>
      <c r="O3115" s="3">
        <v>3113</v>
      </c>
    </row>
    <row r="3116" spans="1:15" x14ac:dyDescent="0.25">
      <c r="A3116" s="3">
        <v>9</v>
      </c>
      <c r="B3116" s="3" t="s">
        <v>313</v>
      </c>
      <c r="C3116" s="3" t="s">
        <v>21</v>
      </c>
      <c r="D3116" s="3" t="s">
        <v>21</v>
      </c>
      <c r="E3116" s="11" t="s">
        <v>144</v>
      </c>
      <c r="F3116" s="3" t="s">
        <v>8</v>
      </c>
      <c r="G3116" s="48" t="s">
        <v>1240</v>
      </c>
      <c r="H3116" s="8"/>
      <c r="I3116" s="8"/>
      <c r="J3116" s="6" t="s">
        <v>110</v>
      </c>
      <c r="K3116" s="38">
        <v>79682</v>
      </c>
      <c r="L3116" s="4" t="s">
        <v>25</v>
      </c>
      <c r="M3116" s="11">
        <f>_xlfn.NUMBERVALUE(LEFT(Table613[[#This Row],[Fiscal Year]], 4))</f>
        <v>2017</v>
      </c>
      <c r="N3116" s="42">
        <f t="shared" si="69"/>
        <v>81805.227833537341</v>
      </c>
      <c r="O3116" s="3">
        <v>3114</v>
      </c>
    </row>
    <row r="3117" spans="1:15" x14ac:dyDescent="0.25">
      <c r="A3117" s="3">
        <v>9</v>
      </c>
      <c r="B3117" s="3" t="s">
        <v>313</v>
      </c>
      <c r="C3117" s="3" t="s">
        <v>21</v>
      </c>
      <c r="D3117" s="3" t="s">
        <v>21</v>
      </c>
      <c r="E3117" s="11" t="s">
        <v>144</v>
      </c>
      <c r="F3117" s="3" t="s">
        <v>8</v>
      </c>
      <c r="G3117" s="48" t="s">
        <v>1241</v>
      </c>
      <c r="H3117" s="8"/>
      <c r="I3117" s="8"/>
      <c r="J3117" s="6" t="s">
        <v>111</v>
      </c>
      <c r="K3117" s="38">
        <v>18827</v>
      </c>
      <c r="L3117" s="4" t="s">
        <v>25</v>
      </c>
      <c r="M3117" s="11">
        <f>_xlfn.NUMBERVALUE(LEFT(Table613[[#This Row],[Fiscal Year]], 4))</f>
        <v>2017</v>
      </c>
      <c r="N3117" s="42">
        <f t="shared" si="69"/>
        <v>19328.669265605877</v>
      </c>
      <c r="O3117" s="3">
        <v>3115</v>
      </c>
    </row>
    <row r="3118" spans="1:15" x14ac:dyDescent="0.25">
      <c r="A3118" s="3">
        <v>9</v>
      </c>
      <c r="B3118" s="3" t="s">
        <v>313</v>
      </c>
      <c r="C3118" s="3" t="s">
        <v>21</v>
      </c>
      <c r="D3118" s="3" t="s">
        <v>21</v>
      </c>
      <c r="E3118" s="11" t="s">
        <v>144</v>
      </c>
      <c r="F3118" s="3" t="s">
        <v>8</v>
      </c>
      <c r="G3118" s="48" t="s">
        <v>1242</v>
      </c>
      <c r="H3118" s="8"/>
      <c r="I3118" s="8"/>
      <c r="J3118" s="6" t="s">
        <v>107</v>
      </c>
      <c r="K3118" s="38">
        <v>33138</v>
      </c>
      <c r="L3118" s="4" t="s">
        <v>25</v>
      </c>
      <c r="M3118" s="11">
        <f>_xlfn.NUMBERVALUE(LEFT(Table613[[#This Row],[Fiscal Year]], 4))</f>
        <v>2017</v>
      </c>
      <c r="N3118" s="42">
        <f t="shared" si="69"/>
        <v>34021.003990208083</v>
      </c>
      <c r="O3118" s="3">
        <v>3116</v>
      </c>
    </row>
    <row r="3119" spans="1:15" x14ac:dyDescent="0.25">
      <c r="A3119" s="3">
        <v>9</v>
      </c>
      <c r="B3119" s="3" t="s">
        <v>313</v>
      </c>
      <c r="C3119" s="3" t="s">
        <v>21</v>
      </c>
      <c r="D3119" s="3" t="s">
        <v>21</v>
      </c>
      <c r="E3119" s="11" t="s">
        <v>144</v>
      </c>
      <c r="F3119" s="3" t="s">
        <v>8</v>
      </c>
      <c r="G3119" s="48" t="s">
        <v>1243</v>
      </c>
      <c r="H3119" s="8"/>
      <c r="I3119" s="8"/>
      <c r="J3119" s="6" t="s">
        <v>108</v>
      </c>
      <c r="K3119" s="38">
        <v>4376</v>
      </c>
      <c r="L3119" s="4" t="s">
        <v>25</v>
      </c>
      <c r="M3119" s="11">
        <f>_xlfn.NUMBERVALUE(LEFT(Table613[[#This Row],[Fiscal Year]], 4))</f>
        <v>2017</v>
      </c>
      <c r="N3119" s="42">
        <f t="shared" si="69"/>
        <v>4492.6040636474918</v>
      </c>
      <c r="O3119" s="3">
        <v>3117</v>
      </c>
    </row>
    <row r="3120" spans="1:15" x14ac:dyDescent="0.25">
      <c r="A3120" s="3">
        <v>9</v>
      </c>
      <c r="B3120" s="3" t="s">
        <v>313</v>
      </c>
      <c r="C3120" s="3" t="s">
        <v>21</v>
      </c>
      <c r="D3120" s="3" t="s">
        <v>21</v>
      </c>
      <c r="E3120" s="11" t="s">
        <v>144</v>
      </c>
      <c r="F3120" s="3" t="s">
        <v>8</v>
      </c>
      <c r="G3120" s="48" t="s">
        <v>1257</v>
      </c>
      <c r="H3120" s="8"/>
      <c r="I3120" s="8"/>
      <c r="J3120" s="6" t="s">
        <v>109</v>
      </c>
      <c r="K3120" s="38">
        <v>75707</v>
      </c>
      <c r="L3120" s="4" t="s">
        <v>25</v>
      </c>
      <c r="M3120" s="11">
        <f>_xlfn.NUMBERVALUE(LEFT(Table613[[#This Row],[Fiscal Year]], 4))</f>
        <v>2017</v>
      </c>
      <c r="N3120" s="42">
        <f t="shared" si="69"/>
        <v>77724.308922888624</v>
      </c>
      <c r="O3120" s="3">
        <v>3118</v>
      </c>
    </row>
    <row r="3121" spans="1:15" x14ac:dyDescent="0.25">
      <c r="A3121" s="3">
        <v>9</v>
      </c>
      <c r="B3121" s="3" t="s">
        <v>313</v>
      </c>
      <c r="C3121" s="3" t="s">
        <v>21</v>
      </c>
      <c r="D3121" s="3" t="s">
        <v>21</v>
      </c>
      <c r="E3121" s="11" t="s">
        <v>144</v>
      </c>
      <c r="F3121" s="3" t="s">
        <v>8</v>
      </c>
      <c r="G3121" s="48" t="s">
        <v>1245</v>
      </c>
      <c r="H3121" s="8"/>
      <c r="I3121" s="8"/>
      <c r="J3121" s="6" t="s">
        <v>111</v>
      </c>
      <c r="K3121" s="38">
        <v>1139</v>
      </c>
      <c r="L3121" s="4" t="s">
        <v>25</v>
      </c>
      <c r="M3121" s="11">
        <f>_xlfn.NUMBERVALUE(LEFT(Table613[[#This Row],[Fiscal Year]], 4))</f>
        <v>2017</v>
      </c>
      <c r="N3121" s="42">
        <f t="shared" si="69"/>
        <v>1169.3500979192168</v>
      </c>
      <c r="O3121" s="3">
        <v>3119</v>
      </c>
    </row>
    <row r="3122" spans="1:15" x14ac:dyDescent="0.25">
      <c r="A3122" s="3">
        <v>9</v>
      </c>
      <c r="B3122" s="3" t="s">
        <v>313</v>
      </c>
      <c r="C3122" s="3" t="s">
        <v>21</v>
      </c>
      <c r="D3122" s="3" t="s">
        <v>21</v>
      </c>
      <c r="E3122" s="11" t="s">
        <v>144</v>
      </c>
      <c r="F3122" s="3" t="s">
        <v>8</v>
      </c>
      <c r="G3122" s="48" t="s">
        <v>1246</v>
      </c>
      <c r="H3122" s="8"/>
      <c r="I3122" s="8"/>
      <c r="J3122" s="6" t="s">
        <v>106</v>
      </c>
      <c r="K3122" s="38">
        <v>74860</v>
      </c>
      <c r="L3122" s="4" t="s">
        <v>25</v>
      </c>
      <c r="M3122" s="11">
        <f>_xlfn.NUMBERVALUE(LEFT(Table613[[#This Row],[Fiscal Year]], 4))</f>
        <v>2017</v>
      </c>
      <c r="N3122" s="42">
        <f t="shared" si="69"/>
        <v>76854.739534883731</v>
      </c>
      <c r="O3122" s="3">
        <v>3120</v>
      </c>
    </row>
    <row r="3123" spans="1:15" x14ac:dyDescent="0.25">
      <c r="A3123" s="3">
        <v>9</v>
      </c>
      <c r="B3123" s="3" t="s">
        <v>313</v>
      </c>
      <c r="C3123" s="3" t="s">
        <v>21</v>
      </c>
      <c r="D3123" s="3" t="s">
        <v>21</v>
      </c>
      <c r="E3123" s="11" t="s">
        <v>144</v>
      </c>
      <c r="F3123" s="3" t="s">
        <v>8</v>
      </c>
      <c r="G3123" s="48" t="s">
        <v>1342</v>
      </c>
      <c r="H3123" s="8"/>
      <c r="I3123" s="8"/>
      <c r="J3123" s="6" t="s">
        <v>453</v>
      </c>
      <c r="K3123" s="38">
        <v>13376</v>
      </c>
      <c r="L3123" s="4" t="s">
        <v>25</v>
      </c>
      <c r="M3123" s="11">
        <f>_xlfn.NUMBERVALUE(LEFT(Table613[[#This Row],[Fiscal Year]], 4))</f>
        <v>2017</v>
      </c>
      <c r="N3123" s="42">
        <f t="shared" si="69"/>
        <v>13732.42046511628</v>
      </c>
      <c r="O3123" s="3">
        <v>3121</v>
      </c>
    </row>
    <row r="3124" spans="1:15" x14ac:dyDescent="0.25">
      <c r="A3124" s="3">
        <v>9</v>
      </c>
      <c r="B3124" s="3" t="s">
        <v>313</v>
      </c>
      <c r="C3124" s="3" t="s">
        <v>21</v>
      </c>
      <c r="D3124" s="3" t="s">
        <v>21</v>
      </c>
      <c r="E3124" s="11" t="s">
        <v>144</v>
      </c>
      <c r="F3124" s="3" t="s">
        <v>8</v>
      </c>
      <c r="G3124" s="48" t="s">
        <v>1249</v>
      </c>
      <c r="H3124" s="8" t="s">
        <v>692</v>
      </c>
      <c r="I3124" s="8"/>
      <c r="J3124" s="6" t="s">
        <v>455</v>
      </c>
      <c r="K3124" s="38">
        <v>31836</v>
      </c>
      <c r="L3124" s="4" t="s">
        <v>25</v>
      </c>
      <c r="M3124" s="11">
        <f>_xlfn.NUMBERVALUE(LEFT(Table613[[#This Row],[Fiscal Year]], 4))</f>
        <v>2017</v>
      </c>
      <c r="N3124" s="42">
        <f t="shared" si="69"/>
        <v>32684.310550795599</v>
      </c>
      <c r="O3124" s="3">
        <v>3122</v>
      </c>
    </row>
    <row r="3125" spans="1:15" x14ac:dyDescent="0.25">
      <c r="A3125" s="3">
        <v>9</v>
      </c>
      <c r="B3125" s="3" t="s">
        <v>313</v>
      </c>
      <c r="C3125" s="3" t="s">
        <v>21</v>
      </c>
      <c r="D3125" s="3" t="s">
        <v>21</v>
      </c>
      <c r="E3125" s="11" t="s">
        <v>144</v>
      </c>
      <c r="F3125" s="3" t="s">
        <v>8</v>
      </c>
      <c r="G3125" s="48" t="s">
        <v>1250</v>
      </c>
      <c r="H3125" s="8" t="s">
        <v>665</v>
      </c>
      <c r="I3125" s="70" t="s">
        <v>664</v>
      </c>
      <c r="J3125" s="6" t="s">
        <v>108</v>
      </c>
      <c r="K3125" s="38">
        <v>0</v>
      </c>
      <c r="L3125" s="4" t="s">
        <v>25</v>
      </c>
      <c r="M3125" s="11">
        <f>_xlfn.NUMBERVALUE(LEFT(Table613[[#This Row],[Fiscal Year]], 4))</f>
        <v>2017</v>
      </c>
      <c r="N3125" s="42">
        <f t="shared" si="69"/>
        <v>0</v>
      </c>
      <c r="O3125" s="3">
        <v>3123</v>
      </c>
    </row>
    <row r="3126" spans="1:15" x14ac:dyDescent="0.25">
      <c r="A3126" s="3">
        <v>9</v>
      </c>
      <c r="B3126" s="3" t="s">
        <v>313</v>
      </c>
      <c r="C3126" s="3" t="s">
        <v>21</v>
      </c>
      <c r="D3126" s="3" t="s">
        <v>21</v>
      </c>
      <c r="E3126" s="11" t="s">
        <v>144</v>
      </c>
      <c r="F3126" s="3" t="s">
        <v>8</v>
      </c>
      <c r="G3126" s="48" t="s">
        <v>1343</v>
      </c>
      <c r="H3126" s="8"/>
      <c r="I3126" s="8"/>
      <c r="J3126" s="6" t="s">
        <v>605</v>
      </c>
      <c r="K3126" s="38">
        <v>9672</v>
      </c>
      <c r="L3126" s="4" t="s">
        <v>25</v>
      </c>
      <c r="M3126" s="11">
        <f>_xlfn.NUMBERVALUE(LEFT(Table613[[#This Row],[Fiscal Year]], 4))</f>
        <v>2017</v>
      </c>
      <c r="N3126" s="42">
        <f t="shared" si="69"/>
        <v>9929.7226927784595</v>
      </c>
      <c r="O3126" s="3">
        <v>3124</v>
      </c>
    </row>
    <row r="3127" spans="1:15" x14ac:dyDescent="0.25">
      <c r="A3127" s="3">
        <v>9</v>
      </c>
      <c r="B3127" s="3" t="s">
        <v>313</v>
      </c>
      <c r="C3127" s="3" t="s">
        <v>21</v>
      </c>
      <c r="D3127" s="3" t="s">
        <v>21</v>
      </c>
      <c r="E3127" s="11" t="s">
        <v>144</v>
      </c>
      <c r="F3127" s="3" t="s">
        <v>8</v>
      </c>
      <c r="G3127" s="48" t="s">
        <v>1344</v>
      </c>
      <c r="H3127" s="8"/>
      <c r="I3127" s="8"/>
      <c r="J3127" s="6" t="s">
        <v>605</v>
      </c>
      <c r="K3127" s="38">
        <v>84251</v>
      </c>
      <c r="L3127" s="4" t="s">
        <v>25</v>
      </c>
      <c r="M3127" s="11">
        <f>_xlfn.NUMBERVALUE(LEFT(Table613[[#This Row],[Fiscal Year]], 4))</f>
        <v>2017</v>
      </c>
      <c r="N3127" s="42">
        <f t="shared" si="69"/>
        <v>86495.97462668299</v>
      </c>
      <c r="O3127" s="3">
        <v>3125</v>
      </c>
    </row>
    <row r="3128" spans="1:15" x14ac:dyDescent="0.25">
      <c r="A3128" s="3">
        <v>9</v>
      </c>
      <c r="B3128" s="3" t="s">
        <v>313</v>
      </c>
      <c r="C3128" s="3" t="s">
        <v>21</v>
      </c>
      <c r="D3128" s="3" t="s">
        <v>21</v>
      </c>
      <c r="E3128" s="11" t="s">
        <v>144</v>
      </c>
      <c r="F3128" s="3" t="s">
        <v>8</v>
      </c>
      <c r="G3128" s="48" t="s">
        <v>1345</v>
      </c>
      <c r="H3128" s="8"/>
      <c r="I3128" s="8"/>
      <c r="J3128" s="6" t="s">
        <v>110</v>
      </c>
      <c r="K3128" s="38">
        <v>21344</v>
      </c>
      <c r="L3128" s="4" t="s">
        <v>25</v>
      </c>
      <c r="M3128" s="11">
        <f>_xlfn.NUMBERVALUE(LEFT(Table613[[#This Row],[Fiscal Year]], 4))</f>
        <v>2017</v>
      </c>
      <c r="N3128" s="42">
        <f t="shared" si="69"/>
        <v>21912.737919216648</v>
      </c>
      <c r="O3128" s="3">
        <v>3126</v>
      </c>
    </row>
    <row r="3129" spans="1:15" x14ac:dyDescent="0.25">
      <c r="A3129" s="3">
        <v>9</v>
      </c>
      <c r="B3129" s="3" t="s">
        <v>313</v>
      </c>
      <c r="C3129" s="3" t="s">
        <v>21</v>
      </c>
      <c r="D3129" s="3" t="s">
        <v>21</v>
      </c>
      <c r="E3129" s="11" t="s">
        <v>144</v>
      </c>
      <c r="F3129" s="3" t="s">
        <v>8</v>
      </c>
      <c r="G3129" s="48" t="s">
        <v>1346</v>
      </c>
      <c r="H3129" s="8"/>
      <c r="I3129" s="8"/>
      <c r="J3129" s="6" t="s">
        <v>455</v>
      </c>
      <c r="K3129" s="38">
        <v>3917</v>
      </c>
      <c r="L3129" s="4" t="s">
        <v>25</v>
      </c>
      <c r="M3129" s="11">
        <f>_xlfn.NUMBERVALUE(LEFT(Table613[[#This Row],[Fiscal Year]], 4))</f>
        <v>2017</v>
      </c>
      <c r="N3129" s="42">
        <f t="shared" si="69"/>
        <v>4021.373427172583</v>
      </c>
      <c r="O3129" s="3">
        <v>3127</v>
      </c>
    </row>
    <row r="3130" spans="1:15" x14ac:dyDescent="0.25">
      <c r="A3130" s="3">
        <v>9</v>
      </c>
      <c r="B3130" s="3" t="s">
        <v>313</v>
      </c>
      <c r="C3130" s="3" t="s">
        <v>21</v>
      </c>
      <c r="D3130" s="3" t="s">
        <v>21</v>
      </c>
      <c r="E3130" s="11" t="s">
        <v>144</v>
      </c>
      <c r="F3130" s="3" t="s">
        <v>8</v>
      </c>
      <c r="G3130" s="56" t="s">
        <v>1347</v>
      </c>
      <c r="H3130" s="8"/>
      <c r="I3130" s="8"/>
      <c r="J3130" s="75"/>
      <c r="K3130" s="38">
        <v>11392</v>
      </c>
      <c r="L3130" s="4" t="s">
        <v>25</v>
      </c>
      <c r="M3130" s="11">
        <v>2017</v>
      </c>
      <c r="N3130" s="42">
        <f t="shared" si="69"/>
        <v>11695.554271725827</v>
      </c>
      <c r="O3130" s="3">
        <v>3128</v>
      </c>
    </row>
    <row r="3131" spans="1:15" x14ac:dyDescent="0.25">
      <c r="A3131" s="3">
        <v>9</v>
      </c>
      <c r="B3131" s="3" t="s">
        <v>313</v>
      </c>
      <c r="C3131" s="3" t="s">
        <v>21</v>
      </c>
      <c r="D3131" s="3" t="s">
        <v>21</v>
      </c>
      <c r="E3131" s="11" t="s">
        <v>144</v>
      </c>
      <c r="F3131" s="3" t="s">
        <v>8</v>
      </c>
      <c r="G3131" s="56" t="s">
        <v>1348</v>
      </c>
      <c r="H3131" s="8"/>
      <c r="I3131" s="8"/>
      <c r="J3131" s="75"/>
      <c r="K3131" s="38">
        <v>71167</v>
      </c>
      <c r="L3131" s="4" t="s">
        <v>25</v>
      </c>
      <c r="M3131" s="11">
        <v>2017</v>
      </c>
      <c r="N3131" s="42">
        <f t="shared" si="69"/>
        <v>73063.334871481042</v>
      </c>
      <c r="O3131" s="3">
        <v>3129</v>
      </c>
    </row>
    <row r="3132" spans="1:15" x14ac:dyDescent="0.25">
      <c r="A3132" s="3">
        <v>9</v>
      </c>
      <c r="B3132" s="3" t="s">
        <v>313</v>
      </c>
      <c r="C3132" s="3" t="s">
        <v>21</v>
      </c>
      <c r="D3132" s="3" t="s">
        <v>21</v>
      </c>
      <c r="E3132" s="11" t="s">
        <v>144</v>
      </c>
      <c r="F3132" s="3" t="s">
        <v>8</v>
      </c>
      <c r="G3132" s="56" t="s">
        <v>1349</v>
      </c>
      <c r="H3132" s="8"/>
      <c r="I3132" s="8"/>
      <c r="J3132" s="75"/>
      <c r="K3132" s="38">
        <v>0</v>
      </c>
      <c r="L3132" s="4" t="s">
        <v>25</v>
      </c>
      <c r="M3132" s="11">
        <v>2017</v>
      </c>
      <c r="N3132" s="42">
        <f>K3132*(1+VLOOKUP(M3132,$AF$8:$AH$31,3,0))</f>
        <v>0</v>
      </c>
      <c r="O3132" s="3">
        <v>3130</v>
      </c>
    </row>
    <row r="3133" spans="1:15" x14ac:dyDescent="0.25">
      <c r="A3133" s="3">
        <v>9</v>
      </c>
      <c r="B3133" s="3" t="s">
        <v>313</v>
      </c>
      <c r="C3133" s="3" t="s">
        <v>21</v>
      </c>
      <c r="D3133" s="3" t="s">
        <v>21</v>
      </c>
      <c r="E3133" s="11" t="s">
        <v>144</v>
      </c>
      <c r="F3133" s="3" t="s">
        <v>8</v>
      </c>
      <c r="G3133" s="56" t="s">
        <v>1350</v>
      </c>
      <c r="H3133" s="8"/>
      <c r="I3133" s="8"/>
      <c r="J3133" s="75"/>
      <c r="K3133" s="38">
        <v>0</v>
      </c>
      <c r="L3133" s="4" t="s">
        <v>25</v>
      </c>
      <c r="M3133" s="11">
        <v>2017</v>
      </c>
      <c r="N3133" s="42">
        <f>K3133*(1+VLOOKUP(M3133,$AF$8:$AH$31,3,0))</f>
        <v>0</v>
      </c>
      <c r="O3133" s="3">
        <v>3131</v>
      </c>
    </row>
    <row r="3134" spans="1:15" x14ac:dyDescent="0.25">
      <c r="E3134" s="11"/>
      <c r="G3134" s="66"/>
      <c r="H3134" s="8"/>
      <c r="I3134" s="8"/>
      <c r="J3134" s="6"/>
      <c r="L3134" s="4"/>
      <c r="O3134" s="3">
        <v>3132</v>
      </c>
    </row>
    <row r="3135" spans="1:15" x14ac:dyDescent="0.25">
      <c r="A3135" s="3">
        <v>9</v>
      </c>
      <c r="B3135" s="3" t="s">
        <v>314</v>
      </c>
      <c r="C3135" s="3" t="s">
        <v>21</v>
      </c>
      <c r="D3135" s="3" t="s">
        <v>21</v>
      </c>
      <c r="E3135" s="11" t="s">
        <v>144</v>
      </c>
      <c r="F3135" s="3" t="s">
        <v>8</v>
      </c>
      <c r="G3135" s="66" t="s">
        <v>385</v>
      </c>
      <c r="H3135" s="8"/>
      <c r="I3135" s="8"/>
      <c r="J3135" s="6" t="s">
        <v>110</v>
      </c>
      <c r="K3135" s="38">
        <v>14230</v>
      </c>
      <c r="L3135" s="4" t="s">
        <v>25</v>
      </c>
      <c r="M3135" s="11">
        <f>_xlfn.NUMBERVALUE(LEFT(Table613[[#This Row],[Fiscal Year]], 4))</f>
        <v>2017</v>
      </c>
      <c r="N3135" s="42">
        <f t="shared" ref="N3135:N3198" si="70">K3135*(1+VLOOKUP(M3135,$AF$8:$AH$31,3,0))</f>
        <v>14609.176376988986</v>
      </c>
      <c r="O3135" s="3">
        <v>3133</v>
      </c>
    </row>
    <row r="3136" spans="1:15" x14ac:dyDescent="0.25">
      <c r="A3136" s="3">
        <v>9</v>
      </c>
      <c r="B3136" s="3" t="s">
        <v>314</v>
      </c>
      <c r="C3136" s="3" t="s">
        <v>21</v>
      </c>
      <c r="D3136" s="3" t="s">
        <v>21</v>
      </c>
      <c r="E3136" s="11" t="s">
        <v>144</v>
      </c>
      <c r="F3136" s="3" t="s">
        <v>8</v>
      </c>
      <c r="G3136" s="48" t="s">
        <v>333</v>
      </c>
      <c r="H3136" s="8"/>
      <c r="I3136" s="8"/>
      <c r="J3136" s="6" t="s">
        <v>110</v>
      </c>
      <c r="K3136" s="38">
        <v>27337.18</v>
      </c>
      <c r="L3136" s="4" t="s">
        <v>25</v>
      </c>
      <c r="M3136" s="11">
        <f>_xlfn.NUMBERVALUE(LEFT(Table613[[#This Row],[Fiscal Year]], 4))</f>
        <v>2017</v>
      </c>
      <c r="N3136" s="42">
        <f t="shared" si="70"/>
        <v>28065.613792656062</v>
      </c>
      <c r="O3136" s="3">
        <v>3134</v>
      </c>
    </row>
    <row r="3137" spans="1:15" x14ac:dyDescent="0.25">
      <c r="A3137" s="3">
        <v>9</v>
      </c>
      <c r="B3137" s="3" t="s">
        <v>314</v>
      </c>
      <c r="C3137" s="3" t="s">
        <v>21</v>
      </c>
      <c r="D3137" s="3" t="s">
        <v>21</v>
      </c>
      <c r="E3137" s="11" t="s">
        <v>144</v>
      </c>
      <c r="F3137" s="3" t="s">
        <v>8</v>
      </c>
      <c r="G3137" s="66" t="s">
        <v>209</v>
      </c>
      <c r="H3137" s="8"/>
      <c r="I3137" s="8"/>
      <c r="J3137" s="6" t="s">
        <v>111</v>
      </c>
      <c r="K3137" s="38">
        <v>26456.69</v>
      </c>
      <c r="L3137" s="4" t="s">
        <v>25</v>
      </c>
      <c r="M3137" s="11">
        <f>_xlfn.NUMBERVALUE(LEFT(Table613[[#This Row],[Fiscal Year]], 4))</f>
        <v>2017</v>
      </c>
      <c r="N3137" s="42">
        <f t="shared" si="70"/>
        <v>27161.662021175034</v>
      </c>
      <c r="O3137" s="3">
        <v>3135</v>
      </c>
    </row>
    <row r="3138" spans="1:15" x14ac:dyDescent="0.25">
      <c r="A3138" s="3">
        <v>9</v>
      </c>
      <c r="B3138" s="3" t="s">
        <v>314</v>
      </c>
      <c r="C3138" s="3" t="s">
        <v>21</v>
      </c>
      <c r="D3138" s="3" t="s">
        <v>21</v>
      </c>
      <c r="E3138" s="11" t="s">
        <v>144</v>
      </c>
      <c r="F3138" s="3" t="s">
        <v>8</v>
      </c>
      <c r="G3138" s="66" t="s">
        <v>70</v>
      </c>
      <c r="H3138" s="8"/>
      <c r="I3138" s="8"/>
      <c r="J3138" s="6" t="s">
        <v>107</v>
      </c>
      <c r="K3138" s="38">
        <v>25676.33</v>
      </c>
      <c r="L3138" s="4" t="s">
        <v>25</v>
      </c>
      <c r="M3138" s="11">
        <f>_xlfn.NUMBERVALUE(LEFT(Table613[[#This Row],[Fiscal Year]], 4))</f>
        <v>2017</v>
      </c>
      <c r="N3138" s="42">
        <f t="shared" si="70"/>
        <v>26360.508340391683</v>
      </c>
      <c r="O3138" s="3">
        <v>3136</v>
      </c>
    </row>
    <row r="3139" spans="1:15" x14ac:dyDescent="0.25">
      <c r="A3139" s="3">
        <v>9</v>
      </c>
      <c r="B3139" s="3" t="s">
        <v>314</v>
      </c>
      <c r="C3139" s="3" t="s">
        <v>21</v>
      </c>
      <c r="D3139" s="3" t="s">
        <v>21</v>
      </c>
      <c r="E3139" s="11" t="s">
        <v>144</v>
      </c>
      <c r="F3139" s="3" t="s">
        <v>8</v>
      </c>
      <c r="G3139" s="48" t="s">
        <v>337</v>
      </c>
      <c r="H3139" s="8" t="s">
        <v>693</v>
      </c>
      <c r="I3139" s="8"/>
      <c r="J3139" s="6" t="s">
        <v>108</v>
      </c>
      <c r="K3139" s="38">
        <v>45913.49</v>
      </c>
      <c r="L3139" s="4" t="s">
        <v>25</v>
      </c>
      <c r="M3139" s="11">
        <f>_xlfn.NUMBERVALUE(LEFT(Table613[[#This Row],[Fiscal Year]], 4))</f>
        <v>2017</v>
      </c>
      <c r="N3139" s="42">
        <f t="shared" si="70"/>
        <v>47136.913105630359</v>
      </c>
      <c r="O3139" s="3">
        <v>3137</v>
      </c>
    </row>
    <row r="3140" spans="1:15" x14ac:dyDescent="0.25">
      <c r="A3140" s="3">
        <v>9</v>
      </c>
      <c r="B3140" s="3" t="s">
        <v>314</v>
      </c>
      <c r="C3140" s="3" t="s">
        <v>21</v>
      </c>
      <c r="D3140" s="3" t="s">
        <v>21</v>
      </c>
      <c r="E3140" s="11" t="s">
        <v>144</v>
      </c>
      <c r="F3140" s="3" t="s">
        <v>8</v>
      </c>
      <c r="G3140" s="66" t="s">
        <v>334</v>
      </c>
      <c r="H3140" s="8"/>
      <c r="I3140" s="8"/>
      <c r="J3140" s="6" t="s">
        <v>109</v>
      </c>
      <c r="K3140" s="38">
        <v>33440.639999999999</v>
      </c>
      <c r="L3140" s="4" t="s">
        <v>25</v>
      </c>
      <c r="M3140" s="11">
        <f>_xlfn.NUMBERVALUE(LEFT(Table613[[#This Row],[Fiscal Year]], 4))</f>
        <v>2017</v>
      </c>
      <c r="N3140" s="42">
        <f t="shared" si="70"/>
        <v>34331.708216401472</v>
      </c>
      <c r="O3140" s="3">
        <v>3138</v>
      </c>
    </row>
    <row r="3141" spans="1:15" x14ac:dyDescent="0.25">
      <c r="A3141" s="3">
        <v>9</v>
      </c>
      <c r="B3141" s="3" t="s">
        <v>314</v>
      </c>
      <c r="C3141" s="3" t="s">
        <v>21</v>
      </c>
      <c r="D3141" s="3" t="s">
        <v>21</v>
      </c>
      <c r="E3141" s="11" t="s">
        <v>144</v>
      </c>
      <c r="F3141" s="3" t="s">
        <v>8</v>
      </c>
      <c r="G3141" s="66" t="s">
        <v>49</v>
      </c>
      <c r="H3141" s="8"/>
      <c r="I3141" s="8"/>
      <c r="J3141" s="6" t="s">
        <v>111</v>
      </c>
      <c r="K3141" s="38">
        <v>8642.01</v>
      </c>
      <c r="L3141" s="4" t="s">
        <v>25</v>
      </c>
      <c r="M3141" s="11">
        <f>_xlfn.NUMBERVALUE(LEFT(Table613[[#This Row],[Fiscal Year]], 4))</f>
        <v>2017</v>
      </c>
      <c r="N3141" s="42">
        <f t="shared" si="70"/>
        <v>8872.2873044063654</v>
      </c>
      <c r="O3141" s="3">
        <v>3139</v>
      </c>
    </row>
    <row r="3142" spans="1:15" x14ac:dyDescent="0.25">
      <c r="A3142" s="3">
        <v>9</v>
      </c>
      <c r="B3142" s="3" t="s">
        <v>314</v>
      </c>
      <c r="C3142" s="3" t="s">
        <v>21</v>
      </c>
      <c r="D3142" s="3" t="s">
        <v>21</v>
      </c>
      <c r="E3142" s="11" t="s">
        <v>144</v>
      </c>
      <c r="F3142" s="3" t="s">
        <v>8</v>
      </c>
      <c r="G3142" s="66" t="s">
        <v>338</v>
      </c>
      <c r="H3142" s="8"/>
      <c r="I3142" s="8"/>
      <c r="J3142" s="6" t="s">
        <v>106</v>
      </c>
      <c r="K3142" s="38">
        <v>10981.91</v>
      </c>
      <c r="L3142" s="4" t="s">
        <v>25</v>
      </c>
      <c r="M3142" s="11">
        <f>_xlfn.NUMBERVALUE(LEFT(Table613[[#This Row],[Fiscal Year]], 4))</f>
        <v>2017</v>
      </c>
      <c r="N3142" s="42">
        <f t="shared" si="70"/>
        <v>11274.536904161569</v>
      </c>
      <c r="O3142" s="3">
        <v>3140</v>
      </c>
    </row>
    <row r="3143" spans="1:15" x14ac:dyDescent="0.25">
      <c r="A3143" s="3">
        <v>9</v>
      </c>
      <c r="B3143" s="3" t="s">
        <v>314</v>
      </c>
      <c r="C3143" s="3" t="s">
        <v>21</v>
      </c>
      <c r="D3143" s="3" t="s">
        <v>21</v>
      </c>
      <c r="E3143" s="11" t="s">
        <v>144</v>
      </c>
      <c r="F3143" s="3" t="s">
        <v>8</v>
      </c>
      <c r="G3143" s="66" t="s">
        <v>339</v>
      </c>
      <c r="H3143" s="8" t="s">
        <v>696</v>
      </c>
      <c r="I3143" s="8" t="s">
        <v>695</v>
      </c>
      <c r="J3143" s="6" t="s">
        <v>455</v>
      </c>
      <c r="K3143" s="38">
        <v>8142.01</v>
      </c>
      <c r="L3143" s="4" t="s">
        <v>25</v>
      </c>
      <c r="M3143" s="11">
        <f>_xlfn.NUMBERVALUE(LEFT(Table613[[#This Row],[Fiscal Year]], 4))</f>
        <v>2017</v>
      </c>
      <c r="N3143" s="42">
        <f t="shared" si="70"/>
        <v>8358.964170991434</v>
      </c>
      <c r="O3143" s="3">
        <v>3141</v>
      </c>
    </row>
    <row r="3144" spans="1:15" x14ac:dyDescent="0.25">
      <c r="A3144" s="3">
        <v>9</v>
      </c>
      <c r="B3144" s="3" t="s">
        <v>314</v>
      </c>
      <c r="C3144" s="3" t="s">
        <v>21</v>
      </c>
      <c r="D3144" s="3" t="s">
        <v>21</v>
      </c>
      <c r="E3144" s="11" t="s">
        <v>144</v>
      </c>
      <c r="F3144" s="3" t="s">
        <v>8</v>
      </c>
      <c r="G3144" s="66" t="s">
        <v>340</v>
      </c>
      <c r="H3144" s="8"/>
      <c r="I3144" s="8"/>
      <c r="J3144" s="6" t="s">
        <v>105</v>
      </c>
      <c r="K3144" s="38">
        <v>3419.64</v>
      </c>
      <c r="L3144" s="4" t="s">
        <v>25</v>
      </c>
      <c r="M3144" s="11">
        <f>_xlfn.NUMBERVALUE(LEFT(Table613[[#This Row],[Fiscal Year]], 4))</f>
        <v>2017</v>
      </c>
      <c r="N3144" s="42">
        <f t="shared" si="70"/>
        <v>3510.760639902081</v>
      </c>
      <c r="O3144" s="3">
        <v>3142</v>
      </c>
    </row>
    <row r="3145" spans="1:15" x14ac:dyDescent="0.25">
      <c r="A3145" s="3">
        <v>9</v>
      </c>
      <c r="B3145" s="3" t="s">
        <v>314</v>
      </c>
      <c r="C3145" s="3" t="s">
        <v>21</v>
      </c>
      <c r="D3145" s="3" t="s">
        <v>21</v>
      </c>
      <c r="E3145" s="11" t="s">
        <v>144</v>
      </c>
      <c r="F3145" s="3" t="s">
        <v>8</v>
      </c>
      <c r="G3145" s="48" t="s">
        <v>341</v>
      </c>
      <c r="H3145" s="8"/>
      <c r="I3145" s="8"/>
      <c r="J3145" s="6" t="s">
        <v>455</v>
      </c>
      <c r="K3145" s="38">
        <v>0</v>
      </c>
      <c r="L3145" s="4" t="s">
        <v>25</v>
      </c>
      <c r="M3145" s="11">
        <f>_xlfn.NUMBERVALUE(LEFT(Table613[[#This Row],[Fiscal Year]], 4))</f>
        <v>2017</v>
      </c>
      <c r="N3145" s="42">
        <f t="shared" si="70"/>
        <v>0</v>
      </c>
      <c r="O3145" s="3">
        <v>3143</v>
      </c>
    </row>
    <row r="3146" spans="1:15" x14ac:dyDescent="0.25">
      <c r="A3146" s="3">
        <v>9</v>
      </c>
      <c r="B3146" s="3" t="s">
        <v>314</v>
      </c>
      <c r="C3146" s="3" t="s">
        <v>21</v>
      </c>
      <c r="D3146" s="3" t="s">
        <v>21</v>
      </c>
      <c r="E3146" s="11" t="s">
        <v>144</v>
      </c>
      <c r="F3146" s="3" t="s">
        <v>8</v>
      </c>
      <c r="G3146" s="66" t="s">
        <v>342</v>
      </c>
      <c r="H3146" s="8" t="s">
        <v>665</v>
      </c>
      <c r="I3146" s="70" t="s">
        <v>664</v>
      </c>
      <c r="J3146" s="6" t="s">
        <v>108</v>
      </c>
      <c r="K3146" s="38">
        <v>0</v>
      </c>
      <c r="L3146" s="4" t="s">
        <v>25</v>
      </c>
      <c r="M3146" s="11">
        <f>_xlfn.NUMBERVALUE(LEFT(Table613[[#This Row],[Fiscal Year]], 4))</f>
        <v>2017</v>
      </c>
      <c r="N3146" s="42">
        <f t="shared" si="70"/>
        <v>0</v>
      </c>
      <c r="O3146" s="3">
        <v>3144</v>
      </c>
    </row>
    <row r="3147" spans="1:15" x14ac:dyDescent="0.25">
      <c r="A3147" s="3">
        <v>9</v>
      </c>
      <c r="B3147" s="3" t="s">
        <v>314</v>
      </c>
      <c r="C3147" s="3" t="s">
        <v>21</v>
      </c>
      <c r="D3147" s="3" t="s">
        <v>21</v>
      </c>
      <c r="E3147" s="11" t="s">
        <v>144</v>
      </c>
      <c r="F3147" s="3" t="s">
        <v>8</v>
      </c>
      <c r="G3147" s="69" t="s">
        <v>1351</v>
      </c>
      <c r="H3147" s="8"/>
      <c r="I3147" s="8"/>
      <c r="J3147" s="6" t="s">
        <v>605</v>
      </c>
      <c r="K3147" s="38">
        <v>9099</v>
      </c>
      <c r="L3147" s="4" t="s">
        <v>25</v>
      </c>
      <c r="M3147" s="11">
        <f>_xlfn.NUMBERVALUE(LEFT(Table613[[#This Row],[Fiscal Year]], 4))</f>
        <v>2017</v>
      </c>
      <c r="N3147" s="42">
        <f t="shared" si="70"/>
        <v>9341.4543818849452</v>
      </c>
      <c r="O3147" s="3">
        <v>3145</v>
      </c>
    </row>
    <row r="3148" spans="1:15" x14ac:dyDescent="0.25">
      <c r="A3148" s="3">
        <v>9</v>
      </c>
      <c r="B3148" s="3" t="s">
        <v>314</v>
      </c>
      <c r="C3148" s="3" t="s">
        <v>21</v>
      </c>
      <c r="D3148" s="3" t="s">
        <v>21</v>
      </c>
      <c r="E3148" s="11" t="s">
        <v>144</v>
      </c>
      <c r="F3148" s="3" t="s">
        <v>8</v>
      </c>
      <c r="G3148" s="48" t="s">
        <v>386</v>
      </c>
      <c r="H3148" s="8"/>
      <c r="I3148" s="8"/>
      <c r="J3148" s="6" t="s">
        <v>605</v>
      </c>
      <c r="K3148" s="38">
        <v>30309.24</v>
      </c>
      <c r="L3148" s="4" t="s">
        <v>25</v>
      </c>
      <c r="M3148" s="11">
        <f>_xlfn.NUMBERVALUE(LEFT(Table613[[#This Row],[Fiscal Year]], 4))</f>
        <v>2017</v>
      </c>
      <c r="N3148" s="42">
        <f t="shared" si="70"/>
        <v>31116.868096450435</v>
      </c>
      <c r="O3148" s="3">
        <v>3146</v>
      </c>
    </row>
    <row r="3149" spans="1:15" x14ac:dyDescent="0.25">
      <c r="A3149" s="3">
        <v>9</v>
      </c>
      <c r="B3149" s="3" t="s">
        <v>314</v>
      </c>
      <c r="C3149" s="3" t="s">
        <v>21</v>
      </c>
      <c r="D3149" s="3" t="s">
        <v>21</v>
      </c>
      <c r="E3149" s="11" t="s">
        <v>144</v>
      </c>
      <c r="F3149" s="3" t="s">
        <v>8</v>
      </c>
      <c r="G3149" s="48" t="s">
        <v>387</v>
      </c>
      <c r="H3149" s="8"/>
      <c r="I3149" s="8"/>
      <c r="J3149" s="6" t="s">
        <v>455</v>
      </c>
      <c r="K3149" s="38">
        <v>2327</v>
      </c>
      <c r="L3149" s="4" t="s">
        <v>25</v>
      </c>
      <c r="M3149" s="11">
        <f>_xlfn.NUMBERVALUE(LEFT(Table613[[#This Row],[Fiscal Year]], 4))</f>
        <v>2017</v>
      </c>
      <c r="N3149" s="42">
        <f t="shared" si="70"/>
        <v>2389.0058629130972</v>
      </c>
      <c r="O3149" s="3">
        <v>3147</v>
      </c>
    </row>
    <row r="3150" spans="1:15" x14ac:dyDescent="0.25">
      <c r="E3150" s="11"/>
      <c r="G3150" s="66"/>
      <c r="H3150" s="8"/>
      <c r="I3150" s="8"/>
      <c r="J3150" s="6"/>
      <c r="L3150" s="4"/>
      <c r="O3150" s="3">
        <v>3148</v>
      </c>
    </row>
    <row r="3151" spans="1:15" x14ac:dyDescent="0.25">
      <c r="A3151" s="3">
        <v>9</v>
      </c>
      <c r="B3151" s="3" t="s">
        <v>315</v>
      </c>
      <c r="C3151" s="3" t="s">
        <v>21</v>
      </c>
      <c r="D3151" s="3" t="s">
        <v>21</v>
      </c>
      <c r="E3151" s="11" t="s">
        <v>144</v>
      </c>
      <c r="F3151" s="3" t="s">
        <v>8</v>
      </c>
      <c r="G3151" s="48" t="s">
        <v>1352</v>
      </c>
      <c r="H3151" s="8"/>
      <c r="I3151" s="8"/>
      <c r="J3151" s="6" t="s">
        <v>110</v>
      </c>
      <c r="K3151" s="38">
        <v>35411</v>
      </c>
      <c r="L3151" s="4" t="s">
        <v>25</v>
      </c>
      <c r="M3151" s="11">
        <f>_xlfn.NUMBERVALUE(LEFT(Table613[[#This Row],[Fiscal Year]], 4))</f>
        <v>2017</v>
      </c>
      <c r="N3151" s="42">
        <f t="shared" si="70"/>
        <v>36354.57095471237</v>
      </c>
      <c r="O3151" s="3">
        <v>3149</v>
      </c>
    </row>
    <row r="3152" spans="1:15" x14ac:dyDescent="0.25">
      <c r="A3152" s="3">
        <v>9</v>
      </c>
      <c r="B3152" s="3" t="s">
        <v>315</v>
      </c>
      <c r="C3152" s="3" t="s">
        <v>21</v>
      </c>
      <c r="D3152" s="3" t="s">
        <v>21</v>
      </c>
      <c r="E3152" s="11" t="s">
        <v>144</v>
      </c>
      <c r="F3152" s="3" t="s">
        <v>8</v>
      </c>
      <c r="G3152" s="66" t="s">
        <v>1353</v>
      </c>
      <c r="H3152" s="8"/>
      <c r="I3152" s="8"/>
      <c r="J3152" s="6" t="s">
        <v>111</v>
      </c>
      <c r="K3152" s="38">
        <v>40465</v>
      </c>
      <c r="L3152" s="4" t="s">
        <v>25</v>
      </c>
      <c r="M3152" s="11">
        <f>_xlfn.NUMBERVALUE(LEFT(Table613[[#This Row],[Fiscal Year]], 4))</f>
        <v>2017</v>
      </c>
      <c r="N3152" s="42">
        <f t="shared" si="70"/>
        <v>41543.241187270505</v>
      </c>
      <c r="O3152" s="3">
        <v>3150</v>
      </c>
    </row>
    <row r="3153" spans="1:15" x14ac:dyDescent="0.25">
      <c r="A3153" s="3">
        <v>9</v>
      </c>
      <c r="B3153" s="3" t="s">
        <v>315</v>
      </c>
      <c r="C3153" s="3" t="s">
        <v>21</v>
      </c>
      <c r="D3153" s="3" t="s">
        <v>21</v>
      </c>
      <c r="E3153" s="11" t="s">
        <v>144</v>
      </c>
      <c r="F3153" s="3" t="s">
        <v>8</v>
      </c>
      <c r="G3153" s="66" t="s">
        <v>1354</v>
      </c>
      <c r="H3153" s="8"/>
      <c r="I3153" s="8"/>
      <c r="J3153" s="6" t="s">
        <v>107</v>
      </c>
      <c r="K3153" s="38">
        <v>31486</v>
      </c>
      <c r="L3153" s="4" t="s">
        <v>25</v>
      </c>
      <c r="M3153" s="11">
        <f>_xlfn.NUMBERVALUE(LEFT(Table613[[#This Row],[Fiscal Year]], 4))</f>
        <v>2017</v>
      </c>
      <c r="N3153" s="42">
        <f t="shared" si="70"/>
        <v>32324.984357405145</v>
      </c>
      <c r="O3153" s="3">
        <v>3151</v>
      </c>
    </row>
    <row r="3154" spans="1:15" x14ac:dyDescent="0.25">
      <c r="A3154" s="3">
        <v>9</v>
      </c>
      <c r="B3154" s="3" t="s">
        <v>315</v>
      </c>
      <c r="C3154" s="3" t="s">
        <v>21</v>
      </c>
      <c r="D3154" s="3" t="s">
        <v>21</v>
      </c>
      <c r="E3154" s="11" t="s">
        <v>144</v>
      </c>
      <c r="F3154" s="3" t="s">
        <v>8</v>
      </c>
      <c r="G3154" s="48" t="s">
        <v>1355</v>
      </c>
      <c r="H3154" s="8"/>
      <c r="I3154" s="8"/>
      <c r="J3154" s="6" t="s">
        <v>108</v>
      </c>
      <c r="K3154" s="38">
        <v>335779</v>
      </c>
      <c r="L3154" s="4" t="s">
        <v>25</v>
      </c>
      <c r="M3154" s="11">
        <f>_xlfn.NUMBERVALUE(LEFT(Table613[[#This Row],[Fiscal Year]], 4))</f>
        <v>2017</v>
      </c>
      <c r="N3154" s="42">
        <f t="shared" si="70"/>
        <v>344726.25682986539</v>
      </c>
      <c r="O3154" s="3">
        <v>3152</v>
      </c>
    </row>
    <row r="3155" spans="1:15" x14ac:dyDescent="0.25">
      <c r="A3155" s="3">
        <v>9</v>
      </c>
      <c r="B3155" s="3" t="s">
        <v>315</v>
      </c>
      <c r="C3155" s="3" t="s">
        <v>21</v>
      </c>
      <c r="D3155" s="3" t="s">
        <v>21</v>
      </c>
      <c r="E3155" s="11" t="s">
        <v>144</v>
      </c>
      <c r="F3155" s="3" t="s">
        <v>8</v>
      </c>
      <c r="G3155" s="66" t="s">
        <v>1356</v>
      </c>
      <c r="H3155" s="8"/>
      <c r="I3155" s="8"/>
      <c r="J3155" s="6" t="s">
        <v>109</v>
      </c>
      <c r="K3155" s="38">
        <v>68949</v>
      </c>
      <c r="L3155" s="4" t="s">
        <v>25</v>
      </c>
      <c r="M3155" s="11">
        <f>_xlfn.NUMBERVALUE(LEFT(Table613[[#This Row],[Fiscal Year]], 4))</f>
        <v>2017</v>
      </c>
      <c r="N3155" s="42">
        <f t="shared" si="70"/>
        <v>70786.233451652399</v>
      </c>
      <c r="O3155" s="3">
        <v>3153</v>
      </c>
    </row>
    <row r="3156" spans="1:15" x14ac:dyDescent="0.25">
      <c r="A3156" s="3">
        <v>9</v>
      </c>
      <c r="B3156" s="3" t="s">
        <v>315</v>
      </c>
      <c r="C3156" s="3" t="s">
        <v>21</v>
      </c>
      <c r="D3156" s="3" t="s">
        <v>21</v>
      </c>
      <c r="E3156" s="11" t="s">
        <v>144</v>
      </c>
      <c r="F3156" s="3" t="s">
        <v>8</v>
      </c>
      <c r="G3156" s="66" t="s">
        <v>1357</v>
      </c>
      <c r="H3156" s="8"/>
      <c r="I3156" s="8"/>
      <c r="J3156" s="6" t="s">
        <v>111</v>
      </c>
      <c r="K3156" s="38">
        <v>9073</v>
      </c>
      <c r="L3156" s="4" t="s">
        <v>25</v>
      </c>
      <c r="M3156" s="11">
        <f>_xlfn.NUMBERVALUE(LEFT(Table613[[#This Row],[Fiscal Year]], 4))</f>
        <v>2017</v>
      </c>
      <c r="N3156" s="42">
        <f t="shared" si="70"/>
        <v>9314.7615789473693</v>
      </c>
      <c r="O3156" s="3">
        <v>3154</v>
      </c>
    </row>
    <row r="3157" spans="1:15" x14ac:dyDescent="0.25">
      <c r="A3157" s="3">
        <v>9</v>
      </c>
      <c r="B3157" s="3" t="s">
        <v>315</v>
      </c>
      <c r="C3157" s="3" t="s">
        <v>21</v>
      </c>
      <c r="D3157" s="3" t="s">
        <v>21</v>
      </c>
      <c r="E3157" s="11" t="s">
        <v>144</v>
      </c>
      <c r="F3157" s="3" t="s">
        <v>8</v>
      </c>
      <c r="G3157" s="66" t="s">
        <v>1358</v>
      </c>
      <c r="H3157" s="8"/>
      <c r="I3157" s="8"/>
      <c r="J3157" s="6" t="s">
        <v>106</v>
      </c>
      <c r="K3157" s="38">
        <v>43245</v>
      </c>
      <c r="L3157" s="4" t="s">
        <v>25</v>
      </c>
      <c r="M3157" s="11">
        <f>_xlfn.NUMBERVALUE(LEFT(Table613[[#This Row],[Fiscal Year]], 4))</f>
        <v>2017</v>
      </c>
      <c r="N3157" s="42">
        <f t="shared" si="70"/>
        <v>44397.317809057531</v>
      </c>
      <c r="O3157" s="3">
        <v>3155</v>
      </c>
    </row>
    <row r="3158" spans="1:15" x14ac:dyDescent="0.25">
      <c r="A3158" s="3">
        <v>9</v>
      </c>
      <c r="B3158" s="3" t="s">
        <v>315</v>
      </c>
      <c r="C3158" s="3" t="s">
        <v>21</v>
      </c>
      <c r="D3158" s="3" t="s">
        <v>21</v>
      </c>
      <c r="E3158" s="11" t="s">
        <v>144</v>
      </c>
      <c r="F3158" s="3" t="s">
        <v>8</v>
      </c>
      <c r="G3158" s="48" t="s">
        <v>1359</v>
      </c>
      <c r="H3158" s="8" t="s">
        <v>694</v>
      </c>
      <c r="I3158" s="8" t="s">
        <v>699</v>
      </c>
      <c r="J3158" s="6" t="s">
        <v>455</v>
      </c>
      <c r="K3158" s="38">
        <v>10342</v>
      </c>
      <c r="L3158" s="4" t="s">
        <v>25</v>
      </c>
      <c r="M3158" s="11">
        <f>_xlfn.NUMBERVALUE(LEFT(Table613[[#This Row],[Fiscal Year]], 4))</f>
        <v>2017</v>
      </c>
      <c r="N3158" s="42">
        <f t="shared" si="70"/>
        <v>10617.575691554468</v>
      </c>
      <c r="O3158" s="3">
        <v>3156</v>
      </c>
    </row>
    <row r="3159" spans="1:15" x14ac:dyDescent="0.25">
      <c r="A3159" s="3">
        <v>9</v>
      </c>
      <c r="B3159" s="3" t="s">
        <v>315</v>
      </c>
      <c r="C3159" s="3" t="s">
        <v>21</v>
      </c>
      <c r="D3159" s="3" t="s">
        <v>21</v>
      </c>
      <c r="E3159" s="11" t="s">
        <v>144</v>
      </c>
      <c r="F3159" s="3" t="s">
        <v>8</v>
      </c>
      <c r="G3159" s="66" t="s">
        <v>1360</v>
      </c>
      <c r="H3159" s="8"/>
      <c r="I3159" s="8"/>
      <c r="J3159" s="6" t="s">
        <v>105</v>
      </c>
      <c r="K3159" s="38">
        <v>8056</v>
      </c>
      <c r="L3159" s="4" t="s">
        <v>25</v>
      </c>
      <c r="M3159" s="11">
        <f>_xlfn.NUMBERVALUE(LEFT(Table613[[#This Row],[Fiscal Year]], 4))</f>
        <v>2017</v>
      </c>
      <c r="N3159" s="42">
        <f t="shared" si="70"/>
        <v>8270.6623255813956</v>
      </c>
      <c r="O3159" s="3">
        <v>3157</v>
      </c>
    </row>
    <row r="3160" spans="1:15" x14ac:dyDescent="0.25">
      <c r="A3160" s="3">
        <v>9</v>
      </c>
      <c r="B3160" s="3" t="s">
        <v>315</v>
      </c>
      <c r="C3160" s="3" t="s">
        <v>21</v>
      </c>
      <c r="D3160" s="3" t="s">
        <v>21</v>
      </c>
      <c r="E3160" s="11" t="s">
        <v>144</v>
      </c>
      <c r="F3160" s="3" t="s">
        <v>8</v>
      </c>
      <c r="G3160" s="48" t="s">
        <v>1361</v>
      </c>
      <c r="H3160" s="8" t="s">
        <v>700</v>
      </c>
      <c r="I3160" s="8" t="s">
        <v>701</v>
      </c>
      <c r="J3160" s="6" t="s">
        <v>455</v>
      </c>
      <c r="K3160" s="38">
        <v>3200</v>
      </c>
      <c r="L3160" s="4" t="s">
        <v>25</v>
      </c>
      <c r="M3160" s="11">
        <f>_xlfn.NUMBERVALUE(LEFT(Table613[[#This Row],[Fiscal Year]], 4))</f>
        <v>2017</v>
      </c>
      <c r="N3160" s="42">
        <f t="shared" si="70"/>
        <v>3285.2680538555696</v>
      </c>
      <c r="O3160" s="3">
        <v>3158</v>
      </c>
    </row>
    <row r="3161" spans="1:15" x14ac:dyDescent="0.25">
      <c r="A3161" s="3">
        <v>9</v>
      </c>
      <c r="B3161" s="3" t="s">
        <v>315</v>
      </c>
      <c r="C3161" s="3" t="s">
        <v>21</v>
      </c>
      <c r="D3161" s="3" t="s">
        <v>21</v>
      </c>
      <c r="E3161" s="11" t="s">
        <v>144</v>
      </c>
      <c r="F3161" s="3" t="s">
        <v>8</v>
      </c>
      <c r="G3161" s="56" t="s">
        <v>388</v>
      </c>
      <c r="H3161" s="8"/>
      <c r="I3161" s="8"/>
      <c r="J3161" s="6" t="s">
        <v>605</v>
      </c>
      <c r="K3161" s="38">
        <v>60637</v>
      </c>
      <c r="L3161" s="4" t="s">
        <v>25</v>
      </c>
      <c r="M3161" s="11">
        <f>_xlfn.NUMBERVALUE(LEFT(Table613[[#This Row],[Fiscal Year]], 4))</f>
        <v>2017</v>
      </c>
      <c r="N3161" s="42">
        <f t="shared" si="70"/>
        <v>62252.749681762551</v>
      </c>
      <c r="O3161" s="3">
        <v>3159</v>
      </c>
    </row>
    <row r="3162" spans="1:15" x14ac:dyDescent="0.25">
      <c r="A3162" s="3">
        <v>9</v>
      </c>
      <c r="B3162" s="3" t="s">
        <v>315</v>
      </c>
      <c r="C3162" s="3" t="s">
        <v>21</v>
      </c>
      <c r="D3162" s="3" t="s">
        <v>21</v>
      </c>
      <c r="E3162" s="11" t="s">
        <v>144</v>
      </c>
      <c r="F3162" s="3" t="s">
        <v>8</v>
      </c>
      <c r="G3162" s="56" t="s">
        <v>389</v>
      </c>
      <c r="H3162" s="8" t="s">
        <v>697</v>
      </c>
      <c r="I3162" s="8" t="s">
        <v>698</v>
      </c>
      <c r="J3162" s="6" t="s">
        <v>455</v>
      </c>
      <c r="K3162" s="38">
        <v>34453</v>
      </c>
      <c r="L3162" s="4" t="s">
        <v>25</v>
      </c>
      <c r="M3162" s="11">
        <f>_xlfn.NUMBERVALUE(LEFT(Table613[[#This Row],[Fiscal Year]], 4))</f>
        <v>2017</v>
      </c>
      <c r="N3162" s="42">
        <f t="shared" si="70"/>
        <v>35371.043831089359</v>
      </c>
      <c r="O3162" s="3">
        <v>3160</v>
      </c>
    </row>
    <row r="3163" spans="1:15" x14ac:dyDescent="0.25">
      <c r="E3163" s="11"/>
      <c r="G3163" s="66"/>
      <c r="H3163" s="8"/>
      <c r="I3163" s="8"/>
      <c r="J3163" s="6"/>
      <c r="L3163" s="4"/>
      <c r="O3163" s="3">
        <v>3161</v>
      </c>
    </row>
    <row r="3164" spans="1:15" x14ac:dyDescent="0.25">
      <c r="A3164" s="3">
        <v>9</v>
      </c>
      <c r="B3164" s="3" t="s">
        <v>316</v>
      </c>
      <c r="C3164" s="3" t="s">
        <v>21</v>
      </c>
      <c r="D3164" s="3" t="s">
        <v>21</v>
      </c>
      <c r="E3164" s="11" t="s">
        <v>144</v>
      </c>
      <c r="F3164" s="3" t="s">
        <v>8</v>
      </c>
      <c r="G3164" s="48" t="s">
        <v>1362</v>
      </c>
      <c r="H3164" s="8"/>
      <c r="I3164" s="8"/>
      <c r="J3164" s="8" t="s">
        <v>110</v>
      </c>
      <c r="K3164" s="38">
        <v>21344</v>
      </c>
      <c r="L3164" s="4" t="s">
        <v>25</v>
      </c>
      <c r="M3164" s="11">
        <f>_xlfn.NUMBERVALUE(LEFT(Table613[[#This Row],[Fiscal Year]], 4))</f>
        <v>2017</v>
      </c>
      <c r="N3164" s="42">
        <f t="shared" si="70"/>
        <v>21912.737919216648</v>
      </c>
      <c r="O3164" s="3">
        <v>3162</v>
      </c>
    </row>
    <row r="3165" spans="1:15" x14ac:dyDescent="0.25">
      <c r="A3165" s="3">
        <v>9</v>
      </c>
      <c r="B3165" s="3" t="s">
        <v>316</v>
      </c>
      <c r="C3165" s="3" t="s">
        <v>21</v>
      </c>
      <c r="D3165" s="3" t="s">
        <v>21</v>
      </c>
      <c r="E3165" s="11" t="s">
        <v>144</v>
      </c>
      <c r="F3165" s="3" t="s">
        <v>8</v>
      </c>
      <c r="G3165" s="48" t="s">
        <v>1363</v>
      </c>
      <c r="H3165" s="8"/>
      <c r="I3165" s="8"/>
      <c r="J3165" s="6" t="s">
        <v>111</v>
      </c>
      <c r="K3165" s="38">
        <v>131937</v>
      </c>
      <c r="L3165" s="4" t="s">
        <v>25</v>
      </c>
      <c r="M3165" s="11">
        <f>_xlfn.NUMBERVALUE(LEFT(Table613[[#This Row],[Fiscal Year]], 4))</f>
        <v>2017</v>
      </c>
      <c r="N3165" s="42">
        <f t="shared" si="70"/>
        <v>135452.62850673197</v>
      </c>
      <c r="O3165" s="3">
        <v>3163</v>
      </c>
    </row>
    <row r="3166" spans="1:15" x14ac:dyDescent="0.25">
      <c r="A3166" s="3">
        <v>9</v>
      </c>
      <c r="B3166" s="3" t="s">
        <v>316</v>
      </c>
      <c r="C3166" s="3" t="s">
        <v>21</v>
      </c>
      <c r="D3166" s="3" t="s">
        <v>21</v>
      </c>
      <c r="E3166" s="11" t="s">
        <v>144</v>
      </c>
      <c r="F3166" s="3" t="s">
        <v>8</v>
      </c>
      <c r="G3166" s="48" t="s">
        <v>1364</v>
      </c>
      <c r="H3166" s="8"/>
      <c r="I3166" s="8"/>
      <c r="J3166" s="6" t="s">
        <v>110</v>
      </c>
      <c r="K3166" s="38">
        <v>38550</v>
      </c>
      <c r="L3166" s="4" t="s">
        <v>25</v>
      </c>
      <c r="M3166" s="11">
        <f>_xlfn.NUMBERVALUE(LEFT(Table613[[#This Row],[Fiscal Year]], 4))</f>
        <v>2017</v>
      </c>
      <c r="N3166" s="42">
        <f t="shared" si="70"/>
        <v>39577.213586291313</v>
      </c>
      <c r="O3166" s="3">
        <v>3164</v>
      </c>
    </row>
    <row r="3167" spans="1:15" x14ac:dyDescent="0.25">
      <c r="A3167" s="3">
        <v>9</v>
      </c>
      <c r="B3167" s="3" t="s">
        <v>316</v>
      </c>
      <c r="C3167" s="3" t="s">
        <v>21</v>
      </c>
      <c r="D3167" s="3" t="s">
        <v>21</v>
      </c>
      <c r="E3167" s="11" t="s">
        <v>144</v>
      </c>
      <c r="F3167" s="3" t="s">
        <v>8</v>
      </c>
      <c r="G3167" s="66" t="s">
        <v>1365</v>
      </c>
      <c r="H3167" s="8"/>
      <c r="I3167" s="8"/>
      <c r="J3167" s="6" t="s">
        <v>108</v>
      </c>
      <c r="K3167" s="38">
        <v>4957</v>
      </c>
      <c r="L3167" s="4" t="s">
        <v>25</v>
      </c>
      <c r="M3167" s="11">
        <f>_xlfn.NUMBERVALUE(LEFT(Table613[[#This Row],[Fiscal Year]], 4))</f>
        <v>2017</v>
      </c>
      <c r="N3167" s="42">
        <f t="shared" si="70"/>
        <v>5089.0855446756432</v>
      </c>
      <c r="O3167" s="3">
        <v>3165</v>
      </c>
    </row>
    <row r="3168" spans="1:15" x14ac:dyDescent="0.25">
      <c r="A3168" s="3">
        <v>9</v>
      </c>
      <c r="B3168" s="3" t="s">
        <v>316</v>
      </c>
      <c r="C3168" s="3" t="s">
        <v>21</v>
      </c>
      <c r="D3168" s="3" t="s">
        <v>21</v>
      </c>
      <c r="E3168" s="11" t="s">
        <v>144</v>
      </c>
      <c r="F3168" s="3" t="s">
        <v>8</v>
      </c>
      <c r="G3168" s="48" t="s">
        <v>1366</v>
      </c>
      <c r="H3168" s="8"/>
      <c r="I3168" s="8"/>
      <c r="J3168" s="6" t="s">
        <v>108</v>
      </c>
      <c r="K3168" s="38">
        <v>195812</v>
      </c>
      <c r="L3168" s="4" t="s">
        <v>25</v>
      </c>
      <c r="M3168" s="11">
        <f>_xlfn.NUMBERVALUE(LEFT(Table613[[#This Row],[Fiscal Year]], 4))</f>
        <v>2017</v>
      </c>
      <c r="N3168" s="42">
        <f t="shared" si="70"/>
        <v>201029.65880048962</v>
      </c>
      <c r="O3168" s="3">
        <v>3166</v>
      </c>
    </row>
    <row r="3169" spans="1:15" x14ac:dyDescent="0.25">
      <c r="A3169" s="3">
        <v>9</v>
      </c>
      <c r="B3169" s="3" t="s">
        <v>316</v>
      </c>
      <c r="C3169" s="3" t="s">
        <v>21</v>
      </c>
      <c r="D3169" s="3" t="s">
        <v>21</v>
      </c>
      <c r="E3169" s="11" t="s">
        <v>144</v>
      </c>
      <c r="F3169" s="3" t="s">
        <v>8</v>
      </c>
      <c r="G3169" s="48" t="s">
        <v>1367</v>
      </c>
      <c r="H3169" s="8"/>
      <c r="I3169" s="8"/>
      <c r="J3169" s="6" t="s">
        <v>111</v>
      </c>
      <c r="K3169" s="38">
        <v>262856</v>
      </c>
      <c r="L3169" s="4" t="s">
        <v>25</v>
      </c>
      <c r="M3169" s="11">
        <f>_xlfn.NUMBERVALUE(LEFT(Table613[[#This Row],[Fiscal Year]], 4))</f>
        <v>2017</v>
      </c>
      <c r="N3169" s="42">
        <f t="shared" si="70"/>
        <v>269860.13111383113</v>
      </c>
      <c r="O3169" s="3">
        <v>3167</v>
      </c>
    </row>
    <row r="3170" spans="1:15" x14ac:dyDescent="0.25">
      <c r="A3170" s="3">
        <v>9</v>
      </c>
      <c r="B3170" s="3" t="s">
        <v>316</v>
      </c>
      <c r="C3170" s="3" t="s">
        <v>21</v>
      </c>
      <c r="D3170" s="3" t="s">
        <v>21</v>
      </c>
      <c r="E3170" s="11" t="s">
        <v>144</v>
      </c>
      <c r="F3170" s="3" t="s">
        <v>8</v>
      </c>
      <c r="G3170" s="48" t="s">
        <v>1368</v>
      </c>
      <c r="H3170" s="8"/>
      <c r="I3170" s="8"/>
      <c r="J3170" s="6" t="s">
        <v>76</v>
      </c>
      <c r="K3170" s="38">
        <v>6633</v>
      </c>
      <c r="L3170" s="4" t="s">
        <v>25</v>
      </c>
      <c r="M3170" s="11">
        <f>_xlfn.NUMBERVALUE(LEFT(Table613[[#This Row],[Fiscal Year]], 4))</f>
        <v>2017</v>
      </c>
      <c r="N3170" s="42">
        <f t="shared" si="70"/>
        <v>6809.7446878824976</v>
      </c>
      <c r="O3170" s="3">
        <v>3168</v>
      </c>
    </row>
    <row r="3171" spans="1:15" x14ac:dyDescent="0.25">
      <c r="A3171" s="3">
        <v>9</v>
      </c>
      <c r="B3171" s="3" t="s">
        <v>316</v>
      </c>
      <c r="C3171" s="3" t="s">
        <v>21</v>
      </c>
      <c r="D3171" s="3" t="s">
        <v>21</v>
      </c>
      <c r="E3171" s="11" t="s">
        <v>144</v>
      </c>
      <c r="F3171" s="3" t="s">
        <v>8</v>
      </c>
      <c r="G3171" s="66" t="s">
        <v>1369</v>
      </c>
      <c r="H3171" s="8"/>
      <c r="I3171" s="8"/>
      <c r="J3171" s="6" t="s">
        <v>105</v>
      </c>
      <c r="K3171" s="38">
        <v>680</v>
      </c>
      <c r="L3171" s="4" t="s">
        <v>25</v>
      </c>
      <c r="M3171" s="11">
        <f>_xlfn.NUMBERVALUE(LEFT(Table613[[#This Row],[Fiscal Year]], 4))</f>
        <v>2017</v>
      </c>
      <c r="N3171" s="42">
        <f t="shared" si="70"/>
        <v>698.11946144430851</v>
      </c>
      <c r="O3171" s="3">
        <v>3169</v>
      </c>
    </row>
    <row r="3172" spans="1:15" x14ac:dyDescent="0.25">
      <c r="A3172" s="3">
        <v>9</v>
      </c>
      <c r="B3172" s="3" t="s">
        <v>316</v>
      </c>
      <c r="C3172" s="3" t="s">
        <v>21</v>
      </c>
      <c r="D3172" s="3" t="s">
        <v>21</v>
      </c>
      <c r="E3172" s="11" t="s">
        <v>144</v>
      </c>
      <c r="F3172" s="3" t="s">
        <v>8</v>
      </c>
      <c r="G3172" s="66" t="s">
        <v>1372</v>
      </c>
      <c r="H3172" s="8"/>
      <c r="I3172" s="8"/>
      <c r="J3172" s="6" t="s">
        <v>110</v>
      </c>
      <c r="K3172" s="38">
        <v>10500</v>
      </c>
      <c r="L3172" s="4" t="s">
        <v>25</v>
      </c>
      <c r="M3172" s="11">
        <f>_xlfn.NUMBERVALUE(LEFT(Table613[[#This Row],[Fiscal Year]], 4))</f>
        <v>2017</v>
      </c>
      <c r="N3172" s="42">
        <f t="shared" si="70"/>
        <v>10779.785801713588</v>
      </c>
      <c r="O3172" s="3">
        <v>3170</v>
      </c>
    </row>
    <row r="3173" spans="1:15" x14ac:dyDescent="0.25">
      <c r="A3173" s="3">
        <v>9</v>
      </c>
      <c r="B3173" s="3" t="s">
        <v>316</v>
      </c>
      <c r="C3173" s="3" t="s">
        <v>21</v>
      </c>
      <c r="D3173" s="3" t="s">
        <v>21</v>
      </c>
      <c r="E3173" s="11" t="s">
        <v>144</v>
      </c>
      <c r="F3173" s="3" t="s">
        <v>8</v>
      </c>
      <c r="G3173" s="66" t="s">
        <v>1370</v>
      </c>
      <c r="H3173" s="8"/>
      <c r="I3173" s="8"/>
      <c r="J3173" s="6" t="s">
        <v>110</v>
      </c>
      <c r="K3173" s="38">
        <v>12711</v>
      </c>
      <c r="L3173" s="4" t="s">
        <v>25</v>
      </c>
      <c r="M3173" s="11">
        <f>_xlfn.NUMBERVALUE(LEFT(Table613[[#This Row],[Fiscal Year]], 4))</f>
        <v>2017</v>
      </c>
      <c r="N3173" s="42">
        <f t="shared" si="70"/>
        <v>13049.70069767442</v>
      </c>
      <c r="O3173" s="3">
        <v>3171</v>
      </c>
    </row>
    <row r="3174" spans="1:15" x14ac:dyDescent="0.25">
      <c r="A3174" s="3">
        <v>9</v>
      </c>
      <c r="B3174" s="3" t="s">
        <v>316</v>
      </c>
      <c r="C3174" s="3" t="s">
        <v>21</v>
      </c>
      <c r="D3174" s="3" t="s">
        <v>21</v>
      </c>
      <c r="E3174" s="11" t="s">
        <v>144</v>
      </c>
      <c r="F3174" s="3" t="s">
        <v>8</v>
      </c>
      <c r="G3174" s="66" t="s">
        <v>1258</v>
      </c>
      <c r="H3174" s="8"/>
      <c r="I3174" s="8"/>
      <c r="J3174" s="6" t="s">
        <v>47</v>
      </c>
      <c r="K3174" s="38">
        <v>21686</v>
      </c>
      <c r="L3174" s="4" t="s">
        <v>25</v>
      </c>
      <c r="M3174" s="11">
        <f>_xlfn.NUMBERVALUE(LEFT(Table613[[#This Row],[Fiscal Year]], 4))</f>
        <v>2017</v>
      </c>
      <c r="N3174" s="42">
        <f t="shared" si="70"/>
        <v>22263.850942472462</v>
      </c>
      <c r="O3174" s="3">
        <v>3172</v>
      </c>
    </row>
    <row r="3175" spans="1:15" x14ac:dyDescent="0.25">
      <c r="A3175" s="3">
        <v>9</v>
      </c>
      <c r="B3175" s="3" t="s">
        <v>316</v>
      </c>
      <c r="C3175" s="3" t="s">
        <v>21</v>
      </c>
      <c r="D3175" s="3" t="s">
        <v>21</v>
      </c>
      <c r="E3175" s="11" t="s">
        <v>144</v>
      </c>
      <c r="F3175" s="3" t="s">
        <v>8</v>
      </c>
      <c r="G3175" s="48" t="s">
        <v>1371</v>
      </c>
      <c r="H3175" s="8"/>
      <c r="I3175" s="8"/>
      <c r="J3175" s="6" t="s">
        <v>110</v>
      </c>
      <c r="K3175" s="38">
        <v>159</v>
      </c>
      <c r="L3175" s="4" t="s">
        <v>25</v>
      </c>
      <c r="M3175" s="11">
        <f>_xlfn.NUMBERVALUE(LEFT(Table613[[#This Row],[Fiscal Year]], 4))</f>
        <v>2017</v>
      </c>
      <c r="N3175" s="42">
        <f t="shared" si="70"/>
        <v>163.23675642594861</v>
      </c>
      <c r="O3175" s="3">
        <v>3173</v>
      </c>
    </row>
    <row r="3176" spans="1:15" x14ac:dyDescent="0.25">
      <c r="A3176" s="3">
        <v>9</v>
      </c>
      <c r="B3176" s="3" t="s">
        <v>316</v>
      </c>
      <c r="C3176" s="3" t="s">
        <v>21</v>
      </c>
      <c r="D3176" s="3" t="s">
        <v>21</v>
      </c>
      <c r="E3176" s="11" t="s">
        <v>144</v>
      </c>
      <c r="F3176" s="3" t="s">
        <v>8</v>
      </c>
      <c r="G3176" s="56" t="s">
        <v>390</v>
      </c>
      <c r="H3176" s="8"/>
      <c r="I3176" s="8"/>
      <c r="J3176" s="6" t="s">
        <v>455</v>
      </c>
      <c r="K3176" s="38">
        <v>78043</v>
      </c>
      <c r="L3176" s="4" t="s">
        <v>25</v>
      </c>
      <c r="M3176" s="11">
        <f>_xlfn.NUMBERVALUE(LEFT(Table613[[#This Row],[Fiscal Year]], 4))</f>
        <v>2017</v>
      </c>
      <c r="N3176" s="42">
        <f t="shared" si="70"/>
        <v>80122.554602203192</v>
      </c>
      <c r="O3176" s="3">
        <v>3174</v>
      </c>
    </row>
    <row r="3177" spans="1:15" x14ac:dyDescent="0.25">
      <c r="E3177" s="11"/>
      <c r="G3177" s="66"/>
      <c r="H3177" s="8"/>
      <c r="I3177" s="8"/>
      <c r="J3177" s="6"/>
      <c r="L3177" s="4"/>
      <c r="O3177" s="3">
        <v>3175</v>
      </c>
    </row>
    <row r="3178" spans="1:15" x14ac:dyDescent="0.25">
      <c r="A3178" s="3">
        <v>9</v>
      </c>
      <c r="B3178" s="5" t="s">
        <v>317</v>
      </c>
      <c r="C3178" s="3" t="s">
        <v>21</v>
      </c>
      <c r="D3178" s="3" t="s">
        <v>21</v>
      </c>
      <c r="E3178" s="28" t="s">
        <v>144</v>
      </c>
      <c r="F3178" s="9" t="s">
        <v>8</v>
      </c>
      <c r="G3178" s="48" t="s">
        <v>368</v>
      </c>
      <c r="H3178" s="8"/>
      <c r="I3178" s="8"/>
      <c r="J3178" s="6" t="s">
        <v>110</v>
      </c>
      <c r="K3178" s="38">
        <v>611742</v>
      </c>
      <c r="L3178" s="4" t="s">
        <v>24</v>
      </c>
      <c r="M3178" s="11">
        <f>_xlfn.NUMBERVALUE(LEFT(Table613[[#This Row],[Fiscal Year]], 4))</f>
        <v>2016</v>
      </c>
      <c r="N3178" s="42">
        <f t="shared" si="70"/>
        <v>641388.54667499999</v>
      </c>
      <c r="O3178" s="3">
        <v>3176</v>
      </c>
    </row>
    <row r="3179" spans="1:15" x14ac:dyDescent="0.25">
      <c r="A3179" s="3">
        <v>9</v>
      </c>
      <c r="B3179" s="3" t="s">
        <v>317</v>
      </c>
      <c r="C3179" s="3" t="s">
        <v>21</v>
      </c>
      <c r="D3179" s="3" t="s">
        <v>21</v>
      </c>
      <c r="E3179" s="11" t="s">
        <v>144</v>
      </c>
      <c r="F3179" s="3" t="s">
        <v>8</v>
      </c>
      <c r="G3179" s="48" t="s">
        <v>344</v>
      </c>
      <c r="H3179" s="8"/>
      <c r="I3179" s="8"/>
      <c r="J3179" s="6" t="s">
        <v>455</v>
      </c>
      <c r="K3179" s="38">
        <v>250</v>
      </c>
      <c r="L3179" s="4" t="s">
        <v>24</v>
      </c>
      <c r="M3179" s="11">
        <f>_xlfn.NUMBERVALUE(LEFT(Table613[[#This Row],[Fiscal Year]], 4))</f>
        <v>2016</v>
      </c>
      <c r="N3179" s="42">
        <f t="shared" si="70"/>
        <v>262.11562500000002</v>
      </c>
      <c r="O3179" s="3">
        <v>3177</v>
      </c>
    </row>
    <row r="3180" spans="1:15" x14ac:dyDescent="0.25">
      <c r="A3180" s="3">
        <v>9</v>
      </c>
      <c r="B3180" s="3" t="s">
        <v>317</v>
      </c>
      <c r="C3180" s="3" t="s">
        <v>21</v>
      </c>
      <c r="D3180" s="3" t="s">
        <v>21</v>
      </c>
      <c r="E3180" s="11" t="s">
        <v>144</v>
      </c>
      <c r="F3180" s="3" t="s">
        <v>8</v>
      </c>
      <c r="G3180" s="66" t="s">
        <v>391</v>
      </c>
      <c r="H3180" s="8"/>
      <c r="I3180" s="8"/>
      <c r="J3180" s="6" t="s">
        <v>110</v>
      </c>
      <c r="K3180" s="38">
        <v>35304</v>
      </c>
      <c r="L3180" s="4" t="s">
        <v>24</v>
      </c>
      <c r="M3180" s="11">
        <f>_xlfn.NUMBERVALUE(LEFT(Table613[[#This Row],[Fiscal Year]], 4))</f>
        <v>2016</v>
      </c>
      <c r="N3180" s="42">
        <f t="shared" si="70"/>
        <v>37014.920100000003</v>
      </c>
      <c r="O3180" s="3">
        <v>3178</v>
      </c>
    </row>
    <row r="3181" spans="1:15" x14ac:dyDescent="0.25">
      <c r="A3181" s="3">
        <v>9</v>
      </c>
      <c r="B3181" s="3" t="s">
        <v>317</v>
      </c>
      <c r="C3181" s="3" t="s">
        <v>21</v>
      </c>
      <c r="D3181" s="3" t="s">
        <v>21</v>
      </c>
      <c r="E3181" s="11" t="s">
        <v>144</v>
      </c>
      <c r="F3181" s="3" t="s">
        <v>8</v>
      </c>
      <c r="G3181" s="48" t="s">
        <v>392</v>
      </c>
      <c r="H3181" s="8"/>
      <c r="I3181" s="8"/>
      <c r="J3181" s="6" t="s">
        <v>110</v>
      </c>
      <c r="K3181" s="38">
        <v>8600</v>
      </c>
      <c r="L3181" s="4" t="s">
        <v>24</v>
      </c>
      <c r="M3181" s="11">
        <f>_xlfn.NUMBERVALUE(LEFT(Table613[[#This Row],[Fiscal Year]], 4))</f>
        <v>2016</v>
      </c>
      <c r="N3181" s="42">
        <f t="shared" si="70"/>
        <v>9016.7775000000001</v>
      </c>
      <c r="O3181" s="3">
        <v>3179</v>
      </c>
    </row>
    <row r="3182" spans="1:15" x14ac:dyDescent="0.25">
      <c r="A3182" s="3">
        <v>9</v>
      </c>
      <c r="B3182" s="3" t="s">
        <v>317</v>
      </c>
      <c r="C3182" s="3" t="s">
        <v>21</v>
      </c>
      <c r="D3182" s="3" t="s">
        <v>21</v>
      </c>
      <c r="E3182" s="11" t="s">
        <v>144</v>
      </c>
      <c r="F3182" s="3" t="s">
        <v>8</v>
      </c>
      <c r="G3182" s="66" t="s">
        <v>393</v>
      </c>
      <c r="H3182" s="8"/>
      <c r="I3182" s="8"/>
      <c r="J3182" s="6" t="s">
        <v>110</v>
      </c>
      <c r="K3182" s="38">
        <v>239316</v>
      </c>
      <c r="L3182" s="4" t="s">
        <v>24</v>
      </c>
      <c r="M3182" s="11">
        <f>_xlfn.NUMBERVALUE(LEFT(Table613[[#This Row],[Fiscal Year]], 4))</f>
        <v>2016</v>
      </c>
      <c r="N3182" s="42">
        <f t="shared" si="70"/>
        <v>250913.85165000003</v>
      </c>
      <c r="O3182" s="3">
        <v>3180</v>
      </c>
    </row>
    <row r="3183" spans="1:15" x14ac:dyDescent="0.25">
      <c r="A3183" s="3">
        <v>9</v>
      </c>
      <c r="B3183" s="3" t="s">
        <v>317</v>
      </c>
      <c r="C3183" s="3" t="s">
        <v>21</v>
      </c>
      <c r="D3183" s="3" t="s">
        <v>21</v>
      </c>
      <c r="E3183" s="11" t="s">
        <v>144</v>
      </c>
      <c r="F3183" s="3" t="s">
        <v>8</v>
      </c>
      <c r="G3183" s="66" t="s">
        <v>394</v>
      </c>
      <c r="H3183" s="8"/>
      <c r="I3183" s="8"/>
      <c r="J3183" s="6" t="s">
        <v>110</v>
      </c>
      <c r="K3183" s="38">
        <v>1101</v>
      </c>
      <c r="L3183" s="4" t="s">
        <v>24</v>
      </c>
      <c r="M3183" s="11">
        <f>_xlfn.NUMBERVALUE(LEFT(Table613[[#This Row],[Fiscal Year]], 4))</f>
        <v>2016</v>
      </c>
      <c r="N3183" s="42">
        <f t="shared" si="70"/>
        <v>1154.3572125000001</v>
      </c>
      <c r="O3183" s="3">
        <v>3181</v>
      </c>
    </row>
    <row r="3184" spans="1:15" x14ac:dyDescent="0.25">
      <c r="A3184" s="3">
        <v>9</v>
      </c>
      <c r="B3184" s="3" t="s">
        <v>317</v>
      </c>
      <c r="C3184" s="3" t="s">
        <v>21</v>
      </c>
      <c r="D3184" s="3" t="s">
        <v>21</v>
      </c>
      <c r="E3184" s="11" t="s">
        <v>144</v>
      </c>
      <c r="F3184" s="3" t="s">
        <v>8</v>
      </c>
      <c r="G3184" s="48" t="s">
        <v>395</v>
      </c>
      <c r="H3184" s="8"/>
      <c r="I3184" s="8"/>
      <c r="J3184" s="6" t="s">
        <v>110</v>
      </c>
      <c r="K3184" s="38">
        <v>35798</v>
      </c>
      <c r="L3184" s="4" t="s">
        <v>24</v>
      </c>
      <c r="M3184" s="11">
        <f>_xlfn.NUMBERVALUE(LEFT(Table613[[#This Row],[Fiscal Year]], 4))</f>
        <v>2016</v>
      </c>
      <c r="N3184" s="42">
        <f t="shared" si="70"/>
        <v>37532.860575000006</v>
      </c>
      <c r="O3184" s="3">
        <v>3182</v>
      </c>
    </row>
    <row r="3185" spans="1:15" x14ac:dyDescent="0.25">
      <c r="A3185" s="3">
        <v>9</v>
      </c>
      <c r="B3185" s="3" t="s">
        <v>317</v>
      </c>
      <c r="C3185" s="3" t="s">
        <v>21</v>
      </c>
      <c r="D3185" s="3" t="s">
        <v>21</v>
      </c>
      <c r="E3185" s="11" t="s">
        <v>144</v>
      </c>
      <c r="F3185" s="3" t="s">
        <v>8</v>
      </c>
      <c r="G3185" s="48" t="s">
        <v>396</v>
      </c>
      <c r="H3185" s="8"/>
      <c r="I3185" s="8"/>
      <c r="J3185" s="6" t="s">
        <v>110</v>
      </c>
      <c r="K3185" s="38">
        <v>10011</v>
      </c>
      <c r="L3185" s="4" t="s">
        <v>24</v>
      </c>
      <c r="M3185" s="11">
        <f>_xlfn.NUMBERVALUE(LEFT(Table613[[#This Row],[Fiscal Year]], 4))</f>
        <v>2016</v>
      </c>
      <c r="N3185" s="42">
        <f t="shared" si="70"/>
        <v>10496.1580875</v>
      </c>
      <c r="O3185" s="3">
        <v>3183</v>
      </c>
    </row>
    <row r="3186" spans="1:15" x14ac:dyDescent="0.25">
      <c r="A3186" s="3">
        <v>9</v>
      </c>
      <c r="B3186" s="3" t="s">
        <v>317</v>
      </c>
      <c r="C3186" s="3" t="s">
        <v>21</v>
      </c>
      <c r="D3186" s="3" t="s">
        <v>21</v>
      </c>
      <c r="E3186" s="11" t="s">
        <v>144</v>
      </c>
      <c r="F3186" s="3" t="s">
        <v>8</v>
      </c>
      <c r="G3186" s="66" t="s">
        <v>397</v>
      </c>
      <c r="H3186" s="8"/>
      <c r="I3186" s="8"/>
      <c r="J3186" s="6" t="s">
        <v>110</v>
      </c>
      <c r="K3186" s="38">
        <v>104873</v>
      </c>
      <c r="L3186" s="4" t="s">
        <v>24</v>
      </c>
      <c r="M3186" s="11">
        <f>_xlfn.NUMBERVALUE(LEFT(Table613[[#This Row],[Fiscal Year]], 4))</f>
        <v>2016</v>
      </c>
      <c r="N3186" s="42">
        <f t="shared" si="70"/>
        <v>109955.40776250001</v>
      </c>
      <c r="O3186" s="3">
        <v>3184</v>
      </c>
    </row>
    <row r="3187" spans="1:15" x14ac:dyDescent="0.25">
      <c r="A3187" s="3">
        <v>9</v>
      </c>
      <c r="B3187" s="3" t="s">
        <v>317</v>
      </c>
      <c r="C3187" s="3" t="s">
        <v>21</v>
      </c>
      <c r="D3187" s="3" t="s">
        <v>21</v>
      </c>
      <c r="E3187" s="11" t="s">
        <v>144</v>
      </c>
      <c r="F3187" s="3" t="s">
        <v>8</v>
      </c>
      <c r="G3187" s="66" t="s">
        <v>398</v>
      </c>
      <c r="H3187" s="8"/>
      <c r="I3187" s="8"/>
      <c r="J3187" s="6" t="s">
        <v>110</v>
      </c>
      <c r="K3187" s="38">
        <v>0</v>
      </c>
      <c r="L3187" s="4" t="s">
        <v>24</v>
      </c>
      <c r="M3187" s="11">
        <f>_xlfn.NUMBERVALUE(LEFT(Table613[[#This Row],[Fiscal Year]], 4))</f>
        <v>2016</v>
      </c>
      <c r="N3187" s="42">
        <f t="shared" si="70"/>
        <v>0</v>
      </c>
      <c r="O3187" s="3">
        <v>3185</v>
      </c>
    </row>
    <row r="3188" spans="1:15" x14ac:dyDescent="0.25">
      <c r="A3188" s="3">
        <v>9</v>
      </c>
      <c r="B3188" s="3" t="s">
        <v>317</v>
      </c>
      <c r="C3188" s="3" t="s">
        <v>21</v>
      </c>
      <c r="D3188" s="3" t="s">
        <v>21</v>
      </c>
      <c r="E3188" s="11" t="s">
        <v>144</v>
      </c>
      <c r="F3188" s="3" t="s">
        <v>8</v>
      </c>
      <c r="G3188" s="66" t="s">
        <v>399</v>
      </c>
      <c r="H3188" s="8"/>
      <c r="I3188" s="8"/>
      <c r="J3188" s="6" t="s">
        <v>110</v>
      </c>
      <c r="K3188" s="38">
        <v>58215</v>
      </c>
      <c r="L3188" s="4" t="s">
        <v>24</v>
      </c>
      <c r="M3188" s="11">
        <f>_xlfn.NUMBERVALUE(LEFT(Table613[[#This Row],[Fiscal Year]], 4))</f>
        <v>2016</v>
      </c>
      <c r="N3188" s="42">
        <f t="shared" si="70"/>
        <v>61036.244437500005</v>
      </c>
      <c r="O3188" s="3">
        <v>3186</v>
      </c>
    </row>
    <row r="3189" spans="1:15" x14ac:dyDescent="0.25">
      <c r="A3189" s="3">
        <v>9</v>
      </c>
      <c r="B3189" s="3" t="s">
        <v>317</v>
      </c>
      <c r="C3189" s="3" t="s">
        <v>21</v>
      </c>
      <c r="D3189" s="3" t="s">
        <v>21</v>
      </c>
      <c r="E3189" s="11" t="s">
        <v>144</v>
      </c>
      <c r="F3189" s="3" t="s">
        <v>8</v>
      </c>
      <c r="G3189" s="66" t="s">
        <v>400</v>
      </c>
      <c r="H3189" s="8"/>
      <c r="I3189" s="8"/>
      <c r="J3189" s="6" t="s">
        <v>110</v>
      </c>
      <c r="K3189" s="38">
        <v>1190</v>
      </c>
      <c r="L3189" s="4" t="s">
        <v>24</v>
      </c>
      <c r="M3189" s="11">
        <f>_xlfn.NUMBERVALUE(LEFT(Table613[[#This Row],[Fiscal Year]], 4))</f>
        <v>2016</v>
      </c>
      <c r="N3189" s="42">
        <f t="shared" si="70"/>
        <v>1247.6703750000001</v>
      </c>
      <c r="O3189" s="3">
        <v>3187</v>
      </c>
    </row>
    <row r="3190" spans="1:15" x14ac:dyDescent="0.25">
      <c r="A3190" s="3">
        <v>9</v>
      </c>
      <c r="B3190" s="3" t="s">
        <v>317</v>
      </c>
      <c r="C3190" s="3" t="s">
        <v>21</v>
      </c>
      <c r="D3190" s="3" t="s">
        <v>21</v>
      </c>
      <c r="E3190" s="11" t="s">
        <v>144</v>
      </c>
      <c r="F3190" s="3" t="s">
        <v>8</v>
      </c>
      <c r="G3190" s="48" t="s">
        <v>401</v>
      </c>
      <c r="H3190" s="8"/>
      <c r="I3190" s="8"/>
      <c r="J3190" s="6" t="s">
        <v>110</v>
      </c>
      <c r="K3190" s="38">
        <v>909</v>
      </c>
      <c r="L3190" s="4" t="s">
        <v>24</v>
      </c>
      <c r="M3190" s="11">
        <f>_xlfn.NUMBERVALUE(LEFT(Table613[[#This Row],[Fiscal Year]], 4))</f>
        <v>2016</v>
      </c>
      <c r="N3190" s="42">
        <f t="shared" si="70"/>
        <v>953.05241250000006</v>
      </c>
      <c r="O3190" s="3">
        <v>3188</v>
      </c>
    </row>
    <row r="3191" spans="1:15" x14ac:dyDescent="0.25">
      <c r="A3191" s="3">
        <v>9</v>
      </c>
      <c r="B3191" s="3" t="s">
        <v>317</v>
      </c>
      <c r="C3191" s="3" t="s">
        <v>21</v>
      </c>
      <c r="D3191" s="3" t="s">
        <v>21</v>
      </c>
      <c r="E3191" s="11" t="s">
        <v>144</v>
      </c>
      <c r="F3191" s="3" t="s">
        <v>8</v>
      </c>
      <c r="G3191" s="48" t="s">
        <v>402</v>
      </c>
      <c r="H3191" s="8"/>
      <c r="I3191" s="8"/>
      <c r="J3191" s="6" t="s">
        <v>110</v>
      </c>
      <c r="K3191" s="38">
        <v>408</v>
      </c>
      <c r="L3191" s="4" t="s">
        <v>24</v>
      </c>
      <c r="M3191" s="11">
        <f>_xlfn.NUMBERVALUE(LEFT(Table613[[#This Row],[Fiscal Year]], 4))</f>
        <v>2016</v>
      </c>
      <c r="N3191" s="42">
        <f t="shared" si="70"/>
        <v>427.77270000000004</v>
      </c>
      <c r="O3191" s="3">
        <v>3189</v>
      </c>
    </row>
    <row r="3192" spans="1:15" x14ac:dyDescent="0.25">
      <c r="A3192" s="3">
        <v>9</v>
      </c>
      <c r="B3192" s="3" t="s">
        <v>317</v>
      </c>
      <c r="C3192" s="3" t="s">
        <v>21</v>
      </c>
      <c r="D3192" s="3" t="s">
        <v>21</v>
      </c>
      <c r="E3192" s="11" t="s">
        <v>144</v>
      </c>
      <c r="F3192" s="3" t="s">
        <v>8</v>
      </c>
      <c r="G3192" s="66" t="s">
        <v>403</v>
      </c>
      <c r="H3192" s="8"/>
      <c r="I3192" s="8"/>
      <c r="J3192" s="6" t="s">
        <v>110</v>
      </c>
      <c r="K3192" s="38">
        <v>2000</v>
      </c>
      <c r="L3192" s="4" t="s">
        <v>24</v>
      </c>
      <c r="M3192" s="11">
        <f>_xlfn.NUMBERVALUE(LEFT(Table613[[#This Row],[Fiscal Year]], 4))</f>
        <v>2016</v>
      </c>
      <c r="N3192" s="42">
        <f t="shared" si="70"/>
        <v>2096.9250000000002</v>
      </c>
      <c r="O3192" s="3">
        <v>3190</v>
      </c>
    </row>
    <row r="3193" spans="1:15" x14ac:dyDescent="0.25">
      <c r="A3193" s="3">
        <v>9</v>
      </c>
      <c r="B3193" s="3" t="s">
        <v>317</v>
      </c>
      <c r="C3193" s="3" t="s">
        <v>21</v>
      </c>
      <c r="D3193" s="3" t="s">
        <v>21</v>
      </c>
      <c r="E3193" s="11" t="s">
        <v>144</v>
      </c>
      <c r="F3193" s="3" t="s">
        <v>8</v>
      </c>
      <c r="G3193" s="66" t="s">
        <v>426</v>
      </c>
      <c r="H3193" s="8"/>
      <c r="I3193" s="8"/>
      <c r="J3193" s="6" t="s">
        <v>110</v>
      </c>
      <c r="K3193" s="38">
        <v>3000</v>
      </c>
      <c r="L3193" s="4" t="s">
        <v>24</v>
      </c>
      <c r="M3193" s="11">
        <f>_xlfn.NUMBERVALUE(LEFT(Table613[[#This Row],[Fiscal Year]], 4))</f>
        <v>2016</v>
      </c>
      <c r="N3193" s="42">
        <f t="shared" si="70"/>
        <v>3145.3875000000003</v>
      </c>
      <c r="O3193" s="3">
        <v>3191</v>
      </c>
    </row>
    <row r="3194" spans="1:15" x14ac:dyDescent="0.25">
      <c r="A3194" s="3">
        <v>9</v>
      </c>
      <c r="B3194" s="3" t="s">
        <v>317</v>
      </c>
      <c r="C3194" s="3" t="s">
        <v>21</v>
      </c>
      <c r="D3194" s="3" t="s">
        <v>21</v>
      </c>
      <c r="E3194" s="11" t="s">
        <v>144</v>
      </c>
      <c r="F3194" s="3" t="s">
        <v>8</v>
      </c>
      <c r="G3194" s="66" t="s">
        <v>45</v>
      </c>
      <c r="H3194" s="8"/>
      <c r="I3194" s="8"/>
      <c r="J3194" s="6" t="s">
        <v>110</v>
      </c>
      <c r="K3194" s="38">
        <v>3000</v>
      </c>
      <c r="L3194" s="4" t="s">
        <v>24</v>
      </c>
      <c r="M3194" s="11">
        <f>_xlfn.NUMBERVALUE(LEFT(Table613[[#This Row],[Fiscal Year]], 4))</f>
        <v>2016</v>
      </c>
      <c r="N3194" s="42">
        <f t="shared" si="70"/>
        <v>3145.3875000000003</v>
      </c>
      <c r="O3194" s="3">
        <v>3192</v>
      </c>
    </row>
    <row r="3195" spans="1:15" x14ac:dyDescent="0.25">
      <c r="A3195" s="3">
        <v>9</v>
      </c>
      <c r="B3195" s="3" t="s">
        <v>317</v>
      </c>
      <c r="C3195" s="3" t="s">
        <v>21</v>
      </c>
      <c r="D3195" s="3" t="s">
        <v>21</v>
      </c>
      <c r="E3195" s="11" t="s">
        <v>144</v>
      </c>
      <c r="F3195" s="3" t="s">
        <v>8</v>
      </c>
      <c r="G3195" s="48" t="s">
        <v>404</v>
      </c>
      <c r="H3195" s="8"/>
      <c r="I3195" s="8"/>
      <c r="J3195" s="6" t="s">
        <v>110</v>
      </c>
      <c r="K3195" s="38">
        <v>25000</v>
      </c>
      <c r="L3195" s="4" t="s">
        <v>24</v>
      </c>
      <c r="M3195" s="11">
        <f>_xlfn.NUMBERVALUE(LEFT(Table613[[#This Row],[Fiscal Year]], 4))</f>
        <v>2016</v>
      </c>
      <c r="N3195" s="42">
        <f t="shared" si="70"/>
        <v>26211.562500000004</v>
      </c>
      <c r="O3195" s="3">
        <v>3193</v>
      </c>
    </row>
    <row r="3196" spans="1:15" x14ac:dyDescent="0.25">
      <c r="A3196" s="3">
        <v>9</v>
      </c>
      <c r="B3196" s="3" t="s">
        <v>317</v>
      </c>
      <c r="C3196" s="3" t="s">
        <v>21</v>
      </c>
      <c r="D3196" s="3" t="s">
        <v>21</v>
      </c>
      <c r="E3196" s="11" t="s">
        <v>144</v>
      </c>
      <c r="F3196" s="3" t="s">
        <v>8</v>
      </c>
      <c r="G3196" s="66" t="s">
        <v>405</v>
      </c>
      <c r="H3196" s="8" t="s">
        <v>702</v>
      </c>
      <c r="I3196" s="8" t="s">
        <v>703</v>
      </c>
      <c r="J3196" s="6" t="s">
        <v>455</v>
      </c>
      <c r="K3196" s="38">
        <v>300000</v>
      </c>
      <c r="L3196" s="4" t="s">
        <v>24</v>
      </c>
      <c r="M3196" s="11">
        <f>_xlfn.NUMBERVALUE(LEFT(Table613[[#This Row],[Fiscal Year]], 4))</f>
        <v>2016</v>
      </c>
      <c r="N3196" s="42">
        <f t="shared" si="70"/>
        <v>314538.75</v>
      </c>
      <c r="O3196" s="3">
        <v>3194</v>
      </c>
    </row>
    <row r="3197" spans="1:15" x14ac:dyDescent="0.25">
      <c r="A3197" s="3">
        <v>9</v>
      </c>
      <c r="B3197" s="3" t="s">
        <v>317</v>
      </c>
      <c r="C3197" s="3" t="s">
        <v>21</v>
      </c>
      <c r="D3197" s="3" t="s">
        <v>21</v>
      </c>
      <c r="E3197" s="11" t="s">
        <v>144</v>
      </c>
      <c r="F3197" s="3" t="s">
        <v>8</v>
      </c>
      <c r="G3197" s="66" t="s">
        <v>406</v>
      </c>
      <c r="H3197" s="8"/>
      <c r="I3197" s="8"/>
      <c r="J3197" s="6" t="s">
        <v>110</v>
      </c>
      <c r="K3197" s="38">
        <v>219977</v>
      </c>
      <c r="L3197" s="4" t="s">
        <v>24</v>
      </c>
      <c r="M3197" s="11">
        <f>_xlfn.NUMBERVALUE(LEFT(Table613[[#This Row],[Fiscal Year]], 4))</f>
        <v>2016</v>
      </c>
      <c r="N3197" s="42">
        <f t="shared" si="70"/>
        <v>230637.6353625</v>
      </c>
      <c r="O3197" s="3">
        <v>3195</v>
      </c>
    </row>
    <row r="3198" spans="1:15" x14ac:dyDescent="0.25">
      <c r="A3198" s="3">
        <v>9</v>
      </c>
      <c r="B3198" s="3" t="s">
        <v>317</v>
      </c>
      <c r="C3198" s="3" t="s">
        <v>21</v>
      </c>
      <c r="D3198" s="3" t="s">
        <v>21</v>
      </c>
      <c r="E3198" s="11" t="s">
        <v>144</v>
      </c>
      <c r="F3198" s="3" t="s">
        <v>8</v>
      </c>
      <c r="G3198" s="66" t="s">
        <v>427</v>
      </c>
      <c r="H3198" s="8"/>
      <c r="I3198" s="8"/>
      <c r="J3198" s="6" t="s">
        <v>76</v>
      </c>
      <c r="K3198" s="38">
        <v>5241</v>
      </c>
      <c r="L3198" s="4" t="s">
        <v>24</v>
      </c>
      <c r="M3198" s="11">
        <f>_xlfn.NUMBERVALUE(LEFT(Table613[[#This Row],[Fiscal Year]], 4))</f>
        <v>2016</v>
      </c>
      <c r="N3198" s="42">
        <f t="shared" si="70"/>
        <v>5494.9919625000002</v>
      </c>
      <c r="O3198" s="3">
        <v>3196</v>
      </c>
    </row>
    <row r="3199" spans="1:15" x14ac:dyDescent="0.25">
      <c r="A3199" s="3">
        <v>9</v>
      </c>
      <c r="B3199" s="3" t="s">
        <v>317</v>
      </c>
      <c r="C3199" s="3" t="s">
        <v>21</v>
      </c>
      <c r="D3199" s="3" t="s">
        <v>21</v>
      </c>
      <c r="E3199" s="11" t="s">
        <v>144</v>
      </c>
      <c r="F3199" s="3" t="s">
        <v>8</v>
      </c>
      <c r="G3199" s="66" t="s">
        <v>407</v>
      </c>
      <c r="H3199" s="8" t="s">
        <v>592</v>
      </c>
      <c r="I3199" s="8" t="s">
        <v>590</v>
      </c>
      <c r="J3199" s="6" t="s">
        <v>453</v>
      </c>
      <c r="K3199" s="38">
        <v>500</v>
      </c>
      <c r="L3199" s="4" t="s">
        <v>24</v>
      </c>
      <c r="M3199" s="11">
        <f>_xlfn.NUMBERVALUE(LEFT(Table613[[#This Row],[Fiscal Year]], 4))</f>
        <v>2016</v>
      </c>
      <c r="N3199" s="42">
        <f t="shared" ref="N3199:N3208" si="71">K3199*(1+VLOOKUP(M3199,$AF$8:$AH$31,3,0))</f>
        <v>524.23125000000005</v>
      </c>
      <c r="O3199" s="3">
        <v>3197</v>
      </c>
    </row>
    <row r="3200" spans="1:15" x14ac:dyDescent="0.25">
      <c r="A3200" s="3">
        <v>9</v>
      </c>
      <c r="B3200" s="3" t="s">
        <v>317</v>
      </c>
      <c r="C3200" s="3" t="s">
        <v>21</v>
      </c>
      <c r="D3200" s="3" t="s">
        <v>21</v>
      </c>
      <c r="E3200" s="11" t="s">
        <v>144</v>
      </c>
      <c r="F3200" s="3" t="s">
        <v>8</v>
      </c>
      <c r="G3200" s="66" t="s">
        <v>369</v>
      </c>
      <c r="H3200" s="8"/>
      <c r="I3200" s="8"/>
      <c r="J3200" s="6" t="s">
        <v>110</v>
      </c>
      <c r="K3200" s="38">
        <v>7000</v>
      </c>
      <c r="L3200" s="4" t="s">
        <v>24</v>
      </c>
      <c r="M3200" s="11">
        <f>_xlfn.NUMBERVALUE(LEFT(Table613[[#This Row],[Fiscal Year]], 4))</f>
        <v>2016</v>
      </c>
      <c r="N3200" s="42">
        <f t="shared" si="71"/>
        <v>7339.2375000000002</v>
      </c>
      <c r="O3200" s="3">
        <v>3198</v>
      </c>
    </row>
    <row r="3201" spans="1:15" x14ac:dyDescent="0.25">
      <c r="A3201" s="3">
        <v>9</v>
      </c>
      <c r="B3201" s="3" t="s">
        <v>317</v>
      </c>
      <c r="C3201" s="3" t="s">
        <v>21</v>
      </c>
      <c r="D3201" s="3" t="s">
        <v>21</v>
      </c>
      <c r="E3201" s="11" t="s">
        <v>144</v>
      </c>
      <c r="F3201" s="3" t="s">
        <v>8</v>
      </c>
      <c r="G3201" s="66" t="s">
        <v>408</v>
      </c>
      <c r="H3201" s="8" t="s">
        <v>704</v>
      </c>
      <c r="I3201" s="8"/>
      <c r="J3201" s="6" t="s">
        <v>455</v>
      </c>
      <c r="K3201" s="38">
        <v>750</v>
      </c>
      <c r="L3201" s="4" t="s">
        <v>24</v>
      </c>
      <c r="M3201" s="11">
        <f>_xlfn.NUMBERVALUE(LEFT(Table613[[#This Row],[Fiscal Year]], 4))</f>
        <v>2016</v>
      </c>
      <c r="N3201" s="42">
        <f t="shared" si="71"/>
        <v>786.34687500000007</v>
      </c>
      <c r="O3201" s="3">
        <v>3199</v>
      </c>
    </row>
    <row r="3202" spans="1:15" x14ac:dyDescent="0.25">
      <c r="A3202" s="3">
        <v>9</v>
      </c>
      <c r="B3202" s="3" t="s">
        <v>317</v>
      </c>
      <c r="C3202" s="3" t="s">
        <v>21</v>
      </c>
      <c r="D3202" s="3" t="s">
        <v>21</v>
      </c>
      <c r="E3202" s="11" t="s">
        <v>144</v>
      </c>
      <c r="F3202" s="3" t="s">
        <v>8</v>
      </c>
      <c r="G3202" s="66" t="s">
        <v>409</v>
      </c>
      <c r="H3202" s="8"/>
      <c r="I3202" s="8"/>
      <c r="J3202" s="6" t="s">
        <v>110</v>
      </c>
      <c r="K3202" s="38">
        <v>200</v>
      </c>
      <c r="L3202" s="4" t="s">
        <v>24</v>
      </c>
      <c r="M3202" s="11">
        <f>_xlfn.NUMBERVALUE(LEFT(Table613[[#This Row],[Fiscal Year]], 4))</f>
        <v>2016</v>
      </c>
      <c r="N3202" s="42">
        <f t="shared" si="71"/>
        <v>209.69250000000002</v>
      </c>
      <c r="O3202" s="3">
        <v>3200</v>
      </c>
    </row>
    <row r="3203" spans="1:15" x14ac:dyDescent="0.25">
      <c r="A3203" s="3">
        <v>9</v>
      </c>
      <c r="B3203" s="3" t="s">
        <v>317</v>
      </c>
      <c r="C3203" s="3" t="s">
        <v>21</v>
      </c>
      <c r="D3203" s="3" t="s">
        <v>21</v>
      </c>
      <c r="E3203" s="11" t="s">
        <v>144</v>
      </c>
      <c r="F3203" s="3" t="s">
        <v>8</v>
      </c>
      <c r="G3203" s="66" t="s">
        <v>410</v>
      </c>
      <c r="H3203" s="8"/>
      <c r="I3203" s="8"/>
      <c r="J3203" s="8" t="s">
        <v>110</v>
      </c>
      <c r="K3203" s="38">
        <v>40000</v>
      </c>
      <c r="L3203" s="4" t="s">
        <v>24</v>
      </c>
      <c r="M3203" s="11">
        <f>_xlfn.NUMBERVALUE(LEFT(Table613[[#This Row],[Fiscal Year]], 4))</f>
        <v>2016</v>
      </c>
      <c r="N3203" s="42">
        <f t="shared" si="71"/>
        <v>41938.5</v>
      </c>
      <c r="O3203" s="3">
        <v>3201</v>
      </c>
    </row>
    <row r="3204" spans="1:15" x14ac:dyDescent="0.25">
      <c r="A3204" s="3">
        <v>9</v>
      </c>
      <c r="B3204" s="3" t="s">
        <v>317</v>
      </c>
      <c r="C3204" s="3" t="s">
        <v>21</v>
      </c>
      <c r="D3204" s="3" t="s">
        <v>21</v>
      </c>
      <c r="E3204" s="11" t="s">
        <v>144</v>
      </c>
      <c r="F3204" s="3" t="s">
        <v>8</v>
      </c>
      <c r="G3204" s="48" t="s">
        <v>411</v>
      </c>
      <c r="H3204" s="8"/>
      <c r="I3204" s="8"/>
      <c r="J3204" s="6" t="s">
        <v>110</v>
      </c>
      <c r="K3204" s="38">
        <v>5000</v>
      </c>
      <c r="L3204" s="4" t="s">
        <v>24</v>
      </c>
      <c r="M3204" s="11">
        <f>_xlfn.NUMBERVALUE(LEFT(Table613[[#This Row],[Fiscal Year]], 4))</f>
        <v>2016</v>
      </c>
      <c r="N3204" s="42">
        <f t="shared" si="71"/>
        <v>5242.3125</v>
      </c>
      <c r="O3204" s="3">
        <v>3202</v>
      </c>
    </row>
    <row r="3205" spans="1:15" x14ac:dyDescent="0.25">
      <c r="A3205" s="3">
        <v>9</v>
      </c>
      <c r="B3205" s="3" t="s">
        <v>317</v>
      </c>
      <c r="C3205" s="3" t="s">
        <v>21</v>
      </c>
      <c r="D3205" s="3" t="s">
        <v>21</v>
      </c>
      <c r="E3205" s="11" t="s">
        <v>144</v>
      </c>
      <c r="F3205" s="3" t="s">
        <v>8</v>
      </c>
      <c r="G3205" s="48" t="s">
        <v>412</v>
      </c>
      <c r="H3205" s="8"/>
      <c r="I3205" s="8"/>
      <c r="J3205" s="6" t="s">
        <v>110</v>
      </c>
      <c r="K3205" s="38">
        <v>5500</v>
      </c>
      <c r="L3205" s="4" t="s">
        <v>24</v>
      </c>
      <c r="M3205" s="11">
        <f>_xlfn.NUMBERVALUE(LEFT(Table613[[#This Row],[Fiscal Year]], 4))</f>
        <v>2016</v>
      </c>
      <c r="N3205" s="42">
        <f t="shared" si="71"/>
        <v>5766.5437500000007</v>
      </c>
      <c r="O3205" s="3">
        <v>3203</v>
      </c>
    </row>
    <row r="3206" spans="1:15" x14ac:dyDescent="0.25">
      <c r="A3206" s="3">
        <v>9</v>
      </c>
      <c r="B3206" s="3" t="s">
        <v>317</v>
      </c>
      <c r="C3206" s="3" t="s">
        <v>21</v>
      </c>
      <c r="D3206" s="3" t="s">
        <v>21</v>
      </c>
      <c r="E3206" s="11" t="s">
        <v>144</v>
      </c>
      <c r="F3206" s="3" t="s">
        <v>8</v>
      </c>
      <c r="G3206" s="66" t="s">
        <v>413</v>
      </c>
      <c r="H3206" s="8"/>
      <c r="I3206" s="8"/>
      <c r="J3206" s="6" t="s">
        <v>108</v>
      </c>
      <c r="K3206" s="38">
        <v>2000</v>
      </c>
      <c r="L3206" s="4" t="s">
        <v>24</v>
      </c>
      <c r="M3206" s="11">
        <f>_xlfn.NUMBERVALUE(LEFT(Table613[[#This Row],[Fiscal Year]], 4))</f>
        <v>2016</v>
      </c>
      <c r="N3206" s="42">
        <f t="shared" si="71"/>
        <v>2096.9250000000002</v>
      </c>
      <c r="O3206" s="3">
        <v>3204</v>
      </c>
    </row>
    <row r="3207" spans="1:15" x14ac:dyDescent="0.25">
      <c r="A3207" s="3">
        <v>9</v>
      </c>
      <c r="B3207" s="3" t="s">
        <v>317</v>
      </c>
      <c r="C3207" s="3" t="s">
        <v>21</v>
      </c>
      <c r="D3207" s="3" t="s">
        <v>21</v>
      </c>
      <c r="E3207" s="11" t="s">
        <v>144</v>
      </c>
      <c r="F3207" s="3" t="s">
        <v>8</v>
      </c>
      <c r="G3207" s="48" t="s">
        <v>414</v>
      </c>
      <c r="H3207" s="8"/>
      <c r="I3207" s="8"/>
      <c r="J3207" s="6" t="s">
        <v>110</v>
      </c>
      <c r="K3207" s="38">
        <v>45000</v>
      </c>
      <c r="L3207" s="4" t="s">
        <v>24</v>
      </c>
      <c r="M3207" s="11">
        <f>_xlfn.NUMBERVALUE(LEFT(Table613[[#This Row],[Fiscal Year]], 4))</f>
        <v>2016</v>
      </c>
      <c r="N3207" s="42">
        <f t="shared" si="71"/>
        <v>47180.8125</v>
      </c>
      <c r="O3207" s="3">
        <v>3205</v>
      </c>
    </row>
    <row r="3208" spans="1:15" x14ac:dyDescent="0.25">
      <c r="A3208" s="3">
        <v>9</v>
      </c>
      <c r="B3208" s="3" t="s">
        <v>317</v>
      </c>
      <c r="C3208" s="3" t="s">
        <v>21</v>
      </c>
      <c r="D3208" s="3" t="s">
        <v>21</v>
      </c>
      <c r="E3208" s="11" t="s">
        <v>144</v>
      </c>
      <c r="F3208" s="3" t="s">
        <v>8</v>
      </c>
      <c r="G3208" s="66" t="s">
        <v>415</v>
      </c>
      <c r="H3208" s="8" t="s">
        <v>603</v>
      </c>
      <c r="I3208" s="8" t="s">
        <v>590</v>
      </c>
      <c r="J3208" s="6" t="s">
        <v>110</v>
      </c>
      <c r="K3208" s="38">
        <v>8000</v>
      </c>
      <c r="L3208" s="4" t="s">
        <v>24</v>
      </c>
      <c r="M3208" s="11">
        <f>_xlfn.NUMBERVALUE(LEFT(Table613[[#This Row],[Fiscal Year]], 4))</f>
        <v>2016</v>
      </c>
      <c r="N3208" s="42">
        <f t="shared" si="71"/>
        <v>8387.7000000000007</v>
      </c>
      <c r="O3208" s="3">
        <v>3206</v>
      </c>
    </row>
    <row r="3209" spans="1:15" x14ac:dyDescent="0.25">
      <c r="C3209" s="1"/>
      <c r="D3209" s="1"/>
      <c r="E3209" s="11"/>
      <c r="H3209" s="48"/>
      <c r="I3209" s="9"/>
      <c r="J3209" s="6"/>
      <c r="L3209" s="4"/>
      <c r="N3209" s="43"/>
    </row>
    <row r="3210" spans="1:15" x14ac:dyDescent="0.25">
      <c r="C3210" s="1"/>
      <c r="D3210" s="1"/>
      <c r="E3210" s="11"/>
      <c r="G3210" s="9"/>
      <c r="H3210" s="8"/>
      <c r="I3210" s="9"/>
      <c r="J3210" s="6"/>
      <c r="L3210" s="4"/>
      <c r="N3210" s="43"/>
    </row>
    <row r="3211" spans="1:15" x14ac:dyDescent="0.25">
      <c r="E3211" s="11"/>
      <c r="H3211" s="9"/>
      <c r="I3211" s="9"/>
      <c r="J3211" s="6"/>
      <c r="L3211" s="4"/>
      <c r="N3211" s="42">
        <f>SUM(N3:N3208)</f>
        <v>757958421.26700091</v>
      </c>
    </row>
    <row r="3212" spans="1:15" x14ac:dyDescent="0.25">
      <c r="E3212" s="11"/>
      <c r="I3212" s="9"/>
      <c r="J3212" s="6"/>
      <c r="L3212" s="4"/>
    </row>
    <row r="3213" spans="1:15" x14ac:dyDescent="0.25">
      <c r="E3213" s="11"/>
      <c r="I3213" s="9"/>
      <c r="J3213" s="6"/>
      <c r="L3213" s="4"/>
    </row>
    <row r="3214" spans="1:15" x14ac:dyDescent="0.25">
      <c r="E3214" s="11"/>
      <c r="I3214" s="9"/>
      <c r="J3214" s="6"/>
      <c r="L3214" s="4"/>
    </row>
    <row r="3215" spans="1:15" x14ac:dyDescent="0.25">
      <c r="E3215" s="11"/>
      <c r="I3215" s="9"/>
      <c r="J3215" s="6"/>
      <c r="L3215" s="4"/>
    </row>
    <row r="3216" spans="1:15" x14ac:dyDescent="0.25">
      <c r="E3216" s="11"/>
      <c r="I3216" s="9"/>
      <c r="J3216" s="6"/>
      <c r="L3216" s="4"/>
    </row>
    <row r="3217" spans="3:14" x14ac:dyDescent="0.25">
      <c r="E3217" s="11"/>
      <c r="I3217" s="9"/>
      <c r="J3217" s="6"/>
      <c r="L3217" s="4"/>
    </row>
    <row r="3218" spans="3:14" x14ac:dyDescent="0.25">
      <c r="C3218" s="1"/>
      <c r="D3218" s="1"/>
      <c r="E3218" s="11"/>
      <c r="H3218" s="48"/>
      <c r="I3218" s="9"/>
      <c r="J3218" s="6"/>
      <c r="L3218" s="4"/>
      <c r="N3218" s="43"/>
    </row>
    <row r="3219" spans="3:14" x14ac:dyDescent="0.25">
      <c r="E3219" s="11"/>
      <c r="H3219" s="9"/>
      <c r="I3219" s="9"/>
      <c r="J3219" s="6"/>
      <c r="L3219" s="4"/>
    </row>
    <row r="3220" spans="3:14" x14ac:dyDescent="0.25">
      <c r="C3220" s="1"/>
      <c r="D3220" s="1"/>
      <c r="E3220" s="11"/>
      <c r="H3220" s="9"/>
      <c r="I3220" s="9"/>
      <c r="J3220" s="6"/>
      <c r="L3220" s="4"/>
      <c r="N3220" s="43"/>
    </row>
    <row r="3221" spans="3:14" x14ac:dyDescent="0.25">
      <c r="C3221" s="1"/>
      <c r="D3221" s="1"/>
      <c r="E3221" s="11"/>
      <c r="H3221" s="9"/>
      <c r="I3221" s="9"/>
      <c r="J3221" s="6"/>
      <c r="L3221" s="4"/>
      <c r="N3221" s="43"/>
    </row>
    <row r="3222" spans="3:14" x14ac:dyDescent="0.25">
      <c r="C3222" s="1"/>
      <c r="D3222" s="1"/>
      <c r="E3222" s="11"/>
      <c r="H3222" s="9"/>
      <c r="I3222" s="9"/>
      <c r="J3222" s="6"/>
      <c r="L3222" s="4"/>
      <c r="N3222" s="43"/>
    </row>
    <row r="3223" spans="3:14" x14ac:dyDescent="0.25">
      <c r="E3223" s="11"/>
      <c r="J3223" s="6"/>
      <c r="L3223" s="4"/>
    </row>
    <row r="3224" spans="3:14" x14ac:dyDescent="0.25">
      <c r="E3224" s="11"/>
      <c r="G3224" s="9"/>
      <c r="J3224" s="6"/>
      <c r="L3224" s="4"/>
      <c r="N3224" s="43"/>
    </row>
    <row r="3225" spans="3:14" x14ac:dyDescent="0.25">
      <c r="E3225" s="11"/>
      <c r="G3225" s="9"/>
      <c r="J3225" s="6"/>
      <c r="L3225" s="4"/>
      <c r="N3225" s="43"/>
    </row>
    <row r="3226" spans="3:14" x14ac:dyDescent="0.25">
      <c r="E3226" s="11"/>
      <c r="J3226" s="6"/>
      <c r="L3226" s="4"/>
    </row>
    <row r="3227" spans="3:14" x14ac:dyDescent="0.25">
      <c r="E3227" s="11"/>
      <c r="J3227" s="6"/>
      <c r="L3227" s="4"/>
    </row>
    <row r="3228" spans="3:14" x14ac:dyDescent="0.25">
      <c r="E3228" s="11"/>
      <c r="J3228" s="6"/>
      <c r="L3228" s="4"/>
    </row>
    <row r="3229" spans="3:14" x14ac:dyDescent="0.25">
      <c r="E3229" s="11"/>
      <c r="J3229" s="6"/>
      <c r="L3229" s="4"/>
    </row>
    <row r="3230" spans="3:14" x14ac:dyDescent="0.25">
      <c r="E3230" s="11"/>
      <c r="J3230" s="6"/>
      <c r="L3230" s="4"/>
    </row>
    <row r="3231" spans="3:14" x14ac:dyDescent="0.25">
      <c r="E3231" s="11"/>
      <c r="J3231" s="6"/>
      <c r="L3231" s="4"/>
    </row>
    <row r="3232" spans="3:14" x14ac:dyDescent="0.25">
      <c r="E3232" s="11"/>
      <c r="J3232" s="6"/>
      <c r="L3232" s="4"/>
    </row>
    <row r="3233" spans="5:12" x14ac:dyDescent="0.25">
      <c r="E3233" s="11"/>
      <c r="J3233" s="6"/>
      <c r="L3233" s="4"/>
    </row>
    <row r="3234" spans="5:12" x14ac:dyDescent="0.25">
      <c r="E3234" s="11"/>
      <c r="J3234" s="6"/>
      <c r="L3234" s="4"/>
    </row>
    <row r="3235" spans="5:12" x14ac:dyDescent="0.25">
      <c r="E3235" s="11"/>
      <c r="J3235" s="6"/>
      <c r="L3235" s="4"/>
    </row>
    <row r="3236" spans="5:12" x14ac:dyDescent="0.25">
      <c r="E3236" s="11"/>
      <c r="J3236" s="6"/>
      <c r="L3236" s="4"/>
    </row>
    <row r="3237" spans="5:12" x14ac:dyDescent="0.25">
      <c r="E3237" s="11"/>
      <c r="J3237" s="6"/>
      <c r="L3237" s="4"/>
    </row>
    <row r="3238" spans="5:12" x14ac:dyDescent="0.25">
      <c r="E3238" s="11"/>
      <c r="J3238" s="6"/>
      <c r="L3238" s="4"/>
    </row>
    <row r="3239" spans="5:12" x14ac:dyDescent="0.25">
      <c r="E3239" s="11"/>
      <c r="J3239" s="6"/>
      <c r="L3239" s="4"/>
    </row>
    <row r="3240" spans="5:12" x14ac:dyDescent="0.25">
      <c r="E3240" s="11"/>
      <c r="J3240" s="6"/>
      <c r="L3240" s="4"/>
    </row>
    <row r="3241" spans="5:12" x14ac:dyDescent="0.25">
      <c r="E3241" s="11"/>
      <c r="J3241" s="6"/>
      <c r="L3241" s="4"/>
    </row>
    <row r="3242" spans="5:12" x14ac:dyDescent="0.25">
      <c r="E3242" s="11"/>
      <c r="J3242" s="6"/>
      <c r="L3242" s="4"/>
    </row>
    <row r="3243" spans="5:12" x14ac:dyDescent="0.25">
      <c r="E3243" s="11"/>
      <c r="J3243" s="6"/>
      <c r="L3243" s="4"/>
    </row>
    <row r="3244" spans="5:12" x14ac:dyDescent="0.25">
      <c r="E3244" s="11"/>
      <c r="J3244" s="6"/>
      <c r="L3244" s="4"/>
    </row>
    <row r="3245" spans="5:12" x14ac:dyDescent="0.25">
      <c r="E3245" s="11"/>
      <c r="J3245" s="6"/>
      <c r="L3245" s="4"/>
    </row>
    <row r="3246" spans="5:12" x14ac:dyDescent="0.25">
      <c r="E3246" s="11"/>
      <c r="J3246" s="6"/>
      <c r="L3246" s="4"/>
    </row>
  </sheetData>
  <mergeCells count="2">
    <mergeCell ref="A1:O1"/>
    <mergeCell ref="AF7:AH7"/>
  </mergeCells>
  <dataValidations count="2">
    <dataValidation type="list" allowBlank="1" showInputMessage="1" showErrorMessage="1" sqref="J3218:J3223 J2780 J1573:J2778 J2974:J3089 J3:J1571 J2785:J2971 J3091:J3210" xr:uid="{7D82FF96-582A-43BE-878D-07330B6D204E}">
      <formula1>$S$4:$S$18</formula1>
    </dataValidation>
    <dataValidation type="list" allowBlank="1" showInputMessage="1" showErrorMessage="1" sqref="S4:S12" xr:uid="{9B06D067-BDF2-42DE-A53F-BDB3D9061C49}">
      <formula1>$S$4:$S$12</formula1>
    </dataValidation>
  </dataValidations>
  <hyperlinks>
    <hyperlink ref="I2516" r:id="rId1" xr:uid="{2760A261-BC77-42C0-9271-BAB9165896EC}"/>
    <hyperlink ref="I2551" r:id="rId2" xr:uid="{8BA6E89E-1D0B-42BC-B545-A8AA8BD857FD}"/>
    <hyperlink ref="I2571" r:id="rId3" xr:uid="{A3AA2676-C6F6-4083-881D-276F1405C3CA}"/>
    <hyperlink ref="I2591" r:id="rId4" xr:uid="{EAEAA2A5-ABD0-4F5C-B56B-9F591266C71E}"/>
    <hyperlink ref="I2574" r:id="rId5" xr:uid="{C061CC5C-25F7-49F6-A973-EEB17AD1D29B}"/>
    <hyperlink ref="I2645" r:id="rId6" xr:uid="{2F8F0C1F-895F-4EC3-BC20-CB139D3482D8}"/>
    <hyperlink ref="I2654" r:id="rId7" xr:uid="{C710A973-01E2-4206-B080-F41CFC6676E6}"/>
    <hyperlink ref="I2660" r:id="rId8" xr:uid="{8310B5FA-EBE4-433C-9508-F7B00D8ED495}"/>
    <hyperlink ref="I2671" r:id="rId9" xr:uid="{9DAB6A1E-4E4B-402F-976D-EBE37E94760C}"/>
    <hyperlink ref="I2672" r:id="rId10" xr:uid="{6E27C74D-512F-4590-A92B-C138F0926392}"/>
    <hyperlink ref="I2685" r:id="rId11" xr:uid="{DD6328BB-0C95-4B34-A917-B9F5A8B6C440}"/>
    <hyperlink ref="I2698" r:id="rId12" display="http://rcflood.org/downloads/NPDES/Documents/SM_Indiv_SWMP/Murrieta SWMP Final.pdf" xr:uid="{CD1ECE15-01BE-4C9B-BB1A-2029D249104C}"/>
    <hyperlink ref="I2711" r:id="rId13" xr:uid="{02383948-1D73-43CC-A2C3-8389C7B99213}"/>
    <hyperlink ref="I2699" r:id="rId14" xr:uid="{66FB41D2-BC1B-43F8-A8CE-05BF86505BF7}"/>
    <hyperlink ref="I2724" r:id="rId15" xr:uid="{668E033F-CD8F-4DDA-972D-9FB514D4DBD1}"/>
    <hyperlink ref="I2737" r:id="rId16" xr:uid="{B0780F3B-573D-4FF3-8D33-32F8AB809B31}"/>
    <hyperlink ref="I2740" r:id="rId17" xr:uid="{44E6E004-E1CC-416A-B193-268B91C9749A}"/>
    <hyperlink ref="I2712" r:id="rId18" xr:uid="{F6F070A4-75E2-4079-B8DF-E14AF0149C42}"/>
    <hyperlink ref="I2746" r:id="rId19" xr:uid="{71F50AAE-4DF2-4537-9380-058FCF32618E}"/>
    <hyperlink ref="I377" r:id="rId20" xr:uid="{2C173F0C-3EC3-42CF-BF52-6250525FA308}"/>
    <hyperlink ref="I1282" r:id="rId21" xr:uid="{E5A3704E-4393-4BC3-8D36-FE8ABA331C95}"/>
    <hyperlink ref="I1299" r:id="rId22" xr:uid="{83D2724E-6BB9-4646-B1AF-378149B2CA66}"/>
    <hyperlink ref="I1316" r:id="rId23" xr:uid="{19FB6AAB-60D3-49AA-BFEB-4848E900A8EF}"/>
    <hyperlink ref="I1333" r:id="rId24" xr:uid="{5A9A8625-BEA6-4FC3-9F49-CA7209F0A917}"/>
    <hyperlink ref="I1350" r:id="rId25" xr:uid="{9E101C1D-1849-4522-860A-718803974D3B}"/>
    <hyperlink ref="I1367" r:id="rId26" xr:uid="{2C255D54-E77E-472A-86CD-437B42745D7D}"/>
    <hyperlink ref="I1384" r:id="rId27" xr:uid="{10A8D9EA-5507-45BD-A160-17D77D4D4440}"/>
    <hyperlink ref="I1401" r:id="rId28" xr:uid="{633510E1-411B-4FD7-BABA-5AB72C6C5251}"/>
    <hyperlink ref="I1418" r:id="rId29" xr:uid="{6D9990FF-AA8B-420F-AB18-9D4C4EF40205}"/>
    <hyperlink ref="I1436" r:id="rId30" xr:uid="{F2DDFCDD-7202-4F69-ABF8-BB954C70045B}"/>
    <hyperlink ref="I1452" r:id="rId31" xr:uid="{3EFE0EA3-534F-4AFD-9D17-B9BCA826DAA8}"/>
    <hyperlink ref="I1469" r:id="rId32" xr:uid="{0F942ABA-B0C7-4702-853C-F9F0631A94FC}"/>
    <hyperlink ref="I1573" r:id="rId33" xr:uid="{F894BFBE-F8EA-4527-97D1-FF727C4FCD7D}"/>
    <hyperlink ref="I2507" r:id="rId34" xr:uid="{64AD4CEB-83EF-4967-BD62-9C826147B9B4}"/>
    <hyperlink ref="I2670" r:id="rId35" xr:uid="{1B9A5462-FB2F-49A7-B7F4-1724CD2A2639}"/>
    <hyperlink ref="I326" r:id="rId36" xr:uid="{051106F3-078D-42BC-911D-5C6589FD6474}"/>
    <hyperlink ref="I1759" r:id="rId37" xr:uid="{FCFD79F9-9867-4C5B-A3DC-AB1FA45F45A0}"/>
    <hyperlink ref="I2535" r:id="rId38" xr:uid="{E9A568CE-782D-4DD7-B862-E87CB6C2FCA2}"/>
    <hyperlink ref="I2538" r:id="rId39" xr:uid="{FF360CA2-2F8A-4525-BAFC-3C73898E7647}"/>
    <hyperlink ref="I2540" r:id="rId40" xr:uid="{15BB542F-3964-43C2-B1DE-0FCA823C6EEA}"/>
    <hyperlink ref="I2587" r:id="rId41" xr:uid="{F1153616-A06D-4A22-A0EA-DB32A7724C9D}"/>
    <hyperlink ref="I2599" r:id="rId42" xr:uid="{713E6D85-E9D9-4FC2-AD28-09FFF1253C0E}"/>
    <hyperlink ref="I2639" r:id="rId43" xr:uid="{691D9AF1-57D6-4F96-A569-79911035C627}"/>
    <hyperlink ref="I2679" r:id="rId44" xr:uid="{B1DD7C3C-3827-4B6E-8FA6-51EF13171ECD}"/>
    <hyperlink ref="I2683" r:id="rId45" xr:uid="{A4DBBD7C-B505-4075-8B0B-2D800A008800}"/>
    <hyperlink ref="I2762" r:id="rId46" xr:uid="{04A810BD-4AFB-4B30-BBA5-5557B3A43D4E}"/>
    <hyperlink ref="I2850" r:id="rId47" display="https://www.waterboards.ca.gov/sandiego/board_info/agendas/2006/dec/item10/suppdoc2.pdf" xr:uid="{194402F4-3B17-424E-8887-59D1BE47BEB3}"/>
    <hyperlink ref="I149" r:id="rId48" xr:uid="{D73F9168-049D-4DE4-8536-E59499E50671}"/>
    <hyperlink ref="H1510" r:id="rId49" xr:uid="{F919D7B9-8A6A-4B22-B928-4A781024F2DE}"/>
    <hyperlink ref="H1524" r:id="rId50" xr:uid="{960A7DC6-CD74-46A7-9C9D-E5D25AAE7596}"/>
    <hyperlink ref="I2898" r:id="rId51" xr:uid="{01121807-F0C8-48EB-9C94-55ECFC02F37F}"/>
    <hyperlink ref="I2900" r:id="rId52" xr:uid="{C8E1D4E2-46C1-4F1D-9F2A-85796C8588E1}"/>
    <hyperlink ref="I2853" r:id="rId53" xr:uid="{B24C7AC4-64F4-4DD6-A6D4-764CFC81A033}"/>
    <hyperlink ref="I2945" r:id="rId54" xr:uid="{4F4A78D3-F6DE-444F-8E9C-5B892FA7351D}"/>
    <hyperlink ref="I2959" r:id="rId55" xr:uid="{D327EFCD-AD40-466E-A5C5-8796A7AC4B39}"/>
    <hyperlink ref="I2990" r:id="rId56" xr:uid="{AC0324C3-0E6F-4066-9A36-99A4C97CAA6E}"/>
    <hyperlink ref="I3007" r:id="rId57" xr:uid="{8DA28DF1-E343-494D-9FF3-8AFCA90BF0E5}"/>
    <hyperlink ref="I3018" r:id="rId58" xr:uid="{6F9F1157-4D68-44D1-91E8-47937287824E}"/>
    <hyperlink ref="I3049" r:id="rId59" xr:uid="{49A28F8E-DBC2-4184-9F3E-063931B552C9}"/>
    <hyperlink ref="I3125" r:id="rId60" xr:uid="{326AE34A-C3E6-4EE3-B6C7-4F196AB95F0A}"/>
    <hyperlink ref="I3146" r:id="rId61" xr:uid="{ACE92A2C-FB1D-44FF-8334-3FCFC093F0C2}"/>
    <hyperlink ref="I2748" r:id="rId62" xr:uid="{DC856EC3-1C79-4136-9000-EF0B9B89CE31}"/>
    <hyperlink ref="I2982" r:id="rId63" xr:uid="{B3B97B5B-C9E0-45A9-8C2F-C81CEE51DD0B}"/>
    <hyperlink ref="I3006" r:id="rId64" xr:uid="{8A45980C-6733-4922-BA52-747DC11400BF}"/>
    <hyperlink ref="I3001" r:id="rId65" xr:uid="{339F1BC2-885A-49A5-8256-19886654ED4D}"/>
    <hyperlink ref="I3020" r:id="rId66" xr:uid="{9F915A74-9D62-4F74-8091-8E90DE9AF1B5}"/>
    <hyperlink ref="I3042" r:id="rId67" xr:uid="{44E5AD76-E745-4AA8-9FF9-3DB2241FDC2C}"/>
    <hyperlink ref="I3047" r:id="rId68" xr:uid="{C307CA9F-AE78-4DA8-A89C-C314DC13FC20}"/>
    <hyperlink ref="I3054" r:id="rId69" xr:uid="{A9295035-BA83-405E-AF76-6276CED6BA72}"/>
  </hyperlinks>
  <pageMargins left="0.7" right="0.7" top="0.75" bottom="0.75" header="0.3" footer="0.3"/>
  <pageSetup orientation="portrait" r:id="rId70"/>
  <legacyDrawing r:id="rId71"/>
  <tableParts count="1">
    <tablePart r:id="rId7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9BC0-6F50-4E58-B3DB-4BA9BF31F18C}">
  <sheetPr>
    <tabColor theme="9" tint="0.39997558519241921"/>
  </sheetPr>
  <dimension ref="A1:WM56"/>
  <sheetViews>
    <sheetView zoomScale="70" zoomScaleNormal="70" workbookViewId="0">
      <selection activeCell="A2" sqref="A2:E2"/>
    </sheetView>
  </sheetViews>
  <sheetFormatPr defaultColWidth="9.140625" defaultRowHeight="15" x14ac:dyDescent="0.25"/>
  <cols>
    <col min="1" max="1" width="23.28515625" style="134" customWidth="1"/>
    <col min="2" max="4" width="19.28515625" style="134" customWidth="1"/>
    <col min="5" max="5" width="22" style="134" bestFit="1" customWidth="1"/>
    <col min="6" max="6" width="9.42578125" style="134" customWidth="1"/>
    <col min="7" max="7" width="1.7109375" style="134" customWidth="1"/>
    <col min="8" max="8" width="9.42578125" style="134" customWidth="1"/>
    <col min="9" max="9" width="17.7109375" style="134" bestFit="1" customWidth="1"/>
    <col min="10" max="10" width="16" style="134" bestFit="1" customWidth="1"/>
    <col min="11" max="11" width="16" style="134" customWidth="1"/>
    <col min="12" max="12" width="4" style="134" customWidth="1"/>
    <col min="13" max="13" width="17.7109375" style="134" bestFit="1" customWidth="1"/>
    <col min="14" max="14" width="14.5703125" style="134" bestFit="1" customWidth="1"/>
    <col min="15" max="15" width="17.7109375" style="134" bestFit="1" customWidth="1"/>
    <col min="16" max="16" width="5.85546875" style="134" customWidth="1"/>
    <col min="17" max="17" width="1.5703125" style="134" customWidth="1"/>
    <col min="18" max="18" width="8.140625" style="134" customWidth="1"/>
    <col min="19" max="19" width="16" style="134" bestFit="1" customWidth="1"/>
    <col min="20" max="21" width="17.85546875" style="134" bestFit="1" customWidth="1"/>
    <col min="22" max="22" width="16.28515625" style="134" bestFit="1" customWidth="1"/>
    <col min="23" max="23" width="17.85546875" style="134" bestFit="1" customWidth="1"/>
    <col min="24" max="24" width="10.28515625" style="134" customWidth="1"/>
    <col min="25" max="25" width="1.7109375" style="134" customWidth="1"/>
    <col min="26" max="26" width="10.28515625" style="134" customWidth="1"/>
    <col min="27" max="31" width="17.7109375" style="134" bestFit="1" customWidth="1"/>
    <col min="32" max="32" width="9" style="134" customWidth="1"/>
    <col min="33" max="33" width="1.7109375" style="134" customWidth="1"/>
    <col min="34" max="34" width="8.140625" style="134" customWidth="1"/>
    <col min="35" max="36" width="17.7109375" style="134" bestFit="1" customWidth="1"/>
    <col min="37" max="37" width="17.7109375" style="134" customWidth="1"/>
    <col min="38" max="39" width="17.7109375" style="134" bestFit="1" customWidth="1"/>
    <col min="40" max="40" width="10.140625" style="134" customWidth="1"/>
    <col min="41" max="51" width="17.7109375" style="134" bestFit="1" customWidth="1"/>
    <col min="52" max="52" width="10.28515625" style="134" bestFit="1" customWidth="1"/>
    <col min="53" max="59" width="17.7109375" style="134" bestFit="1" customWidth="1"/>
    <col min="60" max="60" width="10.28515625" style="134" bestFit="1" customWidth="1"/>
    <col min="61" max="65" width="17.7109375" style="134" bestFit="1" customWidth="1"/>
    <col min="66" max="66" width="16" style="134" bestFit="1" customWidth="1"/>
    <col min="67" max="67" width="17.7109375" style="134" bestFit="1" customWidth="1"/>
    <col min="68" max="68" width="16" style="134" bestFit="1" customWidth="1"/>
    <col min="69" max="69" width="14.5703125" style="134" bestFit="1" customWidth="1"/>
    <col min="70" max="78" width="17.7109375" style="134" bestFit="1" customWidth="1"/>
    <col min="79" max="79" width="16" style="134" bestFit="1" customWidth="1"/>
    <col min="80" max="82" width="17.7109375" style="134" bestFit="1" customWidth="1"/>
    <col min="83" max="83" width="14.5703125" style="134" bestFit="1" customWidth="1"/>
    <col min="84" max="87" width="17.7109375" style="134" bestFit="1" customWidth="1"/>
    <col min="88" max="88" width="16" style="134" bestFit="1" customWidth="1"/>
    <col min="89" max="95" width="17.7109375" style="134" bestFit="1" customWidth="1"/>
    <col min="96" max="96" width="16" style="134" bestFit="1" customWidth="1"/>
    <col min="97" max="115" width="17.7109375" style="134" bestFit="1" customWidth="1"/>
    <col min="116" max="116" width="10.28515625" style="134" bestFit="1" customWidth="1"/>
    <col min="117" max="128" width="17.7109375" style="134" bestFit="1" customWidth="1"/>
    <col min="129" max="129" width="16" style="134" bestFit="1" customWidth="1"/>
    <col min="130" max="130" width="17.7109375" style="134" bestFit="1" customWidth="1"/>
    <col min="131" max="131" width="16" style="134" bestFit="1" customWidth="1"/>
    <col min="132" max="132" width="17.7109375" style="134" bestFit="1" customWidth="1"/>
    <col min="133" max="133" width="16" style="134" bestFit="1" customWidth="1"/>
    <col min="134" max="141" width="17.7109375" style="134" bestFit="1" customWidth="1"/>
    <col min="142" max="142" width="10.28515625" style="134" bestFit="1" customWidth="1"/>
    <col min="143" max="144" width="17.7109375" style="134" bestFit="1" customWidth="1"/>
    <col min="145" max="145" width="16" style="134" bestFit="1" customWidth="1"/>
    <col min="146" max="152" width="17.7109375" style="134" bestFit="1" customWidth="1"/>
    <col min="153" max="153" width="13.140625" style="134" bestFit="1" customWidth="1"/>
    <col min="154" max="155" width="17.7109375" style="134" bestFit="1" customWidth="1"/>
    <col min="156" max="156" width="10.28515625" style="134" bestFit="1" customWidth="1"/>
    <col min="157" max="157" width="17.7109375" style="134" bestFit="1" customWidth="1"/>
    <col min="158" max="158" width="16" style="134" bestFit="1" customWidth="1"/>
    <col min="159" max="173" width="17.7109375" style="134" bestFit="1" customWidth="1"/>
    <col min="174" max="174" width="16" style="134" bestFit="1" customWidth="1"/>
    <col min="175" max="177" width="17.7109375" style="134" bestFit="1" customWidth="1"/>
    <col min="178" max="178" width="16" style="134" bestFit="1" customWidth="1"/>
    <col min="179" max="183" width="17.7109375" style="134" bestFit="1" customWidth="1"/>
    <col min="184" max="184" width="13.140625" style="134" bestFit="1" customWidth="1"/>
    <col min="185" max="193" width="17.7109375" style="134" bestFit="1" customWidth="1"/>
    <col min="194" max="194" width="16" style="134" bestFit="1" customWidth="1"/>
    <col min="195" max="198" width="17.7109375" style="134" bestFit="1" customWidth="1"/>
    <col min="199" max="199" width="14.5703125" style="134" bestFit="1" customWidth="1"/>
    <col min="200" max="203" width="17.7109375" style="134" bestFit="1" customWidth="1"/>
    <col min="204" max="204" width="16" style="134" bestFit="1" customWidth="1"/>
    <col min="205" max="217" width="17.7109375" style="134" bestFit="1" customWidth="1"/>
    <col min="218" max="218" width="14.5703125" style="134" bestFit="1" customWidth="1"/>
    <col min="219" max="252" width="17.7109375" style="134" bestFit="1" customWidth="1"/>
    <col min="253" max="253" width="10.28515625" style="134" bestFit="1" customWidth="1"/>
    <col min="254" max="254" width="11.7109375" style="134" bestFit="1" customWidth="1"/>
    <col min="255" max="259" width="17.7109375" style="134" bestFit="1" customWidth="1"/>
    <col min="260" max="260" width="16" style="134" bestFit="1" customWidth="1"/>
    <col min="261" max="273" width="17.7109375" style="134" bestFit="1" customWidth="1"/>
    <col min="274" max="274" width="16" style="134" bestFit="1" customWidth="1"/>
    <col min="275" max="289" width="17.7109375" style="134" bestFit="1" customWidth="1"/>
    <col min="290" max="290" width="16" style="134" bestFit="1" customWidth="1"/>
    <col min="291" max="295" width="17.7109375" style="134" bestFit="1" customWidth="1"/>
    <col min="296" max="296" width="11.7109375" style="134" bestFit="1" customWidth="1"/>
    <col min="297" max="298" width="17.7109375" style="134" bestFit="1" customWidth="1"/>
    <col min="299" max="299" width="14.5703125" style="134" bestFit="1" customWidth="1"/>
    <col min="300" max="303" width="17.7109375" style="134" bestFit="1" customWidth="1"/>
    <col min="304" max="304" width="16" style="134" bestFit="1" customWidth="1"/>
    <col min="305" max="307" width="17.7109375" style="134" bestFit="1" customWidth="1"/>
    <col min="308" max="308" width="14.5703125" style="134" bestFit="1" customWidth="1"/>
    <col min="309" max="317" width="17.7109375" style="134" bestFit="1" customWidth="1"/>
    <col min="318" max="318" width="11.7109375" style="134" bestFit="1" customWidth="1"/>
    <col min="319" max="319" width="17.7109375" style="134" bestFit="1" customWidth="1"/>
    <col min="320" max="320" width="14.5703125" style="134" bestFit="1" customWidth="1"/>
    <col min="321" max="324" width="17.7109375" style="134" bestFit="1" customWidth="1"/>
    <col min="325" max="325" width="11.7109375" style="134" bestFit="1" customWidth="1"/>
    <col min="326" max="327" width="17.7109375" style="134" bestFit="1" customWidth="1"/>
    <col min="328" max="328" width="16" style="134" bestFit="1" customWidth="1"/>
    <col min="329" max="329" width="17.7109375" style="134" bestFit="1" customWidth="1"/>
    <col min="330" max="330" width="11.7109375" style="134" bestFit="1" customWidth="1"/>
    <col min="331" max="331" width="16" style="134" bestFit="1" customWidth="1"/>
    <col min="332" max="333" width="17.7109375" style="134" bestFit="1" customWidth="1"/>
    <col min="334" max="334" width="16" style="134" bestFit="1" customWidth="1"/>
    <col min="335" max="348" width="17.7109375" style="134" bestFit="1" customWidth="1"/>
    <col min="349" max="349" width="16" style="134" bestFit="1" customWidth="1"/>
    <col min="350" max="352" width="17.7109375" style="134" bestFit="1" customWidth="1"/>
    <col min="353" max="353" width="11.7109375" style="134" bestFit="1" customWidth="1"/>
    <col min="354" max="355" width="17.7109375" style="134" bestFit="1" customWidth="1"/>
    <col min="356" max="357" width="16" style="134" bestFit="1" customWidth="1"/>
    <col min="358" max="365" width="17.7109375" style="134" bestFit="1" customWidth="1"/>
    <col min="366" max="366" width="11.7109375" style="134" bestFit="1" customWidth="1"/>
    <col min="367" max="371" width="17.7109375" style="134" bestFit="1" customWidth="1"/>
    <col min="372" max="372" width="16" style="134" bestFit="1" customWidth="1"/>
    <col min="373" max="384" width="17.7109375" style="134" bestFit="1" customWidth="1"/>
    <col min="385" max="385" width="11.7109375" style="134" bestFit="1" customWidth="1"/>
    <col min="386" max="391" width="17.7109375" style="134" bestFit="1" customWidth="1"/>
    <col min="392" max="392" width="16" style="134" bestFit="1" customWidth="1"/>
    <col min="393" max="405" width="17.7109375" style="134" bestFit="1" customWidth="1"/>
    <col min="406" max="406" width="11.7109375" style="134" bestFit="1" customWidth="1"/>
    <col min="407" max="414" width="17.7109375" style="134" bestFit="1" customWidth="1"/>
    <col min="415" max="415" width="16" style="134" bestFit="1" customWidth="1"/>
    <col min="416" max="420" width="17.7109375" style="134" bestFit="1" customWidth="1"/>
    <col min="421" max="422" width="16" style="134" bestFit="1" customWidth="1"/>
    <col min="423" max="427" width="17.7109375" style="134" bestFit="1" customWidth="1"/>
    <col min="428" max="428" width="11.7109375" style="134" bestFit="1" customWidth="1"/>
    <col min="429" max="429" width="17.7109375" style="134" bestFit="1" customWidth="1"/>
    <col min="430" max="430" width="11.7109375" style="134" bestFit="1" customWidth="1"/>
    <col min="431" max="439" width="17.7109375" style="134" bestFit="1" customWidth="1"/>
    <col min="440" max="441" width="16" style="134" bestFit="1" customWidth="1"/>
    <col min="442" max="447" width="17.7109375" style="134" bestFit="1" customWidth="1"/>
    <col min="448" max="448" width="16" style="134" bestFit="1" customWidth="1"/>
    <col min="449" max="450" width="17.7109375" style="134" bestFit="1" customWidth="1"/>
    <col min="451" max="451" width="16" style="134" bestFit="1" customWidth="1"/>
    <col min="452" max="452" width="17.7109375" style="134" bestFit="1" customWidth="1"/>
    <col min="453" max="453" width="16" style="134" bestFit="1" customWidth="1"/>
    <col min="454" max="458" width="17.7109375" style="134" bestFit="1" customWidth="1"/>
    <col min="459" max="459" width="11.7109375" style="134" bestFit="1" customWidth="1"/>
    <col min="460" max="460" width="17.7109375" style="134" bestFit="1" customWidth="1"/>
    <col min="461" max="461" width="11.7109375" style="134" bestFit="1" customWidth="1"/>
    <col min="462" max="463" width="17.7109375" style="134" bestFit="1" customWidth="1"/>
    <col min="464" max="464" width="11.7109375" style="134" bestFit="1" customWidth="1"/>
    <col min="465" max="477" width="17.7109375" style="134" bestFit="1" customWidth="1"/>
    <col min="478" max="478" width="14.5703125" style="134" bestFit="1" customWidth="1"/>
    <col min="479" max="481" width="17.7109375" style="134" bestFit="1" customWidth="1"/>
    <col min="482" max="482" width="16" style="134" bestFit="1" customWidth="1"/>
    <col min="483" max="483" width="11.7109375" style="134" bestFit="1" customWidth="1"/>
    <col min="484" max="494" width="17.7109375" style="134" bestFit="1" customWidth="1"/>
    <col min="495" max="495" width="16" style="134" bestFit="1" customWidth="1"/>
    <col min="496" max="496" width="17.7109375" style="134" bestFit="1" customWidth="1"/>
    <col min="497" max="497" width="11.7109375" style="134" bestFit="1" customWidth="1"/>
    <col min="498" max="503" width="17.7109375" style="134" bestFit="1" customWidth="1"/>
    <col min="504" max="504" width="11.7109375" style="134" bestFit="1" customWidth="1"/>
    <col min="505" max="506" width="17.7109375" style="134" bestFit="1" customWidth="1"/>
    <col min="507" max="507" width="11.7109375" style="134" bestFit="1" customWidth="1"/>
    <col min="508" max="518" width="17.7109375" style="134" bestFit="1" customWidth="1"/>
    <col min="519" max="519" width="11.7109375" style="134" bestFit="1" customWidth="1"/>
    <col min="520" max="520" width="16" style="134" bestFit="1" customWidth="1"/>
    <col min="521" max="523" width="17.7109375" style="134" bestFit="1" customWidth="1"/>
    <col min="524" max="524" width="16" style="134" bestFit="1" customWidth="1"/>
    <col min="525" max="525" width="11.7109375" style="134" bestFit="1" customWidth="1"/>
    <col min="526" max="553" width="17.7109375" style="134" bestFit="1" customWidth="1"/>
    <col min="554" max="554" width="16" style="134" bestFit="1" customWidth="1"/>
    <col min="555" max="555" width="13.140625" style="134" bestFit="1" customWidth="1"/>
    <col min="556" max="559" width="17.7109375" style="134" bestFit="1" customWidth="1"/>
    <col min="560" max="560" width="16" style="134" bestFit="1" customWidth="1"/>
    <col min="561" max="562" width="17.7109375" style="134" bestFit="1" customWidth="1"/>
    <col min="563" max="563" width="16" style="134" bestFit="1" customWidth="1"/>
    <col min="564" max="565" width="17.7109375" style="134" bestFit="1" customWidth="1"/>
    <col min="566" max="566" width="16" style="134" bestFit="1" customWidth="1"/>
    <col min="567" max="579" width="17.7109375" style="134" bestFit="1" customWidth="1"/>
    <col min="580" max="580" width="16" style="134" bestFit="1" customWidth="1"/>
    <col min="581" max="582" width="17.7109375" style="134" bestFit="1" customWidth="1"/>
    <col min="583" max="583" width="13.140625" style="134" bestFit="1" customWidth="1"/>
    <col min="584" max="585" width="17.7109375" style="134" bestFit="1" customWidth="1"/>
    <col min="586" max="586" width="13.140625" style="134" bestFit="1" customWidth="1"/>
    <col min="587" max="592" width="17.7109375" style="134" bestFit="1" customWidth="1"/>
    <col min="593" max="593" width="16" style="134" bestFit="1" customWidth="1"/>
    <col min="594" max="609" width="17.7109375" style="134" bestFit="1" customWidth="1"/>
    <col min="610" max="610" width="14.5703125" style="134" bestFit="1" customWidth="1"/>
    <col min="611" max="611" width="15" style="134" bestFit="1" customWidth="1"/>
    <col min="612" max="16384" width="9.140625" style="134"/>
  </cols>
  <sheetData>
    <row r="1" spans="1:40" ht="26.25" x14ac:dyDescent="0.4">
      <c r="A1" s="136" t="s">
        <v>1963</v>
      </c>
      <c r="B1"/>
      <c r="C1"/>
      <c r="D1"/>
      <c r="E1"/>
      <c r="F1"/>
      <c r="H1"/>
      <c r="I1" s="136" t="s">
        <v>1964</v>
      </c>
      <c r="J1"/>
      <c r="K1"/>
      <c r="L1"/>
      <c r="M1"/>
      <c r="N1"/>
      <c r="O1"/>
      <c r="P1"/>
      <c r="R1"/>
      <c r="S1" s="136" t="s">
        <v>1965</v>
      </c>
      <c r="T1"/>
      <c r="U1"/>
      <c r="V1"/>
      <c r="W1"/>
      <c r="X1"/>
      <c r="Z1"/>
      <c r="AA1" s="136" t="s">
        <v>1966</v>
      </c>
      <c r="AB1"/>
      <c r="AC1"/>
      <c r="AD1"/>
      <c r="AE1"/>
      <c r="AF1"/>
      <c r="AH1" s="12"/>
      <c r="AI1" s="136" t="s">
        <v>1967</v>
      </c>
      <c r="AJ1"/>
      <c r="AK1"/>
      <c r="AL1"/>
      <c r="AM1"/>
      <c r="AN1"/>
    </row>
    <row r="2" spans="1:40" s="151" customFormat="1" ht="67.5" customHeight="1" thickBot="1" x14ac:dyDescent="0.3">
      <c r="A2" s="246" t="s">
        <v>1968</v>
      </c>
      <c r="B2" s="246"/>
      <c r="C2" s="246"/>
      <c r="D2" s="246"/>
      <c r="E2" s="246"/>
      <c r="F2" s="139"/>
      <c r="H2" s="139"/>
      <c r="I2" s="247" t="s">
        <v>1969</v>
      </c>
      <c r="J2" s="247"/>
      <c r="K2" s="247"/>
      <c r="L2" s="247"/>
      <c r="M2" s="247"/>
      <c r="N2" s="247"/>
      <c r="O2" s="247"/>
      <c r="P2" s="139"/>
      <c r="R2" s="139"/>
      <c r="S2" s="247" t="s">
        <v>1970</v>
      </c>
      <c r="T2" s="247"/>
      <c r="U2" s="247"/>
      <c r="V2" s="247"/>
      <c r="W2" s="247"/>
      <c r="X2" s="139"/>
      <c r="Z2" s="139"/>
      <c r="AA2" s="247" t="s">
        <v>1971</v>
      </c>
      <c r="AB2" s="247"/>
      <c r="AC2" s="247"/>
      <c r="AD2" s="247"/>
      <c r="AE2" s="247"/>
      <c r="AF2" s="139"/>
      <c r="AH2" s="152"/>
      <c r="AI2" s="247" t="s">
        <v>1972</v>
      </c>
      <c r="AJ2" s="247"/>
      <c r="AK2" s="247"/>
      <c r="AL2" s="247"/>
      <c r="AM2" s="247"/>
      <c r="AN2" s="139"/>
    </row>
    <row r="3" spans="1:40" ht="32.25" customHeight="1" thickBot="1" x14ac:dyDescent="0.3">
      <c r="A3" s="153" t="s">
        <v>1973</v>
      </c>
      <c r="B3" s="154" t="s">
        <v>1974</v>
      </c>
      <c r="C3" s="155" t="s">
        <v>1975</v>
      </c>
      <c r="D3" s="156" t="s">
        <v>1976</v>
      </c>
      <c r="E3" s="157" t="s">
        <v>1977</v>
      </c>
      <c r="F3"/>
      <c r="H3"/>
      <c r="I3"/>
      <c r="J3"/>
      <c r="K3"/>
      <c r="L3"/>
      <c r="M3"/>
      <c r="N3"/>
      <c r="O3"/>
      <c r="P3"/>
      <c r="R3"/>
      <c r="S3" s="158" t="s">
        <v>1973</v>
      </c>
      <c r="T3" s="159" t="s">
        <v>1978</v>
      </c>
      <c r="U3" s="160" t="s">
        <v>1979</v>
      </c>
      <c r="V3" s="159" t="s">
        <v>1980</v>
      </c>
      <c r="W3" s="161" t="s">
        <v>1981</v>
      </c>
      <c r="X3"/>
      <c r="Z3"/>
      <c r="AA3" s="158" t="s">
        <v>1973</v>
      </c>
      <c r="AB3" s="159" t="s">
        <v>1982</v>
      </c>
      <c r="AC3" s="160" t="s">
        <v>1983</v>
      </c>
      <c r="AD3" s="159" t="s">
        <v>1984</v>
      </c>
      <c r="AE3" s="161" t="s">
        <v>1985</v>
      </c>
      <c r="AF3"/>
      <c r="AH3" s="12"/>
      <c r="AI3"/>
      <c r="AJ3"/>
      <c r="AK3"/>
      <c r="AL3"/>
      <c r="AM3"/>
      <c r="AN3"/>
    </row>
    <row r="4" spans="1:40" ht="28.5" customHeight="1" thickBot="1" x14ac:dyDescent="0.3">
      <c r="A4" s="162" t="s">
        <v>1986</v>
      </c>
      <c r="B4" s="163" t="str">
        <f t="shared" ref="B4:E10" si="0">_xlfn.CONCAT("$",B47,"M")</f>
        <v>$2.9M</v>
      </c>
      <c r="C4" s="163" t="str">
        <f t="shared" si="0"/>
        <v>$22M</v>
      </c>
      <c r="D4" s="163" t="str">
        <f t="shared" si="0"/>
        <v>$3.1M</v>
      </c>
      <c r="E4" s="163" t="str">
        <f t="shared" si="0"/>
        <v>$18M</v>
      </c>
      <c r="F4"/>
      <c r="H4"/>
      <c r="I4"/>
      <c r="J4"/>
      <c r="K4"/>
      <c r="L4"/>
      <c r="M4"/>
      <c r="N4"/>
      <c r="O4"/>
      <c r="P4"/>
      <c r="R4"/>
      <c r="S4" s="164" t="s">
        <v>1987</v>
      </c>
      <c r="T4" s="165" t="str">
        <f t="shared" ref="T4:W7" si="1">IFERROR(_xlfn.CONCAT("$",T44,"M"),"--")</f>
        <v>$480M</v>
      </c>
      <c r="U4" s="165" t="str">
        <f t="shared" si="1"/>
        <v>$170M</v>
      </c>
      <c r="V4" s="165" t="str">
        <f t="shared" si="1"/>
        <v>$160M</v>
      </c>
      <c r="W4" s="165" t="str">
        <f t="shared" si="1"/>
        <v>--</v>
      </c>
      <c r="X4"/>
      <c r="Z4"/>
      <c r="AA4" s="164" t="s">
        <v>1987</v>
      </c>
      <c r="AB4" s="165" t="str">
        <f t="shared" ref="AB4:AE7" si="2">IFERROR(_xlfn.CONCAT("$",AB44,"M"),"--")</f>
        <v>$520M</v>
      </c>
      <c r="AC4" s="165" t="str">
        <f t="shared" si="2"/>
        <v>$170M</v>
      </c>
      <c r="AD4" s="165" t="str">
        <f t="shared" si="2"/>
        <v>$69M</v>
      </c>
      <c r="AE4" s="165" t="str">
        <f t="shared" si="2"/>
        <v>$8.3M</v>
      </c>
      <c r="AF4"/>
      <c r="AH4" s="12"/>
      <c r="AI4"/>
      <c r="AJ4"/>
      <c r="AK4"/>
      <c r="AL4"/>
      <c r="AM4"/>
      <c r="AN4"/>
    </row>
    <row r="5" spans="1:40" ht="15.75" thickBot="1" x14ac:dyDescent="0.3">
      <c r="A5" s="166" t="s">
        <v>1988</v>
      </c>
      <c r="B5" s="163" t="str">
        <f t="shared" si="0"/>
        <v>$1M</v>
      </c>
      <c r="C5" s="163" t="str">
        <f t="shared" si="0"/>
        <v>$9.2M</v>
      </c>
      <c r="D5" s="163" t="str">
        <f t="shared" si="0"/>
        <v>$0.89M</v>
      </c>
      <c r="E5" s="163" t="str">
        <f t="shared" si="0"/>
        <v>$13M</v>
      </c>
      <c r="F5"/>
      <c r="H5"/>
      <c r="I5"/>
      <c r="J5"/>
      <c r="K5"/>
      <c r="L5"/>
      <c r="M5"/>
      <c r="N5"/>
      <c r="O5"/>
      <c r="P5"/>
      <c r="R5"/>
      <c r="S5" s="167" t="s">
        <v>1986</v>
      </c>
      <c r="T5" s="165" t="str">
        <f t="shared" si="1"/>
        <v>$2.9M</v>
      </c>
      <c r="U5" s="165" t="str">
        <f t="shared" si="1"/>
        <v>$22M</v>
      </c>
      <c r="V5" s="165" t="str">
        <f t="shared" si="1"/>
        <v>$26M</v>
      </c>
      <c r="W5" s="165" t="str">
        <f t="shared" si="1"/>
        <v>--</v>
      </c>
      <c r="X5"/>
      <c r="Z5"/>
      <c r="AA5" s="167" t="s">
        <v>1986</v>
      </c>
      <c r="AB5" s="165" t="str">
        <f t="shared" si="2"/>
        <v>$3.1M</v>
      </c>
      <c r="AC5" s="165" t="str">
        <f t="shared" si="2"/>
        <v>$18M</v>
      </c>
      <c r="AD5" s="165" t="str">
        <f t="shared" si="2"/>
        <v>$17M</v>
      </c>
      <c r="AE5" s="165" t="str">
        <f t="shared" si="2"/>
        <v>$4.1M</v>
      </c>
      <c r="AF5"/>
      <c r="AH5" s="12"/>
      <c r="AI5"/>
      <c r="AJ5"/>
      <c r="AK5"/>
      <c r="AL5"/>
      <c r="AM5"/>
      <c r="AN5"/>
    </row>
    <row r="6" spans="1:40" ht="15.75" thickBot="1" x14ac:dyDescent="0.3">
      <c r="A6" s="162" t="s">
        <v>1989</v>
      </c>
      <c r="B6" s="163" t="str">
        <f t="shared" si="0"/>
        <v>$9.5M</v>
      </c>
      <c r="C6" s="163" t="str">
        <f t="shared" si="0"/>
        <v>$31M</v>
      </c>
      <c r="D6" s="163" t="str">
        <f t="shared" si="0"/>
        <v>$9.5M</v>
      </c>
      <c r="E6" s="163" t="str">
        <f t="shared" si="0"/>
        <v>$18M</v>
      </c>
      <c r="F6"/>
      <c r="H6"/>
      <c r="I6"/>
      <c r="J6"/>
      <c r="K6"/>
      <c r="L6"/>
      <c r="M6"/>
      <c r="N6"/>
      <c r="O6"/>
      <c r="P6"/>
      <c r="R6"/>
      <c r="S6" s="164" t="s">
        <v>1990</v>
      </c>
      <c r="T6" s="165" t="str">
        <f t="shared" si="1"/>
        <v>$0.039M</v>
      </c>
      <c r="U6" s="165" t="str">
        <f t="shared" si="1"/>
        <v>$1.3M</v>
      </c>
      <c r="V6" s="165" t="str">
        <f t="shared" si="1"/>
        <v>$2M</v>
      </c>
      <c r="W6" s="165" t="str">
        <f t="shared" si="1"/>
        <v>--</v>
      </c>
      <c r="X6"/>
      <c r="Z6"/>
      <c r="AA6" s="164" t="s">
        <v>1990</v>
      </c>
      <c r="AB6" s="165" t="str">
        <f t="shared" si="2"/>
        <v>$0.048M</v>
      </c>
      <c r="AC6" s="165" t="str">
        <f t="shared" si="2"/>
        <v>$0.4M</v>
      </c>
      <c r="AD6" s="165" t="str">
        <f t="shared" si="2"/>
        <v>$1.9M</v>
      </c>
      <c r="AE6" s="165" t="str">
        <f t="shared" si="2"/>
        <v>$3M</v>
      </c>
      <c r="AF6"/>
      <c r="AH6" s="12"/>
      <c r="AI6"/>
      <c r="AJ6"/>
      <c r="AK6"/>
      <c r="AL6"/>
      <c r="AM6"/>
      <c r="AN6"/>
    </row>
    <row r="7" spans="1:40" ht="15.75" thickBot="1" x14ac:dyDescent="0.3">
      <c r="A7" s="166" t="s">
        <v>1991</v>
      </c>
      <c r="B7" s="163" t="str">
        <f t="shared" si="0"/>
        <v>$110M</v>
      </c>
      <c r="C7" s="163" t="str">
        <f t="shared" si="0"/>
        <v>$93M</v>
      </c>
      <c r="D7" s="163" t="str">
        <f t="shared" si="0"/>
        <v>$88M</v>
      </c>
      <c r="E7" s="163" t="str">
        <f t="shared" si="0"/>
        <v>$51M</v>
      </c>
      <c r="F7"/>
      <c r="H7"/>
      <c r="I7"/>
      <c r="J7"/>
      <c r="K7"/>
      <c r="L7"/>
      <c r="M7"/>
      <c r="N7"/>
      <c r="O7"/>
      <c r="P7"/>
      <c r="R7"/>
      <c r="S7" s="167" t="s">
        <v>1991</v>
      </c>
      <c r="T7" s="165" t="str">
        <f t="shared" si="1"/>
        <v>$110M</v>
      </c>
      <c r="U7" s="165" t="str">
        <f t="shared" si="1"/>
        <v>$93M</v>
      </c>
      <c r="V7" s="165" t="str">
        <f t="shared" si="1"/>
        <v>$88M</v>
      </c>
      <c r="W7" s="165" t="str">
        <f t="shared" si="1"/>
        <v>--</v>
      </c>
      <c r="X7"/>
      <c r="Z7"/>
      <c r="AA7" s="167" t="s">
        <v>1991</v>
      </c>
      <c r="AB7" s="165" t="str">
        <f t="shared" si="2"/>
        <v>$88M</v>
      </c>
      <c r="AC7" s="165" t="str">
        <f t="shared" si="2"/>
        <v>$51M</v>
      </c>
      <c r="AD7" s="165" t="str">
        <f t="shared" si="2"/>
        <v>$27M</v>
      </c>
      <c r="AE7" s="165" t="str">
        <f t="shared" si="2"/>
        <v>$5.2M</v>
      </c>
      <c r="AF7"/>
      <c r="AH7" s="12"/>
      <c r="AI7"/>
      <c r="AJ7"/>
      <c r="AK7"/>
      <c r="AL7"/>
      <c r="AM7"/>
      <c r="AN7"/>
    </row>
    <row r="8" spans="1:40" ht="15.75" thickBot="1" x14ac:dyDescent="0.3">
      <c r="A8" s="162" t="s">
        <v>1990</v>
      </c>
      <c r="B8" s="163" t="str">
        <f t="shared" si="0"/>
        <v>$0.039M</v>
      </c>
      <c r="C8" s="163" t="str">
        <f t="shared" si="0"/>
        <v>$1.3M</v>
      </c>
      <c r="D8" s="163" t="str">
        <f t="shared" si="0"/>
        <v>$0.048M</v>
      </c>
      <c r="E8" s="163" t="str">
        <f t="shared" si="0"/>
        <v>$0.4M</v>
      </c>
      <c r="F8"/>
      <c r="H8"/>
      <c r="I8"/>
      <c r="J8"/>
      <c r="K8"/>
      <c r="L8"/>
      <c r="M8"/>
      <c r="N8"/>
      <c r="O8"/>
      <c r="P8"/>
      <c r="R8"/>
      <c r="S8" s="164" t="s">
        <v>1992</v>
      </c>
      <c r="T8" s="165">
        <f>T48</f>
        <v>164</v>
      </c>
      <c r="U8" s="165">
        <f>U48</f>
        <v>8</v>
      </c>
      <c r="V8" s="165">
        <f>V48</f>
        <v>6</v>
      </c>
      <c r="W8" s="165">
        <f>W48</f>
        <v>0</v>
      </c>
      <c r="X8"/>
      <c r="Z8"/>
      <c r="AA8" s="164" t="s">
        <v>1992</v>
      </c>
      <c r="AB8" s="165">
        <f>AB48</f>
        <v>171</v>
      </c>
      <c r="AC8" s="165">
        <f>AC48</f>
        <v>9</v>
      </c>
      <c r="AD8" s="165">
        <f>AD48</f>
        <v>4</v>
      </c>
      <c r="AE8" s="165">
        <f>AE48</f>
        <v>2</v>
      </c>
      <c r="AF8"/>
      <c r="AH8" s="12"/>
      <c r="AI8"/>
      <c r="AJ8"/>
      <c r="AK8"/>
      <c r="AL8"/>
      <c r="AM8"/>
      <c r="AN8"/>
    </row>
    <row r="9" spans="1:40" ht="15.75" thickBot="1" x14ac:dyDescent="0.3">
      <c r="A9" s="166" t="s">
        <v>1993</v>
      </c>
      <c r="B9" s="163" t="str">
        <f t="shared" si="0"/>
        <v>$0.4M</v>
      </c>
      <c r="C9" s="163" t="str">
        <f t="shared" si="0"/>
        <v>$4M</v>
      </c>
      <c r="D9" s="163" t="str">
        <f t="shared" si="0"/>
        <v>$0.42M</v>
      </c>
      <c r="E9" s="163" t="str">
        <f t="shared" si="0"/>
        <v>$5.5M</v>
      </c>
      <c r="F9"/>
      <c r="H9"/>
      <c r="I9"/>
      <c r="J9"/>
      <c r="K9"/>
      <c r="L9"/>
      <c r="M9"/>
      <c r="N9"/>
      <c r="O9"/>
      <c r="P9"/>
      <c r="R9"/>
      <c r="S9"/>
      <c r="T9"/>
      <c r="U9"/>
      <c r="V9"/>
      <c r="W9"/>
      <c r="X9"/>
      <c r="Z9"/>
      <c r="AA9"/>
      <c r="AB9"/>
      <c r="AC9"/>
      <c r="AD9"/>
      <c r="AE9"/>
      <c r="AF9"/>
      <c r="AH9" s="12"/>
      <c r="AI9"/>
      <c r="AJ9"/>
      <c r="AK9"/>
      <c r="AL9"/>
      <c r="AM9"/>
      <c r="AN9"/>
    </row>
    <row r="10" spans="1:40" ht="15.75" thickBot="1" x14ac:dyDescent="0.3">
      <c r="A10" s="162" t="s">
        <v>1994</v>
      </c>
      <c r="B10" s="163" t="str">
        <f t="shared" si="0"/>
        <v>$2.6M</v>
      </c>
      <c r="C10" s="163" t="str">
        <f t="shared" si="0"/>
        <v>$24M</v>
      </c>
      <c r="D10" s="163" t="str">
        <f t="shared" si="0"/>
        <v>$2.5M</v>
      </c>
      <c r="E10" s="163" t="str">
        <f t="shared" si="0"/>
        <v>$28M</v>
      </c>
      <c r="F10"/>
      <c r="H10"/>
      <c r="I10"/>
      <c r="J10"/>
      <c r="K10"/>
      <c r="L10"/>
      <c r="M10"/>
      <c r="N10"/>
      <c r="O10"/>
      <c r="P10"/>
      <c r="R10"/>
      <c r="S10"/>
      <c r="T10"/>
      <c r="U10"/>
      <c r="V10"/>
      <c r="W10"/>
      <c r="X10"/>
      <c r="Z10"/>
      <c r="AA10"/>
      <c r="AB10"/>
      <c r="AC10"/>
      <c r="AD10"/>
      <c r="AE10"/>
      <c r="AF10"/>
      <c r="AH10" s="12"/>
      <c r="AI10"/>
      <c r="AJ10"/>
      <c r="AK10"/>
      <c r="AL10"/>
      <c r="AM10"/>
      <c r="AN10"/>
    </row>
    <row r="11" spans="1:40" ht="15.75" thickBot="1" x14ac:dyDescent="0.3">
      <c r="A11" s="168" t="s">
        <v>1995</v>
      </c>
      <c r="B11" s="169">
        <f>B54</f>
        <v>164</v>
      </c>
      <c r="C11" s="169">
        <f>C54</f>
        <v>8</v>
      </c>
      <c r="D11" s="169">
        <f>D54</f>
        <v>171</v>
      </c>
      <c r="E11" s="169">
        <f>E54</f>
        <v>9</v>
      </c>
      <c r="F11"/>
      <c r="H11"/>
      <c r="I11"/>
      <c r="J11"/>
      <c r="K11"/>
      <c r="L11"/>
      <c r="M11"/>
      <c r="N11"/>
      <c r="O11"/>
      <c r="P11"/>
      <c r="R11"/>
      <c r="S11"/>
      <c r="T11"/>
      <c r="U11"/>
      <c r="V11"/>
      <c r="W11"/>
      <c r="X11"/>
      <c r="Z11"/>
      <c r="AA11"/>
      <c r="AB11"/>
      <c r="AC11"/>
      <c r="AD11"/>
      <c r="AE11"/>
      <c r="AF11"/>
      <c r="AH11" s="12"/>
      <c r="AI11"/>
      <c r="AJ11"/>
      <c r="AK11"/>
      <c r="AL11"/>
      <c r="AM11"/>
      <c r="AN11"/>
    </row>
    <row r="12" spans="1:40" x14ac:dyDescent="0.25">
      <c r="A12"/>
      <c r="B12"/>
      <c r="C12"/>
      <c r="D12"/>
      <c r="E12"/>
      <c r="F12"/>
      <c r="H12"/>
      <c r="I12"/>
      <c r="J12"/>
      <c r="K12"/>
      <c r="L12"/>
      <c r="M12"/>
      <c r="N12"/>
      <c r="O12"/>
      <c r="P12"/>
      <c r="R12"/>
      <c r="S12"/>
      <c r="T12"/>
      <c r="U12"/>
      <c r="V12"/>
      <c r="W12"/>
      <c r="X12"/>
      <c r="Z12"/>
      <c r="AA12"/>
      <c r="AB12"/>
      <c r="AC12"/>
      <c r="AD12"/>
      <c r="AE12"/>
      <c r="AF12"/>
      <c r="AH12" s="12"/>
      <c r="AI12"/>
      <c r="AJ12"/>
      <c r="AK12"/>
      <c r="AL12"/>
      <c r="AM12"/>
      <c r="AN12"/>
    </row>
    <row r="13" spans="1:40" x14ac:dyDescent="0.25">
      <c r="A13"/>
      <c r="B13"/>
      <c r="C13"/>
      <c r="D13"/>
      <c r="E13"/>
      <c r="F13"/>
      <c r="H13"/>
      <c r="I13"/>
      <c r="J13"/>
      <c r="K13"/>
      <c r="L13"/>
      <c r="M13"/>
      <c r="N13"/>
      <c r="O13"/>
      <c r="P13"/>
      <c r="R13"/>
      <c r="S13"/>
      <c r="T13"/>
      <c r="U13"/>
      <c r="V13"/>
      <c r="W13"/>
      <c r="X13"/>
      <c r="Z13"/>
      <c r="AA13"/>
      <c r="AB13"/>
      <c r="AC13"/>
      <c r="AD13"/>
      <c r="AE13"/>
      <c r="AF13"/>
      <c r="AH13" s="12"/>
      <c r="AI13"/>
      <c r="AJ13"/>
      <c r="AK13"/>
      <c r="AL13"/>
      <c r="AM13"/>
      <c r="AN13"/>
    </row>
    <row r="14" spans="1:40" x14ac:dyDescent="0.25">
      <c r="A14"/>
      <c r="B14"/>
      <c r="C14"/>
      <c r="D14"/>
      <c r="E14"/>
      <c r="F14"/>
      <c r="H14"/>
      <c r="I14"/>
      <c r="J14"/>
      <c r="K14"/>
      <c r="L14"/>
      <c r="M14"/>
      <c r="N14"/>
      <c r="O14"/>
      <c r="P14"/>
      <c r="R14"/>
      <c r="S14"/>
      <c r="T14"/>
      <c r="U14"/>
      <c r="V14"/>
      <c r="W14"/>
      <c r="X14"/>
      <c r="Z14"/>
      <c r="AA14"/>
      <c r="AB14"/>
      <c r="AC14"/>
      <c r="AD14"/>
      <c r="AE14"/>
      <c r="AF14"/>
      <c r="AH14" s="12"/>
      <c r="AI14"/>
      <c r="AJ14"/>
      <c r="AK14"/>
      <c r="AL14"/>
      <c r="AM14"/>
      <c r="AN14"/>
    </row>
    <row r="15" spans="1:40" x14ac:dyDescent="0.25">
      <c r="A15"/>
      <c r="B15"/>
      <c r="C15"/>
      <c r="D15"/>
      <c r="E15"/>
      <c r="F15"/>
      <c r="H15"/>
      <c r="I15"/>
      <c r="J15"/>
      <c r="K15"/>
      <c r="L15"/>
      <c r="M15"/>
      <c r="N15"/>
      <c r="O15"/>
      <c r="P15"/>
      <c r="R15"/>
      <c r="S15"/>
      <c r="T15"/>
      <c r="U15"/>
      <c r="V15"/>
      <c r="W15"/>
      <c r="X15"/>
      <c r="Z15"/>
      <c r="AA15"/>
      <c r="AB15"/>
      <c r="AC15"/>
      <c r="AD15"/>
      <c r="AE15"/>
      <c r="AF15"/>
      <c r="AH15" s="12"/>
      <c r="AI15"/>
      <c r="AJ15"/>
      <c r="AK15"/>
      <c r="AL15"/>
      <c r="AM15"/>
      <c r="AN15"/>
    </row>
    <row r="16" spans="1:40" x14ac:dyDescent="0.25">
      <c r="A16"/>
      <c r="B16"/>
      <c r="C16"/>
      <c r="D16"/>
      <c r="E16"/>
      <c r="F16"/>
      <c r="H16"/>
      <c r="I16"/>
      <c r="J16"/>
      <c r="K16"/>
      <c r="L16"/>
      <c r="M16"/>
      <c r="N16"/>
      <c r="O16"/>
      <c r="P16"/>
      <c r="R16"/>
      <c r="S16"/>
      <c r="T16" s="170"/>
      <c r="U16" s="170"/>
      <c r="V16" s="170"/>
      <c r="W16" s="170"/>
      <c r="X16"/>
      <c r="Z16"/>
      <c r="AA16"/>
      <c r="AB16" s="170"/>
      <c r="AC16" s="170"/>
      <c r="AD16" s="170"/>
      <c r="AE16" s="170"/>
      <c r="AF16"/>
      <c r="AH16" s="12"/>
      <c r="AI16"/>
      <c r="AJ16"/>
      <c r="AK16"/>
      <c r="AL16"/>
      <c r="AM16"/>
      <c r="AN16"/>
    </row>
    <row r="17" spans="1:611" x14ac:dyDescent="0.25">
      <c r="A17"/>
      <c r="B17"/>
      <c r="C17"/>
      <c r="D17"/>
      <c r="E17"/>
      <c r="F17"/>
      <c r="H17"/>
      <c r="I17"/>
      <c r="J17"/>
      <c r="K17"/>
      <c r="L17"/>
      <c r="M17"/>
      <c r="N17"/>
      <c r="O17"/>
      <c r="P17"/>
      <c r="R17"/>
      <c r="S17"/>
      <c r="T17" s="170"/>
      <c r="U17" s="170"/>
      <c r="V17" s="170"/>
      <c r="W17" s="170"/>
      <c r="X17"/>
      <c r="Z17"/>
      <c r="AA17"/>
      <c r="AB17" s="170"/>
      <c r="AC17" s="170"/>
      <c r="AD17" s="170"/>
      <c r="AE17" s="170"/>
      <c r="AF17"/>
      <c r="AH17" s="12"/>
      <c r="AI17"/>
      <c r="AJ17"/>
      <c r="AK17"/>
      <c r="AL17"/>
      <c r="AM17"/>
      <c r="AN17"/>
    </row>
    <row r="18" spans="1:611" x14ac:dyDescent="0.25">
      <c r="A18"/>
      <c r="B18"/>
      <c r="C18"/>
      <c r="D18"/>
      <c r="E18"/>
      <c r="F18"/>
      <c r="H18"/>
      <c r="I18"/>
      <c r="J18"/>
      <c r="K18"/>
      <c r="L18"/>
      <c r="M18"/>
      <c r="N18"/>
      <c r="O18"/>
      <c r="P18"/>
      <c r="R18"/>
      <c r="S18"/>
      <c r="T18" s="170"/>
      <c r="U18" s="170"/>
      <c r="V18" s="170"/>
      <c r="W18" s="170"/>
      <c r="X18"/>
      <c r="Z18"/>
      <c r="AA18"/>
      <c r="AB18" s="170"/>
      <c r="AC18" s="170"/>
      <c r="AD18" s="170"/>
      <c r="AE18" s="170"/>
      <c r="AF18"/>
      <c r="AH18" s="12"/>
      <c r="AI18"/>
      <c r="AJ18"/>
      <c r="AK18"/>
      <c r="AL18"/>
      <c r="AM18"/>
      <c r="AN18"/>
    </row>
    <row r="19" spans="1:611" x14ac:dyDescent="0.25">
      <c r="A19"/>
      <c r="B19"/>
      <c r="C19"/>
      <c r="D19"/>
      <c r="E19"/>
      <c r="F19"/>
      <c r="H19"/>
      <c r="I19"/>
      <c r="J19"/>
      <c r="K19"/>
      <c r="L19"/>
      <c r="M19"/>
      <c r="N19"/>
      <c r="O19"/>
      <c r="P19"/>
      <c r="R19"/>
      <c r="S19"/>
      <c r="T19" s="170"/>
      <c r="U19" s="170"/>
      <c r="V19" s="170"/>
      <c r="W19" s="170"/>
      <c r="X19"/>
      <c r="Z19"/>
      <c r="AA19"/>
      <c r="AB19" s="170"/>
      <c r="AC19" s="170"/>
      <c r="AD19" s="170"/>
      <c r="AE19" s="170"/>
      <c r="AF19"/>
      <c r="AH19" s="12"/>
      <c r="AI19"/>
      <c r="AJ19"/>
      <c r="AK19"/>
      <c r="AL19"/>
      <c r="AM19"/>
      <c r="AN19"/>
    </row>
    <row r="20" spans="1:611" x14ac:dyDescent="0.25">
      <c r="A20"/>
      <c r="B20"/>
      <c r="C20"/>
      <c r="D20"/>
      <c r="E20"/>
      <c r="F20"/>
      <c r="H20"/>
      <c r="I20"/>
      <c r="J20"/>
      <c r="K20"/>
      <c r="L20"/>
      <c r="M20"/>
      <c r="N20"/>
      <c r="O20"/>
      <c r="P20"/>
      <c r="R20"/>
      <c r="S20"/>
      <c r="T20" s="171"/>
      <c r="U20" s="171"/>
      <c r="V20" s="171"/>
      <c r="W20" s="171"/>
      <c r="X20"/>
      <c r="Z20"/>
      <c r="AA20"/>
      <c r="AB20" s="171"/>
      <c r="AC20" s="171"/>
      <c r="AD20" s="171"/>
      <c r="AE20" s="171"/>
      <c r="AF20"/>
      <c r="AH20" s="12"/>
      <c r="AI20"/>
      <c r="AJ20"/>
      <c r="AK20"/>
      <c r="AL20"/>
      <c r="AM20"/>
      <c r="AN20"/>
    </row>
    <row r="21" spans="1:611" x14ac:dyDescent="0.25">
      <c r="A21"/>
      <c r="B21"/>
      <c r="C21"/>
      <c r="D21"/>
      <c r="E21"/>
      <c r="F21"/>
      <c r="H21"/>
      <c r="I21"/>
      <c r="J21"/>
      <c r="K21"/>
      <c r="L21"/>
      <c r="M21"/>
      <c r="N21"/>
      <c r="O21"/>
      <c r="P21"/>
      <c r="R21"/>
      <c r="S21"/>
      <c r="T21"/>
      <c r="U21"/>
      <c r="V21"/>
      <c r="W21"/>
      <c r="X21"/>
      <c r="Z21"/>
      <c r="AA21"/>
      <c r="AB21"/>
      <c r="AC21"/>
      <c r="AD21"/>
      <c r="AE21"/>
      <c r="AF21"/>
      <c r="AH21" s="12"/>
      <c r="AI21"/>
      <c r="AJ21"/>
      <c r="AK21"/>
      <c r="AL21"/>
      <c r="AM21"/>
      <c r="AN21"/>
    </row>
    <row r="22" spans="1:611" ht="14.25" customHeight="1" x14ac:dyDescent="0.25">
      <c r="A22"/>
      <c r="B22"/>
      <c r="C22"/>
      <c r="D22"/>
      <c r="E22"/>
      <c r="F22"/>
      <c r="H22"/>
      <c r="I22"/>
      <c r="J22"/>
      <c r="K22"/>
      <c r="L22"/>
      <c r="M22"/>
      <c r="N22"/>
      <c r="O22"/>
      <c r="P22"/>
      <c r="R22"/>
      <c r="S22"/>
      <c r="T22"/>
      <c r="U22"/>
      <c r="V22"/>
      <c r="W22"/>
      <c r="X22"/>
      <c r="Z22"/>
      <c r="AA22"/>
      <c r="AB22"/>
      <c r="AC22"/>
      <c r="AD22"/>
      <c r="AE22"/>
      <c r="AF22"/>
      <c r="AH22" s="12"/>
      <c r="AI22"/>
      <c r="AJ22"/>
      <c r="AK22"/>
      <c r="AL22"/>
      <c r="AM22"/>
      <c r="AN22"/>
    </row>
    <row r="23" spans="1:611" s="130" customFormat="1" x14ac:dyDescent="0.25">
      <c r="A23" s="140"/>
      <c r="B23" s="140"/>
      <c r="C23" s="140"/>
      <c r="D23" s="140"/>
      <c r="E23" s="140"/>
      <c r="F23"/>
      <c r="G23" s="134"/>
      <c r="H23"/>
      <c r="I23"/>
      <c r="J23"/>
      <c r="K23"/>
      <c r="L23"/>
      <c r="M23"/>
      <c r="N23"/>
      <c r="O23"/>
      <c r="P23"/>
      <c r="Q23" s="134"/>
      <c r="R23"/>
      <c r="S23"/>
      <c r="T23"/>
      <c r="U23"/>
      <c r="V23"/>
      <c r="W23"/>
      <c r="X23"/>
      <c r="Y23" s="134"/>
      <c r="Z23"/>
      <c r="AA23"/>
      <c r="AB23"/>
      <c r="AC23"/>
      <c r="AD23"/>
      <c r="AE23"/>
      <c r="AF23"/>
      <c r="AG23" s="134"/>
      <c r="AH23" s="12"/>
      <c r="AI23"/>
      <c r="AJ23"/>
      <c r="AK23"/>
      <c r="AL23"/>
      <c r="AM23"/>
      <c r="AN23"/>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c r="GS23" s="134"/>
      <c r="GT23" s="134"/>
      <c r="GU23" s="134"/>
      <c r="GV23" s="134"/>
      <c r="GW23" s="134"/>
      <c r="GX23" s="134"/>
      <c r="GY23" s="134"/>
      <c r="GZ23" s="134"/>
      <c r="HA23" s="134"/>
      <c r="HB23" s="134"/>
      <c r="HC23" s="134"/>
      <c r="HD23" s="134"/>
      <c r="HE23" s="134"/>
      <c r="HF23" s="134"/>
      <c r="HG23" s="134"/>
      <c r="HH23" s="134"/>
      <c r="HI23" s="134"/>
      <c r="HJ23" s="134"/>
      <c r="HK23" s="134"/>
      <c r="HL23" s="134"/>
      <c r="HM23" s="134"/>
      <c r="HN23" s="134"/>
      <c r="HO23" s="134"/>
      <c r="HP23" s="134"/>
      <c r="HQ23" s="134"/>
      <c r="HR23" s="134"/>
      <c r="HS23" s="134"/>
      <c r="HT23" s="134"/>
      <c r="HU23" s="134"/>
      <c r="HV23" s="134"/>
      <c r="HW23" s="134"/>
      <c r="HX23" s="134"/>
      <c r="HY23" s="134"/>
      <c r="HZ23" s="134"/>
      <c r="IA23" s="134"/>
      <c r="IB23" s="134"/>
      <c r="IC23" s="134"/>
      <c r="ID23" s="134"/>
      <c r="IE23" s="134"/>
      <c r="IF23" s="134"/>
      <c r="IG23" s="134"/>
      <c r="IH23" s="134"/>
      <c r="II23" s="134"/>
      <c r="IJ23" s="134"/>
      <c r="IK23" s="134"/>
      <c r="IL23" s="134"/>
      <c r="IM23" s="134"/>
      <c r="IN23" s="134"/>
      <c r="IO23" s="134"/>
      <c r="IP23" s="134"/>
      <c r="IQ23" s="134"/>
      <c r="IR23" s="134"/>
      <c r="IS23" s="134"/>
      <c r="IT23" s="134"/>
      <c r="IU23" s="134"/>
      <c r="IV23" s="134"/>
      <c r="IW23" s="134"/>
      <c r="IX23" s="134"/>
      <c r="IY23" s="134"/>
      <c r="IZ23" s="134"/>
      <c r="JA23" s="134"/>
      <c r="JB23" s="134"/>
      <c r="JC23" s="134"/>
      <c r="JD23" s="134"/>
      <c r="JE23" s="134"/>
      <c r="JF23" s="134"/>
      <c r="JG23" s="134"/>
      <c r="JH23" s="134"/>
      <c r="JI23" s="134"/>
      <c r="JJ23" s="134"/>
      <c r="JK23" s="134"/>
      <c r="JL23" s="134"/>
      <c r="JM23" s="134"/>
      <c r="JN23" s="134"/>
      <c r="JO23" s="134"/>
      <c r="JP23" s="134"/>
      <c r="JQ23" s="134"/>
      <c r="JR23" s="134"/>
      <c r="JS23" s="134"/>
      <c r="JT23" s="134"/>
      <c r="JU23" s="134"/>
      <c r="JV23" s="134"/>
      <c r="JW23" s="134"/>
      <c r="JX23" s="134"/>
      <c r="JY23" s="134"/>
      <c r="JZ23" s="134"/>
      <c r="KA23" s="134"/>
      <c r="KB23" s="134"/>
      <c r="KC23" s="134"/>
      <c r="KD23" s="134"/>
      <c r="KE23" s="134"/>
      <c r="KF23" s="134"/>
      <c r="KG23" s="134"/>
      <c r="KH23" s="134"/>
      <c r="KI23" s="134"/>
      <c r="KJ23" s="134"/>
      <c r="KK23" s="134"/>
      <c r="KL23" s="134"/>
      <c r="KM23" s="134"/>
      <c r="KN23" s="134"/>
      <c r="KO23" s="134"/>
      <c r="KP23" s="134"/>
      <c r="KQ23" s="134"/>
      <c r="KR23" s="134"/>
      <c r="KS23" s="134"/>
      <c r="KT23" s="134"/>
      <c r="KU23" s="134"/>
      <c r="KV23" s="134"/>
      <c r="KW23" s="134"/>
      <c r="KX23" s="134"/>
      <c r="KY23" s="134"/>
      <c r="KZ23" s="134"/>
      <c r="LA23" s="134"/>
      <c r="LB23" s="134"/>
      <c r="LC23" s="134"/>
      <c r="LD23" s="134"/>
      <c r="LE23" s="134"/>
      <c r="LF23" s="134"/>
      <c r="LG23" s="134"/>
      <c r="LH23" s="134"/>
      <c r="LI23" s="134"/>
      <c r="LJ23" s="134"/>
      <c r="LK23" s="134"/>
      <c r="LL23" s="134"/>
      <c r="LM23" s="134"/>
      <c r="LN23" s="134"/>
      <c r="LO23" s="134"/>
      <c r="LP23" s="134"/>
      <c r="LQ23" s="134"/>
      <c r="LR23" s="134"/>
      <c r="LS23" s="134"/>
      <c r="LT23" s="134"/>
      <c r="LU23" s="134"/>
      <c r="LV23" s="134"/>
      <c r="LW23" s="134"/>
      <c r="LX23" s="134"/>
      <c r="LY23" s="134"/>
      <c r="LZ23" s="134"/>
      <c r="MA23" s="134"/>
      <c r="MB23" s="134"/>
      <c r="MC23" s="134"/>
      <c r="MD23" s="134"/>
      <c r="ME23" s="134"/>
      <c r="MF23" s="134"/>
      <c r="MG23" s="134"/>
      <c r="MH23" s="134"/>
      <c r="MI23" s="134"/>
      <c r="MJ23" s="134"/>
      <c r="MK23" s="134"/>
      <c r="ML23" s="134"/>
      <c r="MM23" s="134"/>
      <c r="MN23" s="134"/>
      <c r="MO23" s="134"/>
      <c r="MP23" s="134"/>
      <c r="MQ23" s="134"/>
      <c r="MR23" s="134"/>
      <c r="MS23" s="134"/>
      <c r="MT23" s="134"/>
      <c r="MU23" s="134"/>
      <c r="MV23" s="134"/>
      <c r="MW23" s="134"/>
      <c r="MX23" s="134"/>
      <c r="MY23" s="134"/>
      <c r="MZ23" s="134"/>
      <c r="NA23" s="134"/>
      <c r="NB23" s="134"/>
      <c r="NC23" s="134"/>
      <c r="ND23" s="134"/>
      <c r="NE23" s="134"/>
      <c r="NF23" s="134"/>
      <c r="NG23" s="134"/>
      <c r="NH23" s="134"/>
      <c r="NI23" s="134"/>
      <c r="NJ23" s="134"/>
      <c r="NK23" s="134"/>
      <c r="NL23" s="134"/>
      <c r="NM23" s="134"/>
      <c r="NN23" s="134"/>
      <c r="NO23" s="134"/>
      <c r="NP23" s="134"/>
      <c r="NQ23" s="134"/>
      <c r="NR23" s="134"/>
      <c r="NS23" s="134"/>
      <c r="NT23" s="134"/>
      <c r="NU23" s="134"/>
      <c r="NV23" s="134"/>
      <c r="NW23" s="134"/>
      <c r="NX23" s="134"/>
      <c r="NY23" s="134"/>
      <c r="NZ23" s="134"/>
      <c r="OA23" s="134"/>
      <c r="OB23" s="134"/>
      <c r="OC23" s="134"/>
      <c r="OD23" s="134"/>
      <c r="OE23" s="134"/>
      <c r="OF23" s="134"/>
      <c r="OG23" s="134"/>
      <c r="OH23" s="134"/>
      <c r="OI23" s="134"/>
      <c r="OJ23" s="134"/>
      <c r="OK23" s="134"/>
      <c r="OL23" s="134"/>
      <c r="OM23" s="134"/>
      <c r="ON23" s="134"/>
      <c r="OO23" s="134"/>
      <c r="OP23" s="134"/>
      <c r="OQ23" s="134"/>
      <c r="OR23" s="134"/>
      <c r="OS23" s="134"/>
      <c r="OT23" s="134"/>
      <c r="OU23" s="134"/>
      <c r="OV23" s="134"/>
      <c r="OW23" s="134"/>
      <c r="OX23" s="134"/>
      <c r="OY23" s="134"/>
      <c r="OZ23" s="134"/>
      <c r="PA23" s="134"/>
      <c r="PB23" s="134"/>
      <c r="PC23" s="134"/>
      <c r="PD23" s="134"/>
      <c r="PE23" s="134"/>
      <c r="PF23" s="134"/>
      <c r="PG23" s="134"/>
      <c r="PH23" s="134"/>
      <c r="PI23" s="134"/>
      <c r="PJ23" s="134"/>
      <c r="PK23" s="134"/>
      <c r="PL23" s="134"/>
      <c r="PM23" s="134"/>
      <c r="PN23" s="134"/>
      <c r="PO23" s="134"/>
      <c r="PP23" s="134"/>
      <c r="PQ23" s="134"/>
      <c r="PR23" s="134"/>
      <c r="PS23" s="134"/>
      <c r="PT23" s="134"/>
      <c r="PU23" s="134"/>
      <c r="PV23" s="134"/>
      <c r="PW23" s="134"/>
      <c r="PX23" s="134"/>
      <c r="PY23" s="134"/>
      <c r="PZ23" s="134"/>
      <c r="QA23" s="134"/>
      <c r="QB23" s="134"/>
      <c r="QC23" s="134"/>
      <c r="QD23" s="134"/>
      <c r="QE23" s="134"/>
      <c r="QF23" s="134"/>
      <c r="QG23" s="134"/>
      <c r="QH23" s="134"/>
      <c r="QI23" s="134"/>
      <c r="QJ23" s="134"/>
      <c r="QK23" s="134"/>
      <c r="QL23" s="134"/>
      <c r="QM23" s="134"/>
      <c r="QN23" s="134"/>
      <c r="QO23" s="134"/>
      <c r="QP23" s="134"/>
      <c r="QQ23" s="134"/>
      <c r="QR23" s="134"/>
      <c r="QS23" s="134"/>
      <c r="QT23" s="134"/>
      <c r="QU23" s="134"/>
      <c r="QV23" s="134"/>
      <c r="QW23" s="134"/>
      <c r="QX23" s="134"/>
      <c r="QY23" s="134"/>
      <c r="QZ23" s="134"/>
      <c r="RA23" s="134"/>
      <c r="RB23" s="134"/>
      <c r="RC23" s="134"/>
      <c r="RD23" s="134"/>
      <c r="RE23" s="134"/>
      <c r="RF23" s="134"/>
      <c r="RG23" s="134"/>
      <c r="RH23" s="134"/>
      <c r="RI23" s="134"/>
      <c r="RJ23" s="134"/>
      <c r="RK23" s="134"/>
      <c r="RL23" s="134"/>
      <c r="RM23" s="134"/>
      <c r="RN23" s="134"/>
      <c r="RO23" s="134"/>
      <c r="RP23" s="134"/>
      <c r="RQ23" s="134"/>
      <c r="RR23" s="134"/>
      <c r="RS23" s="134"/>
      <c r="RT23" s="134"/>
      <c r="RU23" s="134"/>
      <c r="RV23" s="134"/>
      <c r="RW23" s="134"/>
      <c r="RX23" s="134"/>
      <c r="RY23" s="134"/>
      <c r="RZ23" s="134"/>
      <c r="SA23" s="134"/>
      <c r="SB23" s="134"/>
      <c r="SC23" s="134"/>
      <c r="SD23" s="134"/>
      <c r="SE23" s="134"/>
      <c r="SF23" s="134"/>
      <c r="SG23" s="134"/>
      <c r="SH23" s="134"/>
      <c r="SI23" s="134"/>
      <c r="SJ23" s="134"/>
      <c r="SK23" s="134"/>
      <c r="SL23" s="134"/>
      <c r="SM23" s="134"/>
      <c r="SN23" s="134"/>
      <c r="SO23" s="134"/>
      <c r="SP23" s="134"/>
      <c r="SQ23" s="134"/>
      <c r="SR23" s="134"/>
      <c r="SS23" s="134"/>
      <c r="ST23" s="134"/>
      <c r="SU23" s="134"/>
      <c r="SV23" s="134"/>
      <c r="SW23" s="134"/>
      <c r="SX23" s="134"/>
      <c r="SY23" s="134"/>
      <c r="SZ23" s="134"/>
      <c r="TA23" s="134"/>
      <c r="TB23" s="134"/>
      <c r="TC23" s="134"/>
      <c r="TD23" s="134"/>
      <c r="TE23" s="134"/>
      <c r="TF23" s="134"/>
      <c r="TG23" s="134"/>
      <c r="TH23" s="134"/>
      <c r="TI23" s="134"/>
      <c r="TJ23" s="134"/>
      <c r="TK23" s="134"/>
      <c r="TL23" s="134"/>
      <c r="TM23" s="134"/>
      <c r="TN23" s="134"/>
      <c r="TO23" s="134"/>
      <c r="TP23" s="134"/>
      <c r="TQ23" s="134"/>
      <c r="TR23" s="134"/>
      <c r="TS23" s="134"/>
      <c r="TT23" s="134"/>
      <c r="TU23" s="134"/>
      <c r="TV23" s="134"/>
      <c r="TW23" s="134"/>
      <c r="TX23" s="134"/>
      <c r="TY23" s="134"/>
      <c r="TZ23" s="134"/>
      <c r="UA23" s="134"/>
      <c r="UB23" s="134"/>
      <c r="UC23" s="134"/>
      <c r="UD23" s="134"/>
      <c r="UE23" s="134"/>
      <c r="UF23" s="134"/>
      <c r="UG23" s="134"/>
      <c r="UH23" s="134"/>
      <c r="UI23" s="134"/>
      <c r="UJ23" s="134"/>
      <c r="UK23" s="134"/>
      <c r="UL23" s="134"/>
      <c r="UM23" s="134"/>
      <c r="UN23" s="134"/>
      <c r="UO23" s="134"/>
      <c r="UP23" s="134"/>
      <c r="UQ23" s="134"/>
      <c r="UR23" s="134"/>
      <c r="US23" s="134"/>
      <c r="UT23" s="134"/>
      <c r="UU23" s="134"/>
      <c r="UV23" s="134"/>
      <c r="UW23" s="134"/>
      <c r="UX23" s="134"/>
      <c r="UY23" s="134"/>
      <c r="UZ23" s="134"/>
      <c r="VA23" s="134"/>
      <c r="VB23" s="134"/>
      <c r="VC23" s="134"/>
      <c r="VD23" s="134"/>
      <c r="VE23" s="134"/>
      <c r="VF23" s="134"/>
      <c r="VG23" s="134"/>
      <c r="VH23" s="134"/>
      <c r="VI23" s="134"/>
      <c r="VJ23" s="134"/>
      <c r="VK23" s="134"/>
      <c r="VL23" s="134"/>
      <c r="VM23" s="134"/>
      <c r="VN23" s="134"/>
      <c r="VO23" s="134"/>
      <c r="VP23" s="134"/>
      <c r="VQ23" s="134"/>
      <c r="VR23" s="134"/>
      <c r="VS23" s="134"/>
      <c r="VT23" s="134"/>
      <c r="VU23" s="134"/>
      <c r="VV23" s="134"/>
      <c r="VW23" s="134"/>
      <c r="VX23" s="134"/>
      <c r="VY23" s="134"/>
      <c r="VZ23" s="134"/>
      <c r="WA23" s="134"/>
      <c r="WB23" s="134"/>
      <c r="WC23" s="134"/>
      <c r="WD23" s="134"/>
      <c r="WE23" s="134"/>
      <c r="WF23" s="134"/>
      <c r="WG23" s="134"/>
      <c r="WH23" s="134"/>
      <c r="WI23" s="134"/>
      <c r="WJ23" s="134"/>
      <c r="WK23" s="134"/>
      <c r="WL23" s="134"/>
      <c r="WM23" s="134"/>
    </row>
    <row r="24" spans="1:611" x14ac:dyDescent="0.25">
      <c r="A24"/>
      <c r="B24"/>
      <c r="C24"/>
      <c r="D24"/>
      <c r="E24"/>
      <c r="F24"/>
      <c r="H24"/>
      <c r="I24"/>
      <c r="J24"/>
      <c r="K24"/>
      <c r="L24"/>
      <c r="M24"/>
      <c r="N24"/>
      <c r="O24"/>
      <c r="P24"/>
      <c r="R24"/>
      <c r="S24"/>
      <c r="T24"/>
      <c r="U24"/>
      <c r="V24"/>
      <c r="W24"/>
      <c r="X24"/>
      <c r="Z24"/>
      <c r="AA24"/>
      <c r="AB24"/>
      <c r="AC24"/>
      <c r="AD24"/>
      <c r="AE24"/>
      <c r="AF24"/>
      <c r="AH24" s="12"/>
      <c r="AI24"/>
      <c r="AJ24"/>
      <c r="AK24"/>
      <c r="AL24"/>
      <c r="AM24"/>
      <c r="AN24"/>
    </row>
    <row r="25" spans="1:611" x14ac:dyDescent="0.25">
      <c r="A25"/>
      <c r="B25"/>
      <c r="C25"/>
      <c r="D25"/>
      <c r="E25"/>
      <c r="F25"/>
      <c r="H25"/>
      <c r="I25"/>
      <c r="J25"/>
      <c r="K25"/>
      <c r="L25"/>
      <c r="M25"/>
      <c r="N25"/>
      <c r="O25"/>
      <c r="P25"/>
      <c r="R25"/>
      <c r="S25"/>
      <c r="T25"/>
      <c r="U25"/>
      <c r="V25"/>
      <c r="W25"/>
      <c r="X25"/>
      <c r="Z25"/>
      <c r="AA25"/>
      <c r="AB25"/>
      <c r="AC25"/>
      <c r="AD25"/>
      <c r="AE25"/>
      <c r="AF25"/>
      <c r="AH25" s="12"/>
      <c r="AI25"/>
      <c r="AJ25"/>
      <c r="AK25"/>
      <c r="AL25"/>
      <c r="AM25"/>
      <c r="AN25"/>
    </row>
    <row r="26" spans="1:611" x14ac:dyDescent="0.25">
      <c r="A26"/>
      <c r="B26"/>
      <c r="C26"/>
      <c r="D26"/>
      <c r="E26"/>
      <c r="F26"/>
      <c r="H26"/>
      <c r="I26"/>
      <c r="J26"/>
      <c r="K26"/>
      <c r="L26"/>
      <c r="M26"/>
      <c r="N26"/>
      <c r="O26"/>
      <c r="P26"/>
      <c r="R26"/>
      <c r="S26"/>
      <c r="T26"/>
      <c r="U26"/>
      <c r="V26"/>
      <c r="W26"/>
      <c r="X26"/>
      <c r="Z26"/>
      <c r="AA26"/>
      <c r="AB26"/>
      <c r="AC26"/>
      <c r="AD26"/>
      <c r="AE26"/>
      <c r="AF26"/>
      <c r="AH26" s="12"/>
      <c r="AI26"/>
      <c r="AJ26"/>
      <c r="AK26"/>
      <c r="AL26"/>
      <c r="AM26"/>
      <c r="AN26"/>
    </row>
    <row r="27" spans="1:611" x14ac:dyDescent="0.25">
      <c r="A27"/>
      <c r="B27"/>
      <c r="C27"/>
      <c r="D27"/>
      <c r="E27"/>
      <c r="F27"/>
      <c r="H27"/>
      <c r="I27"/>
      <c r="J27"/>
      <c r="K27"/>
      <c r="L27"/>
      <c r="M27"/>
      <c r="N27"/>
      <c r="O27"/>
      <c r="P27"/>
      <c r="R27"/>
      <c r="S27"/>
      <c r="T27"/>
      <c r="U27"/>
      <c r="V27"/>
      <c r="W27"/>
      <c r="X27"/>
      <c r="Z27"/>
      <c r="AA27"/>
      <c r="AB27"/>
      <c r="AC27"/>
      <c r="AD27"/>
      <c r="AE27"/>
      <c r="AF27"/>
      <c r="AH27" s="12"/>
      <c r="AI27"/>
      <c r="AJ27"/>
      <c r="AK27"/>
      <c r="AL27"/>
      <c r="AM27"/>
      <c r="AN27"/>
    </row>
    <row r="28" spans="1:611" x14ac:dyDescent="0.25">
      <c r="A28"/>
      <c r="B28"/>
      <c r="C28"/>
      <c r="D28"/>
      <c r="E28"/>
      <c r="F28"/>
      <c r="H28"/>
      <c r="I28"/>
      <c r="J28"/>
      <c r="K28"/>
      <c r="L28"/>
      <c r="M28"/>
      <c r="N28"/>
      <c r="O28"/>
      <c r="P28"/>
      <c r="R28"/>
      <c r="S28"/>
      <c r="T28"/>
      <c r="U28"/>
      <c r="V28"/>
      <c r="W28"/>
      <c r="X28"/>
      <c r="Z28"/>
      <c r="AA28"/>
      <c r="AB28"/>
      <c r="AC28"/>
      <c r="AD28"/>
      <c r="AE28"/>
      <c r="AF28"/>
      <c r="AH28" s="12"/>
      <c r="AI28"/>
      <c r="AJ28"/>
      <c r="AK28"/>
      <c r="AL28"/>
      <c r="AM28"/>
      <c r="AN28"/>
    </row>
    <row r="29" spans="1:611" x14ac:dyDescent="0.25">
      <c r="A29"/>
      <c r="B29"/>
      <c r="C29"/>
      <c r="D29"/>
      <c r="E29"/>
      <c r="F29"/>
      <c r="H29"/>
      <c r="I29"/>
      <c r="J29"/>
      <c r="K29"/>
      <c r="L29"/>
      <c r="M29"/>
      <c r="N29"/>
      <c r="O29"/>
      <c r="P29"/>
      <c r="R29"/>
      <c r="S29"/>
      <c r="T29"/>
      <c r="U29"/>
      <c r="V29"/>
      <c r="W29"/>
      <c r="X29"/>
      <c r="Z29"/>
      <c r="AA29"/>
      <c r="AB29"/>
      <c r="AC29"/>
      <c r="AD29"/>
      <c r="AE29"/>
      <c r="AF29"/>
      <c r="AH29" s="12"/>
      <c r="AI29"/>
      <c r="AJ29"/>
      <c r="AK29"/>
      <c r="AL29"/>
      <c r="AM29"/>
      <c r="AN29"/>
    </row>
    <row r="30" spans="1:611" x14ac:dyDescent="0.25">
      <c r="A30"/>
      <c r="B30"/>
      <c r="C30"/>
      <c r="D30"/>
      <c r="E30"/>
      <c r="F30"/>
      <c r="H30"/>
      <c r="I30"/>
      <c r="J30"/>
      <c r="K30"/>
      <c r="L30"/>
      <c r="M30"/>
      <c r="N30"/>
      <c r="O30"/>
      <c r="P30"/>
      <c r="R30"/>
      <c r="S30"/>
      <c r="T30"/>
      <c r="U30"/>
      <c r="V30"/>
      <c r="W30"/>
      <c r="X30"/>
      <c r="Z30"/>
      <c r="AA30"/>
      <c r="AB30"/>
      <c r="AC30"/>
      <c r="AD30"/>
      <c r="AE30"/>
      <c r="AF30"/>
      <c r="AH30" s="12"/>
      <c r="AI30"/>
      <c r="AJ30"/>
      <c r="AK30"/>
      <c r="AL30"/>
      <c r="AM30"/>
      <c r="AN30"/>
    </row>
    <row r="31" spans="1:611" x14ac:dyDescent="0.25">
      <c r="A31"/>
      <c r="B31"/>
      <c r="C31"/>
      <c r="D31"/>
      <c r="E31"/>
      <c r="F31"/>
      <c r="H31"/>
      <c r="I31"/>
      <c r="J31"/>
      <c r="K31"/>
      <c r="L31"/>
      <c r="M31"/>
      <c r="N31"/>
      <c r="O31"/>
      <c r="P31"/>
      <c r="R31"/>
      <c r="S31"/>
      <c r="T31"/>
      <c r="U31"/>
      <c r="V31"/>
      <c r="W31"/>
      <c r="X31"/>
      <c r="Z31"/>
      <c r="AA31"/>
      <c r="AB31"/>
      <c r="AC31"/>
      <c r="AD31"/>
      <c r="AE31"/>
      <c r="AF31"/>
      <c r="AH31" s="12"/>
      <c r="AI31"/>
      <c r="AJ31"/>
      <c r="AK31"/>
      <c r="AL31"/>
      <c r="AM31"/>
      <c r="AN31"/>
    </row>
    <row r="32" spans="1:611" ht="15.75" thickBot="1" x14ac:dyDescent="0.3">
      <c r="A32"/>
      <c r="B32"/>
      <c r="C32"/>
      <c r="D32"/>
      <c r="E32"/>
      <c r="F32"/>
      <c r="H32"/>
      <c r="I32"/>
      <c r="J32"/>
      <c r="K32"/>
      <c r="L32"/>
      <c r="M32"/>
      <c r="N32"/>
      <c r="O32"/>
      <c r="P32"/>
      <c r="R32"/>
      <c r="S32"/>
      <c r="T32"/>
      <c r="U32"/>
      <c r="V32"/>
      <c r="W32"/>
      <c r="X32"/>
      <c r="Z32"/>
      <c r="AA32"/>
      <c r="AB32"/>
      <c r="AC32"/>
      <c r="AD32"/>
      <c r="AE32"/>
      <c r="AF32"/>
      <c r="AH32" s="12"/>
      <c r="AI32"/>
      <c r="AJ32"/>
      <c r="AK32"/>
      <c r="AL32"/>
      <c r="AM32"/>
      <c r="AN32"/>
    </row>
    <row r="33" spans="1:40" s="147" customFormat="1" x14ac:dyDescent="0.25">
      <c r="A33" s="172"/>
      <c r="B33" s="172"/>
      <c r="C33" s="172"/>
      <c r="D33" s="172"/>
      <c r="E33" s="172"/>
      <c r="F33" s="172"/>
      <c r="H33" s="172"/>
      <c r="I33" s="172"/>
      <c r="J33" s="172"/>
      <c r="K33" s="172"/>
      <c r="L33" s="172"/>
      <c r="M33" s="172"/>
      <c r="N33" s="172"/>
      <c r="O33" s="172"/>
      <c r="P33" s="172"/>
      <c r="R33" s="172"/>
      <c r="S33" s="172"/>
      <c r="T33" s="172"/>
      <c r="U33" s="172"/>
      <c r="V33" s="172"/>
      <c r="W33" s="172"/>
      <c r="X33" s="172"/>
      <c r="Z33" s="172"/>
      <c r="AA33" s="172"/>
      <c r="AB33" s="172"/>
      <c r="AC33" s="172"/>
      <c r="AD33" s="172"/>
      <c r="AE33" s="172"/>
      <c r="AF33" s="172"/>
      <c r="AH33" s="146"/>
      <c r="AI33" s="172"/>
      <c r="AJ33" s="172"/>
      <c r="AK33" s="172"/>
      <c r="AL33" s="172"/>
      <c r="AM33" s="172"/>
      <c r="AN33" s="172"/>
    </row>
    <row r="34" spans="1:40" ht="21" x14ac:dyDescent="0.35">
      <c r="A34" s="148" t="s">
        <v>1996</v>
      </c>
      <c r="B34"/>
      <c r="C34"/>
      <c r="D34"/>
      <c r="E34"/>
      <c r="F34"/>
      <c r="H34"/>
      <c r="I34"/>
      <c r="J34"/>
      <c r="K34"/>
      <c r="L34"/>
      <c r="M34"/>
      <c r="N34"/>
      <c r="O34"/>
      <c r="P34"/>
      <c r="R34"/>
      <c r="S34" s="148" t="s">
        <v>1924</v>
      </c>
      <c r="T34"/>
      <c r="U34"/>
      <c r="V34"/>
      <c r="W34"/>
      <c r="X34"/>
      <c r="Z34"/>
      <c r="AA34" s="148" t="s">
        <v>1925</v>
      </c>
      <c r="AB34"/>
      <c r="AC34"/>
      <c r="AD34"/>
      <c r="AE34"/>
      <c r="AF34"/>
      <c r="AH34" s="12"/>
      <c r="AI34" s="148" t="s">
        <v>1925</v>
      </c>
      <c r="AJ34"/>
      <c r="AK34"/>
      <c r="AL34"/>
      <c r="AM34"/>
      <c r="AN34"/>
    </row>
    <row r="35" spans="1:40" ht="17.25" x14ac:dyDescent="0.25">
      <c r="A35" t="s">
        <v>1973</v>
      </c>
      <c r="B35" t="s">
        <v>1997</v>
      </c>
      <c r="C35" t="s">
        <v>1998</v>
      </c>
      <c r="D35" t="s">
        <v>1999</v>
      </c>
      <c r="E35" t="s">
        <v>2000</v>
      </c>
      <c r="F35"/>
      <c r="H35"/>
      <c r="I35"/>
      <c r="J35"/>
      <c r="K35"/>
      <c r="L35"/>
      <c r="M35"/>
      <c r="N35"/>
      <c r="O35"/>
      <c r="P35"/>
      <c r="R35"/>
      <c r="S35" t="s">
        <v>1973</v>
      </c>
      <c r="T35" t="s">
        <v>1978</v>
      </c>
      <c r="U35" t="s">
        <v>1979</v>
      </c>
      <c r="V35" t="s">
        <v>1980</v>
      </c>
      <c r="W35" t="s">
        <v>1981</v>
      </c>
      <c r="X35"/>
      <c r="Z35"/>
      <c r="AA35" t="s">
        <v>1973</v>
      </c>
      <c r="AB35" t="s">
        <v>1982</v>
      </c>
      <c r="AC35" t="s">
        <v>1983</v>
      </c>
      <c r="AD35" t="s">
        <v>1984</v>
      </c>
      <c r="AE35" t="s">
        <v>1985</v>
      </c>
      <c r="AF35"/>
      <c r="AH35" s="12"/>
      <c r="AI35"/>
      <c r="AJ35" t="s">
        <v>2001</v>
      </c>
      <c r="AK35" t="s">
        <v>2002</v>
      </c>
      <c r="AL35"/>
      <c r="AM35"/>
      <c r="AN35"/>
    </row>
    <row r="36" spans="1:40" x14ac:dyDescent="0.25">
      <c r="A36" t="s">
        <v>1986</v>
      </c>
      <c r="B36" s="173">
        <f t="array" ref="B36">AVERAGE(IF(Budgets[Type]="City",IF(Budgets[Representative Year]="YES",Budgets[2018 $ Value])))</f>
        <v>2925173.5252005574</v>
      </c>
      <c r="C36" s="173">
        <f t="array" ref="C36">AVERAGE(IF(Budgets[Type]="County",IF(Budgets[Representative Year]="YES",Budgets[2018 $ Value])))</f>
        <v>21648946.82574844</v>
      </c>
      <c r="D36" s="173">
        <f t="array" ref="D36">AVERAGE(IF(Expenditures[Type]="City",IF(Expenditures[Representative Year]="YES",Expenditures[2018 $ Value])))</f>
        <v>3054873.6582934931</v>
      </c>
      <c r="E36" s="173">
        <f t="array" ref="E36">AVERAGE(IF(Expenditures[Type]="County",IF(Expenditures[Representative Year]="YES",Expenditures[2018 $ Value])))</f>
        <v>18488590.521655783</v>
      </c>
      <c r="F36"/>
      <c r="H36"/>
      <c r="I36"/>
      <c r="J36"/>
      <c r="K36"/>
      <c r="L36"/>
      <c r="M36"/>
      <c r="N36"/>
      <c r="O36"/>
      <c r="P36"/>
      <c r="R36"/>
      <c r="S36" t="s">
        <v>1987</v>
      </c>
      <c r="T36" s="170">
        <f t="array" ref="T36">SUM(IF(Budgets[Type]="City",IF(Budgets[Representative Year]="YES",Budgets[2018 $ Value])))</f>
        <v>479728458.13289142</v>
      </c>
      <c r="U36" s="170">
        <f t="array" ref="U36">SUM(IF(Budgets[Type]="County",IF(Budgets[Representative Year]="YES",Budgets[2018 $ Value])))</f>
        <v>173191574.60598752</v>
      </c>
      <c r="V36" s="170">
        <f t="array" ref="V36">SUM(IF(Budgets[Type]="FCD",IF(Budgets[Representative Year]="YES",Budgets[2018 $ Value])))</f>
        <v>157836511.01371253</v>
      </c>
      <c r="W36" s="170">
        <f t="array" ref="W36">SUM(IF(Budgets[Type]="Other",IF(Budgets[Representative Year]="YES",Budgets[2018 $ Value])))</f>
        <v>0</v>
      </c>
      <c r="X36"/>
      <c r="Z36"/>
      <c r="AA36" t="s">
        <v>1987</v>
      </c>
      <c r="AB36" s="170">
        <f t="array" ref="AB36">SUM(IF(Expenditures[Type]="City",IF(Expenditures[Representative Year]="YES",Expenditures[2018 $ Value])))</f>
        <v>522383395.5681873</v>
      </c>
      <c r="AC36" s="170">
        <f t="array" ref="AC36">SUM(IF(Expenditures[Type]="County",IF(Expenditures[Representative Year]="YES",Expenditures[2018 $ Value])))</f>
        <v>166397314.69490203</v>
      </c>
      <c r="AD36" s="170">
        <f t="array" ref="AD36">SUM(IF(Expenditures[Type]="FCD",IF(Expenditures[Representative Year]="YES",Expenditures[2018 $ Value])))</f>
        <v>68703061.168698922</v>
      </c>
      <c r="AE36" s="170">
        <f t="array" ref="AE36">SUM(IF(Expenditures[Type]="Other",IF(Expenditures[Representative Year]="YES",Expenditures[2018 $ Value])))</f>
        <v>8253298.6572705023</v>
      </c>
      <c r="AF36"/>
      <c r="AH36" s="12"/>
      <c r="AI36" t="s">
        <v>2003</v>
      </c>
      <c r="AJ36" s="170">
        <f t="array" ref="AJ36">MIN(IF(Expenditures[Type]="City",IF(Expenditures[Representative Year]="YES",Expenditures[2018 $ Value])))</f>
        <v>47665.494151898733</v>
      </c>
      <c r="AK36" s="170">
        <f t="array" ref="AK36">MIN(IF(Expenditures[Type]="County",IF(Expenditures[Representative Year]="YES",Expenditures[2018 $ Value])))</f>
        <v>401401.23734394129</v>
      </c>
      <c r="AL36"/>
      <c r="AM36"/>
      <c r="AN36"/>
    </row>
    <row r="37" spans="1:40" x14ac:dyDescent="0.25">
      <c r="A37" t="s">
        <v>1988</v>
      </c>
      <c r="B37" s="173">
        <f t="array" ref="B37">MEDIAN(IF(Budgets[Type]="City",IF(Budgets[Representative Year]="YES",Budgets[2018 $ Value])))</f>
        <v>1006114.9724847137</v>
      </c>
      <c r="C37" s="173">
        <f t="array" ref="C37">MEDIAN(IF(Budgets[Type]="County",IF(Budgets[Representative Year]="YES",Budgets[2018 $ Value])))</f>
        <v>9225193.046275001</v>
      </c>
      <c r="D37" s="173">
        <f t="array" ref="D37">MEDIAN(IF(Expenditures[Type]="City",IF(Expenditures[Representative Year]="YES",Expenditures[2018 $ Value])))</f>
        <v>892265.47651898733</v>
      </c>
      <c r="E37" s="173">
        <f t="array" ref="E37">MEDIAN(IF(Expenditures[Type]="County",IF(Expenditures[Representative Year]="YES",Expenditures[2018 $ Value])))</f>
        <v>12541826</v>
      </c>
      <c r="F37"/>
      <c r="H37"/>
      <c r="I37"/>
      <c r="J37"/>
      <c r="K37"/>
      <c r="L37"/>
      <c r="M37"/>
      <c r="N37"/>
      <c r="O37"/>
      <c r="P37"/>
      <c r="R37"/>
      <c r="S37" t="s">
        <v>1986</v>
      </c>
      <c r="T37" s="170">
        <f t="array" ref="T37">AVERAGE(IF(Budgets[Type]="City",IF(Budgets[Representative Year]="YES",Budgets[2018 $ Value])))</f>
        <v>2925173.5252005574</v>
      </c>
      <c r="U37" s="170">
        <f t="array" ref="U37">AVERAGE(IF(Budgets[Type]="County",IF(Budgets[Representative Year]="YES",Budgets[2018 $ Value])))</f>
        <v>21648946.82574844</v>
      </c>
      <c r="V37" s="170">
        <f t="array" ref="V37">AVERAGE(IF(Budgets[Type]="FCD",IF(Budgets[Representative Year]="YES",Budgets[2018 $ Value])))</f>
        <v>26306085.168952089</v>
      </c>
      <c r="W37" s="170" t="e">
        <f t="array" ref="W37">AVERAGE(IF(Budgets[Type]="Other",IF(Budgets[Representative Year]="YES",Budgets[2018 $ Value])))</f>
        <v>#DIV/0!</v>
      </c>
      <c r="X37"/>
      <c r="Z37"/>
      <c r="AA37" t="s">
        <v>1986</v>
      </c>
      <c r="AB37" s="170">
        <f t="array" ref="AB37">AVERAGE(IF(Expenditures[Type]="City",IF(Expenditures[Representative Year]="YES",Expenditures[2018 $ Value])))</f>
        <v>3054873.6582934931</v>
      </c>
      <c r="AC37" s="170">
        <f t="array" ref="AC37">AVERAGE(IF(Expenditures[Type]="County",IF(Expenditures[Representative Year]="YES",Expenditures[2018 $ Value])))</f>
        <v>18488590.521655783</v>
      </c>
      <c r="AD37" s="170">
        <f t="array" ref="AD37">AVERAGE(IF(Expenditures[Type]="FCD",IF(Expenditures[Representative Year]="YES",Expenditures[2018 $ Value])))</f>
        <v>17175765.29217473</v>
      </c>
      <c r="AE37" s="170">
        <f t="array" ref="AE37">AVERAGE(IF(Expenditures[Type]="Other",IF(Expenditures[Representative Year]="YES",Expenditures[2018 $ Value])))</f>
        <v>4126649.3286352511</v>
      </c>
      <c r="AF37"/>
      <c r="AH37" s="12"/>
      <c r="AI37" t="s">
        <v>2004</v>
      </c>
      <c r="AJ37" s="170">
        <f t="array" ref="AJ37">_xlfn.QUARTILE.INC(IF(Expenditures[Type]="City",IF(Expenditures[Representative Year]="YES",Expenditures[2018 $ Value])),1)</f>
        <v>423112.58222220262</v>
      </c>
      <c r="AK37" s="170">
        <f t="array" ref="AK37">_xlfn.QUARTILE.INC(IF(Expenditures[Type]="County",IF(Expenditures[Representative Year]="YES",Expenditures[2018 $ Value])),1)</f>
        <v>5461042.2417870723</v>
      </c>
      <c r="AL37"/>
      <c r="AM37"/>
      <c r="AN37"/>
    </row>
    <row r="38" spans="1:40" x14ac:dyDescent="0.25">
      <c r="A38" t="s">
        <v>1989</v>
      </c>
      <c r="B38" s="173">
        <f t="array" ref="B38">_xlfn.STDEV.S(IF(Budgets[Type]="City",IF(Budgets[Representative Year]="YES",Budgets[2018 $ Value])))</f>
        <v>9453823.8810412623</v>
      </c>
      <c r="C38" s="173">
        <f t="array" ref="C38">_xlfn.STDEV.S(IF(Budgets[Type]="County",IF(Budgets[Representative Year]="YES",Budgets[2018 $ Value])))</f>
        <v>30810711.769144576</v>
      </c>
      <c r="D38" s="173">
        <f t="array" ref="D38">_xlfn.STDEV.S(IF(Expenditures[Type]="City",IF(Expenditures[Representative Year]="YES",Expenditures[2018 $ Value])))</f>
        <v>9534183.3212870266</v>
      </c>
      <c r="E38" s="173">
        <f t="array" ref="E38">_xlfn.STDEV.S(IF(Expenditures[Type]="County",IF(Expenditures[Representative Year]="YES",Expenditures[2018 $ Value])))</f>
        <v>17929944.361923579</v>
      </c>
      <c r="F38"/>
      <c r="H38"/>
      <c r="I38"/>
      <c r="J38"/>
      <c r="K38"/>
      <c r="L38"/>
      <c r="M38"/>
      <c r="N38"/>
      <c r="O38"/>
      <c r="P38"/>
      <c r="R38"/>
      <c r="S38" t="s">
        <v>1990</v>
      </c>
      <c r="T38" s="170">
        <f t="array" ref="T38">MIN(IF(Budgets[Type]="City",IF(Budgets[Representative Year]="YES",Budgets[2018 $ Value])))</f>
        <v>38706.61434375</v>
      </c>
      <c r="U38" s="170">
        <f t="array" ref="U38">MIN(IF(Budgets[Type]="County",IF(Budgets[Representative Year]="YES",Budgets[2018 $ Value])))</f>
        <v>1325839</v>
      </c>
      <c r="V38" s="170">
        <f t="array" ref="V38">MIN(IF(Budgets[Type]="FCD",IF(Budgets[Representative Year]="YES",Budgets[2018 $ Value])))</f>
        <v>1999903</v>
      </c>
      <c r="W38" s="170">
        <f t="array" ref="W38">MIN(IF(Budgets[Type]="Other",IF(Budgets[Representative Year]="YES",Budgets[2018 $ Value])))</f>
        <v>0</v>
      </c>
      <c r="X38"/>
      <c r="Z38"/>
      <c r="AA38" t="s">
        <v>1990</v>
      </c>
      <c r="AB38" s="170">
        <f t="array" ref="AB38">MIN(IF(Expenditures[Type]="City",IF(Expenditures[Representative Year]="YES",Expenditures[2018 $ Value])))</f>
        <v>47665.494151898733</v>
      </c>
      <c r="AC38" s="170">
        <f t="array" ref="AC38">MIN(IF(Expenditures[Type]="County",IF(Expenditures[Representative Year]="YES",Expenditures[2018 $ Value])))</f>
        <v>401401.23734394129</v>
      </c>
      <c r="AD38" s="170">
        <f t="array" ref="AD38">MIN(IF(Expenditures[Type]="FCD",IF(Expenditures[Representative Year]="YES",Expenditures[2018 $ Value])))</f>
        <v>1904843.5900611999</v>
      </c>
      <c r="AE38" s="170">
        <f t="array" ref="AE38">MIN(IF(Expenditures[Type]="Other",IF(Expenditures[Representative Year]="YES",Expenditures[2018 $ Value])))</f>
        <v>3022687.8714198289</v>
      </c>
      <c r="AF38"/>
      <c r="AH38" s="12"/>
      <c r="AI38" t="s">
        <v>1988</v>
      </c>
      <c r="AJ38" s="170">
        <f t="array" ref="AJ38">MEDIAN(IF(Expenditures[Type]="City",IF(Expenditures[Representative Year]="YES",Expenditures[2018 $ Value])))</f>
        <v>892265.47651898733</v>
      </c>
      <c r="AK38" s="170">
        <f t="array" ref="AK38">MEDIAN(IF(Expenditures[Type]="County",IF(Expenditures[Representative Year]="YES",Expenditures[2018 $ Value])))</f>
        <v>12541826</v>
      </c>
      <c r="AL38"/>
      <c r="AM38"/>
      <c r="AN38"/>
    </row>
    <row r="39" spans="1:40" x14ac:dyDescent="0.25">
      <c r="A39" t="s">
        <v>1991</v>
      </c>
      <c r="B39" s="173">
        <f t="array" ref="B39">MAX(IF(Budgets[Type]="City",IF(Budgets[Representative Year]="YES",Budgets[2018 $ Value])))</f>
        <v>110666610.91074</v>
      </c>
      <c r="C39" s="173">
        <f t="array" ref="C39">MAX(IF(Budgets[Type]="County",IF(Budgets[Representative Year]="YES",Budgets[2018 $ Value])))</f>
        <v>93475674.1875</v>
      </c>
      <c r="D39" s="173">
        <f t="array" ref="D39">MAX(IF(Expenditures[Type]="City",IF(Expenditures[Representative Year]="YES",Expenditures[2018 $ Value])))</f>
        <v>88404820.173600376</v>
      </c>
      <c r="E39" s="173">
        <f t="array" ref="E39">MAX(IF(Expenditures[Type]="County",IF(Expenditures[Representative Year]="YES",Expenditures[2018 $ Value])))</f>
        <v>51120377.164556958</v>
      </c>
      <c r="F39"/>
      <c r="H39"/>
      <c r="I39"/>
      <c r="J39"/>
      <c r="K39"/>
      <c r="L39"/>
      <c r="M39"/>
      <c r="N39"/>
      <c r="O39"/>
      <c r="P39"/>
      <c r="R39"/>
      <c r="S39" t="s">
        <v>1991</v>
      </c>
      <c r="T39" s="170">
        <f t="array" ref="T39">MAX(IF(Budgets[Type]="City",IF(Budgets[Representative Year]="YES",Budgets[2018 $ Value])))</f>
        <v>110666610.91074</v>
      </c>
      <c r="U39" s="170">
        <f t="array" ref="U39">MAX(IF(Budgets[Type]="County",IF(Budgets[Representative Year]="YES",Budgets[2018 $ Value])))</f>
        <v>93475674.1875</v>
      </c>
      <c r="V39" s="170">
        <f t="array" ref="V39">MAX(IF(Budgets[Type]="FCD",IF(Budgets[Representative Year]="YES",Budgets[2018 $ Value])))</f>
        <v>88383528.777525008</v>
      </c>
      <c r="W39" s="170">
        <f t="array" ref="W39">MAX(IF(Budgets[Type]="Other",IF(Budgets[Representative Year]="YES",Budgets[2018 $ Value])))</f>
        <v>0</v>
      </c>
      <c r="X39"/>
      <c r="Z39"/>
      <c r="AA39" t="s">
        <v>1991</v>
      </c>
      <c r="AB39" s="170">
        <f t="array" ref="AB39">MAX(IF(Expenditures[Type]="City",IF(Expenditures[Representative Year]="YES",Expenditures[2018 $ Value])))</f>
        <v>88404820.173600376</v>
      </c>
      <c r="AC39" s="170">
        <f t="array" ref="AC39">MAX(IF(Expenditures[Type]="County",IF(Expenditures[Representative Year]="YES",Expenditures[2018 $ Value])))</f>
        <v>51120377.164556958</v>
      </c>
      <c r="AD39" s="170">
        <f t="array" ref="AD39">MAX(IF(Expenditures[Type]="FCD",IF(Expenditures[Representative Year]="YES",Expenditures[2018 $ Value])))</f>
        <v>27277348.254835442</v>
      </c>
      <c r="AE39" s="170">
        <f t="array" ref="AE39">MAX(IF(Expenditures[Type]="Other",IF(Expenditures[Representative Year]="YES",Expenditures[2018 $ Value])))</f>
        <v>5230610.7858506739</v>
      </c>
      <c r="AF39"/>
      <c r="AH39" s="12"/>
      <c r="AI39" t="s">
        <v>2005</v>
      </c>
      <c r="AJ39" s="170">
        <f t="array" ref="AJ39">_xlfn.QUARTILE.INC(IF(Expenditures[Type]="City",IF(Expenditures[Representative Year]="YES",Expenditures[2018 $ Value])),3)</f>
        <v>2484157.0629607127</v>
      </c>
      <c r="AK39" s="170">
        <f t="array" ref="AK39">_xlfn.QUARTILE.INC(IF(Expenditures[Type]="County",IF(Expenditures[Representative Year]="YES",Expenditures[2018 $ Value])),3)</f>
        <v>28138460.505165242</v>
      </c>
      <c r="AL39"/>
      <c r="AM39"/>
      <c r="AN39"/>
    </row>
    <row r="40" spans="1:40" x14ac:dyDescent="0.25">
      <c r="A40" t="s">
        <v>1990</v>
      </c>
      <c r="B40" s="173">
        <f t="array" ref="B40">MIN(IF(Budgets[Type]="City",IF(Budgets[Representative Year]="YES",Budgets[2018 $ Value])))</f>
        <v>38706.61434375</v>
      </c>
      <c r="C40" s="173">
        <f t="array" ref="C40">MIN(IF(Budgets[Type]="County",IF(Budgets[Representative Year]="YES",Budgets[2018 $ Value])))</f>
        <v>1325839</v>
      </c>
      <c r="D40" s="173">
        <f t="array" ref="D40">MIN(IF(Expenditures[Type]="City",IF(Expenditures[Representative Year]="YES",Expenditures[2018 $ Value])))</f>
        <v>47665.494151898733</v>
      </c>
      <c r="E40" s="173">
        <f t="array" ref="E40">MIN(IF(Expenditures[Type]="County",IF(Expenditures[Representative Year]="YES",Expenditures[2018 $ Value])))</f>
        <v>401401.23734394129</v>
      </c>
      <c r="F40"/>
      <c r="H40"/>
      <c r="I40"/>
      <c r="J40"/>
      <c r="K40"/>
      <c r="L40"/>
      <c r="M40"/>
      <c r="N40"/>
      <c r="O40"/>
      <c r="P40"/>
      <c r="R40"/>
      <c r="S40" t="s">
        <v>1992</v>
      </c>
      <c r="T40" s="171">
        <f t="array" ref="T40">COUNT(IF(Budgets[Type]="City",IF(Budgets[Representative Year]="YES",Budgets[2018 $ Value])))</f>
        <v>164</v>
      </c>
      <c r="U40" s="171">
        <f t="array" ref="U40">COUNT(IF(Budgets[Type]="County",IF(Budgets[Representative Year]="YES",Budgets[2018 $ Value])))</f>
        <v>8</v>
      </c>
      <c r="V40" s="171">
        <f t="array" ref="V40">COUNT(IF(Budgets[Type]="FCD",IF(Budgets[Representative Year]="YES",Budgets[2018 $ Value])))</f>
        <v>6</v>
      </c>
      <c r="W40" s="171">
        <f t="array" ref="W40">COUNT(IF(Budgets[Type]="Other",IF(Budgets[Representative Year]="YES",Budgets[2018 $ Value])))</f>
        <v>0</v>
      </c>
      <c r="X40"/>
      <c r="Z40"/>
      <c r="AA40" t="s">
        <v>1992</v>
      </c>
      <c r="AB40" s="171">
        <f t="array" ref="AB40">COUNT(IF(Expenditures[Type]="City",IF(Expenditures[Representative Year]="YES",Expenditures[2018 $ Value])))</f>
        <v>171</v>
      </c>
      <c r="AC40" s="171">
        <f t="array" ref="AC40">COUNT(IF(Expenditures[Type]="County",IF(Expenditures[Representative Year]="YES",Expenditures[2018 $ Value])))</f>
        <v>9</v>
      </c>
      <c r="AD40" s="171">
        <f t="array" ref="AD40">COUNT(IF(Expenditures[Type]="FCD",IF(Expenditures[Representative Year]="YES",Expenditures[2018 $ Value])))</f>
        <v>4</v>
      </c>
      <c r="AE40" s="171">
        <f t="array" ref="AE40">COUNT(IF(Expenditures[Type]="Other",IF(Expenditures[Representative Year]="YES",Expenditures[2018 $ Value])))</f>
        <v>2</v>
      </c>
      <c r="AF40"/>
      <c r="AH40" s="12"/>
      <c r="AI40" t="s">
        <v>2006</v>
      </c>
      <c r="AJ40" s="170">
        <f t="array" ref="AJ40">MAX(IF(Expenditures[Type]="City",IF(Expenditures[Representative Year]="YES",Expenditures[2018 $ Value])))</f>
        <v>88404820.173600376</v>
      </c>
      <c r="AK40" s="170">
        <f t="array" ref="AK40">MAX(IF(Expenditures[Type]="County",IF(Expenditures[Representative Year]="YES",Expenditures[2018 $ Value])))</f>
        <v>51120377.164556958</v>
      </c>
      <c r="AL40"/>
      <c r="AM40"/>
      <c r="AN40"/>
    </row>
    <row r="41" spans="1:40" x14ac:dyDescent="0.25">
      <c r="A41" t="s">
        <v>1993</v>
      </c>
      <c r="B41" s="173">
        <f t="array" ref="B41">_xlfn.QUARTILE.INC(IF(Budgets[Type]="City",IF(Budgets[Representative Year]="YES",Budgets[2018 $ Value])),1)</f>
        <v>399149.93586562504</v>
      </c>
      <c r="C41" s="173">
        <f t="array" ref="C41">_xlfn.QUARTILE.INC(IF(Budgets[Type]="County",IF(Budgets[Representative Year]="YES",Budgets[2018 $ Value])),1)</f>
        <v>3969180.25</v>
      </c>
      <c r="D41" s="173">
        <f t="array" ref="D41">_xlfn.QUARTILE.INC(IF(Expenditures[Type]="City",IF(Expenditures[Representative Year]="YES",Expenditures[2018 $ Value])),1)</f>
        <v>423112.58222220262</v>
      </c>
      <c r="E41" s="173">
        <f t="array" ref="E41">_xlfn.QUARTILE.INC(IF(Expenditures[Type]="County",IF(Expenditures[Representative Year]="YES",Expenditures[2018 $ Value])),1)</f>
        <v>5461042.2417870723</v>
      </c>
      <c r="F41"/>
      <c r="H41"/>
      <c r="I41"/>
      <c r="J41"/>
      <c r="K41"/>
      <c r="L41"/>
      <c r="M41"/>
      <c r="N41"/>
      <c r="O41"/>
      <c r="P41"/>
      <c r="R41"/>
      <c r="S41"/>
      <c r="T41"/>
      <c r="U41"/>
      <c r="V41"/>
      <c r="W41"/>
      <c r="X41"/>
      <c r="Z41"/>
      <c r="AA41"/>
      <c r="AB41"/>
      <c r="AC41"/>
      <c r="AD41"/>
      <c r="AE41"/>
      <c r="AF41"/>
      <c r="AH41" s="12"/>
      <c r="AI41" t="s">
        <v>1986</v>
      </c>
      <c r="AJ41" s="170">
        <f t="array" ref="AJ41">AVERAGE(IF(Expenditures[Type]="City",IF(Expenditures[Representative Year]="YES",Expenditures[2018 $ Value])))</f>
        <v>3054873.6582934931</v>
      </c>
      <c r="AK41" s="170">
        <f t="array" ref="AK41">AVERAGE(IF(Expenditures[Type]="County",IF(Expenditures[Representative Year]="YES",Expenditures[2018 $ Value])))</f>
        <v>18488590.521655783</v>
      </c>
      <c r="AL41"/>
      <c r="AM41"/>
      <c r="AN41"/>
    </row>
    <row r="42" spans="1:40" x14ac:dyDescent="0.25">
      <c r="A42" t="s">
        <v>1994</v>
      </c>
      <c r="B42" s="173">
        <f t="array" ref="B42">_xlfn.QUARTILE.INC(IF(Budgets[Type]="City",IF(Budgets[Representative Year]="YES",Budgets[2018 $ Value])),3)</f>
        <v>2577533.0281250002</v>
      </c>
      <c r="C42" s="173">
        <f t="array" ref="C42">_xlfn.QUARTILE.INC(IF(Budgets[Type]="County",IF(Budgets[Representative Year]="YES",Budgets[2018 $ Value])),3)</f>
        <v>23908210.744453125</v>
      </c>
      <c r="D42" s="173">
        <f t="array" ref="D42">_xlfn.QUARTILE.INC(IF(Expenditures[Type]="City",IF(Expenditures[Representative Year]="YES",Expenditures[2018 $ Value])),3)</f>
        <v>2484157.0629607127</v>
      </c>
      <c r="E42" s="173">
        <f t="array" ref="E42">_xlfn.QUARTILE.INC(IF(Expenditures[Type]="County",IF(Expenditures[Representative Year]="YES",Expenditures[2018 $ Value])),3)</f>
        <v>28138460.505165242</v>
      </c>
      <c r="F42"/>
      <c r="H42"/>
      <c r="I42"/>
      <c r="J42"/>
      <c r="K42"/>
      <c r="L42"/>
      <c r="M42"/>
      <c r="N42"/>
      <c r="O42"/>
      <c r="P42"/>
      <c r="R42"/>
      <c r="S42" s="174" t="s">
        <v>2007</v>
      </c>
      <c r="T42"/>
      <c r="U42"/>
      <c r="V42"/>
      <c r="W42"/>
      <c r="X42"/>
      <c r="Z42"/>
      <c r="AA42" s="174" t="s">
        <v>2007</v>
      </c>
      <c r="AB42"/>
      <c r="AC42"/>
      <c r="AD42"/>
      <c r="AE42"/>
      <c r="AF42"/>
      <c r="AH42" s="12"/>
      <c r="AI42"/>
      <c r="AJ42"/>
      <c r="AK42"/>
      <c r="AL42"/>
      <c r="AM42"/>
      <c r="AN42"/>
    </row>
    <row r="43" spans="1:40" x14ac:dyDescent="0.25">
      <c r="A43" t="s">
        <v>1995</v>
      </c>
      <c r="B43">
        <f t="array" ref="B43">COUNT(IF(Budgets[Type]="City",IF(Budgets[Representative Year]="YES",Budgets[2018 $ Value])))</f>
        <v>164</v>
      </c>
      <c r="C43">
        <f t="array" ref="C43">COUNT(IF(Budgets[Type]="County",IF(Budgets[Representative Year]="YES",Budgets[2018 $ Value])))</f>
        <v>8</v>
      </c>
      <c r="D43">
        <f t="array" ref="D43">COUNT(IF(Expenditures[Type]="City",IF(Expenditures[Representative Year]="YES",Expenditures[2018 $ Value])))</f>
        <v>171</v>
      </c>
      <c r="E43">
        <f t="array" ref="E43">COUNT(IF(Expenditures[Type]="County",IF(Expenditures[Representative Year]="YES",Expenditures[2018 $ Value])))</f>
        <v>9</v>
      </c>
      <c r="F43"/>
      <c r="H43"/>
      <c r="I43"/>
      <c r="J43"/>
      <c r="K43"/>
      <c r="L43"/>
      <c r="M43"/>
      <c r="N43"/>
      <c r="O43"/>
      <c r="P43"/>
      <c r="R43"/>
      <c r="S43" t="s">
        <v>1973</v>
      </c>
      <c r="T43" t="s">
        <v>1978</v>
      </c>
      <c r="U43" t="s">
        <v>1979</v>
      </c>
      <c r="V43" t="s">
        <v>1980</v>
      </c>
      <c r="W43" t="s">
        <v>1981</v>
      </c>
      <c r="X43"/>
      <c r="Z43"/>
      <c r="AA43" t="s">
        <v>1973</v>
      </c>
      <c r="AB43" t="s">
        <v>1982</v>
      </c>
      <c r="AC43" t="s">
        <v>1983</v>
      </c>
      <c r="AD43" t="s">
        <v>1984</v>
      </c>
      <c r="AE43" t="s">
        <v>1985</v>
      </c>
      <c r="AF43"/>
      <c r="AH43" s="12"/>
      <c r="AI43" s="174" t="s">
        <v>2008</v>
      </c>
      <c r="AJ43"/>
      <c r="AK43"/>
      <c r="AL43"/>
      <c r="AM43"/>
      <c r="AN43"/>
    </row>
    <row r="44" spans="1:40" x14ac:dyDescent="0.25">
      <c r="A44"/>
      <c r="B44"/>
      <c r="C44"/>
      <c r="D44"/>
      <c r="E44"/>
      <c r="F44"/>
      <c r="H44"/>
      <c r="I44"/>
      <c r="J44"/>
      <c r="K44"/>
      <c r="L44"/>
      <c r="M44"/>
      <c r="N44"/>
      <c r="O44"/>
      <c r="P44"/>
      <c r="R44"/>
      <c r="S44" t="s">
        <v>1987</v>
      </c>
      <c r="T44">
        <f t="shared" ref="T44:W47" si="3">ROUND(T36,2-(1+INT(LOG10(T36))))/10^6</f>
        <v>480</v>
      </c>
      <c r="U44">
        <f t="shared" si="3"/>
        <v>170</v>
      </c>
      <c r="V44">
        <f t="shared" si="3"/>
        <v>160</v>
      </c>
      <c r="W44" t="e">
        <f t="shared" si="3"/>
        <v>#NUM!</v>
      </c>
      <c r="X44"/>
      <c r="Z44"/>
      <c r="AA44" t="s">
        <v>1987</v>
      </c>
      <c r="AB44">
        <f t="shared" ref="AB44:AE47" si="4">ROUND(AB36,2-(1+INT(LOG10(AB36))))/10^6</f>
        <v>520</v>
      </c>
      <c r="AC44">
        <f t="shared" si="4"/>
        <v>170</v>
      </c>
      <c r="AD44">
        <f t="shared" si="4"/>
        <v>69</v>
      </c>
      <c r="AE44">
        <f t="shared" si="4"/>
        <v>8.3000000000000007</v>
      </c>
      <c r="AF44"/>
      <c r="AH44" s="12"/>
      <c r="AI44" s="174"/>
      <c r="AJ44" t="s">
        <v>2001</v>
      </c>
      <c r="AK44" t="s">
        <v>2002</v>
      </c>
      <c r="AL44"/>
      <c r="AM44"/>
      <c r="AN44"/>
    </row>
    <row r="45" spans="1:40" x14ac:dyDescent="0.25">
      <c r="A45" s="174" t="s">
        <v>2007</v>
      </c>
      <c r="B45"/>
      <c r="C45"/>
      <c r="D45"/>
      <c r="E45"/>
      <c r="F45"/>
      <c r="H45"/>
      <c r="I45"/>
      <c r="J45"/>
      <c r="K45"/>
      <c r="L45"/>
      <c r="M45"/>
      <c r="N45"/>
      <c r="O45"/>
      <c r="P45"/>
      <c r="R45"/>
      <c r="S45" t="s">
        <v>1986</v>
      </c>
      <c r="T45">
        <f t="shared" si="3"/>
        <v>2.9</v>
      </c>
      <c r="U45">
        <f t="shared" si="3"/>
        <v>22</v>
      </c>
      <c r="V45">
        <f t="shared" si="3"/>
        <v>26</v>
      </c>
      <c r="W45" t="e">
        <f t="shared" si="3"/>
        <v>#DIV/0!</v>
      </c>
      <c r="X45"/>
      <c r="Z45"/>
      <c r="AA45" t="s">
        <v>1986</v>
      </c>
      <c r="AB45">
        <f t="shared" si="4"/>
        <v>3.1</v>
      </c>
      <c r="AC45">
        <f t="shared" si="4"/>
        <v>18</v>
      </c>
      <c r="AD45">
        <f t="shared" si="4"/>
        <v>17</v>
      </c>
      <c r="AE45">
        <f t="shared" si="4"/>
        <v>4.0999999999999996</v>
      </c>
      <c r="AF45"/>
      <c r="AH45" s="12"/>
      <c r="AI45" t="s">
        <v>2009</v>
      </c>
      <c r="AJ45" s="175">
        <f>AJ37</f>
        <v>423112.58222220262</v>
      </c>
      <c r="AK45" s="175">
        <f>AK37</f>
        <v>5461042.2417870723</v>
      </c>
      <c r="AL45"/>
      <c r="AM45"/>
      <c r="AN45"/>
    </row>
    <row r="46" spans="1:40" x14ac:dyDescent="0.25">
      <c r="A46" t="s">
        <v>1973</v>
      </c>
      <c r="B46" t="s">
        <v>2010</v>
      </c>
      <c r="C46" t="s">
        <v>2011</v>
      </c>
      <c r="D46" t="s">
        <v>2012</v>
      </c>
      <c r="E46" t="s">
        <v>2013</v>
      </c>
      <c r="F46"/>
      <c r="H46"/>
      <c r="I46"/>
      <c r="J46"/>
      <c r="K46"/>
      <c r="L46"/>
      <c r="M46"/>
      <c r="N46"/>
      <c r="O46"/>
      <c r="P46"/>
      <c r="R46"/>
      <c r="S46" t="s">
        <v>1990</v>
      </c>
      <c r="T46">
        <f t="shared" si="3"/>
        <v>3.9E-2</v>
      </c>
      <c r="U46">
        <f t="shared" si="3"/>
        <v>1.3</v>
      </c>
      <c r="V46" s="176">
        <f t="shared" si="3"/>
        <v>2</v>
      </c>
      <c r="W46" t="e">
        <f t="shared" si="3"/>
        <v>#NUM!</v>
      </c>
      <c r="X46"/>
      <c r="Z46"/>
      <c r="AA46" t="s">
        <v>1990</v>
      </c>
      <c r="AB46">
        <f t="shared" si="4"/>
        <v>4.8000000000000001E-2</v>
      </c>
      <c r="AC46" s="177">
        <f t="shared" si="4"/>
        <v>0.4</v>
      </c>
      <c r="AD46" s="176">
        <f t="shared" si="4"/>
        <v>1.9</v>
      </c>
      <c r="AE46" s="176">
        <f t="shared" si="4"/>
        <v>3</v>
      </c>
      <c r="AF46"/>
      <c r="AH46" s="12"/>
      <c r="AI46" t="s">
        <v>2014</v>
      </c>
      <c r="AJ46" s="175">
        <f>AJ38-AJ37</f>
        <v>469152.89429678471</v>
      </c>
      <c r="AK46" s="175">
        <f>AK38-AK37</f>
        <v>7080783.7582129277</v>
      </c>
      <c r="AL46"/>
      <c r="AM46"/>
      <c r="AN46"/>
    </row>
    <row r="47" spans="1:40" x14ac:dyDescent="0.25">
      <c r="A47" t="s">
        <v>1986</v>
      </c>
      <c r="B47">
        <f t="shared" ref="B47:E53" si="5">ROUND(B36,2-(1+INT(LOG10(B36))))/10^6</f>
        <v>2.9</v>
      </c>
      <c r="C47">
        <f t="shared" si="5"/>
        <v>22</v>
      </c>
      <c r="D47">
        <f t="shared" si="5"/>
        <v>3.1</v>
      </c>
      <c r="E47">
        <f t="shared" si="5"/>
        <v>18</v>
      </c>
      <c r="F47"/>
      <c r="H47"/>
      <c r="I47"/>
      <c r="J47"/>
      <c r="K47"/>
      <c r="L47"/>
      <c r="M47"/>
      <c r="N47"/>
      <c r="O47"/>
      <c r="P47"/>
      <c r="R47"/>
      <c r="S47" t="s">
        <v>1991</v>
      </c>
      <c r="T47">
        <f t="shared" si="3"/>
        <v>110</v>
      </c>
      <c r="U47">
        <f t="shared" si="3"/>
        <v>93</v>
      </c>
      <c r="V47">
        <f t="shared" si="3"/>
        <v>88</v>
      </c>
      <c r="W47" t="e">
        <f t="shared" si="3"/>
        <v>#NUM!</v>
      </c>
      <c r="X47"/>
      <c r="Z47"/>
      <c r="AA47" t="s">
        <v>1991</v>
      </c>
      <c r="AB47">
        <f t="shared" si="4"/>
        <v>88</v>
      </c>
      <c r="AC47">
        <f t="shared" si="4"/>
        <v>51</v>
      </c>
      <c r="AD47">
        <f t="shared" si="4"/>
        <v>27</v>
      </c>
      <c r="AE47">
        <f t="shared" si="4"/>
        <v>5.2</v>
      </c>
      <c r="AF47"/>
      <c r="AH47" s="12"/>
      <c r="AI47" t="s">
        <v>2015</v>
      </c>
      <c r="AJ47" s="175">
        <f>AJ39-AJ38</f>
        <v>1591891.5864417255</v>
      </c>
      <c r="AK47" s="175">
        <f>AK39-AK38</f>
        <v>15596634.505165242</v>
      </c>
      <c r="AL47"/>
      <c r="AM47"/>
      <c r="AN47"/>
    </row>
    <row r="48" spans="1:40" x14ac:dyDescent="0.25">
      <c r="A48" t="s">
        <v>1988</v>
      </c>
      <c r="B48" s="176">
        <f t="shared" si="5"/>
        <v>1</v>
      </c>
      <c r="C48">
        <f t="shared" si="5"/>
        <v>9.1999999999999993</v>
      </c>
      <c r="D48">
        <f t="shared" si="5"/>
        <v>0.89</v>
      </c>
      <c r="E48">
        <f t="shared" si="5"/>
        <v>13</v>
      </c>
      <c r="F48"/>
      <c r="H48"/>
      <c r="I48"/>
      <c r="J48"/>
      <c r="K48"/>
      <c r="L48"/>
      <c r="M48"/>
      <c r="N48"/>
      <c r="O48"/>
      <c r="P48"/>
      <c r="R48"/>
      <c r="S48" t="s">
        <v>1992</v>
      </c>
      <c r="T48" s="171">
        <f>T40</f>
        <v>164</v>
      </c>
      <c r="U48" s="171">
        <f>U40</f>
        <v>8</v>
      </c>
      <c r="V48" s="171">
        <f>V40</f>
        <v>6</v>
      </c>
      <c r="W48" s="171">
        <f>W40</f>
        <v>0</v>
      </c>
      <c r="X48"/>
      <c r="Z48"/>
      <c r="AA48" t="s">
        <v>1992</v>
      </c>
      <c r="AB48" s="171">
        <f>AB40</f>
        <v>171</v>
      </c>
      <c r="AC48" s="171">
        <f>AC40</f>
        <v>9</v>
      </c>
      <c r="AD48" s="171">
        <f>AD40</f>
        <v>4</v>
      </c>
      <c r="AE48" s="171">
        <f>AE40</f>
        <v>2</v>
      </c>
      <c r="AF48"/>
      <c r="AH48" s="12"/>
      <c r="AI48" t="s">
        <v>2016</v>
      </c>
      <c r="AJ48" s="175">
        <f>AJ37-AJ36</f>
        <v>375447.0880703039</v>
      </c>
      <c r="AK48" s="175">
        <f>AK37-AK36</f>
        <v>5059641.0044431314</v>
      </c>
      <c r="AL48"/>
      <c r="AM48"/>
      <c r="AN48"/>
    </row>
    <row r="49" spans="1:40" x14ac:dyDescent="0.25">
      <c r="A49" t="s">
        <v>1989</v>
      </c>
      <c r="B49">
        <f t="shared" si="5"/>
        <v>9.5</v>
      </c>
      <c r="C49">
        <f t="shared" si="5"/>
        <v>31</v>
      </c>
      <c r="D49">
        <f t="shared" si="5"/>
        <v>9.5</v>
      </c>
      <c r="E49">
        <f t="shared" si="5"/>
        <v>18</v>
      </c>
      <c r="F49"/>
      <c r="H49"/>
      <c r="I49"/>
      <c r="J49"/>
      <c r="K49"/>
      <c r="L49"/>
      <c r="M49"/>
      <c r="N49"/>
      <c r="O49"/>
      <c r="P49"/>
      <c r="R49"/>
      <c r="S49"/>
      <c r="T49"/>
      <c r="U49"/>
      <c r="V49"/>
      <c r="W49"/>
      <c r="X49"/>
      <c r="Z49"/>
      <c r="AA49"/>
      <c r="AB49"/>
      <c r="AC49"/>
      <c r="AD49"/>
      <c r="AE49"/>
      <c r="AF49"/>
      <c r="AH49" s="12"/>
      <c r="AI49" t="s">
        <v>2017</v>
      </c>
      <c r="AJ49" s="175">
        <f>AJ40-AJ39</f>
        <v>85920663.110639662</v>
      </c>
      <c r="AK49" s="175">
        <f>AK40-AK39</f>
        <v>22981916.659391716</v>
      </c>
      <c r="AL49"/>
      <c r="AM49"/>
      <c r="AN49"/>
    </row>
    <row r="50" spans="1:40" x14ac:dyDescent="0.25">
      <c r="A50" t="s">
        <v>1991</v>
      </c>
      <c r="B50">
        <f t="shared" si="5"/>
        <v>110</v>
      </c>
      <c r="C50">
        <f t="shared" si="5"/>
        <v>93</v>
      </c>
      <c r="D50">
        <f t="shared" si="5"/>
        <v>88</v>
      </c>
      <c r="E50">
        <f t="shared" si="5"/>
        <v>51</v>
      </c>
      <c r="F50"/>
      <c r="H50"/>
      <c r="I50"/>
      <c r="J50"/>
      <c r="K50"/>
      <c r="L50"/>
      <c r="M50"/>
      <c r="N50"/>
      <c r="O50"/>
      <c r="P50"/>
      <c r="R50"/>
      <c r="S50"/>
      <c r="T50"/>
      <c r="U50"/>
      <c r="V50"/>
      <c r="W50"/>
      <c r="X50"/>
      <c r="Z50"/>
      <c r="AA50"/>
      <c r="AB50"/>
      <c r="AC50"/>
      <c r="AD50"/>
      <c r="AE50"/>
      <c r="AF50"/>
      <c r="AH50" s="12"/>
      <c r="AI50" t="s">
        <v>2018</v>
      </c>
      <c r="AJ50">
        <v>0.5</v>
      </c>
      <c r="AK50">
        <v>1.5</v>
      </c>
      <c r="AL50"/>
      <c r="AM50"/>
      <c r="AN50"/>
    </row>
    <row r="51" spans="1:40" x14ac:dyDescent="0.25">
      <c r="A51" t="s">
        <v>1990</v>
      </c>
      <c r="B51">
        <f t="shared" si="5"/>
        <v>3.9E-2</v>
      </c>
      <c r="C51">
        <f t="shared" si="5"/>
        <v>1.3</v>
      </c>
      <c r="D51">
        <f t="shared" si="5"/>
        <v>4.8000000000000001E-2</v>
      </c>
      <c r="E51" s="177">
        <f t="shared" si="5"/>
        <v>0.4</v>
      </c>
      <c r="F51"/>
      <c r="H51"/>
      <c r="I51"/>
      <c r="J51"/>
      <c r="K51"/>
      <c r="L51"/>
      <c r="M51"/>
      <c r="N51"/>
      <c r="O51"/>
      <c r="P51"/>
      <c r="R51"/>
      <c r="S51"/>
      <c r="T51"/>
      <c r="U51"/>
      <c r="V51"/>
      <c r="W51"/>
      <c r="X51"/>
      <c r="Z51"/>
      <c r="AA51"/>
      <c r="AB51"/>
      <c r="AC51"/>
      <c r="AD51"/>
      <c r="AE51"/>
      <c r="AF51"/>
      <c r="AH51" s="12"/>
      <c r="AI51"/>
      <c r="AJ51"/>
      <c r="AK51"/>
      <c r="AL51"/>
      <c r="AM51"/>
      <c r="AN51"/>
    </row>
    <row r="52" spans="1:40" x14ac:dyDescent="0.25">
      <c r="A52" t="s">
        <v>1993</v>
      </c>
      <c r="B52" s="177">
        <f t="shared" si="5"/>
        <v>0.4</v>
      </c>
      <c r="C52" s="176">
        <f t="shared" si="5"/>
        <v>4</v>
      </c>
      <c r="D52">
        <f t="shared" si="5"/>
        <v>0.42</v>
      </c>
      <c r="E52">
        <f t="shared" si="5"/>
        <v>5.5</v>
      </c>
      <c r="F52"/>
      <c r="H52"/>
      <c r="I52"/>
      <c r="J52"/>
      <c r="K52"/>
      <c r="L52"/>
      <c r="M52"/>
      <c r="N52"/>
      <c r="O52"/>
      <c r="P52"/>
      <c r="R52"/>
      <c r="S52"/>
      <c r="T52"/>
      <c r="U52"/>
      <c r="V52"/>
      <c r="W52"/>
      <c r="X52"/>
      <c r="Z52"/>
      <c r="AA52"/>
      <c r="AB52"/>
      <c r="AC52"/>
      <c r="AD52"/>
      <c r="AE52"/>
      <c r="AF52"/>
      <c r="AH52" s="12"/>
      <c r="AI52"/>
      <c r="AJ52"/>
      <c r="AK52"/>
      <c r="AL52"/>
      <c r="AM52"/>
      <c r="AN52"/>
    </row>
    <row r="53" spans="1:40" x14ac:dyDescent="0.25">
      <c r="A53" t="s">
        <v>1994</v>
      </c>
      <c r="B53">
        <f t="shared" si="5"/>
        <v>2.6</v>
      </c>
      <c r="C53">
        <f t="shared" si="5"/>
        <v>24</v>
      </c>
      <c r="D53">
        <f t="shared" si="5"/>
        <v>2.5</v>
      </c>
      <c r="E53">
        <f t="shared" si="5"/>
        <v>28</v>
      </c>
      <c r="F53"/>
      <c r="H53"/>
      <c r="I53"/>
      <c r="J53"/>
      <c r="K53"/>
      <c r="L53"/>
      <c r="M53"/>
      <c r="N53"/>
      <c r="O53"/>
      <c r="P53"/>
      <c r="R53"/>
      <c r="S53"/>
      <c r="T53"/>
      <c r="U53"/>
      <c r="V53"/>
      <c r="W53"/>
      <c r="X53"/>
      <c r="Z53"/>
      <c r="AA53"/>
      <c r="AB53"/>
      <c r="AC53"/>
      <c r="AD53"/>
      <c r="AE53"/>
      <c r="AF53"/>
      <c r="AH53" s="12"/>
      <c r="AI53"/>
      <c r="AJ53"/>
      <c r="AK53"/>
      <c r="AL53"/>
      <c r="AM53"/>
      <c r="AN53"/>
    </row>
    <row r="54" spans="1:40" x14ac:dyDescent="0.25">
      <c r="A54" t="s">
        <v>1995</v>
      </c>
      <c r="B54">
        <f>B43</f>
        <v>164</v>
      </c>
      <c r="C54">
        <f>C43</f>
        <v>8</v>
      </c>
      <c r="D54">
        <f>D43</f>
        <v>171</v>
      </c>
      <c r="E54">
        <f>E43</f>
        <v>9</v>
      </c>
      <c r="F54"/>
      <c r="H54"/>
      <c r="I54"/>
      <c r="J54"/>
      <c r="K54"/>
      <c r="L54"/>
      <c r="M54"/>
      <c r="N54"/>
      <c r="O54"/>
      <c r="P54"/>
      <c r="R54"/>
      <c r="S54"/>
      <c r="T54"/>
      <c r="U54"/>
      <c r="V54"/>
      <c r="W54"/>
      <c r="X54"/>
      <c r="Z54"/>
      <c r="AA54"/>
      <c r="AB54"/>
      <c r="AC54"/>
      <c r="AD54"/>
      <c r="AE54"/>
      <c r="AF54"/>
      <c r="AH54" s="12"/>
      <c r="AI54"/>
      <c r="AJ54"/>
      <c r="AK54"/>
      <c r="AL54"/>
      <c r="AM54"/>
      <c r="AN54"/>
    </row>
    <row r="55" spans="1:40" x14ac:dyDescent="0.25">
      <c r="A55"/>
      <c r="B55"/>
      <c r="C55"/>
      <c r="D55"/>
      <c r="E55"/>
      <c r="F55"/>
      <c r="H55"/>
      <c r="I55"/>
      <c r="J55"/>
      <c r="K55"/>
      <c r="L55"/>
      <c r="M55"/>
      <c r="N55"/>
      <c r="O55"/>
      <c r="P55"/>
      <c r="R55"/>
      <c r="S55"/>
      <c r="T55"/>
      <c r="U55"/>
      <c r="V55"/>
      <c r="W55"/>
      <c r="X55"/>
      <c r="Z55"/>
      <c r="AA55"/>
      <c r="AB55"/>
      <c r="AC55"/>
      <c r="AD55"/>
      <c r="AE55"/>
      <c r="AF55"/>
      <c r="AH55" s="12"/>
      <c r="AI55"/>
      <c r="AJ55"/>
      <c r="AK55"/>
      <c r="AL55"/>
      <c r="AM55"/>
      <c r="AN55"/>
    </row>
    <row r="56" spans="1:40" x14ac:dyDescent="0.25">
      <c r="A56"/>
      <c r="B56"/>
      <c r="C56"/>
      <c r="D56"/>
      <c r="E56"/>
      <c r="F56"/>
      <c r="H56"/>
      <c r="I56"/>
      <c r="J56"/>
      <c r="K56"/>
      <c r="L56"/>
      <c r="M56"/>
      <c r="N56"/>
      <c r="O56"/>
      <c r="P56"/>
      <c r="R56"/>
      <c r="S56"/>
      <c r="T56"/>
      <c r="U56"/>
      <c r="V56"/>
      <c r="W56"/>
      <c r="X56"/>
      <c r="Z56"/>
      <c r="AA56"/>
      <c r="AB56"/>
      <c r="AC56"/>
      <c r="AD56"/>
      <c r="AE56"/>
      <c r="AF56"/>
      <c r="AH56" s="12"/>
      <c r="AI56"/>
      <c r="AJ56"/>
      <c r="AK56"/>
      <c r="AL56"/>
      <c r="AM56"/>
      <c r="AN56"/>
    </row>
  </sheetData>
  <mergeCells count="5">
    <mergeCell ref="A2:E2"/>
    <mergeCell ref="I2:O2"/>
    <mergeCell ref="S2:W2"/>
    <mergeCell ref="AA2:AE2"/>
    <mergeCell ref="AI2:AM2"/>
  </mergeCells>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C04BA-2D09-418C-A7A4-E99197251E98}">
  <sheetPr>
    <tabColor theme="9" tint="0.39997558519241921"/>
  </sheetPr>
  <dimension ref="A1:N119"/>
  <sheetViews>
    <sheetView zoomScale="70" zoomScaleNormal="70" workbookViewId="0">
      <selection activeCell="A2" sqref="A2:D2"/>
    </sheetView>
  </sheetViews>
  <sheetFormatPr defaultColWidth="9.140625" defaultRowHeight="15" x14ac:dyDescent="0.25"/>
  <cols>
    <col min="1" max="1" width="24.85546875" style="134" customWidth="1"/>
    <col min="2" max="2" width="12.5703125" style="134" customWidth="1"/>
    <col min="3" max="4" width="26.5703125" style="134" customWidth="1"/>
    <col min="5" max="5" width="9.140625" style="134"/>
    <col min="6" max="6" width="1.5703125" style="134" customWidth="1"/>
    <col min="7" max="7" width="9.140625" style="134"/>
    <col min="8" max="8" width="21" style="134" bestFit="1" customWidth="1"/>
    <col min="9" max="9" width="25" style="134" bestFit="1" customWidth="1"/>
    <col min="10" max="10" width="16" style="134" bestFit="1" customWidth="1"/>
    <col min="11" max="11" width="21" style="134" bestFit="1" customWidth="1"/>
    <col min="12" max="12" width="16" style="134" bestFit="1" customWidth="1"/>
    <col min="13" max="15" width="17.7109375" style="134" bestFit="1" customWidth="1"/>
    <col min="16" max="16" width="16" style="134" bestFit="1" customWidth="1"/>
    <col min="17" max="16384" width="9.140625" style="134"/>
  </cols>
  <sheetData>
    <row r="1" spans="1:14" ht="26.25" x14ac:dyDescent="0.4">
      <c r="A1" s="136" t="s">
        <v>2019</v>
      </c>
      <c r="B1"/>
      <c r="C1"/>
      <c r="D1"/>
      <c r="E1"/>
      <c r="G1"/>
      <c r="H1" s="136" t="s">
        <v>2020</v>
      </c>
      <c r="I1"/>
      <c r="J1"/>
      <c r="K1"/>
      <c r="L1"/>
    </row>
    <row r="2" spans="1:14" ht="67.5" customHeight="1" thickBot="1" x14ac:dyDescent="0.3">
      <c r="A2" s="247" t="s">
        <v>2021</v>
      </c>
      <c r="B2" s="247"/>
      <c r="C2" s="247"/>
      <c r="D2" s="247"/>
      <c r="E2"/>
      <c r="G2"/>
      <c r="H2" s="247" t="s">
        <v>2022</v>
      </c>
      <c r="I2" s="247"/>
      <c r="J2" s="247"/>
      <c r="K2" s="247"/>
      <c r="L2" s="178"/>
      <c r="M2" s="179"/>
      <c r="N2" s="179"/>
    </row>
    <row r="3" spans="1:14" ht="15.75" thickBot="1" x14ac:dyDescent="0.3">
      <c r="A3" s="231" t="s">
        <v>31</v>
      </c>
      <c r="B3" s="231" t="s">
        <v>1973</v>
      </c>
      <c r="C3" s="231" t="s">
        <v>1863</v>
      </c>
      <c r="D3" s="229" t="s">
        <v>1925</v>
      </c>
      <c r="E3"/>
      <c r="G3"/>
      <c r="H3"/>
      <c r="I3"/>
      <c r="J3"/>
      <c r="K3"/>
      <c r="L3"/>
    </row>
    <row r="4" spans="1:14" ht="15.75" thickBot="1" x14ac:dyDescent="0.3">
      <c r="A4" s="232" t="s">
        <v>2023</v>
      </c>
      <c r="B4" s="232" t="s">
        <v>2024</v>
      </c>
      <c r="C4" s="233" t="str">
        <f>IF(ISERROR(C83),"--",IF(C83=0,"--",_xlfn.CONCAT("$",C83,"M")))</f>
        <v>--</v>
      </c>
      <c r="D4" s="234" t="str">
        <f>IF(ISERROR(D83),"--",IF(D83=0,"--",_xlfn.CONCAT("$",D83,"M")))</f>
        <v>$0.84M</v>
      </c>
      <c r="E4"/>
      <c r="G4"/>
      <c r="H4"/>
      <c r="I4"/>
      <c r="J4"/>
      <c r="K4"/>
      <c r="L4"/>
    </row>
    <row r="5" spans="1:14" ht="15.75" thickBot="1" x14ac:dyDescent="0.3">
      <c r="A5" s="232" t="s">
        <v>442</v>
      </c>
      <c r="B5" s="232" t="s">
        <v>2025</v>
      </c>
      <c r="C5" s="233" t="str">
        <f>IF(ISERROR(C84),"--",IF(ISERROR(C86),"--",IF(C84=0,"--",_xlfn.CONCAT("$",C84,"M (± $",C86,"M)"))))</f>
        <v>--</v>
      </c>
      <c r="D5" s="234" t="str">
        <f>IF(ISERROR(D84),"--",IF(ISERROR(D86),"--",IF(D84=0,"--",_xlfn.CONCAT("$",D84,"M (± $",D86,"M)"))))</f>
        <v>--</v>
      </c>
      <c r="E5"/>
      <c r="G5"/>
      <c r="H5"/>
      <c r="I5"/>
      <c r="J5"/>
      <c r="K5"/>
      <c r="L5"/>
    </row>
    <row r="6" spans="1:14" ht="15.75" thickBot="1" x14ac:dyDescent="0.3">
      <c r="A6" s="232"/>
      <c r="B6" s="232" t="s">
        <v>1992</v>
      </c>
      <c r="C6" s="233" t="str">
        <f>IF(C85=0,"--",C85)</f>
        <v>--</v>
      </c>
      <c r="D6" s="234">
        <f>IF(D85=0,"--",D85)</f>
        <v>1</v>
      </c>
      <c r="E6"/>
      <c r="G6"/>
      <c r="H6"/>
      <c r="I6"/>
      <c r="J6"/>
      <c r="K6"/>
      <c r="L6"/>
    </row>
    <row r="7" spans="1:14" ht="15.75" thickBot="1" x14ac:dyDescent="0.3">
      <c r="A7" s="232" t="s">
        <v>2026</v>
      </c>
      <c r="B7" s="232" t="s">
        <v>2024</v>
      </c>
      <c r="C7" s="233" t="str">
        <f>IF(ISERROR(C87),"--",IF(C87=0,"--",_xlfn.CONCAT("$",C87,"M")))</f>
        <v>$9.8M</v>
      </c>
      <c r="D7" s="234" t="str">
        <f>IF(ISERROR(D87),"--",IF(D87=0,"--",_xlfn.CONCAT("$",D87,"M")))</f>
        <v>$6.6M</v>
      </c>
      <c r="E7"/>
      <c r="G7"/>
      <c r="H7"/>
      <c r="I7"/>
      <c r="J7"/>
      <c r="K7"/>
      <c r="L7"/>
    </row>
    <row r="8" spans="1:14" ht="15.75" thickBot="1" x14ac:dyDescent="0.3">
      <c r="A8" s="232" t="s">
        <v>1457</v>
      </c>
      <c r="B8" s="232" t="s">
        <v>2025</v>
      </c>
      <c r="C8" s="233" t="str">
        <f>IF(ISERROR(C88),"--",IF(ISERROR(C90),"--",IF(C88=0,"--",_xlfn.CONCAT("$",C88,"M (± $",C90,"M)"))))</f>
        <v>$4.9M (± $0.79M)</v>
      </c>
      <c r="D8" s="234" t="str">
        <f>IF(ISERROR(D88),"--",IF(ISERROR(D90),"--",IF(D88=0,"--",_xlfn.CONCAT("$",D88,"M (± $",D90,"M)"))))</f>
        <v>--</v>
      </c>
      <c r="E8"/>
      <c r="G8"/>
      <c r="H8"/>
      <c r="I8"/>
      <c r="J8"/>
      <c r="K8"/>
      <c r="L8"/>
    </row>
    <row r="9" spans="1:14" ht="15.75" thickBot="1" x14ac:dyDescent="0.3">
      <c r="A9" s="232"/>
      <c r="B9" s="232" t="s">
        <v>1992</v>
      </c>
      <c r="C9" s="233">
        <f>IF(C89=0,"--",C89)</f>
        <v>2</v>
      </c>
      <c r="D9" s="234">
        <f>IF(D89=0,"--",D89)</f>
        <v>1</v>
      </c>
      <c r="E9"/>
      <c r="G9"/>
      <c r="H9"/>
      <c r="I9"/>
      <c r="J9"/>
      <c r="K9"/>
      <c r="L9"/>
    </row>
    <row r="10" spans="1:14" ht="15.75" thickBot="1" x14ac:dyDescent="0.3">
      <c r="A10" s="232" t="s">
        <v>2027</v>
      </c>
      <c r="B10" s="232" t="s">
        <v>2024</v>
      </c>
      <c r="C10" s="233" t="str">
        <f>IF(ISERROR(C91),"--",IF(C91=0,"--",_xlfn.CONCAT("$",C91,"M")))</f>
        <v>$1.1M</v>
      </c>
      <c r="D10" s="234" t="str">
        <f>IF(ISERROR(D91),"--",IF(D91=0,"--",_xlfn.CONCAT("$",D91,"M")))</f>
        <v>$4.6M</v>
      </c>
      <c r="E10"/>
      <c r="G10"/>
      <c r="H10"/>
      <c r="I10"/>
      <c r="J10"/>
      <c r="K10"/>
      <c r="L10"/>
    </row>
    <row r="11" spans="1:14" ht="15.75" thickBot="1" x14ac:dyDescent="0.3">
      <c r="A11" s="232" t="s">
        <v>443</v>
      </c>
      <c r="B11" s="232" t="s">
        <v>2025</v>
      </c>
      <c r="C11" s="233" t="str">
        <f>IF(ISERROR(C92),"--",IF(ISERROR(C94),"--",IF(C92=0,"--",_xlfn.CONCAT("$",C92,"M (± $",C94,"M)"))))</f>
        <v>--</v>
      </c>
      <c r="D11" s="234" t="str">
        <f>IF(ISERROR(D92),"--",IF(ISERROR(D94),"--",IF(D92=0,"--",_xlfn.CONCAT("$",D92,"M (± $",D94,"M)"))))</f>
        <v>--</v>
      </c>
      <c r="E11"/>
      <c r="G11"/>
      <c r="H11"/>
      <c r="I11"/>
      <c r="J11"/>
      <c r="K11"/>
      <c r="L11"/>
    </row>
    <row r="12" spans="1:14" ht="15.75" thickBot="1" x14ac:dyDescent="0.3">
      <c r="A12" s="232"/>
      <c r="B12" s="232" t="s">
        <v>1992</v>
      </c>
      <c r="C12" s="233">
        <f>IF(C93=0,"--",C93)</f>
        <v>1</v>
      </c>
      <c r="D12" s="234">
        <f>IF(D93=0,"--",D93)</f>
        <v>1</v>
      </c>
      <c r="E12"/>
      <c r="G12"/>
      <c r="H12"/>
      <c r="I12"/>
      <c r="J12"/>
      <c r="K12"/>
      <c r="L12"/>
    </row>
    <row r="13" spans="1:14" ht="15.75" thickBot="1" x14ac:dyDescent="0.3">
      <c r="A13" s="232" t="s">
        <v>2028</v>
      </c>
      <c r="B13" s="232" t="s">
        <v>2024</v>
      </c>
      <c r="C13" s="233" t="str">
        <f>IF(ISERROR(C95),"--",IF(C95=0,"--",_xlfn.CONCAT("$",C95,"M")))</f>
        <v>$420M</v>
      </c>
      <c r="D13" s="234" t="str">
        <f>IF(ISERROR(D95),"--",IF(D95=0,"--",_xlfn.CONCAT("$",D95,"M")))</f>
        <v>$300M</v>
      </c>
      <c r="E13"/>
      <c r="G13"/>
      <c r="H13"/>
      <c r="I13"/>
      <c r="J13"/>
      <c r="K13"/>
      <c r="L13"/>
    </row>
    <row r="14" spans="1:14" ht="15.75" thickBot="1" x14ac:dyDescent="0.3">
      <c r="A14" s="232" t="s">
        <v>12</v>
      </c>
      <c r="B14" s="232" t="s">
        <v>2025</v>
      </c>
      <c r="C14" s="233" t="str">
        <f>IF(ISERROR(C96),"--",IF(ISERROR(C98),"--",IF(C96=0,"--",_xlfn.CONCAT("$",C96,"M (± $",C98,"M)"))))</f>
        <v>$4.6M (± $15M)</v>
      </c>
      <c r="D14" s="234" t="str">
        <f>IF(ISERROR(D96),"--",IF(ISERROR(D98),"--",IF(D96=0,"--",_xlfn.CONCAT("$",D96,"M (± $",D98,"M)"))))</f>
        <v>$3.8M (± $12M)</v>
      </c>
      <c r="E14"/>
      <c r="G14"/>
      <c r="H14"/>
      <c r="I14"/>
      <c r="J14"/>
      <c r="K14"/>
      <c r="L14"/>
    </row>
    <row r="15" spans="1:14" ht="15.75" thickBot="1" x14ac:dyDescent="0.3">
      <c r="A15" s="232"/>
      <c r="B15" s="232" t="s">
        <v>1992</v>
      </c>
      <c r="C15" s="233">
        <f>IF(C97=0,"--",C97)</f>
        <v>90</v>
      </c>
      <c r="D15" s="234">
        <f>IF(D97=0,"--",D97)</f>
        <v>78</v>
      </c>
      <c r="E15"/>
      <c r="G15"/>
      <c r="H15"/>
      <c r="I15"/>
      <c r="J15"/>
      <c r="K15"/>
      <c r="L15"/>
    </row>
    <row r="16" spans="1:14" ht="15.75" thickBot="1" x14ac:dyDescent="0.3">
      <c r="A16" s="232" t="s">
        <v>2029</v>
      </c>
      <c r="B16" s="232" t="s">
        <v>2024</v>
      </c>
      <c r="C16" s="233" t="str">
        <f>IF(ISERROR(C99),"--",IF(C99=0,"--",_xlfn.CONCAT("$",C99,"M")))</f>
        <v>$130M</v>
      </c>
      <c r="D16" s="234" t="str">
        <f>IF(ISERROR(D99),"--",IF(D99=0,"--",_xlfn.CONCAT("$",D99,"M")))</f>
        <v>$140M</v>
      </c>
      <c r="E16"/>
      <c r="G16"/>
      <c r="H16"/>
      <c r="I16"/>
      <c r="J16"/>
      <c r="K16"/>
      <c r="L16"/>
    </row>
    <row r="17" spans="1:12" ht="15.75" thickBot="1" x14ac:dyDescent="0.3">
      <c r="A17" s="232" t="s">
        <v>445</v>
      </c>
      <c r="B17" s="232" t="s">
        <v>2025</v>
      </c>
      <c r="C17" s="233" t="str">
        <f>IF(ISERROR(C100),"--",IF(ISERROR(C102),"--",IF(C100=0,"--",_xlfn.CONCAT("$",C100,"M (± $",C102,"M)"))))</f>
        <v>$12M (± $15M)</v>
      </c>
      <c r="D17" s="234" t="str">
        <f>IF(ISERROR(D100),"--",IF(ISERROR(D102),"--",IF(D100=0,"--",_xlfn.CONCAT("$",D100,"M (± $",D102,"M)"))))</f>
        <v>$11M (± $12M)</v>
      </c>
      <c r="E17"/>
      <c r="G17"/>
      <c r="H17"/>
      <c r="I17"/>
      <c r="J17"/>
      <c r="K17"/>
      <c r="L17"/>
    </row>
    <row r="18" spans="1:12" ht="15.75" thickBot="1" x14ac:dyDescent="0.3">
      <c r="A18" s="232"/>
      <c r="B18" s="232" t="s">
        <v>1992</v>
      </c>
      <c r="C18" s="233">
        <f>IF(C101=0,"--",C101)</f>
        <v>11</v>
      </c>
      <c r="D18" s="234">
        <f>IF(D101=0,"--",D101)</f>
        <v>13</v>
      </c>
      <c r="E18"/>
      <c r="G18"/>
      <c r="H18"/>
      <c r="I18"/>
      <c r="J18"/>
      <c r="K18"/>
      <c r="L18"/>
    </row>
    <row r="19" spans="1:12" ht="15.75" thickBot="1" x14ac:dyDescent="0.3">
      <c r="A19" s="232" t="s">
        <v>2030</v>
      </c>
      <c r="B19" s="232" t="s">
        <v>2024</v>
      </c>
      <c r="C19" s="233" t="str">
        <f>IF(ISERROR(C103),"--",IF(C103=0,"--",_xlfn.CONCAT("$",C103,"M")))</f>
        <v>--</v>
      </c>
      <c r="D19" s="234" t="str">
        <f>IF(ISERROR(D103),"--",IF(D103=0,"--",_xlfn.CONCAT("$",D103,"M")))</f>
        <v>--</v>
      </c>
      <c r="E19"/>
      <c r="G19"/>
      <c r="H19"/>
      <c r="I19"/>
      <c r="J19"/>
      <c r="K19"/>
      <c r="L19"/>
    </row>
    <row r="20" spans="1:12" ht="15.75" thickBot="1" x14ac:dyDescent="0.3">
      <c r="A20" s="232" t="s">
        <v>1458</v>
      </c>
      <c r="B20" s="232" t="s">
        <v>2025</v>
      </c>
      <c r="C20" s="233" t="str">
        <f>IF(ISERROR(C104),"--",IF(ISERROR(C106),"--",IF(C104=0,"--",_xlfn.CONCAT("$",C104,"M (± $",C106,"M)"))))</f>
        <v>--</v>
      </c>
      <c r="D20" s="234" t="str">
        <f>IF(ISERROR(D104),"--",IF(ISERROR(D106),"--",IF(D104=0,"--",_xlfn.CONCAT("$",D104,"M (± $",D106,"M)"))))</f>
        <v>--</v>
      </c>
      <c r="E20"/>
      <c r="G20"/>
      <c r="H20"/>
      <c r="I20"/>
      <c r="J20"/>
      <c r="K20"/>
      <c r="L20"/>
    </row>
    <row r="21" spans="1:12" ht="15.75" thickBot="1" x14ac:dyDescent="0.3">
      <c r="A21" s="232"/>
      <c r="B21" s="232" t="s">
        <v>1992</v>
      </c>
      <c r="C21" s="233" t="str">
        <f>IF(C105=0,"--",C105)</f>
        <v>--</v>
      </c>
      <c r="D21" s="234" t="str">
        <f>IF(D105=0,"--",D105)</f>
        <v>--</v>
      </c>
      <c r="E21"/>
      <c r="G21"/>
      <c r="H21"/>
      <c r="I21"/>
      <c r="J21"/>
      <c r="K21"/>
      <c r="L21"/>
    </row>
    <row r="22" spans="1:12" ht="15.75" thickBot="1" x14ac:dyDescent="0.3">
      <c r="A22" s="232" t="s">
        <v>2031</v>
      </c>
      <c r="B22" s="232" t="s">
        <v>2024</v>
      </c>
      <c r="C22" s="233" t="str">
        <f>IF(ISERROR(C107),"--",IF(C107=0,"--",_xlfn.CONCAT("$",C107,"M")))</f>
        <v>$0.16M</v>
      </c>
      <c r="D22" s="234" t="str">
        <f>IF(ISERROR(D107),"--",IF(D107=0,"--",_xlfn.CONCAT("$",D107,"M")))</f>
        <v>$0.15M</v>
      </c>
      <c r="E22"/>
      <c r="G22"/>
      <c r="H22"/>
      <c r="I22"/>
      <c r="J22"/>
      <c r="K22"/>
      <c r="L22"/>
    </row>
    <row r="23" spans="1:12" ht="15.75" thickBot="1" x14ac:dyDescent="0.3">
      <c r="A23" s="232" t="s">
        <v>1459</v>
      </c>
      <c r="B23" s="232" t="s">
        <v>2025</v>
      </c>
      <c r="C23" s="233" t="str">
        <f>IF(ISERROR(C108),"--",IF(ISERROR(C110),"--",IF(C108=0,"--",_xlfn.CONCAT("$",C108,"M (± $",C110,"M)"))))</f>
        <v>--</v>
      </c>
      <c r="D23" s="234" t="str">
        <f>IF(ISERROR(D108),"--",IF(ISERROR(D110),"--",IF(D108=0,"--",_xlfn.CONCAT("$",D108,"M (± $",D110,"M)"))))</f>
        <v>--</v>
      </c>
      <c r="E23"/>
      <c r="G23"/>
      <c r="H23"/>
      <c r="I23"/>
      <c r="J23"/>
      <c r="K23"/>
      <c r="L23"/>
    </row>
    <row r="24" spans="1:12" ht="15.75" thickBot="1" x14ac:dyDescent="0.3">
      <c r="A24" s="232"/>
      <c r="B24" s="232" t="s">
        <v>1992</v>
      </c>
      <c r="C24" s="233">
        <f>IF(C109=0,"--",C109)</f>
        <v>1</v>
      </c>
      <c r="D24" s="234">
        <f>IF(D109=0,"--",D109)</f>
        <v>1</v>
      </c>
      <c r="E24"/>
      <c r="G24"/>
      <c r="H24"/>
      <c r="I24"/>
      <c r="J24"/>
      <c r="K24"/>
      <c r="L24"/>
    </row>
    <row r="25" spans="1:12" ht="15.75" thickBot="1" x14ac:dyDescent="0.3">
      <c r="A25" s="232" t="s">
        <v>2032</v>
      </c>
      <c r="B25" s="232" t="s">
        <v>2024</v>
      </c>
      <c r="C25" s="233" t="str">
        <f>IF(ISERROR(C111),"--",IF(C111=0,"--",_xlfn.CONCAT("$",C111,"M")))</f>
        <v>$220M</v>
      </c>
      <c r="D25" s="234" t="str">
        <f>IF(ISERROR(D111),"--",IF(D111=0,"--",_xlfn.CONCAT("$",D111,"M")))</f>
        <v>$130M</v>
      </c>
      <c r="E25"/>
      <c r="G25"/>
      <c r="H25"/>
      <c r="I25"/>
      <c r="J25"/>
      <c r="K25"/>
      <c r="L25"/>
    </row>
    <row r="26" spans="1:12" ht="15.75" thickBot="1" x14ac:dyDescent="0.3">
      <c r="A26" s="232" t="s">
        <v>290</v>
      </c>
      <c r="B26" s="232" t="s">
        <v>2025</v>
      </c>
      <c r="C26" s="233" t="str">
        <f>IF(ISERROR(C112),"--",IF(ISERROR(C114),"--",IF(C112=0,"--",_xlfn.CONCAT("$",C112,"M (± $",C114,"M)"))))</f>
        <v>$3.9M (± $12M)</v>
      </c>
      <c r="D26" s="234" t="str">
        <f>IF(ISERROR(D112),"--",IF(ISERROR(D114),"--",IF(D112=0,"--",_xlfn.CONCAT("$",D112,"M (± $",D114,"M)"))))</f>
        <v>$2.3M (± $4.6M)</v>
      </c>
      <c r="E26"/>
      <c r="G26"/>
      <c r="H26"/>
      <c r="I26"/>
      <c r="J26"/>
      <c r="K26"/>
      <c r="L26"/>
    </row>
    <row r="27" spans="1:12" ht="15.75" thickBot="1" x14ac:dyDescent="0.3">
      <c r="A27" s="232"/>
      <c r="B27" s="232" t="s">
        <v>1992</v>
      </c>
      <c r="C27" s="233">
        <f>IF(C113=0,"--",C113)</f>
        <v>58</v>
      </c>
      <c r="D27" s="234">
        <f>IF(D113=0,"--",D113)</f>
        <v>58</v>
      </c>
      <c r="E27"/>
      <c r="G27"/>
      <c r="H27"/>
      <c r="I27"/>
      <c r="J27"/>
      <c r="K27"/>
      <c r="L27"/>
    </row>
    <row r="28" spans="1:12" ht="15.75" thickBot="1" x14ac:dyDescent="0.3">
      <c r="A28" s="232" t="s">
        <v>2033</v>
      </c>
      <c r="B28" s="232" t="s">
        <v>2024</v>
      </c>
      <c r="C28" s="233" t="str">
        <f>IF(ISERROR(C115),"--",IF(C115=0,"--",_xlfn.CONCAT("$",C115,"M")))</f>
        <v>$30M</v>
      </c>
      <c r="D28" s="234" t="str">
        <f>IF(ISERROR(D115),"--",IF(D115=0,"--",_xlfn.CONCAT("$",D115,"M")))</f>
        <v>$180M</v>
      </c>
      <c r="E28"/>
      <c r="G28"/>
      <c r="H28"/>
      <c r="I28"/>
      <c r="J28"/>
      <c r="K28"/>
      <c r="L28"/>
    </row>
    <row r="29" spans="1:12" ht="15.75" thickBot="1" x14ac:dyDescent="0.3">
      <c r="A29" s="232" t="s">
        <v>21</v>
      </c>
      <c r="B29" s="232" t="s">
        <v>2025</v>
      </c>
      <c r="C29" s="233" t="str">
        <f>IF(ISERROR(C116),"--",IF(ISERROR(C118),"--",IF(C116=0,"--",_xlfn.CONCAT("$",C116,"M (± $",C118,"M)"))))</f>
        <v>$2M (± $1.6M)</v>
      </c>
      <c r="D29" s="234" t="str">
        <f>IF(ISERROR(D116),"--",IF(ISERROR(D118),"--",IF(D116=0,"--",_xlfn.CONCAT("$",D116,"M (± $",D118,"M)"))))</f>
        <v>$5.4M (± $14M)</v>
      </c>
      <c r="E29"/>
      <c r="G29"/>
      <c r="H29"/>
      <c r="I29"/>
      <c r="J29"/>
      <c r="K29"/>
      <c r="L29"/>
    </row>
    <row r="30" spans="1:12" ht="15.75" thickBot="1" x14ac:dyDescent="0.3">
      <c r="A30" s="232"/>
      <c r="B30" s="232" t="s">
        <v>1992</v>
      </c>
      <c r="C30" s="233">
        <f>IF(C117=0,"--",C117)</f>
        <v>15</v>
      </c>
      <c r="D30" s="234">
        <f>IF(D117=0,"--",D117)</f>
        <v>33</v>
      </c>
      <c r="E30"/>
      <c r="G30"/>
      <c r="H30"/>
      <c r="I30"/>
      <c r="J30"/>
      <c r="K30"/>
      <c r="L30"/>
    </row>
    <row r="31" spans="1:12" ht="15.75" thickBot="1" x14ac:dyDescent="0.3">
      <c r="A31" s="235" t="s">
        <v>2034</v>
      </c>
      <c r="B31" s="235" t="s">
        <v>2035</v>
      </c>
      <c r="C31" s="236" t="str">
        <f>_xlfn.CONCAT("$",C119,"M")</f>
        <v>$810M</v>
      </c>
      <c r="D31" s="230" t="str">
        <f>_xlfn.CONCAT("$",D119,"M")</f>
        <v>$770M</v>
      </c>
      <c r="E31"/>
      <c r="G31"/>
      <c r="H31"/>
      <c r="I31"/>
      <c r="J31"/>
      <c r="K31"/>
      <c r="L31"/>
    </row>
    <row r="32" spans="1:12" x14ac:dyDescent="0.25">
      <c r="A32"/>
      <c r="B32"/>
      <c r="C32"/>
      <c r="D32"/>
      <c r="E32"/>
      <c r="G32"/>
      <c r="H32"/>
      <c r="I32"/>
      <c r="J32"/>
      <c r="K32"/>
      <c r="L32"/>
    </row>
    <row r="33" spans="1:12" x14ac:dyDescent="0.25">
      <c r="A33"/>
      <c r="B33"/>
      <c r="C33"/>
      <c r="D33"/>
      <c r="E33"/>
      <c r="G33"/>
      <c r="H33"/>
      <c r="I33"/>
      <c r="J33"/>
      <c r="K33"/>
      <c r="L33"/>
    </row>
    <row r="34" spans="1:12" x14ac:dyDescent="0.25">
      <c r="A34"/>
      <c r="B34"/>
      <c r="C34"/>
      <c r="D34"/>
      <c r="E34"/>
      <c r="G34"/>
      <c r="H34"/>
      <c r="I34"/>
      <c r="J34"/>
      <c r="K34"/>
      <c r="L34"/>
    </row>
    <row r="35" spans="1:12" x14ac:dyDescent="0.25">
      <c r="A35"/>
      <c r="B35"/>
      <c r="C35"/>
      <c r="D35"/>
      <c r="E35"/>
      <c r="G35"/>
      <c r="H35"/>
      <c r="I35"/>
      <c r="J35"/>
      <c r="K35"/>
      <c r="L35"/>
    </row>
    <row r="36" spans="1:12" x14ac:dyDescent="0.25">
      <c r="A36"/>
      <c r="B36"/>
      <c r="C36"/>
      <c r="D36"/>
      <c r="E36"/>
      <c r="G36"/>
      <c r="H36"/>
      <c r="I36"/>
      <c r="J36"/>
      <c r="K36"/>
      <c r="L36"/>
    </row>
    <row r="37" spans="1:12" x14ac:dyDescent="0.25">
      <c r="A37"/>
      <c r="B37"/>
      <c r="C37"/>
      <c r="D37"/>
      <c r="E37"/>
      <c r="G37"/>
      <c r="H37"/>
      <c r="I37"/>
      <c r="J37"/>
      <c r="K37"/>
      <c r="L37"/>
    </row>
    <row r="38" spans="1:12" x14ac:dyDescent="0.25">
      <c r="A38"/>
      <c r="B38"/>
      <c r="C38"/>
      <c r="D38"/>
      <c r="E38"/>
      <c r="G38"/>
      <c r="H38"/>
      <c r="I38"/>
      <c r="J38"/>
      <c r="K38"/>
      <c r="L38"/>
    </row>
    <row r="39" spans="1:12" ht="15.75" thickBot="1" x14ac:dyDescent="0.3">
      <c r="A39"/>
      <c r="B39"/>
      <c r="C39"/>
      <c r="D39"/>
      <c r="E39"/>
      <c r="G39"/>
      <c r="H39"/>
      <c r="I39"/>
      <c r="J39"/>
      <c r="K39"/>
      <c r="L39"/>
    </row>
    <row r="40" spans="1:12" s="147" customFormat="1" x14ac:dyDescent="0.25">
      <c r="A40" s="172"/>
      <c r="B40" s="172"/>
      <c r="C40" s="172"/>
      <c r="D40" s="172"/>
      <c r="E40" s="172"/>
      <c r="G40" s="172"/>
      <c r="H40" s="172"/>
      <c r="I40" s="172"/>
      <c r="J40" s="172"/>
      <c r="K40" s="172"/>
      <c r="L40" s="172"/>
    </row>
    <row r="41" spans="1:12" ht="21" x14ac:dyDescent="0.35">
      <c r="A41" s="148" t="s">
        <v>1996</v>
      </c>
      <c r="B41"/>
      <c r="C41"/>
      <c r="D41"/>
      <c r="E41"/>
      <c r="G41"/>
      <c r="H41" s="148" t="s">
        <v>1925</v>
      </c>
      <c r="I41"/>
      <c r="J41"/>
      <c r="K41"/>
      <c r="L41"/>
    </row>
    <row r="42" spans="1:12" x14ac:dyDescent="0.25">
      <c r="A42" t="s">
        <v>31</v>
      </c>
      <c r="B42" t="s">
        <v>1973</v>
      </c>
      <c r="C42" t="s">
        <v>2036</v>
      </c>
      <c r="D42" t="s">
        <v>2037</v>
      </c>
      <c r="E42"/>
      <c r="G42"/>
      <c r="H42" s="150" t="s">
        <v>1852</v>
      </c>
      <c r="I42" s="221" t="s" vm="5">
        <v>1853</v>
      </c>
      <c r="J42"/>
      <c r="K42"/>
      <c r="L42"/>
    </row>
    <row r="43" spans="1:12" x14ac:dyDescent="0.25">
      <c r="A43" t="s">
        <v>2023</v>
      </c>
      <c r="B43" t="s">
        <v>2024</v>
      </c>
      <c r="C43">
        <f t="array" ref="C43">SUM(IF(Budgets[Regional Board]="North Coast",IF(Budgets[Representative Year]="YES",Budgets[2018 $ Value])))</f>
        <v>0</v>
      </c>
      <c r="D43">
        <f t="array" ref="D43">SUM(IF(Expenditures[Regional Board]="North Coast",IF(Expenditures[Representative Year]="YES",Expenditures[2018 $ Value])))</f>
        <v>837994.9477210301</v>
      </c>
      <c r="E43"/>
      <c r="G43"/>
      <c r="H43" s="12"/>
      <c r="I43"/>
      <c r="J43"/>
      <c r="K43"/>
      <c r="L43"/>
    </row>
    <row r="44" spans="1:12" x14ac:dyDescent="0.25">
      <c r="A44" t="s">
        <v>442</v>
      </c>
      <c r="B44" t="s">
        <v>2025</v>
      </c>
      <c r="C44" t="e">
        <f t="array" ref="C44">AVERAGE(IF(Budgets[Regional Board]="North Coast",IF(Budgets[Representative Year]="YES",Budgets[2018 $ Value])))</f>
        <v>#DIV/0!</v>
      </c>
      <c r="D44">
        <f t="array" ref="D44">AVERAGE(IF(Expenditures[Regional Board]="North Coast",IF(Expenditures[Representative Year]="YES",Expenditures[2018 $ Value])))</f>
        <v>837994.9477210301</v>
      </c>
      <c r="E44"/>
      <c r="G44"/>
      <c r="H44" s="150" t="s">
        <v>1956</v>
      </c>
      <c r="I44" t="s">
        <v>2038</v>
      </c>
      <c r="J44"/>
      <c r="K44"/>
      <c r="L44"/>
    </row>
    <row r="45" spans="1:12" x14ac:dyDescent="0.25">
      <c r="A45"/>
      <c r="B45" t="s">
        <v>1992</v>
      </c>
      <c r="C45">
        <f t="array" ref="C45">COUNT(IF(Budgets[Regional Board]="North Coast",IF(Budgets[Representative Year]="YES",Budgets[2018 $ Value])))</f>
        <v>0</v>
      </c>
      <c r="D45">
        <f t="array" ref="D45">COUNT(IF(Expenditures[Regional Board]="North Coast",IF(Expenditures[Representative Year]="YES",Expenditures[2018 $ Value])))</f>
        <v>1</v>
      </c>
      <c r="E45"/>
      <c r="G45"/>
      <c r="H45" s="44" t="s">
        <v>443</v>
      </c>
      <c r="I45" s="175">
        <v>4577600.1080783363</v>
      </c>
      <c r="J45" s="10"/>
      <c r="K45" s="140"/>
      <c r="L45"/>
    </row>
    <row r="46" spans="1:12" x14ac:dyDescent="0.25">
      <c r="A46"/>
      <c r="B46" t="s">
        <v>2039</v>
      </c>
      <c r="C46" t="e">
        <f t="array" ref="C46">_xlfn.STDEV.S(IF(Budgets[Regional Board]="North Coast",IF(Budgets[Representative Year]="YES",Budgets[2018 $ Value])))</f>
        <v>#DIV/0!</v>
      </c>
      <c r="D46" t="e">
        <f t="array" ref="D46">_xlfn.STDEV.S(IF(Expenditures[Regional Board]="North Coast",IF(Expenditures[Representative Year]="YES",Expenditures[2018 $ Value])))</f>
        <v>#DIV/0!</v>
      </c>
      <c r="E46"/>
      <c r="G46"/>
      <c r="H46" s="44" t="s">
        <v>445</v>
      </c>
      <c r="I46" s="175">
        <v>142729015.8818672</v>
      </c>
      <c r="J46" s="10"/>
      <c r="K46" s="140"/>
      <c r="L46"/>
    </row>
    <row r="47" spans="1:12" x14ac:dyDescent="0.25">
      <c r="A47" t="s">
        <v>2026</v>
      </c>
      <c r="B47" t="s">
        <v>2024</v>
      </c>
      <c r="C47">
        <f t="array" ref="C47">SUM(IF(Budgets[Regional Board]="San Francisco Bay",IF(Budgets[Representative Year]="YES",Budgets[2018 $ Value])))</f>
        <v>9751158</v>
      </c>
      <c r="D47">
        <f t="array" ref="D47">SUM(IF(Expenditures[Regional Board]="San Francisco Bay",IF(Expenditures[Representative Year]="YES",Expenditures[2018 $ Value])))</f>
        <v>6566244.7263157899</v>
      </c>
      <c r="E47"/>
      <c r="G47"/>
      <c r="H47" s="44" t="s">
        <v>1459</v>
      </c>
      <c r="I47" s="175">
        <v>153760.34354430379</v>
      </c>
      <c r="J47" s="10"/>
      <c r="K47" s="140"/>
      <c r="L47"/>
    </row>
    <row r="48" spans="1:12" x14ac:dyDescent="0.25">
      <c r="A48" t="s">
        <v>1457</v>
      </c>
      <c r="B48" t="s">
        <v>2025</v>
      </c>
      <c r="C48">
        <f t="array" ref="C48">AVERAGE(IF(Budgets[Regional Board]="San Francisco Bay",IF(Budgets[Representative Year]="YES",Budgets[2018 $ Value])))</f>
        <v>4875579</v>
      </c>
      <c r="D48">
        <f t="array" ref="D48">AVERAGE(IF(Expenditures[Regional Board]="San Francisco Bay",IF(Expenditures[Representative Year]="YES",Expenditures[2018 $ Value])))</f>
        <v>6566244.7263157899</v>
      </c>
      <c r="E48"/>
      <c r="G48"/>
      <c r="H48" s="44" t="s">
        <v>12</v>
      </c>
      <c r="I48" s="175">
        <v>297148942.12325698</v>
      </c>
      <c r="J48" s="10"/>
      <c r="K48" s="140"/>
      <c r="L48"/>
    </row>
    <row r="49" spans="1:12" x14ac:dyDescent="0.25">
      <c r="A49"/>
      <c r="B49" t="s">
        <v>1992</v>
      </c>
      <c r="C49">
        <f t="array" ref="C49">COUNT(IF(Budgets[Regional Board]="San Francisco Bay",IF(Budgets[Representative Year]="YES",Budgets[2018 $ Value])))</f>
        <v>2</v>
      </c>
      <c r="D49">
        <f t="array" ref="D49">COUNT(IF(Expenditures[Regional Board]="San Francisco Bay",IF(Expenditures[Representative Year]="YES",Expenditures[2018 $ Value])))</f>
        <v>1</v>
      </c>
      <c r="E49"/>
      <c r="G49"/>
      <c r="H49" s="44" t="s">
        <v>442</v>
      </c>
      <c r="I49" s="175">
        <v>837994.9477210301</v>
      </c>
      <c r="J49" s="10"/>
      <c r="K49" s="140"/>
      <c r="L49"/>
    </row>
    <row r="50" spans="1:12" x14ac:dyDescent="0.25">
      <c r="A50"/>
      <c r="B50" t="s">
        <v>2039</v>
      </c>
      <c r="C50">
        <f t="array" ref="C50">_xlfn.STDEV.S(IF(Budgets[Regional Board]="San Francisco Bay",IF(Budgets[Representative Year]="YES",Budgets[2018 $ Value])))</f>
        <v>794889.8454301703</v>
      </c>
      <c r="D50" t="e">
        <f t="array" ref="D50">_xlfn.STDEV.S(IF(Expenditures[Regional Board]="San Francisco Bay",IF(Expenditures[Representative Year]="YES",Expenditures[2018 $ Value])))</f>
        <v>#DIV/0!</v>
      </c>
      <c r="E50"/>
      <c r="G50"/>
      <c r="H50" s="44" t="s">
        <v>21</v>
      </c>
      <c r="I50" s="175">
        <v>179131231.17446607</v>
      </c>
      <c r="J50" s="10"/>
      <c r="K50" s="140"/>
      <c r="L50"/>
    </row>
    <row r="51" spans="1:12" x14ac:dyDescent="0.25">
      <c r="A51" t="s">
        <v>2027</v>
      </c>
      <c r="B51" t="s">
        <v>2024</v>
      </c>
      <c r="C51">
        <f t="array" ref="C51">SUM(IF(Budgets[Regional Board]="Central Coast",IF(Budgets[Representative Year]="YES",Budgets[2018 $ Value])))</f>
        <v>1129310.893512852</v>
      </c>
      <c r="D51">
        <f t="array" ref="D51">SUM(IF(Expenditures[Regional Board]="Central Coast",IF(Expenditures[Representative Year]="YES",Expenditures[2018 $ Value])))</f>
        <v>4577600.1080783363</v>
      </c>
      <c r="E51"/>
      <c r="G51"/>
      <c r="H51" s="44" t="s">
        <v>1457</v>
      </c>
      <c r="I51" s="175">
        <v>6566244.7263157899</v>
      </c>
      <c r="J51" s="10"/>
      <c r="K51" s="140"/>
      <c r="L51"/>
    </row>
    <row r="52" spans="1:12" x14ac:dyDescent="0.25">
      <c r="A52" t="s">
        <v>443</v>
      </c>
      <c r="B52" t="s">
        <v>2025</v>
      </c>
      <c r="C52">
        <f t="array" ref="C52">AVERAGE(IF(Budgets[Regional Board]="Central Coast",IF(Budgets[Representative Year]="YES",Budgets[2018 $ Value])))</f>
        <v>1129310.893512852</v>
      </c>
      <c r="D52">
        <f t="array" ref="D52">AVERAGE(IF(Expenditures[Regional Board]="Central Coast",IF(Expenditures[Representative Year]="YES",Expenditures[2018 $ Value])))</f>
        <v>4577600.1080783363</v>
      </c>
      <c r="E52"/>
      <c r="G52"/>
      <c r="H52" s="44" t="s">
        <v>290</v>
      </c>
      <c r="I52" s="175">
        <v>134592280.78380907</v>
      </c>
      <c r="J52" s="10"/>
      <c r="K52" s="140"/>
      <c r="L52"/>
    </row>
    <row r="53" spans="1:12" x14ac:dyDescent="0.25">
      <c r="A53"/>
      <c r="B53" t="s">
        <v>1992</v>
      </c>
      <c r="C53">
        <f t="array" ref="C53">COUNT(IF(Budgets[Regional Board]="Central Coast",IF(Budgets[Representative Year]="YES",Budgets[2018 $ Value])))</f>
        <v>1</v>
      </c>
      <c r="D53">
        <f t="array" ref="D53">COUNT(IF(Expenditures[Regional Board]="Central Coast",IF(Expenditures[Representative Year]="YES",Expenditures[2018 $ Value])))</f>
        <v>1</v>
      </c>
      <c r="E53"/>
      <c r="G53"/>
      <c r="H53" s="44" t="s">
        <v>1961</v>
      </c>
      <c r="I53" s="10">
        <v>765737070.08905852</v>
      </c>
      <c r="J53"/>
      <c r="K53"/>
      <c r="L53"/>
    </row>
    <row r="54" spans="1:12" x14ac:dyDescent="0.25">
      <c r="A54"/>
      <c r="B54" t="s">
        <v>2039</v>
      </c>
      <c r="C54" t="e">
        <f t="array" ref="C54">_xlfn.STDEV.S(IF(Budgets[Regional Board]="Central Coast",IF(Budgets[Representative Year]="YES",Budgets[2018 $ Value])))</f>
        <v>#DIV/0!</v>
      </c>
      <c r="D54" t="e">
        <f t="array" ref="D54">_xlfn.STDEV.S(IF(Expenditures[Regional Board]="Central Coast",IF(Expenditures[Representative Year]="YES",Expenditures[2018 $ Value])))</f>
        <v>#DIV/0!</v>
      </c>
      <c r="E54"/>
      <c r="G54"/>
      <c r="H54"/>
      <c r="I54"/>
      <c r="J54"/>
      <c r="K54"/>
      <c r="L54"/>
    </row>
    <row r="55" spans="1:12" x14ac:dyDescent="0.25">
      <c r="A55" t="s">
        <v>2028</v>
      </c>
      <c r="B55" t="s">
        <v>2024</v>
      </c>
      <c r="C55">
        <f t="array" ref="C55">SUM(IF(Budgets[Regional Board]="Los Angeles",IF(Budgets[Representative Year]="YES",Budgets[2018 $ Value])))</f>
        <v>417265043.78178948</v>
      </c>
      <c r="D55">
        <f t="array" ref="D55">SUM(IF(Expenditures[Regional Board]="Los Angeles",IF(Expenditures[Representative Year]="YES",Expenditures[2018 $ Value])))</f>
        <v>297148942.12325698</v>
      </c>
      <c r="E55"/>
      <c r="G55"/>
      <c r="H55"/>
      <c r="I55"/>
      <c r="J55"/>
      <c r="K55"/>
      <c r="L55"/>
    </row>
    <row r="56" spans="1:12" ht="30" x14ac:dyDescent="0.25">
      <c r="A56" t="s">
        <v>12</v>
      </c>
      <c r="B56" t="s">
        <v>2025</v>
      </c>
      <c r="C56">
        <f t="array" ref="C56">AVERAGE(IF(Budgets[Regional Board]="Los Angeles",IF(Budgets[Representative Year]="YES",Budgets[2018 $ Value])))</f>
        <v>4636278.2642421052</v>
      </c>
      <c r="D56">
        <f t="array" ref="D56">AVERAGE(IF(Expenditures[Regional Board]="Los Angeles",IF(Expenditures[Representative Year]="YES",Expenditures[2018 $ Value])))</f>
        <v>3809601.8220930384</v>
      </c>
      <c r="E56"/>
      <c r="G56"/>
      <c r="H56" t="str">
        <f>INDEX($H$45:$H$52,MATCH(I56,$I$45:$I$52,0))</f>
        <v>Los Angeles</v>
      </c>
      <c r="I56" s="170">
        <f>SMALL($I$45:$I$52,ROWS(I56:I$63))</f>
        <v>297148942.12325698</v>
      </c>
      <c r="J56" s="10">
        <f>ROUND(I56,2-(1+INT(LOG10(I56))))/10^6</f>
        <v>300</v>
      </c>
      <c r="K56" s="180" t="str">
        <f>_xlfn.CONCAT(H56,"
","$",J56,"M")</f>
        <v>Los Angeles
$300M</v>
      </c>
      <c r="L56"/>
    </row>
    <row r="57" spans="1:12" ht="30" x14ac:dyDescent="0.25">
      <c r="A57"/>
      <c r="B57" t="s">
        <v>1992</v>
      </c>
      <c r="C57">
        <f t="array" ref="C57">COUNT(IF(Budgets[Regional Board]="Los Angeles",IF(Budgets[Representative Year]="YES",Budgets[2018 $ Value])))</f>
        <v>90</v>
      </c>
      <c r="D57">
        <f t="array" ref="D57">COUNT(IF(Expenditures[Regional Board]="Los Angeles",IF(Expenditures[Representative Year]="YES",Expenditures[2018 $ Value])))</f>
        <v>78</v>
      </c>
      <c r="E57"/>
      <c r="G57"/>
      <c r="H57" t="str">
        <f t="shared" ref="H57:H63" si="0">INDEX($H$45:$H$52,MATCH(I57,$I$45:$I$52,0))</f>
        <v>San Diego</v>
      </c>
      <c r="I57" s="170">
        <f>SMALL($I$45:$I$52,ROWS(I57:I$63))</f>
        <v>179131231.17446607</v>
      </c>
      <c r="J57" s="10">
        <f t="shared" ref="J57:J63" si="1">ROUND(I57,2-(1+INT(LOG10(I57))))/10^6</f>
        <v>180</v>
      </c>
      <c r="K57" s="180" t="str">
        <f t="shared" ref="K57:K63" si="2">_xlfn.CONCAT(H57,"
","$",J57,"M")</f>
        <v>San Diego
$180M</v>
      </c>
      <c r="L57"/>
    </row>
    <row r="58" spans="1:12" ht="30" x14ac:dyDescent="0.25">
      <c r="A58"/>
      <c r="B58" t="s">
        <v>2039</v>
      </c>
      <c r="C58">
        <f t="array" ref="C58">_xlfn.STDEV.S(IF(Budgets[Regional Board]="Los Angeles",IF(Budgets[Representative Year]="YES",Budgets[2018 $ Value])))</f>
        <v>15366766.539939236</v>
      </c>
      <c r="D58">
        <f t="array" ref="D58">_xlfn.STDEV.S(IF(Expenditures[Regional Board]="Los Angeles",IF(Expenditures[Representative Year]="YES",Expenditures[2018 $ Value])))</f>
        <v>11744892.827475773</v>
      </c>
      <c r="E58"/>
      <c r="G58"/>
      <c r="H58" t="str">
        <f t="shared" si="0"/>
        <v>Central Valley</v>
      </c>
      <c r="I58" s="170">
        <f>SMALL($I$45:$I$52,ROWS(I58:I$63))</f>
        <v>142729015.8818672</v>
      </c>
      <c r="J58" s="10">
        <f t="shared" si="1"/>
        <v>140</v>
      </c>
      <c r="K58" s="180" t="str">
        <f t="shared" si="2"/>
        <v>Central Valley
$140M</v>
      </c>
      <c r="L58"/>
    </row>
    <row r="59" spans="1:12" ht="30" x14ac:dyDescent="0.25">
      <c r="A59" t="s">
        <v>2029</v>
      </c>
      <c r="B59" t="s">
        <v>2024</v>
      </c>
      <c r="C59">
        <f t="array" ref="C59">SUM(IF(Budgets[Regional Board]="Central Valley",IF(Budgets[Representative Year]="YES",Budgets[2018 $ Value])))</f>
        <v>128979661.08650115</v>
      </c>
      <c r="D59">
        <f t="array" ref="D59">SUM(IF(Expenditures[Regional Board]="Central Valley",IF(Expenditures[Representative Year]="YES",Expenditures[2018 $ Value])))</f>
        <v>142729015.8818672</v>
      </c>
      <c r="E59"/>
      <c r="G59"/>
      <c r="H59" t="str">
        <f t="shared" si="0"/>
        <v>Santa Ana</v>
      </c>
      <c r="I59" s="170">
        <f>SMALL($I$45:$I$52,ROWS(I59:I$63))</f>
        <v>134592280.78380907</v>
      </c>
      <c r="J59" s="10">
        <f t="shared" si="1"/>
        <v>130</v>
      </c>
      <c r="K59" s="180" t="str">
        <f t="shared" si="2"/>
        <v>Santa Ana
$130M</v>
      </c>
      <c r="L59"/>
    </row>
    <row r="60" spans="1:12" ht="30" x14ac:dyDescent="0.25">
      <c r="A60" t="s">
        <v>445</v>
      </c>
      <c r="B60" t="s">
        <v>2025</v>
      </c>
      <c r="C60">
        <f t="array" ref="C60">AVERAGE(IF(Budgets[Regional Board]="Central Valley",IF(Budgets[Representative Year]="YES",Budgets[2018 $ Value])))</f>
        <v>11725423.735136468</v>
      </c>
      <c r="D60">
        <f t="array" ref="D60">AVERAGE(IF(Expenditures[Regional Board]="Central Valley",IF(Expenditures[Representative Year]="YES",Expenditures[2018 $ Value])))</f>
        <v>10979155.067835938</v>
      </c>
      <c r="E60"/>
      <c r="G60"/>
      <c r="H60" t="str">
        <f t="shared" si="0"/>
        <v>San Francisco Bay</v>
      </c>
      <c r="I60" s="170">
        <f>SMALL($I$45:$I$52,ROWS(I60:I$63))</f>
        <v>6566244.7263157899</v>
      </c>
      <c r="J60" s="10">
        <f t="shared" si="1"/>
        <v>6.6</v>
      </c>
      <c r="K60" s="180" t="str">
        <f t="shared" si="2"/>
        <v>San Francisco Bay
$6.6M</v>
      </c>
      <c r="L60"/>
    </row>
    <row r="61" spans="1:12" ht="30" x14ac:dyDescent="0.25">
      <c r="A61"/>
      <c r="B61" t="s">
        <v>1992</v>
      </c>
      <c r="C61">
        <f t="array" ref="C61">COUNT(IF(Budgets[Regional Board]="Central Valley",IF(Budgets[Representative Year]="YES",Budgets[2018 $ Value])))</f>
        <v>11</v>
      </c>
      <c r="D61">
        <f t="array" ref="D61">COUNT(IF(Expenditures[Regional Board]="Central Valley",IF(Expenditures[Representative Year]="YES",Expenditures[2018 $ Value])))</f>
        <v>13</v>
      </c>
      <c r="E61"/>
      <c r="G61"/>
      <c r="H61" t="str">
        <f t="shared" si="0"/>
        <v>Central Coast</v>
      </c>
      <c r="I61" s="170">
        <f>SMALL($I$45:$I$52,ROWS(I61:I$63))</f>
        <v>4577600.1080783363</v>
      </c>
      <c r="J61" s="10">
        <f t="shared" si="1"/>
        <v>4.5999999999999996</v>
      </c>
      <c r="K61" s="180" t="str">
        <f t="shared" si="2"/>
        <v>Central Coast
$4.6M</v>
      </c>
      <c r="L61"/>
    </row>
    <row r="62" spans="1:12" ht="30" x14ac:dyDescent="0.25">
      <c r="A62"/>
      <c r="B62" t="s">
        <v>2039</v>
      </c>
      <c r="C62">
        <f t="array" ref="C62">_xlfn.STDEV.S(IF(Budgets[Regional Board]="Central Valley",IF(Budgets[Representative Year]="YES",Budgets[2018 $ Value])))</f>
        <v>14596402.503063217</v>
      </c>
      <c r="D62">
        <f t="array" ref="D62">_xlfn.STDEV.S(IF(Expenditures[Regional Board]="Central Valley",IF(Expenditures[Representative Year]="YES",Expenditures[2018 $ Value])))</f>
        <v>11953274.539641116</v>
      </c>
      <c r="E62"/>
      <c r="G62"/>
      <c r="H62" t="str">
        <f t="shared" si="0"/>
        <v>North Coast</v>
      </c>
      <c r="I62" s="170">
        <f>SMALL($I$45:$I$52,ROWS(I62:I$63))</f>
        <v>837994.9477210301</v>
      </c>
      <c r="J62" s="10">
        <f t="shared" si="1"/>
        <v>0.84</v>
      </c>
      <c r="K62" s="180" t="str">
        <f t="shared" si="2"/>
        <v>North Coast
$0.84M</v>
      </c>
      <c r="L62"/>
    </row>
    <row r="63" spans="1:12" ht="30" x14ac:dyDescent="0.25">
      <c r="A63" t="s">
        <v>2030</v>
      </c>
      <c r="B63" t="s">
        <v>2024</v>
      </c>
      <c r="C63">
        <f t="array" ref="C63">SUM(IF(Budgets[Regional Board]="Lahontan",IF(Budgets[Representative Year]="YES",Budgets[2018 $ Value])))</f>
        <v>0</v>
      </c>
      <c r="D63">
        <f t="array" ref="D63">SUM(IF(Expenditures[Regional Board]="Lahontan",IF(Expenditures[Representative Year]="YES",Expenditures[2018 $ Value])))</f>
        <v>0</v>
      </c>
      <c r="E63"/>
      <c r="G63"/>
      <c r="H63" t="str">
        <f t="shared" si="0"/>
        <v>Colorado River Basin</v>
      </c>
      <c r="I63" s="170">
        <f>SMALL($I$45:$I$52,ROWS(I$63:I63))</f>
        <v>153760.34354430379</v>
      </c>
      <c r="J63" s="10">
        <f t="shared" si="1"/>
        <v>0.15</v>
      </c>
      <c r="K63" s="180" t="str">
        <f t="shared" si="2"/>
        <v>Colorado River Basin
$0.15M</v>
      </c>
      <c r="L63"/>
    </row>
    <row r="64" spans="1:12" x14ac:dyDescent="0.25">
      <c r="A64" t="s">
        <v>1458</v>
      </c>
      <c r="B64" t="s">
        <v>2025</v>
      </c>
      <c r="C64" t="e">
        <f t="array" ref="C64">AVERAGE(IF(Budgets[Regional Board]="Lahontan",IF(Budgets[Representative Year]="YES",Budgets[2018 $ Value])))</f>
        <v>#DIV/0!</v>
      </c>
      <c r="D64" t="e">
        <f t="array" ref="D64">AVERAGE(IF(Expenditures[Regional Board]="Lahontan",IF(Expenditures[Representative Year]="YES",Expenditures[2018 $ Value])))</f>
        <v>#DIV/0!</v>
      </c>
      <c r="E64"/>
      <c r="G64"/>
      <c r="H64"/>
      <c r="I64"/>
      <c r="J64"/>
      <c r="K64"/>
      <c r="L64"/>
    </row>
    <row r="65" spans="1:12" x14ac:dyDescent="0.25">
      <c r="A65"/>
      <c r="B65" t="s">
        <v>1992</v>
      </c>
      <c r="C65">
        <f t="array" ref="C65">COUNT(IF(Budgets[Regional Board]="Lahontan",IF(Budgets[Representative Year]="YES",Budgets[2018 $ Value])))</f>
        <v>0</v>
      </c>
      <c r="D65">
        <f t="array" ref="D65">COUNT(IF(Expenditures[Regional Board]="Lahontan",IF(Expenditures[Representative Year]="YES",Expenditures[2018 $ Value])))</f>
        <v>0</v>
      </c>
      <c r="E65"/>
      <c r="G65"/>
      <c r="H65"/>
      <c r="I65"/>
      <c r="J65"/>
      <c r="K65"/>
      <c r="L65"/>
    </row>
    <row r="66" spans="1:12" x14ac:dyDescent="0.25">
      <c r="A66"/>
      <c r="B66" t="s">
        <v>2039</v>
      </c>
      <c r="C66" t="e">
        <f t="array" ref="C66">_xlfn.STDEV.S(IF(Budgets[Regional Board]="Lahontan",IF(Budgets[Representative Year]="YES",Budgets[2018 $ Value])))</f>
        <v>#DIV/0!</v>
      </c>
      <c r="D66" t="e">
        <f t="array" ref="D66">_xlfn.STDEV.S(IF(Expenditures[Regional Board]="Lahontan",IF(Expenditures[Representative Year]="YES",Expenditures[2018 $ Value])))</f>
        <v>#DIV/0!</v>
      </c>
      <c r="E66"/>
      <c r="G66"/>
      <c r="H66"/>
      <c r="I66"/>
      <c r="J66"/>
      <c r="K66"/>
      <c r="L66"/>
    </row>
    <row r="67" spans="1:12" x14ac:dyDescent="0.25">
      <c r="A67" t="s">
        <v>2031</v>
      </c>
      <c r="B67" t="s">
        <v>2024</v>
      </c>
      <c r="C67">
        <f t="array" ref="C67">SUM(IF(Budgets[Regional Board]="Colorado River Basin",IF(Budgets[Representative Year]="YES",Budgets[2018 $ Value])))</f>
        <v>156272.2871625</v>
      </c>
      <c r="D67">
        <f t="array" ref="D67">SUM(IF(Expenditures[Regional Board]="Colorado River Basin",IF(Expenditures[Representative Year]="YES",Expenditures[2018 $ Value])))</f>
        <v>153760.34354430379</v>
      </c>
      <c r="E67"/>
      <c r="G67"/>
      <c r="H67"/>
      <c r="I67"/>
      <c r="J67"/>
      <c r="K67"/>
      <c r="L67"/>
    </row>
    <row r="68" spans="1:12" x14ac:dyDescent="0.25">
      <c r="A68" t="s">
        <v>1459</v>
      </c>
      <c r="B68" t="s">
        <v>2025</v>
      </c>
      <c r="C68">
        <f t="array" ref="C68">AVERAGE(IF(Budgets[Regional Board]="Colorado River Basin",IF(Budgets[Representative Year]="YES",Budgets[2018 $ Value])))</f>
        <v>156272.2871625</v>
      </c>
      <c r="D68">
        <f t="array" ref="D68">AVERAGE(IF(Expenditures[Regional Board]="Colorado River Basin",IF(Expenditures[Representative Year]="YES",Expenditures[2018 $ Value])))</f>
        <v>153760.34354430379</v>
      </c>
      <c r="E68"/>
      <c r="G68"/>
      <c r="H68"/>
      <c r="I68"/>
      <c r="J68"/>
      <c r="K68"/>
      <c r="L68"/>
    </row>
    <row r="69" spans="1:12" x14ac:dyDescent="0.25">
      <c r="A69"/>
      <c r="B69" t="s">
        <v>1992</v>
      </c>
      <c r="C69">
        <f t="array" ref="C69">COUNT(IF(Budgets[Regional Board]="Colorado River Basin",IF(Budgets[Representative Year]="YES",Budgets[2018 $ Value])))</f>
        <v>1</v>
      </c>
      <c r="D69">
        <f t="array" ref="D69">COUNT(IF(Expenditures[Regional Board]="Colorado River Basin",IF(Expenditures[Representative Year]="YES",Expenditures[2018 $ Value])))</f>
        <v>1</v>
      </c>
      <c r="E69"/>
      <c r="G69"/>
      <c r="H69"/>
      <c r="I69"/>
      <c r="J69"/>
      <c r="K69"/>
      <c r="L69"/>
    </row>
    <row r="70" spans="1:12" x14ac:dyDescent="0.25">
      <c r="A70"/>
      <c r="B70" t="s">
        <v>2039</v>
      </c>
      <c r="C70" t="e">
        <f t="array" ref="C70">_xlfn.STDEV.S(IF(Budgets[Regional Board]="Colorado River Basin",IF(Budgets[Representative Year]="YES",Budgets[2018 $ Value])))</f>
        <v>#DIV/0!</v>
      </c>
      <c r="D70" t="e">
        <f t="array" ref="D70">_xlfn.STDEV.S(IF(Expenditures[Regional Board]="Colorado River Basin",IF(Expenditures[Representative Year]="YES",Expenditures[2018 $ Value])))</f>
        <v>#DIV/0!</v>
      </c>
      <c r="E70"/>
      <c r="G70"/>
      <c r="H70"/>
      <c r="I70"/>
      <c r="J70"/>
      <c r="K70"/>
      <c r="L70"/>
    </row>
    <row r="71" spans="1:12" x14ac:dyDescent="0.25">
      <c r="A71" t="s">
        <v>2032</v>
      </c>
      <c r="B71" t="s">
        <v>2024</v>
      </c>
      <c r="C71">
        <f t="array" ref="C71">SUM(IF(Budgets[Regional Board]="Santa Ana",IF(Budgets[Representative Year]="YES",Budgets[2018 $ Value])))</f>
        <v>223408274.49349859</v>
      </c>
      <c r="D71">
        <f t="array" ref="D71">SUM(IF(Expenditures[Regional Board]="Santa Ana",IF(Expenditures[Representative Year]="YES",Expenditures[2018 $ Value])))</f>
        <v>134592280.78380907</v>
      </c>
      <c r="E71"/>
      <c r="G71"/>
      <c r="H71"/>
      <c r="I71"/>
      <c r="J71"/>
      <c r="K71"/>
      <c r="L71"/>
    </row>
    <row r="72" spans="1:12" x14ac:dyDescent="0.25">
      <c r="A72" t="s">
        <v>290</v>
      </c>
      <c r="B72" t="s">
        <v>2025</v>
      </c>
      <c r="C72">
        <f t="array" ref="C72">AVERAGE(IF(Budgets[Regional Board]="Santa Ana",IF(Budgets[Representative Year]="YES",Budgets[2018 $ Value])))</f>
        <v>3851866.8016120447</v>
      </c>
      <c r="D72">
        <f t="array" ref="D72">AVERAGE(IF(Expenditures[Regional Board]="Santa Ana",IF(Expenditures[Representative Year]="YES",Expenditures[2018 $ Value])))</f>
        <v>2320556.5652380874</v>
      </c>
      <c r="E72"/>
      <c r="G72"/>
      <c r="H72"/>
      <c r="I72"/>
      <c r="J72"/>
      <c r="K72"/>
      <c r="L72"/>
    </row>
    <row r="73" spans="1:12" x14ac:dyDescent="0.25">
      <c r="A73"/>
      <c r="B73" t="s">
        <v>1992</v>
      </c>
      <c r="C73">
        <f t="array" ref="C73">COUNT(IF(Budgets[Regional Board]="Santa Ana",IF(Budgets[Representative Year]="YES",Budgets[2018 $ Value])))</f>
        <v>58</v>
      </c>
      <c r="D73">
        <f t="array" ref="D73">COUNT(IF(Expenditures[Regional Board]="Santa Ana",IF(Expenditures[Representative Year]="YES",Expenditures[2018 $ Value])))</f>
        <v>58</v>
      </c>
      <c r="E73"/>
      <c r="G73"/>
      <c r="H73"/>
      <c r="I73"/>
      <c r="J73"/>
      <c r="K73"/>
      <c r="L73"/>
    </row>
    <row r="74" spans="1:12" x14ac:dyDescent="0.25">
      <c r="A74"/>
      <c r="B74" t="s">
        <v>2039</v>
      </c>
      <c r="C74">
        <f t="array" ref="C74">_xlfn.STDEV.S(IF(Budgets[Regional Board]="Santa Ana",IF(Budgets[Representative Year]="YES",Budgets[2018 $ Value])))</f>
        <v>12204793.566016622</v>
      </c>
      <c r="D74">
        <f t="array" ref="D74">_xlfn.STDEV.S(IF(Expenditures[Regional Board]="Santa Ana",IF(Expenditures[Representative Year]="YES",Expenditures[2018 $ Value])))</f>
        <v>4645731.8229450174</v>
      </c>
      <c r="E74"/>
      <c r="G74"/>
      <c r="H74"/>
      <c r="I74"/>
      <c r="J74"/>
      <c r="K74"/>
      <c r="L74"/>
    </row>
    <row r="75" spans="1:12" x14ac:dyDescent="0.25">
      <c r="A75" t="s">
        <v>2033</v>
      </c>
      <c r="B75" t="s">
        <v>2024</v>
      </c>
      <c r="C75">
        <f t="array" ref="C75">SUM(IF(Budgets[Regional Board]="San Diego",IF(Budgets[Representative Year]="YES",Budgets[2018 $ Value])))</f>
        <v>30066823.21012681</v>
      </c>
      <c r="D75">
        <f t="array" ref="D75">SUM(IF(Expenditures[Regional Board]="San Diego",IF(Expenditures[Representative Year]="YES",Expenditures[2018 $ Value])))</f>
        <v>179131231.17446607</v>
      </c>
      <c r="E75"/>
      <c r="G75"/>
      <c r="H75"/>
      <c r="I75"/>
      <c r="J75"/>
      <c r="K75"/>
      <c r="L75"/>
    </row>
    <row r="76" spans="1:12" x14ac:dyDescent="0.25">
      <c r="A76" t="s">
        <v>21</v>
      </c>
      <c r="B76" t="s">
        <v>2025</v>
      </c>
      <c r="C76">
        <f t="array" ref="C76">AVERAGE(IF(Budgets[Regional Board]="San Diego",IF(Budgets[Representative Year]="YES",Budgets[2018 $ Value])))</f>
        <v>2004454.8806751207</v>
      </c>
      <c r="D76">
        <f t="array" ref="D76">AVERAGE(IF(Expenditures[Regional Board]="San Diego",IF(Expenditures[Representative Year]="YES",Expenditures[2018 $ Value])))</f>
        <v>5428219.1264989721</v>
      </c>
      <c r="E76"/>
      <c r="G76"/>
      <c r="H76"/>
      <c r="I76"/>
      <c r="J76"/>
      <c r="K76"/>
      <c r="L76"/>
    </row>
    <row r="77" spans="1:12" x14ac:dyDescent="0.25">
      <c r="A77"/>
      <c r="B77" t="s">
        <v>1992</v>
      </c>
      <c r="C77">
        <f t="array" ref="C77">COUNT(IF(Budgets[Regional Board]="San Diego",IF(Budgets[Representative Year]="YES",Budgets[2018 $ Value])))</f>
        <v>15</v>
      </c>
      <c r="D77">
        <f t="array" ref="D77">COUNT(IF(Expenditures[Regional Board]="San Diego",IF(Expenditures[Representative Year]="YES",Expenditures[2018 $ Value])))</f>
        <v>33</v>
      </c>
      <c r="E77"/>
      <c r="G77"/>
      <c r="H77"/>
      <c r="I77"/>
      <c r="J77"/>
      <c r="K77"/>
      <c r="L77"/>
    </row>
    <row r="78" spans="1:12" x14ac:dyDescent="0.25">
      <c r="A78"/>
      <c r="B78" t="s">
        <v>2039</v>
      </c>
      <c r="C78">
        <f t="array" ref="C78">_xlfn.STDEV.S(IF(Budgets[Regional Board]="San Diego",IF(Budgets[Representative Year]="YES",Budgets[2018 $ Value])))</f>
        <v>1636412.1165529219</v>
      </c>
      <c r="D78">
        <f t="array" ref="D78">_xlfn.STDEV.S(IF(Expenditures[Regional Board]="San Diego",IF(Expenditures[Representative Year]="YES",Expenditures[2018 $ Value])))</f>
        <v>14436617.574600175</v>
      </c>
      <c r="E78"/>
      <c r="G78"/>
      <c r="H78"/>
      <c r="I78"/>
      <c r="J78"/>
      <c r="K78"/>
      <c r="L78"/>
    </row>
    <row r="79" spans="1:12" x14ac:dyDescent="0.25">
      <c r="A79"/>
      <c r="B79" t="s">
        <v>2035</v>
      </c>
      <c r="C79">
        <f>SUMIF(B43:B78,"Sum",C43:C78)</f>
        <v>810756543.75259137</v>
      </c>
      <c r="D79">
        <f>SUMIF(B43:B78,"Sum",D43:D78)</f>
        <v>765737070.08905888</v>
      </c>
      <c r="E79"/>
      <c r="G79"/>
      <c r="H79"/>
      <c r="I79"/>
      <c r="J79"/>
      <c r="K79"/>
      <c r="L79"/>
    </row>
    <row r="80" spans="1:12" x14ac:dyDescent="0.25">
      <c r="A80"/>
      <c r="B80"/>
      <c r="C80"/>
      <c r="D80"/>
      <c r="E80"/>
      <c r="G80"/>
      <c r="H80"/>
      <c r="I80"/>
      <c r="J80"/>
      <c r="K80"/>
      <c r="L80"/>
    </row>
    <row r="81" spans="1:12" x14ac:dyDescent="0.25">
      <c r="A81" s="174" t="s">
        <v>2007</v>
      </c>
      <c r="B81"/>
      <c r="C81"/>
      <c r="D81"/>
      <c r="E81"/>
      <c r="G81"/>
      <c r="H81"/>
      <c r="I81"/>
      <c r="J81"/>
      <c r="K81"/>
      <c r="L81"/>
    </row>
    <row r="82" spans="1:12" x14ac:dyDescent="0.25">
      <c r="A82" t="s">
        <v>31</v>
      </c>
      <c r="B82" t="s">
        <v>1973</v>
      </c>
      <c r="C82" t="s">
        <v>2036</v>
      </c>
      <c r="D82" t="s">
        <v>2037</v>
      </c>
      <c r="E82"/>
      <c r="G82"/>
      <c r="H82"/>
      <c r="I82"/>
      <c r="J82"/>
      <c r="K82"/>
      <c r="L82"/>
    </row>
    <row r="83" spans="1:12" x14ac:dyDescent="0.25">
      <c r="A83" t="s">
        <v>2023</v>
      </c>
      <c r="B83" t="s">
        <v>2024</v>
      </c>
      <c r="C83">
        <f t="shared" ref="C83:D98" si="3">IF(C43&lt;100,C43,ROUND(C43,2-(1+INT(LOG10(C43))))/10^6)</f>
        <v>0</v>
      </c>
      <c r="D83">
        <f t="shared" si="3"/>
        <v>0.84</v>
      </c>
      <c r="E83"/>
      <c r="G83"/>
      <c r="H83"/>
      <c r="I83"/>
      <c r="J83"/>
      <c r="K83"/>
      <c r="L83"/>
    </row>
    <row r="84" spans="1:12" x14ac:dyDescent="0.25">
      <c r="A84" t="s">
        <v>442</v>
      </c>
      <c r="B84" t="s">
        <v>2025</v>
      </c>
      <c r="C84" t="e">
        <f t="shared" si="3"/>
        <v>#DIV/0!</v>
      </c>
      <c r="D84">
        <f t="shared" si="3"/>
        <v>0.84</v>
      </c>
      <c r="E84"/>
      <c r="G84"/>
      <c r="H84"/>
      <c r="I84"/>
      <c r="J84"/>
      <c r="K84"/>
      <c r="L84"/>
    </row>
    <row r="85" spans="1:12" x14ac:dyDescent="0.25">
      <c r="A85"/>
      <c r="B85" t="s">
        <v>1992</v>
      </c>
      <c r="C85">
        <f t="shared" si="3"/>
        <v>0</v>
      </c>
      <c r="D85">
        <f t="shared" si="3"/>
        <v>1</v>
      </c>
      <c r="E85"/>
      <c r="G85"/>
      <c r="H85"/>
      <c r="I85"/>
      <c r="J85"/>
      <c r="K85"/>
      <c r="L85"/>
    </row>
    <row r="86" spans="1:12" x14ac:dyDescent="0.25">
      <c r="A86"/>
      <c r="B86" t="s">
        <v>2039</v>
      </c>
      <c r="C86" t="e">
        <f t="shared" si="3"/>
        <v>#DIV/0!</v>
      </c>
      <c r="D86" t="e">
        <f t="shared" si="3"/>
        <v>#DIV/0!</v>
      </c>
      <c r="E86"/>
      <c r="G86"/>
      <c r="H86"/>
      <c r="I86"/>
      <c r="J86"/>
      <c r="K86"/>
      <c r="L86"/>
    </row>
    <row r="87" spans="1:12" x14ac:dyDescent="0.25">
      <c r="A87" t="s">
        <v>2026</v>
      </c>
      <c r="B87" t="s">
        <v>2024</v>
      </c>
      <c r="C87">
        <f t="shared" si="3"/>
        <v>9.8000000000000007</v>
      </c>
      <c r="D87">
        <f t="shared" si="3"/>
        <v>6.6</v>
      </c>
      <c r="E87"/>
      <c r="G87"/>
      <c r="H87"/>
      <c r="I87"/>
      <c r="J87"/>
      <c r="K87"/>
      <c r="L87"/>
    </row>
    <row r="88" spans="1:12" x14ac:dyDescent="0.25">
      <c r="A88" t="s">
        <v>1457</v>
      </c>
      <c r="B88" t="s">
        <v>2025</v>
      </c>
      <c r="C88">
        <f t="shared" si="3"/>
        <v>4.9000000000000004</v>
      </c>
      <c r="D88">
        <f t="shared" si="3"/>
        <v>6.6</v>
      </c>
      <c r="E88"/>
      <c r="G88"/>
      <c r="H88"/>
      <c r="I88"/>
      <c r="J88"/>
      <c r="K88"/>
      <c r="L88"/>
    </row>
    <row r="89" spans="1:12" x14ac:dyDescent="0.25">
      <c r="A89"/>
      <c r="B89" t="s">
        <v>1992</v>
      </c>
      <c r="C89">
        <f t="shared" si="3"/>
        <v>2</v>
      </c>
      <c r="D89">
        <f t="shared" si="3"/>
        <v>1</v>
      </c>
      <c r="E89"/>
      <c r="G89"/>
      <c r="H89"/>
      <c r="I89"/>
      <c r="J89"/>
      <c r="K89"/>
      <c r="L89"/>
    </row>
    <row r="90" spans="1:12" x14ac:dyDescent="0.25">
      <c r="A90"/>
      <c r="B90" t="s">
        <v>2039</v>
      </c>
      <c r="C90">
        <f t="shared" si="3"/>
        <v>0.79</v>
      </c>
      <c r="D90" t="e">
        <f t="shared" si="3"/>
        <v>#DIV/0!</v>
      </c>
      <c r="E90"/>
      <c r="G90"/>
      <c r="H90"/>
      <c r="I90"/>
      <c r="J90"/>
      <c r="K90"/>
      <c r="L90"/>
    </row>
    <row r="91" spans="1:12" x14ac:dyDescent="0.25">
      <c r="A91" t="s">
        <v>2027</v>
      </c>
      <c r="B91" t="s">
        <v>2024</v>
      </c>
      <c r="C91">
        <f t="shared" si="3"/>
        <v>1.1000000000000001</v>
      </c>
      <c r="D91">
        <f t="shared" si="3"/>
        <v>4.5999999999999996</v>
      </c>
      <c r="E91"/>
      <c r="G91"/>
      <c r="H91"/>
      <c r="I91"/>
      <c r="J91"/>
      <c r="K91"/>
      <c r="L91"/>
    </row>
    <row r="92" spans="1:12" x14ac:dyDescent="0.25">
      <c r="A92" t="s">
        <v>443</v>
      </c>
      <c r="B92" t="s">
        <v>2025</v>
      </c>
      <c r="C92">
        <f t="shared" si="3"/>
        <v>1.1000000000000001</v>
      </c>
      <c r="D92">
        <f t="shared" si="3"/>
        <v>4.5999999999999996</v>
      </c>
      <c r="E92"/>
      <c r="G92"/>
      <c r="H92"/>
      <c r="I92"/>
      <c r="J92"/>
      <c r="K92"/>
      <c r="L92"/>
    </row>
    <row r="93" spans="1:12" x14ac:dyDescent="0.25">
      <c r="A93"/>
      <c r="B93" t="s">
        <v>1992</v>
      </c>
      <c r="C93">
        <f t="shared" si="3"/>
        <v>1</v>
      </c>
      <c r="D93">
        <f t="shared" si="3"/>
        <v>1</v>
      </c>
      <c r="E93"/>
      <c r="G93"/>
      <c r="H93"/>
      <c r="I93"/>
      <c r="J93"/>
      <c r="K93"/>
      <c r="L93"/>
    </row>
    <row r="94" spans="1:12" x14ac:dyDescent="0.25">
      <c r="A94"/>
      <c r="B94" t="s">
        <v>2039</v>
      </c>
      <c r="C94" t="e">
        <f t="shared" si="3"/>
        <v>#DIV/0!</v>
      </c>
      <c r="D94" t="e">
        <f t="shared" si="3"/>
        <v>#DIV/0!</v>
      </c>
      <c r="E94"/>
      <c r="G94"/>
      <c r="H94"/>
      <c r="I94"/>
      <c r="J94"/>
      <c r="K94"/>
      <c r="L94"/>
    </row>
    <row r="95" spans="1:12" x14ac:dyDescent="0.25">
      <c r="A95" t="s">
        <v>2028</v>
      </c>
      <c r="B95" t="s">
        <v>2024</v>
      </c>
      <c r="C95">
        <f t="shared" si="3"/>
        <v>420</v>
      </c>
      <c r="D95">
        <f t="shared" si="3"/>
        <v>300</v>
      </c>
      <c r="E95"/>
      <c r="G95"/>
      <c r="H95"/>
      <c r="I95"/>
      <c r="J95"/>
      <c r="K95"/>
      <c r="L95"/>
    </row>
    <row r="96" spans="1:12" x14ac:dyDescent="0.25">
      <c r="A96" t="s">
        <v>12</v>
      </c>
      <c r="B96" t="s">
        <v>2025</v>
      </c>
      <c r="C96">
        <f t="shared" si="3"/>
        <v>4.5999999999999996</v>
      </c>
      <c r="D96">
        <f t="shared" si="3"/>
        <v>3.8</v>
      </c>
      <c r="E96"/>
      <c r="G96"/>
      <c r="H96"/>
      <c r="I96"/>
      <c r="J96"/>
      <c r="K96"/>
      <c r="L96"/>
    </row>
    <row r="97" spans="1:12" x14ac:dyDescent="0.25">
      <c r="A97"/>
      <c r="B97" t="s">
        <v>1992</v>
      </c>
      <c r="C97">
        <f t="shared" si="3"/>
        <v>90</v>
      </c>
      <c r="D97">
        <f t="shared" si="3"/>
        <v>78</v>
      </c>
      <c r="E97"/>
      <c r="G97"/>
      <c r="H97"/>
      <c r="I97"/>
      <c r="J97"/>
      <c r="K97"/>
      <c r="L97"/>
    </row>
    <row r="98" spans="1:12" x14ac:dyDescent="0.25">
      <c r="A98"/>
      <c r="B98" t="s">
        <v>2039</v>
      </c>
      <c r="C98">
        <f t="shared" si="3"/>
        <v>15</v>
      </c>
      <c r="D98">
        <f t="shared" si="3"/>
        <v>12</v>
      </c>
      <c r="E98"/>
      <c r="G98"/>
      <c r="H98"/>
      <c r="I98"/>
      <c r="J98"/>
      <c r="K98"/>
      <c r="L98"/>
    </row>
    <row r="99" spans="1:12" x14ac:dyDescent="0.25">
      <c r="A99" t="s">
        <v>2029</v>
      </c>
      <c r="B99" t="s">
        <v>2024</v>
      </c>
      <c r="C99">
        <f t="shared" ref="C99:D114" si="4">IF(C59&lt;100,C59,ROUND(C59,2-(1+INT(LOG10(C59))))/10^6)</f>
        <v>130</v>
      </c>
      <c r="D99">
        <f t="shared" si="4"/>
        <v>140</v>
      </c>
      <c r="E99"/>
      <c r="G99"/>
      <c r="H99"/>
      <c r="I99"/>
      <c r="J99"/>
      <c r="K99"/>
      <c r="L99"/>
    </row>
    <row r="100" spans="1:12" x14ac:dyDescent="0.25">
      <c r="A100" t="s">
        <v>445</v>
      </c>
      <c r="B100" t="s">
        <v>2025</v>
      </c>
      <c r="C100">
        <f t="shared" si="4"/>
        <v>12</v>
      </c>
      <c r="D100">
        <f t="shared" si="4"/>
        <v>11</v>
      </c>
      <c r="E100"/>
      <c r="G100"/>
      <c r="H100"/>
      <c r="I100"/>
      <c r="J100"/>
      <c r="K100"/>
      <c r="L100"/>
    </row>
    <row r="101" spans="1:12" x14ac:dyDescent="0.25">
      <c r="A101"/>
      <c r="B101" t="s">
        <v>1992</v>
      </c>
      <c r="C101">
        <f t="shared" si="4"/>
        <v>11</v>
      </c>
      <c r="D101">
        <f t="shared" si="4"/>
        <v>13</v>
      </c>
      <c r="E101"/>
      <c r="G101"/>
      <c r="H101"/>
      <c r="I101"/>
      <c r="J101"/>
      <c r="K101"/>
      <c r="L101"/>
    </row>
    <row r="102" spans="1:12" x14ac:dyDescent="0.25">
      <c r="A102"/>
      <c r="B102" t="s">
        <v>2039</v>
      </c>
      <c r="C102">
        <f t="shared" si="4"/>
        <v>15</v>
      </c>
      <c r="D102">
        <f t="shared" si="4"/>
        <v>12</v>
      </c>
      <c r="E102"/>
      <c r="G102"/>
      <c r="H102"/>
      <c r="I102"/>
      <c r="J102"/>
      <c r="K102"/>
      <c r="L102"/>
    </row>
    <row r="103" spans="1:12" x14ac:dyDescent="0.25">
      <c r="A103" t="s">
        <v>2030</v>
      </c>
      <c r="B103" t="s">
        <v>2024</v>
      </c>
      <c r="C103">
        <f t="shared" si="4"/>
        <v>0</v>
      </c>
      <c r="D103">
        <f t="shared" si="4"/>
        <v>0</v>
      </c>
      <c r="E103"/>
      <c r="G103"/>
      <c r="H103"/>
      <c r="I103"/>
      <c r="J103"/>
      <c r="K103"/>
      <c r="L103"/>
    </row>
    <row r="104" spans="1:12" x14ac:dyDescent="0.25">
      <c r="A104" t="s">
        <v>1458</v>
      </c>
      <c r="B104" t="s">
        <v>2025</v>
      </c>
      <c r="C104" t="e">
        <f t="shared" si="4"/>
        <v>#DIV/0!</v>
      </c>
      <c r="D104" t="e">
        <f t="shared" si="4"/>
        <v>#DIV/0!</v>
      </c>
      <c r="E104"/>
      <c r="G104"/>
      <c r="H104"/>
      <c r="I104"/>
      <c r="J104"/>
      <c r="K104"/>
      <c r="L104"/>
    </row>
    <row r="105" spans="1:12" x14ac:dyDescent="0.25">
      <c r="A105"/>
      <c r="B105" t="s">
        <v>1992</v>
      </c>
      <c r="C105">
        <f t="shared" si="4"/>
        <v>0</v>
      </c>
      <c r="D105">
        <f t="shared" si="4"/>
        <v>0</v>
      </c>
      <c r="E105"/>
      <c r="G105"/>
      <c r="H105"/>
      <c r="I105"/>
      <c r="J105"/>
      <c r="K105"/>
      <c r="L105"/>
    </row>
    <row r="106" spans="1:12" x14ac:dyDescent="0.25">
      <c r="A106"/>
      <c r="B106" t="s">
        <v>2039</v>
      </c>
      <c r="C106" t="e">
        <f t="shared" si="4"/>
        <v>#DIV/0!</v>
      </c>
      <c r="D106" t="e">
        <f t="shared" si="4"/>
        <v>#DIV/0!</v>
      </c>
      <c r="E106"/>
      <c r="G106"/>
      <c r="H106"/>
      <c r="I106"/>
      <c r="J106"/>
      <c r="K106"/>
      <c r="L106"/>
    </row>
    <row r="107" spans="1:12" x14ac:dyDescent="0.25">
      <c r="A107" t="s">
        <v>2031</v>
      </c>
      <c r="B107" t="s">
        <v>2024</v>
      </c>
      <c r="C107">
        <f t="shared" si="4"/>
        <v>0.16</v>
      </c>
      <c r="D107">
        <f t="shared" si="4"/>
        <v>0.15</v>
      </c>
      <c r="E107"/>
      <c r="G107"/>
      <c r="H107"/>
      <c r="I107"/>
      <c r="J107"/>
      <c r="K107"/>
      <c r="L107"/>
    </row>
    <row r="108" spans="1:12" x14ac:dyDescent="0.25">
      <c r="A108" t="s">
        <v>1459</v>
      </c>
      <c r="B108" t="s">
        <v>2025</v>
      </c>
      <c r="C108">
        <f t="shared" si="4"/>
        <v>0.16</v>
      </c>
      <c r="D108">
        <f t="shared" si="4"/>
        <v>0.15</v>
      </c>
      <c r="E108"/>
      <c r="G108"/>
      <c r="H108"/>
      <c r="I108"/>
      <c r="J108"/>
      <c r="K108"/>
      <c r="L108"/>
    </row>
    <row r="109" spans="1:12" x14ac:dyDescent="0.25">
      <c r="A109"/>
      <c r="B109" t="s">
        <v>1992</v>
      </c>
      <c r="C109">
        <f t="shared" si="4"/>
        <v>1</v>
      </c>
      <c r="D109">
        <f t="shared" si="4"/>
        <v>1</v>
      </c>
      <c r="E109"/>
      <c r="G109"/>
      <c r="H109"/>
      <c r="I109"/>
      <c r="J109"/>
      <c r="K109"/>
      <c r="L109"/>
    </row>
    <row r="110" spans="1:12" x14ac:dyDescent="0.25">
      <c r="A110"/>
      <c r="B110" t="s">
        <v>2039</v>
      </c>
      <c r="C110" t="e">
        <f t="shared" si="4"/>
        <v>#DIV/0!</v>
      </c>
      <c r="D110" t="e">
        <f t="shared" si="4"/>
        <v>#DIV/0!</v>
      </c>
      <c r="E110"/>
      <c r="G110"/>
      <c r="H110"/>
      <c r="I110"/>
      <c r="J110"/>
      <c r="K110"/>
      <c r="L110"/>
    </row>
    <row r="111" spans="1:12" x14ac:dyDescent="0.25">
      <c r="A111" t="s">
        <v>2032</v>
      </c>
      <c r="B111" t="s">
        <v>2024</v>
      </c>
      <c r="C111">
        <f t="shared" si="4"/>
        <v>220</v>
      </c>
      <c r="D111">
        <f t="shared" si="4"/>
        <v>130</v>
      </c>
      <c r="E111"/>
      <c r="G111"/>
      <c r="H111"/>
      <c r="I111"/>
      <c r="J111"/>
      <c r="K111"/>
      <c r="L111"/>
    </row>
    <row r="112" spans="1:12" x14ac:dyDescent="0.25">
      <c r="A112" t="s">
        <v>290</v>
      </c>
      <c r="B112" t="s">
        <v>2025</v>
      </c>
      <c r="C112">
        <f t="shared" si="4"/>
        <v>3.9</v>
      </c>
      <c r="D112">
        <f t="shared" si="4"/>
        <v>2.2999999999999998</v>
      </c>
      <c r="E112"/>
      <c r="G112"/>
      <c r="H112"/>
      <c r="I112"/>
      <c r="J112"/>
      <c r="K112"/>
      <c r="L112"/>
    </row>
    <row r="113" spans="1:12" x14ac:dyDescent="0.25">
      <c r="A113"/>
      <c r="B113" t="s">
        <v>1992</v>
      </c>
      <c r="C113">
        <f t="shared" si="4"/>
        <v>58</v>
      </c>
      <c r="D113">
        <f t="shared" si="4"/>
        <v>58</v>
      </c>
      <c r="E113"/>
      <c r="G113"/>
      <c r="H113"/>
      <c r="I113"/>
      <c r="J113"/>
      <c r="K113"/>
      <c r="L113"/>
    </row>
    <row r="114" spans="1:12" x14ac:dyDescent="0.25">
      <c r="A114"/>
      <c r="B114" t="s">
        <v>2039</v>
      </c>
      <c r="C114">
        <f t="shared" si="4"/>
        <v>12</v>
      </c>
      <c r="D114">
        <f t="shared" si="4"/>
        <v>4.5999999999999996</v>
      </c>
      <c r="E114"/>
      <c r="G114"/>
      <c r="H114"/>
      <c r="I114"/>
      <c r="J114"/>
      <c r="K114"/>
      <c r="L114"/>
    </row>
    <row r="115" spans="1:12" x14ac:dyDescent="0.25">
      <c r="A115" t="s">
        <v>2033</v>
      </c>
      <c r="B115" t="s">
        <v>2024</v>
      </c>
      <c r="C115">
        <f t="shared" ref="C115:D119" si="5">IF(C75&lt;100,C75,ROUND(C75,2-(1+INT(LOG10(C75))))/10^6)</f>
        <v>30</v>
      </c>
      <c r="D115">
        <f t="shared" si="5"/>
        <v>180</v>
      </c>
      <c r="E115"/>
      <c r="G115"/>
      <c r="H115"/>
      <c r="I115"/>
      <c r="J115"/>
      <c r="K115"/>
      <c r="L115"/>
    </row>
    <row r="116" spans="1:12" x14ac:dyDescent="0.25">
      <c r="A116" t="s">
        <v>21</v>
      </c>
      <c r="B116" t="s">
        <v>2025</v>
      </c>
      <c r="C116">
        <f t="shared" si="5"/>
        <v>2</v>
      </c>
      <c r="D116">
        <f t="shared" si="5"/>
        <v>5.4</v>
      </c>
      <c r="E116"/>
      <c r="G116"/>
      <c r="H116"/>
      <c r="I116"/>
      <c r="J116"/>
      <c r="K116"/>
      <c r="L116"/>
    </row>
    <row r="117" spans="1:12" x14ac:dyDescent="0.25">
      <c r="A117"/>
      <c r="B117" t="s">
        <v>1992</v>
      </c>
      <c r="C117">
        <f t="shared" si="5"/>
        <v>15</v>
      </c>
      <c r="D117">
        <f t="shared" si="5"/>
        <v>33</v>
      </c>
      <c r="E117"/>
      <c r="G117"/>
      <c r="H117"/>
      <c r="I117"/>
      <c r="J117"/>
      <c r="K117"/>
      <c r="L117"/>
    </row>
    <row r="118" spans="1:12" x14ac:dyDescent="0.25">
      <c r="A118"/>
      <c r="B118" t="s">
        <v>2039</v>
      </c>
      <c r="C118">
        <f t="shared" si="5"/>
        <v>1.6</v>
      </c>
      <c r="D118">
        <f t="shared" si="5"/>
        <v>14</v>
      </c>
      <c r="E118"/>
      <c r="G118"/>
      <c r="H118"/>
      <c r="I118"/>
      <c r="J118"/>
      <c r="K118"/>
      <c r="L118"/>
    </row>
    <row r="119" spans="1:12" x14ac:dyDescent="0.25">
      <c r="A119"/>
      <c r="B119" t="s">
        <v>2040</v>
      </c>
      <c r="C119">
        <f>IF(C79&lt;100,C79,ROUND(C79,2-(1+INT(LOG10(C79))))/10^6)</f>
        <v>810</v>
      </c>
      <c r="D119">
        <f t="shared" si="5"/>
        <v>770</v>
      </c>
      <c r="E119"/>
    </row>
  </sheetData>
  <mergeCells count="2">
    <mergeCell ref="A2:D2"/>
    <mergeCell ref="H2:K2"/>
  </mergeCell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27FAD-7B00-42E2-BA23-2B5095C898B6}">
  <sheetPr>
    <tabColor theme="9" tint="0.39997558519241921"/>
  </sheetPr>
  <dimension ref="A1:AH223"/>
  <sheetViews>
    <sheetView zoomScale="70" zoomScaleNormal="70" workbookViewId="0">
      <selection activeCell="A2" sqref="A2:D2"/>
    </sheetView>
  </sheetViews>
  <sheetFormatPr defaultColWidth="9.140625" defaultRowHeight="15" x14ac:dyDescent="0.25"/>
  <cols>
    <col min="1" max="1" width="34" style="134" bestFit="1" customWidth="1"/>
    <col min="2" max="2" width="31.140625" style="134" bestFit="1" customWidth="1"/>
    <col min="3" max="3" width="30" style="134" bestFit="1" customWidth="1"/>
    <col min="4" max="4" width="25" style="134" bestFit="1" customWidth="1"/>
    <col min="5" max="5" width="22.5703125" style="134" bestFit="1" customWidth="1"/>
    <col min="6" max="6" width="1.5703125" style="134" customWidth="1"/>
    <col min="7" max="7" width="9.140625" style="134"/>
    <col min="8" max="8" width="34" style="134" bestFit="1" customWidth="1"/>
    <col min="9" max="9" width="25" style="134" bestFit="1" customWidth="1"/>
    <col min="10" max="10" width="11.7109375" style="134" customWidth="1"/>
    <col min="11" max="11" width="14.42578125" style="134" customWidth="1"/>
    <col min="12" max="12" width="1.5703125" style="134" customWidth="1"/>
    <col min="13" max="13" width="9.42578125" style="134" customWidth="1"/>
    <col min="14" max="14" width="44.85546875" style="134" bestFit="1" customWidth="1"/>
    <col min="15" max="15" width="25" style="134" bestFit="1" customWidth="1"/>
    <col min="16" max="26" width="14.7109375" style="134" customWidth="1"/>
    <col min="27" max="28" width="8.85546875" style="134" customWidth="1"/>
    <col min="29" max="16384" width="9.140625" style="134"/>
  </cols>
  <sheetData>
    <row r="1" spans="1:27" ht="26.25" x14ac:dyDescent="0.4">
      <c r="A1" s="136" t="s">
        <v>2041</v>
      </c>
      <c r="B1"/>
      <c r="C1"/>
      <c r="D1"/>
      <c r="E1"/>
      <c r="G1"/>
      <c r="H1" s="136" t="s">
        <v>2042</v>
      </c>
      <c r="I1"/>
      <c r="J1"/>
      <c r="K1"/>
      <c r="M1"/>
      <c r="N1" s="136" t="s">
        <v>2043</v>
      </c>
      <c r="O1"/>
      <c r="P1"/>
      <c r="Q1"/>
      <c r="R1"/>
      <c r="S1"/>
      <c r="T1"/>
      <c r="U1"/>
      <c r="V1"/>
      <c r="W1"/>
      <c r="X1"/>
      <c r="Y1"/>
      <c r="Z1"/>
      <c r="AA1"/>
    </row>
    <row r="2" spans="1:27" ht="51" customHeight="1" thickBot="1" x14ac:dyDescent="0.3">
      <c r="A2" s="247" t="s">
        <v>2044</v>
      </c>
      <c r="B2" s="247"/>
      <c r="C2" s="247"/>
      <c r="D2" s="247"/>
      <c r="E2"/>
      <c r="G2"/>
      <c r="H2" s="250" t="s">
        <v>2045</v>
      </c>
      <c r="I2" s="250"/>
      <c r="J2" s="250"/>
      <c r="K2"/>
      <c r="M2"/>
      <c r="N2" s="247" t="s">
        <v>2046</v>
      </c>
      <c r="O2" s="247"/>
      <c r="P2" s="247"/>
      <c r="Q2" s="247"/>
      <c r="R2"/>
      <c r="S2"/>
      <c r="T2"/>
      <c r="U2"/>
      <c r="V2"/>
      <c r="W2"/>
      <c r="X2"/>
      <c r="Y2"/>
      <c r="Z2"/>
      <c r="AA2"/>
    </row>
    <row r="3" spans="1:27" ht="26.25" thickBot="1" x14ac:dyDescent="0.3">
      <c r="A3" s="153" t="s">
        <v>103</v>
      </c>
      <c r="B3" s="159" t="s">
        <v>2047</v>
      </c>
      <c r="C3" s="158" t="s">
        <v>1934</v>
      </c>
      <c r="D3" s="159" t="s">
        <v>2048</v>
      </c>
      <c r="E3"/>
      <c r="G3"/>
      <c r="H3"/>
      <c r="I3"/>
      <c r="J3"/>
      <c r="K3"/>
      <c r="M3"/>
      <c r="N3"/>
      <c r="O3"/>
      <c r="P3"/>
      <c r="Q3"/>
      <c r="R3"/>
      <c r="S3"/>
      <c r="T3"/>
      <c r="U3"/>
      <c r="V3"/>
      <c r="W3"/>
      <c r="X3"/>
      <c r="Y3"/>
      <c r="Z3"/>
      <c r="AA3"/>
    </row>
    <row r="4" spans="1:27" ht="15.75" thickBot="1" x14ac:dyDescent="0.3">
      <c r="A4" s="181" t="s">
        <v>76</v>
      </c>
      <c r="B4" s="182" t="str">
        <f>_xlfn.CONCAT("$",B92,"M 
","(± $",B93,"M)")</f>
        <v>$0.77M 
(± $4.1M)</v>
      </c>
      <c r="C4" s="182" t="str">
        <f>_xlfn.CONCAT("$",C92,"M")</f>
        <v>$88M</v>
      </c>
      <c r="D4" s="182">
        <f>D92</f>
        <v>114</v>
      </c>
      <c r="E4"/>
      <c r="G4"/>
      <c r="H4"/>
      <c r="I4"/>
      <c r="J4"/>
      <c r="K4"/>
      <c r="M4"/>
      <c r="N4"/>
      <c r="O4"/>
      <c r="P4"/>
      <c r="Q4"/>
      <c r="R4"/>
      <c r="S4"/>
      <c r="T4"/>
      <c r="U4"/>
      <c r="V4"/>
      <c r="W4"/>
      <c r="X4"/>
      <c r="Y4"/>
      <c r="Z4"/>
      <c r="AA4"/>
    </row>
    <row r="5" spans="1:27" ht="15.75" thickBot="1" x14ac:dyDescent="0.3">
      <c r="A5" s="181" t="s">
        <v>1456</v>
      </c>
      <c r="B5" s="182" t="str">
        <f>_xlfn.CONCAT("$",B94,"M 
","(± $",B95,"M)")</f>
        <v>$0.3M 
(± $2.9M)</v>
      </c>
      <c r="C5" s="182" t="str">
        <f>_xlfn.CONCAT("$",C94,"M")</f>
        <v>$56M</v>
      </c>
      <c r="D5" s="182">
        <f>D94</f>
        <v>186</v>
      </c>
      <c r="E5"/>
      <c r="G5"/>
      <c r="H5"/>
      <c r="I5"/>
      <c r="J5"/>
      <c r="K5"/>
      <c r="M5"/>
      <c r="N5"/>
      <c r="O5"/>
      <c r="P5"/>
      <c r="Q5"/>
      <c r="R5"/>
      <c r="S5"/>
      <c r="T5"/>
      <c r="U5"/>
      <c r="V5"/>
      <c r="W5"/>
      <c r="X5"/>
      <c r="Y5"/>
      <c r="Z5"/>
      <c r="AA5"/>
    </row>
    <row r="6" spans="1:27" ht="15.75" thickBot="1" x14ac:dyDescent="0.3">
      <c r="A6" s="181" t="s">
        <v>131</v>
      </c>
      <c r="B6" s="182" t="str">
        <f>_xlfn.CONCAT("$",B96,"M 
","(± $",B97,"M)")</f>
        <v>$0.22M 
(± $0.96M)</v>
      </c>
      <c r="C6" s="182" t="str">
        <f>_xlfn.CONCAT("$",C96,"M")</f>
        <v>$26M</v>
      </c>
      <c r="D6" s="182">
        <f>D96</f>
        <v>118</v>
      </c>
      <c r="E6"/>
      <c r="G6"/>
      <c r="H6"/>
      <c r="I6"/>
      <c r="J6"/>
      <c r="K6"/>
      <c r="M6"/>
      <c r="N6"/>
      <c r="O6"/>
      <c r="P6"/>
      <c r="Q6"/>
      <c r="R6"/>
      <c r="S6"/>
      <c r="T6"/>
      <c r="U6"/>
      <c r="V6"/>
      <c r="W6"/>
      <c r="X6"/>
      <c r="Y6"/>
      <c r="Z6"/>
      <c r="AA6"/>
    </row>
    <row r="7" spans="1:27" ht="15.75" thickBot="1" x14ac:dyDescent="0.3">
      <c r="A7" s="181" t="s">
        <v>1895</v>
      </c>
      <c r="B7" s="182" t="str">
        <f>_xlfn.CONCAT("$",B98,"M 
","(± $",B99,"M)")</f>
        <v>$0.24M 
(± $0.53M)</v>
      </c>
      <c r="C7" s="182" t="str">
        <f>_xlfn.CONCAT("$",C98,"M")</f>
        <v>$16M</v>
      </c>
      <c r="D7" s="182">
        <f>D98</f>
        <v>66</v>
      </c>
      <c r="E7"/>
      <c r="G7"/>
      <c r="H7"/>
      <c r="I7"/>
      <c r="J7"/>
      <c r="K7"/>
      <c r="M7"/>
      <c r="N7"/>
      <c r="O7"/>
      <c r="P7"/>
      <c r="Q7"/>
      <c r="R7"/>
      <c r="S7"/>
      <c r="T7"/>
      <c r="U7"/>
      <c r="V7"/>
      <c r="W7"/>
      <c r="X7"/>
      <c r="Y7"/>
      <c r="Z7"/>
      <c r="AA7"/>
    </row>
    <row r="8" spans="1:27" ht="15.75" thickBot="1" x14ac:dyDescent="0.3">
      <c r="A8" s="181" t="s">
        <v>1897</v>
      </c>
      <c r="B8" s="182" t="str">
        <f>_xlfn.CONCAT("$",B100,"M 
","(± $",B101,"M)")</f>
        <v>$0.74M 
(± $3M)</v>
      </c>
      <c r="C8" s="182" t="str">
        <f>_xlfn.CONCAT("$",C100,"M")</f>
        <v>$270M</v>
      </c>
      <c r="D8" s="182">
        <f>D100</f>
        <v>371</v>
      </c>
      <c r="E8"/>
      <c r="G8"/>
      <c r="H8"/>
      <c r="I8"/>
      <c r="J8"/>
      <c r="K8"/>
      <c r="M8"/>
      <c r="N8"/>
      <c r="O8"/>
      <c r="P8"/>
      <c r="Q8"/>
      <c r="R8"/>
      <c r="S8"/>
      <c r="T8"/>
      <c r="U8"/>
      <c r="V8"/>
      <c r="W8"/>
      <c r="X8"/>
      <c r="Y8"/>
      <c r="Z8"/>
      <c r="AA8"/>
    </row>
    <row r="9" spans="1:27" ht="15.75" thickBot="1" x14ac:dyDescent="0.3">
      <c r="A9" s="181" t="s">
        <v>71</v>
      </c>
      <c r="B9" s="182" t="str">
        <f>_xlfn.CONCAT("$",B102,"M 
","(± $",B103,"M)")</f>
        <v>$0.99M 
(± $2.9M)</v>
      </c>
      <c r="C9" s="182" t="str">
        <f>_xlfn.CONCAT("$",C102,"M")</f>
        <v>$83M</v>
      </c>
      <c r="D9" s="182">
        <f>D102</f>
        <v>84</v>
      </c>
      <c r="E9"/>
      <c r="G9"/>
      <c r="H9"/>
      <c r="I9"/>
      <c r="J9"/>
      <c r="K9"/>
      <c r="M9"/>
      <c r="N9"/>
      <c r="O9"/>
      <c r="P9"/>
      <c r="Q9"/>
      <c r="R9"/>
      <c r="S9"/>
      <c r="T9"/>
      <c r="U9"/>
      <c r="V9"/>
      <c r="W9"/>
      <c r="X9"/>
      <c r="Y9"/>
      <c r="Z9"/>
      <c r="AA9"/>
    </row>
    <row r="10" spans="1:27" ht="15.75" thickBot="1" x14ac:dyDescent="0.3">
      <c r="A10" s="181" t="s">
        <v>1898</v>
      </c>
      <c r="B10" s="182" t="str">
        <f>_xlfn.CONCAT("$",B104,"M 
","(± $",B105,"M)")</f>
        <v>$0.13M 
(± $0.42M)</v>
      </c>
      <c r="C10" s="182" t="str">
        <f>_xlfn.CONCAT("$",C104,"M")</f>
        <v>$29M</v>
      </c>
      <c r="D10" s="182">
        <f>D104</f>
        <v>213</v>
      </c>
      <c r="E10"/>
      <c r="G10"/>
      <c r="H10"/>
      <c r="I10"/>
      <c r="J10"/>
      <c r="K10"/>
      <c r="M10"/>
      <c r="N10"/>
      <c r="O10"/>
      <c r="P10"/>
      <c r="Q10"/>
      <c r="R10"/>
      <c r="S10"/>
      <c r="T10"/>
      <c r="U10"/>
      <c r="V10"/>
      <c r="W10"/>
      <c r="X10"/>
      <c r="Y10"/>
      <c r="Z10"/>
      <c r="AA10"/>
    </row>
    <row r="11" spans="1:27" ht="15.75" thickBot="1" x14ac:dyDescent="0.3">
      <c r="A11" s="181" t="s">
        <v>47</v>
      </c>
      <c r="B11" s="182" t="str">
        <f>_xlfn.CONCAT("$",B106,"M 
","(± $",B107,"M)")</f>
        <v>$0.17M 
(± $0.5M)</v>
      </c>
      <c r="C11" s="182" t="str">
        <f>_xlfn.CONCAT("$",C106,"M")</f>
        <v>$18M</v>
      </c>
      <c r="D11" s="182">
        <f>D106</f>
        <v>106</v>
      </c>
      <c r="E11"/>
      <c r="G11"/>
      <c r="H11"/>
      <c r="I11"/>
      <c r="J11"/>
      <c r="K11"/>
      <c r="M11"/>
      <c r="N11"/>
      <c r="O11"/>
      <c r="P11"/>
      <c r="Q11"/>
      <c r="R11"/>
      <c r="S11"/>
      <c r="T11"/>
      <c r="U11"/>
      <c r="V11"/>
      <c r="W11"/>
      <c r="X11"/>
      <c r="Y11"/>
      <c r="Z11"/>
      <c r="AA11"/>
    </row>
    <row r="12" spans="1:27" ht="15.75" thickBot="1" x14ac:dyDescent="0.3">
      <c r="A12" s="181" t="s">
        <v>334</v>
      </c>
      <c r="B12" s="182" t="str">
        <f>_xlfn.CONCAT("$",B108,"M 
","(± $",B109,"M)")</f>
        <v>$0.12M 
(± $0.37M)</v>
      </c>
      <c r="C12" s="182" t="str">
        <f>_xlfn.CONCAT("$",C108,"M")</f>
        <v>$15M</v>
      </c>
      <c r="D12" s="182">
        <f>D108</f>
        <v>123</v>
      </c>
      <c r="E12"/>
      <c r="G12"/>
      <c r="H12"/>
      <c r="I12"/>
      <c r="J12"/>
      <c r="K12"/>
      <c r="M12"/>
      <c r="N12"/>
      <c r="O12"/>
      <c r="P12"/>
      <c r="Q12"/>
      <c r="R12"/>
      <c r="S12"/>
      <c r="T12"/>
      <c r="U12"/>
      <c r="V12"/>
      <c r="W12"/>
      <c r="X12"/>
      <c r="Y12"/>
      <c r="Z12"/>
      <c r="AA12"/>
    </row>
    <row r="13" spans="1:27" ht="15.75" thickBot="1" x14ac:dyDescent="0.3">
      <c r="A13" s="181" t="s">
        <v>605</v>
      </c>
      <c r="B13" s="182" t="str">
        <f>_xlfn.CONCAT("$",B110,"M 
","(± $",B111,"M)")</f>
        <v>$0.26M 
(± $0.57M)</v>
      </c>
      <c r="C13" s="182" t="str">
        <f>_xlfn.CONCAT("$",C110,"M")</f>
        <v>$18M</v>
      </c>
      <c r="D13" s="182">
        <f>D110</f>
        <v>69</v>
      </c>
      <c r="E13"/>
      <c r="G13"/>
      <c r="H13"/>
      <c r="I13"/>
      <c r="J13"/>
      <c r="K13"/>
      <c r="M13"/>
      <c r="N13"/>
      <c r="O13"/>
      <c r="P13"/>
      <c r="Q13"/>
      <c r="R13"/>
      <c r="S13"/>
      <c r="T13"/>
      <c r="U13"/>
      <c r="V13"/>
      <c r="W13"/>
      <c r="X13"/>
      <c r="Y13"/>
      <c r="Z13"/>
      <c r="AA13"/>
    </row>
    <row r="14" spans="1:27" ht="15.75" thickBot="1" x14ac:dyDescent="0.3">
      <c r="A14" s="181" t="s">
        <v>1894</v>
      </c>
      <c r="B14" s="182" t="str">
        <f>_xlfn.CONCAT("$",B112,"M 
","(± $",B113,"M)")</f>
        <v>$0.28M 
(± $1.2M)</v>
      </c>
      <c r="C14" s="182" t="str">
        <f>_xlfn.CONCAT("$",C112,"M")</f>
        <v>$70M</v>
      </c>
      <c r="D14" s="182">
        <f>D112</f>
        <v>250</v>
      </c>
      <c r="E14"/>
      <c r="G14"/>
      <c r="H14"/>
      <c r="I14"/>
      <c r="J14"/>
      <c r="K14"/>
      <c r="M14"/>
      <c r="N14"/>
      <c r="O14"/>
      <c r="P14"/>
      <c r="Q14"/>
      <c r="R14"/>
      <c r="S14"/>
      <c r="T14"/>
      <c r="U14"/>
      <c r="V14"/>
      <c r="W14"/>
      <c r="X14"/>
      <c r="Y14"/>
      <c r="Z14"/>
      <c r="AA14"/>
    </row>
    <row r="15" spans="1:27" ht="15.75" thickBot="1" x14ac:dyDescent="0.3">
      <c r="A15" s="181" t="s">
        <v>1896</v>
      </c>
      <c r="B15" s="182" t="str">
        <f>_xlfn.CONCAT("$",B114,"M 
","(± $",B115,"M)")</f>
        <v>$0.26M 
(± $0.95M)</v>
      </c>
      <c r="C15" s="182" t="str">
        <f>_xlfn.CONCAT("$",C114,"M")</f>
        <v>$48M</v>
      </c>
      <c r="D15" s="182">
        <f>D114</f>
        <v>186</v>
      </c>
      <c r="E15"/>
      <c r="G15"/>
      <c r="H15"/>
      <c r="I15"/>
      <c r="J15"/>
      <c r="K15"/>
      <c r="M15"/>
      <c r="N15"/>
      <c r="O15"/>
      <c r="P15"/>
      <c r="Q15"/>
      <c r="R15"/>
      <c r="S15"/>
      <c r="T15"/>
      <c r="U15"/>
      <c r="V15"/>
      <c r="W15"/>
      <c r="X15"/>
      <c r="Y15"/>
      <c r="Z15"/>
      <c r="AA15"/>
    </row>
    <row r="16" spans="1:27" x14ac:dyDescent="0.25">
      <c r="A16"/>
      <c r="B16" s="1"/>
      <c r="C16" s="1"/>
      <c r="D16" s="1"/>
      <c r="E16"/>
      <c r="G16"/>
      <c r="H16"/>
      <c r="I16"/>
      <c r="J16"/>
      <c r="K16"/>
      <c r="M16"/>
      <c r="N16"/>
      <c r="O16"/>
      <c r="P16"/>
      <c r="Q16"/>
      <c r="R16"/>
      <c r="S16"/>
      <c r="T16"/>
      <c r="U16"/>
      <c r="V16"/>
      <c r="W16"/>
      <c r="X16"/>
      <c r="Y16"/>
      <c r="Z16"/>
      <c r="AA16"/>
    </row>
    <row r="17" spans="1:27" x14ac:dyDescent="0.25">
      <c r="A17"/>
      <c r="B17"/>
      <c r="C17"/>
      <c r="D17"/>
      <c r="E17"/>
      <c r="G17"/>
      <c r="H17"/>
      <c r="I17"/>
      <c r="J17"/>
      <c r="K17"/>
      <c r="M17"/>
      <c r="N17"/>
      <c r="O17"/>
      <c r="P17"/>
      <c r="Q17"/>
      <c r="R17"/>
      <c r="S17"/>
      <c r="T17"/>
      <c r="U17"/>
      <c r="V17"/>
      <c r="W17"/>
      <c r="X17"/>
      <c r="Y17"/>
      <c r="Z17"/>
      <c r="AA17"/>
    </row>
    <row r="18" spans="1:27" x14ac:dyDescent="0.25">
      <c r="A18"/>
      <c r="B18"/>
      <c r="C18"/>
      <c r="D18"/>
      <c r="E18"/>
      <c r="G18"/>
      <c r="H18"/>
      <c r="I18"/>
      <c r="J18"/>
      <c r="K18"/>
      <c r="M18"/>
      <c r="N18"/>
      <c r="O18"/>
      <c r="P18"/>
      <c r="Q18"/>
      <c r="R18"/>
      <c r="S18"/>
      <c r="T18"/>
      <c r="U18"/>
      <c r="V18"/>
      <c r="W18"/>
      <c r="X18"/>
      <c r="Y18"/>
      <c r="Z18"/>
      <c r="AA18"/>
    </row>
    <row r="19" spans="1:27" x14ac:dyDescent="0.25">
      <c r="A19"/>
      <c r="B19"/>
      <c r="C19"/>
      <c r="D19"/>
      <c r="E19"/>
      <c r="G19"/>
      <c r="H19"/>
      <c r="I19"/>
      <c r="J19"/>
      <c r="K19"/>
      <c r="M19"/>
      <c r="N19"/>
      <c r="O19"/>
      <c r="P19"/>
      <c r="Q19"/>
      <c r="R19"/>
      <c r="S19"/>
      <c r="T19"/>
      <c r="U19"/>
      <c r="V19"/>
      <c r="W19"/>
      <c r="X19"/>
      <c r="Y19"/>
      <c r="Z19"/>
      <c r="AA19"/>
    </row>
    <row r="20" spans="1:27" x14ac:dyDescent="0.25">
      <c r="A20"/>
      <c r="B20"/>
      <c r="C20"/>
      <c r="D20"/>
      <c r="E20"/>
      <c r="G20"/>
      <c r="H20"/>
      <c r="I20"/>
      <c r="J20"/>
      <c r="K20"/>
      <c r="M20"/>
      <c r="N20"/>
      <c r="O20"/>
      <c r="P20"/>
      <c r="Q20"/>
      <c r="R20"/>
      <c r="S20"/>
      <c r="T20"/>
      <c r="U20"/>
      <c r="V20"/>
      <c r="W20"/>
      <c r="X20"/>
      <c r="Y20"/>
      <c r="Z20"/>
      <c r="AA20"/>
    </row>
    <row r="21" spans="1:27" x14ac:dyDescent="0.25">
      <c r="A21"/>
      <c r="B21"/>
      <c r="C21"/>
      <c r="D21"/>
      <c r="E21"/>
      <c r="G21"/>
      <c r="H21"/>
      <c r="I21"/>
      <c r="J21"/>
      <c r="K21"/>
      <c r="M21"/>
      <c r="N21"/>
      <c r="O21"/>
      <c r="P21"/>
      <c r="Q21"/>
      <c r="R21"/>
      <c r="S21"/>
      <c r="T21"/>
      <c r="U21"/>
      <c r="V21"/>
      <c r="W21"/>
      <c r="X21"/>
      <c r="Y21"/>
      <c r="Z21"/>
      <c r="AA21"/>
    </row>
    <row r="22" spans="1:27" x14ac:dyDescent="0.25">
      <c r="A22"/>
      <c r="B22"/>
      <c r="C22"/>
      <c r="D22"/>
      <c r="E22"/>
      <c r="G22"/>
      <c r="H22"/>
      <c r="I22"/>
      <c r="J22"/>
      <c r="K22"/>
      <c r="M22"/>
      <c r="N22"/>
      <c r="O22"/>
      <c r="P22"/>
      <c r="Q22"/>
      <c r="R22"/>
      <c r="S22"/>
      <c r="T22"/>
      <c r="U22"/>
      <c r="V22"/>
      <c r="W22"/>
      <c r="X22"/>
      <c r="Y22"/>
      <c r="Z22"/>
      <c r="AA22"/>
    </row>
    <row r="23" spans="1:27" x14ac:dyDescent="0.25">
      <c r="A23"/>
      <c r="B23"/>
      <c r="C23"/>
      <c r="D23"/>
      <c r="E23"/>
      <c r="G23"/>
      <c r="H23"/>
      <c r="I23"/>
      <c r="J23"/>
      <c r="K23"/>
      <c r="M23"/>
      <c r="N23"/>
      <c r="O23"/>
      <c r="P23"/>
      <c r="Q23"/>
      <c r="R23"/>
      <c r="S23"/>
      <c r="T23"/>
      <c r="U23"/>
      <c r="V23"/>
      <c r="W23"/>
      <c r="X23"/>
      <c r="Y23"/>
      <c r="Z23"/>
      <c r="AA23"/>
    </row>
    <row r="24" spans="1:27" x14ac:dyDescent="0.25">
      <c r="A24"/>
      <c r="B24"/>
      <c r="C24"/>
      <c r="D24"/>
      <c r="E24"/>
      <c r="G24"/>
      <c r="H24"/>
      <c r="I24"/>
      <c r="J24"/>
      <c r="K24"/>
      <c r="M24"/>
      <c r="N24"/>
      <c r="O24"/>
      <c r="P24"/>
      <c r="Q24"/>
      <c r="R24"/>
      <c r="S24"/>
      <c r="T24"/>
      <c r="U24"/>
      <c r="V24"/>
      <c r="W24"/>
      <c r="X24"/>
      <c r="Y24"/>
      <c r="Z24"/>
      <c r="AA24"/>
    </row>
    <row r="25" spans="1:27" x14ac:dyDescent="0.25">
      <c r="A25"/>
      <c r="B25"/>
      <c r="C25"/>
      <c r="D25"/>
      <c r="E25"/>
      <c r="G25"/>
      <c r="H25"/>
      <c r="I25"/>
      <c r="J25"/>
      <c r="K25"/>
      <c r="M25"/>
      <c r="N25"/>
      <c r="O25"/>
      <c r="P25"/>
      <c r="Q25"/>
      <c r="R25"/>
      <c r="S25"/>
      <c r="T25"/>
      <c r="U25"/>
      <c r="V25"/>
      <c r="W25"/>
      <c r="X25"/>
      <c r="Y25"/>
      <c r="Z25"/>
      <c r="AA25"/>
    </row>
    <row r="26" spans="1:27" x14ac:dyDescent="0.25">
      <c r="A26"/>
      <c r="B26"/>
      <c r="C26"/>
      <c r="D26"/>
      <c r="E26"/>
      <c r="G26"/>
      <c r="H26"/>
      <c r="I26"/>
      <c r="J26"/>
      <c r="K26"/>
      <c r="M26"/>
      <c r="N26"/>
      <c r="O26"/>
      <c r="P26"/>
      <c r="Q26"/>
      <c r="R26"/>
      <c r="S26"/>
      <c r="T26"/>
      <c r="U26"/>
      <c r="V26"/>
      <c r="W26"/>
      <c r="X26"/>
      <c r="Y26"/>
      <c r="Z26"/>
      <c r="AA26"/>
    </row>
    <row r="27" spans="1:27" x14ac:dyDescent="0.25">
      <c r="A27"/>
      <c r="B27"/>
      <c r="C27"/>
      <c r="D27"/>
      <c r="E27"/>
      <c r="G27"/>
      <c r="H27"/>
      <c r="I27"/>
      <c r="J27"/>
      <c r="K27"/>
      <c r="M27"/>
      <c r="N27"/>
      <c r="O27"/>
      <c r="P27"/>
      <c r="Q27"/>
      <c r="R27"/>
      <c r="S27"/>
      <c r="T27"/>
      <c r="U27"/>
      <c r="V27"/>
      <c r="W27"/>
      <c r="X27"/>
      <c r="Y27"/>
      <c r="Z27"/>
      <c r="AA27"/>
    </row>
    <row r="28" spans="1:27" x14ac:dyDescent="0.25">
      <c r="A28"/>
      <c r="B28"/>
      <c r="C28"/>
      <c r="D28"/>
      <c r="E28"/>
      <c r="G28"/>
      <c r="H28"/>
      <c r="I28"/>
      <c r="J28"/>
      <c r="K28"/>
      <c r="M28"/>
      <c r="N28"/>
      <c r="O28"/>
      <c r="P28"/>
      <c r="Q28"/>
      <c r="R28"/>
      <c r="S28"/>
      <c r="T28"/>
      <c r="U28"/>
      <c r="V28"/>
      <c r="W28"/>
      <c r="X28"/>
      <c r="Y28"/>
      <c r="Z28"/>
      <c r="AA28"/>
    </row>
    <row r="29" spans="1:27" x14ac:dyDescent="0.25">
      <c r="A29"/>
      <c r="B29"/>
      <c r="C29"/>
      <c r="D29"/>
      <c r="E29"/>
      <c r="G29"/>
      <c r="H29"/>
      <c r="I29"/>
      <c r="J29"/>
      <c r="K29"/>
      <c r="M29"/>
      <c r="N29"/>
      <c r="O29"/>
      <c r="P29"/>
      <c r="Q29"/>
      <c r="R29"/>
      <c r="S29"/>
      <c r="T29"/>
      <c r="U29"/>
      <c r="V29"/>
      <c r="W29"/>
      <c r="X29"/>
      <c r="Y29"/>
      <c r="Z29"/>
      <c r="AA29"/>
    </row>
    <row r="30" spans="1:27" x14ac:dyDescent="0.25">
      <c r="A30"/>
      <c r="B30"/>
      <c r="C30"/>
      <c r="D30"/>
      <c r="E30"/>
      <c r="G30"/>
      <c r="H30"/>
      <c r="I30"/>
      <c r="J30"/>
      <c r="K30"/>
      <c r="M30"/>
      <c r="N30"/>
      <c r="O30"/>
      <c r="P30"/>
      <c r="Q30"/>
      <c r="R30"/>
      <c r="S30"/>
      <c r="T30"/>
      <c r="U30"/>
      <c r="V30"/>
      <c r="W30"/>
      <c r="X30"/>
      <c r="Y30"/>
      <c r="Z30"/>
      <c r="AA30"/>
    </row>
    <row r="31" spans="1:27" x14ac:dyDescent="0.25">
      <c r="A31"/>
      <c r="B31"/>
      <c r="C31"/>
      <c r="D31"/>
      <c r="E31"/>
      <c r="G31"/>
      <c r="H31"/>
      <c r="I31"/>
      <c r="J31"/>
      <c r="K31"/>
      <c r="M31"/>
      <c r="N31"/>
      <c r="O31"/>
      <c r="P31"/>
      <c r="Q31"/>
      <c r="R31"/>
      <c r="S31"/>
      <c r="T31"/>
      <c r="U31"/>
      <c r="V31"/>
      <c r="W31"/>
      <c r="X31"/>
      <c r="Y31"/>
      <c r="Z31"/>
      <c r="AA31"/>
    </row>
    <row r="32" spans="1:27" x14ac:dyDescent="0.25">
      <c r="A32"/>
      <c r="B32"/>
      <c r="C32"/>
      <c r="D32"/>
      <c r="E32"/>
      <c r="G32"/>
      <c r="H32"/>
      <c r="I32"/>
      <c r="J32"/>
      <c r="K32"/>
      <c r="M32"/>
      <c r="N32"/>
      <c r="O32"/>
      <c r="P32"/>
      <c r="Q32"/>
      <c r="R32"/>
      <c r="S32"/>
      <c r="T32"/>
      <c r="U32"/>
      <c r="V32"/>
      <c r="W32"/>
      <c r="X32"/>
      <c r="Y32"/>
      <c r="Z32"/>
      <c r="AA32"/>
    </row>
    <row r="33" spans="1:27" x14ac:dyDescent="0.25">
      <c r="A33"/>
      <c r="B33"/>
      <c r="C33"/>
      <c r="D33"/>
      <c r="E33"/>
      <c r="G33"/>
      <c r="H33"/>
      <c r="I33"/>
      <c r="J33"/>
      <c r="K33"/>
      <c r="M33"/>
      <c r="N33"/>
      <c r="O33"/>
      <c r="P33"/>
      <c r="Q33"/>
      <c r="R33"/>
      <c r="S33"/>
      <c r="T33"/>
      <c r="U33"/>
      <c r="V33"/>
      <c r="W33"/>
      <c r="X33"/>
      <c r="Y33"/>
      <c r="Z33"/>
      <c r="AA33"/>
    </row>
    <row r="34" spans="1:27" x14ac:dyDescent="0.25">
      <c r="A34"/>
      <c r="B34"/>
      <c r="C34"/>
      <c r="D34"/>
      <c r="E34"/>
      <c r="G34"/>
      <c r="H34"/>
      <c r="I34"/>
      <c r="J34"/>
      <c r="K34"/>
      <c r="M34"/>
      <c r="N34"/>
      <c r="O34"/>
      <c r="P34"/>
      <c r="Q34"/>
      <c r="R34"/>
      <c r="S34"/>
      <c r="T34"/>
      <c r="U34"/>
      <c r="V34"/>
      <c r="W34"/>
      <c r="X34"/>
      <c r="Y34"/>
      <c r="Z34"/>
      <c r="AA34"/>
    </row>
    <row r="35" spans="1:27" x14ac:dyDescent="0.25">
      <c r="A35"/>
      <c r="B35"/>
      <c r="C35"/>
      <c r="D35"/>
      <c r="E35"/>
      <c r="G35"/>
      <c r="H35"/>
      <c r="I35"/>
      <c r="J35"/>
      <c r="K35"/>
      <c r="M35"/>
      <c r="N35"/>
      <c r="O35"/>
      <c r="P35"/>
      <c r="Q35"/>
      <c r="R35"/>
      <c r="S35"/>
      <c r="T35"/>
      <c r="U35"/>
      <c r="V35"/>
      <c r="W35"/>
      <c r="X35"/>
      <c r="Y35"/>
      <c r="Z35"/>
      <c r="AA35"/>
    </row>
    <row r="36" spans="1:27" x14ac:dyDescent="0.25">
      <c r="A36"/>
      <c r="B36"/>
      <c r="C36"/>
      <c r="D36"/>
      <c r="E36"/>
      <c r="G36"/>
      <c r="H36"/>
      <c r="I36"/>
      <c r="J36"/>
      <c r="K36"/>
      <c r="M36"/>
      <c r="N36"/>
      <c r="O36"/>
      <c r="P36"/>
      <c r="Q36"/>
      <c r="R36"/>
      <c r="S36"/>
      <c r="T36"/>
      <c r="U36"/>
      <c r="V36"/>
      <c r="W36"/>
      <c r="X36"/>
      <c r="Y36"/>
      <c r="Z36"/>
      <c r="AA36"/>
    </row>
    <row r="37" spans="1:27" x14ac:dyDescent="0.25">
      <c r="A37"/>
      <c r="B37"/>
      <c r="C37"/>
      <c r="D37"/>
      <c r="E37"/>
      <c r="G37"/>
      <c r="H37"/>
      <c r="I37"/>
      <c r="J37"/>
      <c r="K37"/>
      <c r="M37"/>
      <c r="N37"/>
      <c r="O37"/>
      <c r="P37"/>
      <c r="Q37"/>
      <c r="R37"/>
      <c r="S37"/>
      <c r="T37"/>
      <c r="U37"/>
      <c r="V37"/>
      <c r="W37"/>
      <c r="X37"/>
      <c r="Y37"/>
      <c r="Z37"/>
      <c r="AA37"/>
    </row>
    <row r="38" spans="1:27" x14ac:dyDescent="0.25">
      <c r="A38"/>
      <c r="B38"/>
      <c r="C38"/>
      <c r="D38"/>
      <c r="E38"/>
      <c r="G38"/>
      <c r="H38"/>
      <c r="I38"/>
      <c r="J38"/>
      <c r="K38"/>
      <c r="M38"/>
      <c r="N38"/>
      <c r="O38"/>
      <c r="P38"/>
      <c r="Q38"/>
      <c r="R38"/>
      <c r="S38"/>
      <c r="T38"/>
      <c r="U38"/>
      <c r="V38"/>
      <c r="W38"/>
      <c r="X38"/>
      <c r="Y38"/>
      <c r="Z38"/>
      <c r="AA38"/>
    </row>
    <row r="39" spans="1:27" x14ac:dyDescent="0.25">
      <c r="A39"/>
      <c r="B39"/>
      <c r="C39"/>
      <c r="D39"/>
      <c r="E39"/>
      <c r="G39"/>
      <c r="H39"/>
      <c r="I39"/>
      <c r="J39"/>
      <c r="K39"/>
      <c r="M39"/>
      <c r="N39"/>
      <c r="O39"/>
      <c r="P39"/>
      <c r="Q39"/>
      <c r="R39"/>
      <c r="S39"/>
      <c r="T39"/>
      <c r="U39"/>
      <c r="V39"/>
      <c r="W39"/>
      <c r="X39"/>
      <c r="Y39"/>
      <c r="Z39"/>
      <c r="AA39"/>
    </row>
    <row r="40" spans="1:27" x14ac:dyDescent="0.25">
      <c r="A40"/>
      <c r="B40"/>
      <c r="C40"/>
      <c r="D40"/>
      <c r="E40"/>
      <c r="G40"/>
      <c r="H40"/>
      <c r="I40"/>
      <c r="J40"/>
      <c r="K40"/>
      <c r="M40"/>
      <c r="N40"/>
      <c r="O40"/>
      <c r="P40"/>
      <c r="Q40"/>
      <c r="R40"/>
      <c r="S40"/>
      <c r="T40"/>
      <c r="U40"/>
      <c r="V40"/>
      <c r="W40"/>
      <c r="X40"/>
      <c r="Y40"/>
      <c r="Z40"/>
      <c r="AA40"/>
    </row>
    <row r="41" spans="1:27" x14ac:dyDescent="0.25">
      <c r="A41"/>
      <c r="B41"/>
      <c r="C41"/>
      <c r="D41"/>
      <c r="E41"/>
      <c r="G41"/>
      <c r="H41"/>
      <c r="I41"/>
      <c r="J41"/>
      <c r="K41"/>
      <c r="M41"/>
      <c r="N41"/>
      <c r="O41"/>
      <c r="P41"/>
      <c r="Q41"/>
      <c r="R41"/>
      <c r="S41"/>
      <c r="T41"/>
      <c r="U41"/>
      <c r="V41"/>
      <c r="W41"/>
      <c r="X41"/>
      <c r="Y41"/>
      <c r="Z41"/>
      <c r="AA41"/>
    </row>
    <row r="42" spans="1:27" x14ac:dyDescent="0.25">
      <c r="A42"/>
      <c r="B42"/>
      <c r="C42"/>
      <c r="D42"/>
      <c r="E42"/>
      <c r="G42"/>
      <c r="H42"/>
      <c r="I42"/>
      <c r="J42"/>
      <c r="K42"/>
      <c r="M42"/>
      <c r="N42"/>
      <c r="O42"/>
      <c r="P42"/>
      <c r="Q42"/>
      <c r="R42"/>
      <c r="S42"/>
      <c r="T42"/>
      <c r="U42"/>
      <c r="V42"/>
      <c r="W42"/>
      <c r="X42"/>
      <c r="Y42"/>
      <c r="Z42"/>
      <c r="AA42"/>
    </row>
    <row r="43" spans="1:27" x14ac:dyDescent="0.25">
      <c r="A43"/>
      <c r="B43"/>
      <c r="C43"/>
      <c r="D43"/>
      <c r="E43"/>
      <c r="G43"/>
      <c r="H43"/>
      <c r="I43"/>
      <c r="J43"/>
      <c r="K43"/>
      <c r="M43"/>
      <c r="N43"/>
      <c r="O43"/>
      <c r="P43"/>
      <c r="Q43"/>
      <c r="R43"/>
      <c r="S43"/>
      <c r="T43"/>
      <c r="U43"/>
      <c r="V43"/>
      <c r="W43"/>
      <c r="X43"/>
      <c r="Y43"/>
      <c r="Z43"/>
      <c r="AA43"/>
    </row>
    <row r="44" spans="1:27" x14ac:dyDescent="0.25">
      <c r="A44"/>
      <c r="B44"/>
      <c r="C44"/>
      <c r="D44"/>
      <c r="E44"/>
      <c r="G44"/>
      <c r="H44"/>
      <c r="I44"/>
      <c r="J44"/>
      <c r="K44"/>
      <c r="M44"/>
      <c r="N44"/>
      <c r="O44"/>
      <c r="P44"/>
      <c r="Q44"/>
      <c r="R44"/>
      <c r="S44"/>
      <c r="T44"/>
      <c r="U44"/>
      <c r="V44"/>
      <c r="W44"/>
      <c r="X44"/>
      <c r="Y44"/>
      <c r="Z44"/>
      <c r="AA44"/>
    </row>
    <row r="45" spans="1:27" x14ac:dyDescent="0.25">
      <c r="A45"/>
      <c r="B45"/>
      <c r="C45"/>
      <c r="D45"/>
      <c r="E45"/>
      <c r="G45"/>
      <c r="H45"/>
      <c r="I45"/>
      <c r="J45"/>
      <c r="K45"/>
      <c r="M45"/>
      <c r="N45"/>
      <c r="O45"/>
      <c r="P45"/>
      <c r="Q45"/>
      <c r="R45"/>
      <c r="S45"/>
      <c r="T45"/>
      <c r="U45"/>
      <c r="V45"/>
      <c r="W45"/>
      <c r="X45"/>
      <c r="Y45"/>
      <c r="Z45"/>
      <c r="AA45"/>
    </row>
    <row r="46" spans="1:27" x14ac:dyDescent="0.25">
      <c r="A46"/>
      <c r="B46"/>
      <c r="C46"/>
      <c r="D46"/>
      <c r="E46"/>
      <c r="G46"/>
      <c r="H46"/>
      <c r="I46"/>
      <c r="J46"/>
      <c r="K46"/>
      <c r="M46"/>
      <c r="N46"/>
      <c r="O46"/>
      <c r="P46"/>
      <c r="Q46"/>
      <c r="R46"/>
      <c r="S46"/>
      <c r="T46"/>
      <c r="U46"/>
      <c r="V46"/>
      <c r="W46"/>
      <c r="X46"/>
      <c r="Y46"/>
      <c r="Z46"/>
      <c r="AA46"/>
    </row>
    <row r="47" spans="1:27" ht="15.75" thickBot="1" x14ac:dyDescent="0.3">
      <c r="A47"/>
      <c r="B47"/>
      <c r="C47"/>
      <c r="D47"/>
      <c r="E47"/>
      <c r="G47"/>
      <c r="H47"/>
      <c r="I47"/>
      <c r="J47"/>
      <c r="K47"/>
      <c r="M47"/>
      <c r="N47"/>
      <c r="O47"/>
      <c r="P47"/>
      <c r="Q47"/>
      <c r="R47"/>
      <c r="S47"/>
      <c r="T47"/>
      <c r="U47"/>
      <c r="V47"/>
      <c r="W47"/>
      <c r="X47"/>
      <c r="Y47"/>
      <c r="Z47"/>
      <c r="AA47"/>
    </row>
    <row r="48" spans="1:27" s="147" customFormat="1" x14ac:dyDescent="0.25">
      <c r="A48" s="172"/>
      <c r="B48" s="172"/>
      <c r="C48" s="172"/>
      <c r="D48" s="172"/>
      <c r="E48" s="172"/>
      <c r="G48" s="172"/>
      <c r="H48" s="172"/>
      <c r="I48" s="172"/>
      <c r="J48" s="172"/>
      <c r="K48" s="172"/>
      <c r="M48" s="172"/>
      <c r="N48" s="172"/>
      <c r="O48" s="172"/>
      <c r="P48" s="172"/>
      <c r="Q48" s="172"/>
      <c r="R48" s="172"/>
      <c r="S48" s="172"/>
      <c r="T48" s="172"/>
      <c r="U48" s="172"/>
      <c r="V48" s="172"/>
      <c r="W48" s="172"/>
      <c r="X48" s="172"/>
      <c r="Y48" s="172"/>
      <c r="Z48" s="172"/>
      <c r="AA48" s="172"/>
    </row>
    <row r="49" spans="1:34" ht="21" x14ac:dyDescent="0.35">
      <c r="A49" s="148" t="s">
        <v>2049</v>
      </c>
      <c r="B49"/>
      <c r="C49"/>
      <c r="D49"/>
      <c r="E49"/>
      <c r="G49"/>
      <c r="H49" s="148" t="s">
        <v>2049</v>
      </c>
      <c r="I49"/>
      <c r="J49"/>
      <c r="K49"/>
      <c r="M49"/>
      <c r="N49"/>
      <c r="O49"/>
      <c r="P49"/>
      <c r="Q49"/>
      <c r="R49"/>
      <c r="S49"/>
      <c r="T49"/>
      <c r="U49"/>
      <c r="V49"/>
      <c r="W49"/>
      <c r="X49"/>
      <c r="Y49"/>
      <c r="Z49"/>
      <c r="AA49"/>
    </row>
    <row r="50" spans="1:34" x14ac:dyDescent="0.25">
      <c r="A50" s="150" t="s">
        <v>1956</v>
      </c>
      <c r="B50" s="221" t="s">
        <v>2050</v>
      </c>
      <c r="C50" s="221" t="s">
        <v>2051</v>
      </c>
      <c r="D50" s="221" t="s">
        <v>2038</v>
      </c>
      <c r="E50" s="221" t="s">
        <v>2052</v>
      </c>
      <c r="G50"/>
      <c r="H50" s="150" t="s">
        <v>1956</v>
      </c>
      <c r="I50" t="s">
        <v>2038</v>
      </c>
      <c r="J50"/>
      <c r="K50"/>
      <c r="M50"/>
      <c r="N50"/>
      <c r="O50" t="s">
        <v>76</v>
      </c>
      <c r="P50" t="s">
        <v>1895</v>
      </c>
      <c r="Q50" t="s">
        <v>131</v>
      </c>
      <c r="R50" t="s">
        <v>334</v>
      </c>
      <c r="S50" t="s">
        <v>71</v>
      </c>
      <c r="T50" t="s">
        <v>1897</v>
      </c>
      <c r="U50" t="s">
        <v>1898</v>
      </c>
      <c r="V50" t="s">
        <v>1456</v>
      </c>
      <c r="W50" t="s">
        <v>1894</v>
      </c>
      <c r="X50" t="s">
        <v>1896</v>
      </c>
      <c r="Y50" t="s">
        <v>47</v>
      </c>
      <c r="Z50" t="s">
        <v>605</v>
      </c>
      <c r="AA50"/>
      <c r="AC50" s="183"/>
      <c r="AD50" s="183"/>
      <c r="AE50" s="183"/>
      <c r="AF50" s="183"/>
      <c r="AG50" s="183"/>
      <c r="AH50" s="183"/>
    </row>
    <row r="51" spans="1:34" x14ac:dyDescent="0.25">
      <c r="A51" s="44" t="s">
        <v>76</v>
      </c>
      <c r="B51" s="175">
        <v>771212.40189351293</v>
      </c>
      <c r="C51" s="175">
        <v>4149461.2700846707</v>
      </c>
      <c r="D51" s="175">
        <v>87918213.81586048</v>
      </c>
      <c r="E51" s="175">
        <v>114</v>
      </c>
      <c r="G51"/>
      <c r="H51" s="44" t="s">
        <v>76</v>
      </c>
      <c r="I51" s="175">
        <v>87918213.81586048</v>
      </c>
      <c r="J51"/>
      <c r="K51"/>
      <c r="L51" s="130"/>
      <c r="M51"/>
      <c r="N51" t="s">
        <v>2003</v>
      </c>
      <c r="O51" s="184">
        <v>451.23702531645569</v>
      </c>
      <c r="P51" s="114">
        <v>1211.4425948592414</v>
      </c>
      <c r="Q51" s="114">
        <v>353.02661392405059</v>
      </c>
      <c r="R51" s="184">
        <v>533.52142405063285</v>
      </c>
      <c r="S51" s="114">
        <v>2096.9250000000002</v>
      </c>
      <c r="T51" s="114">
        <v>1061.7341772151899</v>
      </c>
      <c r="U51" s="184">
        <v>95.556075949367084</v>
      </c>
      <c r="V51" s="184">
        <v>500</v>
      </c>
      <c r="W51" s="114">
        <v>2123.4683544303798</v>
      </c>
      <c r="X51" s="184">
        <v>831.32844106463881</v>
      </c>
      <c r="Y51" s="184">
        <v>1100</v>
      </c>
      <c r="Z51" s="184">
        <v>1881.9901875</v>
      </c>
      <c r="AA51"/>
    </row>
    <row r="52" spans="1:34" x14ac:dyDescent="0.25">
      <c r="A52" s="44" t="s">
        <v>1895</v>
      </c>
      <c r="B52" s="175">
        <v>235846.39008707507</v>
      </c>
      <c r="C52" s="175">
        <v>529428.41083634936</v>
      </c>
      <c r="D52" s="175">
        <v>15565861.745746953</v>
      </c>
      <c r="E52" s="175">
        <v>66</v>
      </c>
      <c r="G52"/>
      <c r="H52" s="44" t="s">
        <v>1895</v>
      </c>
      <c r="I52" s="175">
        <v>15565861.745746953</v>
      </c>
      <c r="J52"/>
      <c r="K52"/>
      <c r="L52" s="130"/>
      <c r="M52"/>
      <c r="N52" t="s">
        <v>2004</v>
      </c>
      <c r="O52" s="184">
        <v>29197.689873417723</v>
      </c>
      <c r="P52" s="114">
        <v>13640.863443808068</v>
      </c>
      <c r="Q52" s="114">
        <v>5308.6708860759491</v>
      </c>
      <c r="R52" s="184">
        <v>16054.217060126583</v>
      </c>
      <c r="S52" s="114">
        <v>37314.25</v>
      </c>
      <c r="T52" s="114">
        <v>156686.26591148536</v>
      </c>
      <c r="U52" s="184">
        <v>8957.6941812535297</v>
      </c>
      <c r="V52" s="184">
        <v>3929.0174050632913</v>
      </c>
      <c r="W52" s="114">
        <v>41368.819213179639</v>
      </c>
      <c r="X52" s="184">
        <v>30121.331499388005</v>
      </c>
      <c r="Y52" s="184">
        <v>24972.824012658228</v>
      </c>
      <c r="Z52" s="184">
        <v>24188.986699367088</v>
      </c>
      <c r="AA52"/>
    </row>
    <row r="53" spans="1:34" x14ac:dyDescent="0.25">
      <c r="A53" s="44" t="s">
        <v>131</v>
      </c>
      <c r="B53" s="175">
        <v>220295.21642420324</v>
      </c>
      <c r="C53" s="175">
        <v>963139.10180360638</v>
      </c>
      <c r="D53" s="175">
        <v>25994835.538055982</v>
      </c>
      <c r="E53" s="175">
        <v>118</v>
      </c>
      <c r="G53"/>
      <c r="H53" s="44" t="s">
        <v>131</v>
      </c>
      <c r="I53" s="175">
        <v>25994835.538055982</v>
      </c>
      <c r="J53"/>
      <c r="K53"/>
      <c r="L53" s="130"/>
      <c r="M53"/>
      <c r="N53" t="s">
        <v>1988</v>
      </c>
      <c r="O53" s="184">
        <v>142084.13325804629</v>
      </c>
      <c r="P53" s="114">
        <v>38878.609442060086</v>
      </c>
      <c r="Q53" s="114">
        <v>20836.156357699518</v>
      </c>
      <c r="R53" s="184">
        <v>31954.482664556963</v>
      </c>
      <c r="S53" s="114">
        <v>234775</v>
      </c>
      <c r="T53" s="114">
        <v>353789.49181253533</v>
      </c>
      <c r="U53" s="184">
        <v>28950.836677215189</v>
      </c>
      <c r="V53" s="184">
        <v>14374.431441383327</v>
      </c>
      <c r="W53" s="114">
        <v>116215.56500316455</v>
      </c>
      <c r="X53" s="184">
        <v>91002</v>
      </c>
      <c r="Y53" s="184">
        <v>56436.480189873415</v>
      </c>
      <c r="Z53" s="184">
        <v>75000</v>
      </c>
      <c r="AA53"/>
      <c r="AC53" s="183"/>
      <c r="AD53" s="183"/>
      <c r="AE53" s="183"/>
      <c r="AF53" s="183"/>
      <c r="AG53" s="183"/>
      <c r="AH53" s="183"/>
    </row>
    <row r="54" spans="1:34" x14ac:dyDescent="0.25">
      <c r="A54" s="44" t="s">
        <v>334</v>
      </c>
      <c r="B54" s="175">
        <v>120846.49621600953</v>
      </c>
      <c r="C54" s="175">
        <v>373442.6225312372</v>
      </c>
      <c r="D54" s="175">
        <v>14864119.034569172</v>
      </c>
      <c r="E54" s="175">
        <v>123</v>
      </c>
      <c r="G54"/>
      <c r="H54" s="44" t="s">
        <v>334</v>
      </c>
      <c r="I54" s="175">
        <v>14864119.034569172</v>
      </c>
      <c r="J54"/>
      <c r="K54"/>
      <c r="L54" s="130"/>
      <c r="M54"/>
      <c r="N54" t="s">
        <v>2005</v>
      </c>
      <c r="O54" s="184">
        <v>849966.72114574781</v>
      </c>
      <c r="P54" s="114">
        <v>106104.19422888618</v>
      </c>
      <c r="Q54" s="114">
        <v>67529.048871075938</v>
      </c>
      <c r="R54" s="184">
        <v>88366.569609175291</v>
      </c>
      <c r="S54" s="114">
        <v>690321.71166462672</v>
      </c>
      <c r="T54" s="114">
        <v>1242743.5794135802</v>
      </c>
      <c r="U54" s="184">
        <v>85064.565769462031</v>
      </c>
      <c r="V54" s="184">
        <v>46213.631866279153</v>
      </c>
      <c r="W54" s="114">
        <v>264434.98331012658</v>
      </c>
      <c r="X54" s="184">
        <v>262358.11862080358</v>
      </c>
      <c r="Y54" s="184">
        <v>115007.79656736595</v>
      </c>
      <c r="Z54" s="184">
        <v>159189.25</v>
      </c>
      <c r="AA54"/>
    </row>
    <row r="55" spans="1:34" x14ac:dyDescent="0.25">
      <c r="A55" s="44" t="s">
        <v>71</v>
      </c>
      <c r="B55" s="175">
        <v>988289.61125244631</v>
      </c>
      <c r="C55" s="175">
        <v>2877463.5822705566</v>
      </c>
      <c r="D55" s="175">
        <v>83016327.345205486</v>
      </c>
      <c r="E55" s="175">
        <v>84</v>
      </c>
      <c r="G55"/>
      <c r="H55" s="44" t="s">
        <v>71</v>
      </c>
      <c r="I55" s="175">
        <v>83016327.345205486</v>
      </c>
      <c r="J55"/>
      <c r="K55"/>
      <c r="L55" s="130"/>
      <c r="M55"/>
      <c r="N55" t="s">
        <v>2006</v>
      </c>
      <c r="O55" s="184">
        <v>44855236.398480758</v>
      </c>
      <c r="P55" s="114">
        <v>3413972.5364504289</v>
      </c>
      <c r="Q55" s="114">
        <v>7884805.5393635258</v>
      </c>
      <c r="R55" s="184">
        <v>3539574.5645016455</v>
      </c>
      <c r="S55" s="114">
        <v>24700000</v>
      </c>
      <c r="T55" s="114">
        <v>36310585.322056308</v>
      </c>
      <c r="U55" s="184">
        <v>4575539.6038484806</v>
      </c>
      <c r="V55" s="184">
        <v>38974596.867172591</v>
      </c>
      <c r="W55" s="114">
        <v>11735254.130866328</v>
      </c>
      <c r="X55" s="184">
        <v>10161084.867645569</v>
      </c>
      <c r="Y55" s="184">
        <v>3630069.1518987338</v>
      </c>
      <c r="Z55" s="184">
        <v>8165213.4342227671</v>
      </c>
      <c r="AA55"/>
    </row>
    <row r="56" spans="1:34" x14ac:dyDescent="0.25">
      <c r="A56" s="44" t="s">
        <v>1897</v>
      </c>
      <c r="B56" s="175">
        <v>738676.88696147944</v>
      </c>
      <c r="C56" s="175">
        <v>3014734.0573843084</v>
      </c>
      <c r="D56" s="175">
        <v>274049125.06270885</v>
      </c>
      <c r="E56" s="175">
        <v>371</v>
      </c>
      <c r="G56"/>
      <c r="H56" s="44" t="s">
        <v>1897</v>
      </c>
      <c r="I56" s="175">
        <v>274049125.06270885</v>
      </c>
      <c r="J56"/>
      <c r="K56"/>
      <c r="L56" s="130"/>
      <c r="M56"/>
      <c r="N56" t="s">
        <v>1986</v>
      </c>
      <c r="O56" s="184">
        <v>1239007.6919605914</v>
      </c>
      <c r="P56" s="114">
        <v>247791.45628169773</v>
      </c>
      <c r="Q56" s="114">
        <v>228024.87314084196</v>
      </c>
      <c r="R56" s="184">
        <v>130387.0090751682</v>
      </c>
      <c r="S56" s="114">
        <v>1521011.6082762403</v>
      </c>
      <c r="T56" s="114">
        <v>1768106.613307799</v>
      </c>
      <c r="U56" s="184">
        <v>217713.81465235376</v>
      </c>
      <c r="V56" s="184">
        <v>399460.60718232981</v>
      </c>
      <c r="W56" s="114">
        <v>459124.2400751051</v>
      </c>
      <c r="X56" s="184">
        <v>408052.7323414752</v>
      </c>
      <c r="Y56" s="184">
        <v>190311.72480108059</v>
      </c>
      <c r="Z56" s="184">
        <v>467556.46213832608</v>
      </c>
      <c r="AA56"/>
      <c r="AC56" s="183"/>
      <c r="AD56" s="183"/>
      <c r="AE56" s="183"/>
      <c r="AF56" s="183"/>
      <c r="AG56" s="183"/>
      <c r="AH56" s="183"/>
    </row>
    <row r="57" spans="1:34" x14ac:dyDescent="0.25">
      <c r="A57" s="44" t="s">
        <v>1898</v>
      </c>
      <c r="B57" s="175">
        <v>134921.23724934604</v>
      </c>
      <c r="C57" s="175">
        <v>415238.65651037899</v>
      </c>
      <c r="D57" s="175">
        <v>28738223.534110706</v>
      </c>
      <c r="E57" s="175">
        <v>213</v>
      </c>
      <c r="G57"/>
      <c r="H57" s="44" t="s">
        <v>1898</v>
      </c>
      <c r="I57" s="175">
        <v>28738223.534110706</v>
      </c>
      <c r="J57"/>
      <c r="K57"/>
      <c r="L57" s="130"/>
      <c r="M57"/>
      <c r="N57"/>
      <c r="O57"/>
      <c r="P57"/>
      <c r="Q57"/>
      <c r="R57"/>
      <c r="S57"/>
      <c r="T57"/>
      <c r="U57"/>
      <c r="V57"/>
      <c r="W57"/>
      <c r="X57"/>
      <c r="Y57"/>
      <c r="Z57"/>
      <c r="AA57"/>
      <c r="AC57" s="183"/>
      <c r="AD57" s="183"/>
      <c r="AE57" s="183"/>
      <c r="AF57" s="183"/>
      <c r="AG57" s="183"/>
      <c r="AH57" s="183"/>
    </row>
    <row r="58" spans="1:34" x14ac:dyDescent="0.25">
      <c r="A58" s="44" t="s">
        <v>1456</v>
      </c>
      <c r="B58" s="175">
        <v>300669.27422325895</v>
      </c>
      <c r="C58" s="175">
        <v>2897816.7266073176</v>
      </c>
      <c r="D58" s="175">
        <v>55924485.00552617</v>
      </c>
      <c r="E58" s="175">
        <v>186</v>
      </c>
      <c r="G58"/>
      <c r="H58" s="44" t="s">
        <v>1456</v>
      </c>
      <c r="I58" s="175">
        <v>55924485.00552617</v>
      </c>
      <c r="J58"/>
      <c r="K58"/>
      <c r="L58" s="130"/>
      <c r="M58"/>
      <c r="N58" s="174" t="s">
        <v>2008</v>
      </c>
      <c r="O58"/>
      <c r="P58"/>
      <c r="Q58"/>
      <c r="R58"/>
      <c r="S58"/>
      <c r="T58"/>
      <c r="U58"/>
      <c r="V58"/>
      <c r="W58"/>
      <c r="X58"/>
      <c r="Y58"/>
      <c r="Z58"/>
      <c r="AA58"/>
    </row>
    <row r="59" spans="1:34" x14ac:dyDescent="0.25">
      <c r="A59" s="44" t="s">
        <v>1894</v>
      </c>
      <c r="B59" s="175">
        <v>278417.11773838016</v>
      </c>
      <c r="C59" s="175">
        <v>1176138.4441702596</v>
      </c>
      <c r="D59" s="175">
        <v>69604279.434595034</v>
      </c>
      <c r="E59" s="175">
        <v>250</v>
      </c>
      <c r="G59"/>
      <c r="H59" s="44" t="s">
        <v>1894</v>
      </c>
      <c r="I59" s="175">
        <v>69604279.434595034</v>
      </c>
      <c r="J59"/>
      <c r="K59"/>
      <c r="L59" s="130"/>
      <c r="M59"/>
      <c r="N59" s="174"/>
      <c r="O59"/>
      <c r="P59"/>
      <c r="Q59"/>
      <c r="R59"/>
      <c r="S59"/>
      <c r="T59"/>
      <c r="U59"/>
      <c r="V59"/>
      <c r="W59"/>
      <c r="X59"/>
      <c r="Y59"/>
      <c r="Z59"/>
      <c r="AA59"/>
      <c r="AC59" s="183"/>
      <c r="AD59" s="183"/>
      <c r="AE59" s="183"/>
      <c r="AF59" s="183"/>
      <c r="AG59" s="183"/>
      <c r="AH59" s="183"/>
    </row>
    <row r="60" spans="1:34" x14ac:dyDescent="0.25">
      <c r="A60" s="44" t="s">
        <v>1896</v>
      </c>
      <c r="B60" s="175">
        <v>258872.1635284629</v>
      </c>
      <c r="C60" s="175">
        <v>945870.6460097204</v>
      </c>
      <c r="D60" s="175">
        <v>48150222.416294098</v>
      </c>
      <c r="E60" s="175">
        <v>186</v>
      </c>
      <c r="G60"/>
      <c r="H60" s="44" t="s">
        <v>1896</v>
      </c>
      <c r="I60" s="175">
        <v>48150222.416294098</v>
      </c>
      <c r="J60"/>
      <c r="K60"/>
      <c r="L60" s="130"/>
      <c r="M60"/>
      <c r="N60" t="s">
        <v>2009</v>
      </c>
      <c r="O60" s="175">
        <f>O52</f>
        <v>29197.689873417723</v>
      </c>
      <c r="P60" s="175">
        <f t="shared" ref="P60:Z60" si="0">P52</f>
        <v>13640.863443808068</v>
      </c>
      <c r="Q60" s="175">
        <f t="shared" si="0"/>
        <v>5308.6708860759491</v>
      </c>
      <c r="R60" s="175">
        <f t="shared" si="0"/>
        <v>16054.217060126583</v>
      </c>
      <c r="S60" s="175">
        <f t="shared" si="0"/>
        <v>37314.25</v>
      </c>
      <c r="T60" s="175">
        <f t="shared" si="0"/>
        <v>156686.26591148536</v>
      </c>
      <c r="U60" s="175">
        <f t="shared" si="0"/>
        <v>8957.6941812535297</v>
      </c>
      <c r="V60" s="175">
        <f t="shared" si="0"/>
        <v>3929.0174050632913</v>
      </c>
      <c r="W60" s="175">
        <f t="shared" si="0"/>
        <v>41368.819213179639</v>
      </c>
      <c r="X60" s="175">
        <f t="shared" si="0"/>
        <v>30121.331499388005</v>
      </c>
      <c r="Y60" s="175">
        <f t="shared" si="0"/>
        <v>24972.824012658228</v>
      </c>
      <c r="Z60" s="175">
        <f t="shared" si="0"/>
        <v>24188.986699367088</v>
      </c>
      <c r="AA60"/>
      <c r="AC60" s="183"/>
      <c r="AD60" s="183"/>
      <c r="AE60" s="183"/>
      <c r="AF60" s="183"/>
      <c r="AG60" s="183"/>
      <c r="AH60" s="183"/>
    </row>
    <row r="61" spans="1:34" x14ac:dyDescent="0.25">
      <c r="A61" s="44" t="s">
        <v>47</v>
      </c>
      <c r="B61" s="175">
        <v>165246.02529905108</v>
      </c>
      <c r="C61" s="175">
        <v>498685.64455667499</v>
      </c>
      <c r="D61" s="175">
        <v>17516078.681699414</v>
      </c>
      <c r="E61" s="175">
        <v>106</v>
      </c>
      <c r="G61"/>
      <c r="H61" s="44" t="s">
        <v>47</v>
      </c>
      <c r="I61" s="175">
        <v>17516078.681699414</v>
      </c>
      <c r="J61"/>
      <c r="K61"/>
      <c r="L61" s="130"/>
      <c r="M61"/>
      <c r="N61" t="s">
        <v>2014</v>
      </c>
      <c r="O61" s="175">
        <f>O53-O52</f>
        <v>112886.44338462857</v>
      </c>
      <c r="P61" s="175">
        <f t="shared" ref="P61:Z62" si="1">P53-P52</f>
        <v>25237.745998252016</v>
      </c>
      <c r="Q61" s="175">
        <f t="shared" si="1"/>
        <v>15527.485471623568</v>
      </c>
      <c r="R61" s="175">
        <f t="shared" si="1"/>
        <v>15900.26560443038</v>
      </c>
      <c r="S61" s="175">
        <f t="shared" si="1"/>
        <v>197460.75</v>
      </c>
      <c r="T61" s="175">
        <f t="shared" si="1"/>
        <v>197103.22590104997</v>
      </c>
      <c r="U61" s="175">
        <f t="shared" si="1"/>
        <v>19993.14249596166</v>
      </c>
      <c r="V61" s="175">
        <f t="shared" si="1"/>
        <v>10445.414036320035</v>
      </c>
      <c r="W61" s="175">
        <f t="shared" si="1"/>
        <v>74846.745789984911</v>
      </c>
      <c r="X61" s="175">
        <f t="shared" si="1"/>
        <v>60880.668500611995</v>
      </c>
      <c r="Y61" s="175">
        <f t="shared" si="1"/>
        <v>31463.656177215187</v>
      </c>
      <c r="Z61" s="175">
        <f t="shared" si="1"/>
        <v>50811.013300632912</v>
      </c>
      <c r="AA61"/>
      <c r="AC61" s="183"/>
      <c r="AD61" s="183"/>
      <c r="AE61" s="183"/>
      <c r="AF61" s="183"/>
      <c r="AG61" s="183"/>
      <c r="AH61" s="183"/>
    </row>
    <row r="62" spans="1:34" x14ac:dyDescent="0.25">
      <c r="A62" s="44" t="s">
        <v>605</v>
      </c>
      <c r="B62" s="175">
        <v>257494.86320661445</v>
      </c>
      <c r="C62" s="175">
        <v>571021.68390833796</v>
      </c>
      <c r="D62" s="175">
        <v>17767145.561256398</v>
      </c>
      <c r="E62" s="175">
        <v>69</v>
      </c>
      <c r="G62"/>
      <c r="H62" s="44" t="s">
        <v>605</v>
      </c>
      <c r="I62" s="175">
        <v>17767145.561256398</v>
      </c>
      <c r="J62"/>
      <c r="K62"/>
      <c r="L62" s="130"/>
      <c r="M62"/>
      <c r="N62" t="s">
        <v>2015</v>
      </c>
      <c r="O62" s="175">
        <f>O54-O53</f>
        <v>707882.58788770158</v>
      </c>
      <c r="P62" s="175">
        <f t="shared" si="1"/>
        <v>67225.58478682609</v>
      </c>
      <c r="Q62" s="175">
        <f t="shared" si="1"/>
        <v>46692.892513376421</v>
      </c>
      <c r="R62" s="175">
        <f t="shared" si="1"/>
        <v>56412.086944618328</v>
      </c>
      <c r="S62" s="175">
        <f t="shared" si="1"/>
        <v>455546.71166462672</v>
      </c>
      <c r="T62" s="175">
        <f t="shared" si="1"/>
        <v>888954.08760104491</v>
      </c>
      <c r="U62" s="175">
        <f t="shared" si="1"/>
        <v>56113.729092246838</v>
      </c>
      <c r="V62" s="175">
        <f t="shared" si="1"/>
        <v>31839.200424895826</v>
      </c>
      <c r="W62" s="175">
        <f t="shared" si="1"/>
        <v>148219.41830696203</v>
      </c>
      <c r="X62" s="175">
        <f t="shared" si="1"/>
        <v>171356.11862080358</v>
      </c>
      <c r="Y62" s="175">
        <f t="shared" si="1"/>
        <v>58571.316377492534</v>
      </c>
      <c r="Z62" s="175">
        <f t="shared" si="1"/>
        <v>84189.25</v>
      </c>
      <c r="AA62"/>
    </row>
    <row r="63" spans="1:34" x14ac:dyDescent="0.25">
      <c r="A63" s="44" t="s">
        <v>1961</v>
      </c>
      <c r="B63" s="10">
        <v>391892.32087785169</v>
      </c>
      <c r="C63" s="10">
        <v>2113685.3123493521</v>
      </c>
      <c r="D63" s="10">
        <v>739108917.1756283</v>
      </c>
      <c r="E63" s="10">
        <v>1886</v>
      </c>
      <c r="G63"/>
      <c r="H63" s="44" t="s">
        <v>1961</v>
      </c>
      <c r="I63" s="10">
        <v>739108917.1756283</v>
      </c>
      <c r="J63"/>
      <c r="K63"/>
      <c r="M63"/>
      <c r="N63" t="s">
        <v>2016</v>
      </c>
      <c r="O63" s="175">
        <f>O52-O51</f>
        <v>28746.452848101268</v>
      </c>
      <c r="P63" s="175">
        <f t="shared" ref="P63:Z63" si="2">P52-P51</f>
        <v>12429.420848948826</v>
      </c>
      <c r="Q63" s="175">
        <f t="shared" si="2"/>
        <v>4955.6442721518988</v>
      </c>
      <c r="R63" s="175">
        <f t="shared" si="2"/>
        <v>15520.69563607595</v>
      </c>
      <c r="S63" s="175">
        <f t="shared" si="2"/>
        <v>35217.324999999997</v>
      </c>
      <c r="T63" s="175">
        <f t="shared" si="2"/>
        <v>155624.53173427016</v>
      </c>
      <c r="U63" s="175">
        <f t="shared" si="2"/>
        <v>8862.1381053041623</v>
      </c>
      <c r="V63" s="175">
        <f t="shared" si="2"/>
        <v>3429.0174050632913</v>
      </c>
      <c r="W63" s="175">
        <f t="shared" si="2"/>
        <v>39245.350858749262</v>
      </c>
      <c r="X63" s="175">
        <f t="shared" si="2"/>
        <v>29290.003058323367</v>
      </c>
      <c r="Y63" s="175">
        <f t="shared" si="2"/>
        <v>23872.824012658228</v>
      </c>
      <c r="Z63" s="175">
        <f t="shared" si="2"/>
        <v>22306.996511867088</v>
      </c>
      <c r="AA63"/>
    </row>
    <row r="64" spans="1:34" x14ac:dyDescent="0.25">
      <c r="A64"/>
      <c r="B64"/>
      <c r="C64"/>
      <c r="D64"/>
      <c r="E64"/>
      <c r="G64"/>
      <c r="H64"/>
      <c r="I64"/>
      <c r="J64"/>
      <c r="K64"/>
      <c r="M64"/>
      <c r="N64" t="s">
        <v>2017</v>
      </c>
      <c r="O64" s="175">
        <f>MIN(O55-O54,1.5*(O54-O52))</f>
        <v>1231153.546908495</v>
      </c>
      <c r="P64" s="175">
        <f t="shared" ref="P64:Z64" si="3">MIN(P55-P54,1.5*(P54-P52))</f>
        <v>138694.99617761717</v>
      </c>
      <c r="Q64" s="175">
        <f t="shared" si="3"/>
        <v>93330.566977499984</v>
      </c>
      <c r="R64" s="175">
        <f t="shared" si="3"/>
        <v>108468.52882357305</v>
      </c>
      <c r="S64" s="175">
        <f t="shared" si="3"/>
        <v>979511.19249694003</v>
      </c>
      <c r="T64" s="175">
        <f t="shared" si="3"/>
        <v>1629085.9702531425</v>
      </c>
      <c r="U64" s="175">
        <f t="shared" si="3"/>
        <v>114160.30738231276</v>
      </c>
      <c r="V64" s="175">
        <f t="shared" si="3"/>
        <v>63426.921691823794</v>
      </c>
      <c r="W64" s="175">
        <f t="shared" si="3"/>
        <v>334599.24614542042</v>
      </c>
      <c r="X64" s="175">
        <f t="shared" si="3"/>
        <v>348355.18068212335</v>
      </c>
      <c r="Y64" s="175">
        <f t="shared" si="3"/>
        <v>135052.45883206159</v>
      </c>
      <c r="Z64" s="175">
        <f t="shared" si="3"/>
        <v>202500.39495094935</v>
      </c>
      <c r="AA64"/>
    </row>
    <row r="65" spans="1:27" x14ac:dyDescent="0.25">
      <c r="A65"/>
      <c r="B65"/>
      <c r="C65"/>
      <c r="D65"/>
      <c r="E65"/>
      <c r="G65"/>
      <c r="H65"/>
      <c r="I65" t="s">
        <v>2053</v>
      </c>
      <c r="J65" t="s">
        <v>2054</v>
      </c>
      <c r="K65" t="s">
        <v>2055</v>
      </c>
      <c r="M65"/>
      <c r="N65" t="s">
        <v>2018</v>
      </c>
      <c r="O65">
        <v>0.5</v>
      </c>
      <c r="P65">
        <v>1.5</v>
      </c>
      <c r="Q65">
        <v>2.5</v>
      </c>
      <c r="R65">
        <v>3.5</v>
      </c>
      <c r="S65">
        <v>4.5</v>
      </c>
      <c r="T65">
        <v>5.5</v>
      </c>
      <c r="U65">
        <v>6.5</v>
      </c>
      <c r="V65">
        <v>7.5</v>
      </c>
      <c r="W65">
        <v>8.5</v>
      </c>
      <c r="X65">
        <v>9.5</v>
      </c>
      <c r="Y65">
        <v>10.5</v>
      </c>
      <c r="Z65">
        <v>11.5</v>
      </c>
      <c r="AA65"/>
    </row>
    <row r="66" spans="1:27" ht="47.25" customHeight="1" x14ac:dyDescent="0.4">
      <c r="A66" s="249" t="s">
        <v>76</v>
      </c>
      <c r="B66">
        <f>VLOOKUP(A66,$A$51:$E$62,2,FALSE)</f>
        <v>771212.40189351293</v>
      </c>
      <c r="C66" s="249">
        <f>VLOOKUP(A66,$A$51:$E$62,4,FALSE)</f>
        <v>87918213.81586048</v>
      </c>
      <c r="D66" s="249">
        <f>VLOOKUP(A66,$A$51:$E$62,5,FALSE)</f>
        <v>114</v>
      </c>
      <c r="E66"/>
      <c r="G66"/>
      <c r="H66" t="str">
        <f t="shared" ref="H66:H77" si="4">INDEX($H$51:$H$62,MATCH(I66,$I$51:$I$62,FALSE))</f>
        <v>Pollution Prevention</v>
      </c>
      <c r="I66">
        <f>SMALL($I$51:$I$62,ROWS(I66:I$77))</f>
        <v>274049125.06270885</v>
      </c>
      <c r="J66">
        <f>ROUND(I66,2-(1+INT(LOG10(I66))))/10^6</f>
        <v>270</v>
      </c>
      <c r="K66" s="140" t="str">
        <f>_xlfn.CONCAT(H66,",
","$",J66,"M")</f>
        <v>Pollution Prevention,
$270M</v>
      </c>
      <c r="M66"/>
      <c r="N66"/>
      <c r="O66" s="136" t="s">
        <v>2056</v>
      </c>
      <c r="P66" s="12"/>
      <c r="Q66"/>
      <c r="R66"/>
      <c r="S66" s="251" t="s">
        <v>2057</v>
      </c>
      <c r="T66" s="251"/>
      <c r="U66" s="251"/>
      <c r="V66" s="251"/>
      <c r="W66" s="251"/>
      <c r="X66" s="251"/>
      <c r="Y66"/>
      <c r="Z66"/>
      <c r="AA66"/>
    </row>
    <row r="67" spans="1:27" ht="30" x14ac:dyDescent="0.25">
      <c r="A67" s="249"/>
      <c r="B67">
        <f>VLOOKUP(A66,$A$51:$E$62,3,FALSE)</f>
        <v>4149461.2700846707</v>
      </c>
      <c r="C67" s="249"/>
      <c r="D67" s="249"/>
      <c r="E67"/>
      <c r="G67"/>
      <c r="H67" t="str">
        <f t="shared" si="4"/>
        <v>Capital Costs</v>
      </c>
      <c r="I67">
        <f>SMALL($I$51:$I$62,ROWS(I67:I$77))</f>
        <v>87918213.81586048</v>
      </c>
      <c r="J67">
        <f t="shared" ref="J67:J77" si="5">ROUND(I67,2-(1+INT(LOG10(I67))))/10^6</f>
        <v>88</v>
      </c>
      <c r="K67" s="140" t="str">
        <f t="shared" ref="K67:K77" si="6">_xlfn.CONCAT(H67,",
","$",J67,"M")</f>
        <v>Capital Costs,
$88M</v>
      </c>
      <c r="M67"/>
      <c r="N67" s="174"/>
      <c r="O67"/>
      <c r="P67"/>
      <c r="Q67"/>
      <c r="R67"/>
      <c r="S67"/>
      <c r="T67"/>
      <c r="U67"/>
      <c r="V67"/>
      <c r="W67"/>
      <c r="X67"/>
      <c r="Y67"/>
      <c r="Z67"/>
      <c r="AA67"/>
    </row>
    <row r="68" spans="1:27" ht="60" x14ac:dyDescent="0.25">
      <c r="A68" s="249" t="s">
        <v>1456</v>
      </c>
      <c r="B68">
        <f>VLOOKUP(A68,$A$51:$E$62,2,FALSE)</f>
        <v>300669.27422325895</v>
      </c>
      <c r="C68" s="249">
        <f>VLOOKUP(A68,$A$51:$E$62,4,FALSE)</f>
        <v>55924485.00552617</v>
      </c>
      <c r="D68" s="249">
        <f>VLOOKUP(A68,$A$51:$E$62,5,FALSE)</f>
        <v>186</v>
      </c>
      <c r="E68"/>
      <c r="G68"/>
      <c r="H68" t="str">
        <f t="shared" si="4"/>
        <v>Operations and Maintenance</v>
      </c>
      <c r="I68">
        <f>SMALL($I$51:$I$62,ROWS(I68:I$77))</f>
        <v>83016327.345205486</v>
      </c>
      <c r="J68">
        <f t="shared" si="5"/>
        <v>83</v>
      </c>
      <c r="K68" s="140" t="str">
        <f t="shared" si="6"/>
        <v>Operations and Maintenance,
$83M</v>
      </c>
      <c r="M68"/>
      <c r="N68" s="150" t="s">
        <v>1956</v>
      </c>
      <c r="O68" t="s">
        <v>2038</v>
      </c>
      <c r="P68"/>
      <c r="Q68"/>
      <c r="R68"/>
      <c r="S68" t="s">
        <v>2003</v>
      </c>
      <c r="T68" s="185">
        <f>MIN($O$69:$O$999)</f>
        <v>1881.9901875</v>
      </c>
      <c r="U68"/>
      <c r="V68"/>
      <c r="W68"/>
      <c r="X68"/>
      <c r="Y68"/>
      <c r="Z68"/>
      <c r="AA68"/>
    </row>
    <row r="69" spans="1:27" ht="60" x14ac:dyDescent="0.25">
      <c r="A69" s="249"/>
      <c r="B69">
        <f>VLOOKUP(A68,$A$51:$E$62,3,FALSE)</f>
        <v>2897816.7266073176</v>
      </c>
      <c r="C69" s="249"/>
      <c r="D69" s="249"/>
      <c r="E69"/>
      <c r="G69"/>
      <c r="H69" t="str">
        <f t="shared" si="4"/>
        <v>Stormwater Program Management</v>
      </c>
      <c r="I69">
        <f>SMALL($I$51:$I$62,ROWS(I69:I$77))</f>
        <v>69604279.434595034</v>
      </c>
      <c r="J69">
        <f t="shared" si="5"/>
        <v>70</v>
      </c>
      <c r="K69" s="140" t="str">
        <f t="shared" si="6"/>
        <v>Stormwater Program Management,
$70M</v>
      </c>
      <c r="M69"/>
      <c r="N69" s="44" t="s">
        <v>253</v>
      </c>
      <c r="O69" s="175">
        <v>118702</v>
      </c>
      <c r="P69"/>
      <c r="Q69"/>
      <c r="R69"/>
      <c r="S69" t="s">
        <v>2004</v>
      </c>
      <c r="T69" s="185">
        <f>_xlfn.QUARTILE.INC($O$69:$O$999,1)</f>
        <v>24188.986699367088</v>
      </c>
      <c r="U69"/>
      <c r="V69"/>
      <c r="W69"/>
      <c r="X69"/>
      <c r="Y69"/>
      <c r="Z69"/>
      <c r="AA69"/>
    </row>
    <row r="70" spans="1:27" ht="60" x14ac:dyDescent="0.25">
      <c r="A70" s="249" t="s">
        <v>131</v>
      </c>
      <c r="B70">
        <f>VLOOKUP(A70,$A$51:$E$62,2,FALSE)</f>
        <v>220295.21642420324</v>
      </c>
      <c r="C70" s="249">
        <f>VLOOKUP(A70,$A$51:$E$62,4,FALSE)</f>
        <v>25994835.538055982</v>
      </c>
      <c r="D70" s="249">
        <f>VLOOKUP(A70,$A$51:$E$62,5,FALSE)</f>
        <v>118</v>
      </c>
      <c r="E70"/>
      <c r="G70"/>
      <c r="H70" t="str">
        <f t="shared" si="4"/>
        <v>Public Education and Involvement</v>
      </c>
      <c r="I70">
        <f>SMALL($I$51:$I$62,ROWS(I70:I$77))</f>
        <v>55924485.00552617</v>
      </c>
      <c r="J70">
        <f t="shared" si="5"/>
        <v>56</v>
      </c>
      <c r="K70" s="140" t="str">
        <f t="shared" si="6"/>
        <v>Public Education and Involvement,
$56M</v>
      </c>
      <c r="M70"/>
      <c r="N70" s="44" t="s">
        <v>302</v>
      </c>
      <c r="O70" s="175">
        <v>32856.787123623013</v>
      </c>
      <c r="P70"/>
      <c r="Q70"/>
      <c r="R70"/>
      <c r="S70" t="s">
        <v>1988</v>
      </c>
      <c r="T70" s="185">
        <f>MEDIAN($O$69:$O$999)</f>
        <v>75000</v>
      </c>
      <c r="U70"/>
      <c r="V70"/>
      <c r="W70"/>
      <c r="X70"/>
      <c r="Y70"/>
      <c r="Z70"/>
      <c r="AA70"/>
    </row>
    <row r="71" spans="1:27" ht="45" x14ac:dyDescent="0.25">
      <c r="A71" s="249"/>
      <c r="B71">
        <f>VLOOKUP(A70,$A$51:$E$62,3,FALSE)</f>
        <v>963139.10180360638</v>
      </c>
      <c r="C71" s="249"/>
      <c r="D71" s="249"/>
      <c r="E71"/>
      <c r="G71"/>
      <c r="H71" t="str">
        <f t="shared" si="4"/>
        <v>Unable to Decipher</v>
      </c>
      <c r="I71">
        <f>SMALL($I$51:$I$62,ROWS(I71:I$77))</f>
        <v>48150222.416294098</v>
      </c>
      <c r="J71">
        <f t="shared" si="5"/>
        <v>48</v>
      </c>
      <c r="K71" s="140" t="str">
        <f t="shared" si="6"/>
        <v>Unable to Decipher,
$48M</v>
      </c>
      <c r="M71"/>
      <c r="N71" s="44" t="s">
        <v>310</v>
      </c>
      <c r="O71" s="175">
        <v>252733.47436009793</v>
      </c>
      <c r="P71"/>
      <c r="Q71"/>
      <c r="R71"/>
      <c r="S71" t="s">
        <v>2005</v>
      </c>
      <c r="T71" s="185">
        <f>_xlfn.QUARTILE.INC($O$69:$O$999,3)</f>
        <v>159189.25</v>
      </c>
      <c r="U71"/>
      <c r="V71"/>
      <c r="W71"/>
      <c r="X71"/>
      <c r="Y71"/>
      <c r="Z71"/>
      <c r="AA71"/>
    </row>
    <row r="72" spans="1:27" ht="45" x14ac:dyDescent="0.25">
      <c r="A72" s="249" t="s">
        <v>1895</v>
      </c>
      <c r="B72">
        <f>VLOOKUP(A72,$A$51:$E$62,2,FALSE)</f>
        <v>235846.39008707507</v>
      </c>
      <c r="C72" s="249">
        <f>VLOOKUP(A72,$A$51:$E$62,4,FALSE)</f>
        <v>15565861.745746953</v>
      </c>
      <c r="D72" s="249">
        <f>VLOOKUP(A72,$A$51:$E$62,5,FALSE)</f>
        <v>66</v>
      </c>
      <c r="E72"/>
      <c r="G72"/>
      <c r="H72" t="str">
        <f t="shared" si="4"/>
        <v>Post-Construction</v>
      </c>
      <c r="I72">
        <f>SMALL($I$51:$I$62,ROWS(I72:I$77))</f>
        <v>28738223.534110706</v>
      </c>
      <c r="J72">
        <f t="shared" si="5"/>
        <v>29</v>
      </c>
      <c r="K72" s="140" t="str">
        <f t="shared" si="6"/>
        <v>Post-Construction,
$29M</v>
      </c>
      <c r="M72"/>
      <c r="N72" s="44" t="s">
        <v>138</v>
      </c>
      <c r="O72" s="175">
        <v>79630.063291139231</v>
      </c>
      <c r="P72"/>
      <c r="Q72"/>
      <c r="R72"/>
      <c r="S72" t="s">
        <v>2006</v>
      </c>
      <c r="T72" s="185">
        <f>MAX($O$69:$O$999)</f>
        <v>8165213.4342227671</v>
      </c>
      <c r="U72"/>
      <c r="V72"/>
      <c r="W72"/>
      <c r="X72"/>
      <c r="Y72"/>
      <c r="Z72"/>
      <c r="AA72"/>
    </row>
    <row r="73" spans="1:27" ht="45" x14ac:dyDescent="0.25">
      <c r="A73" s="249"/>
      <c r="B73">
        <f>VLOOKUP(A72,$A$51:$E$62,3,FALSE)</f>
        <v>529428.41083634936</v>
      </c>
      <c r="C73" s="249"/>
      <c r="D73" s="249"/>
      <c r="E73"/>
      <c r="G73"/>
      <c r="H73" t="str">
        <f t="shared" si="4"/>
        <v>Illicit Discharge</v>
      </c>
      <c r="I73">
        <f>SMALL($I$51:$I$62,ROWS(I73:I$77))</f>
        <v>25994835.538055982</v>
      </c>
      <c r="J73">
        <f t="shared" si="5"/>
        <v>26</v>
      </c>
      <c r="K73" s="140" t="str">
        <f t="shared" si="6"/>
        <v>Illicit Discharge,
$26M</v>
      </c>
      <c r="M73"/>
      <c r="N73" s="44" t="s">
        <v>1449</v>
      </c>
      <c r="O73" s="175">
        <v>27000</v>
      </c>
      <c r="P73"/>
      <c r="Q73"/>
      <c r="R73"/>
      <c r="S73" t="s">
        <v>1986</v>
      </c>
      <c r="T73" s="185">
        <f>AVERAGE($O$69:$O$999)</f>
        <v>467556.46213832608</v>
      </c>
      <c r="U73"/>
      <c r="V73"/>
      <c r="W73"/>
      <c r="X73"/>
      <c r="Y73"/>
      <c r="Z73"/>
      <c r="AA73"/>
    </row>
    <row r="74" spans="1:27" ht="60" x14ac:dyDescent="0.25">
      <c r="A74" s="249" t="s">
        <v>1897</v>
      </c>
      <c r="B74">
        <f>VLOOKUP(A74,$A$51:$E$62,2,FALSE)</f>
        <v>738676.88696147944</v>
      </c>
      <c r="C74" s="249">
        <f>VLOOKUP(A74,$A$51:$E$62,4,FALSE)</f>
        <v>274049125.06270885</v>
      </c>
      <c r="D74" s="249">
        <f>VLOOKUP(A74,$A$51:$E$62,5,FALSE)</f>
        <v>371</v>
      </c>
      <c r="E74"/>
      <c r="G74"/>
      <c r="H74" t="str">
        <f t="shared" si="4"/>
        <v>Watershed/TMDL Collaboration</v>
      </c>
      <c r="I74">
        <f>SMALL($I$51:$I$62,ROWS(I74:I$77))</f>
        <v>17767145.561256398</v>
      </c>
      <c r="J74">
        <f t="shared" si="5"/>
        <v>18</v>
      </c>
      <c r="K74" s="140" t="str">
        <f t="shared" si="6"/>
        <v>Watershed/TMDL Collaboration,
$18M</v>
      </c>
      <c r="M74"/>
      <c r="N74" s="44" t="s">
        <v>308</v>
      </c>
      <c r="O74" s="175">
        <v>87521.59424724603</v>
      </c>
      <c r="P74"/>
      <c r="Q74"/>
      <c r="R74"/>
      <c r="S74"/>
      <c r="T74"/>
      <c r="U74"/>
      <c r="V74"/>
      <c r="W74"/>
      <c r="X74"/>
      <c r="Y74"/>
      <c r="Z74"/>
      <c r="AA74"/>
    </row>
    <row r="75" spans="1:27" ht="45" x14ac:dyDescent="0.25">
      <c r="A75" s="249"/>
      <c r="B75">
        <f>VLOOKUP(A74,$A$51:$E$62,3,FALSE)</f>
        <v>3014734.0573843084</v>
      </c>
      <c r="C75" s="249"/>
      <c r="D75" s="249"/>
      <c r="E75"/>
      <c r="G75"/>
      <c r="H75" t="str">
        <f t="shared" si="4"/>
        <v>Water Quality Monitoring</v>
      </c>
      <c r="I75">
        <f>SMALL($I$51:$I$62,ROWS(I75:I$77))</f>
        <v>17516078.681699414</v>
      </c>
      <c r="J75">
        <f t="shared" si="5"/>
        <v>18</v>
      </c>
      <c r="K75" s="140" t="str">
        <f t="shared" si="6"/>
        <v>Water Quality Monitoring,
$18M</v>
      </c>
      <c r="M75"/>
      <c r="N75" s="44" t="s">
        <v>182</v>
      </c>
      <c r="O75" s="175">
        <v>21234.683544303796</v>
      </c>
      <c r="P75"/>
      <c r="Q75"/>
      <c r="R75"/>
      <c r="S75"/>
      <c r="T75"/>
      <c r="U75"/>
      <c r="V75"/>
      <c r="W75"/>
      <c r="X75"/>
      <c r="Y75"/>
      <c r="Z75"/>
      <c r="AA75"/>
    </row>
    <row r="76" spans="1:27" ht="45" x14ac:dyDescent="0.25">
      <c r="A76" s="249" t="s">
        <v>71</v>
      </c>
      <c r="B76">
        <f>VLOOKUP(A76,$A$51:$E$62,2,FALSE)</f>
        <v>988289.61125244631</v>
      </c>
      <c r="C76" s="249">
        <f>VLOOKUP(A76,$A$51:$E$62,4,FALSE)</f>
        <v>83016327.345205486</v>
      </c>
      <c r="D76" s="249">
        <f>VLOOKUP(A76,$A$51:$E$62,5,FALSE)</f>
        <v>84</v>
      </c>
      <c r="E76"/>
      <c r="G76"/>
      <c r="H76" t="str">
        <f t="shared" si="4"/>
        <v>Construction Site Controls</v>
      </c>
      <c r="I76">
        <f>SMALL($I$51:$I$62,ROWS(I76:I$77))</f>
        <v>15565861.745746953</v>
      </c>
      <c r="J76">
        <f t="shared" si="5"/>
        <v>16</v>
      </c>
      <c r="K76" s="140" t="str">
        <f t="shared" si="6"/>
        <v>Construction Site Controls,
$16M</v>
      </c>
      <c r="M76"/>
      <c r="N76" s="44" t="s">
        <v>303</v>
      </c>
      <c r="O76" s="175">
        <v>7031.5002815177486</v>
      </c>
      <c r="P76"/>
      <c r="Q76"/>
      <c r="R76"/>
      <c r="S76"/>
      <c r="T76"/>
      <c r="U76"/>
      <c r="V76"/>
      <c r="W76"/>
      <c r="X76"/>
      <c r="Y76"/>
      <c r="Z76"/>
      <c r="AA76"/>
    </row>
    <row r="77" spans="1:27" ht="45" x14ac:dyDescent="0.25">
      <c r="A77" s="249"/>
      <c r="B77">
        <f>VLOOKUP(A76,$A$51:$E$62,3,FALSE)</f>
        <v>2877463.5822705566</v>
      </c>
      <c r="C77" s="249"/>
      <c r="D77" s="249"/>
      <c r="E77"/>
      <c r="G77"/>
      <c r="H77" t="str">
        <f t="shared" si="4"/>
        <v>Industrial and Commercial</v>
      </c>
      <c r="I77">
        <f>SMALL($I$51:$I$62,ROWS(I$77:I77))</f>
        <v>14864119.034569172</v>
      </c>
      <c r="J77">
        <f t="shared" si="5"/>
        <v>15</v>
      </c>
      <c r="K77" s="140" t="str">
        <f t="shared" si="6"/>
        <v>Industrial and Commercial,
$15M</v>
      </c>
      <c r="M77"/>
      <c r="N77" s="44" t="s">
        <v>304</v>
      </c>
      <c r="O77" s="175">
        <v>99022.085728274193</v>
      </c>
      <c r="P77"/>
      <c r="Q77"/>
      <c r="R77"/>
      <c r="S77"/>
      <c r="T77"/>
      <c r="U77"/>
      <c r="V77"/>
      <c r="W77"/>
      <c r="X77"/>
      <c r="Y77"/>
      <c r="Z77"/>
      <c r="AA77"/>
    </row>
    <row r="78" spans="1:27" x14ac:dyDescent="0.25">
      <c r="A78" s="249" t="s">
        <v>1898</v>
      </c>
      <c r="B78">
        <f>VLOOKUP(A78,$A$51:$E$62,2,FALSE)</f>
        <v>134921.23724934604</v>
      </c>
      <c r="C78" s="249">
        <f>VLOOKUP(A78,$A$51:$E$62,4,FALSE)</f>
        <v>28738223.534110706</v>
      </c>
      <c r="D78" s="249">
        <f>VLOOKUP(A78,$A$51:$E$62,5,FALSE)</f>
        <v>213</v>
      </c>
      <c r="E78"/>
      <c r="G78"/>
      <c r="H78"/>
      <c r="I78"/>
      <c r="J78"/>
      <c r="K78"/>
      <c r="M78"/>
      <c r="N78" s="44" t="s">
        <v>254</v>
      </c>
      <c r="O78" s="175">
        <v>23418</v>
      </c>
      <c r="P78"/>
      <c r="Q78"/>
      <c r="R78"/>
      <c r="S78"/>
      <c r="T78"/>
      <c r="U78"/>
      <c r="V78"/>
      <c r="W78"/>
      <c r="X78"/>
      <c r="Y78"/>
      <c r="Z78"/>
      <c r="AA78"/>
    </row>
    <row r="79" spans="1:27" x14ac:dyDescent="0.25">
      <c r="A79" s="249"/>
      <c r="B79">
        <f>VLOOKUP(A78,$A$51:$E$62,3,FALSE)</f>
        <v>415238.65651037899</v>
      </c>
      <c r="C79" s="249"/>
      <c r="D79" s="249"/>
      <c r="E79"/>
      <c r="G79"/>
      <c r="H79"/>
      <c r="I79"/>
      <c r="J79"/>
      <c r="K79"/>
      <c r="M79"/>
      <c r="N79" s="44" t="s">
        <v>146</v>
      </c>
      <c r="O79" s="175">
        <v>38021.762620253161</v>
      </c>
      <c r="P79"/>
      <c r="Q79"/>
      <c r="R79"/>
      <c r="S79"/>
      <c r="T79"/>
      <c r="U79"/>
      <c r="V79"/>
      <c r="W79"/>
      <c r="X79"/>
      <c r="Y79"/>
      <c r="Z79"/>
      <c r="AA79"/>
    </row>
    <row r="80" spans="1:27" x14ac:dyDescent="0.25">
      <c r="A80" s="249" t="s">
        <v>47</v>
      </c>
      <c r="B80">
        <f>VLOOKUP(A80,$A$51:$E$62,2,FALSE)</f>
        <v>165246.02529905108</v>
      </c>
      <c r="C80" s="249">
        <f>VLOOKUP(A80,$A$51:$E$62,4,FALSE)</f>
        <v>17516078.681699414</v>
      </c>
      <c r="D80" s="249">
        <f>VLOOKUP(A80,$A$51:$E$62,5,FALSE)</f>
        <v>106</v>
      </c>
      <c r="E80"/>
      <c r="G80"/>
      <c r="H80"/>
      <c r="I80"/>
      <c r="J80"/>
      <c r="K80"/>
      <c r="M80"/>
      <c r="N80" s="44" t="s">
        <v>312</v>
      </c>
      <c r="O80" s="175">
        <v>844567.47146878834</v>
      </c>
      <c r="P80"/>
      <c r="Q80"/>
      <c r="R80"/>
      <c r="S80"/>
      <c r="T80"/>
      <c r="U80"/>
      <c r="V80"/>
      <c r="W80"/>
      <c r="X80"/>
      <c r="Y80"/>
      <c r="Z80"/>
      <c r="AA80"/>
    </row>
    <row r="81" spans="1:27" x14ac:dyDescent="0.25">
      <c r="A81" s="249"/>
      <c r="B81">
        <f>VLOOKUP(A80,$A$51:$E$62,3,FALSE)</f>
        <v>498685.64455667499</v>
      </c>
      <c r="C81" s="249"/>
      <c r="D81" s="249"/>
      <c r="E81"/>
      <c r="G81"/>
      <c r="H81"/>
      <c r="I81"/>
      <c r="J81"/>
      <c r="K81"/>
      <c r="M81"/>
      <c r="N81" s="44" t="s">
        <v>1445</v>
      </c>
      <c r="O81" s="175">
        <v>18600</v>
      </c>
      <c r="P81"/>
      <c r="Q81"/>
      <c r="R81"/>
      <c r="S81"/>
      <c r="T81"/>
      <c r="U81"/>
      <c r="V81"/>
      <c r="W81"/>
      <c r="X81"/>
      <c r="Y81"/>
      <c r="Z81"/>
      <c r="AA81"/>
    </row>
    <row r="82" spans="1:27" x14ac:dyDescent="0.25">
      <c r="A82" s="249" t="s">
        <v>334</v>
      </c>
      <c r="B82">
        <f>VLOOKUP(A82,$A$51:$E$62,2,FALSE)</f>
        <v>120846.49621600953</v>
      </c>
      <c r="C82" s="249">
        <f>VLOOKUP(A82,$A$51:$E$62,4,FALSE)</f>
        <v>14864119.034569172</v>
      </c>
      <c r="D82" s="249">
        <f>VLOOKUP(A82,$A$51:$E$62,5,FALSE)</f>
        <v>123</v>
      </c>
      <c r="E82"/>
      <c r="G82"/>
      <c r="H82"/>
      <c r="I82"/>
      <c r="J82"/>
      <c r="K82"/>
      <c r="M82"/>
      <c r="N82" s="44" t="s">
        <v>313</v>
      </c>
      <c r="O82" s="175">
        <v>96425.697319461455</v>
      </c>
      <c r="P82"/>
      <c r="Q82"/>
      <c r="R82"/>
      <c r="S82"/>
      <c r="T82"/>
      <c r="U82"/>
      <c r="V82"/>
      <c r="W82"/>
      <c r="X82"/>
      <c r="Y82"/>
      <c r="Z82"/>
      <c r="AA82"/>
    </row>
    <row r="83" spans="1:27" x14ac:dyDescent="0.25">
      <c r="A83" s="249"/>
      <c r="B83">
        <f>VLOOKUP(A82,$A$51:$E$62,3,FALSE)</f>
        <v>373442.6225312372</v>
      </c>
      <c r="C83" s="249"/>
      <c r="D83" s="249"/>
      <c r="E83"/>
      <c r="G83"/>
      <c r="H83"/>
      <c r="I83"/>
      <c r="J83"/>
      <c r="K83"/>
      <c r="M83"/>
      <c r="N83" s="44" t="s">
        <v>314</v>
      </c>
      <c r="O83" s="175">
        <v>40458.32247833538</v>
      </c>
      <c r="P83"/>
      <c r="Q83"/>
      <c r="R83"/>
      <c r="S83"/>
      <c r="T83"/>
      <c r="U83"/>
      <c r="V83"/>
      <c r="W83"/>
      <c r="X83"/>
      <c r="Y83"/>
      <c r="Z83"/>
      <c r="AA83"/>
    </row>
    <row r="84" spans="1:27" x14ac:dyDescent="0.25">
      <c r="A84" s="249" t="s">
        <v>605</v>
      </c>
      <c r="B84">
        <f>VLOOKUP(A84,$A$51:$E$62,2,FALSE)</f>
        <v>257494.86320661445</v>
      </c>
      <c r="C84" s="249">
        <f>VLOOKUP(A84,$A$51:$E$62,4,FALSE)</f>
        <v>17767145.561256398</v>
      </c>
      <c r="D84" s="249">
        <f>VLOOKUP(A84,$A$51:$E$62,5,FALSE)</f>
        <v>69</v>
      </c>
      <c r="E84"/>
      <c r="G84"/>
      <c r="H84"/>
      <c r="I84"/>
      <c r="J84"/>
      <c r="K84"/>
      <c r="M84"/>
      <c r="N84" s="44" t="s">
        <v>255</v>
      </c>
      <c r="O84" s="175">
        <v>36000</v>
      </c>
      <c r="P84"/>
      <c r="Q84"/>
      <c r="R84"/>
      <c r="S84"/>
      <c r="T84"/>
      <c r="U84"/>
      <c r="V84"/>
      <c r="W84"/>
      <c r="X84"/>
      <c r="Y84"/>
      <c r="Z84"/>
      <c r="AA84"/>
    </row>
    <row r="85" spans="1:27" x14ac:dyDescent="0.25">
      <c r="A85" s="249"/>
      <c r="B85">
        <f>VLOOKUP(A84,$A$51:$E$62,3,FALSE)</f>
        <v>571021.68390833796</v>
      </c>
      <c r="C85" s="249"/>
      <c r="D85" s="249"/>
      <c r="E85"/>
      <c r="G85"/>
      <c r="H85"/>
      <c r="I85"/>
      <c r="J85"/>
      <c r="K85"/>
      <c r="M85"/>
      <c r="N85" s="44" t="s">
        <v>315</v>
      </c>
      <c r="O85" s="175">
        <v>62252.749681762551</v>
      </c>
      <c r="P85"/>
      <c r="Q85"/>
      <c r="R85"/>
      <c r="S85"/>
      <c r="T85"/>
      <c r="U85"/>
      <c r="V85"/>
      <c r="W85"/>
      <c r="X85"/>
      <c r="Y85"/>
      <c r="Z85"/>
      <c r="AA85"/>
    </row>
    <row r="86" spans="1:27" x14ac:dyDescent="0.25">
      <c r="A86" s="249" t="s">
        <v>1894</v>
      </c>
      <c r="B86">
        <f>VLOOKUP(A86,$A$51:$E$62,2,FALSE)</f>
        <v>278417.11773838016</v>
      </c>
      <c r="C86" s="249">
        <f>VLOOKUP(A86,$A$51:$E$62,4,FALSE)</f>
        <v>69604279.434595034</v>
      </c>
      <c r="D86" s="249">
        <f>VLOOKUP(A86,$A$51:$E$62,5,FALSE)</f>
        <v>250</v>
      </c>
      <c r="E86"/>
      <c r="G86"/>
      <c r="H86"/>
      <c r="I86"/>
      <c r="J86"/>
      <c r="K86"/>
      <c r="M86"/>
      <c r="N86" s="44" t="s">
        <v>305</v>
      </c>
      <c r="O86" s="175">
        <v>192402.75022031827</v>
      </c>
      <c r="P86"/>
      <c r="Q86"/>
      <c r="R86"/>
      <c r="S86"/>
      <c r="T86"/>
      <c r="U86"/>
      <c r="V86"/>
      <c r="W86"/>
      <c r="X86"/>
      <c r="Y86"/>
      <c r="Z86"/>
      <c r="AA86"/>
    </row>
    <row r="87" spans="1:27" x14ac:dyDescent="0.25">
      <c r="A87" s="249"/>
      <c r="B87">
        <f>VLOOKUP(A86,$A$51:$E$62,3,FALSE)</f>
        <v>1176138.4441702596</v>
      </c>
      <c r="C87" s="249"/>
      <c r="D87" s="249"/>
      <c r="E87"/>
      <c r="G87"/>
      <c r="H87"/>
      <c r="I87"/>
      <c r="J87"/>
      <c r="K87"/>
      <c r="M87"/>
      <c r="N87" s="44" t="s">
        <v>256</v>
      </c>
      <c r="O87" s="175">
        <v>20000</v>
      </c>
      <c r="P87"/>
      <c r="Q87"/>
      <c r="R87"/>
      <c r="S87"/>
      <c r="T87"/>
      <c r="U87"/>
      <c r="V87"/>
      <c r="W87"/>
      <c r="X87"/>
      <c r="Y87"/>
      <c r="Z87"/>
      <c r="AA87"/>
    </row>
    <row r="88" spans="1:27" x14ac:dyDescent="0.25">
      <c r="A88" s="249" t="s">
        <v>1896</v>
      </c>
      <c r="B88">
        <f>VLOOKUP(A88,$A$51:$E$62,2,FALSE)</f>
        <v>258872.1635284629</v>
      </c>
      <c r="C88" s="249">
        <f>VLOOKUP(A88,$A$51:$E$62,4,FALSE)</f>
        <v>48150222.416294098</v>
      </c>
      <c r="D88" s="249">
        <f>VLOOKUP(A88,$A$51:$E$62,5,FALSE)</f>
        <v>186</v>
      </c>
      <c r="E88"/>
      <c r="G88"/>
      <c r="H88"/>
      <c r="I88"/>
      <c r="J88"/>
      <c r="K88"/>
      <c r="M88"/>
      <c r="N88" s="44" t="s">
        <v>257</v>
      </c>
      <c r="O88" s="175">
        <v>106000</v>
      </c>
      <c r="P88"/>
      <c r="Q88"/>
      <c r="R88"/>
      <c r="S88"/>
      <c r="T88"/>
      <c r="U88"/>
      <c r="V88"/>
      <c r="W88"/>
      <c r="X88"/>
      <c r="Y88"/>
      <c r="Z88"/>
      <c r="AA88"/>
    </row>
    <row r="89" spans="1:27" x14ac:dyDescent="0.25">
      <c r="A89" s="249"/>
      <c r="B89">
        <f>VLOOKUP(A88,$A$51:$E$62,3,FALSE)</f>
        <v>945870.6460097204</v>
      </c>
      <c r="C89" s="249"/>
      <c r="D89" s="249"/>
      <c r="E89"/>
      <c r="G89"/>
      <c r="H89"/>
      <c r="I89"/>
      <c r="J89"/>
      <c r="K89"/>
      <c r="M89"/>
      <c r="N89" s="44" t="s">
        <v>176</v>
      </c>
      <c r="O89" s="175">
        <v>26501.946797468354</v>
      </c>
      <c r="P89"/>
      <c r="Q89"/>
      <c r="R89"/>
      <c r="S89"/>
      <c r="T89"/>
      <c r="U89"/>
      <c r="V89"/>
      <c r="W89"/>
      <c r="X89"/>
      <c r="Y89"/>
      <c r="Z89"/>
      <c r="AA89"/>
    </row>
    <row r="90" spans="1:27" x14ac:dyDescent="0.25">
      <c r="A90"/>
      <c r="B90"/>
      <c r="C90"/>
      <c r="D90"/>
      <c r="E90"/>
      <c r="G90"/>
      <c r="H90"/>
      <c r="I90"/>
      <c r="J90"/>
      <c r="K90"/>
      <c r="M90"/>
      <c r="N90" s="44" t="s">
        <v>309</v>
      </c>
      <c r="O90" s="175">
        <v>178488.61336597308</v>
      </c>
      <c r="P90"/>
      <c r="Q90"/>
      <c r="R90"/>
      <c r="S90"/>
      <c r="T90"/>
      <c r="U90"/>
      <c r="V90"/>
      <c r="W90"/>
      <c r="X90"/>
      <c r="Y90"/>
      <c r="Z90"/>
      <c r="AA90"/>
    </row>
    <row r="91" spans="1:27" x14ac:dyDescent="0.25">
      <c r="A91" s="174" t="s">
        <v>2007</v>
      </c>
      <c r="B91"/>
      <c r="C91"/>
      <c r="D91"/>
      <c r="E91"/>
      <c r="G91"/>
      <c r="H91"/>
      <c r="I91"/>
      <c r="J91"/>
      <c r="K91"/>
      <c r="M91"/>
      <c r="N91" s="44" t="s">
        <v>185</v>
      </c>
      <c r="O91" s="175">
        <v>10220.784056962024</v>
      </c>
      <c r="P91"/>
      <c r="Q91"/>
      <c r="R91"/>
      <c r="S91"/>
      <c r="T91"/>
      <c r="U91"/>
      <c r="V91"/>
      <c r="W91"/>
      <c r="X91"/>
      <c r="Y91"/>
      <c r="Z91"/>
      <c r="AA91"/>
    </row>
    <row r="92" spans="1:27" x14ac:dyDescent="0.25">
      <c r="A92" s="249" t="s">
        <v>76</v>
      </c>
      <c r="B92">
        <f>ROUND(B66,2-(1+INT(LOG10(B66))))/10^6</f>
        <v>0.77</v>
      </c>
      <c r="C92" s="249">
        <f>ROUND(C66,2-(1+INT(LOG10(C66))))/10^6</f>
        <v>88</v>
      </c>
      <c r="D92" s="249">
        <f>VLOOKUP(A92,$A$51:$E$62,5,FALSE)</f>
        <v>114</v>
      </c>
      <c r="E92"/>
      <c r="G92"/>
      <c r="H92"/>
      <c r="I92"/>
      <c r="J92"/>
      <c r="K92"/>
      <c r="M92"/>
      <c r="N92" s="44" t="s">
        <v>177</v>
      </c>
      <c r="O92" s="175">
        <v>10107.709367088608</v>
      </c>
      <c r="P92"/>
      <c r="Q92"/>
      <c r="R92"/>
      <c r="S92"/>
      <c r="T92"/>
      <c r="U92"/>
      <c r="V92"/>
      <c r="W92"/>
      <c r="X92"/>
      <c r="Y92"/>
      <c r="Z92"/>
      <c r="AA92"/>
    </row>
    <row r="93" spans="1:27" x14ac:dyDescent="0.25">
      <c r="A93" s="249"/>
      <c r="B93">
        <f t="shared" ref="B93:B115" si="7">ROUND(B67,2-(1+INT(LOG10(B67))))/10^6</f>
        <v>4.0999999999999996</v>
      </c>
      <c r="C93" s="249"/>
      <c r="D93" s="249"/>
      <c r="E93"/>
      <c r="G93"/>
      <c r="H93"/>
      <c r="I93"/>
      <c r="J93"/>
      <c r="K93"/>
      <c r="M93"/>
      <c r="N93" s="44" t="s">
        <v>7</v>
      </c>
      <c r="O93" s="175">
        <v>22818.239926560593</v>
      </c>
      <c r="P93"/>
      <c r="Q93"/>
      <c r="R93"/>
      <c r="S93"/>
      <c r="T93"/>
      <c r="U93"/>
      <c r="V93"/>
      <c r="W93"/>
      <c r="X93"/>
      <c r="Y93"/>
      <c r="Z93"/>
      <c r="AA93"/>
    </row>
    <row r="94" spans="1:27" x14ac:dyDescent="0.25">
      <c r="A94" s="249" t="s">
        <v>1456</v>
      </c>
      <c r="B94">
        <f t="shared" si="7"/>
        <v>0.3</v>
      </c>
      <c r="C94" s="249">
        <f>ROUND(C68,2-(1+INT(LOG10(C68))))/10^6</f>
        <v>56</v>
      </c>
      <c r="D94" s="249">
        <f>VLOOKUP(A94,$A$51:$E$62,5,FALSE)</f>
        <v>186</v>
      </c>
      <c r="E94"/>
      <c r="G94"/>
      <c r="H94"/>
      <c r="I94"/>
      <c r="J94"/>
      <c r="K94"/>
      <c r="M94"/>
      <c r="N94" s="44" t="s">
        <v>1761</v>
      </c>
      <c r="O94" s="175">
        <v>75000</v>
      </c>
      <c r="P94"/>
      <c r="Q94"/>
      <c r="R94"/>
      <c r="S94"/>
      <c r="T94"/>
      <c r="U94"/>
      <c r="V94"/>
      <c r="W94"/>
      <c r="X94"/>
      <c r="Y94"/>
      <c r="Z94"/>
      <c r="AA94"/>
    </row>
    <row r="95" spans="1:27" x14ac:dyDescent="0.25">
      <c r="A95" s="249"/>
      <c r="B95">
        <f t="shared" si="7"/>
        <v>2.9</v>
      </c>
      <c r="C95" s="249"/>
      <c r="D95" s="249"/>
      <c r="E95"/>
      <c r="G95"/>
      <c r="H95"/>
      <c r="I95"/>
      <c r="J95"/>
      <c r="K95"/>
      <c r="M95"/>
      <c r="N95" s="44" t="s">
        <v>21</v>
      </c>
      <c r="O95" s="175">
        <v>8165213.4342227671</v>
      </c>
      <c r="P95"/>
      <c r="Q95"/>
      <c r="R95"/>
      <c r="S95"/>
      <c r="T95"/>
      <c r="U95"/>
      <c r="V95"/>
      <c r="W95"/>
      <c r="X95"/>
      <c r="Y95"/>
      <c r="Z95"/>
      <c r="AA95"/>
    </row>
    <row r="96" spans="1:27" x14ac:dyDescent="0.25">
      <c r="A96" s="249" t="s">
        <v>131</v>
      </c>
      <c r="B96">
        <f t="shared" si="7"/>
        <v>0.22</v>
      </c>
      <c r="C96" s="249">
        <f>ROUND(C70,2-(1+INT(LOG10(C70))))/10^6</f>
        <v>26</v>
      </c>
      <c r="D96" s="249">
        <f>VLOOKUP(A96,$A$51:$E$62,5,FALSE)</f>
        <v>118</v>
      </c>
      <c r="E96"/>
      <c r="G96"/>
      <c r="H96"/>
      <c r="I96"/>
      <c r="J96"/>
      <c r="K96"/>
      <c r="M96"/>
      <c r="N96" s="44" t="s">
        <v>1428</v>
      </c>
      <c r="O96" s="175">
        <v>5644368.7376621794</v>
      </c>
      <c r="P96"/>
      <c r="Q96"/>
      <c r="R96"/>
      <c r="S96"/>
      <c r="T96"/>
      <c r="U96"/>
      <c r="V96"/>
      <c r="W96"/>
      <c r="X96"/>
      <c r="Y96"/>
      <c r="Z96"/>
      <c r="AA96"/>
    </row>
    <row r="97" spans="1:27" x14ac:dyDescent="0.25">
      <c r="A97" s="249"/>
      <c r="B97">
        <f t="shared" si="7"/>
        <v>0.96</v>
      </c>
      <c r="C97" s="249"/>
      <c r="D97" s="249"/>
      <c r="E97"/>
      <c r="G97"/>
      <c r="H97"/>
      <c r="I97"/>
      <c r="J97"/>
      <c r="K97"/>
      <c r="M97"/>
      <c r="N97" s="44" t="s">
        <v>301</v>
      </c>
      <c r="O97" s="175">
        <v>1881.9901875</v>
      </c>
      <c r="P97"/>
      <c r="Q97"/>
      <c r="R97"/>
      <c r="S97"/>
      <c r="T97"/>
      <c r="U97"/>
      <c r="V97"/>
      <c r="W97"/>
      <c r="X97"/>
      <c r="Y97"/>
      <c r="Z97"/>
      <c r="AA97"/>
    </row>
    <row r="98" spans="1:27" x14ac:dyDescent="0.25">
      <c r="A98" s="249" t="s">
        <v>1895</v>
      </c>
      <c r="B98">
        <f t="shared" si="7"/>
        <v>0.24</v>
      </c>
      <c r="C98" s="249">
        <f>ROUND(C72,2-(1+INT(LOG10(C72))))/10^6</f>
        <v>16</v>
      </c>
      <c r="D98" s="249">
        <f>VLOOKUP(A98,$A$51:$E$62,5,FALSE)</f>
        <v>66</v>
      </c>
      <c r="E98"/>
      <c r="G98"/>
      <c r="H98"/>
      <c r="I98"/>
      <c r="J98"/>
      <c r="K98"/>
      <c r="M98"/>
      <c r="N98" s="44" t="s">
        <v>300</v>
      </c>
      <c r="O98" s="175">
        <v>482806.07313341496</v>
      </c>
      <c r="P98"/>
      <c r="Q98"/>
      <c r="R98"/>
      <c r="S98"/>
      <c r="T98"/>
      <c r="U98"/>
      <c r="V98"/>
      <c r="W98"/>
      <c r="X98"/>
      <c r="Y98"/>
      <c r="Z98"/>
      <c r="AA98"/>
    </row>
    <row r="99" spans="1:27" x14ac:dyDescent="0.25">
      <c r="A99" s="249"/>
      <c r="B99">
        <f t="shared" si="7"/>
        <v>0.53</v>
      </c>
      <c r="C99" s="249"/>
      <c r="D99" s="249"/>
      <c r="E99"/>
      <c r="G99"/>
      <c r="H99"/>
      <c r="I99"/>
      <c r="J99"/>
      <c r="K99"/>
      <c r="M99"/>
      <c r="N99" s="44" t="s">
        <v>259</v>
      </c>
      <c r="O99" s="175">
        <v>10000</v>
      </c>
      <c r="P99"/>
      <c r="Q99"/>
      <c r="R99"/>
      <c r="S99"/>
      <c r="T99"/>
      <c r="U99"/>
      <c r="V99"/>
      <c r="W99"/>
      <c r="X99"/>
      <c r="Y99"/>
      <c r="Z99"/>
      <c r="AA99"/>
    </row>
    <row r="100" spans="1:27" x14ac:dyDescent="0.25">
      <c r="A100" s="249" t="s">
        <v>1897</v>
      </c>
      <c r="B100">
        <f t="shared" si="7"/>
        <v>0.74</v>
      </c>
      <c r="C100" s="249">
        <f>ROUND(C74,2-(1+INT(LOG10(C74))))/10^6</f>
        <v>270</v>
      </c>
      <c r="D100" s="249">
        <f>VLOOKUP(A100,$A$51:$E$62,5,FALSE)</f>
        <v>371</v>
      </c>
      <c r="E100"/>
      <c r="G100"/>
      <c r="H100"/>
      <c r="I100"/>
      <c r="J100"/>
      <c r="K100"/>
      <c r="M100"/>
      <c r="N100" s="44" t="s">
        <v>260</v>
      </c>
      <c r="O100" s="175">
        <v>75000</v>
      </c>
      <c r="P100"/>
      <c r="Q100"/>
      <c r="R100"/>
      <c r="S100"/>
      <c r="T100"/>
      <c r="U100"/>
      <c r="V100"/>
      <c r="W100"/>
      <c r="X100"/>
      <c r="Y100"/>
      <c r="Z100"/>
      <c r="AA100"/>
    </row>
    <row r="101" spans="1:27" x14ac:dyDescent="0.25">
      <c r="A101" s="249"/>
      <c r="B101">
        <f t="shared" si="7"/>
        <v>3</v>
      </c>
      <c r="C101" s="249"/>
      <c r="D101" s="249"/>
      <c r="E101"/>
      <c r="G101"/>
      <c r="H101"/>
      <c r="I101"/>
      <c r="J101"/>
      <c r="K101"/>
      <c r="M101"/>
      <c r="N101" s="44" t="s">
        <v>306</v>
      </c>
      <c r="O101" s="175">
        <v>86402.549816401472</v>
      </c>
      <c r="P101"/>
      <c r="Q101"/>
      <c r="R101"/>
      <c r="S101"/>
      <c r="T101"/>
      <c r="U101"/>
      <c r="V101"/>
      <c r="W101"/>
      <c r="X101"/>
      <c r="Y101"/>
      <c r="Z101"/>
      <c r="AA101"/>
    </row>
    <row r="102" spans="1:27" x14ac:dyDescent="0.25">
      <c r="A102" s="249" t="s">
        <v>71</v>
      </c>
      <c r="B102">
        <f t="shared" si="7"/>
        <v>0.99</v>
      </c>
      <c r="C102" s="249">
        <f>ROUND(C76,2-(1+INT(LOG10(C76))))/10^6</f>
        <v>83</v>
      </c>
      <c r="D102" s="249">
        <f>VLOOKUP(A102,$A$51:$E$62,5,FALSE)</f>
        <v>84</v>
      </c>
      <c r="E102"/>
      <c r="G102"/>
      <c r="H102"/>
      <c r="I102"/>
      <c r="J102"/>
      <c r="K102"/>
      <c r="M102"/>
      <c r="N102" s="44" t="s">
        <v>261</v>
      </c>
      <c r="O102" s="175">
        <v>240000</v>
      </c>
      <c r="P102"/>
      <c r="Q102"/>
      <c r="R102"/>
      <c r="S102"/>
      <c r="T102"/>
      <c r="U102"/>
      <c r="V102"/>
      <c r="W102"/>
      <c r="X102"/>
      <c r="Y102"/>
      <c r="Z102"/>
      <c r="AA102"/>
    </row>
    <row r="103" spans="1:27" x14ac:dyDescent="0.25">
      <c r="A103" s="249"/>
      <c r="B103">
        <f t="shared" si="7"/>
        <v>2.9</v>
      </c>
      <c r="C103" s="249"/>
      <c r="D103" s="249"/>
      <c r="E103"/>
      <c r="G103"/>
      <c r="H103"/>
      <c r="I103"/>
      <c r="J103"/>
      <c r="K103"/>
      <c r="M103"/>
      <c r="N103" s="44" t="s">
        <v>1447</v>
      </c>
      <c r="O103" s="175">
        <v>172685</v>
      </c>
      <c r="P103"/>
      <c r="Q103"/>
      <c r="R103"/>
      <c r="S103"/>
      <c r="T103"/>
      <c r="U103"/>
      <c r="V103"/>
      <c r="W103"/>
      <c r="X103"/>
      <c r="Y103"/>
      <c r="Z103"/>
      <c r="AA103"/>
    </row>
    <row r="104" spans="1:27" x14ac:dyDescent="0.25">
      <c r="A104" s="249" t="s">
        <v>1898</v>
      </c>
      <c r="B104">
        <f t="shared" si="7"/>
        <v>0.13</v>
      </c>
      <c r="C104" s="249">
        <f>ROUND(C78,2-(1+INT(LOG10(C78))))/10^6</f>
        <v>29</v>
      </c>
      <c r="D104" s="249">
        <f>VLOOKUP(A104,$A$51:$E$62,5,FALSE)</f>
        <v>213</v>
      </c>
      <c r="E104"/>
      <c r="G104"/>
      <c r="H104"/>
      <c r="I104"/>
      <c r="J104"/>
      <c r="K104"/>
      <c r="M104"/>
      <c r="N104" s="44" t="s">
        <v>424</v>
      </c>
      <c r="O104" s="175">
        <v>240000</v>
      </c>
      <c r="P104"/>
      <c r="Q104"/>
      <c r="R104"/>
      <c r="S104"/>
      <c r="T104"/>
      <c r="U104"/>
      <c r="V104"/>
      <c r="W104"/>
      <c r="X104"/>
      <c r="Y104"/>
      <c r="Z104"/>
      <c r="AA104"/>
    </row>
    <row r="105" spans="1:27" x14ac:dyDescent="0.25">
      <c r="A105" s="249"/>
      <c r="B105">
        <f t="shared" si="7"/>
        <v>0.42</v>
      </c>
      <c r="C105" s="249"/>
      <c r="D105" s="249"/>
      <c r="E105"/>
      <c r="G105"/>
      <c r="H105"/>
      <c r="I105"/>
      <c r="J105"/>
      <c r="K105"/>
      <c r="M105"/>
      <c r="N105" s="44" t="s">
        <v>307</v>
      </c>
      <c r="O105" s="175">
        <v>92162.03537331702</v>
      </c>
      <c r="P105"/>
      <c r="Q105"/>
      <c r="R105"/>
      <c r="S105"/>
      <c r="T105"/>
      <c r="U105"/>
      <c r="V105"/>
      <c r="W105"/>
      <c r="X105"/>
      <c r="Y105"/>
      <c r="Z105"/>
      <c r="AA105"/>
    </row>
    <row r="106" spans="1:27" x14ac:dyDescent="0.25">
      <c r="A106" s="249" t="s">
        <v>47</v>
      </c>
      <c r="B106">
        <f t="shared" si="7"/>
        <v>0.17</v>
      </c>
      <c r="C106" s="249">
        <f>ROUND(C80,2-(1+INT(LOG10(C80))))/10^6</f>
        <v>18</v>
      </c>
      <c r="D106" s="249">
        <f>VLOOKUP(A106,$A$51:$E$62,5,FALSE)</f>
        <v>106</v>
      </c>
      <c r="E106"/>
      <c r="G106"/>
      <c r="H106"/>
      <c r="I106"/>
      <c r="J106"/>
      <c r="K106"/>
      <c r="M106"/>
      <c r="N106" s="44" t="s">
        <v>299</v>
      </c>
      <c r="O106" s="175">
        <v>29609.504981640152</v>
      </c>
      <c r="P106"/>
      <c r="Q106"/>
      <c r="R106"/>
      <c r="S106"/>
      <c r="T106"/>
      <c r="U106"/>
      <c r="V106"/>
      <c r="W106"/>
      <c r="X106"/>
      <c r="Y106"/>
      <c r="Z106"/>
      <c r="AA106"/>
    </row>
    <row r="107" spans="1:27" x14ac:dyDescent="0.25">
      <c r="A107" s="249"/>
      <c r="B107">
        <f t="shared" si="7"/>
        <v>0.5</v>
      </c>
      <c r="C107" s="249"/>
      <c r="D107" s="249"/>
      <c r="E107"/>
      <c r="G107"/>
      <c r="H107"/>
      <c r="I107"/>
      <c r="J107"/>
      <c r="K107"/>
      <c r="M107"/>
      <c r="N107"/>
      <c r="O107"/>
      <c r="P107"/>
      <c r="Q107"/>
      <c r="R107"/>
      <c r="S107"/>
      <c r="T107"/>
      <c r="U107"/>
      <c r="V107"/>
      <c r="W107"/>
      <c r="X107"/>
      <c r="Y107"/>
      <c r="Z107"/>
      <c r="AA107"/>
    </row>
    <row r="108" spans="1:27" x14ac:dyDescent="0.25">
      <c r="A108" s="249" t="s">
        <v>334</v>
      </c>
      <c r="B108">
        <f t="shared" si="7"/>
        <v>0.12</v>
      </c>
      <c r="C108" s="249">
        <f>ROUND(C82,2-(1+INT(LOG10(C82))))/10^6</f>
        <v>15</v>
      </c>
      <c r="D108" s="249">
        <f>VLOOKUP(A108,$A$51:$E$62,5,FALSE)</f>
        <v>123</v>
      </c>
      <c r="E108"/>
      <c r="G108"/>
      <c r="H108"/>
      <c r="I108"/>
      <c r="J108"/>
      <c r="K108"/>
      <c r="M108"/>
      <c r="N108"/>
      <c r="O108"/>
      <c r="P108"/>
      <c r="Q108"/>
      <c r="R108"/>
      <c r="S108"/>
      <c r="T108"/>
      <c r="U108"/>
      <c r="V108"/>
      <c r="W108"/>
      <c r="X108"/>
      <c r="Y108"/>
      <c r="Z108"/>
      <c r="AA108"/>
    </row>
    <row r="109" spans="1:27" x14ac:dyDescent="0.25">
      <c r="A109" s="249"/>
      <c r="B109">
        <f t="shared" si="7"/>
        <v>0.37</v>
      </c>
      <c r="C109" s="249"/>
      <c r="D109" s="249"/>
      <c r="E109"/>
      <c r="G109"/>
      <c r="H109"/>
      <c r="I109"/>
      <c r="J109"/>
      <c r="K109"/>
      <c r="M109"/>
      <c r="N109"/>
      <c r="O109"/>
      <c r="P109"/>
      <c r="Q109"/>
      <c r="R109"/>
      <c r="S109"/>
      <c r="T109"/>
      <c r="U109"/>
      <c r="V109"/>
      <c r="W109"/>
      <c r="X109"/>
      <c r="Y109"/>
      <c r="Z109"/>
      <c r="AA109"/>
    </row>
    <row r="110" spans="1:27" x14ac:dyDescent="0.25">
      <c r="A110" s="249" t="s">
        <v>605</v>
      </c>
      <c r="B110">
        <f t="shared" si="7"/>
        <v>0.26</v>
      </c>
      <c r="C110" s="249">
        <f>ROUND(C84,2-(1+INT(LOG10(C84))))/10^6</f>
        <v>18</v>
      </c>
      <c r="D110" s="249">
        <f>VLOOKUP(A110,$A$51:$E$62,5,FALSE)</f>
        <v>69</v>
      </c>
      <c r="E110"/>
      <c r="G110"/>
      <c r="H110"/>
      <c r="I110"/>
      <c r="J110"/>
      <c r="K110"/>
      <c r="M110"/>
      <c r="N110"/>
      <c r="O110"/>
      <c r="P110"/>
      <c r="Q110"/>
      <c r="R110"/>
      <c r="S110"/>
      <c r="T110"/>
      <c r="U110"/>
      <c r="V110"/>
      <c r="W110"/>
      <c r="X110"/>
      <c r="Y110"/>
      <c r="Z110"/>
      <c r="AA110"/>
    </row>
    <row r="111" spans="1:27" x14ac:dyDescent="0.25">
      <c r="A111" s="249"/>
      <c r="B111">
        <f t="shared" si="7"/>
        <v>0.56999999999999995</v>
      </c>
      <c r="C111" s="249"/>
      <c r="D111" s="249"/>
      <c r="E111"/>
      <c r="G111"/>
      <c r="H111"/>
      <c r="I111"/>
      <c r="J111"/>
      <c r="K111"/>
      <c r="M111"/>
      <c r="N111"/>
      <c r="O111"/>
      <c r="P111"/>
      <c r="Q111"/>
      <c r="R111"/>
      <c r="S111"/>
      <c r="T111"/>
      <c r="U111"/>
      <c r="V111"/>
      <c r="W111"/>
      <c r="X111"/>
      <c r="Y111"/>
      <c r="Z111"/>
      <c r="AA111"/>
    </row>
    <row r="112" spans="1:27" x14ac:dyDescent="0.25">
      <c r="A112" s="249" t="s">
        <v>1894</v>
      </c>
      <c r="B112">
        <f t="shared" si="7"/>
        <v>0.28000000000000003</v>
      </c>
      <c r="C112" s="249">
        <f>ROUND(C86,2-(1+INT(LOG10(C86))))/10^6</f>
        <v>70</v>
      </c>
      <c r="D112" s="249">
        <f>VLOOKUP(A112,$A$51:$E$62,5,FALSE)</f>
        <v>250</v>
      </c>
      <c r="E112"/>
      <c r="G112"/>
      <c r="H112"/>
      <c r="I112"/>
      <c r="J112"/>
      <c r="K112"/>
      <c r="M112"/>
      <c r="N112"/>
      <c r="O112"/>
      <c r="P112"/>
      <c r="Q112"/>
      <c r="R112"/>
      <c r="S112"/>
      <c r="T112"/>
      <c r="U112"/>
      <c r="V112"/>
      <c r="W112"/>
      <c r="X112"/>
      <c r="Y112"/>
      <c r="Z112"/>
      <c r="AA112"/>
    </row>
    <row r="113" spans="1:27" x14ac:dyDescent="0.25">
      <c r="A113" s="249"/>
      <c r="B113">
        <f t="shared" si="7"/>
        <v>1.2</v>
      </c>
      <c r="C113" s="249"/>
      <c r="D113" s="249"/>
      <c r="E113"/>
      <c r="G113"/>
      <c r="H113"/>
      <c r="I113"/>
      <c r="J113"/>
      <c r="K113"/>
      <c r="M113"/>
      <c r="N113"/>
      <c r="O113"/>
      <c r="P113"/>
      <c r="Q113"/>
      <c r="R113"/>
      <c r="S113"/>
      <c r="T113"/>
      <c r="U113"/>
      <c r="V113"/>
      <c r="W113"/>
      <c r="X113"/>
      <c r="Y113"/>
      <c r="Z113"/>
      <c r="AA113"/>
    </row>
    <row r="114" spans="1:27" x14ac:dyDescent="0.25">
      <c r="A114" s="249" t="s">
        <v>1896</v>
      </c>
      <c r="B114">
        <f t="shared" si="7"/>
        <v>0.26</v>
      </c>
      <c r="C114" s="249">
        <f>ROUND(C88,2-(1+INT(LOG10(C88))))/10^6</f>
        <v>48</v>
      </c>
      <c r="D114" s="249">
        <f>VLOOKUP(A114,$A$51:$E$62,5,FALSE)</f>
        <v>186</v>
      </c>
      <c r="E114"/>
      <c r="G114"/>
      <c r="H114"/>
      <c r="I114"/>
      <c r="J114"/>
      <c r="K114"/>
      <c r="M114"/>
      <c r="N114"/>
      <c r="O114"/>
      <c r="P114"/>
      <c r="Q114"/>
      <c r="R114"/>
      <c r="S114"/>
      <c r="T114"/>
      <c r="U114"/>
      <c r="V114"/>
      <c r="W114"/>
      <c r="X114"/>
      <c r="Y114"/>
      <c r="Z114"/>
      <c r="AA114"/>
    </row>
    <row r="115" spans="1:27" x14ac:dyDescent="0.25">
      <c r="A115" s="249"/>
      <c r="B115">
        <f t="shared" si="7"/>
        <v>0.95</v>
      </c>
      <c r="C115" s="249"/>
      <c r="D115" s="249"/>
      <c r="E115"/>
      <c r="G115"/>
      <c r="H115"/>
      <c r="I115"/>
      <c r="J115"/>
      <c r="K115"/>
      <c r="M115"/>
      <c r="N115"/>
      <c r="O115"/>
      <c r="P115"/>
      <c r="Q115"/>
      <c r="R115"/>
      <c r="S115"/>
      <c r="T115"/>
      <c r="U115"/>
      <c r="V115"/>
      <c r="W115"/>
      <c r="X115"/>
      <c r="Y115"/>
      <c r="Z115"/>
      <c r="AA115"/>
    </row>
    <row r="116" spans="1:27" x14ac:dyDescent="0.25">
      <c r="A116"/>
      <c r="B116"/>
      <c r="C116"/>
      <c r="D116"/>
      <c r="E116"/>
      <c r="G116"/>
      <c r="H116"/>
      <c r="I116"/>
      <c r="J116"/>
      <c r="K116"/>
      <c r="M116"/>
      <c r="N116"/>
      <c r="O116"/>
      <c r="P116"/>
      <c r="Q116"/>
      <c r="R116"/>
      <c r="S116"/>
      <c r="T116"/>
      <c r="U116"/>
      <c r="V116"/>
      <c r="W116"/>
      <c r="X116"/>
      <c r="Y116"/>
      <c r="Z116"/>
      <c r="AA116"/>
    </row>
    <row r="117" spans="1:27" x14ac:dyDescent="0.25">
      <c r="A117"/>
      <c r="B117"/>
      <c r="C117"/>
      <c r="D117"/>
      <c r="E117"/>
      <c r="G117"/>
      <c r="H117"/>
      <c r="I117"/>
      <c r="J117"/>
      <c r="K117"/>
      <c r="M117"/>
      <c r="N117"/>
      <c r="O117"/>
      <c r="P117"/>
      <c r="Q117"/>
      <c r="R117"/>
      <c r="S117"/>
      <c r="T117"/>
      <c r="U117"/>
      <c r="V117"/>
      <c r="W117"/>
      <c r="X117"/>
      <c r="Y117"/>
      <c r="Z117"/>
      <c r="AA117"/>
    </row>
    <row r="118" spans="1:27" x14ac:dyDescent="0.25">
      <c r="A118"/>
      <c r="B118"/>
      <c r="C118"/>
      <c r="D118"/>
      <c r="E118"/>
      <c r="G118"/>
      <c r="H118"/>
      <c r="I118"/>
      <c r="J118"/>
      <c r="K118"/>
      <c r="M118"/>
      <c r="N118"/>
      <c r="O118"/>
      <c r="P118"/>
      <c r="Q118"/>
      <c r="R118"/>
      <c r="S118"/>
      <c r="T118"/>
      <c r="U118"/>
      <c r="V118"/>
      <c r="W118"/>
      <c r="X118"/>
      <c r="Y118"/>
      <c r="Z118"/>
      <c r="AA118"/>
    </row>
    <row r="119" spans="1:27" x14ac:dyDescent="0.25">
      <c r="A119"/>
      <c r="B119"/>
      <c r="C119"/>
      <c r="D119"/>
      <c r="E119"/>
      <c r="G119"/>
      <c r="H119"/>
      <c r="I119"/>
      <c r="J119"/>
      <c r="K119"/>
      <c r="M119"/>
      <c r="N119"/>
      <c r="O119"/>
      <c r="P119"/>
      <c r="Q119"/>
      <c r="R119"/>
      <c r="S119"/>
      <c r="T119"/>
      <c r="U119"/>
      <c r="V119"/>
      <c r="W119"/>
      <c r="X119"/>
      <c r="Y119"/>
      <c r="Z119"/>
      <c r="AA119"/>
    </row>
    <row r="120" spans="1:27" x14ac:dyDescent="0.25">
      <c r="N120"/>
      <c r="O120"/>
    </row>
    <row r="121" spans="1:27" x14ac:dyDescent="0.25">
      <c r="N121"/>
      <c r="O121"/>
    </row>
    <row r="122" spans="1:27" x14ac:dyDescent="0.25">
      <c r="N122"/>
      <c r="O122"/>
    </row>
    <row r="123" spans="1:27" x14ac:dyDescent="0.25">
      <c r="N123"/>
      <c r="O123"/>
    </row>
    <row r="124" spans="1:27" x14ac:dyDescent="0.25">
      <c r="N124"/>
      <c r="O124"/>
    </row>
    <row r="125" spans="1:27" x14ac:dyDescent="0.25">
      <c r="N125"/>
      <c r="O125"/>
    </row>
    <row r="126" spans="1:27" x14ac:dyDescent="0.25">
      <c r="N126"/>
      <c r="O126"/>
    </row>
    <row r="127" spans="1:27" x14ac:dyDescent="0.25">
      <c r="N127"/>
      <c r="O127"/>
    </row>
    <row r="128" spans="1:27" x14ac:dyDescent="0.25">
      <c r="N128"/>
      <c r="O128"/>
    </row>
    <row r="129" spans="14:15" x14ac:dyDescent="0.25">
      <c r="N129"/>
      <c r="O129"/>
    </row>
    <row r="130" spans="14:15" x14ac:dyDescent="0.25">
      <c r="N130"/>
      <c r="O130"/>
    </row>
    <row r="131" spans="14:15" x14ac:dyDescent="0.25">
      <c r="N131"/>
      <c r="O131"/>
    </row>
    <row r="132" spans="14:15" x14ac:dyDescent="0.25">
      <c r="N132"/>
      <c r="O132"/>
    </row>
    <row r="133" spans="14:15" x14ac:dyDescent="0.25">
      <c r="N133"/>
      <c r="O133"/>
    </row>
    <row r="134" spans="14:15" x14ac:dyDescent="0.25">
      <c r="N134"/>
      <c r="O134"/>
    </row>
    <row r="135" spans="14:15" x14ac:dyDescent="0.25">
      <c r="N135"/>
      <c r="O135"/>
    </row>
    <row r="136" spans="14:15" x14ac:dyDescent="0.25">
      <c r="N136"/>
      <c r="O136"/>
    </row>
    <row r="137" spans="14:15" x14ac:dyDescent="0.25">
      <c r="N137"/>
      <c r="O137"/>
    </row>
    <row r="138" spans="14:15" x14ac:dyDescent="0.25">
      <c r="N138"/>
      <c r="O138"/>
    </row>
    <row r="139" spans="14:15" x14ac:dyDescent="0.25">
      <c r="N139"/>
      <c r="O139"/>
    </row>
    <row r="140" spans="14:15" x14ac:dyDescent="0.25">
      <c r="N140"/>
      <c r="O140"/>
    </row>
    <row r="141" spans="14:15" x14ac:dyDescent="0.25">
      <c r="N141"/>
      <c r="O141"/>
    </row>
    <row r="142" spans="14:15" x14ac:dyDescent="0.25">
      <c r="N142"/>
      <c r="O142"/>
    </row>
    <row r="143" spans="14:15" x14ac:dyDescent="0.25">
      <c r="N143"/>
      <c r="O143"/>
    </row>
    <row r="144" spans="14:15" x14ac:dyDescent="0.25">
      <c r="N144"/>
      <c r="O144"/>
    </row>
    <row r="145" spans="14:15" x14ac:dyDescent="0.25">
      <c r="N145"/>
      <c r="O145"/>
    </row>
    <row r="146" spans="14:15" x14ac:dyDescent="0.25">
      <c r="N146"/>
      <c r="O146"/>
    </row>
    <row r="147" spans="14:15" x14ac:dyDescent="0.25">
      <c r="N147"/>
      <c r="O147"/>
    </row>
    <row r="148" spans="14:15" x14ac:dyDescent="0.25">
      <c r="N148"/>
      <c r="O148"/>
    </row>
    <row r="149" spans="14:15" x14ac:dyDescent="0.25">
      <c r="N149"/>
      <c r="O149"/>
    </row>
    <row r="150" spans="14:15" x14ac:dyDescent="0.25">
      <c r="N150"/>
      <c r="O150"/>
    </row>
    <row r="151" spans="14:15" x14ac:dyDescent="0.25">
      <c r="N151"/>
      <c r="O151"/>
    </row>
    <row r="152" spans="14:15" x14ac:dyDescent="0.25">
      <c r="N152"/>
      <c r="O152"/>
    </row>
    <row r="153" spans="14:15" x14ac:dyDescent="0.25">
      <c r="N153"/>
      <c r="O153"/>
    </row>
    <row r="154" spans="14:15" x14ac:dyDescent="0.25">
      <c r="N154"/>
      <c r="O154"/>
    </row>
    <row r="155" spans="14:15" x14ac:dyDescent="0.25">
      <c r="N155"/>
      <c r="O155"/>
    </row>
    <row r="156" spans="14:15" x14ac:dyDescent="0.25">
      <c r="N156"/>
      <c r="O156"/>
    </row>
    <row r="157" spans="14:15" x14ac:dyDescent="0.25">
      <c r="N157"/>
      <c r="O157"/>
    </row>
    <row r="158" spans="14:15" x14ac:dyDescent="0.25">
      <c r="N158"/>
      <c r="O158"/>
    </row>
    <row r="159" spans="14:15" x14ac:dyDescent="0.25">
      <c r="N159"/>
      <c r="O159"/>
    </row>
    <row r="160" spans="14:15" x14ac:dyDescent="0.25">
      <c r="N160"/>
      <c r="O160"/>
    </row>
    <row r="161" spans="14:15" x14ac:dyDescent="0.25">
      <c r="N161"/>
      <c r="O161"/>
    </row>
    <row r="162" spans="14:15" x14ac:dyDescent="0.25">
      <c r="N162"/>
      <c r="O162"/>
    </row>
    <row r="163" spans="14:15" x14ac:dyDescent="0.25">
      <c r="N163"/>
      <c r="O163"/>
    </row>
    <row r="164" spans="14:15" x14ac:dyDescent="0.25">
      <c r="N164"/>
      <c r="O164"/>
    </row>
    <row r="165" spans="14:15" x14ac:dyDescent="0.25">
      <c r="N165"/>
      <c r="O165"/>
    </row>
    <row r="166" spans="14:15" x14ac:dyDescent="0.25">
      <c r="N166"/>
      <c r="O166"/>
    </row>
    <row r="167" spans="14:15" x14ac:dyDescent="0.25">
      <c r="N167"/>
      <c r="O167"/>
    </row>
    <row r="168" spans="14:15" x14ac:dyDescent="0.25">
      <c r="N168"/>
      <c r="O168"/>
    </row>
    <row r="169" spans="14:15" x14ac:dyDescent="0.25">
      <c r="N169"/>
      <c r="O169"/>
    </row>
    <row r="170" spans="14:15" x14ac:dyDescent="0.25">
      <c r="N170"/>
      <c r="O170"/>
    </row>
    <row r="171" spans="14:15" x14ac:dyDescent="0.25">
      <c r="N171"/>
      <c r="O171"/>
    </row>
    <row r="172" spans="14:15" x14ac:dyDescent="0.25">
      <c r="N172"/>
      <c r="O172"/>
    </row>
    <row r="173" spans="14:15" x14ac:dyDescent="0.25">
      <c r="N173"/>
      <c r="O173"/>
    </row>
    <row r="174" spans="14:15" x14ac:dyDescent="0.25">
      <c r="N174"/>
      <c r="O174"/>
    </row>
    <row r="175" spans="14:15" x14ac:dyDescent="0.25">
      <c r="N175"/>
      <c r="O175"/>
    </row>
    <row r="176" spans="14:15" x14ac:dyDescent="0.25">
      <c r="N176"/>
      <c r="O176"/>
    </row>
    <row r="177" spans="14:15" x14ac:dyDescent="0.25">
      <c r="N177"/>
      <c r="O177"/>
    </row>
    <row r="178" spans="14:15" x14ac:dyDescent="0.25">
      <c r="N178"/>
      <c r="O178"/>
    </row>
    <row r="179" spans="14:15" x14ac:dyDescent="0.25">
      <c r="N179"/>
      <c r="O179"/>
    </row>
    <row r="180" spans="14:15" x14ac:dyDescent="0.25">
      <c r="N180"/>
      <c r="O180"/>
    </row>
    <row r="181" spans="14:15" x14ac:dyDescent="0.25">
      <c r="N181"/>
      <c r="O181"/>
    </row>
    <row r="182" spans="14:15" x14ac:dyDescent="0.25">
      <c r="N182"/>
      <c r="O182"/>
    </row>
    <row r="183" spans="14:15" x14ac:dyDescent="0.25">
      <c r="N183"/>
      <c r="O183"/>
    </row>
    <row r="184" spans="14:15" x14ac:dyDescent="0.25">
      <c r="N184"/>
      <c r="O184"/>
    </row>
    <row r="185" spans="14:15" x14ac:dyDescent="0.25">
      <c r="N185"/>
      <c r="O185"/>
    </row>
    <row r="186" spans="14:15" x14ac:dyDescent="0.25">
      <c r="N186"/>
      <c r="O186"/>
    </row>
    <row r="187" spans="14:15" x14ac:dyDescent="0.25">
      <c r="N187"/>
      <c r="O187"/>
    </row>
    <row r="188" spans="14:15" x14ac:dyDescent="0.25">
      <c r="N188"/>
      <c r="O188"/>
    </row>
    <row r="189" spans="14:15" x14ac:dyDescent="0.25">
      <c r="N189"/>
      <c r="O189"/>
    </row>
    <row r="190" spans="14:15" x14ac:dyDescent="0.25">
      <c r="N190"/>
      <c r="O190"/>
    </row>
    <row r="191" spans="14:15" x14ac:dyDescent="0.25">
      <c r="N191"/>
      <c r="O191"/>
    </row>
    <row r="192" spans="14:15" x14ac:dyDescent="0.25">
      <c r="N192"/>
      <c r="O192"/>
    </row>
    <row r="193" spans="14:15" x14ac:dyDescent="0.25">
      <c r="N193"/>
      <c r="O193"/>
    </row>
    <row r="194" spans="14:15" x14ac:dyDescent="0.25">
      <c r="N194"/>
      <c r="O194"/>
    </row>
    <row r="195" spans="14:15" x14ac:dyDescent="0.25">
      <c r="N195"/>
      <c r="O195"/>
    </row>
    <row r="196" spans="14:15" x14ac:dyDescent="0.25">
      <c r="N196"/>
      <c r="O196"/>
    </row>
    <row r="197" spans="14:15" x14ac:dyDescent="0.25">
      <c r="N197"/>
      <c r="O197"/>
    </row>
    <row r="198" spans="14:15" x14ac:dyDescent="0.25">
      <c r="N198"/>
      <c r="O198"/>
    </row>
    <row r="199" spans="14:15" x14ac:dyDescent="0.25">
      <c r="N199"/>
      <c r="O199"/>
    </row>
    <row r="200" spans="14:15" x14ac:dyDescent="0.25">
      <c r="N200"/>
      <c r="O200"/>
    </row>
    <row r="201" spans="14:15" x14ac:dyDescent="0.25">
      <c r="N201"/>
      <c r="O201"/>
    </row>
    <row r="202" spans="14:15" x14ac:dyDescent="0.25">
      <c r="N202"/>
      <c r="O202"/>
    </row>
    <row r="203" spans="14:15" x14ac:dyDescent="0.25">
      <c r="N203"/>
      <c r="O203"/>
    </row>
    <row r="204" spans="14:15" x14ac:dyDescent="0.25">
      <c r="N204"/>
      <c r="O204"/>
    </row>
    <row r="205" spans="14:15" x14ac:dyDescent="0.25">
      <c r="N205"/>
      <c r="O205"/>
    </row>
    <row r="206" spans="14:15" x14ac:dyDescent="0.25">
      <c r="N206"/>
      <c r="O206"/>
    </row>
    <row r="207" spans="14:15" x14ac:dyDescent="0.25">
      <c r="N207"/>
      <c r="O207"/>
    </row>
    <row r="208" spans="14:15" x14ac:dyDescent="0.25">
      <c r="N208"/>
      <c r="O208"/>
    </row>
    <row r="209" spans="14:15" x14ac:dyDescent="0.25">
      <c r="N209"/>
      <c r="O209"/>
    </row>
    <row r="210" spans="14:15" x14ac:dyDescent="0.25">
      <c r="N210"/>
      <c r="O210"/>
    </row>
    <row r="211" spans="14:15" x14ac:dyDescent="0.25">
      <c r="N211"/>
      <c r="O211"/>
    </row>
    <row r="212" spans="14:15" x14ac:dyDescent="0.25">
      <c r="N212"/>
      <c r="O212"/>
    </row>
    <row r="213" spans="14:15" x14ac:dyDescent="0.25">
      <c r="N213"/>
      <c r="O213"/>
    </row>
    <row r="214" spans="14:15" x14ac:dyDescent="0.25">
      <c r="N214"/>
      <c r="O214"/>
    </row>
    <row r="215" spans="14:15" x14ac:dyDescent="0.25">
      <c r="N215"/>
      <c r="O215"/>
    </row>
    <row r="216" spans="14:15" x14ac:dyDescent="0.25">
      <c r="N216"/>
      <c r="O216"/>
    </row>
    <row r="217" spans="14:15" x14ac:dyDescent="0.25">
      <c r="N217"/>
      <c r="O217"/>
    </row>
    <row r="218" spans="14:15" x14ac:dyDescent="0.25">
      <c r="N218"/>
      <c r="O218"/>
    </row>
    <row r="219" spans="14:15" x14ac:dyDescent="0.25">
      <c r="N219"/>
      <c r="O219"/>
    </row>
    <row r="220" spans="14:15" x14ac:dyDescent="0.25">
      <c r="N220"/>
      <c r="O220"/>
    </row>
    <row r="221" spans="14:15" x14ac:dyDescent="0.25">
      <c r="N221"/>
      <c r="O221"/>
    </row>
    <row r="222" spans="14:15" x14ac:dyDescent="0.25">
      <c r="N222"/>
      <c r="O222"/>
    </row>
    <row r="223" spans="14:15" x14ac:dyDescent="0.25">
      <c r="N223"/>
      <c r="O223"/>
    </row>
  </sheetData>
  <mergeCells count="76">
    <mergeCell ref="A2:D2"/>
    <mergeCell ref="H2:J2"/>
    <mergeCell ref="N2:Q2"/>
    <mergeCell ref="D66:D67"/>
    <mergeCell ref="S66:X66"/>
    <mergeCell ref="A68:A69"/>
    <mergeCell ref="C68:C69"/>
    <mergeCell ref="D68:D69"/>
    <mergeCell ref="A70:A71"/>
    <mergeCell ref="C70:C71"/>
    <mergeCell ref="D70:D71"/>
    <mergeCell ref="A72:A73"/>
    <mergeCell ref="C72:C73"/>
    <mergeCell ref="D72:D73"/>
    <mergeCell ref="A74:A75"/>
    <mergeCell ref="C74:C75"/>
    <mergeCell ref="D74:D75"/>
    <mergeCell ref="A76:A77"/>
    <mergeCell ref="C76:C77"/>
    <mergeCell ref="D76:D77"/>
    <mergeCell ref="A78:A79"/>
    <mergeCell ref="C78:C79"/>
    <mergeCell ref="D78:D79"/>
    <mergeCell ref="A80:A81"/>
    <mergeCell ref="C80:C81"/>
    <mergeCell ref="D80:D81"/>
    <mergeCell ref="A82:A83"/>
    <mergeCell ref="C82:C83"/>
    <mergeCell ref="D82:D83"/>
    <mergeCell ref="A84:A85"/>
    <mergeCell ref="C84:C85"/>
    <mergeCell ref="D84:D85"/>
    <mergeCell ref="A86:A87"/>
    <mergeCell ref="C86:C87"/>
    <mergeCell ref="D86:D87"/>
    <mergeCell ref="A88:A89"/>
    <mergeCell ref="C88:C89"/>
    <mergeCell ref="D88:D89"/>
    <mergeCell ref="A92:A93"/>
    <mergeCell ref="C92:C93"/>
    <mergeCell ref="D92:D93"/>
    <mergeCell ref="A94:A95"/>
    <mergeCell ref="C94:C95"/>
    <mergeCell ref="D94:D95"/>
    <mergeCell ref="A96:A97"/>
    <mergeCell ref="C96:C97"/>
    <mergeCell ref="D96:D97"/>
    <mergeCell ref="A98:A99"/>
    <mergeCell ref="C98:C99"/>
    <mergeCell ref="D98:D99"/>
    <mergeCell ref="A100:A101"/>
    <mergeCell ref="C100:C101"/>
    <mergeCell ref="D100:D101"/>
    <mergeCell ref="D108:D109"/>
    <mergeCell ref="A102:A103"/>
    <mergeCell ref="C102:C103"/>
    <mergeCell ref="D102:D103"/>
    <mergeCell ref="A104:A105"/>
    <mergeCell ref="C104:C105"/>
    <mergeCell ref="D104:D105"/>
    <mergeCell ref="A114:A115"/>
    <mergeCell ref="C114:C115"/>
    <mergeCell ref="D114:D115"/>
    <mergeCell ref="C66:C67"/>
    <mergeCell ref="A66:A67"/>
    <mergeCell ref="A110:A111"/>
    <mergeCell ref="C110:C111"/>
    <mergeCell ref="D110:D111"/>
    <mergeCell ref="A112:A113"/>
    <mergeCell ref="C112:C113"/>
    <mergeCell ref="D112:D113"/>
    <mergeCell ref="A106:A107"/>
    <mergeCell ref="C106:C107"/>
    <mergeCell ref="D106:D107"/>
    <mergeCell ref="A108:A109"/>
    <mergeCell ref="C108:C109"/>
  </mergeCells>
  <pageMargins left="0.7" right="0.7" top="0.75" bottom="0.75" header="0.3" footer="0.3"/>
  <pageSetup orientation="portrait" horizontalDpi="1200" verticalDpi="1200" r:id="rId4"/>
  <drawing r:id="rId5"/>
  <extLst>
    <ext xmlns:x14="http://schemas.microsoft.com/office/spreadsheetml/2009/9/main" uri="{A8765BA9-456A-4dab-B4F3-ACF838C121DE}">
      <x14:slicerList>
        <x14:slicer r:id="rId6"/>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55E67-3F8E-4651-9B92-02A62CA954CB}">
  <sheetPr>
    <tabColor theme="9" tint="0.39997558519241921"/>
  </sheetPr>
  <dimension ref="A1:AM210"/>
  <sheetViews>
    <sheetView zoomScale="70" zoomScaleNormal="70" workbookViewId="0">
      <selection activeCell="A2" sqref="A2:D2"/>
    </sheetView>
  </sheetViews>
  <sheetFormatPr defaultColWidth="8.7109375" defaultRowHeight="15" x14ac:dyDescent="0.25"/>
  <cols>
    <col min="1" max="1" width="21" style="134" bestFit="1" customWidth="1"/>
    <col min="2" max="2" width="33.140625" style="134" bestFit="1" customWidth="1"/>
    <col min="3" max="3" width="33.42578125" style="134" bestFit="1" customWidth="1"/>
    <col min="4" max="4" width="34.28515625" style="134" bestFit="1" customWidth="1"/>
    <col min="5" max="5" width="34.42578125" style="134" bestFit="1" customWidth="1"/>
    <col min="6" max="6" width="31.42578125" style="134" bestFit="1" customWidth="1"/>
    <col min="7" max="7" width="9" style="134" customWidth="1"/>
    <col min="8" max="8" width="1" style="134" customWidth="1"/>
    <col min="9" max="9" width="5.42578125" style="134" customWidth="1"/>
    <col min="10" max="10" width="21" style="134" bestFit="1" customWidth="1"/>
    <col min="11" max="11" width="34.85546875" style="134" bestFit="1" customWidth="1"/>
    <col min="12" max="12" width="33.140625" style="134" bestFit="1" customWidth="1"/>
    <col min="13" max="13" width="34.28515625" style="134" bestFit="1" customWidth="1"/>
    <col min="14" max="14" width="17.85546875" style="134" customWidth="1"/>
    <col min="15" max="15" width="8.42578125" style="134" customWidth="1"/>
    <col min="16" max="16" width="22.5703125" style="134" bestFit="1" customWidth="1"/>
    <col min="17" max="17" width="11.85546875" style="134" bestFit="1" customWidth="1"/>
    <col min="18" max="18" width="23.7109375" style="134" bestFit="1" customWidth="1"/>
    <col min="19" max="19" width="7.28515625" style="134" bestFit="1" customWidth="1"/>
    <col min="20" max="20" width="11.85546875" style="134" bestFit="1" customWidth="1"/>
    <col min="21" max="21" width="10.85546875" style="134" bestFit="1" customWidth="1"/>
    <col min="22" max="22" width="1" style="134" customWidth="1"/>
    <col min="23" max="23" width="6.85546875" style="134" customWidth="1"/>
    <col min="24" max="24" width="28.85546875" style="134" bestFit="1" customWidth="1"/>
    <col min="25" max="25" width="21.7109375" style="134" bestFit="1" customWidth="1"/>
    <col min="26" max="26" width="10" style="134" bestFit="1" customWidth="1"/>
    <col min="27" max="27" width="10.7109375" style="134" bestFit="1" customWidth="1"/>
    <col min="28" max="28" width="11.140625" style="134" bestFit="1" customWidth="1"/>
    <col min="29" max="29" width="8.28515625" style="134" bestFit="1" customWidth="1"/>
    <col min="30" max="30" width="10.7109375" style="134" bestFit="1" customWidth="1"/>
    <col min="31" max="31" width="10" style="134" bestFit="1" customWidth="1"/>
    <col min="32" max="32" width="0.85546875" style="134" customWidth="1"/>
    <col min="33" max="33" width="5.85546875" style="12" customWidth="1"/>
    <col min="34" max="34" width="20.42578125" style="134" bestFit="1" customWidth="1"/>
    <col min="35" max="35" width="21.42578125" style="134" bestFit="1" customWidth="1"/>
    <col min="36" max="36" width="20.42578125" style="134" bestFit="1" customWidth="1"/>
    <col min="37" max="37" width="21.42578125" style="134" bestFit="1" customWidth="1"/>
    <col min="38" max="38" width="20.42578125" style="134" bestFit="1" customWidth="1"/>
    <col min="39" max="39" width="20.140625" style="134" customWidth="1"/>
    <col min="40" max="40" width="25.28515625" style="134" bestFit="1" customWidth="1"/>
    <col min="41" max="41" width="26.140625" style="134" bestFit="1" customWidth="1"/>
    <col min="42" max="42" width="2.85546875" style="134" bestFit="1" customWidth="1"/>
    <col min="43" max="44" width="1.85546875" style="134" bestFit="1" customWidth="1"/>
    <col min="45" max="46" width="2.85546875" style="134" bestFit="1" customWidth="1"/>
    <col min="47" max="47" width="28.42578125" style="134" bestFit="1" customWidth="1"/>
    <col min="48" max="48" width="28.5703125" style="134" bestFit="1" customWidth="1"/>
    <col min="49" max="49" width="29.140625" style="134" bestFit="1" customWidth="1"/>
    <col min="50" max="50" width="29.42578125" style="134" bestFit="1" customWidth="1"/>
    <col min="51" max="51" width="27.42578125" style="134" bestFit="1" customWidth="1"/>
    <col min="52" max="16384" width="8.7109375" style="134"/>
  </cols>
  <sheetData>
    <row r="1" spans="1:39" ht="26.25" x14ac:dyDescent="0.4">
      <c r="A1" s="136" t="s">
        <v>2058</v>
      </c>
      <c r="B1"/>
      <c r="C1"/>
      <c r="D1"/>
      <c r="E1"/>
      <c r="F1" s="12"/>
      <c r="G1" s="12"/>
      <c r="I1"/>
      <c r="J1" s="136" t="s">
        <v>2059</v>
      </c>
      <c r="K1"/>
      <c r="L1"/>
      <c r="M1"/>
      <c r="N1"/>
      <c r="O1" s="136" t="s">
        <v>2060</v>
      </c>
      <c r="P1"/>
      <c r="Q1"/>
      <c r="R1"/>
      <c r="S1"/>
      <c r="T1"/>
      <c r="U1"/>
      <c r="W1"/>
      <c r="X1" s="136" t="s">
        <v>2061</v>
      </c>
      <c r="Y1"/>
      <c r="Z1"/>
      <c r="AA1"/>
      <c r="AB1"/>
      <c r="AC1"/>
      <c r="AD1"/>
      <c r="AE1"/>
      <c r="AH1" s="136" t="s">
        <v>2062</v>
      </c>
      <c r="AI1"/>
      <c r="AJ1"/>
      <c r="AK1"/>
      <c r="AL1"/>
      <c r="AM1"/>
    </row>
    <row r="2" spans="1:39" ht="66.599999999999994" customHeight="1" thickBot="1" x14ac:dyDescent="0.3">
      <c r="A2" s="247" t="s">
        <v>2063</v>
      </c>
      <c r="B2" s="247"/>
      <c r="C2" s="247"/>
      <c r="D2" s="247"/>
      <c r="E2"/>
      <c r="F2" s="12"/>
      <c r="G2" s="12"/>
      <c r="I2"/>
      <c r="J2" s="250" t="s">
        <v>2064</v>
      </c>
      <c r="K2" s="250"/>
      <c r="L2" s="250"/>
      <c r="M2" s="250"/>
      <c r="N2"/>
      <c r="O2" s="186"/>
      <c r="P2"/>
      <c r="Q2"/>
      <c r="R2"/>
      <c r="S2"/>
      <c r="T2"/>
      <c r="U2"/>
      <c r="W2"/>
      <c r="X2" s="248" t="s">
        <v>2065</v>
      </c>
      <c r="Y2" s="247"/>
      <c r="Z2" s="247"/>
      <c r="AA2" s="247"/>
      <c r="AB2" s="247"/>
      <c r="AC2"/>
      <c r="AD2"/>
      <c r="AE2"/>
      <c r="AH2" s="247" t="s">
        <v>2066</v>
      </c>
      <c r="AI2" s="247"/>
      <c r="AJ2" s="247"/>
      <c r="AK2"/>
      <c r="AL2" s="178"/>
      <c r="AM2"/>
    </row>
    <row r="3" spans="1:39" ht="30.75" thickBot="1" x14ac:dyDescent="0.3">
      <c r="A3" s="187" t="s">
        <v>31</v>
      </c>
      <c r="B3" s="188" t="s">
        <v>2067</v>
      </c>
      <c r="C3" s="189" t="s">
        <v>2068</v>
      </c>
      <c r="D3" s="188" t="s">
        <v>2069</v>
      </c>
      <c r="E3"/>
      <c r="F3" s="12"/>
      <c r="G3" s="12"/>
      <c r="I3"/>
      <c r="J3"/>
      <c r="K3"/>
      <c r="L3"/>
      <c r="M3"/>
      <c r="N3"/>
      <c r="O3"/>
      <c r="P3"/>
      <c r="Q3"/>
      <c r="R3"/>
      <c r="S3"/>
      <c r="T3"/>
      <c r="U3"/>
      <c r="W3"/>
      <c r="X3"/>
      <c r="Y3"/>
      <c r="Z3"/>
      <c r="AA3"/>
      <c r="AB3"/>
      <c r="AC3"/>
      <c r="AD3"/>
      <c r="AE3"/>
      <c r="AH3"/>
      <c r="AI3"/>
      <c r="AJ3"/>
      <c r="AK3"/>
      <c r="AL3"/>
      <c r="AM3"/>
    </row>
    <row r="4" spans="1:39" ht="30.75" thickBot="1" x14ac:dyDescent="0.3">
      <c r="A4" s="190" t="s">
        <v>2070</v>
      </c>
      <c r="B4" s="191" t="str">
        <f>IF(B61="**","**",_xlfn.CONCAT("$",B61))&amp;IF(B62="**","",_xlfn.CONCAT(" (± $",B62,")"))</f>
        <v>**</v>
      </c>
      <c r="C4" s="191" t="str">
        <f>IF(C61="**","**",_xlfn.CONCAT("$",C61,"K"))&amp;IF(C62="**","",_xlfn.CONCAT(" (± $",C62,"K)"))</f>
        <v>**</v>
      </c>
      <c r="D4" s="192">
        <v>0</v>
      </c>
      <c r="E4"/>
      <c r="F4" s="12"/>
      <c r="G4" s="12"/>
      <c r="I4"/>
      <c r="J4"/>
      <c r="K4"/>
      <c r="L4"/>
      <c r="M4"/>
      <c r="N4"/>
      <c r="O4"/>
      <c r="P4"/>
      <c r="Q4"/>
      <c r="R4"/>
      <c r="S4"/>
      <c r="T4"/>
      <c r="U4"/>
      <c r="W4"/>
      <c r="X4"/>
      <c r="Y4"/>
      <c r="Z4"/>
      <c r="AA4"/>
      <c r="AB4"/>
      <c r="AC4"/>
      <c r="AD4"/>
      <c r="AE4"/>
      <c r="AH4"/>
      <c r="AI4"/>
      <c r="AJ4"/>
      <c r="AK4"/>
      <c r="AL4"/>
      <c r="AM4"/>
    </row>
    <row r="5" spans="1:39" ht="30.75" thickBot="1" x14ac:dyDescent="0.3">
      <c r="A5" s="193" t="s">
        <v>2071</v>
      </c>
      <c r="B5" s="191" t="str">
        <f>IF(B63="**","**",_xlfn.CONCAT("$",B63))&amp;IF(B64="**","",_xlfn.CONCAT(" (± $",B64,")"))</f>
        <v>$54</v>
      </c>
      <c r="C5" s="191" t="str">
        <f>IF(C63="**","**",_xlfn.CONCAT("$",C63,"K"))&amp;IF(C64="**","",_xlfn.CONCAT(" (± $",C64,"K)"))</f>
        <v>$630K</v>
      </c>
      <c r="D5" s="192">
        <v>1</v>
      </c>
      <c r="E5"/>
      <c r="F5" s="12"/>
      <c r="G5" s="12"/>
      <c r="I5"/>
      <c r="J5"/>
      <c r="K5"/>
      <c r="L5"/>
      <c r="M5"/>
      <c r="N5"/>
      <c r="O5"/>
      <c r="P5"/>
      <c r="Q5"/>
      <c r="R5"/>
      <c r="S5"/>
      <c r="T5"/>
      <c r="U5"/>
      <c r="W5"/>
      <c r="X5"/>
      <c r="Y5"/>
      <c r="Z5"/>
      <c r="AA5"/>
      <c r="AB5"/>
      <c r="AC5"/>
      <c r="AD5"/>
      <c r="AE5"/>
      <c r="AH5"/>
      <c r="AI5"/>
      <c r="AJ5"/>
      <c r="AK5"/>
      <c r="AL5"/>
      <c r="AM5"/>
    </row>
    <row r="6" spans="1:39" ht="30.75" thickBot="1" x14ac:dyDescent="0.3">
      <c r="A6" s="190" t="s">
        <v>2072</v>
      </c>
      <c r="B6" s="191" t="str">
        <f>IF(B65="**","**",_xlfn.CONCAT("$",B65))&amp;IF(B66="**","",_xlfn.CONCAT(" (± $",B66,")"))</f>
        <v>$29</v>
      </c>
      <c r="C6" s="191" t="str">
        <f>IF(C65="**","**",_xlfn.CONCAT("$",C65,"K"))&amp;IF(C66="**","",_xlfn.CONCAT(" (± $",C66,"K)"))</f>
        <v>$190K</v>
      </c>
      <c r="D6" s="192">
        <v>1</v>
      </c>
      <c r="E6"/>
      <c r="F6" s="12"/>
      <c r="G6" s="12"/>
      <c r="I6"/>
      <c r="J6"/>
      <c r="K6"/>
      <c r="L6"/>
      <c r="M6"/>
      <c r="N6"/>
      <c r="O6"/>
      <c r="P6"/>
      <c r="Q6"/>
      <c r="R6"/>
      <c r="S6"/>
      <c r="T6"/>
      <c r="U6"/>
      <c r="W6"/>
      <c r="X6"/>
      <c r="Y6"/>
      <c r="Z6"/>
      <c r="AA6"/>
      <c r="AB6"/>
      <c r="AC6"/>
      <c r="AD6"/>
      <c r="AE6"/>
      <c r="AH6"/>
      <c r="AI6"/>
      <c r="AJ6"/>
      <c r="AK6"/>
      <c r="AL6"/>
      <c r="AM6"/>
    </row>
    <row r="7" spans="1:39" ht="30.75" thickBot="1" x14ac:dyDescent="0.3">
      <c r="A7" s="193" t="s">
        <v>2073</v>
      </c>
      <c r="B7" s="191" t="str">
        <f>IF(B67="**","**",_xlfn.CONCAT("$",B67))&amp;IF(B68="**","",_xlfn.CONCAT(" (± $",B68,")"))</f>
        <v>$45 (± $66)</v>
      </c>
      <c r="C7" s="191" t="str">
        <f>IF(C67="**","**",_xlfn.CONCAT("$",C67,"K"))&amp;IF(C68="**","",_xlfn.CONCAT(" (± $",C68,"K)"))</f>
        <v>$210K (± $270K)</v>
      </c>
      <c r="D7" s="192" t="s">
        <v>2074</v>
      </c>
      <c r="E7"/>
      <c r="F7" s="12"/>
      <c r="G7" s="12"/>
      <c r="I7"/>
      <c r="J7"/>
      <c r="K7"/>
      <c r="L7"/>
      <c r="M7"/>
      <c r="N7"/>
      <c r="O7"/>
      <c r="P7"/>
      <c r="Q7"/>
      <c r="R7"/>
      <c r="S7"/>
      <c r="T7"/>
      <c r="U7"/>
      <c r="W7"/>
      <c r="X7"/>
      <c r="Y7"/>
      <c r="Z7"/>
      <c r="AA7"/>
      <c r="AB7"/>
      <c r="AC7"/>
      <c r="AD7"/>
      <c r="AE7"/>
      <c r="AH7"/>
      <c r="AI7"/>
      <c r="AJ7"/>
      <c r="AK7"/>
      <c r="AL7"/>
      <c r="AM7"/>
    </row>
    <row r="8" spans="1:39" ht="30.75" thickBot="1" x14ac:dyDescent="0.3">
      <c r="A8" s="190" t="s">
        <v>2075</v>
      </c>
      <c r="B8" s="191" t="str">
        <f>IF(B69="**","**",_xlfn.CONCAT("$",B69))&amp;IF(B70="**","",_xlfn.CONCAT(" (± $",B70,")"))</f>
        <v>$31 (± $24)</v>
      </c>
      <c r="C8" s="191" t="str">
        <f>IF(C69="**","**",_xlfn.CONCAT("$",C69,"K"))&amp;IF(C70="**","",_xlfn.CONCAT(" (± $",C70,"K)"))</f>
        <v>$130K (± $120K)</v>
      </c>
      <c r="D8" s="192">
        <v>7</v>
      </c>
      <c r="E8"/>
      <c r="F8" s="12"/>
      <c r="G8" s="12"/>
      <c r="I8"/>
      <c r="J8"/>
      <c r="K8"/>
      <c r="L8"/>
      <c r="M8"/>
      <c r="N8"/>
      <c r="O8"/>
      <c r="P8"/>
      <c r="Q8"/>
      <c r="R8"/>
      <c r="S8"/>
      <c r="T8"/>
      <c r="U8"/>
      <c r="W8"/>
      <c r="X8"/>
      <c r="Y8"/>
      <c r="Z8"/>
      <c r="AA8"/>
      <c r="AB8"/>
      <c r="AC8"/>
      <c r="AD8"/>
      <c r="AE8"/>
      <c r="AH8"/>
      <c r="AI8"/>
      <c r="AJ8"/>
      <c r="AK8"/>
      <c r="AL8"/>
      <c r="AM8"/>
    </row>
    <row r="9" spans="1:39" ht="30.75" thickBot="1" x14ac:dyDescent="0.3">
      <c r="A9" s="193" t="s">
        <v>2076</v>
      </c>
      <c r="B9" s="191" t="str">
        <f>IF(B71="**","**",_xlfn.CONCAT("$",B71))&amp;IF(B72="**","",_xlfn.CONCAT(" (± $",B72,")"))</f>
        <v>**</v>
      </c>
      <c r="C9" s="191" t="str">
        <f>IF(C71="**","**",_xlfn.CONCAT("$",C71,"K"))&amp;IF(C72="**","",_xlfn.CONCAT(" (± $",C72,"K)"))</f>
        <v>**</v>
      </c>
      <c r="D9" s="192">
        <v>0</v>
      </c>
      <c r="E9"/>
      <c r="F9" s="12"/>
      <c r="G9" s="12"/>
      <c r="I9"/>
      <c r="J9"/>
      <c r="K9"/>
      <c r="L9"/>
      <c r="M9"/>
      <c r="N9"/>
      <c r="O9"/>
      <c r="P9"/>
      <c r="Q9"/>
      <c r="R9"/>
      <c r="S9"/>
      <c r="T9"/>
      <c r="U9"/>
      <c r="W9"/>
      <c r="X9"/>
      <c r="Y9"/>
      <c r="Z9"/>
      <c r="AA9"/>
      <c r="AB9"/>
      <c r="AC9"/>
      <c r="AD9"/>
      <c r="AE9"/>
      <c r="AH9"/>
      <c r="AI9"/>
      <c r="AJ9"/>
      <c r="AK9"/>
      <c r="AL9"/>
      <c r="AM9"/>
    </row>
    <row r="10" spans="1:39" ht="29.1" customHeight="1" thickBot="1" x14ac:dyDescent="0.3">
      <c r="A10" s="190" t="s">
        <v>2077</v>
      </c>
      <c r="B10" s="191" t="str">
        <f>IF(B73="**","**",_xlfn.CONCAT("$",B73))&amp;IF(B74="**","",_xlfn.CONCAT(" (± $",B74,")"))</f>
        <v>$3.5</v>
      </c>
      <c r="C10" s="191" t="str">
        <f>IF(C73="**","**",_xlfn.CONCAT("$",C73,"K"))&amp;IF(C74="**","",_xlfn.CONCAT(" (± $",C74,"K)"))</f>
        <v>$14K</v>
      </c>
      <c r="D10" s="192">
        <v>1</v>
      </c>
      <c r="E10"/>
      <c r="F10" s="12"/>
      <c r="G10" s="12"/>
      <c r="I10"/>
      <c r="J10"/>
      <c r="K10"/>
      <c r="L10"/>
      <c r="M10"/>
      <c r="N10"/>
      <c r="O10"/>
      <c r="P10"/>
      <c r="Q10"/>
      <c r="R10"/>
      <c r="S10"/>
      <c r="T10"/>
      <c r="U10"/>
      <c r="W10"/>
      <c r="X10"/>
      <c r="Y10"/>
      <c r="Z10"/>
      <c r="AA10"/>
      <c r="AB10"/>
      <c r="AC10"/>
      <c r="AD10"/>
      <c r="AE10"/>
      <c r="AH10"/>
      <c r="AI10"/>
      <c r="AJ10"/>
      <c r="AK10"/>
      <c r="AL10"/>
      <c r="AM10"/>
    </row>
    <row r="11" spans="1:39" ht="30.75" thickBot="1" x14ac:dyDescent="0.3">
      <c r="A11" s="193" t="s">
        <v>2078</v>
      </c>
      <c r="B11" s="191" t="str">
        <f>IF(B75="**","**",_xlfn.CONCAT("$",B75))&amp;IF(B76="**","",_xlfn.CONCAT(" (± $",B76,")"))</f>
        <v>$20 (± $44)</v>
      </c>
      <c r="C11" s="191" t="str">
        <f>IF(C75="**","**",_xlfn.CONCAT("$",C75,"K"))&amp;IF(C76="**","",_xlfn.CONCAT(" (± $",C76,"K)"))</f>
        <v>$76K (± $92K)</v>
      </c>
      <c r="D11" s="192">
        <v>38</v>
      </c>
      <c r="E11"/>
      <c r="F11" s="12"/>
      <c r="G11" s="12"/>
      <c r="I11"/>
      <c r="J11"/>
      <c r="K11"/>
      <c r="L11"/>
      <c r="M11"/>
      <c r="N11"/>
      <c r="O11"/>
      <c r="P11"/>
      <c r="Q11"/>
      <c r="R11"/>
      <c r="S11"/>
      <c r="T11"/>
      <c r="U11"/>
      <c r="W11"/>
      <c r="X11"/>
      <c r="Y11"/>
      <c r="Z11"/>
      <c r="AA11"/>
      <c r="AB11"/>
      <c r="AC11"/>
      <c r="AD11"/>
      <c r="AE11"/>
      <c r="AH11"/>
      <c r="AI11"/>
      <c r="AJ11"/>
      <c r="AK11"/>
      <c r="AL11"/>
      <c r="AM11"/>
    </row>
    <row r="12" spans="1:39" ht="30.75" thickBot="1" x14ac:dyDescent="0.3">
      <c r="A12" s="190" t="s">
        <v>2079</v>
      </c>
      <c r="B12" s="191" t="str">
        <f>IF(B77="**","**",_xlfn.CONCAT("$",B77))&amp;IF(B78="**","",_xlfn.CONCAT(" (± $",B78,")"))</f>
        <v>$40 (± $44)</v>
      </c>
      <c r="C12" s="191" t="str">
        <f>IF(C77="**","**",_xlfn.CONCAT("$",C77,"K"))&amp;IF(C78="**","",_xlfn.CONCAT(" (± $",C78,"K)"))</f>
        <v>$160K (± $230K)</v>
      </c>
      <c r="D12" s="192">
        <v>9</v>
      </c>
      <c r="E12"/>
      <c r="F12" s="12"/>
      <c r="G12" s="12"/>
      <c r="I12"/>
      <c r="J12"/>
      <c r="K12"/>
      <c r="L12"/>
      <c r="M12"/>
      <c r="N12"/>
      <c r="O12"/>
      <c r="P12"/>
      <c r="Q12"/>
      <c r="R12"/>
      <c r="S12"/>
      <c r="T12"/>
      <c r="U12"/>
      <c r="W12"/>
      <c r="X12"/>
      <c r="Y12"/>
      <c r="Z12"/>
      <c r="AA12"/>
      <c r="AB12"/>
      <c r="AC12"/>
      <c r="AD12"/>
      <c r="AE12"/>
      <c r="AH12"/>
      <c r="AI12"/>
      <c r="AJ12"/>
      <c r="AK12"/>
      <c r="AL12"/>
      <c r="AM12"/>
    </row>
    <row r="13" spans="1:39" ht="15.75" thickBot="1" x14ac:dyDescent="0.3">
      <c r="A13" s="194" t="s">
        <v>2080</v>
      </c>
      <c r="B13" s="195"/>
      <c r="C13" s="195"/>
      <c r="D13" s="196">
        <v>131</v>
      </c>
      <c r="E13"/>
      <c r="F13" s="12"/>
      <c r="G13" s="12"/>
      <c r="I13"/>
      <c r="J13"/>
      <c r="K13"/>
      <c r="L13"/>
      <c r="M13"/>
      <c r="N13"/>
      <c r="O13"/>
      <c r="P13"/>
      <c r="Q13"/>
      <c r="R13"/>
      <c r="S13"/>
      <c r="T13"/>
      <c r="U13"/>
      <c r="W13"/>
      <c r="X13"/>
      <c r="Y13"/>
      <c r="Z13"/>
      <c r="AA13"/>
      <c r="AB13"/>
      <c r="AC13"/>
      <c r="AD13"/>
      <c r="AE13"/>
      <c r="AH13"/>
      <c r="AI13"/>
      <c r="AJ13"/>
      <c r="AK13"/>
      <c r="AL13"/>
      <c r="AM13"/>
    </row>
    <row r="14" spans="1:39" x14ac:dyDescent="0.25">
      <c r="A14"/>
      <c r="B14"/>
      <c r="C14"/>
      <c r="D14"/>
      <c r="E14"/>
      <c r="F14" s="12"/>
      <c r="G14" s="12"/>
      <c r="I14"/>
      <c r="J14"/>
      <c r="K14"/>
      <c r="L14"/>
      <c r="M14"/>
      <c r="N14"/>
      <c r="O14"/>
      <c r="P14"/>
      <c r="Q14"/>
      <c r="R14"/>
      <c r="S14"/>
      <c r="T14"/>
      <c r="U14"/>
      <c r="W14"/>
      <c r="X14"/>
      <c r="Y14"/>
      <c r="Z14"/>
      <c r="AA14"/>
      <c r="AB14"/>
      <c r="AC14"/>
      <c r="AD14"/>
      <c r="AE14"/>
      <c r="AH14"/>
      <c r="AI14"/>
      <c r="AJ14"/>
      <c r="AK14"/>
      <c r="AL14"/>
      <c r="AM14"/>
    </row>
    <row r="15" spans="1:39" x14ac:dyDescent="0.25">
      <c r="A15"/>
      <c r="B15"/>
      <c r="C15"/>
      <c r="D15"/>
      <c r="E15"/>
      <c r="F15" s="12"/>
      <c r="G15" s="12"/>
      <c r="I15"/>
      <c r="J15"/>
      <c r="K15"/>
      <c r="L15"/>
      <c r="M15"/>
      <c r="N15"/>
      <c r="O15"/>
      <c r="P15"/>
      <c r="Q15"/>
      <c r="R15"/>
      <c r="S15"/>
      <c r="T15"/>
      <c r="U15"/>
      <c r="W15"/>
      <c r="X15"/>
      <c r="Y15"/>
      <c r="Z15"/>
      <c r="AA15"/>
      <c r="AB15"/>
      <c r="AC15"/>
      <c r="AD15"/>
      <c r="AE15"/>
      <c r="AH15"/>
      <c r="AI15"/>
      <c r="AJ15"/>
      <c r="AK15"/>
      <c r="AL15"/>
      <c r="AM15"/>
    </row>
    <row r="16" spans="1:39" x14ac:dyDescent="0.25">
      <c r="A16"/>
      <c r="B16"/>
      <c r="C16"/>
      <c r="D16"/>
      <c r="E16"/>
      <c r="F16" s="12"/>
      <c r="G16" s="12"/>
      <c r="I16"/>
      <c r="J16"/>
      <c r="K16"/>
      <c r="L16"/>
      <c r="M16"/>
      <c r="N16"/>
      <c r="O16"/>
      <c r="P16"/>
      <c r="Q16"/>
      <c r="R16"/>
      <c r="S16"/>
      <c r="T16"/>
      <c r="U16"/>
      <c r="W16"/>
      <c r="X16"/>
      <c r="Y16"/>
      <c r="Z16"/>
      <c r="AA16"/>
      <c r="AB16"/>
      <c r="AC16"/>
      <c r="AD16"/>
      <c r="AE16"/>
      <c r="AH16"/>
      <c r="AI16"/>
      <c r="AJ16"/>
      <c r="AK16"/>
      <c r="AL16"/>
      <c r="AM16"/>
    </row>
    <row r="17" spans="1:39" x14ac:dyDescent="0.25">
      <c r="A17"/>
      <c r="B17"/>
      <c r="C17"/>
      <c r="D17"/>
      <c r="E17"/>
      <c r="F17" s="12"/>
      <c r="G17" s="12"/>
      <c r="I17"/>
      <c r="J17"/>
      <c r="K17"/>
      <c r="L17"/>
      <c r="M17"/>
      <c r="N17"/>
      <c r="O17"/>
      <c r="P17"/>
      <c r="Q17"/>
      <c r="R17"/>
      <c r="S17"/>
      <c r="T17"/>
      <c r="U17"/>
      <c r="W17"/>
      <c r="X17"/>
      <c r="Y17"/>
      <c r="Z17"/>
      <c r="AA17"/>
      <c r="AB17"/>
      <c r="AC17"/>
      <c r="AD17"/>
      <c r="AE17"/>
      <c r="AH17"/>
      <c r="AI17"/>
      <c r="AJ17"/>
      <c r="AK17"/>
      <c r="AL17"/>
      <c r="AM17"/>
    </row>
    <row r="18" spans="1:39" x14ac:dyDescent="0.25">
      <c r="A18"/>
      <c r="B18"/>
      <c r="C18"/>
      <c r="D18"/>
      <c r="E18"/>
      <c r="F18" s="12"/>
      <c r="G18" s="12"/>
      <c r="I18"/>
      <c r="J18"/>
      <c r="K18"/>
      <c r="L18"/>
      <c r="M18"/>
      <c r="N18"/>
      <c r="O18"/>
      <c r="P18"/>
      <c r="Q18"/>
      <c r="R18"/>
      <c r="S18"/>
      <c r="T18"/>
      <c r="U18"/>
      <c r="W18"/>
      <c r="X18"/>
      <c r="Y18"/>
      <c r="Z18"/>
      <c r="AA18"/>
      <c r="AB18"/>
      <c r="AC18"/>
      <c r="AD18"/>
      <c r="AE18"/>
      <c r="AH18"/>
      <c r="AI18"/>
      <c r="AJ18"/>
      <c r="AK18"/>
      <c r="AL18"/>
      <c r="AM18"/>
    </row>
    <row r="19" spans="1:39" x14ac:dyDescent="0.25">
      <c r="A19"/>
      <c r="B19"/>
      <c r="C19"/>
      <c r="D19"/>
      <c r="E19"/>
      <c r="F19" s="12"/>
      <c r="G19" s="12"/>
      <c r="I19"/>
      <c r="J19"/>
      <c r="K19"/>
      <c r="L19"/>
      <c r="M19"/>
      <c r="N19"/>
      <c r="O19"/>
      <c r="P19"/>
      <c r="Q19"/>
      <c r="R19"/>
      <c r="S19"/>
      <c r="T19"/>
      <c r="U19"/>
      <c r="W19"/>
      <c r="X19"/>
      <c r="Y19"/>
      <c r="Z19"/>
      <c r="AA19"/>
      <c r="AB19"/>
      <c r="AC19"/>
      <c r="AD19"/>
      <c r="AE19"/>
      <c r="AH19"/>
      <c r="AI19"/>
      <c r="AJ19"/>
      <c r="AK19"/>
      <c r="AL19"/>
      <c r="AM19"/>
    </row>
    <row r="20" spans="1:39" ht="15.75" thickBot="1" x14ac:dyDescent="0.3">
      <c r="A20"/>
      <c r="B20"/>
      <c r="C20"/>
      <c r="D20"/>
      <c r="E20"/>
      <c r="F20" s="12"/>
      <c r="G20" s="12"/>
      <c r="I20"/>
      <c r="J20"/>
      <c r="K20"/>
      <c r="L20"/>
      <c r="M20"/>
      <c r="N20"/>
      <c r="O20"/>
      <c r="P20"/>
      <c r="Q20"/>
      <c r="R20"/>
      <c r="S20"/>
      <c r="T20"/>
      <c r="U20"/>
      <c r="W20"/>
      <c r="X20"/>
      <c r="Y20"/>
      <c r="Z20"/>
      <c r="AA20"/>
      <c r="AB20"/>
      <c r="AC20"/>
      <c r="AD20"/>
      <c r="AE20"/>
      <c r="AH20"/>
      <c r="AI20"/>
      <c r="AJ20"/>
      <c r="AK20"/>
      <c r="AL20"/>
      <c r="AM20"/>
    </row>
    <row r="21" spans="1:39" s="147" customFormat="1" x14ac:dyDescent="0.25">
      <c r="A21" s="172"/>
      <c r="B21" s="172"/>
      <c r="C21" s="172"/>
      <c r="D21" s="172"/>
      <c r="E21" s="172"/>
      <c r="F21" s="146"/>
      <c r="G21" s="146"/>
      <c r="I21" s="172"/>
      <c r="J21" s="172"/>
      <c r="K21" s="172"/>
      <c r="L21" s="172"/>
      <c r="M21" s="172"/>
      <c r="N21" s="172"/>
      <c r="O21" s="172"/>
      <c r="P21" s="172"/>
      <c r="Q21" s="172"/>
      <c r="R21" s="172"/>
      <c r="S21" s="172"/>
      <c r="T21" s="172"/>
      <c r="U21" s="172"/>
      <c r="W21" s="172"/>
      <c r="X21" s="172"/>
      <c r="Y21" s="172"/>
      <c r="Z21" s="172"/>
      <c r="AA21" s="172"/>
      <c r="AB21" s="172"/>
      <c r="AC21" s="172"/>
      <c r="AD21" s="172"/>
      <c r="AE21" s="172"/>
      <c r="AF21" s="172"/>
      <c r="AG21" s="146"/>
      <c r="AH21" s="172"/>
      <c r="AI21" s="172"/>
      <c r="AJ21" s="172"/>
      <c r="AK21" s="172"/>
      <c r="AL21" s="172"/>
      <c r="AM21" s="172"/>
    </row>
    <row r="22" spans="1:39" ht="21" x14ac:dyDescent="0.35">
      <c r="A22" s="148" t="s">
        <v>1925</v>
      </c>
      <c r="B22"/>
      <c r="C22"/>
      <c r="D22"/>
      <c r="E22"/>
      <c r="F22" s="12"/>
      <c r="G22" s="12"/>
      <c r="I22"/>
      <c r="J22" s="148" t="s">
        <v>1925</v>
      </c>
      <c r="K22"/>
      <c r="L22"/>
      <c r="M22"/>
      <c r="N22"/>
      <c r="O22" s="12"/>
      <c r="P22"/>
      <c r="Q22"/>
      <c r="R22"/>
      <c r="S22"/>
      <c r="T22"/>
      <c r="U22"/>
      <c r="W22"/>
      <c r="X22" s="148" t="s">
        <v>1925</v>
      </c>
      <c r="Y22"/>
      <c r="Z22"/>
      <c r="AA22"/>
      <c r="AB22"/>
      <c r="AC22"/>
      <c r="AD22"/>
      <c r="AE22"/>
      <c r="AF22"/>
      <c r="AH22"/>
      <c r="AI22"/>
      <c r="AJ22"/>
      <c r="AK22"/>
      <c r="AL22"/>
      <c r="AM22"/>
    </row>
    <row r="23" spans="1:39" x14ac:dyDescent="0.25">
      <c r="A23" s="150" t="s">
        <v>1</v>
      </c>
      <c r="B23" s="221" t="s">
        <v>8</v>
      </c>
      <c r="C23"/>
      <c r="D23"/>
      <c r="E23"/>
      <c r="F23" s="12"/>
      <c r="G23" s="12"/>
      <c r="I23"/>
      <c r="J23" s="150" t="s">
        <v>1</v>
      </c>
      <c r="K23" s="221" t="s">
        <v>8</v>
      </c>
      <c r="L23"/>
      <c r="M23"/>
      <c r="N23"/>
      <c r="O23" s="12"/>
      <c r="P23"/>
      <c r="Q23"/>
      <c r="R23"/>
      <c r="S23"/>
      <c r="T23"/>
      <c r="U23"/>
      <c r="W23"/>
      <c r="X23"/>
      <c r="Y23"/>
      <c r="Z23"/>
      <c r="AA23"/>
      <c r="AB23"/>
      <c r="AC23"/>
      <c r="AD23"/>
      <c r="AE23"/>
      <c r="AF23"/>
      <c r="AH23"/>
      <c r="AI23"/>
      <c r="AJ23"/>
      <c r="AK23"/>
      <c r="AL23"/>
      <c r="AM23"/>
    </row>
    <row r="24" spans="1:39" x14ac:dyDescent="0.25">
      <c r="A24" s="150" t="s">
        <v>1852</v>
      </c>
      <c r="B24" s="221" t="s">
        <v>1853</v>
      </c>
      <c r="C24"/>
      <c r="D24"/>
      <c r="E24"/>
      <c r="F24" s="12"/>
      <c r="G24" s="12"/>
      <c r="I24"/>
      <c r="J24" s="150" t="s">
        <v>1852</v>
      </c>
      <c r="K24" s="221" t="s">
        <v>1853</v>
      </c>
      <c r="L24"/>
      <c r="M24"/>
      <c r="N24"/>
      <c r="O24" s="12"/>
      <c r="P24"/>
      <c r="Q24"/>
      <c r="R24"/>
      <c r="S24"/>
      <c r="T24"/>
      <c r="U24"/>
      <c r="W24"/>
      <c r="X24" s="150" t="s">
        <v>1</v>
      </c>
      <c r="Y24" s="221" t="s">
        <v>8</v>
      </c>
      <c r="Z24"/>
      <c r="AA24"/>
      <c r="AB24"/>
      <c r="AC24"/>
      <c r="AD24"/>
      <c r="AE24"/>
      <c r="AF24"/>
      <c r="AH24"/>
      <c r="AI24"/>
      <c r="AJ24"/>
      <c r="AK24"/>
      <c r="AL24"/>
      <c r="AM24"/>
    </row>
    <row r="25" spans="1:39" x14ac:dyDescent="0.25">
      <c r="A25" s="150" t="s">
        <v>36</v>
      </c>
      <c r="B25" s="221" t="s">
        <v>1960</v>
      </c>
      <c r="C25"/>
      <c r="D25"/>
      <c r="E25"/>
      <c r="F25" s="12"/>
      <c r="G25" s="12"/>
      <c r="I25"/>
      <c r="J25" s="150" t="s">
        <v>36</v>
      </c>
      <c r="K25" s="221" t="s">
        <v>1960</v>
      </c>
      <c r="L25"/>
      <c r="M25"/>
      <c r="N25"/>
      <c r="O25" s="12"/>
      <c r="P25"/>
      <c r="Q25"/>
      <c r="R25"/>
      <c r="S25"/>
      <c r="T25"/>
      <c r="U25"/>
      <c r="W25"/>
      <c r="X25" s="150" t="s">
        <v>1852</v>
      </c>
      <c r="Y25" s="221" t="s">
        <v>1853</v>
      </c>
      <c r="Z25"/>
      <c r="AA25"/>
      <c r="AB25"/>
      <c r="AC25"/>
      <c r="AD25"/>
      <c r="AE25"/>
      <c r="AF25"/>
      <c r="AH25"/>
      <c r="AI25"/>
      <c r="AJ25"/>
      <c r="AK25"/>
      <c r="AL25"/>
      <c r="AM25"/>
    </row>
    <row r="26" spans="1:39" x14ac:dyDescent="0.25">
      <c r="A26"/>
      <c r="B26"/>
      <c r="C26"/>
      <c r="D26"/>
      <c r="E26"/>
      <c r="F26" s="12"/>
      <c r="G26" s="12"/>
      <c r="I26"/>
      <c r="J26"/>
      <c r="K26"/>
      <c r="L26"/>
      <c r="M26"/>
      <c r="N26"/>
      <c r="O26" s="12"/>
      <c r="P26"/>
      <c r="Q26"/>
      <c r="R26"/>
      <c r="S26"/>
      <c r="T26"/>
      <c r="U26"/>
      <c r="W26"/>
      <c r="X26"/>
      <c r="Y26"/>
      <c r="Z26"/>
      <c r="AA26"/>
      <c r="AB26"/>
      <c r="AC26"/>
      <c r="AD26"/>
      <c r="AE26"/>
      <c r="AF26"/>
      <c r="AH26"/>
      <c r="AI26"/>
      <c r="AJ26"/>
      <c r="AK26"/>
      <c r="AL26"/>
      <c r="AM26"/>
    </row>
    <row r="27" spans="1:39" x14ac:dyDescent="0.25">
      <c r="A27" s="150" t="s">
        <v>1956</v>
      </c>
      <c r="B27" s="221" t="s">
        <v>2081</v>
      </c>
      <c r="C27" s="221" t="s">
        <v>2082</v>
      </c>
      <c r="D27" s="221" t="s">
        <v>2083</v>
      </c>
      <c r="E27" s="221" t="s">
        <v>2084</v>
      </c>
      <c r="F27" s="12" t="s">
        <v>2085</v>
      </c>
      <c r="G27" s="12"/>
      <c r="I27"/>
      <c r="J27" s="150" t="s">
        <v>1956</v>
      </c>
      <c r="K27" s="221" t="s">
        <v>2086</v>
      </c>
      <c r="L27" s="221" t="s">
        <v>2081</v>
      </c>
      <c r="M27" s="221" t="s">
        <v>2083</v>
      </c>
      <c r="N27"/>
      <c r="O27"/>
      <c r="P27"/>
      <c r="Q27"/>
      <c r="R27"/>
      <c r="S27"/>
      <c r="T27"/>
      <c r="U27"/>
      <c r="W27"/>
      <c r="X27" s="150" t="s">
        <v>2038</v>
      </c>
      <c r="Y27" s="150" t="s">
        <v>1959</v>
      </c>
      <c r="Z27"/>
      <c r="AA27"/>
      <c r="AB27"/>
      <c r="AC27"/>
      <c r="AD27"/>
      <c r="AE27"/>
      <c r="AF27"/>
      <c r="AH27" s="174" t="s">
        <v>2087</v>
      </c>
      <c r="AI27"/>
      <c r="AJ27"/>
      <c r="AK27"/>
      <c r="AL27"/>
      <c r="AM27"/>
    </row>
    <row r="28" spans="1:39" x14ac:dyDescent="0.25">
      <c r="A28" s="44" t="s">
        <v>443</v>
      </c>
      <c r="B28" s="10">
        <v>29.294953302391136</v>
      </c>
      <c r="C28" s="10" t="e">
        <v>#DIV/0!</v>
      </c>
      <c r="D28" s="10">
        <v>193966.10627450576</v>
      </c>
      <c r="E28" s="10" t="e">
        <v>#DIV/0!</v>
      </c>
      <c r="F28" s="197">
        <v>1</v>
      </c>
      <c r="G28" s="197"/>
      <c r="H28" s="198"/>
      <c r="I28"/>
      <c r="J28" s="44" t="s">
        <v>443</v>
      </c>
      <c r="K28" s="10">
        <v>3</v>
      </c>
      <c r="L28" s="10">
        <v>29.294953302391136</v>
      </c>
      <c r="M28" s="10">
        <v>193966.10627450576</v>
      </c>
      <c r="N28"/>
      <c r="O28"/>
      <c r="P28"/>
      <c r="Q28"/>
      <c r="R28"/>
      <c r="S28"/>
      <c r="T28"/>
      <c r="U28"/>
      <c r="W28"/>
      <c r="X28" s="150" t="s">
        <v>1956</v>
      </c>
      <c r="Y28" s="221">
        <v>2</v>
      </c>
      <c r="Z28" s="221">
        <v>3</v>
      </c>
      <c r="AA28" s="221">
        <v>4</v>
      </c>
      <c r="AB28" s="221">
        <v>5</v>
      </c>
      <c r="AC28" s="221">
        <v>7</v>
      </c>
      <c r="AD28" s="221">
        <v>8</v>
      </c>
      <c r="AE28" s="221">
        <v>9</v>
      </c>
      <c r="AF28"/>
      <c r="AH28"/>
      <c r="AI28" t="s">
        <v>2088</v>
      </c>
      <c r="AJ28" t="s">
        <v>2089</v>
      </c>
      <c r="AK28"/>
      <c r="AL28"/>
      <c r="AM28"/>
    </row>
    <row r="29" spans="1:39" x14ac:dyDescent="0.25">
      <c r="A29" s="44" t="s">
        <v>445</v>
      </c>
      <c r="B29" s="10">
        <v>31.494047303375567</v>
      </c>
      <c r="C29" s="10">
        <v>24.133509896341373</v>
      </c>
      <c r="D29" s="10">
        <v>134026.58656172905</v>
      </c>
      <c r="E29" s="10">
        <v>119796.02846538807</v>
      </c>
      <c r="F29" s="197">
        <v>9</v>
      </c>
      <c r="G29" s="197"/>
      <c r="H29" s="198"/>
      <c r="I29"/>
      <c r="J29" s="44" t="s">
        <v>445</v>
      </c>
      <c r="K29" s="10">
        <v>5</v>
      </c>
      <c r="L29" s="10">
        <v>31.494047303375567</v>
      </c>
      <c r="M29" s="10">
        <v>134026.58656172905</v>
      </c>
      <c r="N29"/>
      <c r="O29"/>
      <c r="P29"/>
      <c r="Q29"/>
      <c r="R29"/>
      <c r="S29"/>
      <c r="T29"/>
      <c r="U29"/>
      <c r="W29"/>
      <c r="X29" s="44" t="s">
        <v>145</v>
      </c>
      <c r="Y29" s="199"/>
      <c r="Z29" s="199"/>
      <c r="AA29" s="199">
        <v>2767008.7973924051</v>
      </c>
      <c r="AB29" s="199"/>
      <c r="AC29" s="199"/>
      <c r="AD29" s="199"/>
      <c r="AE29" s="199"/>
      <c r="AF29"/>
      <c r="AH29" t="str">
        <f>X29</f>
        <v>Agoura Hills</v>
      </c>
      <c r="AI29" s="199">
        <f>VLOOKUP(AH29,Places[#All],7,FALSE)</f>
        <v>7.8</v>
      </c>
      <c r="AJ29" s="199">
        <f>VLOOKUP(AH29,Places[#All],6,FALSE)/100000</f>
        <v>0.20472000000000001</v>
      </c>
      <c r="AK29"/>
      <c r="AL29"/>
      <c r="AM29"/>
    </row>
    <row r="30" spans="1:39" x14ac:dyDescent="0.25">
      <c r="A30" s="44" t="s">
        <v>1459</v>
      </c>
      <c r="B30" s="10">
        <v>3.4850485844130503</v>
      </c>
      <c r="C30" s="10" t="e">
        <v>#DIV/0!</v>
      </c>
      <c r="D30" s="10">
        <v>13728.602102169982</v>
      </c>
      <c r="E30" s="10" t="e">
        <v>#DIV/0!</v>
      </c>
      <c r="F30" s="197">
        <v>1</v>
      </c>
      <c r="G30" s="197"/>
      <c r="H30" s="198"/>
      <c r="I30"/>
      <c r="J30" s="44" t="s">
        <v>1459</v>
      </c>
      <c r="K30" s="10">
        <v>7</v>
      </c>
      <c r="L30" s="10">
        <v>3.4850485844130503</v>
      </c>
      <c r="M30" s="10">
        <v>13728.602102169982</v>
      </c>
      <c r="N30"/>
      <c r="O30"/>
      <c r="P30"/>
      <c r="Q30"/>
      <c r="R30"/>
      <c r="S30"/>
      <c r="T30"/>
      <c r="U30"/>
      <c r="W30"/>
      <c r="X30" s="44" t="s">
        <v>187</v>
      </c>
      <c r="Y30" s="199"/>
      <c r="Z30" s="199"/>
      <c r="AA30" s="199">
        <v>765706.76259493665</v>
      </c>
      <c r="AB30" s="199"/>
      <c r="AC30" s="199"/>
      <c r="AD30" s="199"/>
      <c r="AE30" s="199"/>
      <c r="AF30"/>
      <c r="AH30" t="str">
        <f t="shared" ref="AH30:AH93" si="0">X30</f>
        <v>Alhambra</v>
      </c>
      <c r="AI30" s="199">
        <f>VLOOKUP(AH30,Places[#All],7,FALSE)</f>
        <v>7.6</v>
      </c>
      <c r="AJ30" s="199">
        <f>VLOOKUP(AH30,Places[#All],6,FALSE)/100000</f>
        <v>0.84648999999999996</v>
      </c>
      <c r="AK30"/>
      <c r="AL30"/>
      <c r="AM30"/>
    </row>
    <row r="31" spans="1:39" x14ac:dyDescent="0.25">
      <c r="A31" s="44" t="s">
        <v>12</v>
      </c>
      <c r="B31" s="10">
        <v>44.583699982724468</v>
      </c>
      <c r="C31" s="10">
        <v>65.822525012876298</v>
      </c>
      <c r="D31" s="10">
        <v>208749.36298503011</v>
      </c>
      <c r="E31" s="10">
        <v>269675.52637702075</v>
      </c>
      <c r="F31" s="197">
        <v>75</v>
      </c>
      <c r="G31" s="197"/>
      <c r="H31" s="198"/>
      <c r="I31"/>
      <c r="J31" s="44" t="s">
        <v>12</v>
      </c>
      <c r="K31" s="10">
        <v>4</v>
      </c>
      <c r="L31" s="10">
        <v>44.583699982724468</v>
      </c>
      <c r="M31" s="10">
        <v>208749.36298503011</v>
      </c>
      <c r="N31"/>
      <c r="O31"/>
      <c r="P31"/>
      <c r="Q31"/>
      <c r="R31"/>
      <c r="S31"/>
      <c r="T31"/>
      <c r="U31"/>
      <c r="W31"/>
      <c r="X31" s="44" t="s">
        <v>263</v>
      </c>
      <c r="Y31" s="199"/>
      <c r="Z31" s="199"/>
      <c r="AA31" s="199"/>
      <c r="AB31" s="199"/>
      <c r="AC31" s="199"/>
      <c r="AD31" s="199"/>
      <c r="AE31" s="199">
        <v>782266.67833500006</v>
      </c>
      <c r="AF31"/>
      <c r="AH31" t="str">
        <f t="shared" si="0"/>
        <v>Aliso Viejo</v>
      </c>
      <c r="AI31" s="199">
        <f>VLOOKUP(AH31,Places[#All],7,FALSE)</f>
        <v>6.9</v>
      </c>
      <c r="AJ31" s="199">
        <f>VLOOKUP(AH31,Places[#All],6,FALSE)/100000</f>
        <v>0.51783000000000001</v>
      </c>
      <c r="AK31"/>
      <c r="AL31"/>
      <c r="AM31"/>
    </row>
    <row r="32" spans="1:39" x14ac:dyDescent="0.25">
      <c r="A32" s="44" t="s">
        <v>21</v>
      </c>
      <c r="B32" s="10">
        <v>39.703056823009135</v>
      </c>
      <c r="C32" s="10">
        <v>43.790322329221347</v>
      </c>
      <c r="D32" s="10">
        <v>164422.24254972115</v>
      </c>
      <c r="E32" s="10">
        <v>231985.31122172126</v>
      </c>
      <c r="F32" s="197">
        <v>30</v>
      </c>
      <c r="G32" s="197"/>
      <c r="H32" s="198"/>
      <c r="I32"/>
      <c r="J32" s="44" t="s">
        <v>21</v>
      </c>
      <c r="K32" s="10">
        <v>9</v>
      </c>
      <c r="L32" s="10">
        <v>39.703056823009135</v>
      </c>
      <c r="M32" s="10">
        <v>164422.24254972115</v>
      </c>
      <c r="N32"/>
      <c r="O32"/>
      <c r="P32"/>
      <c r="Q32"/>
      <c r="R32"/>
      <c r="S32"/>
      <c r="T32"/>
      <c r="U32"/>
      <c r="W32"/>
      <c r="X32" s="44" t="s">
        <v>265</v>
      </c>
      <c r="Y32" s="199"/>
      <c r="Z32" s="199"/>
      <c r="AA32" s="199"/>
      <c r="AB32" s="199"/>
      <c r="AC32" s="199"/>
      <c r="AD32" s="199">
        <v>2501287.4445906268</v>
      </c>
      <c r="AE32" s="199"/>
      <c r="AF32"/>
      <c r="AH32" t="str">
        <f t="shared" si="0"/>
        <v>Anaheim</v>
      </c>
      <c r="AI32" s="199">
        <f>VLOOKUP(AH32,Places[#All],7,FALSE)</f>
        <v>50</v>
      </c>
      <c r="AJ32" s="199">
        <f>VLOOKUP(AH32,Places[#All],6,FALSE)/100000</f>
        <v>3.5200499999999999</v>
      </c>
      <c r="AK32"/>
      <c r="AL32"/>
      <c r="AM32"/>
    </row>
    <row r="33" spans="1:39" x14ac:dyDescent="0.25">
      <c r="A33" s="44" t="s">
        <v>1457</v>
      </c>
      <c r="B33" s="10">
        <v>53.979634884997822</v>
      </c>
      <c r="C33" s="10" t="e">
        <v>#DIV/0!</v>
      </c>
      <c r="D33" s="10">
        <v>625356.64060150378</v>
      </c>
      <c r="E33" s="10" t="e">
        <v>#DIV/0!</v>
      </c>
      <c r="F33" s="197">
        <v>1</v>
      </c>
      <c r="G33" s="197"/>
      <c r="H33" s="198"/>
      <c r="I33"/>
      <c r="J33" s="44" t="s">
        <v>1457</v>
      </c>
      <c r="K33" s="10">
        <v>2</v>
      </c>
      <c r="L33" s="10">
        <v>53.979634884997822</v>
      </c>
      <c r="M33" s="10">
        <v>625356.64060150378</v>
      </c>
      <c r="N33"/>
      <c r="O33"/>
      <c r="P33"/>
      <c r="Q33"/>
      <c r="R33"/>
      <c r="S33"/>
      <c r="T33"/>
      <c r="U33"/>
      <c r="W33"/>
      <c r="X33" s="44" t="s">
        <v>179</v>
      </c>
      <c r="Y33" s="199"/>
      <c r="Z33" s="199"/>
      <c r="AA33" s="199">
        <v>730366.94050632906</v>
      </c>
      <c r="AB33" s="199"/>
      <c r="AC33" s="199"/>
      <c r="AD33" s="199"/>
      <c r="AE33" s="199"/>
      <c r="AF33"/>
      <c r="AH33" t="str">
        <f t="shared" si="0"/>
        <v>Arcadia</v>
      </c>
      <c r="AI33" s="199">
        <f>VLOOKUP(AH33,Places[#All],7,FALSE)</f>
        <v>10.9</v>
      </c>
      <c r="AJ33" s="199">
        <f>VLOOKUP(AH33,Places[#All],6,FALSE)/100000</f>
        <v>0.58609999999999995</v>
      </c>
      <c r="AK33"/>
      <c r="AL33"/>
      <c r="AM33"/>
    </row>
    <row r="34" spans="1:39" x14ac:dyDescent="0.25">
      <c r="A34" s="44" t="s">
        <v>290</v>
      </c>
      <c r="B34" s="10">
        <v>19.549655013355959</v>
      </c>
      <c r="C34" s="10">
        <v>44.215534826296953</v>
      </c>
      <c r="D34" s="10">
        <v>75573.509149903664</v>
      </c>
      <c r="E34" s="10">
        <v>92417.667753893198</v>
      </c>
      <c r="F34" s="197">
        <v>53</v>
      </c>
      <c r="G34" s="197"/>
      <c r="H34" s="198"/>
      <c r="I34"/>
      <c r="J34" s="44" t="s">
        <v>290</v>
      </c>
      <c r="K34" s="10">
        <v>8</v>
      </c>
      <c r="L34" s="10">
        <v>19.549655013355959</v>
      </c>
      <c r="M34" s="10">
        <v>75573.509149903664</v>
      </c>
      <c r="N34"/>
      <c r="O34"/>
      <c r="P34"/>
      <c r="Q34"/>
      <c r="R34"/>
      <c r="S34"/>
      <c r="T34"/>
      <c r="U34"/>
      <c r="W34"/>
      <c r="X34" s="44" t="s">
        <v>166</v>
      </c>
      <c r="Y34" s="199"/>
      <c r="Z34" s="199"/>
      <c r="AA34" s="199">
        <v>184151.42263291139</v>
      </c>
      <c r="AB34" s="199"/>
      <c r="AC34" s="199"/>
      <c r="AD34" s="199"/>
      <c r="AE34" s="199"/>
      <c r="AF34"/>
      <c r="AH34" t="str">
        <f t="shared" si="0"/>
        <v>Artesia</v>
      </c>
      <c r="AI34" s="199">
        <f>VLOOKUP(AH34,Places[#All],7,FALSE)</f>
        <v>1.6</v>
      </c>
      <c r="AJ34" s="199">
        <f>VLOOKUP(AH34,Places[#All],6,FALSE)/100000</f>
        <v>0.16750000000000001</v>
      </c>
      <c r="AK34"/>
      <c r="AL34"/>
      <c r="AM34"/>
    </row>
    <row r="35" spans="1:39" x14ac:dyDescent="0.25">
      <c r="A35" s="44" t="s">
        <v>1961</v>
      </c>
      <c r="B35" s="10">
        <v>34.948276362380362</v>
      </c>
      <c r="C35" s="10">
        <v>54.62313545329544</v>
      </c>
      <c r="D35" s="10">
        <v>156667.97713733852</v>
      </c>
      <c r="E35" s="10">
        <v>221628.87464630618</v>
      </c>
      <c r="F35" s="197">
        <v>170</v>
      </c>
      <c r="G35" s="197"/>
      <c r="H35" s="198"/>
      <c r="I35"/>
      <c r="J35" s="44" t="s">
        <v>1961</v>
      </c>
      <c r="K35" s="10">
        <v>6.1823529411764708</v>
      </c>
      <c r="L35" s="10">
        <v>34.948276362380362</v>
      </c>
      <c r="M35" s="10">
        <v>156667.97713733852</v>
      </c>
      <c r="N35"/>
      <c r="O35"/>
      <c r="P35"/>
      <c r="Q35"/>
      <c r="R35"/>
      <c r="S35"/>
      <c r="T35"/>
      <c r="U35"/>
      <c r="W35"/>
      <c r="X35" s="44" t="s">
        <v>180</v>
      </c>
      <c r="Y35" s="199"/>
      <c r="Z35" s="199"/>
      <c r="AA35" s="199">
        <v>575990.79113924049</v>
      </c>
      <c r="AB35" s="199"/>
      <c r="AC35" s="199"/>
      <c r="AD35" s="199"/>
      <c r="AE35" s="199"/>
      <c r="AF35"/>
      <c r="AH35" t="str">
        <f t="shared" si="0"/>
        <v>Azusa</v>
      </c>
      <c r="AI35" s="199">
        <f>VLOOKUP(AH35,Places[#All],7,FALSE)</f>
        <v>9.6999999999999993</v>
      </c>
      <c r="AJ35" s="199">
        <f>VLOOKUP(AH35,Places[#All],6,FALSE)/100000</f>
        <v>0.49958000000000002</v>
      </c>
      <c r="AK35"/>
      <c r="AL35"/>
      <c r="AM35"/>
    </row>
    <row r="36" spans="1:39" x14ac:dyDescent="0.25">
      <c r="A36"/>
      <c r="B36"/>
      <c r="C36"/>
      <c r="D36"/>
      <c r="E36"/>
      <c r="F36" s="12"/>
      <c r="G36" s="12"/>
      <c r="I36"/>
      <c r="J36"/>
      <c r="K36"/>
      <c r="L36"/>
      <c r="M36"/>
      <c r="N36"/>
      <c r="O36"/>
      <c r="P36"/>
      <c r="Q36"/>
      <c r="R36"/>
      <c r="S36"/>
      <c r="T36"/>
      <c r="U36"/>
      <c r="W36"/>
      <c r="X36" s="44" t="s">
        <v>15</v>
      </c>
      <c r="Y36" s="199"/>
      <c r="Z36" s="199"/>
      <c r="AA36" s="199"/>
      <c r="AB36" s="199">
        <v>26033100</v>
      </c>
      <c r="AC36" s="199"/>
      <c r="AD36" s="199"/>
      <c r="AE36" s="199"/>
      <c r="AF36"/>
      <c r="AH36" t="str">
        <f t="shared" si="0"/>
        <v>Bakersfield</v>
      </c>
      <c r="AI36" s="199">
        <f>VLOOKUP(AH36,Places[#All],7,FALSE)</f>
        <v>148.80000000000001</v>
      </c>
      <c r="AJ36" s="199">
        <f>VLOOKUP(AH36,Places[#All],6,FALSE)/100000</f>
        <v>3.8357899999999998</v>
      </c>
      <c r="AK36"/>
      <c r="AL36"/>
      <c r="AM36"/>
    </row>
    <row r="37" spans="1:39" x14ac:dyDescent="0.25">
      <c r="A37" s="200" t="s">
        <v>2090</v>
      </c>
      <c r="B37"/>
      <c r="C37"/>
      <c r="D37"/>
      <c r="E37"/>
      <c r="F37" s="12"/>
      <c r="G37" s="12"/>
      <c r="I37"/>
      <c r="J37" s="200" t="s">
        <v>2091</v>
      </c>
      <c r="K37"/>
      <c r="L37"/>
      <c r="M37"/>
      <c r="N37"/>
      <c r="O37"/>
      <c r="P37"/>
      <c r="Q37"/>
      <c r="R37"/>
      <c r="S37"/>
      <c r="T37"/>
      <c r="U37"/>
      <c r="W37"/>
      <c r="X37" s="44" t="s">
        <v>200</v>
      </c>
      <c r="Y37" s="199"/>
      <c r="Z37" s="199"/>
      <c r="AA37" s="199">
        <v>4256492.3164556958</v>
      </c>
      <c r="AB37" s="199"/>
      <c r="AC37" s="199"/>
      <c r="AD37" s="199"/>
      <c r="AE37" s="199"/>
      <c r="AF37"/>
      <c r="AH37" t="str">
        <f t="shared" si="0"/>
        <v>Baldwin Park</v>
      </c>
      <c r="AI37" s="199">
        <f>VLOOKUP(AH37,Places[#All],7,FALSE)</f>
        <v>6.6</v>
      </c>
      <c r="AJ37" s="199">
        <f>VLOOKUP(AH37,Places[#All],6,FALSE)/100000</f>
        <v>0.75812999999999997</v>
      </c>
      <c r="AK37"/>
      <c r="AL37"/>
      <c r="AM37"/>
    </row>
    <row r="38" spans="1:39" x14ac:dyDescent="0.25">
      <c r="A38" t="s">
        <v>31</v>
      </c>
      <c r="B38" t="s">
        <v>2067</v>
      </c>
      <c r="C38" t="s">
        <v>2068</v>
      </c>
      <c r="D38" t="s">
        <v>2069</v>
      </c>
      <c r="E38"/>
      <c r="F38" s="12"/>
      <c r="G38" s="12"/>
      <c r="I38"/>
      <c r="J38"/>
      <c r="K38"/>
      <c r="L38"/>
      <c r="M38" t="s">
        <v>2081</v>
      </c>
      <c r="N38" t="s">
        <v>2092</v>
      </c>
      <c r="O38" t="s">
        <v>2093</v>
      </c>
      <c r="P38"/>
      <c r="Q38"/>
      <c r="R38"/>
      <c r="S38"/>
      <c r="T38"/>
      <c r="U38"/>
      <c r="W38"/>
      <c r="X38" s="44" t="s">
        <v>227</v>
      </c>
      <c r="Y38" s="199"/>
      <c r="Z38" s="199"/>
      <c r="AA38" s="199"/>
      <c r="AB38" s="199"/>
      <c r="AC38" s="199"/>
      <c r="AD38" s="199">
        <v>156745.14375000002</v>
      </c>
      <c r="AE38" s="199"/>
      <c r="AF38"/>
      <c r="AH38" t="str">
        <f t="shared" si="0"/>
        <v>Beaumont</v>
      </c>
      <c r="AI38" s="199">
        <f>VLOOKUP(AH38,Places[#All],7,FALSE)</f>
        <v>30.7</v>
      </c>
      <c r="AJ38" s="199">
        <f>VLOOKUP(AH38,Places[#All],6,FALSE)/100000</f>
        <v>0.49241000000000001</v>
      </c>
      <c r="AK38"/>
      <c r="AL38"/>
      <c r="AM38"/>
    </row>
    <row r="39" spans="1:39" x14ac:dyDescent="0.25">
      <c r="A39" t="s">
        <v>2094</v>
      </c>
      <c r="B39" t="e">
        <f>VLOOKUP($A40,$A$28:$F$34,2,FALSE)</f>
        <v>#N/A</v>
      </c>
      <c r="C39" t="e">
        <f>VLOOKUP($A40,$A$28:$F$34,4,FALSE)</f>
        <v>#N/A</v>
      </c>
      <c r="D39" t="e">
        <f>VLOOKUP($A40,$A$28:$F$34,6,FALSE)</f>
        <v>#N/A</v>
      </c>
      <c r="E39"/>
      <c r="F39" s="12"/>
      <c r="G39" s="12"/>
      <c r="I39"/>
      <c r="J39">
        <f>LARGE($K$28:$K$34,ROWS($I39:I$45))</f>
        <v>2</v>
      </c>
      <c r="K39" t="str">
        <f>INDEX($J$28:$J$36,MATCH(J39,$K$28:$K$36,0))</f>
        <v>San Francisco Bay</v>
      </c>
      <c r="L39" s="140" t="str">
        <f>_xlfn.CONCAT("R",J39," - ",K39)</f>
        <v>R2 - San Francisco Bay</v>
      </c>
      <c r="M39">
        <f>GETPIVOTDATA("Average of $ By Population",$J$27,"Regional Board",K39)</f>
        <v>53.979634884997822</v>
      </c>
      <c r="N39">
        <f>GETPIVOTDATA("Average of $ By Square Mile",$J$27,"Regional Board",K39)</f>
        <v>625356.64060150378</v>
      </c>
      <c r="O39">
        <f>ROUND(N39,2-(1+INT(LOG10(N39))))</f>
        <v>630000</v>
      </c>
      <c r="P39"/>
      <c r="Q39"/>
      <c r="R39"/>
      <c r="S39"/>
      <c r="T39"/>
      <c r="U39"/>
      <c r="W39"/>
      <c r="X39" s="44" t="s">
        <v>159</v>
      </c>
      <c r="Y39" s="199"/>
      <c r="Z39" s="199"/>
      <c r="AA39" s="199">
        <v>289853.43037974683</v>
      </c>
      <c r="AB39" s="199"/>
      <c r="AC39" s="199"/>
      <c r="AD39" s="199"/>
      <c r="AE39" s="199"/>
      <c r="AF39"/>
      <c r="AH39" t="str">
        <f t="shared" si="0"/>
        <v>Bell</v>
      </c>
      <c r="AI39" s="199">
        <f>VLOOKUP(AH39,Places[#All],7,FALSE)</f>
        <v>2.5</v>
      </c>
      <c r="AJ39" s="199">
        <f>VLOOKUP(AH39,Places[#All],6,FALSE)/100000</f>
        <v>0.35727999999999999</v>
      </c>
      <c r="AK39"/>
      <c r="AL39"/>
      <c r="AM39"/>
    </row>
    <row r="40" spans="1:39" x14ac:dyDescent="0.25">
      <c r="A40" t="s">
        <v>442</v>
      </c>
      <c r="B40" t="e">
        <f>VLOOKUP($A40,$A$28:$F$34,3,FALSE)</f>
        <v>#N/A</v>
      </c>
      <c r="C40" t="e">
        <f>VLOOKUP($A40,$A$28:$F$34,5,FALSE)</f>
        <v>#N/A</v>
      </c>
      <c r="D40"/>
      <c r="E40"/>
      <c r="F40" s="12"/>
      <c r="G40" s="12"/>
      <c r="I40"/>
      <c r="J40">
        <f>LARGE($K$28:$K$34,ROWS($I40:I$45))</f>
        <v>3</v>
      </c>
      <c r="K40" t="str">
        <f t="shared" ref="K40:K45" si="1">INDEX($J$28:$J$36,MATCH(J40,$K$28:$K$36,0))</f>
        <v>Central Coast</v>
      </c>
      <c r="L40" s="140" t="str">
        <f t="shared" ref="L40:L45" si="2">_xlfn.CONCAT("R",J40," - ",K40)</f>
        <v>R3 - Central Coast</v>
      </c>
      <c r="M40">
        <f t="shared" ref="M40:M45" si="3">GETPIVOTDATA("Average of $ By Population",$J$27,"Regional Board",K40)</f>
        <v>29.294953302391136</v>
      </c>
      <c r="N40">
        <f t="shared" ref="N40:N45" si="4">GETPIVOTDATA("Average of $ By Square Mile",$J$27,"Regional Board",K40)</f>
        <v>193966.10627450576</v>
      </c>
      <c r="O40">
        <f t="shared" ref="O40:O45" si="5">ROUND(N40,2-(1+INT(LOG10(N40))))</f>
        <v>190000</v>
      </c>
      <c r="P40"/>
      <c r="Q40"/>
      <c r="R40"/>
      <c r="S40"/>
      <c r="T40"/>
      <c r="U40"/>
      <c r="W40"/>
      <c r="X40" s="44" t="s">
        <v>160</v>
      </c>
      <c r="Y40" s="199"/>
      <c r="Z40" s="199"/>
      <c r="AA40" s="199">
        <v>347143.54484810127</v>
      </c>
      <c r="AB40" s="199"/>
      <c r="AC40" s="199"/>
      <c r="AD40" s="199"/>
      <c r="AE40" s="199"/>
      <c r="AF40"/>
      <c r="AH40" t="str">
        <f t="shared" si="0"/>
        <v>Bellflower</v>
      </c>
      <c r="AI40" s="199">
        <f>VLOOKUP(AH40,Places[#All],7,FALSE)</f>
        <v>6.1</v>
      </c>
      <c r="AJ40" s="199">
        <f>VLOOKUP(AH40,Places[#All],6,FALSE)/100000</f>
        <v>0.77131000000000005</v>
      </c>
      <c r="AK40"/>
      <c r="AL40"/>
      <c r="AM40"/>
    </row>
    <row r="41" spans="1:39" x14ac:dyDescent="0.25">
      <c r="A41" t="s">
        <v>2095</v>
      </c>
      <c r="B41">
        <f>VLOOKUP($A42,$A$28:$F$34,2,FALSE)</f>
        <v>53.979634884997822</v>
      </c>
      <c r="C41">
        <f>VLOOKUP($A42,$A$28:$F$34,4,FALSE)</f>
        <v>625356.64060150378</v>
      </c>
      <c r="D41">
        <f>VLOOKUP($A42,$A$28:$F$34,6,FALSE)</f>
        <v>1</v>
      </c>
      <c r="E41"/>
      <c r="F41" s="12"/>
      <c r="G41" s="12"/>
      <c r="I41"/>
      <c r="J41">
        <f>LARGE($K$28:$K$34,ROWS($I41:I$45))</f>
        <v>4</v>
      </c>
      <c r="K41" t="str">
        <f t="shared" si="1"/>
        <v>Los Angeles</v>
      </c>
      <c r="L41" s="140" t="str">
        <f t="shared" si="2"/>
        <v>R4 - Los Angeles</v>
      </c>
      <c r="M41">
        <f t="shared" si="3"/>
        <v>44.583699982724468</v>
      </c>
      <c r="N41">
        <f t="shared" si="4"/>
        <v>208749.36298503011</v>
      </c>
      <c r="O41">
        <f t="shared" si="5"/>
        <v>210000</v>
      </c>
      <c r="P41"/>
      <c r="Q41"/>
      <c r="R41"/>
      <c r="S41"/>
      <c r="T41"/>
      <c r="U41"/>
      <c r="W41"/>
      <c r="X41" s="44" t="s">
        <v>428</v>
      </c>
      <c r="Y41" s="199">
        <v>6566244.7263157899</v>
      </c>
      <c r="Z41" s="199"/>
      <c r="AA41" s="199"/>
      <c r="AB41" s="199"/>
      <c r="AC41" s="199"/>
      <c r="AD41" s="199"/>
      <c r="AE41" s="199"/>
      <c r="AF41"/>
      <c r="AH41" t="str">
        <f t="shared" si="0"/>
        <v>Berkeley</v>
      </c>
      <c r="AI41" s="199">
        <f>VLOOKUP(AH41,Places[#All],7,FALSE)</f>
        <v>10.5</v>
      </c>
      <c r="AJ41" s="199">
        <f>VLOOKUP(AH41,Places[#All],6,FALSE)/100000</f>
        <v>1.2164299999999999</v>
      </c>
      <c r="AK41"/>
      <c r="AL41"/>
      <c r="AM41"/>
    </row>
    <row r="42" spans="1:39" x14ac:dyDescent="0.25">
      <c r="A42" t="s">
        <v>1457</v>
      </c>
      <c r="B42" t="e">
        <f>VLOOKUP($A42,$A$28:$F$34,3,FALSE)</f>
        <v>#DIV/0!</v>
      </c>
      <c r="C42" t="e">
        <f>VLOOKUP($A42,$A$28:$F$34,5,FALSE)</f>
        <v>#DIV/0!</v>
      </c>
      <c r="D42"/>
      <c r="E42"/>
      <c r="F42" s="12"/>
      <c r="G42" s="12"/>
      <c r="I42"/>
      <c r="J42">
        <f>LARGE($K$28:$K$34,ROWS($I42:I$45))</f>
        <v>5</v>
      </c>
      <c r="K42" t="str">
        <f t="shared" si="1"/>
        <v>Central Valley</v>
      </c>
      <c r="L42" s="140" t="str">
        <f t="shared" si="2"/>
        <v>R5 - Central Valley</v>
      </c>
      <c r="M42">
        <f t="shared" si="3"/>
        <v>31.494047303375567</v>
      </c>
      <c r="N42">
        <f t="shared" si="4"/>
        <v>134026.58656172905</v>
      </c>
      <c r="O42">
        <f t="shared" si="5"/>
        <v>130000</v>
      </c>
      <c r="P42"/>
      <c r="Q42"/>
      <c r="R42"/>
      <c r="S42"/>
      <c r="T42"/>
      <c r="U42"/>
      <c r="W42"/>
      <c r="X42" s="44" t="s">
        <v>218</v>
      </c>
      <c r="Y42" s="199"/>
      <c r="Z42" s="199"/>
      <c r="AA42" s="199">
        <v>3958406.1992658228</v>
      </c>
      <c r="AB42" s="199"/>
      <c r="AC42" s="199"/>
      <c r="AD42" s="199"/>
      <c r="AE42" s="199"/>
      <c r="AF42"/>
      <c r="AH42" t="str">
        <f t="shared" si="0"/>
        <v>Beverly Hills</v>
      </c>
      <c r="AI42" s="199">
        <f>VLOOKUP(AH42,Places[#All],7,FALSE)</f>
        <v>5.7</v>
      </c>
      <c r="AJ42" s="199">
        <f>VLOOKUP(AH42,Places[#All],6,FALSE)/100000</f>
        <v>0.34183000000000002</v>
      </c>
      <c r="AK42"/>
      <c r="AL42"/>
      <c r="AM42"/>
    </row>
    <row r="43" spans="1:39" x14ac:dyDescent="0.25">
      <c r="A43" t="s">
        <v>2096</v>
      </c>
      <c r="B43">
        <f>VLOOKUP($A44,$A$28:$F$34,2,FALSE)</f>
        <v>29.294953302391136</v>
      </c>
      <c r="C43">
        <f>VLOOKUP($A44,$A$28:$F$34,4,FALSE)</f>
        <v>193966.10627450576</v>
      </c>
      <c r="D43">
        <f>VLOOKUP($A44,$A$28:$F$34,6,FALSE)</f>
        <v>1</v>
      </c>
      <c r="E43"/>
      <c r="F43" s="12"/>
      <c r="G43" s="12"/>
      <c r="I43"/>
      <c r="J43">
        <f>LARGE($K$28:$K$34,ROWS($I43:I$45))</f>
        <v>7</v>
      </c>
      <c r="K43" t="str">
        <f t="shared" si="1"/>
        <v>Colorado River Basin</v>
      </c>
      <c r="L43" s="140" t="str">
        <f t="shared" si="2"/>
        <v>R7 - Colorado River Basin</v>
      </c>
      <c r="M43">
        <f t="shared" si="3"/>
        <v>3.4850485844130503</v>
      </c>
      <c r="N43">
        <f t="shared" si="4"/>
        <v>13728.602102169982</v>
      </c>
      <c r="O43">
        <f t="shared" si="5"/>
        <v>14000</v>
      </c>
      <c r="P43"/>
      <c r="Q43"/>
      <c r="R43"/>
      <c r="S43"/>
      <c r="T43"/>
      <c r="U43"/>
      <c r="W43"/>
      <c r="X43" s="44" t="s">
        <v>240</v>
      </c>
      <c r="Y43" s="199"/>
      <c r="Z43" s="199"/>
      <c r="AA43" s="199"/>
      <c r="AB43" s="199"/>
      <c r="AC43" s="199"/>
      <c r="AD43" s="199">
        <v>1704116.9961977187</v>
      </c>
      <c r="AE43" s="199"/>
      <c r="AF43"/>
      <c r="AH43" t="str">
        <f t="shared" si="0"/>
        <v>Big Bear Lake</v>
      </c>
      <c r="AI43" s="199">
        <f>VLOOKUP(AH43,Places[#All],7,FALSE)</f>
        <v>6.3</v>
      </c>
      <c r="AJ43" s="199">
        <f>VLOOKUP(AH43,Places[#All],6,FALSE)/100000</f>
        <v>5.2810000000000003E-2</v>
      </c>
      <c r="AK43"/>
      <c r="AL43"/>
      <c r="AM43"/>
    </row>
    <row r="44" spans="1:39" x14ac:dyDescent="0.25">
      <c r="A44" t="s">
        <v>443</v>
      </c>
      <c r="B44" t="e">
        <f>VLOOKUP($A44,$A$28:$F$34,3,FALSE)</f>
        <v>#DIV/0!</v>
      </c>
      <c r="C44" t="e">
        <f>VLOOKUP($A44,$A$28:$F$34,5,FALSE)</f>
        <v>#DIV/0!</v>
      </c>
      <c r="D44"/>
      <c r="E44"/>
      <c r="F44" s="12"/>
      <c r="G44" s="12"/>
      <c r="I44"/>
      <c r="J44">
        <f>LARGE($K$28:$K$34,ROWS($I44:I$45))</f>
        <v>8</v>
      </c>
      <c r="K44" t="str">
        <f t="shared" si="1"/>
        <v>Santa Ana</v>
      </c>
      <c r="L44" s="140" t="str">
        <f t="shared" si="2"/>
        <v>R8 - Santa Ana</v>
      </c>
      <c r="M44">
        <f t="shared" si="3"/>
        <v>19.549655013355959</v>
      </c>
      <c r="N44">
        <f t="shared" si="4"/>
        <v>75573.509149903664</v>
      </c>
      <c r="O44">
        <f t="shared" si="5"/>
        <v>76000</v>
      </c>
      <c r="P44"/>
      <c r="Q44"/>
      <c r="R44"/>
      <c r="S44"/>
      <c r="T44"/>
      <c r="U44"/>
      <c r="W44"/>
      <c r="X44" s="44" t="s">
        <v>181</v>
      </c>
      <c r="Y44" s="199"/>
      <c r="Z44" s="199"/>
      <c r="AA44" s="199">
        <v>353557.48101265822</v>
      </c>
      <c r="AB44" s="199"/>
      <c r="AC44" s="199"/>
      <c r="AD44" s="199"/>
      <c r="AE44" s="199"/>
      <c r="AF44"/>
      <c r="AH44" t="str">
        <f t="shared" si="0"/>
        <v>Bradbury</v>
      </c>
      <c r="AI44" s="199">
        <f>VLOOKUP(AH44,Places[#All],7,FALSE)</f>
        <v>2</v>
      </c>
      <c r="AJ44" s="199">
        <f>VLOOKUP(AH44,Places[#All],6,FALSE)/100000</f>
        <v>1.0840000000000001E-2</v>
      </c>
      <c r="AK44"/>
      <c r="AL44"/>
      <c r="AM44"/>
    </row>
    <row r="45" spans="1:39" x14ac:dyDescent="0.25">
      <c r="A45" t="s">
        <v>2097</v>
      </c>
      <c r="B45">
        <f>VLOOKUP($A46,$A$28:$F$34,2,FALSE)</f>
        <v>44.583699982724468</v>
      </c>
      <c r="C45">
        <f>VLOOKUP($A46,$A$28:$F$34,4,FALSE)</f>
        <v>208749.36298503011</v>
      </c>
      <c r="D45">
        <f>VLOOKUP($A46,$A$28:$F$34,6,FALSE)</f>
        <v>75</v>
      </c>
      <c r="E45"/>
      <c r="F45" s="12"/>
      <c r="G45" s="12"/>
      <c r="I45"/>
      <c r="J45">
        <f>LARGE($K$28:$K$34,ROWS($I45:I$45))</f>
        <v>9</v>
      </c>
      <c r="K45" t="str">
        <f t="shared" si="1"/>
        <v>San Diego</v>
      </c>
      <c r="L45" s="140" t="str">
        <f t="shared" si="2"/>
        <v>R9 - San Diego</v>
      </c>
      <c r="M45">
        <f t="shared" si="3"/>
        <v>39.703056823009135</v>
      </c>
      <c r="N45">
        <f t="shared" si="4"/>
        <v>164422.24254972115</v>
      </c>
      <c r="O45">
        <f t="shared" si="5"/>
        <v>160000</v>
      </c>
      <c r="P45"/>
      <c r="Q45"/>
      <c r="R45"/>
      <c r="S45"/>
      <c r="T45"/>
      <c r="U45"/>
      <c r="W45"/>
      <c r="X45" s="44" t="s">
        <v>266</v>
      </c>
      <c r="Y45" s="199"/>
      <c r="Z45" s="199"/>
      <c r="AA45" s="199"/>
      <c r="AB45" s="199"/>
      <c r="AC45" s="199"/>
      <c r="AD45" s="199">
        <v>671792.25298136647</v>
      </c>
      <c r="AE45" s="199"/>
      <c r="AF45"/>
      <c r="AH45" t="str">
        <f t="shared" si="0"/>
        <v>Brea</v>
      </c>
      <c r="AI45" s="199">
        <f>VLOOKUP(AH45,Places[#All],7,FALSE)</f>
        <v>12.2</v>
      </c>
      <c r="AJ45" s="199">
        <f>VLOOKUP(AH45,Places[#All],6,FALSE)/100000</f>
        <v>0.43601000000000001</v>
      </c>
      <c r="AK45"/>
      <c r="AL45"/>
      <c r="AM45"/>
    </row>
    <row r="46" spans="1:39" x14ac:dyDescent="0.25">
      <c r="A46" t="s">
        <v>12</v>
      </c>
      <c r="B46">
        <f>VLOOKUP($A46,$A$28:$F$34,3,FALSE)</f>
        <v>65.822525012876298</v>
      </c>
      <c r="C46">
        <f>VLOOKUP($A46,$A$28:$F$34,5,FALSE)</f>
        <v>269675.52637702075</v>
      </c>
      <c r="D46"/>
      <c r="E46"/>
      <c r="F46" s="12"/>
      <c r="G46" s="12"/>
      <c r="I46"/>
      <c r="J46"/>
      <c r="K46"/>
      <c r="L46"/>
      <c r="M46"/>
      <c r="N46"/>
      <c r="O46"/>
      <c r="P46"/>
      <c r="Q46"/>
      <c r="R46"/>
      <c r="S46"/>
      <c r="T46"/>
      <c r="U46"/>
      <c r="W46"/>
      <c r="X46" s="44" t="s">
        <v>267</v>
      </c>
      <c r="Y46" s="199"/>
      <c r="Z46" s="199"/>
      <c r="AA46" s="199"/>
      <c r="AB46" s="199"/>
      <c r="AC46" s="199"/>
      <c r="AD46" s="199">
        <v>368708.32580463012</v>
      </c>
      <c r="AE46" s="199"/>
      <c r="AF46"/>
      <c r="AH46" t="str">
        <f t="shared" si="0"/>
        <v>Buena Park</v>
      </c>
      <c r="AI46" s="199">
        <f>VLOOKUP(AH46,Places[#All],7,FALSE)</f>
        <v>10.5</v>
      </c>
      <c r="AJ46" s="199">
        <f>VLOOKUP(AH46,Places[#All],6,FALSE)/100000</f>
        <v>0.82421</v>
      </c>
      <c r="AK46"/>
      <c r="AL46"/>
      <c r="AM46"/>
    </row>
    <row r="47" spans="1:39" x14ac:dyDescent="0.25">
      <c r="A47" t="s">
        <v>2029</v>
      </c>
      <c r="B47">
        <f>VLOOKUP($A48,$A$28:$F$34,2,FALSE)</f>
        <v>31.494047303375567</v>
      </c>
      <c r="C47">
        <f>VLOOKUP($A48,$A$28:$F$34,4,FALSE)</f>
        <v>134026.58656172905</v>
      </c>
      <c r="D47">
        <f>VLOOKUP($A48,$A$28:$F$34,6,FALSE)</f>
        <v>9</v>
      </c>
      <c r="E47"/>
      <c r="F47" s="12"/>
      <c r="G47" s="12"/>
      <c r="I47"/>
      <c r="J47"/>
      <c r="K47"/>
      <c r="L47"/>
      <c r="M47"/>
      <c r="N47"/>
      <c r="O47"/>
      <c r="P47"/>
      <c r="Q47"/>
      <c r="R47"/>
      <c r="S47"/>
      <c r="T47"/>
      <c r="U47"/>
      <c r="W47"/>
      <c r="X47" s="44" t="s">
        <v>188</v>
      </c>
      <c r="Y47" s="199"/>
      <c r="Z47" s="199"/>
      <c r="AA47" s="199">
        <v>3833761.7920632907</v>
      </c>
      <c r="AB47" s="199"/>
      <c r="AC47" s="199"/>
      <c r="AD47" s="199"/>
      <c r="AE47" s="199"/>
      <c r="AF47"/>
      <c r="AH47" t="str">
        <f t="shared" si="0"/>
        <v>Burbank</v>
      </c>
      <c r="AI47" s="199">
        <f>VLOOKUP(AH47,Places[#All],7,FALSE)</f>
        <v>17.399999999999999</v>
      </c>
      <c r="AJ47" s="199">
        <f>VLOOKUP(AH47,Places[#All],6,FALSE)/100000</f>
        <v>1.03695</v>
      </c>
      <c r="AK47"/>
      <c r="AL47"/>
      <c r="AM47"/>
    </row>
    <row r="48" spans="1:39" x14ac:dyDescent="0.25">
      <c r="A48" t="s">
        <v>445</v>
      </c>
      <c r="B48">
        <f>VLOOKUP($A48,$A$28:$F$34,3,FALSE)</f>
        <v>24.133509896341373</v>
      </c>
      <c r="C48">
        <f>VLOOKUP($A48,$A$28:$F$34,5,FALSE)</f>
        <v>119796.02846538807</v>
      </c>
      <c r="D48"/>
      <c r="E48"/>
      <c r="F48" s="12"/>
      <c r="G48" s="12"/>
      <c r="I48"/>
      <c r="J48"/>
      <c r="K48"/>
      <c r="L48"/>
      <c r="M48"/>
      <c r="N48"/>
      <c r="O48"/>
      <c r="P48"/>
      <c r="Q48"/>
      <c r="R48"/>
      <c r="S48"/>
      <c r="T48"/>
      <c r="U48"/>
      <c r="W48"/>
      <c r="X48" s="44" t="s">
        <v>172</v>
      </c>
      <c r="Y48" s="199"/>
      <c r="Z48" s="199"/>
      <c r="AA48" s="199">
        <v>1144549.4430379746</v>
      </c>
      <c r="AB48" s="199"/>
      <c r="AC48" s="199"/>
      <c r="AD48" s="199"/>
      <c r="AE48" s="199"/>
      <c r="AF48"/>
      <c r="AH48" t="str">
        <f t="shared" si="0"/>
        <v>Calabasas</v>
      </c>
      <c r="AI48" s="199">
        <f>VLOOKUP(AH48,Places[#All],7,FALSE)</f>
        <v>13.7</v>
      </c>
      <c r="AJ48" s="199">
        <f>VLOOKUP(AH48,Places[#All],6,FALSE)/100000</f>
        <v>0.23954</v>
      </c>
      <c r="AK48"/>
      <c r="AL48"/>
      <c r="AM48"/>
    </row>
    <row r="49" spans="1:39" x14ac:dyDescent="0.25">
      <c r="A49" t="s">
        <v>2098</v>
      </c>
      <c r="B49" t="e">
        <f>VLOOKUP($A50,$A$28:$F$34,2,FALSE)</f>
        <v>#N/A</v>
      </c>
      <c r="C49" t="e">
        <f>VLOOKUP($A50,$A$28:$F$34,4,FALSE)</f>
        <v>#N/A</v>
      </c>
      <c r="D49" t="e">
        <f>VLOOKUP($A50,$A$28:$F$34,6,FALSE)</f>
        <v>#N/A</v>
      </c>
      <c r="E49"/>
      <c r="F49" s="12"/>
      <c r="G49" s="12"/>
      <c r="I49"/>
      <c r="J49"/>
      <c r="K49"/>
      <c r="L49"/>
      <c r="M49"/>
      <c r="N49"/>
      <c r="O49"/>
      <c r="P49"/>
      <c r="Q49"/>
      <c r="R49"/>
      <c r="S49"/>
      <c r="T49"/>
      <c r="U49"/>
      <c r="W49"/>
      <c r="X49" s="44" t="s">
        <v>228</v>
      </c>
      <c r="Y49" s="199"/>
      <c r="Z49" s="199"/>
      <c r="AA49" s="199"/>
      <c r="AB49" s="199"/>
      <c r="AC49" s="199"/>
      <c r="AD49" s="199">
        <v>66068.990253000011</v>
      </c>
      <c r="AE49" s="199"/>
      <c r="AF49"/>
      <c r="AH49" t="str">
        <f t="shared" si="0"/>
        <v>Calimesa</v>
      </c>
      <c r="AI49" s="199">
        <f>VLOOKUP(AH49,Places[#All],7,FALSE)</f>
        <v>14.9</v>
      </c>
      <c r="AJ49" s="199">
        <f>VLOOKUP(AH49,Places[#All],6,FALSE)/100000</f>
        <v>8.9370000000000005E-2</v>
      </c>
      <c r="AK49"/>
      <c r="AL49"/>
      <c r="AM49"/>
    </row>
    <row r="50" spans="1:39" x14ac:dyDescent="0.25">
      <c r="A50" t="s">
        <v>1458</v>
      </c>
      <c r="B50" t="e">
        <f>VLOOKUP($A50,$A$28:$F$34,3,FALSE)</f>
        <v>#N/A</v>
      </c>
      <c r="C50" t="e">
        <f>VLOOKUP($A50,$A$28:$F$34,5,FALSE)</f>
        <v>#N/A</v>
      </c>
      <c r="D50"/>
      <c r="E50"/>
      <c r="F50" s="12"/>
      <c r="G50" s="12"/>
      <c r="I50"/>
      <c r="J50"/>
      <c r="K50"/>
      <c r="L50"/>
      <c r="M50"/>
      <c r="N50"/>
      <c r="O50"/>
      <c r="P50"/>
      <c r="Q50"/>
      <c r="R50"/>
      <c r="S50"/>
      <c r="T50"/>
      <c r="U50"/>
      <c r="W50"/>
      <c r="X50" s="44" t="s">
        <v>229</v>
      </c>
      <c r="Y50" s="199"/>
      <c r="Z50" s="199"/>
      <c r="AA50" s="199"/>
      <c r="AB50" s="199"/>
      <c r="AC50" s="199"/>
      <c r="AD50" s="199">
        <v>143238.27317062503</v>
      </c>
      <c r="AE50" s="199"/>
      <c r="AF50"/>
      <c r="AH50" t="str">
        <f t="shared" si="0"/>
        <v>Canyon Lake</v>
      </c>
      <c r="AI50" s="199">
        <f>VLOOKUP(AH50,Places[#All],7,FALSE)</f>
        <v>3.9</v>
      </c>
      <c r="AJ50" s="199">
        <f>VLOOKUP(AH50,Places[#All],6,FALSE)/100000</f>
        <v>0.11267000000000001</v>
      </c>
      <c r="AK50"/>
      <c r="AL50"/>
      <c r="AM50"/>
    </row>
    <row r="51" spans="1:39" x14ac:dyDescent="0.25">
      <c r="A51" t="s">
        <v>2099</v>
      </c>
      <c r="B51">
        <f>VLOOKUP($A52,$A$28:$F$34,2,FALSE)</f>
        <v>3.4850485844130503</v>
      </c>
      <c r="C51">
        <f>VLOOKUP($A52,$A$28:$F$34,4,FALSE)</f>
        <v>13728.602102169982</v>
      </c>
      <c r="D51">
        <f>VLOOKUP($A52,$A$28:$F$34,6,FALSE)</f>
        <v>1</v>
      </c>
      <c r="E51"/>
      <c r="F51" s="12"/>
      <c r="G51" s="12"/>
      <c r="I51"/>
      <c r="J51"/>
      <c r="K51"/>
      <c r="L51"/>
      <c r="M51"/>
      <c r="N51"/>
      <c r="O51"/>
      <c r="P51"/>
      <c r="Q51"/>
      <c r="R51"/>
      <c r="S51"/>
      <c r="T51"/>
      <c r="U51"/>
      <c r="W51"/>
      <c r="X51" s="44" t="s">
        <v>302</v>
      </c>
      <c r="Y51" s="199"/>
      <c r="Z51" s="199"/>
      <c r="AA51" s="199"/>
      <c r="AB51" s="199"/>
      <c r="AC51" s="199"/>
      <c r="AD51" s="199"/>
      <c r="AE51" s="199">
        <v>3156292.5366462674</v>
      </c>
      <c r="AF51"/>
      <c r="AH51" t="str">
        <f t="shared" si="0"/>
        <v>Carlsbad</v>
      </c>
      <c r="AI51" s="199">
        <f>VLOOKUP(AH51,Places[#All],7,FALSE)</f>
        <v>37.700000000000003</v>
      </c>
      <c r="AJ51" s="199">
        <f>VLOOKUP(AH51,Places[#All],6,FALSE)/100000</f>
        <v>1.1587700000000001</v>
      </c>
      <c r="AK51"/>
      <c r="AL51"/>
      <c r="AM51"/>
    </row>
    <row r="52" spans="1:39" x14ac:dyDescent="0.25">
      <c r="A52" t="s">
        <v>1459</v>
      </c>
      <c r="B52" t="e">
        <f>VLOOKUP($A52,$A$28:$F$34,3,FALSE)</f>
        <v>#DIV/0!</v>
      </c>
      <c r="C52" t="e">
        <f>VLOOKUP($A52,$A$28:$F$34,5,FALSE)</f>
        <v>#DIV/0!</v>
      </c>
      <c r="D52"/>
      <c r="E52"/>
      <c r="F52" s="12"/>
      <c r="G52" s="12"/>
      <c r="I52"/>
      <c r="J52"/>
      <c r="K52"/>
      <c r="L52"/>
      <c r="M52"/>
      <c r="N52"/>
      <c r="O52"/>
      <c r="P52"/>
      <c r="Q52"/>
      <c r="R52"/>
      <c r="S52"/>
      <c r="T52"/>
      <c r="U52"/>
      <c r="W52"/>
      <c r="X52" s="44" t="s">
        <v>221</v>
      </c>
      <c r="Y52" s="199"/>
      <c r="Z52" s="199"/>
      <c r="AA52" s="199">
        <v>1318833.1082278481</v>
      </c>
      <c r="AB52" s="199"/>
      <c r="AC52" s="199"/>
      <c r="AD52" s="199"/>
      <c r="AE52" s="199"/>
      <c r="AF52"/>
      <c r="AH52" t="str">
        <f t="shared" si="0"/>
        <v>Carson</v>
      </c>
      <c r="AI52" s="199">
        <f>VLOOKUP(AH52,Places[#All],7,FALSE)</f>
        <v>18.7</v>
      </c>
      <c r="AJ52" s="199">
        <f>VLOOKUP(AH52,Places[#All],6,FALSE)/100000</f>
        <v>0.91908999999999996</v>
      </c>
      <c r="AK52"/>
      <c r="AL52"/>
      <c r="AM52"/>
    </row>
    <row r="53" spans="1:39" x14ac:dyDescent="0.25">
      <c r="A53" t="s">
        <v>2100</v>
      </c>
      <c r="B53">
        <f>VLOOKUP($A54,$A$28:$F$34,2,FALSE)</f>
        <v>19.549655013355959</v>
      </c>
      <c r="C53">
        <f>VLOOKUP($A54,$A$28:$F$34,4,FALSE)</f>
        <v>75573.509149903664</v>
      </c>
      <c r="D53">
        <f>VLOOKUP($A54,$A$28:$F$34,6,FALSE)</f>
        <v>53</v>
      </c>
      <c r="E53"/>
      <c r="F53" s="12"/>
      <c r="G53" s="12"/>
      <c r="I53"/>
      <c r="J53"/>
      <c r="K53"/>
      <c r="L53"/>
      <c r="M53"/>
      <c r="N53"/>
      <c r="O53"/>
      <c r="P53"/>
      <c r="Q53"/>
      <c r="R53"/>
      <c r="S53"/>
      <c r="T53"/>
      <c r="U53"/>
      <c r="W53"/>
      <c r="X53" s="44" t="s">
        <v>161</v>
      </c>
      <c r="Y53" s="199"/>
      <c r="Z53" s="199"/>
      <c r="AA53" s="199">
        <v>892265.47651898733</v>
      </c>
      <c r="AB53" s="199"/>
      <c r="AC53" s="199"/>
      <c r="AD53" s="199"/>
      <c r="AE53" s="199"/>
      <c r="AF53"/>
      <c r="AH53" t="str">
        <f t="shared" si="0"/>
        <v>Cerritos</v>
      </c>
      <c r="AI53" s="199">
        <f>VLOOKUP(AH53,Places[#All],7,FALSE)</f>
        <v>8.6999999999999993</v>
      </c>
      <c r="AJ53" s="199">
        <f>VLOOKUP(AH53,Places[#All],6,FALSE)/100000</f>
        <v>0.50461999999999996</v>
      </c>
      <c r="AK53"/>
      <c r="AL53"/>
      <c r="AM53"/>
    </row>
    <row r="54" spans="1:39" x14ac:dyDescent="0.25">
      <c r="A54" t="s">
        <v>290</v>
      </c>
      <c r="B54">
        <f>VLOOKUP($A54,$A$28:$F$34,3,FALSE)</f>
        <v>44.215534826296953</v>
      </c>
      <c r="C54">
        <f>VLOOKUP($A54,$A$28:$F$34,5,FALSE)</f>
        <v>92417.667753893198</v>
      </c>
      <c r="D54"/>
      <c r="E54"/>
      <c r="F54" s="12"/>
      <c r="G54" s="12"/>
      <c r="I54"/>
      <c r="J54"/>
      <c r="K54"/>
      <c r="L54"/>
      <c r="M54"/>
      <c r="N54"/>
      <c r="O54"/>
      <c r="P54"/>
      <c r="Q54"/>
      <c r="R54"/>
      <c r="S54"/>
      <c r="T54"/>
      <c r="U54"/>
      <c r="W54"/>
      <c r="X54" s="44" t="s">
        <v>241</v>
      </c>
      <c r="Y54" s="199"/>
      <c r="Z54" s="199"/>
      <c r="AA54" s="199"/>
      <c r="AB54" s="199"/>
      <c r="AC54" s="199"/>
      <c r="AD54" s="199">
        <v>546737.71346007613</v>
      </c>
      <c r="AE54" s="199"/>
      <c r="AF54"/>
      <c r="AH54" t="str">
        <f t="shared" si="0"/>
        <v>Chino</v>
      </c>
      <c r="AI54" s="199">
        <f>VLOOKUP(AH54,Places[#All],7,FALSE)</f>
        <v>29.7</v>
      </c>
      <c r="AJ54" s="199">
        <f>VLOOKUP(AH54,Places[#All],6,FALSE)/100000</f>
        <v>0.91583000000000003</v>
      </c>
      <c r="AK54"/>
      <c r="AL54"/>
      <c r="AM54"/>
    </row>
    <row r="55" spans="1:39" x14ac:dyDescent="0.25">
      <c r="A55" t="s">
        <v>2101</v>
      </c>
      <c r="B55">
        <f>VLOOKUP($A56,$A$28:$F$34,2,FALSE)</f>
        <v>39.703056823009135</v>
      </c>
      <c r="C55">
        <f>VLOOKUP($A56,$A$28:$F$34,4,FALSE)</f>
        <v>164422.24254972115</v>
      </c>
      <c r="D55">
        <f>VLOOKUP($A56,$A$28:$F$34,6,FALSE)</f>
        <v>30</v>
      </c>
      <c r="E55"/>
      <c r="F55" s="12"/>
      <c r="G55" s="12"/>
      <c r="I55"/>
      <c r="J55"/>
      <c r="K55"/>
      <c r="L55"/>
      <c r="M55"/>
      <c r="N55"/>
      <c r="O55"/>
      <c r="P55"/>
      <c r="Q55"/>
      <c r="R55"/>
      <c r="S55"/>
      <c r="T55"/>
      <c r="U55"/>
      <c r="W55"/>
      <c r="X55" s="44" t="s">
        <v>242</v>
      </c>
      <c r="Y55" s="199"/>
      <c r="Z55" s="199"/>
      <c r="AA55" s="199"/>
      <c r="AB55" s="199"/>
      <c r="AC55" s="199"/>
      <c r="AD55" s="199">
        <v>427421.99477351917</v>
      </c>
      <c r="AE55" s="199"/>
      <c r="AF55"/>
      <c r="AH55" t="str">
        <f t="shared" si="0"/>
        <v>Chino Hills</v>
      </c>
      <c r="AI55" s="199">
        <f>VLOOKUP(AH55,Places[#All],7,FALSE)</f>
        <v>44.7</v>
      </c>
      <c r="AJ55" s="199">
        <f>VLOOKUP(AH55,Places[#All],6,FALSE)/100000</f>
        <v>0.83447000000000005</v>
      </c>
      <c r="AK55"/>
      <c r="AL55"/>
      <c r="AM55"/>
    </row>
    <row r="56" spans="1:39" x14ac:dyDescent="0.25">
      <c r="A56" t="s">
        <v>21</v>
      </c>
      <c r="B56">
        <f>VLOOKUP($A56,$A$28:$F$34,3,FALSE)</f>
        <v>43.790322329221347</v>
      </c>
      <c r="C56">
        <f>VLOOKUP($A56,$A$28:$F$34,5,FALSE)</f>
        <v>231985.31122172126</v>
      </c>
      <c r="D56"/>
      <c r="E56"/>
      <c r="F56" s="12"/>
      <c r="G56" s="12"/>
      <c r="I56"/>
      <c r="J56"/>
      <c r="K56"/>
      <c r="L56"/>
      <c r="M56"/>
      <c r="N56"/>
      <c r="O56"/>
      <c r="P56"/>
      <c r="Q56"/>
      <c r="R56"/>
      <c r="S56"/>
      <c r="T56"/>
      <c r="U56"/>
      <c r="W56"/>
      <c r="X56" s="44" t="s">
        <v>310</v>
      </c>
      <c r="Y56" s="199"/>
      <c r="Z56" s="199"/>
      <c r="AA56" s="199"/>
      <c r="AB56" s="199"/>
      <c r="AC56" s="199"/>
      <c r="AD56" s="199"/>
      <c r="AE56" s="199">
        <v>2859532.2200489598</v>
      </c>
      <c r="AF56"/>
      <c r="AH56" t="str">
        <f t="shared" si="0"/>
        <v>Chula Vista</v>
      </c>
      <c r="AI56" s="199">
        <f>VLOOKUP(AH56,Places[#All],7,FALSE)</f>
        <v>49.6</v>
      </c>
      <c r="AJ56" s="199">
        <f>VLOOKUP(AH56,Places[#All],6,FALSE)/100000</f>
        <v>2.71651</v>
      </c>
      <c r="AK56"/>
      <c r="AL56"/>
      <c r="AM56"/>
    </row>
    <row r="57" spans="1:39" x14ac:dyDescent="0.25">
      <c r="A57" t="s">
        <v>2080</v>
      </c>
      <c r="B57"/>
      <c r="C57"/>
      <c r="D57">
        <f>VLOOKUP("Grand Total",$A$28:$F$35,6,FALSE)</f>
        <v>170</v>
      </c>
      <c r="E57"/>
      <c r="F57" s="12"/>
      <c r="G57" s="12"/>
      <c r="I57"/>
      <c r="J57"/>
      <c r="K57"/>
      <c r="L57"/>
      <c r="M57"/>
      <c r="N57"/>
      <c r="O57"/>
      <c r="P57"/>
      <c r="Q57"/>
      <c r="R57"/>
      <c r="S57"/>
      <c r="T57"/>
      <c r="U57"/>
      <c r="W57"/>
      <c r="X57" s="44" t="s">
        <v>138</v>
      </c>
      <c r="Y57" s="199"/>
      <c r="Z57" s="199"/>
      <c r="AA57" s="199"/>
      <c r="AB57" s="199">
        <v>4217208.1518987343</v>
      </c>
      <c r="AC57" s="199"/>
      <c r="AD57" s="199"/>
      <c r="AE57" s="199"/>
      <c r="AF57"/>
      <c r="AH57" t="str">
        <f t="shared" si="0"/>
        <v>Citrus Heights</v>
      </c>
      <c r="AI57" s="199">
        <f>VLOOKUP(AH57,Places[#All],7,FALSE)</f>
        <v>14.2</v>
      </c>
      <c r="AJ57" s="199">
        <f>VLOOKUP(AH57,Places[#All],6,FALSE)/100000</f>
        <v>0.87909999999999999</v>
      </c>
      <c r="AK57"/>
      <c r="AL57"/>
      <c r="AM57"/>
    </row>
    <row r="58" spans="1:39" x14ac:dyDescent="0.25">
      <c r="A58" s="201"/>
      <c r="B58" s="202"/>
      <c r="C58" s="203"/>
      <c r="D58" s="203"/>
      <c r="E58"/>
      <c r="F58" s="12"/>
      <c r="G58" s="12"/>
      <c r="I58"/>
      <c r="J58"/>
      <c r="K58"/>
      <c r="L58"/>
      <c r="M58"/>
      <c r="N58"/>
      <c r="O58"/>
      <c r="P58"/>
      <c r="Q58"/>
      <c r="R58"/>
      <c r="S58"/>
      <c r="T58"/>
      <c r="U58"/>
      <c r="W58"/>
      <c r="X58" s="44" t="s">
        <v>152</v>
      </c>
      <c r="Y58" s="199"/>
      <c r="Z58" s="199"/>
      <c r="AA58" s="199">
        <v>6952375.5413164552</v>
      </c>
      <c r="AB58" s="199"/>
      <c r="AC58" s="199"/>
      <c r="AD58" s="199"/>
      <c r="AE58" s="199"/>
      <c r="AF58"/>
      <c r="AH58" t="str">
        <f t="shared" si="0"/>
        <v>Claremont</v>
      </c>
      <c r="AI58" s="199">
        <f>VLOOKUP(AH58,Places[#All],7,FALSE)</f>
        <v>13.4</v>
      </c>
      <c r="AJ58" s="199">
        <f>VLOOKUP(AH58,Places[#All],6,FALSE)/100000</f>
        <v>0.36477999999999999</v>
      </c>
      <c r="AK58"/>
      <c r="AL58"/>
      <c r="AM58"/>
    </row>
    <row r="59" spans="1:39" x14ac:dyDescent="0.25">
      <c r="A59" s="204" t="s">
        <v>2102</v>
      </c>
      <c r="B59"/>
      <c r="C59"/>
      <c r="D59"/>
      <c r="E59"/>
      <c r="F59" s="12"/>
      <c r="G59" s="12"/>
      <c r="I59"/>
      <c r="J59"/>
      <c r="K59"/>
      <c r="L59"/>
      <c r="M59"/>
      <c r="N59"/>
      <c r="O59"/>
      <c r="P59"/>
      <c r="Q59"/>
      <c r="R59"/>
      <c r="S59"/>
      <c r="T59"/>
      <c r="U59"/>
      <c r="W59"/>
      <c r="X59" s="44" t="s">
        <v>123</v>
      </c>
      <c r="Y59" s="199"/>
      <c r="Z59" s="199"/>
      <c r="AA59" s="199"/>
      <c r="AB59" s="199">
        <v>2146083.2924050633</v>
      </c>
      <c r="AC59" s="199"/>
      <c r="AD59" s="199"/>
      <c r="AE59" s="199"/>
      <c r="AF59"/>
      <c r="AH59" t="str">
        <f t="shared" si="0"/>
        <v>Clovis</v>
      </c>
      <c r="AI59" s="199">
        <f>VLOOKUP(AH59,Places[#All],7,FALSE)</f>
        <v>24.2</v>
      </c>
      <c r="AJ59" s="199">
        <f>VLOOKUP(AH59,Places[#All],6,FALSE)/100000</f>
        <v>1.12022</v>
      </c>
      <c r="AK59"/>
      <c r="AL59"/>
      <c r="AM59"/>
    </row>
    <row r="60" spans="1:39" x14ac:dyDescent="0.25">
      <c r="A60" t="s">
        <v>31</v>
      </c>
      <c r="B60" t="s">
        <v>2067</v>
      </c>
      <c r="C60" t="s">
        <v>2068</v>
      </c>
      <c r="D60" t="s">
        <v>2069</v>
      </c>
      <c r="E60"/>
      <c r="F60" s="12"/>
      <c r="G60" s="12"/>
      <c r="I60"/>
      <c r="J60"/>
      <c r="K60"/>
      <c r="L60"/>
      <c r="M60"/>
      <c r="N60"/>
      <c r="O60"/>
      <c r="P60"/>
      <c r="Q60"/>
      <c r="R60"/>
      <c r="S60"/>
      <c r="T60"/>
      <c r="U60"/>
      <c r="W60"/>
      <c r="X60" s="44" t="s">
        <v>243</v>
      </c>
      <c r="Y60" s="199"/>
      <c r="Z60" s="199"/>
      <c r="AA60" s="199"/>
      <c r="AB60" s="199"/>
      <c r="AC60" s="199"/>
      <c r="AD60" s="199">
        <v>627823.72881533101</v>
      </c>
      <c r="AE60" s="199"/>
      <c r="AF60"/>
      <c r="AH60" t="str">
        <f t="shared" si="0"/>
        <v>Colton</v>
      </c>
      <c r="AI60" s="199">
        <f>VLOOKUP(AH60,Places[#All],7,FALSE)</f>
        <v>15.3</v>
      </c>
      <c r="AJ60" s="199">
        <f>VLOOKUP(AH60,Places[#All],6,FALSE)/100000</f>
        <v>0.54740999999999995</v>
      </c>
      <c r="AK60"/>
      <c r="AL60"/>
      <c r="AM60"/>
    </row>
    <row r="61" spans="1:39" x14ac:dyDescent="0.25">
      <c r="A61" t="s">
        <v>2094</v>
      </c>
      <c r="B61" t="str">
        <f t="shared" ref="B61:B78" si="6">IF(ISERROR(B39),"**",ROUND(B39,2-(1+INT(LOG10(B39)))))</f>
        <v>**</v>
      </c>
      <c r="C61" t="str">
        <f>IF(ISERROR(C39),"**",ROUND(C39,2-(1+INT(LOG10(C39))))/10^3)</f>
        <v>**</v>
      </c>
      <c r="D61">
        <f>IF(ISERROR(D39),0,D39)</f>
        <v>0</v>
      </c>
      <c r="E61"/>
      <c r="F61" s="12"/>
      <c r="G61" s="12"/>
      <c r="I61"/>
      <c r="J61"/>
      <c r="K61"/>
      <c r="L61"/>
      <c r="M61"/>
      <c r="N61"/>
      <c r="O61"/>
      <c r="P61"/>
      <c r="Q61"/>
      <c r="R61"/>
      <c r="S61"/>
      <c r="T61"/>
      <c r="U61"/>
      <c r="W61"/>
      <c r="X61" s="44" t="s">
        <v>150</v>
      </c>
      <c r="Y61" s="199"/>
      <c r="Z61" s="199"/>
      <c r="AA61" s="199">
        <v>491582.92405063286</v>
      </c>
      <c r="AB61" s="199"/>
      <c r="AC61" s="199"/>
      <c r="AD61" s="199"/>
      <c r="AE61" s="199"/>
      <c r="AF61"/>
      <c r="AH61" t="str">
        <f t="shared" si="0"/>
        <v>Compton</v>
      </c>
      <c r="AI61" s="199">
        <f>VLOOKUP(AH61,Places[#All],7,FALSE)</f>
        <v>10</v>
      </c>
      <c r="AJ61" s="199">
        <f>VLOOKUP(AH61,Places[#All],6,FALSE)/100000</f>
        <v>0.96616999999999997</v>
      </c>
      <c r="AK61"/>
      <c r="AL61"/>
      <c r="AM61"/>
    </row>
    <row r="62" spans="1:39" x14ac:dyDescent="0.25">
      <c r="A62" t="s">
        <v>442</v>
      </c>
      <c r="B62" t="str">
        <f t="shared" si="6"/>
        <v>**</v>
      </c>
      <c r="C62" t="str">
        <f t="shared" ref="C62:C78" si="7">IF(ISERROR(C40),"**",ROUND(C40,2-(1+INT(LOG10(C40))))/10^3)</f>
        <v>**</v>
      </c>
      <c r="D62"/>
      <c r="E62"/>
      <c r="F62" s="12"/>
      <c r="G62" s="12"/>
      <c r="I62"/>
      <c r="J62"/>
      <c r="K62"/>
      <c r="L62"/>
      <c r="M62"/>
      <c r="N62"/>
      <c r="O62"/>
      <c r="P62"/>
      <c r="Q62"/>
      <c r="R62"/>
      <c r="S62"/>
      <c r="T62"/>
      <c r="U62"/>
      <c r="W62"/>
      <c r="X62" s="44" t="s">
        <v>230</v>
      </c>
      <c r="Y62" s="199"/>
      <c r="Z62" s="199"/>
      <c r="AA62" s="199"/>
      <c r="AB62" s="199"/>
      <c r="AC62" s="199"/>
      <c r="AD62" s="199">
        <v>1643463.9202875001</v>
      </c>
      <c r="AE62" s="199"/>
      <c r="AF62"/>
      <c r="AH62" t="str">
        <f t="shared" si="0"/>
        <v>Corona</v>
      </c>
      <c r="AI62" s="199">
        <f>VLOOKUP(AH62,Places[#All],7,FALSE)</f>
        <v>39.5</v>
      </c>
      <c r="AJ62" s="199">
        <f>VLOOKUP(AH62,Places[#All],6,FALSE)/100000</f>
        <v>1.6881900000000001</v>
      </c>
      <c r="AK62"/>
      <c r="AL62"/>
      <c r="AM62"/>
    </row>
    <row r="63" spans="1:39" x14ac:dyDescent="0.25">
      <c r="A63" t="s">
        <v>2095</v>
      </c>
      <c r="B63">
        <f t="shared" si="6"/>
        <v>54</v>
      </c>
      <c r="C63">
        <f t="shared" si="7"/>
        <v>630</v>
      </c>
      <c r="D63">
        <f>IF(ISERROR(D41),0,D41)</f>
        <v>1</v>
      </c>
      <c r="E63"/>
      <c r="F63" s="12"/>
      <c r="G63" s="12"/>
      <c r="I63"/>
      <c r="J63"/>
      <c r="K63"/>
      <c r="L63"/>
      <c r="M63"/>
      <c r="N63"/>
      <c r="O63"/>
      <c r="P63"/>
      <c r="Q63"/>
      <c r="R63"/>
      <c r="S63"/>
      <c r="T63"/>
      <c r="U63"/>
      <c r="W63"/>
      <c r="X63" s="44" t="s">
        <v>311</v>
      </c>
      <c r="Y63" s="199"/>
      <c r="Z63" s="199"/>
      <c r="AA63" s="199"/>
      <c r="AB63" s="199"/>
      <c r="AC63" s="199"/>
      <c r="AD63" s="199"/>
      <c r="AE63" s="199">
        <v>1122087.410379437</v>
      </c>
      <c r="AF63"/>
      <c r="AH63" t="str">
        <f t="shared" si="0"/>
        <v>Coronado</v>
      </c>
      <c r="AI63" s="199">
        <f>VLOOKUP(AH63,Places[#All],7,FALSE)</f>
        <v>7.9</v>
      </c>
      <c r="AJ63" s="199">
        <f>VLOOKUP(AH63,Places[#All],6,FALSE)/100000</f>
        <v>0.21390000000000001</v>
      </c>
      <c r="AK63"/>
      <c r="AL63"/>
      <c r="AM63"/>
    </row>
    <row r="64" spans="1:39" x14ac:dyDescent="0.25">
      <c r="A64" t="s">
        <v>1457</v>
      </c>
      <c r="B64" t="str">
        <f t="shared" si="6"/>
        <v>**</v>
      </c>
      <c r="C64" t="str">
        <f t="shared" si="7"/>
        <v>**</v>
      </c>
      <c r="D64"/>
      <c r="E64"/>
      <c r="F64" s="12"/>
      <c r="G64" s="12"/>
      <c r="I64"/>
      <c r="J64"/>
      <c r="K64"/>
      <c r="L64"/>
      <c r="M64"/>
      <c r="N64"/>
      <c r="O64"/>
      <c r="P64"/>
      <c r="Q64"/>
      <c r="R64"/>
      <c r="S64"/>
      <c r="T64"/>
      <c r="U64"/>
      <c r="W64"/>
      <c r="X64" s="44" t="s">
        <v>268</v>
      </c>
      <c r="Y64" s="199"/>
      <c r="Z64" s="199"/>
      <c r="AA64" s="199"/>
      <c r="AB64" s="199"/>
      <c r="AC64" s="199"/>
      <c r="AD64" s="199">
        <v>1545061.1006968643</v>
      </c>
      <c r="AE64" s="199"/>
      <c r="AF64"/>
      <c r="AH64" t="str">
        <f t="shared" si="0"/>
        <v>Costa Mesa</v>
      </c>
      <c r="AI64" s="199">
        <f>VLOOKUP(AH64,Places[#All],7,FALSE)</f>
        <v>15.7</v>
      </c>
      <c r="AJ64" s="199">
        <f>VLOOKUP(AH64,Places[#All],6,FALSE)/100000</f>
        <v>1.13615</v>
      </c>
      <c r="AK64"/>
      <c r="AL64"/>
      <c r="AM64"/>
    </row>
    <row r="65" spans="1:39" x14ac:dyDescent="0.25">
      <c r="A65" t="s">
        <v>2096</v>
      </c>
      <c r="B65">
        <f t="shared" si="6"/>
        <v>29</v>
      </c>
      <c r="C65">
        <f t="shared" si="7"/>
        <v>190</v>
      </c>
      <c r="D65">
        <f>IF(ISERROR(D43),0,D43)</f>
        <v>1</v>
      </c>
      <c r="E65"/>
      <c r="F65" s="12"/>
      <c r="G65" s="12"/>
      <c r="I65"/>
      <c r="J65"/>
      <c r="K65"/>
      <c r="L65"/>
      <c r="M65"/>
      <c r="N65"/>
      <c r="O65"/>
      <c r="P65"/>
      <c r="Q65"/>
      <c r="R65"/>
      <c r="S65"/>
      <c r="T65"/>
      <c r="U65"/>
      <c r="W65"/>
      <c r="X65" s="44" t="s">
        <v>201</v>
      </c>
      <c r="Y65" s="199"/>
      <c r="Z65" s="199"/>
      <c r="AA65" s="199">
        <v>786884.11249367089</v>
      </c>
      <c r="AB65" s="199"/>
      <c r="AC65" s="199"/>
      <c r="AD65" s="199"/>
      <c r="AE65" s="199"/>
      <c r="AF65"/>
      <c r="AH65" t="str">
        <f t="shared" si="0"/>
        <v>Covina</v>
      </c>
      <c r="AI65" s="199">
        <f>VLOOKUP(AH65,Places[#All],7,FALSE)</f>
        <v>7</v>
      </c>
      <c r="AJ65" s="199">
        <f>VLOOKUP(AH65,Places[#All],6,FALSE)/100000</f>
        <v>0.47963</v>
      </c>
      <c r="AK65"/>
      <c r="AL65"/>
      <c r="AM65"/>
    </row>
    <row r="66" spans="1:39" x14ac:dyDescent="0.25">
      <c r="A66" t="s">
        <v>443</v>
      </c>
      <c r="B66" t="str">
        <f t="shared" si="6"/>
        <v>**</v>
      </c>
      <c r="C66" t="str">
        <f t="shared" si="7"/>
        <v>**</v>
      </c>
      <c r="D66"/>
      <c r="E66"/>
      <c r="F66" s="12"/>
      <c r="G66" s="12"/>
      <c r="I66"/>
      <c r="J66"/>
      <c r="K66"/>
      <c r="L66"/>
      <c r="M66"/>
      <c r="N66"/>
      <c r="O66"/>
      <c r="P66"/>
      <c r="Q66"/>
      <c r="R66"/>
      <c r="S66"/>
      <c r="T66"/>
      <c r="U66"/>
      <c r="W66"/>
      <c r="X66" s="44" t="s">
        <v>430</v>
      </c>
      <c r="Y66" s="199"/>
      <c r="Z66" s="199"/>
      <c r="AA66" s="199">
        <v>972135.49173417711</v>
      </c>
      <c r="AB66" s="199"/>
      <c r="AC66" s="199"/>
      <c r="AD66" s="199"/>
      <c r="AE66" s="199"/>
      <c r="AF66"/>
      <c r="AH66" t="str">
        <f t="shared" si="0"/>
        <v>Culver City</v>
      </c>
      <c r="AI66" s="199">
        <f>VLOOKUP(AH66,Places[#All],7,FALSE)</f>
        <v>5.0999999999999996</v>
      </c>
      <c r="AJ66" s="199">
        <f>VLOOKUP(AH66,Places[#All],6,FALSE)/100000</f>
        <v>0.39213999999999999</v>
      </c>
      <c r="AK66"/>
      <c r="AL66"/>
      <c r="AM66"/>
    </row>
    <row r="67" spans="1:39" x14ac:dyDescent="0.25">
      <c r="A67" t="s">
        <v>2097</v>
      </c>
      <c r="B67">
        <f t="shared" si="6"/>
        <v>45</v>
      </c>
      <c r="C67">
        <f t="shared" si="7"/>
        <v>210</v>
      </c>
      <c r="D67">
        <f>IF(ISERROR(D45),0,D45)</f>
        <v>75</v>
      </c>
      <c r="E67"/>
      <c r="F67" s="12"/>
      <c r="G67" s="12"/>
      <c r="I67"/>
      <c r="J67"/>
      <c r="K67"/>
      <c r="L67"/>
      <c r="M67"/>
      <c r="N67"/>
      <c r="O67"/>
      <c r="P67"/>
      <c r="Q67"/>
      <c r="R67"/>
      <c r="S67"/>
      <c r="T67"/>
      <c r="U67"/>
      <c r="W67"/>
      <c r="X67" s="44" t="s">
        <v>269</v>
      </c>
      <c r="Y67" s="199"/>
      <c r="Z67" s="199"/>
      <c r="AA67" s="199"/>
      <c r="AB67" s="199"/>
      <c r="AC67" s="199"/>
      <c r="AD67" s="199">
        <v>776952.98252964427</v>
      </c>
      <c r="AE67" s="199"/>
      <c r="AF67"/>
      <c r="AH67" t="str">
        <f t="shared" si="0"/>
        <v>Cypress</v>
      </c>
      <c r="AI67" s="199">
        <f>VLOOKUP(AH67,Places[#All],7,FALSE)</f>
        <v>6.6</v>
      </c>
      <c r="AJ67" s="199">
        <f>VLOOKUP(AH67,Places[#All],6,FALSE)/100000</f>
        <v>0.48958000000000002</v>
      </c>
      <c r="AK67"/>
      <c r="AL67"/>
      <c r="AM67"/>
    </row>
    <row r="68" spans="1:39" x14ac:dyDescent="0.25">
      <c r="A68" t="s">
        <v>12</v>
      </c>
      <c r="B68">
        <f t="shared" si="6"/>
        <v>66</v>
      </c>
      <c r="C68">
        <f t="shared" si="7"/>
        <v>270</v>
      </c>
      <c r="D68"/>
      <c r="E68"/>
      <c r="F68" s="12"/>
      <c r="G68" s="12"/>
      <c r="I68"/>
      <c r="J68"/>
      <c r="K68"/>
      <c r="L68"/>
      <c r="M68"/>
      <c r="N68"/>
      <c r="O68"/>
      <c r="P68"/>
      <c r="Q68"/>
      <c r="R68"/>
      <c r="S68"/>
      <c r="T68"/>
      <c r="U68"/>
      <c r="W68"/>
      <c r="X68" s="44" t="s">
        <v>270</v>
      </c>
      <c r="Y68" s="199"/>
      <c r="Z68" s="199"/>
      <c r="AA68" s="199"/>
      <c r="AB68" s="199"/>
      <c r="AC68" s="199"/>
      <c r="AD68" s="199"/>
      <c r="AE68" s="199">
        <v>2139535.9533047737</v>
      </c>
      <c r="AF68"/>
      <c r="AH68" t="str">
        <f t="shared" si="0"/>
        <v>Dana Point</v>
      </c>
      <c r="AI68" s="199">
        <f>VLOOKUP(AH68,Places[#All],7,FALSE)</f>
        <v>6.5</v>
      </c>
      <c r="AJ68" s="199">
        <f>VLOOKUP(AH68,Places[#All],6,FALSE)/100000</f>
        <v>0.33729999999999999</v>
      </c>
      <c r="AK68"/>
      <c r="AL68"/>
      <c r="AM68"/>
    </row>
    <row r="69" spans="1:39" x14ac:dyDescent="0.25">
      <c r="A69" t="s">
        <v>2029</v>
      </c>
      <c r="B69">
        <f t="shared" si="6"/>
        <v>31</v>
      </c>
      <c r="C69">
        <f t="shared" si="7"/>
        <v>130</v>
      </c>
      <c r="D69">
        <f>IF(ISERROR(D47),0,D47)</f>
        <v>9</v>
      </c>
      <c r="E69"/>
      <c r="F69" s="12"/>
      <c r="G69" s="12"/>
      <c r="I69"/>
      <c r="J69"/>
      <c r="K69"/>
      <c r="L69"/>
      <c r="M69"/>
      <c r="N69"/>
      <c r="O69"/>
      <c r="P69"/>
      <c r="Q69"/>
      <c r="R69"/>
      <c r="S69"/>
      <c r="T69"/>
      <c r="U69"/>
      <c r="W69"/>
      <c r="X69" s="44" t="s">
        <v>308</v>
      </c>
      <c r="Y69" s="199"/>
      <c r="Z69" s="199"/>
      <c r="AA69" s="199"/>
      <c r="AB69" s="199"/>
      <c r="AC69" s="199"/>
      <c r="AD69" s="199"/>
      <c r="AE69" s="199">
        <v>607991.21232558147</v>
      </c>
      <c r="AF69"/>
      <c r="AH69" t="str">
        <f t="shared" si="0"/>
        <v>Del Mar</v>
      </c>
      <c r="AI69" s="199">
        <f>VLOOKUP(AH69,Places[#All],7,FALSE)</f>
        <v>1.7</v>
      </c>
      <c r="AJ69" s="199">
        <f>VLOOKUP(AH69,Places[#All],6,FALSE)/100000</f>
        <v>4.3470000000000002E-2</v>
      </c>
      <c r="AK69"/>
      <c r="AL69"/>
      <c r="AM69"/>
    </row>
    <row r="70" spans="1:39" x14ac:dyDescent="0.25">
      <c r="A70" t="s">
        <v>445</v>
      </c>
      <c r="B70">
        <f t="shared" si="6"/>
        <v>24</v>
      </c>
      <c r="C70">
        <f t="shared" si="7"/>
        <v>120</v>
      </c>
      <c r="D70"/>
      <c r="E70"/>
      <c r="F70" s="12"/>
      <c r="G70" s="12"/>
      <c r="I70"/>
      <c r="J70"/>
      <c r="K70"/>
      <c r="L70"/>
      <c r="M70"/>
      <c r="N70"/>
      <c r="O70"/>
      <c r="P70"/>
      <c r="Q70"/>
      <c r="R70"/>
      <c r="S70"/>
      <c r="T70"/>
      <c r="U70"/>
      <c r="W70"/>
      <c r="X70" s="44" t="s">
        <v>167</v>
      </c>
      <c r="Y70" s="199"/>
      <c r="Z70" s="199"/>
      <c r="AA70" s="199">
        <v>418323.2658227848</v>
      </c>
      <c r="AB70" s="199"/>
      <c r="AC70" s="199"/>
      <c r="AD70" s="199"/>
      <c r="AE70" s="199"/>
      <c r="AF70"/>
      <c r="AH70" t="str">
        <f t="shared" si="0"/>
        <v>Diamond Bar</v>
      </c>
      <c r="AI70" s="199">
        <f>VLOOKUP(AH70,Places[#All],7,FALSE)</f>
        <v>14.9</v>
      </c>
      <c r="AJ70" s="199">
        <f>VLOOKUP(AH70,Places[#All],6,FALSE)/100000</f>
        <v>0.56274999999999997</v>
      </c>
      <c r="AK70"/>
      <c r="AL70"/>
      <c r="AM70"/>
    </row>
    <row r="71" spans="1:39" x14ac:dyDescent="0.25">
      <c r="A71" t="s">
        <v>2098</v>
      </c>
      <c r="B71" t="str">
        <f t="shared" si="6"/>
        <v>**</v>
      </c>
      <c r="C71" t="str">
        <f t="shared" si="7"/>
        <v>**</v>
      </c>
      <c r="D71">
        <f>IF(ISERROR(D49),0,D49)</f>
        <v>0</v>
      </c>
      <c r="E71"/>
      <c r="F71" s="12"/>
      <c r="G71" s="12"/>
      <c r="I71"/>
      <c r="J71"/>
      <c r="K71"/>
      <c r="L71"/>
      <c r="M71"/>
      <c r="N71"/>
      <c r="O71"/>
      <c r="P71"/>
      <c r="Q71"/>
      <c r="R71"/>
      <c r="S71"/>
      <c r="T71"/>
      <c r="U71"/>
      <c r="W71"/>
      <c r="X71" s="44" t="s">
        <v>162</v>
      </c>
      <c r="Y71" s="199"/>
      <c r="Z71" s="199"/>
      <c r="AA71" s="199">
        <v>1351306.2480379746</v>
      </c>
      <c r="AB71" s="199"/>
      <c r="AC71" s="199"/>
      <c r="AD71" s="199"/>
      <c r="AE71" s="199"/>
      <c r="AF71"/>
      <c r="AH71" t="str">
        <f t="shared" si="0"/>
        <v>Downey</v>
      </c>
      <c r="AI71" s="199">
        <f>VLOOKUP(AH71,Places[#All],7,FALSE)</f>
        <v>12.4</v>
      </c>
      <c r="AJ71" s="199">
        <f>VLOOKUP(AH71,Places[#All],6,FALSE)/100000</f>
        <v>1.12269</v>
      </c>
      <c r="AK71"/>
      <c r="AL71"/>
      <c r="AM71"/>
    </row>
    <row r="72" spans="1:39" x14ac:dyDescent="0.25">
      <c r="A72" t="s">
        <v>1458</v>
      </c>
      <c r="B72" t="str">
        <f t="shared" si="6"/>
        <v>**</v>
      </c>
      <c r="C72" t="str">
        <f t="shared" si="7"/>
        <v>**</v>
      </c>
      <c r="D72"/>
      <c r="E72"/>
      <c r="F72" s="12"/>
      <c r="G72" s="12"/>
      <c r="I72"/>
      <c r="J72"/>
      <c r="K72"/>
      <c r="L72"/>
      <c r="M72"/>
      <c r="N72"/>
      <c r="O72"/>
      <c r="P72"/>
      <c r="Q72"/>
      <c r="R72"/>
      <c r="S72"/>
      <c r="T72"/>
      <c r="U72"/>
      <c r="W72"/>
      <c r="X72" s="44" t="s">
        <v>182</v>
      </c>
      <c r="Y72" s="199"/>
      <c r="Z72" s="199"/>
      <c r="AA72" s="199">
        <v>783453.64936708857</v>
      </c>
      <c r="AB72" s="199"/>
      <c r="AC72" s="199"/>
      <c r="AD72" s="199"/>
      <c r="AE72" s="199"/>
      <c r="AF72"/>
      <c r="AH72" t="str">
        <f t="shared" si="0"/>
        <v>Duarte</v>
      </c>
      <c r="AI72" s="199">
        <f>VLOOKUP(AH72,Places[#All],7,FALSE)</f>
        <v>6.7</v>
      </c>
      <c r="AJ72" s="199">
        <f>VLOOKUP(AH72,Places[#All],6,FALSE)/100000</f>
        <v>0.21526999999999999</v>
      </c>
      <c r="AK72"/>
      <c r="AL72"/>
      <c r="AM72"/>
    </row>
    <row r="73" spans="1:39" x14ac:dyDescent="0.25">
      <c r="A73" t="s">
        <v>2099</v>
      </c>
      <c r="B73">
        <f t="shared" si="6"/>
        <v>3.5</v>
      </c>
      <c r="C73">
        <f t="shared" si="7"/>
        <v>14</v>
      </c>
      <c r="D73">
        <f>IF(ISERROR(D51),0,D51)</f>
        <v>1</v>
      </c>
      <c r="E73"/>
      <c r="F73" s="12"/>
      <c r="G73" s="12"/>
      <c r="I73"/>
      <c r="J73"/>
      <c r="K73"/>
      <c r="L73"/>
      <c r="M73"/>
      <c r="N73"/>
      <c r="O73"/>
      <c r="P73"/>
      <c r="Q73"/>
      <c r="R73"/>
      <c r="S73"/>
      <c r="T73"/>
      <c r="U73"/>
      <c r="W73"/>
      <c r="X73" s="44" t="s">
        <v>231</v>
      </c>
      <c r="Y73" s="199"/>
      <c r="Z73" s="199"/>
      <c r="AA73" s="199"/>
      <c r="AB73" s="199"/>
      <c r="AC73" s="199"/>
      <c r="AD73" s="199">
        <v>145888.68152437502</v>
      </c>
      <c r="AE73" s="199"/>
      <c r="AF73"/>
      <c r="AH73" t="str">
        <f t="shared" si="0"/>
        <v>Eastvale</v>
      </c>
      <c r="AI73" s="199">
        <f>VLOOKUP(AH73,Places[#All],7,FALSE)</f>
        <v>12.7</v>
      </c>
      <c r="AJ73" s="199">
        <f>VLOOKUP(AH73,Places[#All],6,FALSE)/100000</f>
        <v>0.64822000000000002</v>
      </c>
      <c r="AK73"/>
      <c r="AL73"/>
      <c r="AM73"/>
    </row>
    <row r="74" spans="1:39" x14ac:dyDescent="0.25">
      <c r="A74" t="s">
        <v>1459</v>
      </c>
      <c r="B74" t="str">
        <f t="shared" si="6"/>
        <v>**</v>
      </c>
      <c r="C74" t="str">
        <f t="shared" si="7"/>
        <v>**</v>
      </c>
      <c r="D74"/>
      <c r="E74"/>
      <c r="F74" s="12"/>
      <c r="G74" s="12"/>
      <c r="I74"/>
      <c r="J74"/>
      <c r="K74"/>
      <c r="L74"/>
      <c r="M74"/>
      <c r="N74"/>
      <c r="O74"/>
      <c r="P74"/>
      <c r="Q74"/>
      <c r="R74"/>
      <c r="S74"/>
      <c r="T74"/>
      <c r="U74"/>
      <c r="W74"/>
      <c r="X74" s="44" t="s">
        <v>317</v>
      </c>
      <c r="Y74" s="199"/>
      <c r="Z74" s="199"/>
      <c r="AA74" s="199"/>
      <c r="AB74" s="199"/>
      <c r="AC74" s="199"/>
      <c r="AD74" s="199"/>
      <c r="AE74" s="199">
        <v>1599667.8540146882</v>
      </c>
      <c r="AF74"/>
      <c r="AH74" t="str">
        <f t="shared" si="0"/>
        <v>El Cajon</v>
      </c>
      <c r="AI74" s="199">
        <f>VLOOKUP(AH74,Places[#All],7,FALSE)</f>
        <v>14.5</v>
      </c>
      <c r="AJ74" s="199">
        <f>VLOOKUP(AH74,Places[#All],6,FALSE)/100000</f>
        <v>1.03241</v>
      </c>
      <c r="AK74"/>
      <c r="AL74"/>
      <c r="AM74"/>
    </row>
    <row r="75" spans="1:39" x14ac:dyDescent="0.25">
      <c r="A75" t="s">
        <v>2100</v>
      </c>
      <c r="B75">
        <f t="shared" si="6"/>
        <v>20</v>
      </c>
      <c r="C75">
        <f t="shared" si="7"/>
        <v>76</v>
      </c>
      <c r="D75">
        <f>IF(ISERROR(D53),0,D53)</f>
        <v>53</v>
      </c>
      <c r="E75"/>
      <c r="F75" s="12"/>
      <c r="G75" s="12"/>
      <c r="I75"/>
      <c r="J75"/>
      <c r="K75"/>
      <c r="L75"/>
      <c r="M75"/>
      <c r="N75"/>
      <c r="O75"/>
      <c r="P75"/>
      <c r="Q75"/>
      <c r="R75"/>
      <c r="S75"/>
      <c r="T75"/>
      <c r="U75"/>
      <c r="W75"/>
      <c r="X75" s="44" t="s">
        <v>16</v>
      </c>
      <c r="Y75" s="199"/>
      <c r="Z75" s="199"/>
      <c r="AA75" s="199"/>
      <c r="AB75" s="199"/>
      <c r="AC75" s="199">
        <v>153760.34354430379</v>
      </c>
      <c r="AD75" s="199"/>
      <c r="AE75" s="199"/>
      <c r="AF75"/>
      <c r="AH75" t="str">
        <f t="shared" si="0"/>
        <v>El Centro</v>
      </c>
      <c r="AI75" s="199">
        <f>VLOOKUP(AH75,Places[#All],7,FALSE)</f>
        <v>11.2</v>
      </c>
      <c r="AJ75" s="199">
        <f>VLOOKUP(AH75,Places[#All],6,FALSE)/100000</f>
        <v>0.44119999999999998</v>
      </c>
      <c r="AK75"/>
      <c r="AL75"/>
      <c r="AM75"/>
    </row>
    <row r="76" spans="1:39" x14ac:dyDescent="0.25">
      <c r="A76" t="s">
        <v>290</v>
      </c>
      <c r="B76">
        <f t="shared" si="6"/>
        <v>44</v>
      </c>
      <c r="C76">
        <f t="shared" si="7"/>
        <v>92</v>
      </c>
      <c r="D76"/>
      <c r="E76"/>
      <c r="F76" s="12"/>
      <c r="G76" s="12"/>
      <c r="I76"/>
      <c r="J76"/>
      <c r="K76"/>
      <c r="L76"/>
      <c r="M76"/>
      <c r="N76"/>
      <c r="O76"/>
      <c r="P76"/>
      <c r="Q76"/>
      <c r="R76"/>
      <c r="S76"/>
      <c r="T76"/>
      <c r="U76"/>
      <c r="W76"/>
      <c r="X76" s="44" t="s">
        <v>9</v>
      </c>
      <c r="Y76" s="199"/>
      <c r="Z76" s="199"/>
      <c r="AA76" s="199">
        <v>1488632.0082531644</v>
      </c>
      <c r="AB76" s="199"/>
      <c r="AC76" s="199"/>
      <c r="AD76" s="199"/>
      <c r="AE76" s="199"/>
      <c r="AF76"/>
      <c r="AH76" t="str">
        <f t="shared" si="0"/>
        <v>El Monte</v>
      </c>
      <c r="AI76" s="199">
        <f>VLOOKUP(AH76,Places[#All],7,FALSE)</f>
        <v>9.6</v>
      </c>
      <c r="AJ76" s="199">
        <f>VLOOKUP(AH76,Places[#All],6,FALSE)/100000</f>
        <v>1.1558600000000001</v>
      </c>
      <c r="AK76"/>
      <c r="AL76"/>
      <c r="AM76"/>
    </row>
    <row r="77" spans="1:39" x14ac:dyDescent="0.25">
      <c r="A77" t="s">
        <v>2101</v>
      </c>
      <c r="B77">
        <f t="shared" si="6"/>
        <v>40</v>
      </c>
      <c r="C77">
        <f t="shared" si="7"/>
        <v>160</v>
      </c>
      <c r="D77">
        <f>IF(ISERROR(D55),0,D55)</f>
        <v>30</v>
      </c>
      <c r="E77"/>
      <c r="F77" s="12"/>
      <c r="G77" s="12"/>
      <c r="I77"/>
      <c r="J77"/>
      <c r="K77"/>
      <c r="L77"/>
      <c r="M77"/>
      <c r="N77"/>
      <c r="O77"/>
      <c r="P77"/>
      <c r="Q77"/>
      <c r="R77"/>
      <c r="S77"/>
      <c r="T77"/>
      <c r="U77"/>
      <c r="W77"/>
      <c r="X77" s="44" t="s">
        <v>10</v>
      </c>
      <c r="Y77" s="199"/>
      <c r="Z77" s="199"/>
      <c r="AA77" s="199">
        <v>2425637.9012658228</v>
      </c>
      <c r="AB77" s="199"/>
      <c r="AC77" s="199"/>
      <c r="AD77" s="199"/>
      <c r="AE77" s="199"/>
      <c r="AF77"/>
      <c r="AH77" t="str">
        <f t="shared" si="0"/>
        <v>El Segundo</v>
      </c>
      <c r="AI77" s="199">
        <f>VLOOKUP(AH77,Places[#All],7,FALSE)</f>
        <v>5.5</v>
      </c>
      <c r="AJ77" s="199">
        <f>VLOOKUP(AH77,Places[#All],6,FALSE)/100000</f>
        <v>0.16719000000000001</v>
      </c>
      <c r="AK77"/>
      <c r="AL77"/>
      <c r="AM77"/>
    </row>
    <row r="78" spans="1:39" x14ac:dyDescent="0.25">
      <c r="A78" t="s">
        <v>21</v>
      </c>
      <c r="B78">
        <f t="shared" si="6"/>
        <v>44</v>
      </c>
      <c r="C78">
        <f t="shared" si="7"/>
        <v>230</v>
      </c>
      <c r="D78"/>
      <c r="E78"/>
      <c r="F78" s="12"/>
      <c r="G78" s="12"/>
      <c r="I78"/>
      <c r="J78"/>
      <c r="K78"/>
      <c r="L78"/>
      <c r="M78"/>
      <c r="N78"/>
      <c r="O78"/>
      <c r="P78"/>
      <c r="Q78"/>
      <c r="R78"/>
      <c r="S78"/>
      <c r="T78"/>
      <c r="U78"/>
      <c r="W78"/>
      <c r="X78" s="44" t="s">
        <v>125</v>
      </c>
      <c r="Y78" s="199"/>
      <c r="Z78" s="199"/>
      <c r="AA78" s="199"/>
      <c r="AB78" s="199">
        <v>966166.42218987341</v>
      </c>
      <c r="AC78" s="199"/>
      <c r="AD78" s="199"/>
      <c r="AE78" s="199"/>
      <c r="AF78"/>
      <c r="AH78" t="str">
        <f t="shared" si="0"/>
        <v>Elk Grove</v>
      </c>
      <c r="AI78" s="199">
        <f>VLOOKUP(AH78,Places[#All],7,FALSE)</f>
        <v>42.2</v>
      </c>
      <c r="AJ78" s="199">
        <f>VLOOKUP(AH78,Places[#All],6,FALSE)/100000</f>
        <v>1.7288600000000001</v>
      </c>
      <c r="AK78"/>
      <c r="AL78"/>
      <c r="AM78"/>
    </row>
    <row r="79" spans="1:39" x14ac:dyDescent="0.25">
      <c r="A79" t="s">
        <v>2080</v>
      </c>
      <c r="B79"/>
      <c r="C79"/>
      <c r="D79">
        <f>VLOOKUP("Grand Total",$A$28:$F$35,6,FALSE)</f>
        <v>170</v>
      </c>
      <c r="E79"/>
      <c r="F79" s="12"/>
      <c r="G79" s="12"/>
      <c r="I79"/>
      <c r="J79"/>
      <c r="K79"/>
      <c r="L79"/>
      <c r="M79"/>
      <c r="N79"/>
      <c r="O79"/>
      <c r="P79"/>
      <c r="Q79"/>
      <c r="R79"/>
      <c r="S79"/>
      <c r="T79"/>
      <c r="U79"/>
      <c r="W79"/>
      <c r="X79" s="44" t="s">
        <v>303</v>
      </c>
      <c r="Y79" s="199"/>
      <c r="Z79" s="199"/>
      <c r="AA79" s="199"/>
      <c r="AB79" s="199"/>
      <c r="AC79" s="199"/>
      <c r="AD79" s="199"/>
      <c r="AE79" s="199">
        <v>2611487.2954589967</v>
      </c>
      <c r="AF79"/>
      <c r="AH79" t="str">
        <f t="shared" si="0"/>
        <v>Encinitas</v>
      </c>
      <c r="AI79" s="199">
        <f>VLOOKUP(AH79,Places[#All],7,FALSE)</f>
        <v>18.8</v>
      </c>
      <c r="AJ79" s="199">
        <f>VLOOKUP(AH79,Places[#All],6,FALSE)/100000</f>
        <v>0.62904000000000004</v>
      </c>
      <c r="AK79"/>
      <c r="AL79"/>
      <c r="AM79"/>
    </row>
    <row r="80" spans="1:39" x14ac:dyDescent="0.25">
      <c r="A80"/>
      <c r="B80"/>
      <c r="C80"/>
      <c r="D80"/>
      <c r="E80"/>
      <c r="F80" s="12"/>
      <c r="G80" s="12"/>
      <c r="I80"/>
      <c r="J80"/>
      <c r="K80"/>
      <c r="L80"/>
      <c r="M80"/>
      <c r="N80"/>
      <c r="O80"/>
      <c r="P80"/>
      <c r="Q80"/>
      <c r="R80"/>
      <c r="S80"/>
      <c r="T80"/>
      <c r="U80"/>
      <c r="W80"/>
      <c r="X80" s="44" t="s">
        <v>304</v>
      </c>
      <c r="Y80" s="199"/>
      <c r="Z80" s="199"/>
      <c r="AA80" s="199"/>
      <c r="AB80" s="199"/>
      <c r="AC80" s="199"/>
      <c r="AD80" s="199"/>
      <c r="AE80" s="199">
        <v>1953828.9900367199</v>
      </c>
      <c r="AF80"/>
      <c r="AH80" t="str">
        <f t="shared" si="0"/>
        <v>Escondido</v>
      </c>
      <c r="AI80" s="199">
        <f>VLOOKUP(AH80,Places[#All],7,FALSE)</f>
        <v>37.1</v>
      </c>
      <c r="AJ80" s="199">
        <f>VLOOKUP(AH80,Places[#All],6,FALSE)/100000</f>
        <v>1.52213</v>
      </c>
      <c r="AK80"/>
      <c r="AL80"/>
      <c r="AM80"/>
    </row>
    <row r="81" spans="1:39" x14ac:dyDescent="0.25">
      <c r="A81"/>
      <c r="B81"/>
      <c r="C81"/>
      <c r="D81"/>
      <c r="E81"/>
      <c r="F81" s="12"/>
      <c r="G81" s="12"/>
      <c r="I81"/>
      <c r="J81"/>
      <c r="K81"/>
      <c r="L81"/>
      <c r="M81"/>
      <c r="N81"/>
      <c r="O81"/>
      <c r="P81"/>
      <c r="Q81"/>
      <c r="R81"/>
      <c r="S81"/>
      <c r="T81"/>
      <c r="U81"/>
      <c r="W81"/>
      <c r="X81" s="44" t="s">
        <v>126</v>
      </c>
      <c r="Y81" s="199"/>
      <c r="Z81" s="199"/>
      <c r="AA81" s="199"/>
      <c r="AB81" s="199">
        <v>875153.5067848101</v>
      </c>
      <c r="AC81" s="199"/>
      <c r="AD81" s="199"/>
      <c r="AE81" s="199"/>
      <c r="AF81"/>
      <c r="AH81" t="str">
        <f t="shared" si="0"/>
        <v>Folsom</v>
      </c>
      <c r="AI81" s="199">
        <f>VLOOKUP(AH81,Places[#All],7,FALSE)</f>
        <v>27.7</v>
      </c>
      <c r="AJ81" s="199">
        <f>VLOOKUP(AH81,Places[#All],6,FALSE)/100000</f>
        <v>0.79022000000000003</v>
      </c>
      <c r="AK81"/>
      <c r="AL81"/>
      <c r="AM81"/>
    </row>
    <row r="82" spans="1:39" x14ac:dyDescent="0.25">
      <c r="A82"/>
      <c r="B82"/>
      <c r="C82"/>
      <c r="D82"/>
      <c r="E82"/>
      <c r="F82" s="12"/>
      <c r="G82" s="12"/>
      <c r="I82"/>
      <c r="J82"/>
      <c r="K82"/>
      <c r="L82"/>
      <c r="M82"/>
      <c r="N82"/>
      <c r="O82"/>
      <c r="P82"/>
      <c r="Q82"/>
      <c r="R82"/>
      <c r="S82"/>
      <c r="T82"/>
      <c r="U82"/>
      <c r="W82"/>
      <c r="X82" s="44" t="s">
        <v>244</v>
      </c>
      <c r="Y82" s="199"/>
      <c r="Z82" s="199"/>
      <c r="AA82" s="199"/>
      <c r="AB82" s="199"/>
      <c r="AC82" s="199"/>
      <c r="AD82" s="199">
        <v>1895990.1517870724</v>
      </c>
      <c r="AE82" s="199"/>
      <c r="AF82"/>
      <c r="AH82" t="str">
        <f t="shared" si="0"/>
        <v>Fontana</v>
      </c>
      <c r="AI82" s="199">
        <f>VLOOKUP(AH82,Places[#All],7,FALSE)</f>
        <v>43</v>
      </c>
      <c r="AJ82" s="199">
        <f>VLOOKUP(AH82,Places[#All],6,FALSE)/100000</f>
        <v>2.1373899999999999</v>
      </c>
      <c r="AK82"/>
      <c r="AL82"/>
      <c r="AM82"/>
    </row>
    <row r="83" spans="1:39" x14ac:dyDescent="0.25">
      <c r="A83"/>
      <c r="B83"/>
      <c r="C83"/>
      <c r="D83"/>
      <c r="E83"/>
      <c r="F83" s="12"/>
      <c r="G83" s="12"/>
      <c r="I83"/>
      <c r="J83"/>
      <c r="K83"/>
      <c r="L83"/>
      <c r="M83"/>
      <c r="N83"/>
      <c r="O83"/>
      <c r="P83"/>
      <c r="Q83"/>
      <c r="R83"/>
      <c r="S83"/>
      <c r="T83"/>
      <c r="U83"/>
      <c r="W83"/>
      <c r="X83" s="44" t="s">
        <v>271</v>
      </c>
      <c r="Y83" s="199"/>
      <c r="Z83" s="199"/>
      <c r="AA83" s="199"/>
      <c r="AB83" s="199"/>
      <c r="AC83" s="199"/>
      <c r="AD83" s="199">
        <v>2609821.2514624507</v>
      </c>
      <c r="AE83" s="199"/>
      <c r="AF83"/>
      <c r="AH83" t="str">
        <f t="shared" si="0"/>
        <v>Fountain Valley</v>
      </c>
      <c r="AI83" s="199">
        <f>VLOOKUP(AH83,Places[#All],7,FALSE)</f>
        <v>9.1</v>
      </c>
      <c r="AJ83" s="199">
        <f>VLOOKUP(AH83,Places[#All],6,FALSE)/100000</f>
        <v>0.55813999999999997</v>
      </c>
      <c r="AK83"/>
      <c r="AL83"/>
      <c r="AM83"/>
    </row>
    <row r="84" spans="1:39" x14ac:dyDescent="0.25">
      <c r="A84"/>
      <c r="B84"/>
      <c r="C84"/>
      <c r="D84"/>
      <c r="E84"/>
      <c r="F84" s="12"/>
      <c r="G84" s="12"/>
      <c r="I84"/>
      <c r="J84"/>
      <c r="K84"/>
      <c r="L84"/>
      <c r="M84"/>
      <c r="N84"/>
      <c r="O84"/>
      <c r="P84"/>
      <c r="Q84"/>
      <c r="R84"/>
      <c r="S84"/>
      <c r="T84"/>
      <c r="U84"/>
      <c r="W84"/>
      <c r="X84" s="44" t="s">
        <v>121</v>
      </c>
      <c r="Y84" s="199"/>
      <c r="Z84" s="199"/>
      <c r="AA84" s="199"/>
      <c r="AB84" s="199">
        <v>10886431.928962024</v>
      </c>
      <c r="AC84" s="199"/>
      <c r="AD84" s="199"/>
      <c r="AE84" s="199"/>
      <c r="AF84"/>
      <c r="AH84" t="str">
        <f t="shared" si="0"/>
        <v>Fresno</v>
      </c>
      <c r="AI84" s="199">
        <f>VLOOKUP(AH84,Places[#All],7,FALSE)</f>
        <v>114.4</v>
      </c>
      <c r="AJ84" s="199">
        <f>VLOOKUP(AH84,Places[#All],6,FALSE)/100000</f>
        <v>5.3009300000000001</v>
      </c>
      <c r="AK84"/>
      <c r="AL84"/>
      <c r="AM84"/>
    </row>
    <row r="85" spans="1:39" x14ac:dyDescent="0.25">
      <c r="A85"/>
      <c r="B85"/>
      <c r="C85"/>
      <c r="D85"/>
      <c r="E85"/>
      <c r="F85" s="12"/>
      <c r="G85" s="12"/>
      <c r="I85"/>
      <c r="J85"/>
      <c r="K85"/>
      <c r="L85"/>
      <c r="M85"/>
      <c r="N85"/>
      <c r="O85"/>
      <c r="P85"/>
      <c r="Q85"/>
      <c r="R85"/>
      <c r="S85"/>
      <c r="T85"/>
      <c r="U85"/>
      <c r="W85"/>
      <c r="X85" s="44" t="s">
        <v>272</v>
      </c>
      <c r="Y85" s="199"/>
      <c r="Z85" s="199"/>
      <c r="AA85" s="199"/>
      <c r="AB85" s="199"/>
      <c r="AC85" s="199"/>
      <c r="AD85" s="199">
        <v>2358936.1931620552</v>
      </c>
      <c r="AE85" s="199"/>
      <c r="AF85"/>
      <c r="AH85" t="str">
        <f t="shared" si="0"/>
        <v>Fullerton</v>
      </c>
      <c r="AI85" s="199">
        <f>VLOOKUP(AH85,Places[#All],7,FALSE)</f>
        <v>22.4</v>
      </c>
      <c r="AJ85" s="199">
        <f>VLOOKUP(AH85,Places[#All],6,FALSE)/100000</f>
        <v>1.3964000000000001</v>
      </c>
      <c r="AK85"/>
      <c r="AL85"/>
      <c r="AM85"/>
    </row>
    <row r="86" spans="1:39" x14ac:dyDescent="0.25">
      <c r="A86"/>
      <c r="B86"/>
      <c r="C86"/>
      <c r="D86"/>
      <c r="E86"/>
      <c r="F86" s="12"/>
      <c r="G86" s="12"/>
      <c r="I86"/>
      <c r="J86"/>
      <c r="K86"/>
      <c r="L86"/>
      <c r="M86"/>
      <c r="N86"/>
      <c r="O86"/>
      <c r="P86"/>
      <c r="Q86"/>
      <c r="R86"/>
      <c r="S86"/>
      <c r="T86"/>
      <c r="U86"/>
      <c r="W86"/>
      <c r="X86" s="44" t="s">
        <v>273</v>
      </c>
      <c r="Y86" s="199"/>
      <c r="Z86" s="199"/>
      <c r="AA86" s="199"/>
      <c r="AB86" s="199"/>
      <c r="AC86" s="199"/>
      <c r="AD86" s="199">
        <v>1683421.335889328</v>
      </c>
      <c r="AE86" s="199"/>
      <c r="AF86"/>
      <c r="AH86" t="str">
        <f t="shared" si="0"/>
        <v>Garden Grove</v>
      </c>
      <c r="AI86" s="199">
        <f>VLOOKUP(AH86,Places[#All],7,FALSE)</f>
        <v>18</v>
      </c>
      <c r="AJ86" s="199">
        <f>VLOOKUP(AH86,Places[#All],6,FALSE)/100000</f>
        <v>1.7264600000000001</v>
      </c>
      <c r="AK86"/>
      <c r="AL86"/>
      <c r="AM86"/>
    </row>
    <row r="87" spans="1:39" x14ac:dyDescent="0.25">
      <c r="A87"/>
      <c r="B87"/>
      <c r="C87"/>
      <c r="D87"/>
      <c r="E87"/>
      <c r="F87" s="12"/>
      <c r="G87" s="12"/>
      <c r="I87"/>
      <c r="J87"/>
      <c r="K87"/>
      <c r="L87"/>
      <c r="M87"/>
      <c r="N87"/>
      <c r="O87"/>
      <c r="P87"/>
      <c r="Q87"/>
      <c r="R87"/>
      <c r="S87"/>
      <c r="T87"/>
      <c r="U87"/>
      <c r="W87"/>
      <c r="X87" s="44" t="s">
        <v>155</v>
      </c>
      <c r="Y87" s="199"/>
      <c r="Z87" s="199"/>
      <c r="AA87" s="199">
        <v>847733.15992405056</v>
      </c>
      <c r="AB87" s="199"/>
      <c r="AC87" s="199"/>
      <c r="AD87" s="199"/>
      <c r="AE87" s="199"/>
      <c r="AF87"/>
      <c r="AH87" t="str">
        <f t="shared" si="0"/>
        <v>Gardena</v>
      </c>
      <c r="AI87" s="199">
        <f>VLOOKUP(AH87,Places[#All],7,FALSE)</f>
        <v>5.8</v>
      </c>
      <c r="AJ87" s="199">
        <f>VLOOKUP(AH87,Places[#All],6,FALSE)/100000</f>
        <v>0.59721000000000002</v>
      </c>
      <c r="AK87"/>
      <c r="AL87"/>
      <c r="AM87"/>
    </row>
    <row r="88" spans="1:39" x14ac:dyDescent="0.25">
      <c r="A88"/>
      <c r="B88"/>
      <c r="C88"/>
      <c r="D88"/>
      <c r="E88"/>
      <c r="F88" s="12"/>
      <c r="G88" s="12"/>
      <c r="I88"/>
      <c r="J88"/>
      <c r="K88"/>
      <c r="L88"/>
      <c r="M88"/>
      <c r="N88"/>
      <c r="O88"/>
      <c r="P88"/>
      <c r="Q88"/>
      <c r="R88"/>
      <c r="S88"/>
      <c r="T88"/>
      <c r="U88"/>
      <c r="W88"/>
      <c r="X88" s="44" t="s">
        <v>189</v>
      </c>
      <c r="Y88" s="199"/>
      <c r="Z88" s="199"/>
      <c r="AA88" s="199">
        <v>767633.81012658228</v>
      </c>
      <c r="AB88" s="199"/>
      <c r="AC88" s="199"/>
      <c r="AD88" s="199"/>
      <c r="AE88" s="199"/>
      <c r="AF88"/>
      <c r="AH88" t="str">
        <f t="shared" si="0"/>
        <v>Glendale</v>
      </c>
      <c r="AI88" s="199">
        <f>VLOOKUP(AH88,Places[#All],7,FALSE)</f>
        <v>30.4</v>
      </c>
      <c r="AJ88" s="199">
        <f>VLOOKUP(AH88,Places[#All],6,FALSE)/100000</f>
        <v>2.0136099999999999</v>
      </c>
      <c r="AK88"/>
      <c r="AL88"/>
      <c r="AM88"/>
    </row>
    <row r="89" spans="1:39" x14ac:dyDescent="0.25">
      <c r="A89"/>
      <c r="B89"/>
      <c r="C89"/>
      <c r="D89"/>
      <c r="E89"/>
      <c r="F89" s="12"/>
      <c r="G89" s="12"/>
      <c r="I89"/>
      <c r="J89"/>
      <c r="K89"/>
      <c r="L89"/>
      <c r="M89"/>
      <c r="N89"/>
      <c r="O89"/>
      <c r="P89"/>
      <c r="Q89"/>
      <c r="R89"/>
      <c r="S89"/>
      <c r="T89"/>
      <c r="U89"/>
      <c r="W89"/>
      <c r="X89" s="44" t="s">
        <v>202</v>
      </c>
      <c r="Y89" s="199"/>
      <c r="Z89" s="199"/>
      <c r="AA89" s="199">
        <v>498484.19620253163</v>
      </c>
      <c r="AB89" s="199"/>
      <c r="AC89" s="199"/>
      <c r="AD89" s="199"/>
      <c r="AE89" s="199"/>
      <c r="AF89"/>
      <c r="AH89" t="str">
        <f t="shared" si="0"/>
        <v>Glendora</v>
      </c>
      <c r="AI89" s="199">
        <f>VLOOKUP(AH89,Places[#All],7,FALSE)</f>
        <v>19.399999999999999</v>
      </c>
      <c r="AJ89" s="199">
        <f>VLOOKUP(AH89,Places[#All],6,FALSE)/100000</f>
        <v>0.52002000000000004</v>
      </c>
      <c r="AK89"/>
      <c r="AL89"/>
      <c r="AM89"/>
    </row>
    <row r="90" spans="1:39" x14ac:dyDescent="0.25">
      <c r="A90"/>
      <c r="B90"/>
      <c r="C90"/>
      <c r="D90"/>
      <c r="E90"/>
      <c r="F90" s="12"/>
      <c r="G90" s="12"/>
      <c r="I90"/>
      <c r="J90"/>
      <c r="K90"/>
      <c r="L90"/>
      <c r="M90"/>
      <c r="N90"/>
      <c r="O90"/>
      <c r="P90"/>
      <c r="Q90"/>
      <c r="R90"/>
      <c r="S90"/>
      <c r="T90"/>
      <c r="U90"/>
      <c r="W90"/>
      <c r="X90" s="44" t="s">
        <v>17</v>
      </c>
      <c r="Y90" s="199"/>
      <c r="Z90" s="199"/>
      <c r="AA90" s="199"/>
      <c r="AB90" s="199"/>
      <c r="AC90" s="199"/>
      <c r="AD90" s="199">
        <v>131400.92152091255</v>
      </c>
      <c r="AE90" s="199"/>
      <c r="AF90"/>
      <c r="AH90" t="str">
        <f t="shared" si="0"/>
        <v>Grand Terrace</v>
      </c>
      <c r="AI90" s="199">
        <f>VLOOKUP(AH90,Places[#All],7,FALSE)</f>
        <v>3.5</v>
      </c>
      <c r="AJ90" s="199">
        <f>VLOOKUP(AH90,Places[#All],6,FALSE)/100000</f>
        <v>0.12584000000000001</v>
      </c>
      <c r="AK90"/>
      <c r="AL90"/>
      <c r="AM90"/>
    </row>
    <row r="91" spans="1:39" x14ac:dyDescent="0.25">
      <c r="A91"/>
      <c r="B91"/>
      <c r="C91"/>
      <c r="D91"/>
      <c r="E91"/>
      <c r="F91" s="12"/>
      <c r="G91" s="12"/>
      <c r="I91"/>
      <c r="J91"/>
      <c r="K91"/>
      <c r="L91"/>
      <c r="M91"/>
      <c r="N91"/>
      <c r="O91"/>
      <c r="P91"/>
      <c r="Q91"/>
      <c r="R91"/>
      <c r="S91"/>
      <c r="T91"/>
      <c r="U91"/>
      <c r="W91"/>
      <c r="X91" s="44" t="s">
        <v>168</v>
      </c>
      <c r="Y91" s="199"/>
      <c r="Z91" s="199"/>
      <c r="AA91" s="199">
        <v>119445.09493670885</v>
      </c>
      <c r="AB91" s="199"/>
      <c r="AC91" s="199"/>
      <c r="AD91" s="199"/>
      <c r="AE91" s="199"/>
      <c r="AF91"/>
      <c r="AH91" t="str">
        <f t="shared" si="0"/>
        <v>Hawaiian Gardens</v>
      </c>
      <c r="AI91" s="199">
        <f>VLOOKUP(AH91,Places[#All],7,FALSE)</f>
        <v>0.9</v>
      </c>
      <c r="AJ91" s="199">
        <f>VLOOKUP(AH91,Places[#All],6,FALSE)/100000</f>
        <v>0.14315</v>
      </c>
      <c r="AK91"/>
      <c r="AL91"/>
      <c r="AM91"/>
    </row>
    <row r="92" spans="1:39" x14ac:dyDescent="0.25">
      <c r="A92"/>
      <c r="B92"/>
      <c r="C92"/>
      <c r="D92"/>
      <c r="E92"/>
      <c r="F92" s="12"/>
      <c r="G92" s="12"/>
      <c r="I92"/>
      <c r="J92"/>
      <c r="K92"/>
      <c r="L92"/>
      <c r="M92"/>
      <c r="N92"/>
      <c r="O92"/>
      <c r="P92"/>
      <c r="Q92"/>
      <c r="R92"/>
      <c r="S92"/>
      <c r="T92"/>
      <c r="U92"/>
      <c r="W92"/>
      <c r="X92" s="44" t="s">
        <v>222</v>
      </c>
      <c r="Y92" s="199"/>
      <c r="Z92" s="199"/>
      <c r="AA92" s="199">
        <v>1212500.4303797467</v>
      </c>
      <c r="AB92" s="199"/>
      <c r="AC92" s="199"/>
      <c r="AD92" s="199"/>
      <c r="AE92" s="199"/>
      <c r="AF92"/>
      <c r="AH92" t="str">
        <f t="shared" si="0"/>
        <v>Hawthorne</v>
      </c>
      <c r="AI92" s="199">
        <f>VLOOKUP(AH92,Places[#All],7,FALSE)</f>
        <v>6.1</v>
      </c>
      <c r="AJ92" s="199">
        <f>VLOOKUP(AH92,Places[#All],6,FALSE)/100000</f>
        <v>0.86965000000000003</v>
      </c>
      <c r="AK92"/>
      <c r="AL92"/>
      <c r="AM92"/>
    </row>
    <row r="93" spans="1:39" x14ac:dyDescent="0.25">
      <c r="A93"/>
      <c r="B93"/>
      <c r="C93"/>
      <c r="D93"/>
      <c r="E93"/>
      <c r="F93" s="12"/>
      <c r="G93" s="12"/>
      <c r="I93"/>
      <c r="J93"/>
      <c r="K93"/>
      <c r="L93"/>
      <c r="M93"/>
      <c r="N93"/>
      <c r="O93"/>
      <c r="P93"/>
      <c r="Q93"/>
      <c r="R93"/>
      <c r="S93"/>
      <c r="T93"/>
      <c r="U93"/>
      <c r="W93"/>
      <c r="X93" s="44" t="s">
        <v>232</v>
      </c>
      <c r="Y93" s="199"/>
      <c r="Z93" s="199"/>
      <c r="AA93" s="199"/>
      <c r="AB93" s="199"/>
      <c r="AC93" s="199"/>
      <c r="AD93" s="199">
        <v>918723.73720199999</v>
      </c>
      <c r="AE93" s="199"/>
      <c r="AF93"/>
      <c r="AH93" t="str">
        <f t="shared" si="0"/>
        <v>Hemet</v>
      </c>
      <c r="AI93" s="199">
        <f>VLOOKUP(AH93,Places[#All],7,FALSE)</f>
        <v>27.7</v>
      </c>
      <c r="AJ93" s="199">
        <f>VLOOKUP(AH93,Places[#All],6,FALSE)/100000</f>
        <v>0.85275000000000001</v>
      </c>
      <c r="AK93"/>
      <c r="AL93"/>
      <c r="AM93"/>
    </row>
    <row r="94" spans="1:39" x14ac:dyDescent="0.25">
      <c r="A94"/>
      <c r="B94"/>
      <c r="C94"/>
      <c r="D94"/>
      <c r="E94"/>
      <c r="F94" s="12"/>
      <c r="G94" s="12"/>
      <c r="I94"/>
      <c r="J94"/>
      <c r="K94"/>
      <c r="L94"/>
      <c r="M94"/>
      <c r="N94"/>
      <c r="O94"/>
      <c r="P94"/>
      <c r="Q94"/>
      <c r="R94"/>
      <c r="S94"/>
      <c r="T94"/>
      <c r="U94"/>
      <c r="W94"/>
      <c r="X94" s="44" t="s">
        <v>146</v>
      </c>
      <c r="Y94" s="199"/>
      <c r="Z94" s="199"/>
      <c r="AA94" s="199">
        <v>754217.73706329113</v>
      </c>
      <c r="AB94" s="199"/>
      <c r="AC94" s="199"/>
      <c r="AD94" s="199"/>
      <c r="AE94" s="199"/>
      <c r="AF94"/>
      <c r="AH94" t="str">
        <f t="shared" ref="AH94:AH157" si="8">X94</f>
        <v>Hermosa Beach</v>
      </c>
      <c r="AI94" s="199">
        <f>VLOOKUP(AH94,Places[#All],7,FALSE)</f>
        <v>1.4</v>
      </c>
      <c r="AJ94" s="199">
        <f>VLOOKUP(AH94,Places[#All],6,FALSE)/100000</f>
        <v>0.19464999999999999</v>
      </c>
      <c r="AK94"/>
      <c r="AL94"/>
      <c r="AM94"/>
    </row>
    <row r="95" spans="1:39" x14ac:dyDescent="0.25">
      <c r="A95"/>
      <c r="B95"/>
      <c r="C95"/>
      <c r="D95"/>
      <c r="E95"/>
      <c r="F95" s="12"/>
      <c r="G95" s="12"/>
      <c r="I95"/>
      <c r="J95"/>
      <c r="K95"/>
      <c r="L95"/>
      <c r="M95"/>
      <c r="N95"/>
      <c r="O95"/>
      <c r="P95"/>
      <c r="Q95"/>
      <c r="R95"/>
      <c r="S95"/>
      <c r="T95"/>
      <c r="U95"/>
      <c r="W95"/>
      <c r="X95" s="44" t="s">
        <v>173</v>
      </c>
      <c r="Y95" s="199"/>
      <c r="Z95" s="199"/>
      <c r="AA95" s="199">
        <v>119531.09540506329</v>
      </c>
      <c r="AB95" s="199"/>
      <c r="AC95" s="199"/>
      <c r="AD95" s="199"/>
      <c r="AE95" s="199"/>
      <c r="AF95"/>
      <c r="AH95" t="str">
        <f t="shared" si="8"/>
        <v>Hidden Hills</v>
      </c>
      <c r="AI95" s="199">
        <f>VLOOKUP(AH95,Places[#All],7,FALSE)</f>
        <v>1.7</v>
      </c>
      <c r="AJ95" s="199">
        <f>VLOOKUP(AH95,Places[#All],6,FALSE)/100000</f>
        <v>1.898E-2</v>
      </c>
      <c r="AK95"/>
      <c r="AL95"/>
      <c r="AM95"/>
    </row>
    <row r="96" spans="1:39" x14ac:dyDescent="0.25">
      <c r="A96"/>
      <c r="B96"/>
      <c r="C96"/>
      <c r="D96"/>
      <c r="E96"/>
      <c r="F96" s="12"/>
      <c r="G96" s="12"/>
      <c r="I96"/>
      <c r="J96"/>
      <c r="K96"/>
      <c r="L96"/>
      <c r="M96"/>
      <c r="N96"/>
      <c r="O96"/>
      <c r="P96"/>
      <c r="Q96"/>
      <c r="R96"/>
      <c r="S96"/>
      <c r="T96"/>
      <c r="U96"/>
      <c r="W96"/>
      <c r="X96" s="44" t="s">
        <v>245</v>
      </c>
      <c r="Y96" s="199"/>
      <c r="Z96" s="199"/>
      <c r="AA96" s="199"/>
      <c r="AB96" s="199"/>
      <c r="AC96" s="199"/>
      <c r="AD96" s="199">
        <v>562900.77946768061</v>
      </c>
      <c r="AE96" s="199"/>
      <c r="AF96"/>
      <c r="AH96" t="str">
        <f t="shared" si="8"/>
        <v>Highland</v>
      </c>
      <c r="AI96" s="199">
        <f>VLOOKUP(AH96,Places[#All],7,FALSE)</f>
        <v>18.8</v>
      </c>
      <c r="AJ96" s="199">
        <f>VLOOKUP(AH96,Places[#All],6,FALSE)/100000</f>
        <v>0.55406</v>
      </c>
      <c r="AK96"/>
      <c r="AL96"/>
      <c r="AM96"/>
    </row>
    <row r="97" spans="1:39" x14ac:dyDescent="0.25">
      <c r="A97"/>
      <c r="B97"/>
      <c r="C97"/>
      <c r="D97"/>
      <c r="E97"/>
      <c r="F97" s="12"/>
      <c r="G97" s="12"/>
      <c r="I97"/>
      <c r="J97"/>
      <c r="K97"/>
      <c r="L97"/>
      <c r="M97"/>
      <c r="N97"/>
      <c r="O97"/>
      <c r="P97"/>
      <c r="Q97"/>
      <c r="R97"/>
      <c r="S97"/>
      <c r="T97"/>
      <c r="U97"/>
      <c r="W97"/>
      <c r="X97" s="44" t="s">
        <v>274</v>
      </c>
      <c r="Y97" s="199"/>
      <c r="Z97" s="199"/>
      <c r="AA97" s="199"/>
      <c r="AB97" s="199"/>
      <c r="AC97" s="199"/>
      <c r="AD97" s="199">
        <v>12523295.5053642</v>
      </c>
      <c r="AE97" s="199"/>
      <c r="AF97"/>
      <c r="AH97" t="str">
        <f t="shared" si="8"/>
        <v>Huntington Beach</v>
      </c>
      <c r="AI97" s="199">
        <f>VLOOKUP(AH97,Places[#All],7,FALSE)</f>
        <v>26.9</v>
      </c>
      <c r="AJ97" s="199">
        <f>VLOOKUP(AH97,Places[#All],6,FALSE)/100000</f>
        <v>2.0064099999999998</v>
      </c>
      <c r="AK97"/>
      <c r="AL97"/>
      <c r="AM97"/>
    </row>
    <row r="98" spans="1:39" x14ac:dyDescent="0.25">
      <c r="A98"/>
      <c r="B98"/>
      <c r="C98"/>
      <c r="D98"/>
      <c r="E98"/>
      <c r="F98" s="12"/>
      <c r="G98" s="12"/>
      <c r="I98"/>
      <c r="J98"/>
      <c r="K98"/>
      <c r="L98"/>
      <c r="M98"/>
      <c r="N98"/>
      <c r="O98"/>
      <c r="P98"/>
      <c r="Q98"/>
      <c r="R98"/>
      <c r="S98"/>
      <c r="T98"/>
      <c r="U98"/>
      <c r="W98"/>
      <c r="X98" s="44" t="s">
        <v>312</v>
      </c>
      <c r="Y98" s="199"/>
      <c r="Z98" s="199"/>
      <c r="AA98" s="199"/>
      <c r="AB98" s="199"/>
      <c r="AC98" s="199"/>
      <c r="AD98" s="199"/>
      <c r="AE98" s="199">
        <v>5435158.7614075895</v>
      </c>
      <c r="AF98"/>
      <c r="AH98" t="str">
        <f t="shared" si="8"/>
        <v>Imperial Beach</v>
      </c>
      <c r="AI98" s="199">
        <f>VLOOKUP(AH98,Places[#All],7,FALSE)</f>
        <v>4.2</v>
      </c>
      <c r="AJ98" s="199">
        <f>VLOOKUP(AH98,Places[#All],6,FALSE)/100000</f>
        <v>0.27446999999999999</v>
      </c>
      <c r="AK98"/>
      <c r="AL98"/>
      <c r="AM98"/>
    </row>
    <row r="99" spans="1:39" x14ac:dyDescent="0.25">
      <c r="A99"/>
      <c r="B99"/>
      <c r="C99"/>
      <c r="D99"/>
      <c r="E99"/>
      <c r="F99" s="12"/>
      <c r="G99" s="12"/>
      <c r="I99"/>
      <c r="J99"/>
      <c r="K99"/>
      <c r="L99"/>
      <c r="M99"/>
      <c r="N99"/>
      <c r="O99"/>
      <c r="P99"/>
      <c r="Q99"/>
      <c r="R99"/>
      <c r="S99"/>
      <c r="T99"/>
      <c r="U99"/>
      <c r="W99"/>
      <c r="X99" s="44" t="s">
        <v>223</v>
      </c>
      <c r="Y99" s="199"/>
      <c r="Z99" s="199"/>
      <c r="AA99" s="199">
        <v>2651734.1943037971</v>
      </c>
      <c r="AB99" s="199"/>
      <c r="AC99" s="199"/>
      <c r="AD99" s="199"/>
      <c r="AE99" s="199"/>
      <c r="AF99"/>
      <c r="AH99" t="str">
        <f t="shared" si="8"/>
        <v>Inglewood</v>
      </c>
      <c r="AI99" s="199">
        <f>VLOOKUP(AH99,Places[#All],7,FALSE)</f>
        <v>9.1</v>
      </c>
      <c r="AJ99" s="199">
        <f>VLOOKUP(AH99,Places[#All],6,FALSE)/100000</f>
        <v>1.09419</v>
      </c>
      <c r="AK99"/>
      <c r="AL99"/>
      <c r="AM99"/>
    </row>
    <row r="100" spans="1:39" x14ac:dyDescent="0.25">
      <c r="A100"/>
      <c r="B100"/>
      <c r="C100"/>
      <c r="D100"/>
      <c r="E100"/>
      <c r="F100" s="12"/>
      <c r="G100" s="12"/>
      <c r="I100"/>
      <c r="J100"/>
      <c r="K100"/>
      <c r="L100"/>
      <c r="M100"/>
      <c r="N100"/>
      <c r="O100"/>
      <c r="P100"/>
      <c r="Q100"/>
      <c r="R100"/>
      <c r="S100"/>
      <c r="T100"/>
      <c r="U100"/>
      <c r="W100"/>
      <c r="X100" s="44" t="s">
        <v>275</v>
      </c>
      <c r="Y100" s="199"/>
      <c r="Z100" s="199"/>
      <c r="AA100" s="199"/>
      <c r="AB100" s="199"/>
      <c r="AC100" s="199"/>
      <c r="AD100" s="199">
        <v>3572387.2623150763</v>
      </c>
      <c r="AE100" s="199"/>
      <c r="AF100"/>
      <c r="AH100" t="str">
        <f t="shared" si="8"/>
        <v>Irvine</v>
      </c>
      <c r="AI100" s="199">
        <f>VLOOKUP(AH100,Places[#All],7,FALSE)</f>
        <v>65.599999999999994</v>
      </c>
      <c r="AJ100" s="199">
        <f>VLOOKUP(AH100,Places[#All],6,FALSE)/100000</f>
        <v>2.82572</v>
      </c>
      <c r="AK100"/>
      <c r="AL100"/>
      <c r="AM100"/>
    </row>
    <row r="101" spans="1:39" x14ac:dyDescent="0.25">
      <c r="A101"/>
      <c r="B101"/>
      <c r="C101"/>
      <c r="D101"/>
      <c r="E101"/>
      <c r="F101" s="12"/>
      <c r="G101" s="12"/>
      <c r="I101"/>
      <c r="J101"/>
      <c r="K101"/>
      <c r="L101"/>
      <c r="M101"/>
      <c r="N101"/>
      <c r="O101"/>
      <c r="P101"/>
      <c r="Q101"/>
      <c r="R101"/>
      <c r="S101"/>
      <c r="T101"/>
      <c r="U101"/>
      <c r="W101"/>
      <c r="X101" s="44" t="s">
        <v>156</v>
      </c>
      <c r="Y101" s="199"/>
      <c r="Z101" s="199"/>
      <c r="AA101" s="199">
        <v>530965.45827911387</v>
      </c>
      <c r="AB101" s="199"/>
      <c r="AC101" s="199"/>
      <c r="AD101" s="199"/>
      <c r="AE101" s="199"/>
      <c r="AF101"/>
      <c r="AH101" t="str">
        <f t="shared" si="8"/>
        <v>Irwindale</v>
      </c>
      <c r="AI101" s="199">
        <f>VLOOKUP(AH101,Places[#All],7,FALSE)</f>
        <v>8.8000000000000007</v>
      </c>
      <c r="AJ101" s="199">
        <f>VLOOKUP(AH101,Places[#All],6,FALSE)/100000</f>
        <v>1.4630000000000001E-2</v>
      </c>
      <c r="AK101"/>
      <c r="AL101"/>
      <c r="AM101"/>
    </row>
    <row r="102" spans="1:39" x14ac:dyDescent="0.25">
      <c r="A102"/>
      <c r="B102"/>
      <c r="C102"/>
      <c r="D102"/>
      <c r="E102"/>
      <c r="F102" s="12"/>
      <c r="G102" s="12"/>
      <c r="I102"/>
      <c r="J102"/>
      <c r="K102"/>
      <c r="L102"/>
      <c r="M102"/>
      <c r="N102"/>
      <c r="O102"/>
      <c r="P102"/>
      <c r="Q102"/>
      <c r="R102"/>
      <c r="S102"/>
      <c r="T102"/>
      <c r="U102"/>
      <c r="W102"/>
      <c r="X102" s="44" t="s">
        <v>233</v>
      </c>
      <c r="Y102" s="199"/>
      <c r="Z102" s="199"/>
      <c r="AA102" s="199"/>
      <c r="AB102" s="199"/>
      <c r="AC102" s="199"/>
      <c r="AD102" s="199">
        <v>533143.18125000002</v>
      </c>
      <c r="AE102" s="199"/>
      <c r="AF102"/>
      <c r="AH102" t="str">
        <f t="shared" si="8"/>
        <v>Jurupa Valley</v>
      </c>
      <c r="AI102" s="199">
        <f>VLOOKUP(AH102,Places[#All],7,FALSE)</f>
        <v>42.9</v>
      </c>
      <c r="AJ102" s="199">
        <f>VLOOKUP(AH102,Places[#All],6,FALSE)/100000</f>
        <v>1.0839300000000001</v>
      </c>
      <c r="AK102"/>
      <c r="AL102"/>
      <c r="AM102"/>
    </row>
    <row r="103" spans="1:39" x14ac:dyDescent="0.25">
      <c r="A103"/>
      <c r="B103"/>
      <c r="C103"/>
      <c r="D103"/>
      <c r="E103"/>
      <c r="F103" s="12"/>
      <c r="G103" s="12"/>
      <c r="I103"/>
      <c r="J103"/>
      <c r="K103"/>
      <c r="L103"/>
      <c r="M103"/>
      <c r="N103"/>
      <c r="O103"/>
      <c r="P103"/>
      <c r="Q103"/>
      <c r="R103"/>
      <c r="S103"/>
      <c r="T103"/>
      <c r="U103"/>
      <c r="W103"/>
      <c r="X103" s="44" t="s">
        <v>190</v>
      </c>
      <c r="Y103" s="199"/>
      <c r="Z103" s="199"/>
      <c r="AA103" s="199">
        <v>535470.76799999992</v>
      </c>
      <c r="AB103" s="199"/>
      <c r="AC103" s="199"/>
      <c r="AD103" s="199"/>
      <c r="AE103" s="199"/>
      <c r="AF103"/>
      <c r="AH103" t="str">
        <f t="shared" si="8"/>
        <v>La Canada Flintridge</v>
      </c>
      <c r="AI103" s="199">
        <f>VLOOKUP(AH103,Places[#All],7,FALSE)</f>
        <v>8.6</v>
      </c>
      <c r="AJ103" s="199">
        <f>VLOOKUP(AH103,Places[#All],6,FALSE)/100000</f>
        <v>0.20227000000000001</v>
      </c>
      <c r="AK103"/>
      <c r="AL103"/>
      <c r="AM103"/>
    </row>
    <row r="104" spans="1:39" x14ac:dyDescent="0.25">
      <c r="A104"/>
      <c r="B104"/>
      <c r="C104"/>
      <c r="D104"/>
      <c r="E104"/>
      <c r="F104" s="12"/>
      <c r="G104" s="12"/>
      <c r="I104"/>
      <c r="J104"/>
      <c r="K104"/>
      <c r="L104"/>
      <c r="M104"/>
      <c r="N104"/>
      <c r="O104"/>
      <c r="P104"/>
      <c r="Q104"/>
      <c r="R104"/>
      <c r="S104"/>
      <c r="T104"/>
      <c r="U104"/>
      <c r="W104"/>
      <c r="X104" s="44" t="s">
        <v>276</v>
      </c>
      <c r="Y104" s="199"/>
      <c r="Z104" s="199"/>
      <c r="AA104" s="199"/>
      <c r="AB104" s="199"/>
      <c r="AC104" s="199"/>
      <c r="AD104" s="199">
        <v>2539451.2427837378</v>
      </c>
      <c r="AE104" s="199"/>
      <c r="AF104"/>
      <c r="AH104" t="str">
        <f t="shared" si="8"/>
        <v>La Habra</v>
      </c>
      <c r="AI104" s="199">
        <f>VLOOKUP(AH104,Places[#All],7,FALSE)</f>
        <v>7.4</v>
      </c>
      <c r="AJ104" s="199">
        <f>VLOOKUP(AH104,Places[#All],6,FALSE)/100000</f>
        <v>0.62182999999999999</v>
      </c>
      <c r="AK104"/>
      <c r="AL104"/>
      <c r="AM104"/>
    </row>
    <row r="105" spans="1:39" x14ac:dyDescent="0.25">
      <c r="A105"/>
      <c r="B105"/>
      <c r="C105"/>
      <c r="D105"/>
      <c r="E105"/>
      <c r="F105" s="12"/>
      <c r="G105" s="12"/>
      <c r="I105"/>
      <c r="J105"/>
      <c r="K105"/>
      <c r="L105"/>
      <c r="M105"/>
      <c r="N105"/>
      <c r="O105"/>
      <c r="P105"/>
      <c r="Q105"/>
      <c r="R105"/>
      <c r="S105"/>
      <c r="T105"/>
      <c r="U105"/>
      <c r="W105"/>
      <c r="X105" s="44" t="s">
        <v>157</v>
      </c>
      <c r="Y105" s="199"/>
      <c r="Z105" s="199"/>
      <c r="AA105" s="199">
        <v>47665.494151898733</v>
      </c>
      <c r="AB105" s="199"/>
      <c r="AC105" s="199"/>
      <c r="AD105" s="199"/>
      <c r="AE105" s="199"/>
      <c r="AF105"/>
      <c r="AH105" t="str">
        <f t="shared" si="8"/>
        <v>La Habra Heights</v>
      </c>
      <c r="AI105" s="199">
        <f>VLOOKUP(AH105,Places[#All],7,FALSE)</f>
        <v>6.2</v>
      </c>
      <c r="AJ105" s="199">
        <f>VLOOKUP(AH105,Places[#All],6,FALSE)/100000</f>
        <v>5.3530000000000001E-2</v>
      </c>
      <c r="AK105"/>
      <c r="AL105"/>
      <c r="AM105"/>
    </row>
    <row r="106" spans="1:39" x14ac:dyDescent="0.25">
      <c r="A106"/>
      <c r="B106"/>
      <c r="C106"/>
      <c r="D106"/>
      <c r="E106"/>
      <c r="F106" s="12"/>
      <c r="G106" s="12"/>
      <c r="I106"/>
      <c r="J106"/>
      <c r="K106"/>
      <c r="L106"/>
      <c r="M106"/>
      <c r="N106"/>
      <c r="O106"/>
      <c r="P106"/>
      <c r="Q106"/>
      <c r="R106"/>
      <c r="S106"/>
      <c r="T106"/>
      <c r="U106"/>
      <c r="W106"/>
      <c r="X106" s="44" t="s">
        <v>313</v>
      </c>
      <c r="Y106" s="199"/>
      <c r="Z106" s="199"/>
      <c r="AA106" s="199"/>
      <c r="AB106" s="199"/>
      <c r="AC106" s="199"/>
      <c r="AD106" s="199"/>
      <c r="AE106" s="199">
        <v>548931.33253365976</v>
      </c>
      <c r="AF106"/>
      <c r="AH106" t="str">
        <f t="shared" si="8"/>
        <v>La Mesa</v>
      </c>
      <c r="AI106" s="199">
        <f>VLOOKUP(AH106,Places[#All],7,FALSE)</f>
        <v>9.1</v>
      </c>
      <c r="AJ106" s="199">
        <f>VLOOKUP(AH106,Places[#All],6,FALSE)/100000</f>
        <v>0.59555999999999998</v>
      </c>
      <c r="AK106"/>
      <c r="AL106"/>
      <c r="AM106"/>
    </row>
    <row r="107" spans="1:39" x14ac:dyDescent="0.25">
      <c r="A107"/>
      <c r="B107"/>
      <c r="C107"/>
      <c r="D107"/>
      <c r="E107"/>
      <c r="F107" s="12"/>
      <c r="G107" s="12"/>
      <c r="I107"/>
      <c r="J107"/>
      <c r="K107"/>
      <c r="L107"/>
      <c r="M107"/>
      <c r="N107"/>
      <c r="O107"/>
      <c r="P107"/>
      <c r="Q107"/>
      <c r="R107"/>
      <c r="S107"/>
      <c r="T107"/>
      <c r="U107"/>
      <c r="W107"/>
      <c r="X107" s="44" t="s">
        <v>165</v>
      </c>
      <c r="Y107" s="199"/>
      <c r="Z107" s="199"/>
      <c r="AA107" s="199">
        <v>1331635.4989367088</v>
      </c>
      <c r="AB107" s="199"/>
      <c r="AC107" s="199"/>
      <c r="AD107" s="199"/>
      <c r="AE107" s="199"/>
      <c r="AF107"/>
      <c r="AH107" t="str">
        <f t="shared" si="8"/>
        <v>La Mirada</v>
      </c>
      <c r="AI107" s="199">
        <f>VLOOKUP(AH107,Places[#All],7,FALSE)</f>
        <v>7.8</v>
      </c>
      <c r="AJ107" s="199">
        <f>VLOOKUP(AH107,Places[#All],6,FALSE)/100000</f>
        <v>0.48682999999999998</v>
      </c>
      <c r="AK107"/>
      <c r="AL107"/>
      <c r="AM107"/>
    </row>
    <row r="108" spans="1:39" x14ac:dyDescent="0.25">
      <c r="A108"/>
      <c r="B108"/>
      <c r="C108"/>
      <c r="D108"/>
      <c r="E108"/>
      <c r="F108" s="12"/>
      <c r="G108" s="12"/>
      <c r="I108"/>
      <c r="J108"/>
      <c r="K108"/>
      <c r="L108"/>
      <c r="M108"/>
      <c r="N108"/>
      <c r="O108"/>
      <c r="P108"/>
      <c r="Q108"/>
      <c r="R108"/>
      <c r="S108"/>
      <c r="T108"/>
      <c r="U108"/>
      <c r="W108"/>
      <c r="X108" s="44" t="s">
        <v>277</v>
      </c>
      <c r="Y108" s="199"/>
      <c r="Z108" s="199"/>
      <c r="AA108" s="199"/>
      <c r="AB108" s="199"/>
      <c r="AC108" s="199"/>
      <c r="AD108" s="199">
        <v>203038.22642574814</v>
      </c>
      <c r="AE108" s="199"/>
      <c r="AF108"/>
      <c r="AH108" t="str">
        <f t="shared" si="8"/>
        <v>La Palma</v>
      </c>
      <c r="AI108" s="199">
        <f>VLOOKUP(AH108,Places[#All],7,FALSE)</f>
        <v>1.8</v>
      </c>
      <c r="AJ108" s="199">
        <f>VLOOKUP(AH108,Places[#All],6,FALSE)/100000</f>
        <v>0.15568000000000001</v>
      </c>
      <c r="AK108"/>
      <c r="AL108"/>
      <c r="AM108"/>
    </row>
    <row r="109" spans="1:39" x14ac:dyDescent="0.25">
      <c r="A109"/>
      <c r="B109"/>
      <c r="C109"/>
      <c r="D109"/>
      <c r="E109"/>
      <c r="F109" s="12"/>
      <c r="G109" s="12"/>
      <c r="I109"/>
      <c r="J109"/>
      <c r="K109"/>
      <c r="L109"/>
      <c r="M109"/>
      <c r="N109"/>
      <c r="O109"/>
      <c r="P109"/>
      <c r="Q109"/>
      <c r="R109"/>
      <c r="S109"/>
      <c r="T109"/>
      <c r="U109"/>
      <c r="W109"/>
      <c r="X109" s="44" t="s">
        <v>204</v>
      </c>
      <c r="Y109" s="199"/>
      <c r="Z109" s="199"/>
      <c r="AA109" s="199">
        <v>53178.017999999996</v>
      </c>
      <c r="AB109" s="199"/>
      <c r="AC109" s="199"/>
      <c r="AD109" s="199"/>
      <c r="AE109" s="199"/>
      <c r="AF109"/>
      <c r="AH109" t="str">
        <f t="shared" si="8"/>
        <v>La Puente</v>
      </c>
      <c r="AI109" s="199">
        <f>VLOOKUP(AH109,Places[#All],7,FALSE)</f>
        <v>3.5</v>
      </c>
      <c r="AJ109" s="199">
        <f>VLOOKUP(AH109,Places[#All],6,FALSE)/100000</f>
        <v>0.39907999999999999</v>
      </c>
      <c r="AK109"/>
      <c r="AL109"/>
      <c r="AM109"/>
    </row>
    <row r="110" spans="1:39" x14ac:dyDescent="0.25">
      <c r="A110"/>
      <c r="B110"/>
      <c r="C110"/>
      <c r="D110"/>
      <c r="E110"/>
      <c r="F110" s="12"/>
      <c r="G110" s="12"/>
      <c r="I110"/>
      <c r="J110"/>
      <c r="K110"/>
      <c r="L110"/>
      <c r="M110"/>
      <c r="N110"/>
      <c r="O110"/>
      <c r="P110"/>
      <c r="Q110"/>
      <c r="R110"/>
      <c r="S110"/>
      <c r="T110"/>
      <c r="U110"/>
      <c r="W110"/>
      <c r="X110" s="44" t="s">
        <v>151</v>
      </c>
      <c r="Y110" s="199"/>
      <c r="Z110" s="199"/>
      <c r="AA110" s="199">
        <v>5068301.9128405061</v>
      </c>
      <c r="AB110" s="199"/>
      <c r="AC110" s="199"/>
      <c r="AD110" s="199"/>
      <c r="AE110" s="199"/>
      <c r="AF110"/>
      <c r="AH110" t="str">
        <f t="shared" si="8"/>
        <v>La Verne</v>
      </c>
      <c r="AI110" s="199">
        <f>VLOOKUP(AH110,Places[#All],7,FALSE)</f>
        <v>8.4</v>
      </c>
      <c r="AJ110" s="199">
        <f>VLOOKUP(AH110,Places[#All],6,FALSE)/100000</f>
        <v>0.32206000000000001</v>
      </c>
      <c r="AK110"/>
      <c r="AL110"/>
      <c r="AM110"/>
    </row>
    <row r="111" spans="1:39" x14ac:dyDescent="0.25">
      <c r="A111"/>
      <c r="B111"/>
      <c r="C111"/>
      <c r="D111"/>
      <c r="E111"/>
      <c r="F111" s="12"/>
      <c r="G111" s="12"/>
      <c r="I111"/>
      <c r="J111"/>
      <c r="K111"/>
      <c r="L111"/>
      <c r="M111"/>
      <c r="N111"/>
      <c r="O111"/>
      <c r="P111"/>
      <c r="Q111"/>
      <c r="R111"/>
      <c r="S111"/>
      <c r="T111"/>
      <c r="U111"/>
      <c r="W111"/>
      <c r="X111" s="44" t="s">
        <v>278</v>
      </c>
      <c r="Y111" s="199"/>
      <c r="Z111" s="199"/>
      <c r="AA111" s="199"/>
      <c r="AB111" s="199"/>
      <c r="AC111" s="199"/>
      <c r="AD111" s="199"/>
      <c r="AE111" s="199">
        <v>1898195.0288372096</v>
      </c>
      <c r="AF111"/>
      <c r="AH111" t="str">
        <f t="shared" si="8"/>
        <v>Laguna Beach</v>
      </c>
      <c r="AI111" s="199">
        <f>VLOOKUP(AH111,Places[#All],7,FALSE)</f>
        <v>8.9</v>
      </c>
      <c r="AJ111" s="199">
        <f>VLOOKUP(AH111,Places[#All],6,FALSE)/100000</f>
        <v>0.22991</v>
      </c>
      <c r="AK111"/>
      <c r="AL111"/>
      <c r="AM111"/>
    </row>
    <row r="112" spans="1:39" x14ac:dyDescent="0.25">
      <c r="A112"/>
      <c r="B112"/>
      <c r="C112"/>
      <c r="D112"/>
      <c r="E112"/>
      <c r="F112" s="12"/>
      <c r="G112" s="12"/>
      <c r="I112"/>
      <c r="J112"/>
      <c r="K112"/>
      <c r="L112"/>
      <c r="M112"/>
      <c r="N112"/>
      <c r="O112"/>
      <c r="P112"/>
      <c r="Q112"/>
      <c r="R112"/>
      <c r="S112"/>
      <c r="T112"/>
      <c r="U112"/>
      <c r="W112"/>
      <c r="X112" s="44" t="s">
        <v>279</v>
      </c>
      <c r="Y112" s="199"/>
      <c r="Z112" s="199"/>
      <c r="AA112" s="199"/>
      <c r="AB112" s="199"/>
      <c r="AC112" s="199"/>
      <c r="AD112" s="199"/>
      <c r="AE112" s="199">
        <v>699806.24126071006</v>
      </c>
      <c r="AF112"/>
      <c r="AH112" t="str">
        <f t="shared" si="8"/>
        <v>Laguna Hills</v>
      </c>
      <c r="AI112" s="199">
        <f>VLOOKUP(AH112,Places[#All],7,FALSE)</f>
        <v>6.6</v>
      </c>
      <c r="AJ112" s="199">
        <f>VLOOKUP(AH112,Places[#All],6,FALSE)/100000</f>
        <v>0.31024000000000002</v>
      </c>
      <c r="AK112"/>
      <c r="AL112"/>
      <c r="AM112"/>
    </row>
    <row r="113" spans="1:39" x14ac:dyDescent="0.25">
      <c r="A113"/>
      <c r="B113"/>
      <c r="C113"/>
      <c r="D113"/>
      <c r="E113"/>
      <c r="F113" s="12"/>
      <c r="G113" s="12"/>
      <c r="I113"/>
      <c r="J113"/>
      <c r="K113"/>
      <c r="L113"/>
      <c r="M113"/>
      <c r="N113"/>
      <c r="O113"/>
      <c r="P113"/>
      <c r="Q113"/>
      <c r="R113"/>
      <c r="S113"/>
      <c r="T113"/>
      <c r="U113"/>
      <c r="W113"/>
      <c r="X113" s="44" t="s">
        <v>280</v>
      </c>
      <c r="Y113" s="199"/>
      <c r="Z113" s="199"/>
      <c r="AA113" s="199"/>
      <c r="AB113" s="199"/>
      <c r="AC113" s="199"/>
      <c r="AD113" s="199"/>
      <c r="AE113" s="199">
        <v>1711704.7344675644</v>
      </c>
      <c r="AF113"/>
      <c r="AH113" t="str">
        <f t="shared" si="8"/>
        <v>Laguna Niguel</v>
      </c>
      <c r="AI113" s="199">
        <f>VLOOKUP(AH113,Places[#All],7,FALSE)</f>
        <v>14.7</v>
      </c>
      <c r="AJ113" s="199">
        <f>VLOOKUP(AH113,Places[#All],6,FALSE)/100000</f>
        <v>0.66266000000000003</v>
      </c>
      <c r="AK113"/>
      <c r="AL113"/>
      <c r="AM113"/>
    </row>
    <row r="114" spans="1:39" x14ac:dyDescent="0.25">
      <c r="A114"/>
      <c r="B114"/>
      <c r="C114"/>
      <c r="D114"/>
      <c r="E114"/>
      <c r="F114" s="12"/>
      <c r="G114" s="12"/>
      <c r="I114"/>
      <c r="J114"/>
      <c r="K114"/>
      <c r="L114"/>
      <c r="M114"/>
      <c r="N114"/>
      <c r="O114"/>
      <c r="P114"/>
      <c r="Q114"/>
      <c r="R114"/>
      <c r="S114"/>
      <c r="T114"/>
      <c r="U114"/>
      <c r="W114"/>
      <c r="X114" s="44" t="s">
        <v>281</v>
      </c>
      <c r="Y114" s="199"/>
      <c r="Z114" s="199"/>
      <c r="AA114" s="199"/>
      <c r="AB114" s="199"/>
      <c r="AC114" s="199"/>
      <c r="AD114" s="199">
        <v>736687.48175030609</v>
      </c>
      <c r="AE114" s="199"/>
      <c r="AF114"/>
      <c r="AH114" t="str">
        <f t="shared" si="8"/>
        <v>Laguna Woods</v>
      </c>
      <c r="AI114" s="199">
        <f>VLOOKUP(AH114,Places[#All],7,FALSE)</f>
        <v>3.3</v>
      </c>
      <c r="AJ114" s="199">
        <f>VLOOKUP(AH114,Places[#All],6,FALSE)/100000</f>
        <v>0.16045999999999999</v>
      </c>
      <c r="AK114"/>
      <c r="AL114"/>
      <c r="AM114"/>
    </row>
    <row r="115" spans="1:39" x14ac:dyDescent="0.25">
      <c r="A115"/>
      <c r="B115"/>
      <c r="C115"/>
      <c r="D115"/>
      <c r="E115"/>
      <c r="F115" s="12"/>
      <c r="G115" s="12"/>
      <c r="I115"/>
      <c r="J115"/>
      <c r="K115"/>
      <c r="L115"/>
      <c r="M115"/>
      <c r="N115"/>
      <c r="O115"/>
      <c r="P115"/>
      <c r="Q115"/>
      <c r="R115"/>
      <c r="S115"/>
      <c r="T115"/>
      <c r="U115"/>
      <c r="W115"/>
      <c r="X115" s="44" t="s">
        <v>234</v>
      </c>
      <c r="Y115" s="199"/>
      <c r="Z115" s="199"/>
      <c r="AA115" s="199"/>
      <c r="AB115" s="199"/>
      <c r="AC115" s="199"/>
      <c r="AD115" s="199">
        <v>149294.57001712502</v>
      </c>
      <c r="AE115" s="199"/>
      <c r="AF115"/>
      <c r="AH115" t="str">
        <f t="shared" si="8"/>
        <v>Lake Elsinore</v>
      </c>
      <c r="AI115" s="199">
        <f>VLOOKUP(AH115,Places[#All],7,FALSE)</f>
        <v>38</v>
      </c>
      <c r="AJ115" s="199">
        <f>VLOOKUP(AH115,Places[#All],6,FALSE)/100000</f>
        <v>0.68183000000000005</v>
      </c>
      <c r="AK115"/>
      <c r="AL115"/>
      <c r="AM115"/>
    </row>
    <row r="116" spans="1:39" x14ac:dyDescent="0.25">
      <c r="A116"/>
      <c r="B116"/>
      <c r="C116"/>
      <c r="D116"/>
      <c r="E116"/>
      <c r="F116" s="12"/>
      <c r="G116" s="12"/>
      <c r="I116"/>
      <c r="J116"/>
      <c r="K116"/>
      <c r="L116"/>
      <c r="M116"/>
      <c r="N116"/>
      <c r="O116"/>
      <c r="P116"/>
      <c r="Q116"/>
      <c r="R116"/>
      <c r="S116"/>
      <c r="T116"/>
      <c r="U116"/>
      <c r="W116"/>
      <c r="X116" s="44" t="s">
        <v>282</v>
      </c>
      <c r="Y116" s="199"/>
      <c r="Z116" s="199"/>
      <c r="AA116" s="199"/>
      <c r="AB116" s="199"/>
      <c r="AC116" s="199"/>
      <c r="AD116" s="199">
        <v>1510205.385</v>
      </c>
      <c r="AE116" s="199"/>
      <c r="AF116"/>
      <c r="AH116" t="str">
        <f t="shared" si="8"/>
        <v>Lake Forest</v>
      </c>
      <c r="AI116" s="199">
        <f>VLOOKUP(AH116,Places[#All],7,FALSE)</f>
        <v>16.600000000000001</v>
      </c>
      <c r="AJ116" s="199">
        <f>VLOOKUP(AH116,Places[#All],6,FALSE)/100000</f>
        <v>0.85623000000000005</v>
      </c>
      <c r="AK116"/>
      <c r="AL116"/>
      <c r="AM116"/>
    </row>
    <row r="117" spans="1:39" x14ac:dyDescent="0.25">
      <c r="A117"/>
      <c r="B117"/>
      <c r="C117"/>
      <c r="D117"/>
      <c r="E117"/>
      <c r="F117" s="12"/>
      <c r="G117" s="12"/>
      <c r="I117"/>
      <c r="J117"/>
      <c r="K117"/>
      <c r="L117"/>
      <c r="M117"/>
      <c r="N117"/>
      <c r="O117"/>
      <c r="P117"/>
      <c r="Q117"/>
      <c r="R117"/>
      <c r="S117"/>
      <c r="T117"/>
      <c r="U117"/>
      <c r="W117"/>
      <c r="X117" s="44" t="s">
        <v>163</v>
      </c>
      <c r="Y117" s="199"/>
      <c r="Z117" s="199"/>
      <c r="AA117" s="199">
        <v>7275871.080835443</v>
      </c>
      <c r="AB117" s="199"/>
      <c r="AC117" s="199"/>
      <c r="AD117" s="199"/>
      <c r="AE117" s="199"/>
      <c r="AF117"/>
      <c r="AH117" t="str">
        <f t="shared" si="8"/>
        <v>Lakewood</v>
      </c>
      <c r="AI117" s="199">
        <f>VLOOKUP(AH117,Places[#All],7,FALSE)</f>
        <v>9.4</v>
      </c>
      <c r="AJ117" s="199">
        <f>VLOOKUP(AH117,Places[#All],6,FALSE)/100000</f>
        <v>0.8014</v>
      </c>
      <c r="AK117"/>
      <c r="AL117"/>
      <c r="AM117"/>
    </row>
    <row r="118" spans="1:39" x14ac:dyDescent="0.25">
      <c r="A118"/>
      <c r="B118"/>
      <c r="C118"/>
      <c r="D118"/>
      <c r="E118"/>
      <c r="F118" s="12"/>
      <c r="G118" s="12"/>
      <c r="I118"/>
      <c r="J118"/>
      <c r="K118"/>
      <c r="L118"/>
      <c r="M118"/>
      <c r="N118"/>
      <c r="O118"/>
      <c r="P118"/>
      <c r="Q118"/>
      <c r="R118"/>
      <c r="S118"/>
      <c r="T118"/>
      <c r="U118"/>
      <c r="W118"/>
      <c r="X118" s="44" t="s">
        <v>224</v>
      </c>
      <c r="Y118" s="199"/>
      <c r="Z118" s="199"/>
      <c r="AA118" s="199">
        <v>90582.91306329114</v>
      </c>
      <c r="AB118" s="199"/>
      <c r="AC118" s="199"/>
      <c r="AD118" s="199"/>
      <c r="AE118" s="199"/>
      <c r="AF118"/>
      <c r="AH118" t="str">
        <f t="shared" si="8"/>
        <v>Lawndale</v>
      </c>
      <c r="AI118" s="199">
        <f>VLOOKUP(AH118,Places[#All],7,FALSE)</f>
        <v>2</v>
      </c>
      <c r="AJ118" s="199">
        <f>VLOOKUP(AH118,Places[#All],6,FALSE)/100000</f>
        <v>0.32754</v>
      </c>
      <c r="AK118"/>
      <c r="AL118"/>
      <c r="AM118"/>
    </row>
    <row r="119" spans="1:39" x14ac:dyDescent="0.25">
      <c r="A119"/>
      <c r="B119"/>
      <c r="C119"/>
      <c r="D119"/>
      <c r="E119"/>
      <c r="F119" s="12"/>
      <c r="G119" s="12"/>
      <c r="I119"/>
      <c r="J119"/>
      <c r="K119"/>
      <c r="L119"/>
      <c r="M119"/>
      <c r="N119"/>
      <c r="O119"/>
      <c r="P119"/>
      <c r="Q119"/>
      <c r="R119"/>
      <c r="S119"/>
      <c r="T119"/>
      <c r="U119"/>
      <c r="W119"/>
      <c r="X119" s="44" t="s">
        <v>314</v>
      </c>
      <c r="Y119" s="199"/>
      <c r="Z119" s="199"/>
      <c r="AA119" s="199"/>
      <c r="AB119" s="199"/>
      <c r="AC119" s="199"/>
      <c r="AD119" s="199"/>
      <c r="AE119" s="199">
        <v>252529.46948041618</v>
      </c>
      <c r="AF119"/>
      <c r="AH119" t="str">
        <f t="shared" si="8"/>
        <v>Lemon Grove</v>
      </c>
      <c r="AI119" s="199">
        <f>VLOOKUP(AH119,Places[#All],7,FALSE)</f>
        <v>3.9</v>
      </c>
      <c r="AJ119" s="199">
        <f>VLOOKUP(AH119,Places[#All],6,FALSE)/100000</f>
        <v>0.26968999999999999</v>
      </c>
      <c r="AK119"/>
      <c r="AL119"/>
      <c r="AM119"/>
    </row>
    <row r="120" spans="1:39" x14ac:dyDescent="0.25">
      <c r="A120"/>
      <c r="B120"/>
      <c r="C120"/>
      <c r="D120"/>
      <c r="E120"/>
      <c r="F120" s="12"/>
      <c r="G120" s="12"/>
      <c r="I120"/>
      <c r="J120"/>
      <c r="K120"/>
      <c r="L120"/>
      <c r="M120"/>
      <c r="N120"/>
      <c r="O120"/>
      <c r="P120"/>
      <c r="Q120"/>
      <c r="R120"/>
      <c r="S120"/>
      <c r="T120"/>
      <c r="U120"/>
      <c r="W120"/>
      <c r="X120" s="44" t="s">
        <v>246</v>
      </c>
      <c r="Y120" s="199"/>
      <c r="Z120" s="199"/>
      <c r="AA120" s="199"/>
      <c r="AB120" s="199"/>
      <c r="AC120" s="199"/>
      <c r="AD120" s="199">
        <v>241531.74144486693</v>
      </c>
      <c r="AE120" s="199"/>
      <c r="AF120"/>
      <c r="AH120" t="str">
        <f t="shared" si="8"/>
        <v>Loma Linda</v>
      </c>
      <c r="AI120" s="199">
        <f>VLOOKUP(AH120,Places[#All],7,FALSE)</f>
        <v>7.5</v>
      </c>
      <c r="AJ120" s="199">
        <f>VLOOKUP(AH120,Places[#All],6,FALSE)/100000</f>
        <v>0.24382000000000001</v>
      </c>
      <c r="AK120"/>
      <c r="AL120"/>
      <c r="AM120"/>
    </row>
    <row r="121" spans="1:39" x14ac:dyDescent="0.25">
      <c r="A121"/>
      <c r="B121"/>
      <c r="C121"/>
      <c r="D121"/>
      <c r="E121"/>
      <c r="F121" s="12"/>
      <c r="G121" s="12"/>
      <c r="I121"/>
      <c r="J121"/>
      <c r="K121"/>
      <c r="L121"/>
      <c r="M121"/>
      <c r="N121"/>
      <c r="O121"/>
      <c r="P121"/>
      <c r="Q121"/>
      <c r="R121"/>
      <c r="S121"/>
      <c r="T121"/>
      <c r="U121"/>
      <c r="W121"/>
      <c r="X121" s="44" t="s">
        <v>225</v>
      </c>
      <c r="Y121" s="199"/>
      <c r="Z121" s="199"/>
      <c r="AA121" s="199">
        <v>213408.56962025314</v>
      </c>
      <c r="AB121" s="199"/>
      <c r="AC121" s="199"/>
      <c r="AD121" s="199"/>
      <c r="AE121" s="199"/>
      <c r="AF121"/>
      <c r="AH121" t="str">
        <f t="shared" si="8"/>
        <v>Lomita</v>
      </c>
      <c r="AI121" s="199">
        <f>VLOOKUP(AH121,Places[#All],7,FALSE)</f>
        <v>1.9</v>
      </c>
      <c r="AJ121" s="199">
        <f>VLOOKUP(AH121,Places[#All],6,FALSE)/100000</f>
        <v>0.20521</v>
      </c>
      <c r="AK121"/>
      <c r="AL121"/>
      <c r="AM121"/>
    </row>
    <row r="122" spans="1:39" x14ac:dyDescent="0.25">
      <c r="A122"/>
      <c r="B122"/>
      <c r="C122"/>
      <c r="D122"/>
      <c r="E122"/>
      <c r="F122" s="12"/>
      <c r="G122" s="12"/>
      <c r="I122"/>
      <c r="J122"/>
      <c r="K122"/>
      <c r="L122"/>
      <c r="M122"/>
      <c r="N122"/>
      <c r="O122"/>
      <c r="P122"/>
      <c r="Q122"/>
      <c r="R122"/>
      <c r="S122"/>
      <c r="T122"/>
      <c r="U122"/>
      <c r="W122"/>
      <c r="X122" s="44" t="s">
        <v>158</v>
      </c>
      <c r="Y122" s="199"/>
      <c r="Z122" s="199"/>
      <c r="AA122" s="199">
        <v>2259514.7249620254</v>
      </c>
      <c r="AB122" s="199"/>
      <c r="AC122" s="199"/>
      <c r="AD122" s="199"/>
      <c r="AE122" s="199"/>
      <c r="AF122"/>
      <c r="AH122" t="str">
        <f t="shared" si="8"/>
        <v>Long Beach</v>
      </c>
      <c r="AI122" s="199">
        <f>VLOOKUP(AH122,Places[#All],7,FALSE)</f>
        <v>50.3</v>
      </c>
      <c r="AJ122" s="199">
        <f>VLOOKUP(AH122,Places[#All],6,FALSE)/100000</f>
        <v>4.67354</v>
      </c>
      <c r="AK122"/>
      <c r="AL122"/>
      <c r="AM122"/>
    </row>
    <row r="123" spans="1:39" x14ac:dyDescent="0.25">
      <c r="A123"/>
      <c r="B123"/>
      <c r="C123"/>
      <c r="D123"/>
      <c r="E123"/>
      <c r="F123" s="12"/>
      <c r="G123" s="12"/>
      <c r="I123"/>
      <c r="J123"/>
      <c r="K123"/>
      <c r="L123"/>
      <c r="M123"/>
      <c r="N123"/>
      <c r="O123"/>
      <c r="P123"/>
      <c r="Q123"/>
      <c r="R123"/>
      <c r="S123"/>
      <c r="T123"/>
      <c r="U123"/>
      <c r="W123"/>
      <c r="X123" s="44" t="s">
        <v>283</v>
      </c>
      <c r="Y123" s="199"/>
      <c r="Z123" s="199"/>
      <c r="AA123" s="199"/>
      <c r="AB123" s="199"/>
      <c r="AC123" s="199"/>
      <c r="AD123" s="199">
        <v>91329.48606271777</v>
      </c>
      <c r="AE123" s="199"/>
      <c r="AF123"/>
      <c r="AH123" t="str">
        <f t="shared" si="8"/>
        <v>Los Alamitos</v>
      </c>
      <c r="AI123" s="199">
        <f>VLOOKUP(AH123,Places[#All],7,FALSE)</f>
        <v>4</v>
      </c>
      <c r="AJ123" s="199">
        <f>VLOOKUP(AH123,Places[#All],6,FALSE)/100000</f>
        <v>0.11529</v>
      </c>
      <c r="AK123"/>
      <c r="AL123"/>
      <c r="AM123"/>
    </row>
    <row r="124" spans="1:39" x14ac:dyDescent="0.25">
      <c r="A124"/>
      <c r="B124"/>
      <c r="C124"/>
      <c r="D124"/>
      <c r="E124"/>
      <c r="F124" s="12"/>
      <c r="G124" s="12"/>
      <c r="I124"/>
      <c r="J124"/>
      <c r="K124"/>
      <c r="L124"/>
      <c r="M124"/>
      <c r="N124"/>
      <c r="O124"/>
      <c r="P124"/>
      <c r="Q124"/>
      <c r="R124"/>
      <c r="S124"/>
      <c r="T124"/>
      <c r="U124"/>
      <c r="W124"/>
      <c r="X124" s="44" t="s">
        <v>175</v>
      </c>
      <c r="Y124" s="199"/>
      <c r="Z124" s="199"/>
      <c r="AA124" s="199">
        <v>1503881.6962405061</v>
      </c>
      <c r="AB124" s="199"/>
      <c r="AC124" s="199"/>
      <c r="AD124" s="199"/>
      <c r="AE124" s="199"/>
      <c r="AF124"/>
      <c r="AH124" t="str">
        <f t="shared" si="8"/>
        <v>Malibu</v>
      </c>
      <c r="AI124" s="199">
        <f>VLOOKUP(AH124,Places[#All],7,FALSE)</f>
        <v>19.8</v>
      </c>
      <c r="AJ124" s="199">
        <f>VLOOKUP(AH124,Places[#All],6,FALSE)/100000</f>
        <v>0.12776999999999999</v>
      </c>
      <c r="AK124"/>
      <c r="AL124"/>
      <c r="AM124"/>
    </row>
    <row r="125" spans="1:39" x14ac:dyDescent="0.25">
      <c r="A125"/>
      <c r="B125"/>
      <c r="C125"/>
      <c r="D125"/>
      <c r="E125"/>
      <c r="F125" s="12"/>
      <c r="G125" s="12"/>
      <c r="I125"/>
      <c r="J125"/>
      <c r="K125"/>
      <c r="L125"/>
      <c r="M125"/>
      <c r="N125"/>
      <c r="O125"/>
      <c r="P125"/>
      <c r="Q125"/>
      <c r="R125"/>
      <c r="S125"/>
      <c r="T125"/>
      <c r="U125"/>
      <c r="W125"/>
      <c r="X125" s="44" t="s">
        <v>147</v>
      </c>
      <c r="Y125" s="199"/>
      <c r="Z125" s="199"/>
      <c r="AA125" s="199">
        <v>4997698.501177215</v>
      </c>
      <c r="AB125" s="199"/>
      <c r="AC125" s="199"/>
      <c r="AD125" s="199"/>
      <c r="AE125" s="199"/>
      <c r="AF125"/>
      <c r="AH125" t="str">
        <f t="shared" si="8"/>
        <v>Manhattan Beach</v>
      </c>
      <c r="AI125" s="199">
        <f>VLOOKUP(AH125,Places[#All],7,FALSE)</f>
        <v>3.9</v>
      </c>
      <c r="AJ125" s="199">
        <f>VLOOKUP(AH125,Places[#All],6,FALSE)/100000</f>
        <v>0.35532000000000002</v>
      </c>
      <c r="AK125"/>
      <c r="AL125"/>
      <c r="AM125"/>
    </row>
    <row r="126" spans="1:39" x14ac:dyDescent="0.25">
      <c r="A126"/>
      <c r="B126"/>
      <c r="C126"/>
      <c r="D126"/>
      <c r="E126"/>
      <c r="F126" s="12"/>
      <c r="G126" s="12"/>
      <c r="I126"/>
      <c r="J126"/>
      <c r="K126"/>
      <c r="L126"/>
      <c r="M126"/>
      <c r="N126"/>
      <c r="O126"/>
      <c r="P126"/>
      <c r="Q126"/>
      <c r="R126"/>
      <c r="S126"/>
      <c r="T126"/>
      <c r="U126"/>
      <c r="W126"/>
      <c r="X126" s="44" t="s">
        <v>235</v>
      </c>
      <c r="Y126" s="199"/>
      <c r="Z126" s="199"/>
      <c r="AA126" s="199"/>
      <c r="AB126" s="199"/>
      <c r="AC126" s="199"/>
      <c r="AD126" s="199">
        <v>347654.43806250003</v>
      </c>
      <c r="AE126" s="199"/>
      <c r="AF126"/>
      <c r="AH126" t="str">
        <f t="shared" si="8"/>
        <v>Menifee</v>
      </c>
      <c r="AI126" s="199">
        <f>VLOOKUP(AH126,Places[#All],7,FALSE)</f>
        <v>46.5</v>
      </c>
      <c r="AJ126" s="199">
        <f>VLOOKUP(AH126,Places[#All],6,FALSE)/100000</f>
        <v>0.92595000000000005</v>
      </c>
      <c r="AK126"/>
      <c r="AL126"/>
      <c r="AM126"/>
    </row>
    <row r="127" spans="1:39" x14ac:dyDescent="0.25">
      <c r="A127"/>
      <c r="B127"/>
      <c r="C127"/>
      <c r="D127"/>
      <c r="E127"/>
      <c r="F127" s="12"/>
      <c r="G127" s="12"/>
      <c r="I127"/>
      <c r="J127"/>
      <c r="K127"/>
      <c r="L127"/>
      <c r="M127"/>
      <c r="N127"/>
      <c r="O127"/>
      <c r="P127"/>
      <c r="Q127"/>
      <c r="R127"/>
      <c r="S127"/>
      <c r="T127"/>
      <c r="U127"/>
      <c r="W127"/>
      <c r="X127" s="44" t="s">
        <v>284</v>
      </c>
      <c r="Y127" s="199"/>
      <c r="Z127" s="199"/>
      <c r="AA127" s="199"/>
      <c r="AB127" s="199"/>
      <c r="AC127" s="199"/>
      <c r="AD127" s="199"/>
      <c r="AE127" s="199">
        <v>2715352.0716279075</v>
      </c>
      <c r="AF127"/>
      <c r="AH127" t="str">
        <f t="shared" si="8"/>
        <v>Mission Viejo</v>
      </c>
      <c r="AI127" s="199">
        <f>VLOOKUP(AH127,Places[#All],7,FALSE)</f>
        <v>17.7</v>
      </c>
      <c r="AJ127" s="199">
        <f>VLOOKUP(AH127,Places[#All],6,FALSE)/100000</f>
        <v>0.95201999999999998</v>
      </c>
      <c r="AK127"/>
      <c r="AL127"/>
      <c r="AM127"/>
    </row>
    <row r="128" spans="1:39" x14ac:dyDescent="0.25">
      <c r="A128"/>
      <c r="B128"/>
      <c r="C128"/>
      <c r="D128"/>
      <c r="E128"/>
      <c r="F128" s="12"/>
      <c r="G128" s="12"/>
      <c r="I128"/>
      <c r="J128"/>
      <c r="K128"/>
      <c r="L128"/>
      <c r="M128"/>
      <c r="N128"/>
      <c r="O128"/>
      <c r="P128"/>
      <c r="Q128"/>
      <c r="R128"/>
      <c r="S128"/>
      <c r="T128"/>
      <c r="U128"/>
      <c r="W128"/>
      <c r="X128" s="44" t="s">
        <v>183</v>
      </c>
      <c r="Y128" s="199"/>
      <c r="Z128" s="199"/>
      <c r="AA128" s="199">
        <v>757972.02911392401</v>
      </c>
      <c r="AB128" s="199"/>
      <c r="AC128" s="199"/>
      <c r="AD128" s="199"/>
      <c r="AE128" s="199"/>
      <c r="AF128"/>
      <c r="AH128" t="str">
        <f t="shared" si="8"/>
        <v>Monrovia</v>
      </c>
      <c r="AI128" s="199">
        <f>VLOOKUP(AH128,Places[#All],7,FALSE)</f>
        <v>13.6</v>
      </c>
      <c r="AJ128" s="199">
        <f>VLOOKUP(AH128,Places[#All],6,FALSE)/100000</f>
        <v>0.36714999999999998</v>
      </c>
      <c r="AK128"/>
      <c r="AL128"/>
      <c r="AM128"/>
    </row>
    <row r="129" spans="1:39" x14ac:dyDescent="0.25">
      <c r="A129"/>
      <c r="B129"/>
      <c r="C129"/>
      <c r="D129"/>
      <c r="E129"/>
      <c r="F129" s="12"/>
      <c r="G129" s="12"/>
      <c r="I129"/>
      <c r="J129"/>
      <c r="K129"/>
      <c r="L129"/>
      <c r="M129"/>
      <c r="N129"/>
      <c r="O129"/>
      <c r="P129"/>
      <c r="Q129"/>
      <c r="R129"/>
      <c r="S129"/>
      <c r="T129"/>
      <c r="U129"/>
      <c r="W129"/>
      <c r="X129" s="44" t="s">
        <v>247</v>
      </c>
      <c r="Y129" s="199"/>
      <c r="Z129" s="199"/>
      <c r="AA129" s="199"/>
      <c r="AB129" s="199"/>
      <c r="AC129" s="199"/>
      <c r="AD129" s="199">
        <v>456243.04140684416</v>
      </c>
      <c r="AE129" s="199"/>
      <c r="AF129"/>
      <c r="AH129" t="str">
        <f t="shared" si="8"/>
        <v>Montclair</v>
      </c>
      <c r="AI129" s="199">
        <f>VLOOKUP(AH129,Places[#All],7,FALSE)</f>
        <v>5.5</v>
      </c>
      <c r="AJ129" s="199">
        <f>VLOOKUP(AH129,Places[#All],6,FALSE)/100000</f>
        <v>0.39437</v>
      </c>
      <c r="AK129"/>
      <c r="AL129"/>
      <c r="AM129"/>
    </row>
    <row r="130" spans="1:39" x14ac:dyDescent="0.25">
      <c r="A130"/>
      <c r="B130"/>
      <c r="C130"/>
      <c r="D130"/>
      <c r="E130"/>
      <c r="F130" s="12"/>
      <c r="G130" s="12"/>
      <c r="I130"/>
      <c r="J130"/>
      <c r="K130"/>
      <c r="L130"/>
      <c r="M130"/>
      <c r="N130"/>
      <c r="O130"/>
      <c r="P130"/>
      <c r="Q130"/>
      <c r="R130"/>
      <c r="S130"/>
      <c r="T130"/>
      <c r="U130"/>
      <c r="W130"/>
      <c r="X130" s="44" t="s">
        <v>191</v>
      </c>
      <c r="Y130" s="199"/>
      <c r="Z130" s="199"/>
      <c r="AA130" s="199">
        <v>4223082.7271012655</v>
      </c>
      <c r="AB130" s="199"/>
      <c r="AC130" s="199"/>
      <c r="AD130" s="199"/>
      <c r="AE130" s="199"/>
      <c r="AF130"/>
      <c r="AH130" t="str">
        <f t="shared" si="8"/>
        <v>Montebello</v>
      </c>
      <c r="AI130" s="199">
        <f>VLOOKUP(AH130,Places[#All],7,FALSE)</f>
        <v>8.3000000000000007</v>
      </c>
      <c r="AJ130" s="199">
        <f>VLOOKUP(AH130,Places[#All],6,FALSE)/100000</f>
        <v>0.62631999999999999</v>
      </c>
      <c r="AK130"/>
      <c r="AL130"/>
      <c r="AM130"/>
    </row>
    <row r="131" spans="1:39" x14ac:dyDescent="0.25">
      <c r="A131"/>
      <c r="B131"/>
      <c r="C131"/>
      <c r="D131"/>
      <c r="E131"/>
      <c r="F131" s="12"/>
      <c r="G131" s="12"/>
      <c r="I131"/>
      <c r="J131"/>
      <c r="K131"/>
      <c r="L131"/>
      <c r="M131"/>
      <c r="N131"/>
      <c r="O131"/>
      <c r="P131"/>
      <c r="Q131"/>
      <c r="R131"/>
      <c r="S131"/>
      <c r="T131"/>
      <c r="U131"/>
      <c r="W131"/>
      <c r="X131" s="44" t="s">
        <v>192</v>
      </c>
      <c r="Y131" s="199"/>
      <c r="Z131" s="199"/>
      <c r="AA131" s="199">
        <v>791069.46862025314</v>
      </c>
      <c r="AB131" s="199"/>
      <c r="AC131" s="199"/>
      <c r="AD131" s="199"/>
      <c r="AE131" s="199"/>
      <c r="AF131"/>
      <c r="AH131" t="str">
        <f t="shared" si="8"/>
        <v>Monterey Park</v>
      </c>
      <c r="AI131" s="199">
        <f>VLOOKUP(AH131,Places[#All],7,FALSE)</f>
        <v>7.7</v>
      </c>
      <c r="AJ131" s="199">
        <f>VLOOKUP(AH131,Places[#All],6,FALSE)/100000</f>
        <v>0.60401000000000005</v>
      </c>
      <c r="AK131"/>
      <c r="AL131"/>
      <c r="AM131"/>
    </row>
    <row r="132" spans="1:39" x14ac:dyDescent="0.25">
      <c r="A132"/>
      <c r="B132"/>
      <c r="C132"/>
      <c r="D132"/>
      <c r="E132"/>
      <c r="F132" s="12"/>
      <c r="G132" s="12"/>
      <c r="I132"/>
      <c r="J132"/>
      <c r="K132"/>
      <c r="L132"/>
      <c r="M132"/>
      <c r="N132"/>
      <c r="O132"/>
      <c r="P132"/>
      <c r="Q132"/>
      <c r="R132"/>
      <c r="S132"/>
      <c r="T132"/>
      <c r="U132"/>
      <c r="W132"/>
      <c r="X132" s="44" t="s">
        <v>236</v>
      </c>
      <c r="Y132" s="199"/>
      <c r="Z132" s="199"/>
      <c r="AA132" s="199"/>
      <c r="AB132" s="199"/>
      <c r="AC132" s="199"/>
      <c r="AD132" s="199">
        <v>855936.47651250008</v>
      </c>
      <c r="AE132" s="199"/>
      <c r="AF132"/>
      <c r="AH132" t="str">
        <f t="shared" si="8"/>
        <v>Moreno Valley</v>
      </c>
      <c r="AI132" s="199">
        <f>VLOOKUP(AH132,Places[#All],7,FALSE)</f>
        <v>51.3</v>
      </c>
      <c r="AJ132" s="199">
        <f>VLOOKUP(AH132,Places[#All],6,FALSE)/100000</f>
        <v>2.0905</v>
      </c>
      <c r="AK132"/>
      <c r="AL132"/>
      <c r="AM132"/>
    </row>
    <row r="133" spans="1:39" x14ac:dyDescent="0.25">
      <c r="A133"/>
      <c r="B133"/>
      <c r="C133"/>
      <c r="D133"/>
      <c r="E133"/>
      <c r="F133" s="12"/>
      <c r="G133" s="12"/>
      <c r="I133"/>
      <c r="J133"/>
      <c r="K133"/>
      <c r="L133"/>
      <c r="M133"/>
      <c r="N133"/>
      <c r="O133"/>
      <c r="P133"/>
      <c r="Q133"/>
      <c r="R133"/>
      <c r="S133"/>
      <c r="T133"/>
      <c r="U133"/>
      <c r="W133"/>
      <c r="X133" s="44" t="s">
        <v>297</v>
      </c>
      <c r="Y133" s="199"/>
      <c r="Z133" s="199"/>
      <c r="AA133" s="199"/>
      <c r="AB133" s="199"/>
      <c r="AC133" s="199"/>
      <c r="AD133" s="199"/>
      <c r="AE133" s="199">
        <v>1051240</v>
      </c>
      <c r="AF133"/>
      <c r="AH133" t="str">
        <f t="shared" si="8"/>
        <v>Murrieta</v>
      </c>
      <c r="AI133" s="199">
        <f>VLOOKUP(AH133,Places[#All],7,FALSE)</f>
        <v>33.6</v>
      </c>
      <c r="AJ133" s="199">
        <f>VLOOKUP(AH133,Places[#All],6,FALSE)/100000</f>
        <v>1.14985</v>
      </c>
      <c r="AK133"/>
      <c r="AL133"/>
      <c r="AM133"/>
    </row>
    <row r="134" spans="1:39" x14ac:dyDescent="0.25">
      <c r="A134"/>
      <c r="B134"/>
      <c r="C134"/>
      <c r="D134"/>
      <c r="E134"/>
      <c r="F134" s="12"/>
      <c r="G134" s="12"/>
      <c r="I134"/>
      <c r="J134"/>
      <c r="K134"/>
      <c r="L134"/>
      <c r="M134"/>
      <c r="N134"/>
      <c r="O134"/>
      <c r="P134"/>
      <c r="Q134"/>
      <c r="R134"/>
      <c r="S134"/>
      <c r="T134"/>
      <c r="U134"/>
      <c r="W134"/>
      <c r="X134" s="44" t="s">
        <v>315</v>
      </c>
      <c r="Y134" s="199"/>
      <c r="Z134" s="199"/>
      <c r="AA134" s="199"/>
      <c r="AB134" s="199"/>
      <c r="AC134" s="199"/>
      <c r="AD134" s="199"/>
      <c r="AE134" s="199">
        <v>699244.66575275408</v>
      </c>
      <c r="AF134"/>
      <c r="AH134" t="str">
        <f t="shared" si="8"/>
        <v>National City</v>
      </c>
      <c r="AI134" s="199">
        <f>VLOOKUP(AH134,Places[#All],7,FALSE)</f>
        <v>7.3</v>
      </c>
      <c r="AJ134" s="199">
        <f>VLOOKUP(AH134,Places[#All],6,FALSE)/100000</f>
        <v>0.61431000000000002</v>
      </c>
      <c r="AK134"/>
      <c r="AL134"/>
      <c r="AM134"/>
    </row>
    <row r="135" spans="1:39" x14ac:dyDescent="0.25">
      <c r="A135"/>
      <c r="B135"/>
      <c r="C135"/>
      <c r="D135"/>
      <c r="E135"/>
      <c r="F135" s="12"/>
      <c r="G135" s="12"/>
      <c r="I135"/>
      <c r="J135"/>
      <c r="K135"/>
      <c r="L135"/>
      <c r="M135"/>
      <c r="N135"/>
      <c r="O135"/>
      <c r="P135"/>
      <c r="Q135"/>
      <c r="R135"/>
      <c r="S135"/>
      <c r="T135"/>
      <c r="U135"/>
      <c r="W135"/>
      <c r="X135" s="44" t="s">
        <v>285</v>
      </c>
      <c r="Y135" s="199"/>
      <c r="Z135" s="199"/>
      <c r="AA135" s="199"/>
      <c r="AB135" s="199"/>
      <c r="AC135" s="199"/>
      <c r="AD135" s="199">
        <v>3001101.062676454</v>
      </c>
      <c r="AE135" s="199"/>
      <c r="AF135"/>
      <c r="AH135" t="str">
        <f t="shared" si="8"/>
        <v>Newport Beach</v>
      </c>
      <c r="AI135" s="199">
        <f>VLOOKUP(AH135,Places[#All],7,FALSE)</f>
        <v>23.8</v>
      </c>
      <c r="AJ135" s="199">
        <f>VLOOKUP(AH135,Places[#All],6,FALSE)/100000</f>
        <v>0.85326000000000002</v>
      </c>
      <c r="AK135"/>
      <c r="AL135"/>
      <c r="AM135"/>
    </row>
    <row r="136" spans="1:39" x14ac:dyDescent="0.25">
      <c r="A136"/>
      <c r="B136"/>
      <c r="C136"/>
      <c r="D136"/>
      <c r="E136"/>
      <c r="F136" s="12"/>
      <c r="G136" s="12"/>
      <c r="I136"/>
      <c r="J136"/>
      <c r="K136"/>
      <c r="L136"/>
      <c r="M136"/>
      <c r="N136"/>
      <c r="O136"/>
      <c r="P136"/>
      <c r="Q136"/>
      <c r="R136"/>
      <c r="S136"/>
      <c r="T136"/>
      <c r="U136"/>
      <c r="W136"/>
      <c r="X136" s="44" t="s">
        <v>169</v>
      </c>
      <c r="Y136" s="199"/>
      <c r="Z136" s="199"/>
      <c r="AA136" s="199">
        <v>1105460.6375696203</v>
      </c>
      <c r="AB136" s="199"/>
      <c r="AC136" s="199"/>
      <c r="AD136" s="199"/>
      <c r="AE136" s="199"/>
      <c r="AF136"/>
      <c r="AH136" t="str">
        <f t="shared" si="8"/>
        <v>Norwalk</v>
      </c>
      <c r="AI136" s="199">
        <f>VLOOKUP(AH136,Places[#All],7,FALSE)</f>
        <v>9.6999999999999993</v>
      </c>
      <c r="AJ136" s="199">
        <f>VLOOKUP(AH136,Places[#All],6,FALSE)/100000</f>
        <v>1.0511999999999999</v>
      </c>
      <c r="AK136"/>
      <c r="AL136"/>
      <c r="AM136"/>
    </row>
    <row r="137" spans="1:39" x14ac:dyDescent="0.25">
      <c r="A137"/>
      <c r="B137"/>
      <c r="C137"/>
      <c r="D137"/>
      <c r="E137"/>
      <c r="F137" s="12"/>
      <c r="G137" s="12"/>
      <c r="I137"/>
      <c r="J137"/>
      <c r="K137"/>
      <c r="L137"/>
      <c r="M137"/>
      <c r="N137"/>
      <c r="O137"/>
      <c r="P137"/>
      <c r="Q137"/>
      <c r="R137"/>
      <c r="S137"/>
      <c r="T137"/>
      <c r="U137"/>
      <c r="W137"/>
      <c r="X137" s="44" t="s">
        <v>305</v>
      </c>
      <c r="Y137" s="199"/>
      <c r="Z137" s="199"/>
      <c r="AA137" s="199"/>
      <c r="AB137" s="199"/>
      <c r="AC137" s="199"/>
      <c r="AD137" s="199"/>
      <c r="AE137" s="199">
        <v>4327077.8860465121</v>
      </c>
      <c r="AF137"/>
      <c r="AH137" t="str">
        <f t="shared" si="8"/>
        <v>Oceanside</v>
      </c>
      <c r="AI137" s="199">
        <f>VLOOKUP(AH137,Places[#All],7,FALSE)</f>
        <v>41.3</v>
      </c>
      <c r="AJ137" s="199">
        <f>VLOOKUP(AH137,Places[#All],6,FALSE)/100000</f>
        <v>1.7607999999999999</v>
      </c>
      <c r="AK137"/>
      <c r="AL137"/>
      <c r="AM137"/>
    </row>
    <row r="138" spans="1:39" x14ac:dyDescent="0.25">
      <c r="A138"/>
      <c r="B138"/>
      <c r="C138"/>
      <c r="D138"/>
      <c r="E138"/>
      <c r="F138" s="12"/>
      <c r="G138" s="12"/>
      <c r="I138"/>
      <c r="J138"/>
      <c r="K138"/>
      <c r="L138"/>
      <c r="M138"/>
      <c r="N138"/>
      <c r="O138"/>
      <c r="P138"/>
      <c r="Q138"/>
      <c r="R138"/>
      <c r="S138"/>
      <c r="T138"/>
      <c r="U138"/>
      <c r="W138"/>
      <c r="X138" s="44" t="s">
        <v>18</v>
      </c>
      <c r="Y138" s="199"/>
      <c r="Z138" s="199"/>
      <c r="AA138" s="199"/>
      <c r="AB138" s="199"/>
      <c r="AC138" s="199"/>
      <c r="AD138" s="199">
        <v>2467026.6813307987</v>
      </c>
      <c r="AE138" s="199"/>
      <c r="AF138"/>
      <c r="AH138" t="str">
        <f t="shared" si="8"/>
        <v>Ontario</v>
      </c>
      <c r="AI138" s="199">
        <f>VLOOKUP(AH138,Places[#All],7,FALSE)</f>
        <v>49.9</v>
      </c>
      <c r="AJ138" s="199">
        <f>VLOOKUP(AH138,Places[#All],6,FALSE)/100000</f>
        <v>1.81107</v>
      </c>
      <c r="AK138"/>
      <c r="AL138"/>
      <c r="AM138"/>
    </row>
    <row r="139" spans="1:39" x14ac:dyDescent="0.25">
      <c r="A139"/>
      <c r="B139"/>
      <c r="C139"/>
      <c r="D139"/>
      <c r="E139"/>
      <c r="F139" s="12"/>
      <c r="G139" s="12"/>
      <c r="I139"/>
      <c r="J139"/>
      <c r="K139"/>
      <c r="L139"/>
      <c r="M139"/>
      <c r="N139"/>
      <c r="O139"/>
      <c r="P139"/>
      <c r="Q139"/>
      <c r="R139"/>
      <c r="S139"/>
      <c r="T139"/>
      <c r="U139"/>
      <c r="W139"/>
      <c r="X139" s="44" t="s">
        <v>262</v>
      </c>
      <c r="Y139" s="199"/>
      <c r="Z139" s="199"/>
      <c r="AA139" s="199"/>
      <c r="AB139" s="199"/>
      <c r="AC139" s="199"/>
      <c r="AD139" s="199">
        <v>2582509.839367589</v>
      </c>
      <c r="AE139" s="199"/>
      <c r="AF139"/>
      <c r="AH139" t="str">
        <f t="shared" si="8"/>
        <v>Orange</v>
      </c>
      <c r="AI139" s="199">
        <f>VLOOKUP(AH139,Places[#All],7,FALSE)</f>
        <v>25.4</v>
      </c>
      <c r="AJ139" s="199">
        <f>VLOOKUP(AH139,Places[#All],6,FALSE)/100000</f>
        <v>1.3948400000000001</v>
      </c>
      <c r="AK139"/>
      <c r="AL139"/>
      <c r="AM139"/>
    </row>
    <row r="140" spans="1:39" x14ac:dyDescent="0.25">
      <c r="A140"/>
      <c r="B140"/>
      <c r="C140"/>
      <c r="D140"/>
      <c r="E140"/>
      <c r="F140" s="12"/>
      <c r="G140" s="12"/>
      <c r="I140"/>
      <c r="J140"/>
      <c r="K140"/>
      <c r="L140"/>
      <c r="M140"/>
      <c r="N140"/>
      <c r="O140"/>
      <c r="P140"/>
      <c r="Q140"/>
      <c r="R140"/>
      <c r="S140"/>
      <c r="T140"/>
      <c r="U140"/>
      <c r="W140"/>
      <c r="X140" s="44" t="s">
        <v>176</v>
      </c>
      <c r="Y140" s="199"/>
      <c r="Z140" s="199"/>
      <c r="AA140" s="199">
        <v>106098.0345949367</v>
      </c>
      <c r="AB140" s="199"/>
      <c r="AC140" s="199"/>
      <c r="AD140" s="199"/>
      <c r="AE140" s="199"/>
      <c r="AF140"/>
      <c r="AH140" t="str">
        <f t="shared" si="8"/>
        <v>Palos Verdes Estates</v>
      </c>
      <c r="AI140" s="199">
        <f>VLOOKUP(AH140,Places[#All],7,FALSE)</f>
        <v>4.8</v>
      </c>
      <c r="AJ140" s="199">
        <f>VLOOKUP(AH140,Places[#All],6,FALSE)/100000</f>
        <v>0.13403999999999999</v>
      </c>
      <c r="AK140"/>
      <c r="AL140"/>
      <c r="AM140"/>
    </row>
    <row r="141" spans="1:39" x14ac:dyDescent="0.25">
      <c r="A141"/>
      <c r="B141"/>
      <c r="C141"/>
      <c r="D141"/>
      <c r="E141"/>
      <c r="F141" s="12"/>
      <c r="G141" s="12"/>
      <c r="I141"/>
      <c r="J141"/>
      <c r="K141"/>
      <c r="L141"/>
      <c r="M141"/>
      <c r="N141"/>
      <c r="O141"/>
      <c r="P141"/>
      <c r="Q141"/>
      <c r="R141"/>
      <c r="S141"/>
      <c r="T141"/>
      <c r="U141"/>
      <c r="W141"/>
      <c r="X141" s="44" t="s">
        <v>212</v>
      </c>
      <c r="Y141" s="199"/>
      <c r="Z141" s="199"/>
      <c r="AA141" s="199">
        <v>3737410.4772151895</v>
      </c>
      <c r="AB141" s="199"/>
      <c r="AC141" s="199"/>
      <c r="AD141" s="199"/>
      <c r="AE141" s="199"/>
      <c r="AF141"/>
      <c r="AH141" t="str">
        <f t="shared" si="8"/>
        <v>Paramount</v>
      </c>
      <c r="AI141" s="199">
        <f>VLOOKUP(AH141,Places[#All],7,FALSE)</f>
        <v>4.7</v>
      </c>
      <c r="AJ141" s="199">
        <f>VLOOKUP(AH141,Places[#All],6,FALSE)/100000</f>
        <v>0.53681999999999996</v>
      </c>
      <c r="AK141"/>
      <c r="AL141"/>
      <c r="AM141"/>
    </row>
    <row r="142" spans="1:39" x14ac:dyDescent="0.25">
      <c r="A142"/>
      <c r="B142"/>
      <c r="C142"/>
      <c r="D142"/>
      <c r="E142"/>
      <c r="F142" s="12"/>
      <c r="G142" s="12"/>
      <c r="I142"/>
      <c r="J142"/>
      <c r="K142"/>
      <c r="L142"/>
      <c r="M142"/>
      <c r="N142"/>
      <c r="O142"/>
      <c r="P142"/>
      <c r="Q142"/>
      <c r="R142"/>
      <c r="S142"/>
      <c r="T142"/>
      <c r="U142"/>
      <c r="W142"/>
      <c r="X142" s="44" t="s">
        <v>193</v>
      </c>
      <c r="Y142" s="199"/>
      <c r="Z142" s="199"/>
      <c r="AA142" s="199">
        <v>17736269.430379745</v>
      </c>
      <c r="AB142" s="199"/>
      <c r="AC142" s="199"/>
      <c r="AD142" s="199"/>
      <c r="AE142" s="199"/>
      <c r="AF142"/>
      <c r="AH142" t="str">
        <f t="shared" si="8"/>
        <v>Pasadena</v>
      </c>
      <c r="AI142" s="199">
        <f>VLOOKUP(AH142,Places[#All],7,FALSE)</f>
        <v>23</v>
      </c>
      <c r="AJ142" s="199">
        <f>VLOOKUP(AH142,Places[#All],6,FALSE)/100000</f>
        <v>1.41371</v>
      </c>
      <c r="AK142"/>
      <c r="AL142"/>
      <c r="AM142"/>
    </row>
    <row r="143" spans="1:39" x14ac:dyDescent="0.25">
      <c r="A143"/>
      <c r="B143"/>
      <c r="C143"/>
      <c r="D143"/>
      <c r="E143"/>
      <c r="F143" s="12"/>
      <c r="G143" s="12"/>
      <c r="I143"/>
      <c r="J143"/>
      <c r="K143"/>
      <c r="L143"/>
      <c r="M143"/>
      <c r="N143"/>
      <c r="O143"/>
      <c r="P143"/>
      <c r="Q143"/>
      <c r="R143"/>
      <c r="S143"/>
      <c r="T143"/>
      <c r="U143"/>
      <c r="W143"/>
      <c r="X143" s="44" t="s">
        <v>238</v>
      </c>
      <c r="Y143" s="199"/>
      <c r="Z143" s="199"/>
      <c r="AA143" s="199"/>
      <c r="AB143" s="199"/>
      <c r="AC143" s="199"/>
      <c r="AD143" s="199">
        <v>189436.20450000002</v>
      </c>
      <c r="AE143" s="199"/>
      <c r="AF143"/>
      <c r="AH143" t="str">
        <f t="shared" si="8"/>
        <v>Perris</v>
      </c>
      <c r="AI143" s="199">
        <f>VLOOKUP(AH143,Places[#All],7,FALSE)</f>
        <v>31.6</v>
      </c>
      <c r="AJ143" s="199">
        <f>VLOOKUP(AH143,Places[#All],6,FALSE)/100000</f>
        <v>0.79132999999999998</v>
      </c>
      <c r="AK143"/>
      <c r="AL143"/>
      <c r="AM143"/>
    </row>
    <row r="144" spans="1:39" x14ac:dyDescent="0.25">
      <c r="A144"/>
      <c r="B144"/>
      <c r="C144"/>
      <c r="D144"/>
      <c r="E144"/>
      <c r="F144" s="12"/>
      <c r="G144" s="12"/>
      <c r="I144"/>
      <c r="J144"/>
      <c r="K144"/>
      <c r="L144"/>
      <c r="M144"/>
      <c r="N144"/>
      <c r="O144"/>
      <c r="P144"/>
      <c r="Q144"/>
      <c r="R144"/>
      <c r="S144"/>
      <c r="T144"/>
      <c r="U144"/>
      <c r="W144"/>
      <c r="X144" s="44" t="s">
        <v>170</v>
      </c>
      <c r="Y144" s="199"/>
      <c r="Z144" s="199"/>
      <c r="AA144" s="199">
        <v>1035243.9094936708</v>
      </c>
      <c r="AB144" s="199"/>
      <c r="AC144" s="199"/>
      <c r="AD144" s="199"/>
      <c r="AE144" s="199"/>
      <c r="AF144"/>
      <c r="AH144" t="str">
        <f t="shared" si="8"/>
        <v>Pico Rivera</v>
      </c>
      <c r="AI144" s="199">
        <f>VLOOKUP(AH144,Places[#All],7,FALSE)</f>
        <v>8.3000000000000007</v>
      </c>
      <c r="AJ144" s="199">
        <f>VLOOKUP(AH144,Places[#All],6,FALSE)/100000</f>
        <v>0.62887999999999999</v>
      </c>
      <c r="AK144"/>
      <c r="AL144"/>
      <c r="AM144"/>
    </row>
    <row r="145" spans="1:39" x14ac:dyDescent="0.25">
      <c r="A145"/>
      <c r="B145"/>
      <c r="C145"/>
      <c r="D145"/>
      <c r="E145"/>
      <c r="F145" s="12"/>
      <c r="G145" s="12"/>
      <c r="I145"/>
      <c r="J145"/>
      <c r="K145"/>
      <c r="L145"/>
      <c r="M145"/>
      <c r="N145"/>
      <c r="O145"/>
      <c r="P145"/>
      <c r="Q145"/>
      <c r="R145"/>
      <c r="S145"/>
      <c r="T145"/>
      <c r="U145"/>
      <c r="W145"/>
      <c r="X145" s="44" t="s">
        <v>286</v>
      </c>
      <c r="Y145" s="199"/>
      <c r="Z145" s="199"/>
      <c r="AA145" s="199"/>
      <c r="AB145" s="199"/>
      <c r="AC145" s="199"/>
      <c r="AD145" s="199">
        <v>447385.99375494069</v>
      </c>
      <c r="AE145" s="199"/>
      <c r="AF145"/>
      <c r="AH145" t="str">
        <f t="shared" si="8"/>
        <v>Placentia</v>
      </c>
      <c r="AI145" s="199">
        <f>VLOOKUP(AH145,Places[#All],7,FALSE)</f>
        <v>6.6</v>
      </c>
      <c r="AJ145" s="199">
        <f>VLOOKUP(AH145,Places[#All],6,FALSE)/100000</f>
        <v>0.51671</v>
      </c>
      <c r="AK145"/>
      <c r="AL145"/>
      <c r="AM145"/>
    </row>
    <row r="146" spans="1:39" x14ac:dyDescent="0.25">
      <c r="A146"/>
      <c r="B146"/>
      <c r="C146"/>
      <c r="D146"/>
      <c r="E146"/>
      <c r="F146" s="12"/>
      <c r="G146" s="12"/>
      <c r="I146"/>
      <c r="J146"/>
      <c r="K146"/>
      <c r="L146"/>
      <c r="M146"/>
      <c r="N146"/>
      <c r="O146"/>
      <c r="P146"/>
      <c r="Q146"/>
      <c r="R146"/>
      <c r="S146"/>
      <c r="T146"/>
      <c r="U146"/>
      <c r="W146"/>
      <c r="X146" s="44" t="s">
        <v>153</v>
      </c>
      <c r="Y146" s="199"/>
      <c r="Z146" s="199"/>
      <c r="AA146" s="199">
        <v>3636785.6823037975</v>
      </c>
      <c r="AB146" s="199"/>
      <c r="AC146" s="199"/>
      <c r="AD146" s="199"/>
      <c r="AE146" s="199"/>
      <c r="AF146"/>
      <c r="AH146" t="str">
        <f t="shared" si="8"/>
        <v>Pomona</v>
      </c>
      <c r="AI146" s="199">
        <f>VLOOKUP(AH146,Places[#All],7,FALSE)</f>
        <v>23</v>
      </c>
      <c r="AJ146" s="199">
        <f>VLOOKUP(AH146,Places[#All],6,FALSE)/100000</f>
        <v>1.5236099999999999</v>
      </c>
      <c r="AK146"/>
      <c r="AL146"/>
      <c r="AM146"/>
    </row>
    <row r="147" spans="1:39" x14ac:dyDescent="0.25">
      <c r="A147"/>
      <c r="B147"/>
      <c r="C147"/>
      <c r="D147"/>
      <c r="E147"/>
      <c r="F147" s="12"/>
      <c r="G147" s="12"/>
      <c r="I147"/>
      <c r="J147"/>
      <c r="K147"/>
      <c r="L147"/>
      <c r="M147"/>
      <c r="N147"/>
      <c r="O147"/>
      <c r="P147"/>
      <c r="Q147"/>
      <c r="R147"/>
      <c r="S147"/>
      <c r="T147"/>
      <c r="U147"/>
      <c r="W147"/>
      <c r="X147" s="44" t="s">
        <v>309</v>
      </c>
      <c r="Y147" s="199"/>
      <c r="Z147" s="199"/>
      <c r="AA147" s="199"/>
      <c r="AB147" s="199"/>
      <c r="AC147" s="199"/>
      <c r="AD147" s="199"/>
      <c r="AE147" s="199">
        <v>1995185.3816034275</v>
      </c>
      <c r="AF147"/>
      <c r="AH147" t="str">
        <f t="shared" si="8"/>
        <v>Poway</v>
      </c>
      <c r="AI147" s="199">
        <f>VLOOKUP(AH147,Places[#All],7,FALSE)</f>
        <v>39.1</v>
      </c>
      <c r="AJ147" s="199">
        <f>VLOOKUP(AH147,Places[#All],6,FALSE)/100000</f>
        <v>0.49703999999999998</v>
      </c>
      <c r="AK147"/>
      <c r="AL147"/>
      <c r="AM147"/>
    </row>
    <row r="148" spans="1:39" x14ac:dyDescent="0.25">
      <c r="A148"/>
      <c r="B148"/>
      <c r="C148"/>
      <c r="D148"/>
      <c r="E148"/>
      <c r="F148" s="12"/>
      <c r="G148" s="12"/>
      <c r="I148"/>
      <c r="J148"/>
      <c r="K148"/>
      <c r="L148"/>
      <c r="M148"/>
      <c r="N148"/>
      <c r="O148"/>
      <c r="P148"/>
      <c r="Q148"/>
      <c r="R148"/>
      <c r="S148"/>
      <c r="T148"/>
      <c r="U148"/>
      <c r="W148"/>
      <c r="X148" s="44" t="s">
        <v>140</v>
      </c>
      <c r="Y148" s="199"/>
      <c r="Z148" s="199"/>
      <c r="AA148" s="199"/>
      <c r="AB148" s="199">
        <v>1939277.1300375001</v>
      </c>
      <c r="AC148" s="199"/>
      <c r="AD148" s="199"/>
      <c r="AE148" s="199"/>
      <c r="AF148"/>
      <c r="AH148" t="str">
        <f t="shared" si="8"/>
        <v>Rancho Cordova</v>
      </c>
      <c r="AI148" s="199">
        <f>VLOOKUP(AH148,Places[#All],7,FALSE)</f>
        <v>34.9</v>
      </c>
      <c r="AJ148" s="199">
        <f>VLOOKUP(AH148,Places[#All],6,FALSE)/100000</f>
        <v>0.74585000000000001</v>
      </c>
      <c r="AK148"/>
      <c r="AL148"/>
      <c r="AM148"/>
    </row>
    <row r="149" spans="1:39" x14ac:dyDescent="0.25">
      <c r="A149"/>
      <c r="B149"/>
      <c r="C149"/>
      <c r="D149"/>
      <c r="E149"/>
      <c r="F149" s="12"/>
      <c r="G149" s="12"/>
      <c r="I149"/>
      <c r="J149"/>
      <c r="K149"/>
      <c r="L149"/>
      <c r="M149"/>
      <c r="N149"/>
      <c r="O149"/>
      <c r="P149"/>
      <c r="Q149"/>
      <c r="R149"/>
      <c r="S149"/>
      <c r="T149"/>
      <c r="U149"/>
      <c r="W149"/>
      <c r="X149" s="44" t="s">
        <v>248</v>
      </c>
      <c r="Y149" s="199"/>
      <c r="Z149" s="199"/>
      <c r="AA149" s="199"/>
      <c r="AB149" s="199"/>
      <c r="AC149" s="199"/>
      <c r="AD149" s="199">
        <v>1415205.912091255</v>
      </c>
      <c r="AE149" s="199"/>
      <c r="AF149"/>
      <c r="AH149" t="str">
        <f t="shared" si="8"/>
        <v>Rancho Cucamonga</v>
      </c>
      <c r="AI149" s="199">
        <f>VLOOKUP(AH149,Places[#All],7,FALSE)</f>
        <v>40</v>
      </c>
      <c r="AJ149" s="199">
        <f>VLOOKUP(AH149,Places[#All],6,FALSE)/100000</f>
        <v>1.7775099999999999</v>
      </c>
      <c r="AK149"/>
      <c r="AL149"/>
      <c r="AM149"/>
    </row>
    <row r="150" spans="1:39" x14ac:dyDescent="0.25">
      <c r="A150"/>
      <c r="B150"/>
      <c r="C150"/>
      <c r="D150"/>
      <c r="E150"/>
      <c r="F150" s="12"/>
      <c r="G150" s="12"/>
      <c r="I150"/>
      <c r="J150"/>
      <c r="K150"/>
      <c r="L150"/>
      <c r="M150"/>
      <c r="N150"/>
      <c r="O150"/>
      <c r="P150"/>
      <c r="Q150"/>
      <c r="R150"/>
      <c r="S150"/>
      <c r="T150"/>
      <c r="U150"/>
      <c r="W150"/>
      <c r="X150" s="44" t="s">
        <v>178</v>
      </c>
      <c r="Y150" s="199"/>
      <c r="Z150" s="199"/>
      <c r="AA150" s="199">
        <v>445312.54860759492</v>
      </c>
      <c r="AB150" s="199"/>
      <c r="AC150" s="199"/>
      <c r="AD150" s="199"/>
      <c r="AE150" s="199"/>
      <c r="AF150"/>
      <c r="AH150" t="str">
        <f t="shared" si="8"/>
        <v>Rancho Palos Verdes</v>
      </c>
      <c r="AI150" s="199">
        <f>VLOOKUP(AH150,Places[#All],7,FALSE)</f>
        <v>13.5</v>
      </c>
      <c r="AJ150" s="199">
        <f>VLOOKUP(AH150,Places[#All],6,FALSE)/100000</f>
        <v>0.41927999999999999</v>
      </c>
      <c r="AK150"/>
      <c r="AL150"/>
      <c r="AM150"/>
    </row>
    <row r="151" spans="1:39" x14ac:dyDescent="0.25">
      <c r="A151"/>
      <c r="B151"/>
      <c r="C151"/>
      <c r="D151"/>
      <c r="E151"/>
      <c r="F151" s="12"/>
      <c r="G151" s="12"/>
      <c r="I151"/>
      <c r="J151"/>
      <c r="K151"/>
      <c r="L151"/>
      <c r="M151"/>
      <c r="N151"/>
      <c r="O151"/>
      <c r="P151"/>
      <c r="Q151"/>
      <c r="R151"/>
      <c r="S151"/>
      <c r="T151"/>
      <c r="U151"/>
      <c r="W151"/>
      <c r="X151" s="44" t="s">
        <v>287</v>
      </c>
      <c r="Y151" s="199"/>
      <c r="Z151" s="199"/>
      <c r="AA151" s="199"/>
      <c r="AB151" s="199"/>
      <c r="AC151" s="199"/>
      <c r="AD151" s="199"/>
      <c r="AE151" s="199">
        <v>373495.5750396573</v>
      </c>
      <c r="AF151"/>
      <c r="AH151" t="str">
        <f t="shared" si="8"/>
        <v>Rancho Santa Margarita</v>
      </c>
      <c r="AI151" s="199">
        <f>VLOOKUP(AH151,Places[#All],7,FALSE)</f>
        <v>12.9</v>
      </c>
      <c r="AJ151" s="199">
        <f>VLOOKUP(AH151,Places[#All],6,FALSE)/100000</f>
        <v>0.48325000000000001</v>
      </c>
      <c r="AK151"/>
      <c r="AL151"/>
      <c r="AM151"/>
    </row>
    <row r="152" spans="1:39" x14ac:dyDescent="0.25">
      <c r="A152"/>
      <c r="B152"/>
      <c r="C152"/>
      <c r="D152"/>
      <c r="E152"/>
      <c r="F152" s="12"/>
      <c r="G152" s="12"/>
      <c r="I152"/>
      <c r="J152"/>
      <c r="K152"/>
      <c r="L152"/>
      <c r="M152"/>
      <c r="N152"/>
      <c r="O152"/>
      <c r="P152"/>
      <c r="Q152"/>
      <c r="R152"/>
      <c r="S152"/>
      <c r="T152"/>
      <c r="U152"/>
      <c r="W152"/>
      <c r="X152" s="44" t="s">
        <v>249</v>
      </c>
      <c r="Y152" s="199"/>
      <c r="Z152" s="199"/>
      <c r="AA152" s="199"/>
      <c r="AB152" s="199"/>
      <c r="AC152" s="199"/>
      <c r="AD152" s="199">
        <v>1228933.0611406844</v>
      </c>
      <c r="AE152" s="199"/>
      <c r="AF152"/>
      <c r="AH152" t="str">
        <f t="shared" si="8"/>
        <v>Redlands</v>
      </c>
      <c r="AI152" s="199">
        <f>VLOOKUP(AH152,Places[#All],7,FALSE)</f>
        <v>36</v>
      </c>
      <c r="AJ152" s="199">
        <f>VLOOKUP(AH152,Places[#All],6,FALSE)/100000</f>
        <v>0.71586000000000005</v>
      </c>
      <c r="AK152"/>
      <c r="AL152"/>
      <c r="AM152"/>
    </row>
    <row r="153" spans="1:39" x14ac:dyDescent="0.25">
      <c r="A153"/>
      <c r="B153"/>
      <c r="C153"/>
      <c r="D153"/>
      <c r="E153"/>
      <c r="F153" s="12"/>
      <c r="G153" s="12"/>
      <c r="I153"/>
      <c r="J153"/>
      <c r="K153"/>
      <c r="L153"/>
      <c r="M153"/>
      <c r="N153"/>
      <c r="O153"/>
      <c r="P153"/>
      <c r="Q153"/>
      <c r="R153"/>
      <c r="S153"/>
      <c r="T153"/>
      <c r="U153"/>
      <c r="W153"/>
      <c r="X153" s="44" t="s">
        <v>148</v>
      </c>
      <c r="Y153" s="199"/>
      <c r="Z153" s="199"/>
      <c r="AA153" s="199">
        <v>2575767.1139240507</v>
      </c>
      <c r="AB153" s="199"/>
      <c r="AC153" s="199"/>
      <c r="AD153" s="199"/>
      <c r="AE153" s="199"/>
      <c r="AF153"/>
      <c r="AH153" t="str">
        <f t="shared" si="8"/>
        <v>Redondo Beach</v>
      </c>
      <c r="AI153" s="199">
        <f>VLOOKUP(AH153,Places[#All],7,FALSE)</f>
        <v>6.2</v>
      </c>
      <c r="AJ153" s="199">
        <f>VLOOKUP(AH153,Places[#All],6,FALSE)/100000</f>
        <v>0.67412000000000005</v>
      </c>
      <c r="AK153"/>
      <c r="AL153"/>
      <c r="AM153"/>
    </row>
    <row r="154" spans="1:39" x14ac:dyDescent="0.25">
      <c r="A154"/>
      <c r="B154"/>
      <c r="C154"/>
      <c r="D154"/>
      <c r="E154"/>
      <c r="F154" s="12"/>
      <c r="G154" s="12"/>
      <c r="I154"/>
      <c r="J154"/>
      <c r="K154"/>
      <c r="L154"/>
      <c r="M154"/>
      <c r="N154"/>
      <c r="O154"/>
      <c r="P154"/>
      <c r="Q154"/>
      <c r="R154"/>
      <c r="S154"/>
      <c r="T154"/>
      <c r="U154"/>
      <c r="W154"/>
      <c r="X154" s="44" t="s">
        <v>250</v>
      </c>
      <c r="Y154" s="199"/>
      <c r="Z154" s="199"/>
      <c r="AA154" s="199"/>
      <c r="AB154" s="199"/>
      <c r="AC154" s="199"/>
      <c r="AD154" s="199">
        <v>305497.25589353614</v>
      </c>
      <c r="AE154" s="199"/>
      <c r="AF154"/>
      <c r="AH154" t="str">
        <f t="shared" si="8"/>
        <v>Rialto</v>
      </c>
      <c r="AI154" s="199">
        <f>VLOOKUP(AH154,Places[#All],7,FALSE)</f>
        <v>22.3</v>
      </c>
      <c r="AJ154" s="199">
        <f>VLOOKUP(AH154,Places[#All],6,FALSE)/100000</f>
        <v>1.0344</v>
      </c>
      <c r="AK154"/>
      <c r="AL154"/>
      <c r="AM154"/>
    </row>
    <row r="155" spans="1:39" x14ac:dyDescent="0.25">
      <c r="A155"/>
      <c r="B155"/>
      <c r="C155"/>
      <c r="D155"/>
      <c r="E155"/>
      <c r="F155" s="12"/>
      <c r="G155" s="12"/>
      <c r="I155"/>
      <c r="J155"/>
      <c r="K155"/>
      <c r="L155"/>
      <c r="M155"/>
      <c r="N155"/>
      <c r="O155"/>
      <c r="P155"/>
      <c r="Q155"/>
      <c r="R155"/>
      <c r="S155"/>
      <c r="T155"/>
      <c r="U155"/>
      <c r="W155"/>
      <c r="X155" s="44" t="s">
        <v>185</v>
      </c>
      <c r="Y155" s="199"/>
      <c r="Z155" s="199"/>
      <c r="AA155" s="199">
        <v>77393.33975202532</v>
      </c>
      <c r="AB155" s="199"/>
      <c r="AC155" s="199"/>
      <c r="AD155" s="199"/>
      <c r="AE155" s="199"/>
      <c r="AF155"/>
      <c r="AH155" t="str">
        <f t="shared" si="8"/>
        <v>Rolling Hills</v>
      </c>
      <c r="AI155" s="199">
        <f>VLOOKUP(AH155,Places[#All],7,FALSE)</f>
        <v>3</v>
      </c>
      <c r="AJ155" s="199">
        <f>VLOOKUP(AH155,Places[#All],6,FALSE)/100000</f>
        <v>1.8669999999999999E-2</v>
      </c>
      <c r="AK155"/>
      <c r="AL155"/>
      <c r="AM155"/>
    </row>
    <row r="156" spans="1:39" x14ac:dyDescent="0.25">
      <c r="A156"/>
      <c r="B156"/>
      <c r="C156"/>
      <c r="D156"/>
      <c r="E156"/>
      <c r="F156" s="12"/>
      <c r="G156" s="12"/>
      <c r="I156"/>
      <c r="J156"/>
      <c r="K156"/>
      <c r="L156"/>
      <c r="M156"/>
      <c r="N156"/>
      <c r="O156"/>
      <c r="P156"/>
      <c r="Q156"/>
      <c r="R156"/>
      <c r="S156"/>
      <c r="T156"/>
      <c r="U156"/>
      <c r="W156"/>
      <c r="X156" s="44" t="s">
        <v>177</v>
      </c>
      <c r="Y156" s="199"/>
      <c r="Z156" s="199"/>
      <c r="AA156" s="199">
        <v>370923.24768455693</v>
      </c>
      <c r="AB156" s="199"/>
      <c r="AC156" s="199"/>
      <c r="AD156" s="199"/>
      <c r="AE156" s="199"/>
      <c r="AF156"/>
      <c r="AH156" t="str">
        <f t="shared" si="8"/>
        <v>Rolling Hills Estates</v>
      </c>
      <c r="AI156" s="199">
        <f>VLOOKUP(AH156,Places[#All],7,FALSE)</f>
        <v>3.6</v>
      </c>
      <c r="AJ156" s="199">
        <f>VLOOKUP(AH156,Places[#All],6,FALSE)/100000</f>
        <v>8.1409999999999996E-2</v>
      </c>
      <c r="AK156"/>
      <c r="AL156"/>
      <c r="AM156"/>
    </row>
    <row r="157" spans="1:39" x14ac:dyDescent="0.25">
      <c r="A157"/>
      <c r="B157"/>
      <c r="C157"/>
      <c r="D157"/>
      <c r="E157"/>
      <c r="F157" s="12"/>
      <c r="G157" s="12"/>
      <c r="I157"/>
      <c r="J157"/>
      <c r="K157"/>
      <c r="L157"/>
      <c r="M157"/>
      <c r="N157"/>
      <c r="O157"/>
      <c r="P157"/>
      <c r="Q157"/>
      <c r="R157"/>
      <c r="S157"/>
      <c r="T157"/>
      <c r="U157"/>
      <c r="W157"/>
      <c r="X157" s="44" t="s">
        <v>194</v>
      </c>
      <c r="Y157" s="199"/>
      <c r="Z157" s="199"/>
      <c r="AA157" s="199">
        <v>418803.16967088607</v>
      </c>
      <c r="AB157" s="199"/>
      <c r="AC157" s="199"/>
      <c r="AD157" s="199"/>
      <c r="AE157" s="199"/>
      <c r="AF157"/>
      <c r="AH157" t="str">
        <f t="shared" si="8"/>
        <v>Rosemead</v>
      </c>
      <c r="AI157" s="199">
        <f>VLOOKUP(AH157,Places[#All],7,FALSE)</f>
        <v>5.2</v>
      </c>
      <c r="AJ157" s="199">
        <f>VLOOKUP(AH157,Places[#All],6,FALSE)/100000</f>
        <v>0.54412000000000005</v>
      </c>
      <c r="AK157"/>
      <c r="AL157"/>
      <c r="AM157"/>
    </row>
    <row r="158" spans="1:39" x14ac:dyDescent="0.25">
      <c r="A158"/>
      <c r="B158"/>
      <c r="C158"/>
      <c r="D158"/>
      <c r="E158"/>
      <c r="F158" s="12"/>
      <c r="G158" s="12"/>
      <c r="I158"/>
      <c r="J158"/>
      <c r="K158"/>
      <c r="L158"/>
      <c r="M158"/>
      <c r="N158"/>
      <c r="O158"/>
      <c r="P158"/>
      <c r="Q158"/>
      <c r="R158"/>
      <c r="S158"/>
      <c r="T158"/>
      <c r="U158"/>
      <c r="W158"/>
      <c r="X158" s="44" t="s">
        <v>124</v>
      </c>
      <c r="Y158" s="199"/>
      <c r="Z158" s="199"/>
      <c r="AA158" s="199"/>
      <c r="AB158" s="199">
        <v>35256726.769277848</v>
      </c>
      <c r="AC158" s="199"/>
      <c r="AD158" s="199"/>
      <c r="AE158" s="199"/>
      <c r="AF158"/>
      <c r="AH158" t="str">
        <f t="shared" ref="AH158:AH204" si="9">X158</f>
        <v>Sacramento</v>
      </c>
      <c r="AI158" s="199">
        <f>VLOOKUP(AH158,Places[#All],7,FALSE)</f>
        <v>97.9</v>
      </c>
      <c r="AJ158" s="199">
        <f>VLOOKUP(AH158,Places[#All],6,FALSE)/100000</f>
        <v>5.0852899999999996</v>
      </c>
      <c r="AK158"/>
      <c r="AL158"/>
      <c r="AM158"/>
    </row>
    <row r="159" spans="1:39" x14ac:dyDescent="0.25">
      <c r="A159"/>
      <c r="B159"/>
      <c r="C159"/>
      <c r="D159"/>
      <c r="E159"/>
      <c r="F159" s="12"/>
      <c r="G159" s="12"/>
      <c r="I159"/>
      <c r="J159"/>
      <c r="K159"/>
      <c r="L159"/>
      <c r="M159"/>
      <c r="N159"/>
      <c r="O159"/>
      <c r="P159"/>
      <c r="Q159"/>
      <c r="R159"/>
      <c r="S159"/>
      <c r="T159"/>
      <c r="U159"/>
      <c r="W159"/>
      <c r="X159" s="44" t="s">
        <v>7</v>
      </c>
      <c r="Y159" s="199"/>
      <c r="Z159" s="199">
        <v>4577600.1080783363</v>
      </c>
      <c r="AA159" s="199"/>
      <c r="AB159" s="199"/>
      <c r="AC159" s="199"/>
      <c r="AD159" s="199"/>
      <c r="AE159" s="199"/>
      <c r="AF159"/>
      <c r="AH159" t="str">
        <f t="shared" si="9"/>
        <v>Salinas</v>
      </c>
      <c r="AI159" s="199">
        <f>VLOOKUP(AH159,Places[#All],7,FALSE)</f>
        <v>23.6</v>
      </c>
      <c r="AJ159" s="199">
        <f>VLOOKUP(AH159,Places[#All],6,FALSE)/100000</f>
        <v>1.5625899999999999</v>
      </c>
      <c r="AK159"/>
      <c r="AL159"/>
      <c r="AM159"/>
    </row>
    <row r="160" spans="1:39" x14ac:dyDescent="0.25">
      <c r="A160"/>
      <c r="B160"/>
      <c r="C160"/>
      <c r="D160"/>
      <c r="E160"/>
      <c r="F160" s="12"/>
      <c r="G160" s="12"/>
      <c r="I160"/>
      <c r="J160"/>
      <c r="K160"/>
      <c r="L160"/>
      <c r="M160"/>
      <c r="N160"/>
      <c r="O160"/>
      <c r="P160"/>
      <c r="Q160"/>
      <c r="R160"/>
      <c r="S160"/>
      <c r="T160"/>
      <c r="U160"/>
      <c r="W160"/>
      <c r="X160" s="44" t="s">
        <v>20</v>
      </c>
      <c r="Y160" s="199"/>
      <c r="Z160" s="199"/>
      <c r="AA160" s="199"/>
      <c r="AB160" s="199"/>
      <c r="AC160" s="199"/>
      <c r="AD160" s="199">
        <v>2054167.9285171104</v>
      </c>
      <c r="AE160" s="199"/>
      <c r="AF160"/>
      <c r="AH160" t="str">
        <f t="shared" si="9"/>
        <v>San Bernardino</v>
      </c>
      <c r="AI160" s="199">
        <f>VLOOKUP(AH160,Places[#All],7,FALSE)</f>
        <v>61.5</v>
      </c>
      <c r="AJ160" s="199">
        <f>VLOOKUP(AH160,Places[#All],6,FALSE)/100000</f>
        <v>2.1594099999999998</v>
      </c>
      <c r="AK160"/>
      <c r="AL160"/>
      <c r="AM160"/>
    </row>
    <row r="161" spans="1:39" x14ac:dyDescent="0.25">
      <c r="A161"/>
      <c r="B161"/>
      <c r="C161"/>
      <c r="D161"/>
      <c r="E161"/>
      <c r="F161" s="12"/>
      <c r="G161" s="12"/>
      <c r="I161"/>
      <c r="J161"/>
      <c r="K161"/>
      <c r="L161"/>
      <c r="M161"/>
      <c r="N161"/>
      <c r="O161"/>
      <c r="P161"/>
      <c r="Q161"/>
      <c r="R161"/>
      <c r="S161"/>
      <c r="T161"/>
      <c r="U161"/>
      <c r="W161"/>
      <c r="X161" s="44" t="s">
        <v>1761</v>
      </c>
      <c r="Y161" s="199"/>
      <c r="Z161" s="199"/>
      <c r="AA161" s="199">
        <v>1468000</v>
      </c>
      <c r="AB161" s="199"/>
      <c r="AC161" s="199"/>
      <c r="AD161" s="199"/>
      <c r="AE161" s="199"/>
      <c r="AF161"/>
      <c r="AH161" t="str">
        <f t="shared" si="9"/>
        <v>San Buenaventura (Ventura)</v>
      </c>
      <c r="AI161" s="199">
        <f>VLOOKUP(AH161,Places[#All],7,FALSE)</f>
        <v>21.8</v>
      </c>
      <c r="AJ161" s="199">
        <f>VLOOKUP(AH161,Places[#All],6,FALSE)/100000</f>
        <v>1.11128</v>
      </c>
      <c r="AK161"/>
      <c r="AL161"/>
      <c r="AM161"/>
    </row>
    <row r="162" spans="1:39" x14ac:dyDescent="0.25">
      <c r="A162"/>
      <c r="B162"/>
      <c r="C162"/>
      <c r="D162"/>
      <c r="E162"/>
      <c r="F162" s="12"/>
      <c r="G162" s="12"/>
      <c r="I162"/>
      <c r="J162"/>
      <c r="K162"/>
      <c r="L162"/>
      <c r="M162"/>
      <c r="N162"/>
      <c r="O162"/>
      <c r="P162"/>
      <c r="Q162"/>
      <c r="R162"/>
      <c r="S162"/>
      <c r="T162"/>
      <c r="U162"/>
      <c r="W162"/>
      <c r="X162" s="44" t="s">
        <v>288</v>
      </c>
      <c r="Y162" s="199"/>
      <c r="Z162" s="199"/>
      <c r="AA162" s="199"/>
      <c r="AB162" s="199"/>
      <c r="AC162" s="199"/>
      <c r="AD162" s="199"/>
      <c r="AE162" s="199">
        <v>3321750.21</v>
      </c>
      <c r="AF162"/>
      <c r="AH162" t="str">
        <f t="shared" si="9"/>
        <v>San Clemente</v>
      </c>
      <c r="AI162" s="199">
        <f>VLOOKUP(AH162,Places[#All],7,FALSE)</f>
        <v>18.399999999999999</v>
      </c>
      <c r="AJ162" s="199">
        <f>VLOOKUP(AH162,Places[#All],6,FALSE)/100000</f>
        <v>0.64856999999999998</v>
      </c>
      <c r="AK162"/>
      <c r="AL162"/>
      <c r="AM162"/>
    </row>
    <row r="163" spans="1:39" x14ac:dyDescent="0.25">
      <c r="A163"/>
      <c r="B163"/>
      <c r="C163"/>
      <c r="D163"/>
      <c r="E163"/>
      <c r="F163" s="12"/>
      <c r="G163" s="12"/>
      <c r="I163"/>
      <c r="J163"/>
      <c r="K163"/>
      <c r="L163"/>
      <c r="M163"/>
      <c r="N163"/>
      <c r="O163"/>
      <c r="P163"/>
      <c r="Q163"/>
      <c r="R163"/>
      <c r="S163"/>
      <c r="T163"/>
      <c r="U163"/>
      <c r="W163"/>
      <c r="X163" s="44" t="s">
        <v>154</v>
      </c>
      <c r="Y163" s="199"/>
      <c r="Z163" s="199"/>
      <c r="AA163" s="199">
        <v>615805.82278481009</v>
      </c>
      <c r="AB163" s="199"/>
      <c r="AC163" s="199"/>
      <c r="AD163" s="199"/>
      <c r="AE163" s="199"/>
      <c r="AF163"/>
      <c r="AH163" t="str">
        <f t="shared" si="9"/>
        <v>San Dimas</v>
      </c>
      <c r="AI163" s="199">
        <f>VLOOKUP(AH163,Places[#All],7,FALSE)</f>
        <v>15</v>
      </c>
      <c r="AJ163" s="199">
        <f>VLOOKUP(AH163,Places[#All],6,FALSE)/100000</f>
        <v>0.33982000000000001</v>
      </c>
      <c r="AK163"/>
      <c r="AL163"/>
      <c r="AM163"/>
    </row>
    <row r="164" spans="1:39" x14ac:dyDescent="0.25">
      <c r="A164"/>
      <c r="B164"/>
      <c r="C164"/>
      <c r="D164"/>
      <c r="E164"/>
      <c r="F164" s="12"/>
      <c r="G164" s="12"/>
      <c r="I164"/>
      <c r="J164"/>
      <c r="K164"/>
      <c r="L164"/>
      <c r="M164"/>
      <c r="N164"/>
      <c r="O164"/>
      <c r="P164"/>
      <c r="Q164"/>
      <c r="R164"/>
      <c r="S164"/>
      <c r="T164"/>
      <c r="U164"/>
      <c r="W164"/>
      <c r="X164" s="44" t="s">
        <v>195</v>
      </c>
      <c r="Y164" s="199"/>
      <c r="Z164" s="199"/>
      <c r="AA164" s="199">
        <v>408236.79113924049</v>
      </c>
      <c r="AB164" s="199"/>
      <c r="AC164" s="199"/>
      <c r="AD164" s="199"/>
      <c r="AE164" s="199"/>
      <c r="AF164"/>
      <c r="AH164" t="str">
        <f t="shared" si="9"/>
        <v>San Fernando</v>
      </c>
      <c r="AI164" s="199">
        <f>VLOOKUP(AH164,Places[#All],7,FALSE)</f>
        <v>2.4</v>
      </c>
      <c r="AJ164" s="199">
        <f>VLOOKUP(AH164,Places[#All],6,FALSE)/100000</f>
        <v>0.24510000000000001</v>
      </c>
      <c r="AK164"/>
      <c r="AL164"/>
      <c r="AM164"/>
    </row>
    <row r="165" spans="1:39" x14ac:dyDescent="0.25">
      <c r="A165"/>
      <c r="B165"/>
      <c r="C165"/>
      <c r="D165"/>
      <c r="E165"/>
      <c r="F165" s="12"/>
      <c r="G165" s="12"/>
      <c r="I165"/>
      <c r="J165"/>
      <c r="K165"/>
      <c r="L165"/>
      <c r="M165"/>
      <c r="N165"/>
      <c r="O165"/>
      <c r="P165"/>
      <c r="Q165"/>
      <c r="R165"/>
      <c r="S165"/>
      <c r="T165"/>
      <c r="U165"/>
      <c r="W165"/>
      <c r="X165" s="44" t="s">
        <v>196</v>
      </c>
      <c r="Y165" s="199"/>
      <c r="Z165" s="199"/>
      <c r="AA165" s="199">
        <v>434071.22565949365</v>
      </c>
      <c r="AB165" s="199"/>
      <c r="AC165" s="199"/>
      <c r="AD165" s="199"/>
      <c r="AE165" s="199"/>
      <c r="AF165"/>
      <c r="AH165" t="str">
        <f t="shared" si="9"/>
        <v>San Gabriel</v>
      </c>
      <c r="AI165" s="199">
        <f>VLOOKUP(AH165,Places[#All],7,FALSE)</f>
        <v>4.0999999999999996</v>
      </c>
      <c r="AJ165" s="199">
        <f>VLOOKUP(AH165,Places[#All],6,FALSE)/100000</f>
        <v>0.40334999999999999</v>
      </c>
      <c r="AK165"/>
      <c r="AL165"/>
      <c r="AM165"/>
    </row>
    <row r="166" spans="1:39" x14ac:dyDescent="0.25">
      <c r="A166"/>
      <c r="B166"/>
      <c r="C166"/>
      <c r="D166"/>
      <c r="E166"/>
      <c r="F166" s="12"/>
      <c r="G166" s="12"/>
      <c r="I166"/>
      <c r="J166"/>
      <c r="K166"/>
      <c r="L166"/>
      <c r="M166"/>
      <c r="N166"/>
      <c r="O166"/>
      <c r="P166"/>
      <c r="Q166"/>
      <c r="R166"/>
      <c r="S166"/>
      <c r="T166"/>
      <c r="U166"/>
      <c r="W166"/>
      <c r="X166" s="44" t="s">
        <v>239</v>
      </c>
      <c r="Y166" s="199"/>
      <c r="Z166" s="199"/>
      <c r="AA166" s="199"/>
      <c r="AB166" s="199"/>
      <c r="AC166" s="199"/>
      <c r="AD166" s="199">
        <v>1471263.0867708751</v>
      </c>
      <c r="AE166" s="199"/>
      <c r="AF166"/>
      <c r="AH166" t="str">
        <f t="shared" si="9"/>
        <v>San Jacinto</v>
      </c>
      <c r="AI166" s="199">
        <f>VLOOKUP(AH166,Places[#All],7,FALSE)</f>
        <v>25.7</v>
      </c>
      <c r="AJ166" s="199">
        <f>VLOOKUP(AH166,Places[#All],6,FALSE)/100000</f>
        <v>0.48866999999999999</v>
      </c>
      <c r="AK166"/>
      <c r="AL166"/>
      <c r="AM166"/>
    </row>
    <row r="167" spans="1:39" x14ac:dyDescent="0.25">
      <c r="A167"/>
      <c r="B167"/>
      <c r="C167"/>
      <c r="D167"/>
      <c r="E167"/>
      <c r="F167" s="12"/>
      <c r="G167" s="12"/>
      <c r="I167"/>
      <c r="J167"/>
      <c r="K167"/>
      <c r="L167"/>
      <c r="M167"/>
      <c r="N167"/>
      <c r="O167"/>
      <c r="P167"/>
      <c r="Q167"/>
      <c r="R167"/>
      <c r="S167"/>
      <c r="T167"/>
      <c r="U167"/>
      <c r="W167"/>
      <c r="X167" s="44" t="s">
        <v>289</v>
      </c>
      <c r="Y167" s="199"/>
      <c r="Z167" s="199"/>
      <c r="AA167" s="199"/>
      <c r="AB167" s="199"/>
      <c r="AC167" s="199"/>
      <c r="AD167" s="199"/>
      <c r="AE167" s="199">
        <v>4167322.2920485931</v>
      </c>
      <c r="AF167"/>
      <c r="AH167" t="str">
        <f t="shared" si="9"/>
        <v>San Juan Capistrano</v>
      </c>
      <c r="AI167" s="199">
        <f>VLOOKUP(AH167,Places[#All],7,FALSE)</f>
        <v>14.2</v>
      </c>
      <c r="AJ167" s="199">
        <f>VLOOKUP(AH167,Places[#All],6,FALSE)/100000</f>
        <v>0.36013000000000001</v>
      </c>
      <c r="AK167"/>
      <c r="AL167"/>
      <c r="AM167"/>
    </row>
    <row r="168" spans="1:39" x14ac:dyDescent="0.25">
      <c r="A168"/>
      <c r="B168"/>
      <c r="C168"/>
      <c r="D168"/>
      <c r="E168"/>
      <c r="F168" s="12"/>
      <c r="G168" s="12"/>
      <c r="I168"/>
      <c r="J168"/>
      <c r="K168"/>
      <c r="L168"/>
      <c r="M168"/>
      <c r="N168"/>
      <c r="O168"/>
      <c r="P168"/>
      <c r="Q168"/>
      <c r="R168"/>
      <c r="S168"/>
      <c r="T168"/>
      <c r="U168"/>
      <c r="W168"/>
      <c r="X168" s="44" t="s">
        <v>22</v>
      </c>
      <c r="Y168" s="199"/>
      <c r="Z168" s="199"/>
      <c r="AA168" s="199"/>
      <c r="AB168" s="199"/>
      <c r="AC168" s="199"/>
      <c r="AD168" s="199"/>
      <c r="AE168" s="199">
        <v>1140690.8413004293</v>
      </c>
      <c r="AF168"/>
      <c r="AH168" t="str">
        <f t="shared" si="9"/>
        <v>San Marcos</v>
      </c>
      <c r="AI168" s="199">
        <f>VLOOKUP(AH168,Places[#All],7,FALSE)</f>
        <v>24.4</v>
      </c>
      <c r="AJ168" s="199">
        <f>VLOOKUP(AH168,Places[#All],6,FALSE)/100000</f>
        <v>0.96847000000000005</v>
      </c>
      <c r="AK168"/>
      <c r="AL168"/>
      <c r="AM168"/>
    </row>
    <row r="169" spans="1:39" x14ac:dyDescent="0.25">
      <c r="A169"/>
      <c r="B169"/>
      <c r="C169"/>
      <c r="D169"/>
      <c r="E169"/>
      <c r="F169" s="12"/>
      <c r="G169" s="12"/>
      <c r="I169"/>
      <c r="J169"/>
      <c r="K169"/>
      <c r="L169"/>
      <c r="M169"/>
      <c r="N169"/>
      <c r="O169"/>
      <c r="P169"/>
      <c r="Q169"/>
      <c r="R169"/>
      <c r="S169"/>
      <c r="T169"/>
      <c r="U169"/>
      <c r="W169"/>
      <c r="X169" s="44" t="s">
        <v>197</v>
      </c>
      <c r="Y169" s="199"/>
      <c r="Z169" s="199"/>
      <c r="AA169" s="199">
        <v>567200.69388607587</v>
      </c>
      <c r="AB169" s="199"/>
      <c r="AC169" s="199"/>
      <c r="AD169" s="199"/>
      <c r="AE169" s="199"/>
      <c r="AF169"/>
      <c r="AH169" t="str">
        <f t="shared" si="9"/>
        <v>San Marino</v>
      </c>
      <c r="AI169" s="199">
        <f>VLOOKUP(AH169,Places[#All],7,FALSE)</f>
        <v>3.8</v>
      </c>
      <c r="AJ169" s="199">
        <f>VLOOKUP(AH169,Places[#All],6,FALSE)/100000</f>
        <v>0.13186</v>
      </c>
      <c r="AK169"/>
      <c r="AL169"/>
      <c r="AM169"/>
    </row>
    <row r="170" spans="1:39" x14ac:dyDescent="0.25">
      <c r="A170"/>
      <c r="B170"/>
      <c r="C170"/>
      <c r="D170"/>
      <c r="E170"/>
      <c r="F170" s="12"/>
      <c r="G170" s="12"/>
      <c r="I170"/>
      <c r="J170"/>
      <c r="K170"/>
      <c r="L170"/>
      <c r="M170"/>
      <c r="N170"/>
      <c r="O170"/>
      <c r="P170"/>
      <c r="Q170"/>
      <c r="R170"/>
      <c r="S170"/>
      <c r="T170"/>
      <c r="U170"/>
      <c r="W170"/>
      <c r="X170" s="44" t="s">
        <v>290</v>
      </c>
      <c r="Y170" s="199"/>
      <c r="Z170" s="199"/>
      <c r="AA170" s="199"/>
      <c r="AB170" s="199"/>
      <c r="AC170" s="199"/>
      <c r="AD170" s="199">
        <v>6201789.1281818179</v>
      </c>
      <c r="AE170" s="199"/>
      <c r="AF170"/>
      <c r="AH170" t="str">
        <f t="shared" si="9"/>
        <v>Santa Ana</v>
      </c>
      <c r="AI170" s="199">
        <f>VLOOKUP(AH170,Places[#All],7,FALSE)</f>
        <v>27.1</v>
      </c>
      <c r="AJ170" s="199">
        <f>VLOOKUP(AH170,Places[#All],6,FALSE)/100000</f>
        <v>3.3272499999999998</v>
      </c>
      <c r="AK170"/>
      <c r="AL170"/>
      <c r="AM170"/>
    </row>
    <row r="171" spans="1:39" x14ac:dyDescent="0.25">
      <c r="A171"/>
      <c r="B171"/>
      <c r="C171"/>
      <c r="D171"/>
      <c r="E171"/>
      <c r="F171" s="12"/>
      <c r="G171" s="12"/>
      <c r="I171"/>
      <c r="J171"/>
      <c r="K171"/>
      <c r="L171"/>
      <c r="M171"/>
      <c r="N171"/>
      <c r="O171"/>
      <c r="P171"/>
      <c r="Q171"/>
      <c r="R171"/>
      <c r="S171"/>
      <c r="T171"/>
      <c r="U171"/>
      <c r="W171"/>
      <c r="X171" s="44" t="s">
        <v>206</v>
      </c>
      <c r="Y171" s="199"/>
      <c r="Z171" s="199"/>
      <c r="AA171" s="199">
        <v>3154598.0439873417</v>
      </c>
      <c r="AB171" s="199"/>
      <c r="AC171" s="199"/>
      <c r="AD171" s="199"/>
      <c r="AE171" s="199"/>
      <c r="AF171"/>
      <c r="AH171" t="str">
        <f t="shared" si="9"/>
        <v>Santa Clarita</v>
      </c>
      <c r="AI171" s="199">
        <f>VLOOKUP(AH171,Places[#All],7,FALSE)</f>
        <v>52.8</v>
      </c>
      <c r="AJ171" s="199">
        <f>VLOOKUP(AH171,Places[#All],6,FALSE)/100000</f>
        <v>2.1008900000000001</v>
      </c>
      <c r="AK171"/>
      <c r="AL171"/>
      <c r="AM171"/>
    </row>
    <row r="172" spans="1:39" x14ac:dyDescent="0.25">
      <c r="A172"/>
      <c r="B172"/>
      <c r="C172"/>
      <c r="D172"/>
      <c r="E172"/>
      <c r="F172" s="12"/>
      <c r="G172" s="12"/>
      <c r="I172"/>
      <c r="J172"/>
      <c r="K172"/>
      <c r="L172"/>
      <c r="M172"/>
      <c r="N172"/>
      <c r="O172"/>
      <c r="P172"/>
      <c r="Q172"/>
      <c r="R172"/>
      <c r="S172"/>
      <c r="T172"/>
      <c r="U172"/>
      <c r="W172"/>
      <c r="X172" s="44" t="s">
        <v>186</v>
      </c>
      <c r="Y172" s="199"/>
      <c r="Z172" s="199"/>
      <c r="AA172" s="199">
        <v>11273447.839101264</v>
      </c>
      <c r="AB172" s="199"/>
      <c r="AC172" s="199"/>
      <c r="AD172" s="199"/>
      <c r="AE172" s="199"/>
      <c r="AF172"/>
      <c r="AH172" t="str">
        <f t="shared" si="9"/>
        <v>Santa Monica</v>
      </c>
      <c r="AI172" s="199">
        <f>VLOOKUP(AH172,Places[#All],7,FALSE)</f>
        <v>8.4</v>
      </c>
      <c r="AJ172" s="199">
        <f>VLOOKUP(AH172,Places[#All],6,FALSE)/100000</f>
        <v>0.91410999999999998</v>
      </c>
      <c r="AK172"/>
      <c r="AL172"/>
      <c r="AM172"/>
    </row>
    <row r="173" spans="1:39" x14ac:dyDescent="0.25">
      <c r="A173"/>
      <c r="B173"/>
      <c r="C173"/>
      <c r="D173"/>
      <c r="E173"/>
      <c r="F173" s="12"/>
      <c r="G173" s="12"/>
      <c r="I173"/>
      <c r="J173"/>
      <c r="K173"/>
      <c r="L173"/>
      <c r="M173"/>
      <c r="N173"/>
      <c r="O173"/>
      <c r="P173"/>
      <c r="Q173"/>
      <c r="R173"/>
      <c r="S173"/>
      <c r="T173"/>
      <c r="U173"/>
      <c r="W173"/>
      <c r="X173" s="44" t="s">
        <v>316</v>
      </c>
      <c r="Y173" s="199"/>
      <c r="Z173" s="199"/>
      <c r="AA173" s="199"/>
      <c r="AB173" s="199"/>
      <c r="AC173" s="199"/>
      <c r="AD173" s="199"/>
      <c r="AE173" s="199">
        <v>806808.44842105277</v>
      </c>
      <c r="AF173"/>
      <c r="AH173" t="str">
        <f t="shared" si="9"/>
        <v>Santee</v>
      </c>
      <c r="AI173" s="199">
        <f>VLOOKUP(AH173,Places[#All],7,FALSE)</f>
        <v>16.2</v>
      </c>
      <c r="AJ173" s="199">
        <f>VLOOKUP(AH173,Places[#All],6,FALSE)/100000</f>
        <v>0.58115000000000006</v>
      </c>
      <c r="AK173"/>
      <c r="AL173"/>
      <c r="AM173"/>
    </row>
    <row r="174" spans="1:39" x14ac:dyDescent="0.25">
      <c r="A174"/>
      <c r="B174"/>
      <c r="C174"/>
      <c r="D174"/>
      <c r="E174"/>
      <c r="F174" s="12"/>
      <c r="G174" s="12"/>
      <c r="I174"/>
      <c r="J174"/>
      <c r="K174"/>
      <c r="L174"/>
      <c r="M174"/>
      <c r="N174"/>
      <c r="O174"/>
      <c r="P174"/>
      <c r="Q174"/>
      <c r="R174"/>
      <c r="S174"/>
      <c r="T174"/>
      <c r="U174"/>
      <c r="W174"/>
      <c r="X174" s="44" t="s">
        <v>291</v>
      </c>
      <c r="Y174" s="199"/>
      <c r="Z174" s="199"/>
      <c r="AA174" s="199"/>
      <c r="AB174" s="199"/>
      <c r="AC174" s="199"/>
      <c r="AD174" s="199">
        <v>567910.28063241101</v>
      </c>
      <c r="AE174" s="199"/>
      <c r="AF174"/>
      <c r="AH174" t="str">
        <f t="shared" si="9"/>
        <v>Seal Beach</v>
      </c>
      <c r="AI174" s="199">
        <f>VLOOKUP(AH174,Places[#All],7,FALSE)</f>
        <v>11.3</v>
      </c>
      <c r="AJ174" s="199">
        <f>VLOOKUP(AH174,Places[#All],6,FALSE)/100000</f>
        <v>0.24118999999999999</v>
      </c>
      <c r="AK174"/>
      <c r="AL174"/>
      <c r="AM174"/>
    </row>
    <row r="175" spans="1:39" x14ac:dyDescent="0.25">
      <c r="A175"/>
      <c r="B175"/>
      <c r="C175"/>
      <c r="D175"/>
      <c r="E175"/>
      <c r="F175" s="12"/>
      <c r="G175" s="12"/>
      <c r="I175"/>
      <c r="J175"/>
      <c r="K175"/>
      <c r="L175"/>
      <c r="M175"/>
      <c r="N175"/>
      <c r="O175"/>
      <c r="P175"/>
      <c r="Q175"/>
      <c r="R175"/>
      <c r="S175"/>
      <c r="T175"/>
      <c r="U175"/>
      <c r="W175"/>
      <c r="X175" s="44" t="s">
        <v>184</v>
      </c>
      <c r="Y175" s="199"/>
      <c r="Z175" s="199"/>
      <c r="AA175" s="199">
        <v>351860.82979746832</v>
      </c>
      <c r="AB175" s="199"/>
      <c r="AC175" s="199"/>
      <c r="AD175" s="199"/>
      <c r="AE175" s="199"/>
      <c r="AF175"/>
      <c r="AH175" t="str">
        <f t="shared" si="9"/>
        <v>Sierra Madre</v>
      </c>
      <c r="AI175" s="199">
        <f>VLOOKUP(AH175,Places[#All],7,FALSE)</f>
        <v>3</v>
      </c>
      <c r="AJ175" s="199">
        <f>VLOOKUP(AH175,Places[#All],6,FALSE)/100000</f>
        <v>0.10917</v>
      </c>
      <c r="AK175"/>
      <c r="AL175"/>
      <c r="AM175"/>
    </row>
    <row r="176" spans="1:39" x14ac:dyDescent="0.25">
      <c r="A176"/>
      <c r="B176"/>
      <c r="C176"/>
      <c r="D176"/>
      <c r="E176"/>
      <c r="F176" s="12"/>
      <c r="G176" s="12"/>
      <c r="I176"/>
      <c r="J176"/>
      <c r="K176"/>
      <c r="L176"/>
      <c r="M176"/>
      <c r="N176"/>
      <c r="O176"/>
      <c r="P176"/>
      <c r="Q176"/>
      <c r="R176"/>
      <c r="S176"/>
      <c r="T176"/>
      <c r="U176"/>
      <c r="W176"/>
      <c r="X176" s="44" t="s">
        <v>164</v>
      </c>
      <c r="Y176" s="199"/>
      <c r="Z176" s="199"/>
      <c r="AA176" s="199">
        <v>583422.93037974683</v>
      </c>
      <c r="AB176" s="199"/>
      <c r="AC176" s="199"/>
      <c r="AD176" s="199"/>
      <c r="AE176" s="199"/>
      <c r="AF176"/>
      <c r="AH176" t="str">
        <f t="shared" si="9"/>
        <v>Signal Hill</v>
      </c>
      <c r="AI176" s="199">
        <f>VLOOKUP(AH176,Places[#All],7,FALSE)</f>
        <v>2.2000000000000002</v>
      </c>
      <c r="AJ176" s="199">
        <f>VLOOKUP(AH176,Places[#All],6,FALSE)/100000</f>
        <v>0.11555</v>
      </c>
      <c r="AK176"/>
      <c r="AL176"/>
      <c r="AM176"/>
    </row>
    <row r="177" spans="1:39" x14ac:dyDescent="0.25">
      <c r="A177"/>
      <c r="B177"/>
      <c r="C177"/>
      <c r="D177"/>
      <c r="E177"/>
      <c r="F177" s="12"/>
      <c r="G177" s="12"/>
      <c r="I177"/>
      <c r="J177"/>
      <c r="K177"/>
      <c r="L177"/>
      <c r="M177"/>
      <c r="N177"/>
      <c r="O177"/>
      <c r="P177"/>
      <c r="Q177"/>
      <c r="R177"/>
      <c r="S177"/>
      <c r="T177"/>
      <c r="U177"/>
      <c r="W177"/>
      <c r="X177" s="44" t="s">
        <v>306</v>
      </c>
      <c r="Y177" s="199"/>
      <c r="Z177" s="199"/>
      <c r="AA177" s="199"/>
      <c r="AB177" s="199"/>
      <c r="AC177" s="199"/>
      <c r="AD177" s="199"/>
      <c r="AE177" s="199">
        <v>491332.37037943705</v>
      </c>
      <c r="AF177"/>
      <c r="AH177" t="str">
        <f t="shared" si="9"/>
        <v>Solana Beach</v>
      </c>
      <c r="AI177" s="199">
        <f>VLOOKUP(AH177,Places[#All],7,FALSE)</f>
        <v>3.5</v>
      </c>
      <c r="AJ177" s="199">
        <f>VLOOKUP(AH177,Places[#All],6,FALSE)/100000</f>
        <v>0.13378999999999999</v>
      </c>
      <c r="AK177"/>
      <c r="AL177"/>
      <c r="AM177"/>
    </row>
    <row r="178" spans="1:39" x14ac:dyDescent="0.25">
      <c r="A178"/>
      <c r="B178"/>
      <c r="C178"/>
      <c r="D178"/>
      <c r="E178"/>
      <c r="F178" s="12"/>
      <c r="G178" s="12"/>
      <c r="I178"/>
      <c r="J178"/>
      <c r="K178"/>
      <c r="L178"/>
      <c r="M178"/>
      <c r="N178"/>
      <c r="O178"/>
      <c r="P178"/>
      <c r="Q178"/>
      <c r="R178"/>
      <c r="S178"/>
      <c r="T178"/>
      <c r="U178"/>
      <c r="W178"/>
      <c r="X178" s="44" t="s">
        <v>11</v>
      </c>
      <c r="Y178" s="199"/>
      <c r="Z178" s="199"/>
      <c r="AA178" s="199">
        <v>300927.23290936707</v>
      </c>
      <c r="AB178" s="199"/>
      <c r="AC178" s="199"/>
      <c r="AD178" s="199"/>
      <c r="AE178" s="199"/>
      <c r="AF178"/>
      <c r="AH178" t="str">
        <f t="shared" si="9"/>
        <v>South El Monte</v>
      </c>
      <c r="AI178" s="199">
        <f>VLOOKUP(AH178,Places[#All],7,FALSE)</f>
        <v>2.8</v>
      </c>
      <c r="AJ178" s="199">
        <f>VLOOKUP(AH178,Places[#All],6,FALSE)/100000</f>
        <v>0.20766999999999999</v>
      </c>
      <c r="AK178"/>
      <c r="AL178"/>
      <c r="AM178"/>
    </row>
    <row r="179" spans="1:39" x14ac:dyDescent="0.25">
      <c r="A179"/>
      <c r="B179"/>
      <c r="C179"/>
      <c r="D179"/>
      <c r="E179"/>
      <c r="F179" s="12"/>
      <c r="G179" s="12"/>
      <c r="I179"/>
      <c r="J179"/>
      <c r="K179"/>
      <c r="L179"/>
      <c r="M179"/>
      <c r="N179"/>
      <c r="O179"/>
      <c r="P179"/>
      <c r="Q179"/>
      <c r="R179"/>
      <c r="S179"/>
      <c r="T179"/>
      <c r="U179"/>
      <c r="W179"/>
      <c r="X179" s="44" t="s">
        <v>198</v>
      </c>
      <c r="Y179" s="199"/>
      <c r="Z179" s="199"/>
      <c r="AA179" s="199">
        <v>219778.97468354428</v>
      </c>
      <c r="AB179" s="199"/>
      <c r="AC179" s="199"/>
      <c r="AD179" s="199"/>
      <c r="AE179" s="199"/>
      <c r="AF179"/>
      <c r="AH179" t="str">
        <f t="shared" si="9"/>
        <v>South Pasadena</v>
      </c>
      <c r="AI179" s="199">
        <f>VLOOKUP(AH179,Places[#All],7,FALSE)</f>
        <v>3.4</v>
      </c>
      <c r="AJ179" s="199">
        <f>VLOOKUP(AH179,Places[#All],6,FALSE)/100000</f>
        <v>0.25611</v>
      </c>
      <c r="AK179"/>
      <c r="AL179"/>
      <c r="AM179"/>
    </row>
    <row r="180" spans="1:39" x14ac:dyDescent="0.25">
      <c r="A180"/>
      <c r="B180"/>
      <c r="C180"/>
      <c r="D180"/>
      <c r="E180"/>
      <c r="F180" s="12"/>
      <c r="G180" s="12"/>
      <c r="I180"/>
      <c r="J180"/>
      <c r="K180"/>
      <c r="L180"/>
      <c r="M180"/>
      <c r="N180"/>
      <c r="O180"/>
      <c r="P180"/>
      <c r="Q180"/>
      <c r="R180"/>
      <c r="S180"/>
      <c r="T180"/>
      <c r="U180"/>
      <c r="W180"/>
      <c r="X180" s="44" t="s">
        <v>292</v>
      </c>
      <c r="Y180" s="199"/>
      <c r="Z180" s="199"/>
      <c r="AA180" s="199"/>
      <c r="AB180" s="199"/>
      <c r="AC180" s="199"/>
      <c r="AD180" s="199">
        <v>140235.61868435913</v>
      </c>
      <c r="AE180" s="199"/>
      <c r="AF180"/>
      <c r="AH180" t="str">
        <f t="shared" si="9"/>
        <v>Stanton</v>
      </c>
      <c r="AI180" s="199">
        <f>VLOOKUP(AH180,Places[#All],7,FALSE)</f>
        <v>3.1</v>
      </c>
      <c r="AJ180" s="199">
        <f>VLOOKUP(AH180,Places[#All],6,FALSE)/100000</f>
        <v>0.38234000000000001</v>
      </c>
      <c r="AK180"/>
      <c r="AL180"/>
      <c r="AM180"/>
    </row>
    <row r="181" spans="1:39" x14ac:dyDescent="0.25">
      <c r="A181"/>
      <c r="B181"/>
      <c r="C181"/>
      <c r="D181"/>
      <c r="E181"/>
      <c r="F181" s="12"/>
      <c r="G181" s="12"/>
      <c r="I181"/>
      <c r="J181"/>
      <c r="K181"/>
      <c r="L181"/>
      <c r="M181"/>
      <c r="N181"/>
      <c r="O181"/>
      <c r="P181"/>
      <c r="Q181"/>
      <c r="R181"/>
      <c r="S181"/>
      <c r="T181"/>
      <c r="U181"/>
      <c r="W181"/>
      <c r="X181" s="44" t="s">
        <v>416</v>
      </c>
      <c r="Y181" s="199"/>
      <c r="Z181" s="199"/>
      <c r="AA181" s="199"/>
      <c r="AB181" s="199">
        <v>4952739.7339167688</v>
      </c>
      <c r="AC181" s="199"/>
      <c r="AD181" s="199"/>
      <c r="AE181" s="199"/>
      <c r="AF181"/>
      <c r="AH181" t="str">
        <f t="shared" si="9"/>
        <v>Stockton</v>
      </c>
      <c r="AI181" s="199">
        <f>VLOOKUP(AH181,Places[#All],7,FALSE)</f>
        <v>61.7</v>
      </c>
      <c r="AJ181" s="199">
        <f>VLOOKUP(AH181,Places[#All],6,FALSE)/100000</f>
        <v>3.11178</v>
      </c>
      <c r="AK181"/>
      <c r="AL181"/>
      <c r="AM181"/>
    </row>
    <row r="182" spans="1:39" x14ac:dyDescent="0.25">
      <c r="A182"/>
      <c r="B182"/>
      <c r="C182"/>
      <c r="D182"/>
      <c r="E182"/>
      <c r="F182" s="12"/>
      <c r="G182" s="12"/>
      <c r="I182"/>
      <c r="J182"/>
      <c r="K182"/>
      <c r="L182"/>
      <c r="M182"/>
      <c r="N182"/>
      <c r="O182"/>
      <c r="P182"/>
      <c r="Q182"/>
      <c r="R182"/>
      <c r="S182"/>
      <c r="T182"/>
      <c r="U182"/>
      <c r="W182"/>
      <c r="X182" s="44" t="s">
        <v>298</v>
      </c>
      <c r="Y182" s="199"/>
      <c r="Z182" s="199"/>
      <c r="AA182" s="199"/>
      <c r="AB182" s="199"/>
      <c r="AC182" s="199"/>
      <c r="AD182" s="199"/>
      <c r="AE182" s="199">
        <v>1177814</v>
      </c>
      <c r="AF182"/>
      <c r="AH182" t="str">
        <f t="shared" si="9"/>
        <v>Temecula</v>
      </c>
      <c r="AI182" s="199">
        <f>VLOOKUP(AH182,Places[#All],7,FALSE)</f>
        <v>37.299999999999997</v>
      </c>
      <c r="AJ182" s="199">
        <f>VLOOKUP(AH182,Places[#All],6,FALSE)/100000</f>
        <v>1.1474200000000001</v>
      </c>
      <c r="AK182"/>
      <c r="AL182"/>
      <c r="AM182"/>
    </row>
    <row r="183" spans="1:39" x14ac:dyDescent="0.25">
      <c r="A183"/>
      <c r="B183"/>
      <c r="C183"/>
      <c r="D183"/>
      <c r="E183"/>
      <c r="F183" s="12"/>
      <c r="G183" s="12"/>
      <c r="I183"/>
      <c r="J183"/>
      <c r="K183"/>
      <c r="L183"/>
      <c r="M183"/>
      <c r="N183"/>
      <c r="O183"/>
      <c r="P183"/>
      <c r="Q183"/>
      <c r="R183"/>
      <c r="S183"/>
      <c r="T183"/>
      <c r="U183"/>
      <c r="W183"/>
      <c r="X183" s="44" t="s">
        <v>199</v>
      </c>
      <c r="Y183" s="199"/>
      <c r="Z183" s="199"/>
      <c r="AA183" s="199">
        <v>349310.54430379748</v>
      </c>
      <c r="AB183" s="199"/>
      <c r="AC183" s="199"/>
      <c r="AD183" s="199"/>
      <c r="AE183" s="199"/>
      <c r="AF183"/>
      <c r="AH183" t="str">
        <f t="shared" si="9"/>
        <v>Temple City</v>
      </c>
      <c r="AI183" s="199">
        <f>VLOOKUP(AH183,Places[#All],7,FALSE)</f>
        <v>4</v>
      </c>
      <c r="AJ183" s="199">
        <f>VLOOKUP(AH183,Places[#All],6,FALSE)/100000</f>
        <v>0.36120000000000002</v>
      </c>
      <c r="AK183"/>
      <c r="AL183"/>
      <c r="AM183"/>
    </row>
    <row r="184" spans="1:39" x14ac:dyDescent="0.25">
      <c r="A184"/>
      <c r="B184"/>
      <c r="C184"/>
      <c r="D184"/>
      <c r="E184"/>
      <c r="F184" s="12"/>
      <c r="G184" s="12"/>
      <c r="I184"/>
      <c r="J184"/>
      <c r="K184"/>
      <c r="L184"/>
      <c r="M184"/>
      <c r="N184"/>
      <c r="O184"/>
      <c r="P184"/>
      <c r="Q184"/>
      <c r="R184"/>
      <c r="S184"/>
      <c r="T184"/>
      <c r="U184"/>
      <c r="W184"/>
      <c r="X184" s="44" t="s">
        <v>149</v>
      </c>
      <c r="Y184" s="199"/>
      <c r="Z184" s="199"/>
      <c r="AA184" s="199">
        <v>2256186.1883164556</v>
      </c>
      <c r="AB184" s="199"/>
      <c r="AC184" s="199"/>
      <c r="AD184" s="199"/>
      <c r="AE184" s="199"/>
      <c r="AF184"/>
      <c r="AH184" t="str">
        <f t="shared" si="9"/>
        <v>Torrance</v>
      </c>
      <c r="AI184" s="199">
        <f>VLOOKUP(AH184,Places[#All],7,FALSE)</f>
        <v>20.5</v>
      </c>
      <c r="AJ184" s="199">
        <f>VLOOKUP(AH184,Places[#All],6,FALSE)/100000</f>
        <v>1.4518200000000001</v>
      </c>
      <c r="AK184"/>
      <c r="AL184"/>
      <c r="AM184"/>
    </row>
    <row r="185" spans="1:39" x14ac:dyDescent="0.25">
      <c r="A185"/>
      <c r="B185"/>
      <c r="C185"/>
      <c r="D185"/>
      <c r="E185"/>
      <c r="F185" s="12"/>
      <c r="G185" s="12"/>
      <c r="I185"/>
      <c r="J185"/>
      <c r="K185"/>
      <c r="L185"/>
      <c r="M185"/>
      <c r="N185"/>
      <c r="O185"/>
      <c r="P185"/>
      <c r="Q185"/>
      <c r="R185"/>
      <c r="S185"/>
      <c r="T185"/>
      <c r="U185"/>
      <c r="W185"/>
      <c r="X185" s="44" t="s">
        <v>293</v>
      </c>
      <c r="Y185" s="199"/>
      <c r="Z185" s="199"/>
      <c r="AA185" s="199"/>
      <c r="AB185" s="199"/>
      <c r="AC185" s="199"/>
      <c r="AD185" s="199">
        <v>961416.55021456804</v>
      </c>
      <c r="AE185" s="199"/>
      <c r="AF185"/>
      <c r="AH185" t="str">
        <f t="shared" si="9"/>
        <v>Tustin</v>
      </c>
      <c r="AI185" s="199">
        <f>VLOOKUP(AH185,Places[#All],7,FALSE)</f>
        <v>11.1</v>
      </c>
      <c r="AJ185" s="199">
        <f>VLOOKUP(AH185,Places[#All],6,FALSE)/100000</f>
        <v>0.79795000000000005</v>
      </c>
      <c r="AK185"/>
      <c r="AL185"/>
      <c r="AM185"/>
    </row>
    <row r="186" spans="1:39" x14ac:dyDescent="0.25">
      <c r="A186"/>
      <c r="B186"/>
      <c r="C186"/>
      <c r="D186"/>
      <c r="E186"/>
      <c r="F186" s="12"/>
      <c r="G186" s="12"/>
      <c r="I186"/>
      <c r="J186"/>
      <c r="K186"/>
      <c r="L186"/>
      <c r="M186"/>
      <c r="N186"/>
      <c r="O186"/>
      <c r="P186"/>
      <c r="Q186"/>
      <c r="R186"/>
      <c r="S186"/>
      <c r="T186"/>
      <c r="U186"/>
      <c r="W186"/>
      <c r="X186" s="44" t="s">
        <v>252</v>
      </c>
      <c r="Y186" s="199"/>
      <c r="Z186" s="199"/>
      <c r="AA186" s="199"/>
      <c r="AB186" s="199"/>
      <c r="AC186" s="199"/>
      <c r="AD186" s="199">
        <v>238263.83399239546</v>
      </c>
      <c r="AE186" s="199"/>
      <c r="AF186"/>
      <c r="AH186" t="str">
        <f t="shared" si="9"/>
        <v>Upland</v>
      </c>
      <c r="AI186" s="199">
        <f>VLOOKUP(AH186,Places[#All],7,FALSE)</f>
        <v>15.6</v>
      </c>
      <c r="AJ186" s="199">
        <f>VLOOKUP(AH186,Places[#All],6,FALSE)/100000</f>
        <v>0.77</v>
      </c>
      <c r="AK186"/>
      <c r="AL186"/>
      <c r="AM186"/>
    </row>
    <row r="187" spans="1:39" x14ac:dyDescent="0.25">
      <c r="A187"/>
      <c r="B187"/>
      <c r="C187"/>
      <c r="D187"/>
      <c r="E187"/>
      <c r="F187" s="12"/>
      <c r="G187" s="12"/>
      <c r="I187"/>
      <c r="J187"/>
      <c r="K187"/>
      <c r="L187"/>
      <c r="M187"/>
      <c r="N187"/>
      <c r="O187"/>
      <c r="P187"/>
      <c r="Q187"/>
      <c r="R187"/>
      <c r="S187"/>
      <c r="T187"/>
      <c r="U187"/>
      <c r="W187"/>
      <c r="X187" s="44" t="s">
        <v>294</v>
      </c>
      <c r="Y187" s="199"/>
      <c r="Z187" s="199"/>
      <c r="AA187" s="199"/>
      <c r="AB187" s="199"/>
      <c r="AC187" s="199"/>
      <c r="AD187" s="199">
        <v>125744.45793337097</v>
      </c>
      <c r="AE187" s="199"/>
      <c r="AF187"/>
      <c r="AH187" t="str">
        <f t="shared" si="9"/>
        <v>Villa Park</v>
      </c>
      <c r="AI187" s="199">
        <f>VLOOKUP(AH187,Places[#All],7,FALSE)</f>
        <v>2.1</v>
      </c>
      <c r="AJ187" s="199">
        <f>VLOOKUP(AH187,Places[#All],6,FALSE)/100000</f>
        <v>5.8389999999999997E-2</v>
      </c>
      <c r="AK187"/>
      <c r="AL187"/>
      <c r="AM187"/>
    </row>
    <row r="188" spans="1:39" x14ac:dyDescent="0.25">
      <c r="A188"/>
      <c r="B188"/>
      <c r="C188"/>
      <c r="D188"/>
      <c r="E188"/>
      <c r="F188" s="12"/>
      <c r="G188" s="12"/>
      <c r="I188"/>
      <c r="J188"/>
      <c r="K188"/>
      <c r="L188"/>
      <c r="M188"/>
      <c r="N188"/>
      <c r="O188"/>
      <c r="P188"/>
      <c r="Q188"/>
      <c r="R188"/>
      <c r="S188"/>
      <c r="T188"/>
      <c r="U188"/>
      <c r="W188"/>
      <c r="X188" s="44" t="s">
        <v>307</v>
      </c>
      <c r="Y188" s="199"/>
      <c r="Z188" s="199"/>
      <c r="AA188" s="199"/>
      <c r="AB188" s="199"/>
      <c r="AC188" s="199"/>
      <c r="AD188" s="199"/>
      <c r="AE188" s="199">
        <v>4489168.9052386787</v>
      </c>
      <c r="AF188"/>
      <c r="AH188" t="str">
        <f t="shared" si="9"/>
        <v>Vista</v>
      </c>
      <c r="AI188" s="199">
        <f>VLOOKUP(AH188,Places[#All],7,FALSE)</f>
        <v>18.7</v>
      </c>
      <c r="AJ188" s="199">
        <f>VLOOKUP(AH188,Places[#All],6,FALSE)/100000</f>
        <v>1.01224</v>
      </c>
      <c r="AK188"/>
      <c r="AL188"/>
      <c r="AM188"/>
    </row>
    <row r="189" spans="1:39" x14ac:dyDescent="0.25">
      <c r="A189"/>
      <c r="B189"/>
      <c r="C189"/>
      <c r="D189"/>
      <c r="E189"/>
      <c r="F189" s="12"/>
      <c r="G189" s="12"/>
      <c r="I189"/>
      <c r="J189"/>
      <c r="K189"/>
      <c r="L189"/>
      <c r="M189"/>
      <c r="N189"/>
      <c r="O189"/>
      <c r="P189"/>
      <c r="Q189"/>
      <c r="R189"/>
      <c r="S189"/>
      <c r="T189"/>
      <c r="U189"/>
      <c r="W189"/>
      <c r="X189" s="44" t="s">
        <v>207</v>
      </c>
      <c r="Y189" s="199"/>
      <c r="Z189" s="199"/>
      <c r="AA189" s="199">
        <v>192598.57974683543</v>
      </c>
      <c r="AB189" s="199"/>
      <c r="AC189" s="199"/>
      <c r="AD189" s="199"/>
      <c r="AE189" s="199"/>
      <c r="AF189"/>
      <c r="AH189" t="str">
        <f t="shared" si="9"/>
        <v>Walnut</v>
      </c>
      <c r="AI189" s="199">
        <f>VLOOKUP(AH189,Places[#All],7,FALSE)</f>
        <v>9</v>
      </c>
      <c r="AJ189" s="199">
        <f>VLOOKUP(AH189,Places[#All],6,FALSE)/100000</f>
        <v>0.30005999999999999</v>
      </c>
      <c r="AK189"/>
      <c r="AL189"/>
      <c r="AM189"/>
    </row>
    <row r="190" spans="1:39" x14ac:dyDescent="0.25">
      <c r="A190"/>
      <c r="B190"/>
      <c r="C190"/>
      <c r="D190"/>
      <c r="E190"/>
      <c r="F190" s="12"/>
      <c r="G190" s="12"/>
      <c r="I190"/>
      <c r="J190"/>
      <c r="K190"/>
      <c r="L190"/>
      <c r="M190"/>
      <c r="N190"/>
      <c r="O190"/>
      <c r="P190"/>
      <c r="Q190"/>
      <c r="R190"/>
      <c r="S190"/>
      <c r="T190"/>
      <c r="U190"/>
      <c r="W190"/>
      <c r="X190" s="44" t="s">
        <v>205</v>
      </c>
      <c r="Y190" s="199"/>
      <c r="Z190" s="199"/>
      <c r="AA190" s="199">
        <v>1094671.2948607595</v>
      </c>
      <c r="AB190" s="199"/>
      <c r="AC190" s="199"/>
      <c r="AD190" s="199"/>
      <c r="AE190" s="199"/>
      <c r="AF190"/>
      <c r="AH190" t="str">
        <f t="shared" si="9"/>
        <v>West Covina</v>
      </c>
      <c r="AI190" s="199">
        <f>VLOOKUP(AH190,Places[#All],7,FALSE)</f>
        <v>16</v>
      </c>
      <c r="AJ190" s="199">
        <f>VLOOKUP(AH190,Places[#All],6,FALSE)/100000</f>
        <v>1.06311</v>
      </c>
      <c r="AK190"/>
      <c r="AL190"/>
      <c r="AM190"/>
    </row>
    <row r="191" spans="1:39" x14ac:dyDescent="0.25">
      <c r="A191"/>
      <c r="B191"/>
      <c r="C191"/>
      <c r="D191"/>
      <c r="E191"/>
      <c r="F191" s="12"/>
      <c r="G191" s="12"/>
      <c r="I191"/>
      <c r="J191"/>
      <c r="K191"/>
      <c r="L191"/>
      <c r="M191"/>
      <c r="N191"/>
      <c r="O191"/>
      <c r="P191"/>
      <c r="Q191"/>
      <c r="R191"/>
      <c r="S191"/>
      <c r="T191"/>
      <c r="U191"/>
      <c r="W191"/>
      <c r="X191" s="44" t="s">
        <v>174</v>
      </c>
      <c r="Y191" s="199"/>
      <c r="Z191" s="199"/>
      <c r="AA191" s="199">
        <v>358914.99167088605</v>
      </c>
      <c r="AB191" s="199"/>
      <c r="AC191" s="199"/>
      <c r="AD191" s="199"/>
      <c r="AE191" s="199"/>
      <c r="AF191"/>
      <c r="AH191" t="str">
        <f t="shared" si="9"/>
        <v>Westlake Village</v>
      </c>
      <c r="AI191" s="199">
        <f>VLOOKUP(AH191,Places[#All],7,FALSE)</f>
        <v>5.2</v>
      </c>
      <c r="AJ191" s="199">
        <f>VLOOKUP(AH191,Places[#All],6,FALSE)/100000</f>
        <v>8.3519999999999997E-2</v>
      </c>
      <c r="AK191"/>
      <c r="AL191"/>
      <c r="AM191"/>
    </row>
    <row r="192" spans="1:39" x14ac:dyDescent="0.25">
      <c r="A192"/>
      <c r="B192"/>
      <c r="C192"/>
      <c r="D192"/>
      <c r="E192"/>
      <c r="F192" s="12"/>
      <c r="G192" s="12"/>
      <c r="I192"/>
      <c r="J192"/>
      <c r="K192"/>
      <c r="L192"/>
      <c r="M192"/>
      <c r="N192"/>
      <c r="O192"/>
      <c r="P192"/>
      <c r="Q192"/>
      <c r="R192"/>
      <c r="S192"/>
      <c r="T192"/>
      <c r="U192"/>
      <c r="W192"/>
      <c r="X192" s="44" t="s">
        <v>295</v>
      </c>
      <c r="Y192" s="199"/>
      <c r="Z192" s="199"/>
      <c r="AA192" s="199"/>
      <c r="AB192" s="199"/>
      <c r="AC192" s="199"/>
      <c r="AD192" s="199">
        <v>614513.87634105026</v>
      </c>
      <c r="AE192" s="199"/>
      <c r="AF192"/>
      <c r="AH192" t="str">
        <f t="shared" si="9"/>
        <v>Westminster</v>
      </c>
      <c r="AI192" s="199">
        <f>VLOOKUP(AH192,Places[#All],7,FALSE)</f>
        <v>10</v>
      </c>
      <c r="AJ192" s="199">
        <f>VLOOKUP(AH192,Places[#All],6,FALSE)/100000</f>
        <v>0.90937999999999997</v>
      </c>
      <c r="AK192"/>
      <c r="AL192"/>
      <c r="AM192"/>
    </row>
    <row r="193" spans="1:39" x14ac:dyDescent="0.25">
      <c r="A193"/>
      <c r="B193"/>
      <c r="C193"/>
      <c r="D193"/>
      <c r="E193"/>
      <c r="F193" s="12"/>
      <c r="G193" s="12"/>
      <c r="I193"/>
      <c r="J193"/>
      <c r="K193"/>
      <c r="L193"/>
      <c r="M193"/>
      <c r="N193"/>
      <c r="O193"/>
      <c r="P193"/>
      <c r="Q193"/>
      <c r="R193"/>
      <c r="S193"/>
      <c r="T193"/>
      <c r="U193"/>
      <c r="W193"/>
      <c r="X193" s="44" t="s">
        <v>171</v>
      </c>
      <c r="Y193" s="199"/>
      <c r="Z193" s="199"/>
      <c r="AA193" s="199">
        <v>647657.84810126573</v>
      </c>
      <c r="AB193" s="199"/>
      <c r="AC193" s="199"/>
      <c r="AD193" s="199"/>
      <c r="AE193" s="199"/>
      <c r="AF193"/>
      <c r="AH193" t="str">
        <f t="shared" si="9"/>
        <v>Whittier</v>
      </c>
      <c r="AI193" s="199">
        <f>VLOOKUP(AH193,Places[#All],7,FALSE)</f>
        <v>14.6</v>
      </c>
      <c r="AJ193" s="199">
        <f>VLOOKUP(AH193,Places[#All],6,FALSE)/100000</f>
        <v>0.86063999999999996</v>
      </c>
      <c r="AK193"/>
      <c r="AL193"/>
      <c r="AM193"/>
    </row>
    <row r="194" spans="1:39" x14ac:dyDescent="0.25">
      <c r="A194"/>
      <c r="B194"/>
      <c r="C194"/>
      <c r="D194"/>
      <c r="E194"/>
      <c r="F194" s="12"/>
      <c r="G194" s="12"/>
      <c r="I194"/>
      <c r="J194"/>
      <c r="K194"/>
      <c r="L194"/>
      <c r="M194"/>
      <c r="N194"/>
      <c r="O194"/>
      <c r="P194"/>
      <c r="Q194"/>
      <c r="R194"/>
      <c r="S194"/>
      <c r="T194"/>
      <c r="U194"/>
      <c r="W194"/>
      <c r="X194" s="44" t="s">
        <v>299</v>
      </c>
      <c r="Y194" s="199"/>
      <c r="Z194" s="199"/>
      <c r="AA194" s="199"/>
      <c r="AB194" s="199"/>
      <c r="AC194" s="199"/>
      <c r="AD194" s="199"/>
      <c r="AE194" s="199">
        <v>226102</v>
      </c>
      <c r="AF194"/>
      <c r="AH194" t="str">
        <f t="shared" si="9"/>
        <v>Wildomar</v>
      </c>
      <c r="AI194" s="199">
        <f>VLOOKUP(AH194,Places[#All],7,FALSE)</f>
        <v>23.7</v>
      </c>
      <c r="AJ194" s="199">
        <f>VLOOKUP(AH194,Places[#All],6,FALSE)/100000</f>
        <v>0.37280000000000002</v>
      </c>
      <c r="AK194"/>
      <c r="AL194"/>
      <c r="AM194"/>
    </row>
    <row r="195" spans="1:39" x14ac:dyDescent="0.25">
      <c r="A195"/>
      <c r="B195"/>
      <c r="C195"/>
      <c r="D195"/>
      <c r="E195"/>
      <c r="F195" s="12"/>
      <c r="G195" s="12"/>
      <c r="I195"/>
      <c r="J195"/>
      <c r="K195"/>
      <c r="L195"/>
      <c r="M195"/>
      <c r="N195"/>
      <c r="O195"/>
      <c r="P195"/>
      <c r="Q195"/>
      <c r="R195"/>
      <c r="S195"/>
      <c r="T195"/>
      <c r="U195"/>
      <c r="W195"/>
      <c r="X195" s="44" t="s">
        <v>296</v>
      </c>
      <c r="Y195" s="199"/>
      <c r="Z195" s="199"/>
      <c r="AA195" s="199"/>
      <c r="AB195" s="199"/>
      <c r="AC195" s="199"/>
      <c r="AD195" s="199">
        <v>566543.43127046863</v>
      </c>
      <c r="AE195" s="199"/>
      <c r="AF195"/>
      <c r="AH195" t="str">
        <f t="shared" si="9"/>
        <v>Yorba Linda</v>
      </c>
      <c r="AI195" s="199">
        <f>VLOOKUP(AH195,Places[#All],7,FALSE)</f>
        <v>19.3</v>
      </c>
      <c r="AJ195" s="199">
        <f>VLOOKUP(AH195,Places[#All],6,FALSE)/100000</f>
        <v>0.67786999999999997</v>
      </c>
      <c r="AK195"/>
      <c r="AL195"/>
      <c r="AM195"/>
    </row>
    <row r="196" spans="1:39" x14ac:dyDescent="0.25">
      <c r="A196"/>
      <c r="B196"/>
      <c r="C196"/>
      <c r="D196"/>
      <c r="E196"/>
      <c r="F196" s="12"/>
      <c r="G196" s="12"/>
      <c r="I196"/>
      <c r="J196"/>
      <c r="K196"/>
      <c r="L196"/>
      <c r="M196"/>
      <c r="N196"/>
      <c r="O196"/>
      <c r="P196"/>
      <c r="Q196"/>
      <c r="R196"/>
      <c r="S196"/>
      <c r="T196"/>
      <c r="U196"/>
      <c r="W196"/>
      <c r="X196" s="44" t="s">
        <v>251</v>
      </c>
      <c r="Y196" s="199"/>
      <c r="Z196" s="199"/>
      <c r="AA196" s="199"/>
      <c r="AB196" s="199"/>
      <c r="AC196" s="199"/>
      <c r="AD196" s="199">
        <v>265769.96197718632</v>
      </c>
      <c r="AE196" s="199"/>
      <c r="AF196"/>
      <c r="AH196" t="str">
        <f t="shared" si="9"/>
        <v>Yucaipa</v>
      </c>
      <c r="AI196" s="199">
        <f>VLOOKUP(AH196,Places[#All],7,FALSE)</f>
        <v>28.4</v>
      </c>
      <c r="AJ196" s="199">
        <f>VLOOKUP(AH196,Places[#All],6,FALSE)/100000</f>
        <v>0.53681999999999996</v>
      </c>
      <c r="AK196"/>
      <c r="AL196"/>
      <c r="AM196"/>
    </row>
    <row r="197" spans="1:39" x14ac:dyDescent="0.25">
      <c r="A197"/>
      <c r="B197"/>
      <c r="C197"/>
      <c r="D197"/>
      <c r="E197"/>
      <c r="F197" s="12"/>
      <c r="G197" s="12"/>
      <c r="I197"/>
      <c r="J197"/>
      <c r="K197"/>
      <c r="L197"/>
      <c r="M197"/>
      <c r="N197"/>
      <c r="O197"/>
      <c r="P197"/>
      <c r="Q197"/>
      <c r="R197"/>
      <c r="S197"/>
      <c r="T197"/>
      <c r="U197"/>
      <c r="W197"/>
      <c r="X197"/>
      <c r="Y197"/>
      <c r="Z197"/>
      <c r="AA197"/>
      <c r="AB197"/>
      <c r="AC197"/>
      <c r="AD197"/>
      <c r="AE197"/>
      <c r="AF197"/>
      <c r="AH197">
        <f t="shared" si="9"/>
        <v>0</v>
      </c>
      <c r="AI197" s="199" t="e">
        <f>VLOOKUP(AH197,Places[#All],7,FALSE)</f>
        <v>#N/A</v>
      </c>
      <c r="AJ197" s="199" t="e">
        <f>VLOOKUP(AH197,Places[#All],6,FALSE)/100000</f>
        <v>#N/A</v>
      </c>
      <c r="AK197"/>
      <c r="AL197"/>
      <c r="AM197"/>
    </row>
    <row r="198" spans="1:39" x14ac:dyDescent="0.25">
      <c r="A198"/>
      <c r="B198"/>
      <c r="C198"/>
      <c r="D198"/>
      <c r="E198"/>
      <c r="F198" s="12"/>
      <c r="G198" s="12"/>
      <c r="I198"/>
      <c r="J198"/>
      <c r="K198"/>
      <c r="L198"/>
      <c r="M198"/>
      <c r="N198"/>
      <c r="O198"/>
      <c r="P198"/>
      <c r="Q198"/>
      <c r="R198"/>
      <c r="S198"/>
      <c r="T198"/>
      <c r="U198"/>
      <c r="W198"/>
      <c r="X198"/>
      <c r="Y198"/>
      <c r="Z198"/>
      <c r="AA198"/>
      <c r="AB198"/>
      <c r="AC198"/>
      <c r="AD198"/>
      <c r="AE198"/>
      <c r="AF198"/>
      <c r="AH198">
        <f t="shared" si="9"/>
        <v>0</v>
      </c>
      <c r="AI198" s="199" t="e">
        <f>VLOOKUP(AH198,Places[#All],7,FALSE)</f>
        <v>#N/A</v>
      </c>
      <c r="AJ198" s="199" t="e">
        <f>VLOOKUP(AH198,Places[#All],6,FALSE)/100000</f>
        <v>#N/A</v>
      </c>
      <c r="AK198"/>
      <c r="AL198"/>
      <c r="AM198"/>
    </row>
    <row r="199" spans="1:39" x14ac:dyDescent="0.25">
      <c r="A199"/>
      <c r="B199"/>
      <c r="C199"/>
      <c r="D199"/>
      <c r="E199"/>
      <c r="F199" s="12"/>
      <c r="G199" s="12"/>
      <c r="I199"/>
      <c r="J199"/>
      <c r="K199"/>
      <c r="L199"/>
      <c r="M199"/>
      <c r="N199"/>
      <c r="O199"/>
      <c r="P199"/>
      <c r="Q199"/>
      <c r="R199"/>
      <c r="S199"/>
      <c r="T199"/>
      <c r="U199"/>
      <c r="W199"/>
      <c r="X199"/>
      <c r="Y199"/>
      <c r="Z199"/>
      <c r="AA199"/>
      <c r="AB199"/>
      <c r="AC199"/>
      <c r="AD199"/>
      <c r="AE199"/>
      <c r="AF199"/>
      <c r="AH199">
        <f t="shared" si="9"/>
        <v>0</v>
      </c>
      <c r="AI199" s="199" t="e">
        <f>VLOOKUP(AH199,Places[#All],7,FALSE)</f>
        <v>#N/A</v>
      </c>
      <c r="AJ199" s="199" t="e">
        <f>VLOOKUP(AH199,Places[#All],6,FALSE)/100000</f>
        <v>#N/A</v>
      </c>
      <c r="AK199"/>
      <c r="AL199"/>
      <c r="AM199"/>
    </row>
    <row r="200" spans="1:39" x14ac:dyDescent="0.25">
      <c r="A200"/>
      <c r="B200"/>
      <c r="C200"/>
      <c r="D200"/>
      <c r="E200"/>
      <c r="F200" s="12"/>
      <c r="G200" s="12"/>
      <c r="I200"/>
      <c r="J200"/>
      <c r="K200"/>
      <c r="L200"/>
      <c r="M200"/>
      <c r="N200"/>
      <c r="O200"/>
      <c r="P200"/>
      <c r="Q200"/>
      <c r="R200"/>
      <c r="S200"/>
      <c r="T200"/>
      <c r="U200"/>
      <c r="W200"/>
      <c r="X200"/>
      <c r="Y200"/>
      <c r="Z200"/>
      <c r="AA200"/>
      <c r="AB200"/>
      <c r="AC200"/>
      <c r="AD200"/>
      <c r="AE200"/>
      <c r="AF200"/>
      <c r="AH200">
        <f t="shared" si="9"/>
        <v>0</v>
      </c>
      <c r="AI200" s="199" t="e">
        <f>VLOOKUP(AH200,Places[#All],7,FALSE)</f>
        <v>#N/A</v>
      </c>
      <c r="AJ200" s="199" t="e">
        <f>VLOOKUP(AH200,Places[#All],6,FALSE)/100000</f>
        <v>#N/A</v>
      </c>
      <c r="AK200"/>
      <c r="AL200"/>
      <c r="AM200"/>
    </row>
    <row r="201" spans="1:39" x14ac:dyDescent="0.25">
      <c r="A201"/>
      <c r="B201"/>
      <c r="C201"/>
      <c r="D201"/>
      <c r="E201"/>
      <c r="F201" s="12"/>
      <c r="G201" s="12"/>
      <c r="I201"/>
      <c r="J201"/>
      <c r="K201"/>
      <c r="L201"/>
      <c r="M201"/>
      <c r="N201"/>
      <c r="O201"/>
      <c r="P201"/>
      <c r="Q201"/>
      <c r="R201"/>
      <c r="S201"/>
      <c r="T201"/>
      <c r="U201"/>
      <c r="W201"/>
      <c r="X201"/>
      <c r="Y201"/>
      <c r="Z201"/>
      <c r="AA201"/>
      <c r="AB201"/>
      <c r="AC201"/>
      <c r="AD201"/>
      <c r="AE201"/>
      <c r="AF201"/>
      <c r="AH201">
        <f t="shared" si="9"/>
        <v>0</v>
      </c>
      <c r="AI201" s="199" t="e">
        <f>VLOOKUP(AH201,Places[#All],7,FALSE)</f>
        <v>#N/A</v>
      </c>
      <c r="AJ201" s="199" t="e">
        <f>VLOOKUP(AH201,Places[#All],6,FALSE)/100000</f>
        <v>#N/A</v>
      </c>
      <c r="AK201"/>
      <c r="AL201"/>
      <c r="AM201"/>
    </row>
    <row r="202" spans="1:39" x14ac:dyDescent="0.25">
      <c r="A202"/>
      <c r="B202"/>
      <c r="C202"/>
      <c r="D202"/>
      <c r="E202"/>
      <c r="F202" s="12"/>
      <c r="G202" s="12"/>
      <c r="I202"/>
      <c r="J202"/>
      <c r="K202"/>
      <c r="L202"/>
      <c r="M202"/>
      <c r="N202"/>
      <c r="O202"/>
      <c r="P202"/>
      <c r="Q202"/>
      <c r="R202"/>
      <c r="S202"/>
      <c r="T202"/>
      <c r="U202"/>
      <c r="W202"/>
      <c r="X202"/>
      <c r="Y202"/>
      <c r="Z202"/>
      <c r="AA202"/>
      <c r="AB202"/>
      <c r="AC202"/>
      <c r="AD202"/>
      <c r="AE202"/>
      <c r="AF202"/>
      <c r="AH202">
        <f t="shared" si="9"/>
        <v>0</v>
      </c>
      <c r="AI202" s="199" t="e">
        <f>VLOOKUP(AH202,Places[#All],7,FALSE)</f>
        <v>#N/A</v>
      </c>
      <c r="AJ202" s="199" t="e">
        <f>VLOOKUP(AH202,Places[#All],6,FALSE)/100000</f>
        <v>#N/A</v>
      </c>
      <c r="AK202"/>
      <c r="AL202"/>
      <c r="AM202"/>
    </row>
    <row r="203" spans="1:39" x14ac:dyDescent="0.25">
      <c r="A203"/>
      <c r="B203"/>
      <c r="C203"/>
      <c r="D203"/>
      <c r="E203"/>
      <c r="F203" s="12"/>
      <c r="G203" s="12"/>
      <c r="I203"/>
      <c r="J203"/>
      <c r="K203"/>
      <c r="L203"/>
      <c r="M203"/>
      <c r="N203"/>
      <c r="O203"/>
      <c r="P203"/>
      <c r="Q203"/>
      <c r="R203"/>
      <c r="S203"/>
      <c r="T203"/>
      <c r="U203"/>
      <c r="W203"/>
      <c r="X203"/>
      <c r="Y203"/>
      <c r="Z203"/>
      <c r="AA203"/>
      <c r="AB203"/>
      <c r="AC203"/>
      <c r="AD203"/>
      <c r="AE203"/>
      <c r="AF203"/>
      <c r="AH203">
        <f t="shared" si="9"/>
        <v>0</v>
      </c>
      <c r="AI203" s="199" t="e">
        <f>VLOOKUP(AH203,Places[#All],7,FALSE)</f>
        <v>#N/A</v>
      </c>
      <c r="AJ203" s="199" t="e">
        <f>VLOOKUP(AH203,Places[#All],6,FALSE)/100000</f>
        <v>#N/A</v>
      </c>
      <c r="AK203"/>
      <c r="AL203"/>
      <c r="AM203"/>
    </row>
    <row r="204" spans="1:39" x14ac:dyDescent="0.25">
      <c r="A204"/>
      <c r="B204"/>
      <c r="C204"/>
      <c r="D204"/>
      <c r="E204"/>
      <c r="F204" s="12"/>
      <c r="G204" s="12"/>
      <c r="I204"/>
      <c r="J204"/>
      <c r="K204"/>
      <c r="L204"/>
      <c r="M204"/>
      <c r="N204"/>
      <c r="O204"/>
      <c r="P204"/>
      <c r="Q204"/>
      <c r="R204"/>
      <c r="S204"/>
      <c r="T204"/>
      <c r="U204"/>
      <c r="W204"/>
      <c r="X204"/>
      <c r="Y204"/>
      <c r="Z204"/>
      <c r="AA204"/>
      <c r="AB204"/>
      <c r="AC204"/>
      <c r="AD204"/>
      <c r="AE204"/>
      <c r="AF204"/>
      <c r="AH204">
        <f t="shared" si="9"/>
        <v>0</v>
      </c>
      <c r="AI204" s="199" t="e">
        <f>VLOOKUP(AH204,Places[#All],7,FALSE)</f>
        <v>#N/A</v>
      </c>
      <c r="AJ204" s="199" t="e">
        <f>VLOOKUP(AH204,Places[#All],6,FALSE)/100000</f>
        <v>#N/A</v>
      </c>
      <c r="AK204"/>
      <c r="AL204"/>
      <c r="AM204"/>
    </row>
    <row r="205" spans="1:39" x14ac:dyDescent="0.25">
      <c r="A205"/>
      <c r="B205"/>
      <c r="C205"/>
      <c r="D205"/>
      <c r="E205"/>
      <c r="F205" s="12"/>
      <c r="G205" s="12"/>
      <c r="I205"/>
      <c r="J205"/>
      <c r="K205"/>
      <c r="L205"/>
      <c r="M205"/>
      <c r="N205"/>
      <c r="O205"/>
      <c r="P205"/>
      <c r="Q205"/>
      <c r="R205"/>
      <c r="S205"/>
      <c r="T205"/>
      <c r="U205"/>
      <c r="W205"/>
      <c r="X205"/>
      <c r="Y205"/>
      <c r="Z205"/>
      <c r="AA205"/>
      <c r="AB205"/>
      <c r="AC205"/>
      <c r="AD205"/>
      <c r="AE205"/>
      <c r="AF205"/>
      <c r="AH205"/>
      <c r="AI205" s="199"/>
      <c r="AJ205" s="199"/>
      <c r="AK205"/>
      <c r="AL205"/>
      <c r="AM205"/>
    </row>
    <row r="206" spans="1:39" x14ac:dyDescent="0.25">
      <c r="A206"/>
      <c r="B206"/>
      <c r="C206"/>
      <c r="D206"/>
      <c r="E206"/>
      <c r="F206" s="12"/>
      <c r="G206" s="12"/>
      <c r="I206"/>
      <c r="J206"/>
      <c r="K206"/>
      <c r="L206"/>
      <c r="M206"/>
      <c r="N206"/>
      <c r="O206"/>
      <c r="P206"/>
      <c r="Q206"/>
      <c r="R206"/>
      <c r="S206"/>
      <c r="T206"/>
      <c r="U206"/>
      <c r="W206"/>
      <c r="X206"/>
      <c r="Y206"/>
      <c r="Z206"/>
      <c r="AA206"/>
      <c r="AB206"/>
      <c r="AC206"/>
      <c r="AD206"/>
      <c r="AE206"/>
      <c r="AF206"/>
      <c r="AH206"/>
      <c r="AI206"/>
      <c r="AJ206"/>
      <c r="AK206"/>
      <c r="AL206"/>
      <c r="AM206"/>
    </row>
    <row r="207" spans="1:39" x14ac:dyDescent="0.25">
      <c r="A207"/>
      <c r="B207"/>
      <c r="C207"/>
      <c r="D207"/>
      <c r="E207"/>
      <c r="F207" s="12"/>
      <c r="G207" s="12"/>
      <c r="I207"/>
      <c r="J207"/>
      <c r="K207"/>
      <c r="L207"/>
      <c r="M207"/>
      <c r="N207"/>
      <c r="O207"/>
      <c r="P207"/>
      <c r="Q207"/>
      <c r="R207"/>
      <c r="S207"/>
      <c r="T207"/>
      <c r="U207"/>
      <c r="W207"/>
      <c r="X207"/>
      <c r="Y207"/>
      <c r="Z207"/>
      <c r="AA207"/>
      <c r="AB207"/>
      <c r="AC207"/>
      <c r="AD207"/>
      <c r="AE207"/>
      <c r="AF207"/>
      <c r="AH207"/>
      <c r="AI207"/>
      <c r="AJ207"/>
      <c r="AK207"/>
      <c r="AL207"/>
      <c r="AM207"/>
    </row>
    <row r="208" spans="1:39" x14ac:dyDescent="0.25">
      <c r="A208"/>
      <c r="B208"/>
      <c r="C208"/>
      <c r="D208"/>
      <c r="E208"/>
      <c r="F208" s="12"/>
      <c r="G208" s="12"/>
      <c r="I208"/>
      <c r="J208"/>
      <c r="K208"/>
      <c r="L208"/>
      <c r="M208"/>
      <c r="N208"/>
      <c r="O208"/>
      <c r="P208"/>
      <c r="Q208"/>
      <c r="R208"/>
      <c r="S208"/>
      <c r="T208"/>
      <c r="U208"/>
      <c r="W208"/>
      <c r="X208"/>
      <c r="Y208"/>
      <c r="Z208"/>
      <c r="AA208"/>
      <c r="AB208"/>
      <c r="AC208"/>
      <c r="AD208"/>
      <c r="AE208"/>
      <c r="AF208"/>
      <c r="AH208"/>
      <c r="AI208"/>
      <c r="AJ208"/>
      <c r="AK208"/>
      <c r="AL208"/>
      <c r="AM208"/>
    </row>
    <row r="209" spans="1:39" x14ac:dyDescent="0.25">
      <c r="A209"/>
      <c r="B209"/>
      <c r="C209"/>
      <c r="D209"/>
      <c r="E209"/>
      <c r="F209" s="12"/>
      <c r="G209" s="12"/>
      <c r="I209"/>
      <c r="J209"/>
      <c r="K209"/>
      <c r="L209"/>
      <c r="M209"/>
      <c r="N209"/>
      <c r="O209"/>
      <c r="P209"/>
      <c r="Q209"/>
      <c r="R209"/>
      <c r="S209"/>
      <c r="T209"/>
      <c r="U209"/>
      <c r="W209"/>
      <c r="X209"/>
      <c r="Y209"/>
      <c r="Z209"/>
      <c r="AA209"/>
      <c r="AB209"/>
      <c r="AC209"/>
      <c r="AD209"/>
      <c r="AE209"/>
      <c r="AF209"/>
      <c r="AH209"/>
      <c r="AI209"/>
      <c r="AJ209"/>
      <c r="AK209"/>
      <c r="AL209"/>
      <c r="AM209"/>
    </row>
    <row r="210" spans="1:39" x14ac:dyDescent="0.25">
      <c r="A210"/>
      <c r="B210"/>
      <c r="C210"/>
      <c r="D210"/>
      <c r="E210"/>
      <c r="F210" s="12"/>
      <c r="G210" s="12"/>
      <c r="I210"/>
      <c r="J210"/>
      <c r="K210"/>
      <c r="L210"/>
      <c r="M210"/>
      <c r="N210"/>
      <c r="O210"/>
      <c r="P210"/>
      <c r="Q210"/>
      <c r="R210"/>
      <c r="S210"/>
      <c r="T210"/>
      <c r="U210"/>
      <c r="W210"/>
      <c r="X210"/>
      <c r="Y210"/>
      <c r="Z210"/>
      <c r="AA210"/>
      <c r="AB210"/>
      <c r="AC210"/>
      <c r="AD210"/>
      <c r="AE210"/>
      <c r="AF210"/>
      <c r="AH210"/>
      <c r="AI210"/>
      <c r="AJ210"/>
      <c r="AK210"/>
      <c r="AL210"/>
      <c r="AM210"/>
    </row>
  </sheetData>
  <mergeCells count="4">
    <mergeCell ref="A2:D2"/>
    <mergeCell ref="J2:M2"/>
    <mergeCell ref="X2:AB2"/>
    <mergeCell ref="AH2:AJ2"/>
  </mergeCells>
  <pageMargins left="0.7" right="0.7" top="0.75" bottom="0.75" header="0.3" footer="0.3"/>
  <pageSetup orientation="portrait" horizontalDpi="1200" verticalDpi="1200"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336E3-2E6A-460F-8AF7-FE33017A4463}">
  <sheetPr>
    <tabColor theme="9" tint="0.39997558519241921"/>
  </sheetPr>
  <dimension ref="A1:R49"/>
  <sheetViews>
    <sheetView zoomScale="70" zoomScaleNormal="70" workbookViewId="0">
      <selection activeCell="A2" sqref="A2:G2"/>
    </sheetView>
  </sheetViews>
  <sheetFormatPr defaultColWidth="8.7109375" defaultRowHeight="15" x14ac:dyDescent="0.25"/>
  <cols>
    <col min="1" max="1" width="15.5703125" style="134" customWidth="1"/>
    <col min="2" max="2" width="15" style="134" bestFit="1" customWidth="1"/>
    <col min="3" max="3" width="17.7109375" style="134" bestFit="1" customWidth="1"/>
    <col min="4" max="4" width="13.7109375" style="134" bestFit="1" customWidth="1"/>
    <col min="5" max="5" width="19.42578125" style="134" bestFit="1" customWidth="1"/>
    <col min="6" max="6" width="16.85546875" style="134" bestFit="1" customWidth="1"/>
    <col min="7" max="7" width="19.42578125" style="134" bestFit="1" customWidth="1"/>
    <col min="8" max="8" width="14.140625" style="134" bestFit="1" customWidth="1"/>
    <col min="9" max="9" width="12.85546875" style="134" bestFit="1" customWidth="1"/>
    <col min="10" max="10" width="12.5703125" style="134" bestFit="1" customWidth="1"/>
    <col min="11" max="11" width="14.140625" style="134" bestFit="1" customWidth="1"/>
    <col min="12" max="13" width="11.140625" style="134" bestFit="1" customWidth="1"/>
    <col min="14" max="14" width="15.5703125" style="134" bestFit="1" customWidth="1"/>
    <col min="15" max="15" width="14.140625" style="134" bestFit="1" customWidth="1"/>
    <col min="16" max="16" width="16.140625" style="134" bestFit="1" customWidth="1"/>
    <col min="17" max="16384" width="8.7109375" style="134"/>
  </cols>
  <sheetData>
    <row r="1" spans="1:18" ht="26.25" x14ac:dyDescent="0.4">
      <c r="A1" s="136" t="s">
        <v>2103</v>
      </c>
      <c r="B1"/>
      <c r="C1"/>
      <c r="D1"/>
      <c r="E1"/>
      <c r="F1"/>
      <c r="G1"/>
      <c r="H1"/>
      <c r="I1" s="136" t="s">
        <v>2104</v>
      </c>
      <c r="J1"/>
      <c r="K1"/>
      <c r="L1"/>
      <c r="M1"/>
      <c r="N1"/>
      <c r="O1"/>
      <c r="P1"/>
      <c r="Q1"/>
      <c r="R1"/>
    </row>
    <row r="2" spans="1:18" ht="68.099999999999994" customHeight="1" x14ac:dyDescent="0.25">
      <c r="A2" s="247" t="s">
        <v>2105</v>
      </c>
      <c r="B2" s="247"/>
      <c r="C2" s="247"/>
      <c r="D2" s="247"/>
      <c r="E2" s="247"/>
      <c r="F2" s="247"/>
      <c r="G2" s="247"/>
      <c r="H2"/>
      <c r="I2"/>
      <c r="J2"/>
      <c r="K2"/>
      <c r="L2"/>
      <c r="M2"/>
      <c r="N2"/>
      <c r="O2"/>
      <c r="P2"/>
      <c r="Q2"/>
      <c r="R2"/>
    </row>
    <row r="3" spans="1:18" x14ac:dyDescent="0.25">
      <c r="A3"/>
      <c r="B3"/>
      <c r="C3"/>
      <c r="D3"/>
      <c r="E3"/>
      <c r="F3"/>
      <c r="G3"/>
      <c r="H3"/>
      <c r="I3"/>
      <c r="J3"/>
      <c r="K3"/>
      <c r="L3"/>
      <c r="M3"/>
      <c r="N3"/>
      <c r="O3"/>
      <c r="P3"/>
      <c r="Q3"/>
      <c r="R3"/>
    </row>
    <row r="4" spans="1:18" x14ac:dyDescent="0.25">
      <c r="A4"/>
      <c r="B4"/>
      <c r="C4"/>
      <c r="D4"/>
      <c r="E4"/>
      <c r="F4"/>
      <c r="G4"/>
      <c r="H4"/>
      <c r="I4"/>
      <c r="J4"/>
      <c r="K4"/>
      <c r="L4"/>
      <c r="M4"/>
      <c r="N4"/>
      <c r="O4"/>
      <c r="P4"/>
      <c r="Q4"/>
      <c r="R4"/>
    </row>
    <row r="5" spans="1:18" x14ac:dyDescent="0.25">
      <c r="A5"/>
      <c r="B5"/>
      <c r="C5"/>
      <c r="D5"/>
      <c r="E5"/>
      <c r="F5"/>
      <c r="G5"/>
      <c r="H5"/>
      <c r="I5"/>
      <c r="J5"/>
      <c r="K5"/>
      <c r="L5"/>
      <c r="M5"/>
      <c r="N5"/>
      <c r="O5"/>
      <c r="P5"/>
      <c r="Q5"/>
      <c r="R5"/>
    </row>
    <row r="6" spans="1:18" x14ac:dyDescent="0.25">
      <c r="A6"/>
      <c r="B6"/>
      <c r="C6"/>
      <c r="D6"/>
      <c r="E6"/>
      <c r="F6"/>
      <c r="G6"/>
      <c r="H6"/>
      <c r="I6"/>
      <c r="J6"/>
      <c r="K6"/>
      <c r="L6"/>
      <c r="M6"/>
      <c r="N6"/>
      <c r="O6"/>
      <c r="P6"/>
      <c r="Q6"/>
      <c r="R6"/>
    </row>
    <row r="7" spans="1:18" x14ac:dyDescent="0.25">
      <c r="A7"/>
      <c r="B7"/>
      <c r="C7"/>
      <c r="D7"/>
      <c r="E7"/>
      <c r="F7"/>
      <c r="G7"/>
      <c r="H7"/>
      <c r="I7"/>
      <c r="J7"/>
      <c r="K7"/>
      <c r="L7"/>
      <c r="M7"/>
      <c r="N7"/>
      <c r="O7"/>
      <c r="P7"/>
      <c r="Q7"/>
      <c r="R7"/>
    </row>
    <row r="8" spans="1:18" x14ac:dyDescent="0.25">
      <c r="A8"/>
      <c r="B8"/>
      <c r="C8"/>
      <c r="D8"/>
      <c r="E8"/>
      <c r="F8"/>
      <c r="G8"/>
      <c r="H8"/>
      <c r="I8"/>
      <c r="J8"/>
      <c r="K8"/>
      <c r="L8"/>
      <c r="M8"/>
      <c r="N8"/>
      <c r="O8"/>
      <c r="P8"/>
      <c r="Q8"/>
      <c r="R8"/>
    </row>
    <row r="9" spans="1:18" x14ac:dyDescent="0.25">
      <c r="A9"/>
      <c r="B9"/>
      <c r="C9"/>
      <c r="D9"/>
      <c r="E9"/>
      <c r="F9"/>
      <c r="G9"/>
      <c r="H9"/>
      <c r="I9"/>
      <c r="J9"/>
      <c r="K9"/>
      <c r="L9"/>
      <c r="M9"/>
      <c r="N9"/>
      <c r="O9"/>
      <c r="P9"/>
      <c r="Q9"/>
      <c r="R9"/>
    </row>
    <row r="10" spans="1:18" x14ac:dyDescent="0.25">
      <c r="A10"/>
      <c r="B10"/>
      <c r="C10"/>
      <c r="D10"/>
      <c r="E10"/>
      <c r="F10"/>
      <c r="G10"/>
      <c r="H10"/>
      <c r="I10"/>
      <c r="J10"/>
      <c r="K10"/>
      <c r="L10"/>
      <c r="M10"/>
      <c r="N10"/>
      <c r="O10"/>
      <c r="P10"/>
      <c r="Q10"/>
      <c r="R10"/>
    </row>
    <row r="11" spans="1:18" x14ac:dyDescent="0.25">
      <c r="A11"/>
      <c r="B11"/>
      <c r="C11"/>
      <c r="D11"/>
      <c r="E11"/>
      <c r="F11"/>
      <c r="G11"/>
      <c r="H11"/>
      <c r="I11"/>
      <c r="J11"/>
      <c r="K11"/>
      <c r="L11"/>
      <c r="M11"/>
      <c r="N11"/>
      <c r="O11"/>
      <c r="P11"/>
      <c r="Q11"/>
      <c r="R11"/>
    </row>
    <row r="12" spans="1:18" x14ac:dyDescent="0.25">
      <c r="A12"/>
      <c r="B12"/>
      <c r="C12"/>
      <c r="D12"/>
      <c r="E12"/>
      <c r="F12"/>
      <c r="G12"/>
      <c r="H12"/>
      <c r="I12"/>
      <c r="J12"/>
      <c r="K12"/>
      <c r="L12"/>
      <c r="M12"/>
      <c r="N12"/>
      <c r="O12"/>
      <c r="P12"/>
      <c r="Q12"/>
      <c r="R12"/>
    </row>
    <row r="13" spans="1:18" x14ac:dyDescent="0.25">
      <c r="A13"/>
      <c r="B13"/>
      <c r="C13"/>
      <c r="D13"/>
      <c r="E13"/>
      <c r="F13"/>
      <c r="G13"/>
      <c r="H13"/>
      <c r="I13"/>
      <c r="J13"/>
      <c r="K13"/>
      <c r="L13"/>
      <c r="M13"/>
      <c r="N13"/>
      <c r="O13"/>
      <c r="P13"/>
      <c r="Q13"/>
      <c r="R13"/>
    </row>
    <row r="14" spans="1:18" x14ac:dyDescent="0.25">
      <c r="A14"/>
      <c r="B14"/>
      <c r="C14"/>
      <c r="D14"/>
      <c r="E14"/>
      <c r="F14"/>
      <c r="G14"/>
      <c r="H14"/>
      <c r="I14"/>
      <c r="J14"/>
      <c r="K14"/>
      <c r="L14"/>
      <c r="M14"/>
      <c r="N14"/>
      <c r="O14"/>
      <c r="P14"/>
      <c r="Q14"/>
      <c r="R14"/>
    </row>
    <row r="15" spans="1:18" x14ac:dyDescent="0.25">
      <c r="A15"/>
      <c r="B15"/>
      <c r="C15"/>
      <c r="D15"/>
      <c r="E15"/>
      <c r="F15"/>
      <c r="G15"/>
      <c r="H15"/>
      <c r="I15"/>
      <c r="J15"/>
      <c r="K15"/>
      <c r="L15"/>
      <c r="M15"/>
      <c r="N15"/>
      <c r="O15"/>
      <c r="P15"/>
      <c r="Q15"/>
      <c r="R15"/>
    </row>
    <row r="16" spans="1:18" x14ac:dyDescent="0.25">
      <c r="A16"/>
      <c r="B16"/>
      <c r="C16"/>
      <c r="D16"/>
      <c r="E16"/>
      <c r="F16"/>
      <c r="G16"/>
      <c r="H16"/>
      <c r="I16"/>
      <c r="J16"/>
      <c r="K16"/>
      <c r="L16"/>
      <c r="M16"/>
      <c r="N16"/>
      <c r="O16"/>
      <c r="P16"/>
      <c r="Q16"/>
      <c r="R16"/>
    </row>
    <row r="17" spans="1:18" x14ac:dyDescent="0.25">
      <c r="A17"/>
      <c r="B17"/>
      <c r="C17"/>
      <c r="D17"/>
      <c r="E17"/>
      <c r="F17"/>
      <c r="G17"/>
      <c r="H17"/>
      <c r="I17"/>
      <c r="J17"/>
      <c r="K17"/>
      <c r="L17"/>
      <c r="M17"/>
      <c r="N17"/>
      <c r="O17"/>
      <c r="P17"/>
      <c r="Q17"/>
      <c r="R17"/>
    </row>
    <row r="18" spans="1:18" x14ac:dyDescent="0.25">
      <c r="A18"/>
      <c r="B18"/>
      <c r="C18"/>
      <c r="D18"/>
      <c r="E18"/>
      <c r="F18"/>
      <c r="G18"/>
      <c r="H18"/>
      <c r="I18"/>
      <c r="J18"/>
      <c r="K18"/>
      <c r="L18"/>
      <c r="M18"/>
      <c r="N18"/>
      <c r="O18"/>
      <c r="P18"/>
      <c r="Q18"/>
      <c r="R18"/>
    </row>
    <row r="19" spans="1:18" x14ac:dyDescent="0.25">
      <c r="A19"/>
      <c r="B19"/>
      <c r="C19"/>
      <c r="D19"/>
      <c r="E19"/>
      <c r="F19"/>
      <c r="G19"/>
      <c r="H19"/>
      <c r="I19"/>
      <c r="J19"/>
      <c r="K19"/>
      <c r="L19"/>
      <c r="M19"/>
      <c r="N19"/>
      <c r="O19"/>
      <c r="P19"/>
      <c r="Q19"/>
      <c r="R19"/>
    </row>
    <row r="20" spans="1:18" x14ac:dyDescent="0.25">
      <c r="A20"/>
      <c r="B20"/>
      <c r="C20"/>
      <c r="D20"/>
      <c r="E20"/>
      <c r="F20"/>
      <c r="G20"/>
      <c r="H20"/>
      <c r="I20"/>
      <c r="J20"/>
      <c r="K20"/>
      <c r="L20"/>
      <c r="M20"/>
      <c r="N20"/>
      <c r="O20"/>
      <c r="P20"/>
      <c r="Q20"/>
      <c r="R20"/>
    </row>
    <row r="21" spans="1:18" x14ac:dyDescent="0.25">
      <c r="A21"/>
      <c r="B21"/>
      <c r="C21"/>
      <c r="D21"/>
      <c r="E21"/>
      <c r="F21"/>
      <c r="G21"/>
      <c r="H21"/>
      <c r="I21"/>
      <c r="J21"/>
      <c r="K21"/>
      <c r="L21"/>
      <c r="M21"/>
      <c r="N21"/>
      <c r="O21"/>
      <c r="P21"/>
      <c r="Q21"/>
      <c r="R21"/>
    </row>
    <row r="22" spans="1:18" x14ac:dyDescent="0.25">
      <c r="A22"/>
      <c r="B22"/>
      <c r="C22"/>
      <c r="D22"/>
      <c r="E22"/>
      <c r="F22"/>
      <c r="G22"/>
      <c r="H22"/>
      <c r="I22"/>
      <c r="J22"/>
      <c r="K22"/>
      <c r="L22"/>
      <c r="M22"/>
      <c r="N22"/>
      <c r="O22"/>
      <c r="P22"/>
      <c r="Q22"/>
      <c r="R22"/>
    </row>
    <row r="23" spans="1:18" x14ac:dyDescent="0.25">
      <c r="A23"/>
      <c r="B23"/>
      <c r="C23"/>
      <c r="D23"/>
      <c r="E23"/>
      <c r="F23"/>
      <c r="G23"/>
      <c r="H23"/>
      <c r="I23"/>
      <c r="J23"/>
      <c r="K23"/>
      <c r="L23"/>
      <c r="M23"/>
      <c r="N23"/>
      <c r="O23"/>
      <c r="P23"/>
      <c r="Q23"/>
      <c r="R23"/>
    </row>
    <row r="24" spans="1:18" x14ac:dyDescent="0.25">
      <c r="A24"/>
      <c r="B24"/>
      <c r="C24"/>
      <c r="D24"/>
      <c r="E24"/>
      <c r="F24"/>
      <c r="G24"/>
      <c r="H24"/>
      <c r="I24"/>
      <c r="J24"/>
      <c r="K24"/>
      <c r="L24"/>
      <c r="M24"/>
      <c r="N24"/>
      <c r="O24"/>
      <c r="P24"/>
      <c r="Q24"/>
      <c r="R24"/>
    </row>
    <row r="25" spans="1:18" s="206" customFormat="1" ht="15.75" thickBot="1" x14ac:dyDescent="0.3">
      <c r="A25" s="205"/>
      <c r="B25" s="205"/>
      <c r="C25" s="205"/>
      <c r="D25" s="205"/>
      <c r="E25" s="205"/>
      <c r="F25" s="205"/>
      <c r="G25" s="205"/>
      <c r="H25" s="205"/>
      <c r="I25" s="205"/>
      <c r="J25" s="205"/>
      <c r="K25" s="205"/>
      <c r="L25" s="205"/>
      <c r="M25" s="205"/>
      <c r="N25" s="205"/>
      <c r="O25" s="205"/>
      <c r="P25" s="205"/>
      <c r="Q25" s="205"/>
      <c r="R25" s="20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row r="28" spans="1:18" x14ac:dyDescent="0.25">
      <c r="A28" t="s">
        <v>114</v>
      </c>
      <c r="B28" t="s">
        <v>1444</v>
      </c>
      <c r="C28" t="s">
        <v>1428</v>
      </c>
      <c r="D28" t="s">
        <v>1445</v>
      </c>
      <c r="E28" t="s">
        <v>1435</v>
      </c>
      <c r="F28" t="s">
        <v>1436</v>
      </c>
      <c r="G28" t="s">
        <v>1443</v>
      </c>
      <c r="H28" t="s">
        <v>15</v>
      </c>
      <c r="I28" t="s">
        <v>416</v>
      </c>
      <c r="J28" t="s">
        <v>317</v>
      </c>
      <c r="K28" t="s">
        <v>124</v>
      </c>
      <c r="L28" t="s">
        <v>125</v>
      </c>
      <c r="M28" t="s">
        <v>126</v>
      </c>
      <c r="N28" t="s">
        <v>20</v>
      </c>
      <c r="O28"/>
      <c r="P28"/>
      <c r="Q28"/>
      <c r="R28"/>
    </row>
    <row r="29" spans="1:18" x14ac:dyDescent="0.25">
      <c r="A29" s="44" t="s">
        <v>1892</v>
      </c>
      <c r="B29" s="170">
        <f t="array" ref="B29">SUM(IF(Expenditures[Jurisdiction]=B$28,IF(Expenditures[Fiscal Year]=$A29,Expenditures[2018 $ Value])))</f>
        <v>0</v>
      </c>
      <c r="C29" s="170">
        <f t="array" ref="C29">SUM(IF(Expenditures[Jurisdiction]=C$28,IF(Expenditures[Fiscal Year]=$A29,Expenditures[2018 $ Value])))</f>
        <v>0</v>
      </c>
      <c r="D29" s="170">
        <f t="array" ref="D29">SUM(IF(Expenditures[Jurisdiction]=D$28,IF(Expenditures[Fiscal Year]=$A29,Expenditures[2018 $ Value])))</f>
        <v>0</v>
      </c>
      <c r="E29" s="170">
        <f t="array" ref="E29">SUM(IF(Expenditures[Jurisdiction]=E$28,IF(Expenditures[Fiscal Year]=$A29,Expenditures[2018 $ Value])))</f>
        <v>0</v>
      </c>
      <c r="F29" s="170">
        <f t="array" ref="F29">SUM(IF(Expenditures[Jurisdiction]=F$28,IF(Expenditures[Fiscal Year]=$A29,Expenditures[2018 $ Value])))</f>
        <v>0</v>
      </c>
      <c r="G29" s="170">
        <f t="array" ref="G29">SUM(IF(Expenditures[Jurisdiction]=G$28,IF(Expenditures[Fiscal Year]=$A29,Expenditures[2018 $ Value])))</f>
        <v>0</v>
      </c>
      <c r="H29" s="170">
        <f t="array" ref="H29">SUM(IF(Expenditures[Jurisdiction]=H$28,IF(Expenditures[Fiscal Year]=$A29,Expenditures[2018 $ Value])))</f>
        <v>0</v>
      </c>
      <c r="I29" s="170">
        <f t="array" ref="I29">SUM(IF(Expenditures[Jurisdiction]=I$28,IF(Expenditures[Fiscal Year]=$A29,Expenditures[2018 $ Value])))</f>
        <v>0</v>
      </c>
      <c r="J29" s="170">
        <f t="array" ref="J29">SUM(IF(Expenditures[Jurisdiction]=J$28,IF(Expenditures[Fiscal Year]=$A29,Expenditures[2018 $ Value])))</f>
        <v>0</v>
      </c>
      <c r="K29" s="170">
        <f t="array" ref="K29">SUM(IF(Expenditures[Jurisdiction]=K$28,IF(Expenditures[Fiscal Year]=$A29,Expenditures[2018 $ Value])))</f>
        <v>0</v>
      </c>
      <c r="L29" s="170">
        <f t="array" ref="L29">SUM(IF(Expenditures[Jurisdiction]=L$28,IF(Expenditures[Fiscal Year]=$A29,Expenditures[2018 $ Value])))</f>
        <v>0</v>
      </c>
      <c r="M29" s="170">
        <f t="array" ref="M29">SUM(IF(Expenditures[Jurisdiction]=M$28,IF(Expenditures[Fiscal Year]=$A29,Expenditures[2018 $ Value])))</f>
        <v>0</v>
      </c>
      <c r="N29" s="170">
        <f t="array" ref="N29">SUM(IF(Expenditures[Jurisdiction]=N$28,IF(Expenditures[Fiscal Year]=$A29,Expenditures[2018 $ Value])))</f>
        <v>0</v>
      </c>
      <c r="O29"/>
      <c r="P29"/>
      <c r="Q29"/>
      <c r="R29"/>
    </row>
    <row r="30" spans="1:18" x14ac:dyDescent="0.25">
      <c r="A30" s="44" t="s">
        <v>1893</v>
      </c>
      <c r="B30" s="170">
        <f t="array" ref="B30">SUM(IF(Expenditures[Jurisdiction]=B$28,IF(Expenditures[Fiscal Year]=$A30,Expenditures[2018 $ Value])))</f>
        <v>0</v>
      </c>
      <c r="C30" s="170">
        <f t="array" ref="C30">SUM(IF(Expenditures[Jurisdiction]=C$28,IF(Expenditures[Fiscal Year]=$A30,Expenditures[2018 $ Value])))</f>
        <v>0</v>
      </c>
      <c r="D30" s="170">
        <f t="array" ref="D30">SUM(IF(Expenditures[Jurisdiction]=D$28,IF(Expenditures[Fiscal Year]=$A30,Expenditures[2018 $ Value])))</f>
        <v>0</v>
      </c>
      <c r="E30" s="170">
        <f t="array" ref="E30">SUM(IF(Expenditures[Jurisdiction]=E$28,IF(Expenditures[Fiscal Year]=$A30,Expenditures[2018 $ Value])))</f>
        <v>0</v>
      </c>
      <c r="F30" s="170">
        <f t="array" ref="F30">SUM(IF(Expenditures[Jurisdiction]=F$28,IF(Expenditures[Fiscal Year]=$A30,Expenditures[2018 $ Value])))</f>
        <v>0</v>
      </c>
      <c r="G30" s="170">
        <f t="array" ref="G30">SUM(IF(Expenditures[Jurisdiction]=G$28,IF(Expenditures[Fiscal Year]=$A30,Expenditures[2018 $ Value])))</f>
        <v>0</v>
      </c>
      <c r="H30" s="170">
        <f t="array" ref="H30">SUM(IF(Expenditures[Jurisdiction]=H$28,IF(Expenditures[Fiscal Year]=$A30,Expenditures[2018 $ Value])))</f>
        <v>0</v>
      </c>
      <c r="I30" s="170">
        <f t="array" ref="I30">SUM(IF(Expenditures[Jurisdiction]=I$28,IF(Expenditures[Fiscal Year]=$A30,Expenditures[2018 $ Value])))</f>
        <v>0</v>
      </c>
      <c r="J30" s="170">
        <f t="array" ref="J30">SUM(IF(Expenditures[Jurisdiction]=J$28,IF(Expenditures[Fiscal Year]=$A30,Expenditures[2018 $ Value])))</f>
        <v>0</v>
      </c>
      <c r="K30" s="170">
        <f t="array" ref="K30">SUM(IF(Expenditures[Jurisdiction]=K$28,IF(Expenditures[Fiscal Year]=$A30,Expenditures[2018 $ Value])))</f>
        <v>0</v>
      </c>
      <c r="L30" s="170">
        <f t="array" ref="L30">SUM(IF(Expenditures[Jurisdiction]=L$28,IF(Expenditures[Fiscal Year]=$A30,Expenditures[2018 $ Value])))</f>
        <v>0</v>
      </c>
      <c r="M30" s="170">
        <f t="array" ref="M30">SUM(IF(Expenditures[Jurisdiction]=M$28,IF(Expenditures[Fiscal Year]=$A30,Expenditures[2018 $ Value])))</f>
        <v>0</v>
      </c>
      <c r="N30" s="170">
        <f t="array" ref="N30">SUM(IF(Expenditures[Jurisdiction]=N$28,IF(Expenditures[Fiscal Year]=$A30,Expenditures[2018 $ Value])))</f>
        <v>0</v>
      </c>
      <c r="O30"/>
      <c r="P30"/>
      <c r="Q30"/>
      <c r="R30"/>
    </row>
    <row r="31" spans="1:18" x14ac:dyDescent="0.25">
      <c r="A31" s="44" t="s">
        <v>1875</v>
      </c>
      <c r="B31" s="170">
        <f t="array" ref="B31">SUM(IF(Expenditures[Jurisdiction]=B$28,IF(Expenditures[Fiscal Year]=$A31,Expenditures[2018 $ Value])))</f>
        <v>0</v>
      </c>
      <c r="C31" s="170">
        <f t="array" ref="C31">SUM(IF(Expenditures[Jurisdiction]=C$28,IF(Expenditures[Fiscal Year]=$A31,Expenditures[2018 $ Value])))</f>
        <v>0</v>
      </c>
      <c r="D31" s="170">
        <f t="array" ref="D31">SUM(IF(Expenditures[Jurisdiction]=D$28,IF(Expenditures[Fiscal Year]=$A31,Expenditures[2018 $ Value])))</f>
        <v>0</v>
      </c>
      <c r="E31" s="170">
        <f t="array" ref="E31">SUM(IF(Expenditures[Jurisdiction]=E$28,IF(Expenditures[Fiscal Year]=$A31,Expenditures[2018 $ Value])))</f>
        <v>0</v>
      </c>
      <c r="F31" s="170">
        <f t="array" ref="F31">SUM(IF(Expenditures[Jurisdiction]=F$28,IF(Expenditures[Fiscal Year]=$A31,Expenditures[2018 $ Value])))</f>
        <v>0</v>
      </c>
      <c r="G31" s="170">
        <f t="array" ref="G31">SUM(IF(Expenditures[Jurisdiction]=G$28,IF(Expenditures[Fiscal Year]=$A31,Expenditures[2018 $ Value])))</f>
        <v>0</v>
      </c>
      <c r="H31" s="170">
        <f t="array" ref="H31">SUM(IF(Expenditures[Jurisdiction]=H$28,IF(Expenditures[Fiscal Year]=$A31,Expenditures[2018 $ Value])))</f>
        <v>0</v>
      </c>
      <c r="I31" s="170">
        <f t="array" ref="I31">SUM(IF(Expenditures[Jurisdiction]=I$28,IF(Expenditures[Fiscal Year]=$A31,Expenditures[2018 $ Value])))</f>
        <v>0</v>
      </c>
      <c r="J31" s="170">
        <f t="array" ref="J31">SUM(IF(Expenditures[Jurisdiction]=J$28,IF(Expenditures[Fiscal Year]=$A31,Expenditures[2018 $ Value])))</f>
        <v>0</v>
      </c>
      <c r="K31" s="170">
        <f t="array" ref="K31">SUM(IF(Expenditures[Jurisdiction]=K$28,IF(Expenditures[Fiscal Year]=$A31,Expenditures[2018 $ Value])))</f>
        <v>0</v>
      </c>
      <c r="L31" s="170">
        <f t="array" ref="L31">SUM(IF(Expenditures[Jurisdiction]=L$28,IF(Expenditures[Fiscal Year]=$A31,Expenditures[2018 $ Value])))</f>
        <v>0</v>
      </c>
      <c r="M31" s="170">
        <f t="array" ref="M31">SUM(IF(Expenditures[Jurisdiction]=M$28,IF(Expenditures[Fiscal Year]=$A31,Expenditures[2018 $ Value])))</f>
        <v>0</v>
      </c>
      <c r="N31" s="170">
        <f t="array" ref="N31">SUM(IF(Expenditures[Jurisdiction]=N$28,IF(Expenditures[Fiscal Year]=$A31,Expenditures[2018 $ Value])))</f>
        <v>0</v>
      </c>
      <c r="O31"/>
      <c r="P31"/>
      <c r="Q31"/>
      <c r="R31"/>
    </row>
    <row r="32" spans="1:18" x14ac:dyDescent="0.25">
      <c r="A32" s="44" t="s">
        <v>1872</v>
      </c>
      <c r="B32" s="170">
        <f t="array" ref="B32">SUM(IF(Expenditures[Jurisdiction]=B$28,IF(Expenditures[Fiscal Year]=$A32,Expenditures[2018 $ Value])))</f>
        <v>8285232.5185047239</v>
      </c>
      <c r="C32" s="170">
        <f t="array" ref="C32">SUM(IF(Expenditures[Jurisdiction]=C$28,IF(Expenditures[Fiscal Year]=$A32,Expenditures[2018 $ Value])))</f>
        <v>0</v>
      </c>
      <c r="D32" s="170">
        <f t="array" ref="D32">SUM(IF(Expenditures[Jurisdiction]=D$28,IF(Expenditures[Fiscal Year]=$A32,Expenditures[2018 $ Value])))</f>
        <v>0</v>
      </c>
      <c r="E32" s="170">
        <f t="array" ref="E32">SUM(IF(Expenditures[Jurisdiction]=E$28,IF(Expenditures[Fiscal Year]=$A32,Expenditures[2018 $ Value])))</f>
        <v>0</v>
      </c>
      <c r="F32" s="170">
        <f t="array" ref="F32">SUM(IF(Expenditures[Jurisdiction]=F$28,IF(Expenditures[Fiscal Year]=$A32,Expenditures[2018 $ Value])))</f>
        <v>0</v>
      </c>
      <c r="G32" s="170">
        <f t="array" ref="G32">SUM(IF(Expenditures[Jurisdiction]=G$28,IF(Expenditures[Fiscal Year]=$A32,Expenditures[2018 $ Value])))</f>
        <v>0</v>
      </c>
      <c r="H32" s="170">
        <f t="array" ref="H32">SUM(IF(Expenditures[Jurisdiction]=H$28,IF(Expenditures[Fiscal Year]=$A32,Expenditures[2018 $ Value])))</f>
        <v>0</v>
      </c>
      <c r="I32" s="170">
        <f t="array" ref="I32">SUM(IF(Expenditures[Jurisdiction]=I$28,IF(Expenditures[Fiscal Year]=$A32,Expenditures[2018 $ Value])))</f>
        <v>0</v>
      </c>
      <c r="J32" s="170">
        <f t="array" ref="J32">SUM(IF(Expenditures[Jurisdiction]=J$28,IF(Expenditures[Fiscal Year]=$A32,Expenditures[2018 $ Value])))</f>
        <v>0</v>
      </c>
      <c r="K32" s="170">
        <f t="array" ref="K32">SUM(IF(Expenditures[Jurisdiction]=K$28,IF(Expenditures[Fiscal Year]=$A32,Expenditures[2018 $ Value])))</f>
        <v>0</v>
      </c>
      <c r="L32" s="170">
        <f t="array" ref="L32">SUM(IF(Expenditures[Jurisdiction]=L$28,IF(Expenditures[Fiscal Year]=$A32,Expenditures[2018 $ Value])))</f>
        <v>0</v>
      </c>
      <c r="M32" s="170">
        <f t="array" ref="M32">SUM(IF(Expenditures[Jurisdiction]=M$28,IF(Expenditures[Fiscal Year]=$A32,Expenditures[2018 $ Value])))</f>
        <v>0</v>
      </c>
      <c r="N32" s="170">
        <f t="array" ref="N32">SUM(IF(Expenditures[Jurisdiction]=N$28,IF(Expenditures[Fiscal Year]=$A32,Expenditures[2018 $ Value])))</f>
        <v>0</v>
      </c>
      <c r="O32"/>
      <c r="P32"/>
      <c r="Q32"/>
      <c r="R32"/>
    </row>
    <row r="33" spans="1:18" x14ac:dyDescent="0.25">
      <c r="A33" s="44" t="s">
        <v>1886</v>
      </c>
      <c r="B33" s="170">
        <f t="array" ref="B33">SUM(IF(Expenditures[Jurisdiction]=B$28,IF(Expenditures[Fiscal Year]=$A33,Expenditures[2018 $ Value])))</f>
        <v>18163405.257211957</v>
      </c>
      <c r="C33" s="170">
        <f t="array" ref="C33">SUM(IF(Expenditures[Jurisdiction]=C$28,IF(Expenditures[Fiscal Year]=$A33,Expenditures[2018 $ Value])))</f>
        <v>36759104.367065214</v>
      </c>
      <c r="D33" s="170">
        <f t="array" ref="D33">SUM(IF(Expenditures[Jurisdiction]=D$28,IF(Expenditures[Fiscal Year]=$A33,Expenditures[2018 $ Value])))</f>
        <v>0</v>
      </c>
      <c r="E33" s="170">
        <f t="array" ref="E33">SUM(IF(Expenditures[Jurisdiction]=E$28,IF(Expenditures[Fiscal Year]=$A33,Expenditures[2018 $ Value])))</f>
        <v>0</v>
      </c>
      <c r="F33" s="170">
        <f t="array" ref="F33">SUM(IF(Expenditures[Jurisdiction]=F$28,IF(Expenditures[Fiscal Year]=$A33,Expenditures[2018 $ Value])))</f>
        <v>0</v>
      </c>
      <c r="G33" s="170">
        <f t="array" ref="G33">SUM(IF(Expenditures[Jurisdiction]=G$28,IF(Expenditures[Fiscal Year]=$A33,Expenditures[2018 $ Value])))</f>
        <v>0</v>
      </c>
      <c r="H33" s="170">
        <f t="array" ref="H33">SUM(IF(Expenditures[Jurisdiction]=H$28,IF(Expenditures[Fiscal Year]=$A33,Expenditures[2018 $ Value])))</f>
        <v>10271057.747282607</v>
      </c>
      <c r="I33" s="170">
        <f t="array" ref="I33">SUM(IF(Expenditures[Jurisdiction]=I$28,IF(Expenditures[Fiscal Year]=$A33,Expenditures[2018 $ Value])))</f>
        <v>5184613.3293586951</v>
      </c>
      <c r="J33" s="170">
        <f t="array" ref="J33">SUM(IF(Expenditures[Jurisdiction]=J$28,IF(Expenditures[Fiscal Year]=$A33,Expenditures[2018 $ Value])))</f>
        <v>0</v>
      </c>
      <c r="K33" s="170">
        <f t="array" ref="K33">SUM(IF(Expenditures[Jurisdiction]=K$28,IF(Expenditures[Fiscal Year]=$A33,Expenditures[2018 $ Value])))</f>
        <v>0</v>
      </c>
      <c r="L33" s="170">
        <f t="array" ref="L33">SUM(IF(Expenditures[Jurisdiction]=L$28,IF(Expenditures[Fiscal Year]=$A33,Expenditures[2018 $ Value])))</f>
        <v>0</v>
      </c>
      <c r="M33" s="170">
        <f t="array" ref="M33">SUM(IF(Expenditures[Jurisdiction]=M$28,IF(Expenditures[Fiscal Year]=$A33,Expenditures[2018 $ Value])))</f>
        <v>0</v>
      </c>
      <c r="N33" s="170">
        <f t="array" ref="N33">SUM(IF(Expenditures[Jurisdiction]=N$28,IF(Expenditures[Fiscal Year]=$A33,Expenditures[2018 $ Value])))</f>
        <v>0</v>
      </c>
      <c r="O33"/>
      <c r="P33"/>
      <c r="Q33"/>
      <c r="R33"/>
    </row>
    <row r="34" spans="1:18" x14ac:dyDescent="0.25">
      <c r="A34" s="44" t="s">
        <v>1887</v>
      </c>
      <c r="B34" s="170">
        <f t="array" ref="B34">SUM(IF(Expenditures[Jurisdiction]=B$28,IF(Expenditures[Fiscal Year]=$A34,Expenditures[2018 $ Value])))</f>
        <v>11898015.50205929</v>
      </c>
      <c r="C34" s="170">
        <f t="array" ref="C34">SUM(IF(Expenditures[Jurisdiction]=C$28,IF(Expenditures[Fiscal Year]=$A34,Expenditures[2018 $ Value])))</f>
        <v>36841108.217993647</v>
      </c>
      <c r="D34" s="170">
        <f t="array" ref="D34">SUM(IF(Expenditures[Jurisdiction]=D$28,IF(Expenditures[Fiscal Year]=$A34,Expenditures[2018 $ Value])))</f>
        <v>0</v>
      </c>
      <c r="E34" s="170">
        <f t="array" ref="E34">SUM(IF(Expenditures[Jurisdiction]=E$28,IF(Expenditures[Fiscal Year]=$A34,Expenditures[2018 $ Value])))</f>
        <v>0</v>
      </c>
      <c r="F34" s="170">
        <f t="array" ref="F34">SUM(IF(Expenditures[Jurisdiction]=F$28,IF(Expenditures[Fiscal Year]=$A34,Expenditures[2018 $ Value])))</f>
        <v>0</v>
      </c>
      <c r="G34" s="170">
        <f t="array" ref="G34">SUM(IF(Expenditures[Jurisdiction]=G$28,IF(Expenditures[Fiscal Year]=$A34,Expenditures[2018 $ Value])))</f>
        <v>0</v>
      </c>
      <c r="H34" s="170">
        <f t="array" ref="H34">SUM(IF(Expenditures[Jurisdiction]=H$28,IF(Expenditures[Fiscal Year]=$A34,Expenditures[2018 $ Value])))</f>
        <v>18072540.709899418</v>
      </c>
      <c r="I34" s="170">
        <f t="array" ref="I34">SUM(IF(Expenditures[Jurisdiction]=I$28,IF(Expenditures[Fiscal Year]=$A34,Expenditures[2018 $ Value])))</f>
        <v>6054328.4455743777</v>
      </c>
      <c r="J34" s="170">
        <f t="array" ref="J34">SUM(IF(Expenditures[Jurisdiction]=J$28,IF(Expenditures[Fiscal Year]=$A34,Expenditures[2018 $ Value])))</f>
        <v>0</v>
      </c>
      <c r="K34" s="170">
        <f t="array" ref="K34">SUM(IF(Expenditures[Jurisdiction]=K$28,IF(Expenditures[Fiscal Year]=$A34,Expenditures[2018 $ Value])))</f>
        <v>0</v>
      </c>
      <c r="L34" s="170">
        <f t="array" ref="L34">SUM(IF(Expenditures[Jurisdiction]=L$28,IF(Expenditures[Fiscal Year]=$A34,Expenditures[2018 $ Value])))</f>
        <v>0</v>
      </c>
      <c r="M34" s="170">
        <f t="array" ref="M34">SUM(IF(Expenditures[Jurisdiction]=M$28,IF(Expenditures[Fiscal Year]=$A34,Expenditures[2018 $ Value])))</f>
        <v>0</v>
      </c>
      <c r="N34" s="170">
        <f t="array" ref="N34">SUM(IF(Expenditures[Jurisdiction]=N$28,IF(Expenditures[Fiscal Year]=$A34,Expenditures[2018 $ Value])))</f>
        <v>0</v>
      </c>
      <c r="O34"/>
      <c r="P34"/>
      <c r="Q34"/>
      <c r="R34"/>
    </row>
    <row r="35" spans="1:18" x14ac:dyDescent="0.25">
      <c r="A35" s="44" t="s">
        <v>1882</v>
      </c>
      <c r="B35" s="170">
        <f t="array" ref="B35">SUM(IF(Expenditures[Jurisdiction]=B$28,IF(Expenditures[Fiscal Year]=$A35,Expenditures[2018 $ Value])))</f>
        <v>17713238.915622119</v>
      </c>
      <c r="C35" s="170">
        <f t="array" ref="C35">SUM(IF(Expenditures[Jurisdiction]=C$28,IF(Expenditures[Fiscal Year]=$A35,Expenditures[2018 $ Value])))</f>
        <v>36340038.80046083</v>
      </c>
      <c r="D35" s="170">
        <f t="array" ref="D35">SUM(IF(Expenditures[Jurisdiction]=D$28,IF(Expenditures[Fiscal Year]=$A35,Expenditures[2018 $ Value])))</f>
        <v>11290926.483870966</v>
      </c>
      <c r="E35" s="170">
        <f t="array" ref="E35">SUM(IF(Expenditures[Jurisdiction]=E$28,IF(Expenditures[Fiscal Year]=$A35,Expenditures[2018 $ Value])))</f>
        <v>0</v>
      </c>
      <c r="F35" s="170">
        <f t="array" ref="F35">SUM(IF(Expenditures[Jurisdiction]=F$28,IF(Expenditures[Fiscal Year]=$A35,Expenditures[2018 $ Value])))</f>
        <v>0</v>
      </c>
      <c r="G35" s="170">
        <f t="array" ref="G35">SUM(IF(Expenditures[Jurisdiction]=G$28,IF(Expenditures[Fiscal Year]=$A35,Expenditures[2018 $ Value])))</f>
        <v>0</v>
      </c>
      <c r="H35" s="170">
        <f t="array" ref="H35">SUM(IF(Expenditures[Jurisdiction]=H$28,IF(Expenditures[Fiscal Year]=$A35,Expenditures[2018 $ Value])))</f>
        <v>15227218.691244239</v>
      </c>
      <c r="I35" s="170">
        <f t="array" ref="I35">SUM(IF(Expenditures[Jurisdiction]=I$28,IF(Expenditures[Fiscal Year]=$A35,Expenditures[2018 $ Value])))</f>
        <v>8067539.816036866</v>
      </c>
      <c r="J35" s="170">
        <f t="array" ref="J35">SUM(IF(Expenditures[Jurisdiction]=J$28,IF(Expenditures[Fiscal Year]=$A35,Expenditures[2018 $ Value])))</f>
        <v>0</v>
      </c>
      <c r="K35" s="170">
        <f t="array" ref="K35">SUM(IF(Expenditures[Jurisdiction]=K$28,IF(Expenditures[Fiscal Year]=$A35,Expenditures[2018 $ Value])))</f>
        <v>0</v>
      </c>
      <c r="L35" s="170">
        <f t="array" ref="L35">SUM(IF(Expenditures[Jurisdiction]=L$28,IF(Expenditures[Fiscal Year]=$A35,Expenditures[2018 $ Value])))</f>
        <v>0</v>
      </c>
      <c r="M35" s="170">
        <f t="array" ref="M35">SUM(IF(Expenditures[Jurisdiction]=M$28,IF(Expenditures[Fiscal Year]=$A35,Expenditures[2018 $ Value])))</f>
        <v>0</v>
      </c>
      <c r="N35" s="170">
        <f t="array" ref="N35">SUM(IF(Expenditures[Jurisdiction]=N$28,IF(Expenditures[Fiscal Year]=$A35,Expenditures[2018 $ Value])))</f>
        <v>0</v>
      </c>
      <c r="O35"/>
      <c r="P35"/>
      <c r="Q35"/>
      <c r="R35"/>
    </row>
    <row r="36" spans="1:18" x14ac:dyDescent="0.25">
      <c r="A36" s="44" t="s">
        <v>1883</v>
      </c>
      <c r="B36" s="170">
        <f t="array" ref="B36">SUM(IF(Expenditures[Jurisdiction]=B$28,IF(Expenditures[Fiscal Year]=$A36,Expenditures[2018 $ Value])))</f>
        <v>24448604.010491073</v>
      </c>
      <c r="C36" s="170">
        <f t="array" ref="C36">SUM(IF(Expenditures[Jurisdiction]=C$28,IF(Expenditures[Fiscal Year]=$A36,Expenditures[2018 $ Value])))</f>
        <v>36867073.15763393</v>
      </c>
      <c r="D36" s="170">
        <f t="array" ref="D36">SUM(IF(Expenditures[Jurisdiction]=D$28,IF(Expenditures[Fiscal Year]=$A36,Expenditures[2018 $ Value])))</f>
        <v>10633282.004464287</v>
      </c>
      <c r="E36" s="170">
        <f t="array" ref="E36">SUM(IF(Expenditures[Jurisdiction]=E$28,IF(Expenditures[Fiscal Year]=$A36,Expenditures[2018 $ Value])))</f>
        <v>0</v>
      </c>
      <c r="F36" s="170">
        <f t="array" ref="F36">SUM(IF(Expenditures[Jurisdiction]=F$28,IF(Expenditures[Fiscal Year]=$A36,Expenditures[2018 $ Value])))</f>
        <v>0</v>
      </c>
      <c r="G36" s="170">
        <f t="array" ref="G36">SUM(IF(Expenditures[Jurisdiction]=G$28,IF(Expenditures[Fiscal Year]=$A36,Expenditures[2018 $ Value])))</f>
        <v>0</v>
      </c>
      <c r="H36" s="170">
        <f t="array" ref="H36">SUM(IF(Expenditures[Jurisdiction]=H$28,IF(Expenditures[Fiscal Year]=$A36,Expenditures[2018 $ Value])))</f>
        <v>15262243.941964287</v>
      </c>
      <c r="I36" s="170">
        <f t="array" ref="I36">SUM(IF(Expenditures[Jurisdiction]=I$28,IF(Expenditures[Fiscal Year]=$A36,Expenditures[2018 $ Value])))</f>
        <v>0</v>
      </c>
      <c r="J36" s="170">
        <f t="array" ref="J36">SUM(IF(Expenditures[Jurisdiction]=J$28,IF(Expenditures[Fiscal Year]=$A36,Expenditures[2018 $ Value])))</f>
        <v>0</v>
      </c>
      <c r="K36" s="170">
        <f t="array" ref="K36">SUM(IF(Expenditures[Jurisdiction]=K$28,IF(Expenditures[Fiscal Year]=$A36,Expenditures[2018 $ Value])))</f>
        <v>0</v>
      </c>
      <c r="L36" s="170">
        <f t="array" ref="L36">SUM(IF(Expenditures[Jurisdiction]=L$28,IF(Expenditures[Fiscal Year]=$A36,Expenditures[2018 $ Value])))</f>
        <v>0</v>
      </c>
      <c r="M36" s="170">
        <f t="array" ref="M36">SUM(IF(Expenditures[Jurisdiction]=M$28,IF(Expenditures[Fiscal Year]=$A36,Expenditures[2018 $ Value])))</f>
        <v>0</v>
      </c>
      <c r="N36" s="170">
        <f t="array" ref="N36">SUM(IF(Expenditures[Jurisdiction]=N$28,IF(Expenditures[Fiscal Year]=$A36,Expenditures[2018 $ Value])))</f>
        <v>0</v>
      </c>
      <c r="O36"/>
      <c r="P36"/>
      <c r="Q36"/>
      <c r="R36"/>
    </row>
    <row r="37" spans="1:18" x14ac:dyDescent="0.25">
      <c r="A37" s="44" t="s">
        <v>1888</v>
      </c>
      <c r="B37" s="170">
        <f t="array" ref="B37">SUM(IF(Expenditures[Jurisdiction]=B$28,IF(Expenditures[Fiscal Year]=$A37,Expenditures[2018 $ Value])))</f>
        <v>27120585.253285091</v>
      </c>
      <c r="C37" s="170">
        <f t="array" ref="C37">SUM(IF(Expenditures[Jurisdiction]=C$28,IF(Expenditures[Fiscal Year]=$A37,Expenditures[2018 $ Value])))</f>
        <v>38257790.307177998</v>
      </c>
      <c r="D37" s="170">
        <f t="array" ref="D37">SUM(IF(Expenditures[Jurisdiction]=D$28,IF(Expenditures[Fiscal Year]=$A37,Expenditures[2018 $ Value])))</f>
        <v>10348188.316931982</v>
      </c>
      <c r="E37" s="170">
        <f t="array" ref="E37">SUM(IF(Expenditures[Jurisdiction]=E$28,IF(Expenditures[Fiscal Year]=$A37,Expenditures[2018 $ Value])))</f>
        <v>0</v>
      </c>
      <c r="F37" s="170">
        <f t="array" ref="F37">SUM(IF(Expenditures[Jurisdiction]=F$28,IF(Expenditures[Fiscal Year]=$A37,Expenditures[2018 $ Value])))</f>
        <v>0</v>
      </c>
      <c r="G37" s="170">
        <f t="array" ref="G37">SUM(IF(Expenditures[Jurisdiction]=G$28,IF(Expenditures[Fiscal Year]=$A37,Expenditures[2018 $ Value])))</f>
        <v>0</v>
      </c>
      <c r="H37" s="170">
        <f t="array" ref="H37">SUM(IF(Expenditures[Jurisdiction]=H$28,IF(Expenditures[Fiscal Year]=$A37,Expenditures[2018 $ Value])))</f>
        <v>15154061.231548479</v>
      </c>
      <c r="I37" s="170">
        <f t="array" ref="I37">SUM(IF(Expenditures[Jurisdiction]=I$28,IF(Expenditures[Fiscal Year]=$A37,Expenditures[2018 $ Value])))</f>
        <v>4459242.4117076695</v>
      </c>
      <c r="J37" s="170">
        <f t="array" ref="J37">SUM(IF(Expenditures[Jurisdiction]=J$28,IF(Expenditures[Fiscal Year]=$A37,Expenditures[2018 $ Value])))</f>
        <v>0</v>
      </c>
      <c r="K37" s="170">
        <f t="array" ref="K37">SUM(IF(Expenditures[Jurisdiction]=K$28,IF(Expenditures[Fiscal Year]=$A37,Expenditures[2018 $ Value])))</f>
        <v>0</v>
      </c>
      <c r="L37" s="170">
        <f t="array" ref="L37">SUM(IF(Expenditures[Jurisdiction]=L$28,IF(Expenditures[Fiscal Year]=$A37,Expenditures[2018 $ Value])))</f>
        <v>0</v>
      </c>
      <c r="M37" s="170">
        <f t="array" ref="M37">SUM(IF(Expenditures[Jurisdiction]=M$28,IF(Expenditures[Fiscal Year]=$A37,Expenditures[2018 $ Value])))</f>
        <v>0</v>
      </c>
      <c r="N37" s="170">
        <f t="array" ref="N37">SUM(IF(Expenditures[Jurisdiction]=N$28,IF(Expenditures[Fiscal Year]=$A37,Expenditures[2018 $ Value])))</f>
        <v>0</v>
      </c>
      <c r="O37"/>
      <c r="P37"/>
      <c r="Q37"/>
      <c r="R37"/>
    </row>
    <row r="38" spans="1:18" x14ac:dyDescent="0.25">
      <c r="A38" s="44" t="s">
        <v>1884</v>
      </c>
      <c r="B38" s="170">
        <f t="array" ref="B38">SUM(IF(Expenditures[Jurisdiction]=B$28,IF(Expenditures[Fiscal Year]=$A38,Expenditures[2018 $ Value])))</f>
        <v>25882710.897686947</v>
      </c>
      <c r="C38" s="170">
        <f t="array" ref="C38">SUM(IF(Expenditures[Jurisdiction]=C$28,IF(Expenditures[Fiscal Year]=$A38,Expenditures[2018 $ Value])))</f>
        <v>40409727.332689263</v>
      </c>
      <c r="D38" s="170">
        <f t="array" ref="D38">SUM(IF(Expenditures[Jurisdiction]=D$28,IF(Expenditures[Fiscal Year]=$A38,Expenditures[2018 $ Value])))</f>
        <v>10461795.496052019</v>
      </c>
      <c r="E38" s="170">
        <f t="array" ref="E38">SUM(IF(Expenditures[Jurisdiction]=E$28,IF(Expenditures[Fiscal Year]=$A38,Expenditures[2018 $ Value])))</f>
        <v>0</v>
      </c>
      <c r="F38" s="170">
        <f t="array" ref="F38">SUM(IF(Expenditures[Jurisdiction]=F$28,IF(Expenditures[Fiscal Year]=$A38,Expenditures[2018 $ Value])))</f>
        <v>0</v>
      </c>
      <c r="G38" s="170">
        <f t="array" ref="G38">SUM(IF(Expenditures[Jurisdiction]=G$28,IF(Expenditures[Fiscal Year]=$A38,Expenditures[2018 $ Value])))</f>
        <v>0</v>
      </c>
      <c r="H38" s="170">
        <f t="array" ref="H38">SUM(IF(Expenditures[Jurisdiction]=H$28,IF(Expenditures[Fiscal Year]=$A38,Expenditures[2018 $ Value])))</f>
        <v>15028787.115188109</v>
      </c>
      <c r="I38" s="170">
        <f t="array" ref="I38">SUM(IF(Expenditures[Jurisdiction]=I$28,IF(Expenditures[Fiscal Year]=$A38,Expenditures[2018 $ Value])))</f>
        <v>7572573.7302833246</v>
      </c>
      <c r="J38" s="170">
        <f t="array" ref="J38">SUM(IF(Expenditures[Jurisdiction]=J$28,IF(Expenditures[Fiscal Year]=$A38,Expenditures[2018 $ Value])))</f>
        <v>0</v>
      </c>
      <c r="K38" s="170">
        <f t="array" ref="K38">SUM(IF(Expenditures[Jurisdiction]=K$28,IF(Expenditures[Fiscal Year]=$A38,Expenditures[2018 $ Value])))</f>
        <v>0</v>
      </c>
      <c r="L38" s="170">
        <f t="array" ref="L38">SUM(IF(Expenditures[Jurisdiction]=L$28,IF(Expenditures[Fiscal Year]=$A38,Expenditures[2018 $ Value])))</f>
        <v>0</v>
      </c>
      <c r="M38" s="170">
        <f t="array" ref="M38">SUM(IF(Expenditures[Jurisdiction]=M$28,IF(Expenditures[Fiscal Year]=$A38,Expenditures[2018 $ Value])))</f>
        <v>0</v>
      </c>
      <c r="N38" s="170">
        <f t="array" ref="N38">SUM(IF(Expenditures[Jurisdiction]=N$28,IF(Expenditures[Fiscal Year]=$A38,Expenditures[2018 $ Value])))</f>
        <v>0</v>
      </c>
      <c r="O38"/>
      <c r="P38"/>
      <c r="Q38"/>
      <c r="R38"/>
    </row>
    <row r="39" spans="1:18" x14ac:dyDescent="0.25">
      <c r="A39" s="44" t="s">
        <v>1889</v>
      </c>
      <c r="B39" s="170">
        <f t="array" ref="B39">SUM(IF(Expenditures[Jurisdiction]=B$28,IF(Expenditures[Fiscal Year]=$A39,Expenditures[2018 $ Value])))</f>
        <v>27526249.424895104</v>
      </c>
      <c r="C39" s="170">
        <f t="array" ref="C39">SUM(IF(Expenditures[Jurisdiction]=C$28,IF(Expenditures[Fiscal Year]=$A39,Expenditures[2018 $ Value])))</f>
        <v>40595360.588979021</v>
      </c>
      <c r="D39" s="170">
        <f t="array" ref="D39">SUM(IF(Expenditures[Jurisdiction]=D$28,IF(Expenditures[Fiscal Year]=$A39,Expenditures[2018 $ Value])))</f>
        <v>9721285.6447552443</v>
      </c>
      <c r="E39" s="170">
        <f t="array" ref="E39">SUM(IF(Expenditures[Jurisdiction]=E$28,IF(Expenditures[Fiscal Year]=$A39,Expenditures[2018 $ Value])))</f>
        <v>0</v>
      </c>
      <c r="F39" s="170">
        <f t="array" ref="F39">SUM(IF(Expenditures[Jurisdiction]=F$28,IF(Expenditures[Fiscal Year]=$A39,Expenditures[2018 $ Value])))</f>
        <v>0</v>
      </c>
      <c r="G39" s="170">
        <f t="array" ref="G39">SUM(IF(Expenditures[Jurisdiction]=G$28,IF(Expenditures[Fiscal Year]=$A39,Expenditures[2018 $ Value])))</f>
        <v>0</v>
      </c>
      <c r="H39" s="170">
        <f t="array" ref="H39">SUM(IF(Expenditures[Jurisdiction]=H$28,IF(Expenditures[Fiscal Year]=$A39,Expenditures[2018 $ Value])))</f>
        <v>15084838.535664335</v>
      </c>
      <c r="I39" s="170">
        <f t="array" ref="I39">SUM(IF(Expenditures[Jurisdiction]=I$28,IF(Expenditures[Fiscal Year]=$A39,Expenditures[2018 $ Value])))</f>
        <v>5324187.0099440552</v>
      </c>
      <c r="J39" s="170">
        <f t="array" ref="J39">SUM(IF(Expenditures[Jurisdiction]=J$28,IF(Expenditures[Fiscal Year]=$A39,Expenditures[2018 $ Value])))</f>
        <v>0</v>
      </c>
      <c r="K39" s="170">
        <f t="array" ref="K39">SUM(IF(Expenditures[Jurisdiction]=K$28,IF(Expenditures[Fiscal Year]=$A39,Expenditures[2018 $ Value])))</f>
        <v>0</v>
      </c>
      <c r="L39" s="170">
        <f t="array" ref="L39">SUM(IF(Expenditures[Jurisdiction]=L$28,IF(Expenditures[Fiscal Year]=$A39,Expenditures[2018 $ Value])))</f>
        <v>0</v>
      </c>
      <c r="M39" s="170">
        <f t="array" ref="M39">SUM(IF(Expenditures[Jurisdiction]=M$28,IF(Expenditures[Fiscal Year]=$A39,Expenditures[2018 $ Value])))</f>
        <v>0</v>
      </c>
      <c r="N39" s="170">
        <f t="array" ref="N39">SUM(IF(Expenditures[Jurisdiction]=N$28,IF(Expenditures[Fiscal Year]=$A39,Expenditures[2018 $ Value])))</f>
        <v>0</v>
      </c>
      <c r="O39"/>
      <c r="P39"/>
      <c r="Q39"/>
      <c r="R39"/>
    </row>
    <row r="40" spans="1:18" x14ac:dyDescent="0.25">
      <c r="A40" s="44" t="s">
        <v>1885</v>
      </c>
      <c r="B40" s="170">
        <f t="array" ref="B40">SUM(IF(Expenditures[Jurisdiction]=B$28,IF(Expenditures[Fiscal Year]=$A40,Expenditures[2018 $ Value])))</f>
        <v>33628008.37469051</v>
      </c>
      <c r="C40" s="170">
        <f t="array" ref="C40">SUM(IF(Expenditures[Jurisdiction]=C$28,IF(Expenditures[Fiscal Year]=$A40,Expenditures[2018 $ Value])))</f>
        <v>36340874.375075653</v>
      </c>
      <c r="D40" s="170">
        <f t="array" ref="D40">SUM(IF(Expenditures[Jurisdiction]=D$28,IF(Expenditures[Fiscal Year]=$A40,Expenditures[2018 $ Value])))</f>
        <v>9434143.4525447041</v>
      </c>
      <c r="E40" s="170">
        <f t="array" ref="E40">SUM(IF(Expenditures[Jurisdiction]=E$28,IF(Expenditures[Fiscal Year]=$A40,Expenditures[2018 $ Value])))</f>
        <v>78958564.632916093</v>
      </c>
      <c r="F40" s="170">
        <f t="array" ref="F40">SUM(IF(Expenditures[Jurisdiction]=F$28,IF(Expenditures[Fiscal Year]=$A40,Expenditures[2018 $ Value])))</f>
        <v>0</v>
      </c>
      <c r="G40" s="170">
        <f t="array" ref="G40">SUM(IF(Expenditures[Jurisdiction]=G$28,IF(Expenditures[Fiscal Year]=$A40,Expenditures[2018 $ Value])))</f>
        <v>0</v>
      </c>
      <c r="H40" s="170">
        <f t="array" ref="H40">SUM(IF(Expenditures[Jurisdiction]=H$28,IF(Expenditures[Fiscal Year]=$A40,Expenditures[2018 $ Value])))</f>
        <v>14835845.327372765</v>
      </c>
      <c r="I40" s="170">
        <f t="array" ref="I40">SUM(IF(Expenditures[Jurisdiction]=I$28,IF(Expenditures[Fiscal Year]=$A40,Expenditures[2018 $ Value])))</f>
        <v>6008223.7303988999</v>
      </c>
      <c r="J40" s="170">
        <f t="array" ref="J40">SUM(IF(Expenditures[Jurisdiction]=J$28,IF(Expenditures[Fiscal Year]=$A40,Expenditures[2018 $ Value])))</f>
        <v>1282790.840178817</v>
      </c>
      <c r="K40" s="170">
        <f t="array" ref="K40">SUM(IF(Expenditures[Jurisdiction]=K$28,IF(Expenditures[Fiscal Year]=$A40,Expenditures[2018 $ Value])))</f>
        <v>0</v>
      </c>
      <c r="L40" s="170">
        <f t="array" ref="L40">SUM(IF(Expenditures[Jurisdiction]=L$28,IF(Expenditures[Fiscal Year]=$A40,Expenditures[2018 $ Value])))</f>
        <v>0</v>
      </c>
      <c r="M40" s="170">
        <f t="array" ref="M40">SUM(IF(Expenditures[Jurisdiction]=M$28,IF(Expenditures[Fiscal Year]=$A40,Expenditures[2018 $ Value])))</f>
        <v>0</v>
      </c>
      <c r="N40" s="170">
        <f t="array" ref="N40">SUM(IF(Expenditures[Jurisdiction]=N$28,IF(Expenditures[Fiscal Year]=$A40,Expenditures[2018 $ Value])))</f>
        <v>0</v>
      </c>
      <c r="O40"/>
      <c r="P40"/>
      <c r="Q40"/>
      <c r="R40"/>
    </row>
    <row r="41" spans="1:18" x14ac:dyDescent="0.25">
      <c r="A41" s="44" t="s">
        <v>1870</v>
      </c>
      <c r="B41" s="170">
        <f t="array" ref="B41">SUM(IF(Expenditures[Jurisdiction]=B$28,IF(Expenditures[Fiscal Year]=$A41,Expenditures[2018 $ Value])))</f>
        <v>35549194.699288577</v>
      </c>
      <c r="C41" s="170">
        <f t="array" ref="C41">SUM(IF(Expenditures[Jurisdiction]=C$28,IF(Expenditures[Fiscal Year]=$A41,Expenditures[2018 $ Value])))</f>
        <v>36746467.080947086</v>
      </c>
      <c r="D41" s="170">
        <f t="array" ref="D41">SUM(IF(Expenditures[Jurisdiction]=D$28,IF(Expenditures[Fiscal Year]=$A41,Expenditures[2018 $ Value])))</f>
        <v>9219383.9039573148</v>
      </c>
      <c r="E41" s="170">
        <f t="array" ref="E41">SUM(IF(Expenditures[Jurisdiction]=E$28,IF(Expenditures[Fiscal Year]=$A41,Expenditures[2018 $ Value])))</f>
        <v>77299103.101493999</v>
      </c>
      <c r="F41" s="170">
        <f t="array" ref="F41">SUM(IF(Expenditures[Jurisdiction]=F$28,IF(Expenditures[Fiscal Year]=$A41,Expenditures[2018 $ Value])))</f>
        <v>44408042.512023121</v>
      </c>
      <c r="G41" s="170">
        <f t="array" ref="G41">SUM(IF(Expenditures[Jurisdiction]=G$28,IF(Expenditures[Fiscal Year]=$A41,Expenditures[2018 $ Value])))</f>
        <v>25771326.475918189</v>
      </c>
      <c r="H41" s="170">
        <f t="array" ref="H41">SUM(IF(Expenditures[Jurisdiction]=H$28,IF(Expenditures[Fiscal Year]=$A41,Expenditures[2018 $ Value])))</f>
        <v>14389287.690973766</v>
      </c>
      <c r="I41" s="170">
        <f t="array" ref="I41">SUM(IF(Expenditures[Jurisdiction]=I$28,IF(Expenditures[Fiscal Year]=$A41,Expenditures[2018 $ Value])))</f>
        <v>0</v>
      </c>
      <c r="J41" s="170">
        <f t="array" ref="J41">SUM(IF(Expenditures[Jurisdiction]=J$28,IF(Expenditures[Fiscal Year]=$A41,Expenditures[2018 $ Value])))</f>
        <v>1242375.7559226323</v>
      </c>
      <c r="K41" s="170">
        <f t="array" ref="K41">SUM(IF(Expenditures[Jurisdiction]=K$28,IF(Expenditures[Fiscal Year]=$A41,Expenditures[2018 $ Value])))</f>
        <v>2471516.5491996445</v>
      </c>
      <c r="L41" s="170">
        <f t="array" ref="L41">SUM(IF(Expenditures[Jurisdiction]=L$28,IF(Expenditures[Fiscal Year]=$A41,Expenditures[2018 $ Value])))</f>
        <v>712935.85237883509</v>
      </c>
      <c r="M41" s="170">
        <f t="array" ref="M41">SUM(IF(Expenditures[Jurisdiction]=M$28,IF(Expenditures[Fiscal Year]=$A41,Expenditures[2018 $ Value])))</f>
        <v>507645.68278345931</v>
      </c>
      <c r="N41" s="170">
        <f t="array" ref="N41">SUM(IF(Expenditures[Jurisdiction]=N$28,IF(Expenditures[Fiscal Year]=$A41,Expenditures[2018 $ Value])))</f>
        <v>2616179.1999110719</v>
      </c>
      <c r="O41"/>
      <c r="P41"/>
      <c r="Q41"/>
      <c r="R41"/>
    </row>
    <row r="42" spans="1:18" x14ac:dyDescent="0.25">
      <c r="A42" s="44" t="s">
        <v>1871</v>
      </c>
      <c r="B42" s="170">
        <f t="array" ref="B42">SUM(IF(Expenditures[Jurisdiction]=B$28,IF(Expenditures[Fiscal Year]=$A42,Expenditures[2018 $ Value])))</f>
        <v>22537426.958937284</v>
      </c>
      <c r="C42" s="170">
        <f t="array" ref="C42">SUM(IF(Expenditures[Jurisdiction]=C$28,IF(Expenditures[Fiscal Year]=$A42,Expenditures[2018 $ Value])))</f>
        <v>35313319.164237805</v>
      </c>
      <c r="D42" s="170">
        <f t="array" ref="D42">SUM(IF(Expenditures[Jurisdiction]=D$28,IF(Expenditures[Fiscal Year]=$A42,Expenditures[2018 $ Value])))</f>
        <v>8990109.2900696862</v>
      </c>
      <c r="E42" s="170">
        <f t="array" ref="E42">SUM(IF(Expenditures[Jurisdiction]=E$28,IF(Expenditures[Fiscal Year]=$A42,Expenditures[2018 $ Value])))</f>
        <v>77579198.474660277</v>
      </c>
      <c r="F42" s="170">
        <f t="array" ref="F42">SUM(IF(Expenditures[Jurisdiction]=F$28,IF(Expenditures[Fiscal Year]=$A42,Expenditures[2018 $ Value])))</f>
        <v>42691430.512003489</v>
      </c>
      <c r="G42" s="170">
        <f t="array" ref="G42">SUM(IF(Expenditures[Jurisdiction]=G$28,IF(Expenditures[Fiscal Year]=$A42,Expenditures[2018 $ Value])))</f>
        <v>24100693.314067945</v>
      </c>
      <c r="H42" s="170">
        <f t="array" ref="H42">SUM(IF(Expenditures[Jurisdiction]=H$28,IF(Expenditures[Fiscal Year]=$A42,Expenditures[2018 $ Value])))</f>
        <v>14722495.812282231</v>
      </c>
      <c r="I42" s="170">
        <f t="array" ref="I42">SUM(IF(Expenditures[Jurisdiction]=I$28,IF(Expenditures[Fiscal Year]=$A42,Expenditures[2018 $ Value])))</f>
        <v>0</v>
      </c>
      <c r="J42" s="170">
        <f t="array" ref="J42">SUM(IF(Expenditures[Jurisdiction]=J$28,IF(Expenditures[Fiscal Year]=$A42,Expenditures[2018 $ Value])))</f>
        <v>1201796.6701045297</v>
      </c>
      <c r="K42" s="170">
        <f t="array" ref="K42">SUM(IF(Expenditures[Jurisdiction]=K$28,IF(Expenditures[Fiscal Year]=$A42,Expenditures[2018 $ Value])))</f>
        <v>2321572.1553658536</v>
      </c>
      <c r="L42" s="170">
        <f t="array" ref="L42">SUM(IF(Expenditures[Jurisdiction]=L$28,IF(Expenditures[Fiscal Year]=$A42,Expenditures[2018 $ Value])))</f>
        <v>751933.92465156794</v>
      </c>
      <c r="M42" s="170">
        <f t="array" ref="M42">SUM(IF(Expenditures[Jurisdiction]=M$28,IF(Expenditures[Fiscal Year]=$A42,Expenditures[2018 $ Value])))</f>
        <v>924208.00357578404</v>
      </c>
      <c r="N42" s="170">
        <f t="array" ref="N42">SUM(IF(Expenditures[Jurisdiction]=N$28,IF(Expenditures[Fiscal Year]=$A42,Expenditures[2018 $ Value])))</f>
        <v>0</v>
      </c>
      <c r="O42"/>
      <c r="P42"/>
      <c r="Q42"/>
      <c r="R42"/>
    </row>
    <row r="43" spans="1:18" x14ac:dyDescent="0.25">
      <c r="A43" s="44" t="s">
        <v>1880</v>
      </c>
      <c r="B43" s="170">
        <f t="array" ref="B43">SUM(IF(Expenditures[Jurisdiction]=B$28,IF(Expenditures[Fiscal Year]=$A43,Expenditures[2018 $ Value])))</f>
        <v>27960864.13332618</v>
      </c>
      <c r="C43" s="170">
        <f t="array" ref="C43">SUM(IF(Expenditures[Jurisdiction]=C$28,IF(Expenditures[Fiscal Year]=$A43,Expenditures[2018 $ Value])))</f>
        <v>0</v>
      </c>
      <c r="D43" s="170">
        <f t="array" ref="D43">SUM(IF(Expenditures[Jurisdiction]=D$28,IF(Expenditures[Fiscal Year]=$A43,Expenditures[2018 $ Value])))</f>
        <v>8858923.1459227465</v>
      </c>
      <c r="E43" s="170">
        <f t="array" ref="E43">SUM(IF(Expenditures[Jurisdiction]=E$28,IF(Expenditures[Fiscal Year]=$A43,Expenditures[2018 $ Value])))</f>
        <v>83342779.107296139</v>
      </c>
      <c r="F43" s="170">
        <f t="array" ref="F43">SUM(IF(Expenditures[Jurisdiction]=F$28,IF(Expenditures[Fiscal Year]=$A43,Expenditures[2018 $ Value])))</f>
        <v>37003796.497854076</v>
      </c>
      <c r="G43" s="170">
        <f t="array" ref="G43">SUM(IF(Expenditures[Jurisdiction]=G$28,IF(Expenditures[Fiscal Year]=$A43,Expenditures[2018 $ Value])))</f>
        <v>23226813.494497854</v>
      </c>
      <c r="H43" s="170">
        <f t="array" ref="H43">SUM(IF(Expenditures[Jurisdiction]=H$28,IF(Expenditures[Fiscal Year]=$A43,Expenditures[2018 $ Value])))</f>
        <v>16489930.210300431</v>
      </c>
      <c r="I43" s="170">
        <f t="array" ref="I43">SUM(IF(Expenditures[Jurisdiction]=I$28,IF(Expenditures[Fiscal Year]=$A43,Expenditures[2018 $ Value])))</f>
        <v>3892661.3725107298</v>
      </c>
      <c r="J43" s="170">
        <f t="array" ref="J43">SUM(IF(Expenditures[Jurisdiction]=J$28,IF(Expenditures[Fiscal Year]=$A43,Expenditures[2018 $ Value])))</f>
        <v>1205054.3792317598</v>
      </c>
      <c r="K43" s="170">
        <f t="array" ref="K43">SUM(IF(Expenditures[Jurisdiction]=K$28,IF(Expenditures[Fiscal Year]=$A43,Expenditures[2018 $ Value])))</f>
        <v>2047854.0751030045</v>
      </c>
      <c r="L43" s="170">
        <f t="array" ref="L43">SUM(IF(Expenditures[Jurisdiction]=L$28,IF(Expenditures[Fiscal Year]=$A43,Expenditures[2018 $ Value])))</f>
        <v>830598.29227467813</v>
      </c>
      <c r="M43" s="170">
        <f t="array" ref="M43">SUM(IF(Expenditures[Jurisdiction]=M$28,IF(Expenditures[Fiscal Year]=$A43,Expenditures[2018 $ Value])))</f>
        <v>783278.7047381975</v>
      </c>
      <c r="N43" s="170">
        <f t="array" ref="N43">SUM(IF(Expenditures[Jurisdiction]=N$28,IF(Expenditures[Fiscal Year]=$A43,Expenditures[2018 $ Value])))</f>
        <v>2075522.6854892704</v>
      </c>
      <c r="O43"/>
      <c r="P43"/>
      <c r="Q43"/>
      <c r="R43"/>
    </row>
    <row r="44" spans="1:18" x14ac:dyDescent="0.25">
      <c r="A44" s="44" t="s">
        <v>1881</v>
      </c>
      <c r="B44" s="170">
        <f t="array" ref="B44">SUM(IF(Expenditures[Jurisdiction]=B$28,IF(Expenditures[Fiscal Year]=$A44,Expenditures[2018 $ Value])))</f>
        <v>34245141.03494297</v>
      </c>
      <c r="C44" s="170">
        <f t="array" ref="C44">SUM(IF(Expenditures[Jurisdiction]=C$28,IF(Expenditures[Fiscal Year]=$A44,Expenditures[2018 $ Value])))</f>
        <v>30688349.075361218</v>
      </c>
      <c r="D44" s="170">
        <f t="array" ref="D44">SUM(IF(Expenditures[Jurisdiction]=D$28,IF(Expenditures[Fiscal Year]=$A44,Expenditures[2018 $ Value])))</f>
        <v>8720443.9923954383</v>
      </c>
      <c r="E44" s="170">
        <f t="array" ref="E44">SUM(IF(Expenditures[Jurisdiction]=E$28,IF(Expenditures[Fiscal Year]=$A44,Expenditures[2018 $ Value])))</f>
        <v>80381593.460076049</v>
      </c>
      <c r="F44" s="170">
        <f t="array" ref="F44">SUM(IF(Expenditures[Jurisdiction]=F$28,IF(Expenditures[Fiscal Year]=$A44,Expenditures[2018 $ Value])))</f>
        <v>33676243.422053233</v>
      </c>
      <c r="G44" s="170">
        <f t="array" ref="G44">SUM(IF(Expenditures[Jurisdiction]=G$28,IF(Expenditures[Fiscal Year]=$A44,Expenditures[2018 $ Value])))</f>
        <v>18595285.328555133</v>
      </c>
      <c r="H44" s="170">
        <f t="array" ref="H44">SUM(IF(Expenditures[Jurisdiction]=H$28,IF(Expenditures[Fiscal Year]=$A44,Expenditures[2018 $ Value])))</f>
        <v>27872146.376425859</v>
      </c>
      <c r="I44" s="170">
        <f t="array" ref="I44">SUM(IF(Expenditures[Jurisdiction]=I$28,IF(Expenditures[Fiscal Year]=$A44,Expenditures[2018 $ Value])))</f>
        <v>5249797.6452091262</v>
      </c>
      <c r="J44" s="170">
        <f t="array" ref="J44">SUM(IF(Expenditures[Jurisdiction]=J$28,IF(Expenditures[Fiscal Year]=$A44,Expenditures[2018 $ Value])))</f>
        <v>1134938.730228137</v>
      </c>
      <c r="K44" s="170">
        <f t="array" ref="K44">SUM(IF(Expenditures[Jurisdiction]=K$28,IF(Expenditures[Fiscal Year]=$A44,Expenditures[2018 $ Value])))</f>
        <v>1852485.7351711027</v>
      </c>
      <c r="L44" s="170">
        <f t="array" ref="L44">SUM(IF(Expenditures[Jurisdiction]=L$28,IF(Expenditures[Fiscal Year]=$A44,Expenditures[2018 $ Value])))</f>
        <v>874532.00608365028</v>
      </c>
      <c r="M44" s="170">
        <f t="array" ref="M44">SUM(IF(Expenditures[Jurisdiction]=M$28,IF(Expenditures[Fiscal Year]=$A44,Expenditures[2018 $ Value])))</f>
        <v>891870.83840304194</v>
      </c>
      <c r="N44" s="170">
        <f t="array" ref="N44">SUM(IF(Expenditures[Jurisdiction]=N$28,IF(Expenditures[Fiscal Year]=$A44,Expenditures[2018 $ Value])))</f>
        <v>2054167.9285171104</v>
      </c>
      <c r="O44"/>
      <c r="P44"/>
      <c r="Q44"/>
      <c r="R44"/>
    </row>
    <row r="45" spans="1:18" x14ac:dyDescent="0.25">
      <c r="A45" s="44" t="s">
        <v>1873</v>
      </c>
      <c r="B45" s="170">
        <f t="array" ref="B45">SUM(IF(Expenditures[Jurisdiction]=B$28,IF(Expenditures[Fiscal Year]=$A45,Expenditures[2018 $ Value])))</f>
        <v>36668878.635227844</v>
      </c>
      <c r="C45" s="170">
        <f t="array" ref="C45">SUM(IF(Expenditures[Jurisdiction]=C$28,IF(Expenditures[Fiscal Year]=$A45,Expenditures[2018 $ Value])))</f>
        <v>29106610.068759494</v>
      </c>
      <c r="D45" s="170">
        <f t="array" ref="D45">SUM(IF(Expenditures[Jurisdiction]=D$28,IF(Expenditures[Fiscal Year]=$A45,Expenditures[2018 $ Value])))</f>
        <v>8709405.4556962028</v>
      </c>
      <c r="E45" s="170">
        <f t="array" ref="E45">SUM(IF(Expenditures[Jurisdiction]=E$28,IF(Expenditures[Fiscal Year]=$A45,Expenditures[2018 $ Value])))</f>
        <v>51120377.164556958</v>
      </c>
      <c r="F45" s="170">
        <f t="array" ref="F45">SUM(IF(Expenditures[Jurisdiction]=F$28,IF(Expenditures[Fiscal Year]=$A45,Expenditures[2018 $ Value])))</f>
        <v>23066175</v>
      </c>
      <c r="G45" s="170">
        <f t="array" ref="G45">SUM(IF(Expenditures[Jurisdiction]=G$28,IF(Expenditures[Fiscal Year]=$A45,Expenditures[2018 $ Value])))</f>
        <v>19363779.454215188</v>
      </c>
      <c r="H45" s="170">
        <f t="array" ref="H45">SUM(IF(Expenditures[Jurisdiction]=H$28,IF(Expenditures[Fiscal Year]=$A45,Expenditures[2018 $ Value])))</f>
        <v>27863833.226582278</v>
      </c>
      <c r="I45" s="170">
        <f t="array" ref="I45">SUM(IF(Expenditures[Jurisdiction]=I$28,IF(Expenditures[Fiscal Year]=$A45,Expenditures[2018 $ Value])))</f>
        <v>4508497.0468860753</v>
      </c>
      <c r="J45" s="170">
        <f t="array" ref="J45">SUM(IF(Expenditures[Jurisdiction]=J$28,IF(Expenditures[Fiscal Year]=$A45,Expenditures[2018 $ Value])))</f>
        <v>1176866.5079240506</v>
      </c>
      <c r="K45" s="170">
        <f t="array" ref="K45">SUM(IF(Expenditures[Jurisdiction]=K$28,IF(Expenditures[Fiscal Year]=$A45,Expenditures[2018 $ Value])))</f>
        <v>1833412.1328227846</v>
      </c>
      <c r="L45" s="170">
        <f t="array" ref="L45">SUM(IF(Expenditures[Jurisdiction]=L$28,IF(Expenditures[Fiscal Year]=$A45,Expenditures[2018 $ Value])))</f>
        <v>966166.42218987341</v>
      </c>
      <c r="M45" s="170">
        <f t="array" ref="M45">SUM(IF(Expenditures[Jurisdiction]=M$28,IF(Expenditures[Fiscal Year]=$A45,Expenditures[2018 $ Value])))</f>
        <v>875153.5067848101</v>
      </c>
      <c r="N45" s="170">
        <f t="array" ref="N45">SUM(IF(Expenditures[Jurisdiction]=N$28,IF(Expenditures[Fiscal Year]=$A45,Expenditures[2018 $ Value])))</f>
        <v>0</v>
      </c>
      <c r="O45"/>
      <c r="P45"/>
      <c r="Q45"/>
      <c r="R45"/>
    </row>
    <row r="46" spans="1:18" x14ac:dyDescent="0.25">
      <c r="A46" s="44" t="s">
        <v>1869</v>
      </c>
      <c r="B46" s="170">
        <f t="array" ref="B46">SUM(IF(Expenditures[Jurisdiction]=B$28,IF(Expenditures[Fiscal Year]=$A46,Expenditures[2018 $ Value])))</f>
        <v>35118863.739600003</v>
      </c>
      <c r="C46" s="170">
        <f t="array" ref="C46">SUM(IF(Expenditures[Jurisdiction]=C$28,IF(Expenditures[Fiscal Year]=$A46,Expenditures[2018 $ Value])))</f>
        <v>36065802.567262501</v>
      </c>
      <c r="D46" s="170">
        <f t="array" ref="D46">SUM(IF(Expenditures[Jurisdiction]=D$28,IF(Expenditures[Fiscal Year]=$A46,Expenditures[2018 $ Value])))</f>
        <v>8600537.8875000011</v>
      </c>
      <c r="E46" s="170">
        <f t="array" ref="E46">SUM(IF(Expenditures[Jurisdiction]=E$28,IF(Expenditures[Fiscal Year]=$A46,Expenditures[2018 $ Value])))</f>
        <v>0</v>
      </c>
      <c r="F46" s="170">
        <f t="array" ref="F46">SUM(IF(Expenditures[Jurisdiction]=F$28,IF(Expenditures[Fiscal Year]=$A46,Expenditures[2018 $ Value])))</f>
        <v>0</v>
      </c>
      <c r="G46" s="170">
        <f t="array" ref="G46">SUM(IF(Expenditures[Jurisdiction]=G$28,IF(Expenditures[Fiscal Year]=$A46,Expenditures[2018 $ Value])))</f>
        <v>0</v>
      </c>
      <c r="H46" s="170">
        <f t="array" ref="H46">SUM(IF(Expenditures[Jurisdiction]=H$28,IF(Expenditures[Fiscal Year]=$A46,Expenditures[2018 $ Value])))</f>
        <v>27515535.311250001</v>
      </c>
      <c r="I46" s="170">
        <f t="array" ref="I46">SUM(IF(Expenditures[Jurisdiction]=I$28,IF(Expenditures[Fiscal Year]=$A46,Expenditures[2018 $ Value])))</f>
        <v>5586331.918575</v>
      </c>
      <c r="J46" s="170">
        <f t="array" ref="J46">SUM(IF(Expenditures[Jurisdiction]=J$28,IF(Expenditures[Fiscal Year]=$A46,Expenditures[2018 $ Value])))</f>
        <v>1866142.6768125002</v>
      </c>
      <c r="K46" s="170">
        <f t="array" ref="K46">SUM(IF(Expenditures[Jurisdiction]=K$28,IF(Expenditures[Fiscal Year]=$A46,Expenditures[2018 $ Value])))</f>
        <v>0</v>
      </c>
      <c r="L46" s="170">
        <f t="array" ref="L46">SUM(IF(Expenditures[Jurisdiction]=L$28,IF(Expenditures[Fiscal Year]=$A46,Expenditures[2018 $ Value])))</f>
        <v>0</v>
      </c>
      <c r="M46" s="170">
        <f t="array" ref="M46">SUM(IF(Expenditures[Jurisdiction]=M$28,IF(Expenditures[Fiscal Year]=$A46,Expenditures[2018 $ Value])))</f>
        <v>0</v>
      </c>
      <c r="N46" s="170">
        <f t="array" ref="N46">SUM(IF(Expenditures[Jurisdiction]=N$28,IF(Expenditures[Fiscal Year]=$A46,Expenditures[2018 $ Value])))</f>
        <v>0</v>
      </c>
      <c r="O46"/>
      <c r="P46"/>
      <c r="Q46"/>
      <c r="R46"/>
    </row>
    <row r="47" spans="1:18" x14ac:dyDescent="0.25">
      <c r="A47" s="44" t="s">
        <v>1874</v>
      </c>
      <c r="B47" s="170">
        <f t="array" ref="B47">SUM(IF(Expenditures[Jurisdiction]=B$28,IF(Expenditures[Fiscal Year]=$A47,Expenditures[2018 $ Value])))</f>
        <v>28138460.505165242</v>
      </c>
      <c r="C47" s="170">
        <f t="array" ref="C47">SUM(IF(Expenditures[Jurisdiction]=C$28,IF(Expenditures[Fiscal Year]=$A47,Expenditures[2018 $ Value])))</f>
        <v>40118833.144112609</v>
      </c>
      <c r="D47" s="170">
        <f t="array" ref="D47">SUM(IF(Expenditures[Jurisdiction]=D$28,IF(Expenditures[Fiscal Year]=$A47,Expenditures[2018 $ Value])))</f>
        <v>8421579.3268053867</v>
      </c>
      <c r="E47" s="170">
        <f t="array" ref="E47">SUM(IF(Expenditures[Jurisdiction]=E$28,IF(Expenditures[Fiscal Year]=$A47,Expenditures[2018 $ Value])))</f>
        <v>0</v>
      </c>
      <c r="F47" s="170">
        <f t="array" ref="F47">SUM(IF(Expenditures[Jurisdiction]=F$28,IF(Expenditures[Fiscal Year]=$A47,Expenditures[2018 $ Value])))</f>
        <v>0</v>
      </c>
      <c r="G47" s="170">
        <f t="array" ref="G47">SUM(IF(Expenditures[Jurisdiction]=G$28,IF(Expenditures[Fiscal Year]=$A47,Expenditures[2018 $ Value])))</f>
        <v>0</v>
      </c>
      <c r="H47" s="170">
        <f t="array" ref="H47">SUM(IF(Expenditures[Jurisdiction]=H$28,IF(Expenditures[Fiscal Year]=$A47,Expenditures[2018 $ Value])))</f>
        <v>26942996.632802941</v>
      </c>
      <c r="I47" s="170">
        <f t="array" ref="I47">SUM(IF(Expenditures[Jurisdiction]=I$28,IF(Expenditures[Fiscal Year]=$A47,Expenditures[2018 $ Value])))</f>
        <v>4952739.7339167688</v>
      </c>
      <c r="J47" s="170">
        <f t="array" ref="J47">SUM(IF(Expenditures[Jurisdiction]=J$28,IF(Expenditures[Fiscal Year]=$A47,Expenditures[2018 $ Value])))</f>
        <v>1599667.8540146882</v>
      </c>
      <c r="K47" s="170">
        <f t="array" ref="K47">SUM(IF(Expenditures[Jurisdiction]=K$28,IF(Expenditures[Fiscal Year]=$A47,Expenditures[2018 $ Value])))</f>
        <v>35256726.769277848</v>
      </c>
      <c r="L47" s="170">
        <f t="array" ref="L47">SUM(IF(Expenditures[Jurisdiction]=L$28,IF(Expenditures[Fiscal Year]=$A47,Expenditures[2018 $ Value])))</f>
        <v>0</v>
      </c>
      <c r="M47" s="170">
        <f t="array" ref="M47">SUM(IF(Expenditures[Jurisdiction]=M$28,IF(Expenditures[Fiscal Year]=$A47,Expenditures[2018 $ Value])))</f>
        <v>0</v>
      </c>
      <c r="N47" s="170">
        <f t="array" ref="N47">SUM(IF(Expenditures[Jurisdiction]=N$28,IF(Expenditures[Fiscal Year]=$A47,Expenditures[2018 $ Value])))</f>
        <v>0</v>
      </c>
      <c r="O47"/>
      <c r="P47"/>
      <c r="Q47"/>
      <c r="R47"/>
    </row>
    <row r="48" spans="1:18" x14ac:dyDescent="0.25">
      <c r="A48" s="44" t="s">
        <v>1876</v>
      </c>
      <c r="B48" s="170">
        <f t="array" ref="B48">SUM(IF(Expenditures[Jurisdiction]=B$28,IF(Expenditures[Fiscal Year]=$A48,Expenditures[2018 $ Value])))</f>
        <v>0</v>
      </c>
      <c r="C48" s="170">
        <f t="array" ref="C48">SUM(IF(Expenditures[Jurisdiction]=C$28,IF(Expenditures[Fiscal Year]=$A48,Expenditures[2018 $ Value])))</f>
        <v>0</v>
      </c>
      <c r="D48" s="170">
        <f t="array" ref="D48">SUM(IF(Expenditures[Jurisdiction]=D$28,IF(Expenditures[Fiscal Year]=$A48,Expenditures[2018 $ Value])))</f>
        <v>8413600</v>
      </c>
      <c r="E48" s="170">
        <f t="array" ref="E48">SUM(IF(Expenditures[Jurisdiction]=E$28,IF(Expenditures[Fiscal Year]=$A48,Expenditures[2018 $ Value])))</f>
        <v>0</v>
      </c>
      <c r="F48" s="170">
        <f t="array" ref="F48">SUM(IF(Expenditures[Jurisdiction]=F$28,IF(Expenditures[Fiscal Year]=$A48,Expenditures[2018 $ Value])))</f>
        <v>0</v>
      </c>
      <c r="G48" s="170">
        <f t="array" ref="G48">SUM(IF(Expenditures[Jurisdiction]=G$28,IF(Expenditures[Fiscal Year]=$A48,Expenditures[2018 $ Value])))</f>
        <v>0</v>
      </c>
      <c r="H48" s="170">
        <f t="array" ref="H48">SUM(IF(Expenditures[Jurisdiction]=H$28,IF(Expenditures[Fiscal Year]=$A48,Expenditures[2018 $ Value])))</f>
        <v>26033100</v>
      </c>
      <c r="I48" s="170">
        <f t="array" ref="I48">SUM(IF(Expenditures[Jurisdiction]=I$28,IF(Expenditures[Fiscal Year]=$A48,Expenditures[2018 $ Value])))</f>
        <v>0</v>
      </c>
      <c r="J48" s="170">
        <f t="array" ref="J48">SUM(IF(Expenditures[Jurisdiction]=J$28,IF(Expenditures[Fiscal Year]=$A48,Expenditures[2018 $ Value])))</f>
        <v>0</v>
      </c>
      <c r="K48" s="170">
        <f t="array" ref="K48">SUM(IF(Expenditures[Jurisdiction]=K$28,IF(Expenditures[Fiscal Year]=$A48,Expenditures[2018 $ Value])))</f>
        <v>0</v>
      </c>
      <c r="L48" s="170">
        <f t="array" ref="L48">SUM(IF(Expenditures[Jurisdiction]=L$28,IF(Expenditures[Fiscal Year]=$A48,Expenditures[2018 $ Value])))</f>
        <v>0</v>
      </c>
      <c r="M48" s="170">
        <f t="array" ref="M48">SUM(IF(Expenditures[Jurisdiction]=M$28,IF(Expenditures[Fiscal Year]=$A48,Expenditures[2018 $ Value])))</f>
        <v>0</v>
      </c>
      <c r="N48" s="170">
        <f t="array" ref="N48">SUM(IF(Expenditures[Jurisdiction]=N$28,IF(Expenditures[Fiscal Year]=$A48,Expenditures[2018 $ Value])))</f>
        <v>0</v>
      </c>
      <c r="O48"/>
      <c r="P48"/>
      <c r="Q48"/>
      <c r="R48"/>
    </row>
    <row r="49" spans="1:18" x14ac:dyDescent="0.25">
      <c r="A49"/>
      <c r="B49"/>
      <c r="C49"/>
      <c r="D49"/>
      <c r="E49"/>
      <c r="F49"/>
      <c r="G49"/>
      <c r="H49"/>
      <c r="I49"/>
      <c r="J49"/>
      <c r="K49"/>
      <c r="L49"/>
      <c r="M49"/>
      <c r="N49"/>
      <c r="O49"/>
      <c r="P49"/>
      <c r="Q49"/>
      <c r="R49"/>
    </row>
  </sheetData>
  <mergeCells count="1">
    <mergeCell ref="A2:G2"/>
  </mergeCells>
  <pageMargins left="0.7" right="0.7" top="0.75" bottom="0.75" header="0.3" footer="0.3"/>
  <pageSetup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51988-A461-49DB-94AC-CC49A84D69A0}">
  <sheetPr>
    <tabColor theme="9" tint="0.39997558519241921"/>
  </sheetPr>
  <dimension ref="A1:AK239"/>
  <sheetViews>
    <sheetView zoomScale="70" zoomScaleNormal="70" workbookViewId="0">
      <selection activeCell="A2" sqref="A2:C2"/>
    </sheetView>
  </sheetViews>
  <sheetFormatPr defaultColWidth="8.7109375" defaultRowHeight="15" x14ac:dyDescent="0.25"/>
  <cols>
    <col min="1" max="1" width="28.85546875" style="134" bestFit="1" customWidth="1"/>
    <col min="2" max="2" width="25" style="134" bestFit="1" customWidth="1"/>
    <col min="3" max="3" width="32.7109375" style="134" bestFit="1" customWidth="1"/>
    <col min="4" max="4" width="30" style="134" bestFit="1" customWidth="1"/>
    <col min="5" max="5" width="8.7109375" style="134"/>
    <col min="6" max="6" width="28.85546875" style="134" bestFit="1" customWidth="1"/>
    <col min="7" max="7" width="25" style="134" bestFit="1" customWidth="1"/>
    <col min="8" max="9" width="25.7109375" style="134" customWidth="1"/>
    <col min="10" max="10" width="0.85546875" style="134" customWidth="1"/>
    <col min="11" max="16384" width="8.7109375" style="134"/>
  </cols>
  <sheetData>
    <row r="1" spans="1:37" ht="26.25" x14ac:dyDescent="0.4">
      <c r="A1" s="136" t="s">
        <v>2106</v>
      </c>
      <c r="B1"/>
      <c r="C1"/>
      <c r="D1"/>
      <c r="E1" s="136" t="s">
        <v>2107</v>
      </c>
      <c r="F1"/>
      <c r="G1"/>
      <c r="H1"/>
      <c r="I1"/>
      <c r="K1"/>
      <c r="L1" s="136" t="s">
        <v>2108</v>
      </c>
      <c r="M1"/>
      <c r="N1"/>
      <c r="O1"/>
      <c r="P1"/>
      <c r="Q1"/>
      <c r="R1"/>
      <c r="S1"/>
      <c r="T1"/>
      <c r="U1"/>
      <c r="V1"/>
      <c r="W1"/>
      <c r="X1"/>
      <c r="Y1" s="136" t="s">
        <v>2109</v>
      </c>
      <c r="Z1"/>
      <c r="AA1"/>
      <c r="AB1"/>
      <c r="AC1"/>
      <c r="AD1"/>
      <c r="AE1"/>
      <c r="AF1"/>
      <c r="AG1"/>
      <c r="AH1"/>
      <c r="AI1"/>
      <c r="AJ1"/>
      <c r="AK1"/>
    </row>
    <row r="2" spans="1:37" ht="66.95" customHeight="1" x14ac:dyDescent="0.25">
      <c r="A2" s="247" t="s">
        <v>2110</v>
      </c>
      <c r="B2" s="247"/>
      <c r="C2" s="247"/>
      <c r="D2"/>
      <c r="E2"/>
      <c r="F2"/>
      <c r="G2"/>
      <c r="H2"/>
      <c r="I2"/>
      <c r="K2"/>
      <c r="L2" s="248" t="s">
        <v>2111</v>
      </c>
      <c r="M2" s="247"/>
      <c r="N2" s="247"/>
      <c r="O2" s="247"/>
      <c r="P2" s="247"/>
      <c r="Q2" s="247"/>
      <c r="R2" s="247"/>
      <c r="S2" s="247"/>
      <c r="T2" s="247"/>
      <c r="U2" s="247"/>
      <c r="V2"/>
      <c r="W2"/>
      <c r="X2"/>
      <c r="Y2"/>
      <c r="Z2"/>
      <c r="AA2"/>
      <c r="AB2"/>
      <c r="AC2"/>
      <c r="AD2"/>
      <c r="AE2"/>
      <c r="AF2"/>
      <c r="AG2"/>
      <c r="AH2"/>
      <c r="AI2"/>
      <c r="AJ2"/>
      <c r="AK2"/>
    </row>
    <row r="3" spans="1:37" x14ac:dyDescent="0.25">
      <c r="A3"/>
      <c r="B3"/>
      <c r="C3"/>
      <c r="D3"/>
      <c r="E3"/>
      <c r="F3"/>
      <c r="G3"/>
      <c r="H3"/>
      <c r="I3"/>
      <c r="K3"/>
      <c r="L3"/>
      <c r="M3"/>
      <c r="N3"/>
      <c r="O3"/>
      <c r="P3"/>
      <c r="Q3"/>
      <c r="R3"/>
      <c r="S3"/>
      <c r="T3"/>
      <c r="U3"/>
      <c r="V3"/>
      <c r="W3"/>
      <c r="X3"/>
      <c r="Y3"/>
      <c r="Z3"/>
      <c r="AA3"/>
      <c r="AB3"/>
      <c r="AC3"/>
      <c r="AD3"/>
      <c r="AE3"/>
      <c r="AF3"/>
      <c r="AG3"/>
      <c r="AH3"/>
      <c r="AI3"/>
      <c r="AJ3"/>
      <c r="AK3"/>
    </row>
    <row r="4" spans="1:37" x14ac:dyDescent="0.25">
      <c r="A4"/>
      <c r="B4"/>
      <c r="C4"/>
      <c r="D4"/>
      <c r="E4"/>
      <c r="F4"/>
      <c r="G4"/>
      <c r="H4"/>
      <c r="I4"/>
      <c r="K4"/>
      <c r="L4"/>
      <c r="M4"/>
      <c r="N4"/>
      <c r="O4"/>
      <c r="P4"/>
      <c r="Q4"/>
      <c r="R4"/>
      <c r="S4"/>
      <c r="T4"/>
      <c r="U4"/>
      <c r="V4"/>
      <c r="W4"/>
      <c r="X4"/>
      <c r="Y4"/>
      <c r="Z4"/>
      <c r="AA4"/>
      <c r="AB4"/>
      <c r="AC4"/>
      <c r="AD4"/>
      <c r="AE4"/>
      <c r="AF4"/>
      <c r="AG4"/>
      <c r="AH4"/>
      <c r="AI4"/>
      <c r="AJ4"/>
      <c r="AK4"/>
    </row>
    <row r="5" spans="1:37" x14ac:dyDescent="0.25">
      <c r="A5"/>
      <c r="B5"/>
      <c r="C5"/>
      <c r="D5"/>
      <c r="E5"/>
      <c r="F5"/>
      <c r="G5"/>
      <c r="H5"/>
      <c r="I5"/>
      <c r="K5"/>
      <c r="L5"/>
      <c r="M5"/>
      <c r="N5"/>
      <c r="O5"/>
      <c r="P5"/>
      <c r="Q5"/>
      <c r="R5"/>
      <c r="S5"/>
      <c r="T5"/>
      <c r="U5"/>
      <c r="V5"/>
      <c r="W5"/>
      <c r="X5"/>
      <c r="Y5"/>
      <c r="Z5"/>
      <c r="AA5"/>
      <c r="AB5"/>
      <c r="AC5"/>
      <c r="AD5"/>
      <c r="AE5"/>
      <c r="AF5"/>
      <c r="AG5"/>
      <c r="AH5"/>
      <c r="AI5"/>
      <c r="AJ5"/>
      <c r="AK5"/>
    </row>
    <row r="6" spans="1:37" x14ac:dyDescent="0.25">
      <c r="A6"/>
      <c r="B6"/>
      <c r="C6"/>
      <c r="D6"/>
      <c r="E6"/>
      <c r="F6"/>
      <c r="G6"/>
      <c r="H6"/>
      <c r="I6"/>
      <c r="K6"/>
      <c r="L6"/>
      <c r="M6"/>
      <c r="N6"/>
      <c r="O6"/>
      <c r="P6"/>
      <c r="Q6"/>
      <c r="R6"/>
      <c r="S6"/>
      <c r="T6"/>
      <c r="U6"/>
      <c r="V6"/>
      <c r="W6"/>
      <c r="X6"/>
      <c r="Y6"/>
      <c r="Z6"/>
      <c r="AA6"/>
      <c r="AB6"/>
      <c r="AC6"/>
      <c r="AD6"/>
      <c r="AE6"/>
      <c r="AF6"/>
      <c r="AG6"/>
      <c r="AH6"/>
      <c r="AI6"/>
      <c r="AJ6"/>
      <c r="AK6"/>
    </row>
    <row r="7" spans="1:37" x14ac:dyDescent="0.25">
      <c r="A7"/>
      <c r="B7"/>
      <c r="C7"/>
      <c r="D7"/>
      <c r="E7"/>
      <c r="F7"/>
      <c r="G7"/>
      <c r="H7"/>
      <c r="I7"/>
      <c r="K7"/>
      <c r="L7"/>
      <c r="M7"/>
      <c r="N7"/>
      <c r="O7"/>
      <c r="P7"/>
      <c r="Q7"/>
      <c r="R7"/>
      <c r="S7"/>
      <c r="T7"/>
      <c r="U7"/>
      <c r="V7"/>
      <c r="W7"/>
      <c r="X7"/>
      <c r="Y7"/>
      <c r="Z7"/>
      <c r="AA7"/>
      <c r="AB7"/>
      <c r="AC7"/>
      <c r="AD7"/>
      <c r="AE7"/>
      <c r="AF7"/>
      <c r="AG7"/>
      <c r="AH7"/>
      <c r="AI7"/>
      <c r="AJ7"/>
      <c r="AK7"/>
    </row>
    <row r="8" spans="1:37" x14ac:dyDescent="0.25">
      <c r="A8"/>
      <c r="B8"/>
      <c r="C8"/>
      <c r="D8"/>
      <c r="E8"/>
      <c r="F8"/>
      <c r="G8"/>
      <c r="H8"/>
      <c r="I8"/>
      <c r="K8"/>
      <c r="L8"/>
      <c r="M8"/>
      <c r="N8"/>
      <c r="O8"/>
      <c r="P8"/>
      <c r="Q8"/>
      <c r="R8"/>
      <c r="S8"/>
      <c r="T8"/>
      <c r="U8"/>
      <c r="V8"/>
      <c r="W8"/>
      <c r="X8"/>
      <c r="Y8"/>
      <c r="Z8"/>
      <c r="AA8"/>
      <c r="AB8"/>
      <c r="AC8"/>
      <c r="AD8"/>
      <c r="AE8"/>
      <c r="AF8"/>
      <c r="AG8"/>
      <c r="AH8"/>
      <c r="AI8"/>
      <c r="AJ8"/>
      <c r="AK8"/>
    </row>
    <row r="9" spans="1:37" x14ac:dyDescent="0.25">
      <c r="A9"/>
      <c r="B9"/>
      <c r="C9"/>
      <c r="D9"/>
      <c r="E9"/>
      <c r="F9"/>
      <c r="G9"/>
      <c r="H9"/>
      <c r="I9"/>
      <c r="K9"/>
      <c r="L9"/>
      <c r="M9"/>
      <c r="N9"/>
      <c r="O9"/>
      <c r="P9"/>
      <c r="Q9"/>
      <c r="R9"/>
      <c r="S9"/>
      <c r="T9"/>
      <c r="U9"/>
      <c r="V9"/>
      <c r="W9"/>
      <c r="X9"/>
      <c r="Y9"/>
      <c r="Z9"/>
      <c r="AA9"/>
      <c r="AB9"/>
      <c r="AC9"/>
      <c r="AD9"/>
      <c r="AE9"/>
      <c r="AF9"/>
      <c r="AG9"/>
      <c r="AH9"/>
      <c r="AI9"/>
      <c r="AJ9"/>
      <c r="AK9"/>
    </row>
    <row r="10" spans="1:37" x14ac:dyDescent="0.25">
      <c r="A10"/>
      <c r="B10"/>
      <c r="C10"/>
      <c r="D10"/>
      <c r="E10"/>
      <c r="F10"/>
      <c r="G10"/>
      <c r="H10"/>
      <c r="I10"/>
      <c r="K10"/>
      <c r="L10"/>
      <c r="M10"/>
      <c r="N10"/>
      <c r="O10"/>
      <c r="P10"/>
      <c r="Q10"/>
      <c r="R10"/>
      <c r="S10"/>
      <c r="T10"/>
      <c r="U10"/>
      <c r="V10"/>
      <c r="W10"/>
      <c r="X10"/>
      <c r="Y10"/>
      <c r="Z10"/>
      <c r="AA10"/>
      <c r="AB10"/>
      <c r="AC10"/>
      <c r="AD10"/>
      <c r="AE10"/>
      <c r="AF10"/>
      <c r="AG10"/>
      <c r="AH10"/>
      <c r="AI10"/>
      <c r="AJ10"/>
      <c r="AK10"/>
    </row>
    <row r="11" spans="1:37" x14ac:dyDescent="0.25">
      <c r="A11"/>
      <c r="B11"/>
      <c r="C11"/>
      <c r="D11"/>
      <c r="E11"/>
      <c r="F11"/>
      <c r="G11"/>
      <c r="H11"/>
      <c r="I11"/>
      <c r="K11"/>
      <c r="L11"/>
      <c r="M11"/>
      <c r="N11"/>
      <c r="O11"/>
      <c r="P11"/>
      <c r="Q11"/>
      <c r="R11"/>
      <c r="S11"/>
      <c r="T11"/>
      <c r="U11"/>
      <c r="V11"/>
      <c r="W11"/>
      <c r="X11"/>
      <c r="Y11"/>
      <c r="Z11"/>
      <c r="AA11"/>
      <c r="AB11"/>
      <c r="AC11"/>
      <c r="AD11"/>
      <c r="AE11"/>
      <c r="AF11"/>
      <c r="AG11"/>
      <c r="AH11"/>
      <c r="AI11"/>
      <c r="AJ11"/>
      <c r="AK11"/>
    </row>
    <row r="12" spans="1:37" x14ac:dyDescent="0.25">
      <c r="A12"/>
      <c r="B12"/>
      <c r="C12"/>
      <c r="D12"/>
      <c r="E12"/>
      <c r="F12"/>
      <c r="G12"/>
      <c r="H12"/>
      <c r="I12"/>
      <c r="K12"/>
      <c r="L12"/>
      <c r="M12"/>
      <c r="N12"/>
      <c r="O12"/>
      <c r="P12"/>
      <c r="Q12"/>
      <c r="R12"/>
      <c r="S12"/>
      <c r="T12"/>
      <c r="U12"/>
      <c r="V12"/>
      <c r="W12"/>
      <c r="X12"/>
      <c r="Y12"/>
      <c r="Z12"/>
      <c r="AA12"/>
      <c r="AB12"/>
      <c r="AC12"/>
      <c r="AD12"/>
      <c r="AE12"/>
      <c r="AF12"/>
      <c r="AG12"/>
      <c r="AH12"/>
      <c r="AI12"/>
      <c r="AJ12"/>
      <c r="AK12"/>
    </row>
    <row r="13" spans="1:37" x14ac:dyDescent="0.25">
      <c r="A13"/>
      <c r="B13"/>
      <c r="C13"/>
      <c r="D13"/>
      <c r="E13"/>
      <c r="F13"/>
      <c r="G13"/>
      <c r="H13"/>
      <c r="I13"/>
      <c r="K13"/>
      <c r="L13"/>
      <c r="M13"/>
      <c r="N13"/>
      <c r="O13"/>
      <c r="P13"/>
      <c r="Q13"/>
      <c r="R13"/>
      <c r="S13"/>
      <c r="T13"/>
      <c r="U13"/>
      <c r="V13"/>
      <c r="W13"/>
      <c r="X13"/>
      <c r="Y13"/>
      <c r="Z13"/>
      <c r="AA13"/>
      <c r="AB13"/>
      <c r="AC13"/>
      <c r="AD13"/>
      <c r="AE13"/>
      <c r="AF13"/>
      <c r="AG13"/>
      <c r="AH13"/>
      <c r="AI13"/>
      <c r="AJ13"/>
      <c r="AK13"/>
    </row>
    <row r="14" spans="1:37" x14ac:dyDescent="0.25">
      <c r="A14"/>
      <c r="B14"/>
      <c r="C14"/>
      <c r="D14"/>
      <c r="E14"/>
      <c r="F14"/>
      <c r="G14"/>
      <c r="H14"/>
      <c r="I14"/>
      <c r="K14"/>
      <c r="L14"/>
      <c r="M14"/>
      <c r="N14"/>
      <c r="O14"/>
      <c r="P14"/>
      <c r="Q14"/>
      <c r="R14"/>
      <c r="S14"/>
      <c r="T14"/>
      <c r="U14"/>
      <c r="V14"/>
      <c r="W14"/>
      <c r="X14"/>
      <c r="Y14"/>
      <c r="Z14"/>
      <c r="AA14"/>
      <c r="AB14"/>
      <c r="AC14"/>
      <c r="AD14"/>
      <c r="AE14"/>
      <c r="AF14"/>
      <c r="AG14"/>
      <c r="AH14"/>
      <c r="AI14"/>
      <c r="AJ14"/>
      <c r="AK14"/>
    </row>
    <row r="15" spans="1:37" x14ac:dyDescent="0.25">
      <c r="A15"/>
      <c r="B15"/>
      <c r="C15"/>
      <c r="D15"/>
      <c r="E15"/>
      <c r="F15"/>
      <c r="G15"/>
      <c r="H15"/>
      <c r="I15"/>
      <c r="K15"/>
      <c r="L15"/>
      <c r="M15"/>
      <c r="N15"/>
      <c r="O15"/>
      <c r="P15"/>
      <c r="Q15"/>
      <c r="R15"/>
      <c r="S15"/>
      <c r="T15"/>
      <c r="U15"/>
      <c r="V15"/>
      <c r="W15"/>
      <c r="X15"/>
      <c r="Y15"/>
      <c r="Z15"/>
      <c r="AA15"/>
      <c r="AB15"/>
      <c r="AC15"/>
      <c r="AD15"/>
      <c r="AE15"/>
      <c r="AF15"/>
      <c r="AG15"/>
      <c r="AH15"/>
      <c r="AI15"/>
      <c r="AJ15"/>
      <c r="AK15"/>
    </row>
    <row r="16" spans="1:37" x14ac:dyDescent="0.25">
      <c r="A16"/>
      <c r="B16"/>
      <c r="C16"/>
      <c r="D16"/>
      <c r="E16"/>
      <c r="F16"/>
      <c r="G16"/>
      <c r="H16"/>
      <c r="I16"/>
      <c r="K16"/>
      <c r="L16"/>
      <c r="M16"/>
      <c r="N16"/>
      <c r="O16"/>
      <c r="P16"/>
      <c r="Q16"/>
      <c r="R16"/>
      <c r="S16"/>
      <c r="T16"/>
      <c r="U16"/>
      <c r="V16"/>
      <c r="W16"/>
      <c r="X16"/>
      <c r="Y16"/>
      <c r="Z16"/>
      <c r="AA16"/>
      <c r="AB16"/>
      <c r="AC16"/>
      <c r="AD16"/>
      <c r="AE16"/>
      <c r="AF16"/>
      <c r="AG16"/>
      <c r="AH16"/>
      <c r="AI16"/>
      <c r="AJ16"/>
      <c r="AK16"/>
    </row>
    <row r="17" spans="1:37" x14ac:dyDescent="0.25">
      <c r="A17"/>
      <c r="B17"/>
      <c r="C17"/>
      <c r="D17"/>
      <c r="E17"/>
      <c r="F17"/>
      <c r="G17"/>
      <c r="H17"/>
      <c r="I17"/>
      <c r="K17"/>
      <c r="L17"/>
      <c r="M17"/>
      <c r="N17"/>
      <c r="O17"/>
      <c r="P17"/>
      <c r="Q17"/>
      <c r="R17"/>
      <c r="S17"/>
      <c r="T17"/>
      <c r="U17"/>
      <c r="V17"/>
      <c r="W17"/>
      <c r="X17"/>
      <c r="Y17"/>
      <c r="Z17"/>
      <c r="AA17"/>
      <c r="AB17"/>
      <c r="AC17"/>
      <c r="AD17"/>
      <c r="AE17"/>
      <c r="AF17"/>
      <c r="AG17"/>
      <c r="AH17"/>
      <c r="AI17"/>
      <c r="AJ17"/>
      <c r="AK17"/>
    </row>
    <row r="18" spans="1:37" x14ac:dyDescent="0.25">
      <c r="A18"/>
      <c r="B18"/>
      <c r="C18"/>
      <c r="D18"/>
      <c r="E18"/>
      <c r="F18"/>
      <c r="G18"/>
      <c r="H18"/>
      <c r="I18"/>
      <c r="K18"/>
      <c r="L18"/>
      <c r="M18"/>
      <c r="N18"/>
      <c r="O18"/>
      <c r="P18"/>
      <c r="Q18"/>
      <c r="R18"/>
      <c r="S18"/>
      <c r="T18"/>
      <c r="U18"/>
      <c r="V18"/>
      <c r="W18"/>
      <c r="X18"/>
      <c r="Y18"/>
      <c r="Z18"/>
      <c r="AA18"/>
      <c r="AB18"/>
      <c r="AC18"/>
      <c r="AD18"/>
      <c r="AE18"/>
      <c r="AF18"/>
      <c r="AG18"/>
      <c r="AH18"/>
      <c r="AI18"/>
      <c r="AJ18"/>
      <c r="AK18"/>
    </row>
    <row r="19" spans="1:37" x14ac:dyDescent="0.25">
      <c r="A19"/>
      <c r="B19"/>
      <c r="C19"/>
      <c r="D19"/>
      <c r="E19"/>
      <c r="F19"/>
      <c r="G19"/>
      <c r="H19"/>
      <c r="I19"/>
      <c r="K19"/>
      <c r="L19"/>
      <c r="M19"/>
      <c r="N19"/>
      <c r="O19"/>
      <c r="P19"/>
      <c r="Q19"/>
      <c r="R19"/>
      <c r="S19"/>
      <c r="T19"/>
      <c r="U19"/>
      <c r="V19"/>
      <c r="W19"/>
      <c r="X19"/>
      <c r="Y19"/>
      <c r="Z19"/>
      <c r="AA19"/>
      <c r="AB19"/>
      <c r="AC19"/>
      <c r="AD19"/>
      <c r="AE19"/>
      <c r="AF19"/>
      <c r="AG19"/>
      <c r="AH19"/>
      <c r="AI19"/>
      <c r="AJ19"/>
      <c r="AK19"/>
    </row>
    <row r="20" spans="1:37" x14ac:dyDescent="0.25">
      <c r="A20"/>
      <c r="B20"/>
      <c r="C20"/>
      <c r="D20"/>
      <c r="E20"/>
      <c r="F20"/>
      <c r="G20"/>
      <c r="H20"/>
      <c r="I20"/>
      <c r="K20"/>
      <c r="L20"/>
      <c r="M20"/>
      <c r="N20"/>
      <c r="O20"/>
      <c r="P20"/>
      <c r="Q20"/>
      <c r="R20"/>
      <c r="S20"/>
      <c r="T20"/>
      <c r="U20"/>
      <c r="V20"/>
      <c r="W20"/>
      <c r="X20"/>
      <c r="Y20"/>
      <c r="Z20"/>
      <c r="AA20"/>
      <c r="AB20"/>
      <c r="AC20"/>
      <c r="AD20"/>
      <c r="AE20"/>
      <c r="AF20"/>
      <c r="AG20"/>
      <c r="AH20"/>
      <c r="AI20"/>
      <c r="AJ20"/>
      <c r="AK20"/>
    </row>
    <row r="21" spans="1:37" x14ac:dyDescent="0.25">
      <c r="A21"/>
      <c r="B21"/>
      <c r="C21"/>
      <c r="D21"/>
      <c r="E21"/>
      <c r="F21"/>
      <c r="G21"/>
      <c r="H21"/>
      <c r="I21"/>
      <c r="K21"/>
      <c r="L21"/>
      <c r="M21"/>
      <c r="N21"/>
      <c r="O21"/>
      <c r="P21"/>
      <c r="Q21"/>
      <c r="R21"/>
      <c r="S21"/>
      <c r="T21"/>
      <c r="U21"/>
      <c r="V21"/>
      <c r="W21"/>
      <c r="X21"/>
      <c r="Y21"/>
      <c r="Z21"/>
      <c r="AA21"/>
      <c r="AB21"/>
      <c r="AC21"/>
      <c r="AD21"/>
      <c r="AE21"/>
      <c r="AF21"/>
      <c r="AG21"/>
      <c r="AH21"/>
      <c r="AI21"/>
      <c r="AJ21"/>
      <c r="AK21"/>
    </row>
    <row r="22" spans="1:37" x14ac:dyDescent="0.25">
      <c r="A22"/>
      <c r="B22"/>
      <c r="C22"/>
      <c r="D22"/>
      <c r="E22"/>
      <c r="F22"/>
      <c r="G22"/>
      <c r="H22"/>
      <c r="I22"/>
      <c r="K22"/>
      <c r="L22"/>
      <c r="M22"/>
      <c r="N22"/>
      <c r="O22"/>
      <c r="P22"/>
      <c r="Q22"/>
      <c r="R22"/>
      <c r="S22"/>
      <c r="T22"/>
      <c r="U22"/>
      <c r="V22"/>
      <c r="W22"/>
      <c r="X22"/>
      <c r="Y22"/>
      <c r="Z22"/>
      <c r="AA22"/>
      <c r="AB22"/>
      <c r="AC22"/>
      <c r="AD22"/>
      <c r="AE22"/>
      <c r="AF22"/>
      <c r="AG22"/>
      <c r="AH22"/>
      <c r="AI22"/>
      <c r="AJ22"/>
      <c r="AK22"/>
    </row>
    <row r="23" spans="1:37" x14ac:dyDescent="0.25">
      <c r="A23"/>
      <c r="B23"/>
      <c r="C23"/>
      <c r="D23"/>
      <c r="E23"/>
      <c r="F23"/>
      <c r="G23"/>
      <c r="H23"/>
      <c r="I23"/>
      <c r="K23"/>
      <c r="L23"/>
      <c r="M23"/>
      <c r="N23"/>
      <c r="O23"/>
      <c r="P23"/>
      <c r="Q23"/>
      <c r="R23"/>
      <c r="S23"/>
      <c r="T23"/>
      <c r="U23"/>
      <c r="V23"/>
      <c r="W23"/>
      <c r="X23"/>
      <c r="Y23"/>
      <c r="Z23"/>
      <c r="AA23"/>
      <c r="AB23"/>
      <c r="AC23"/>
      <c r="AD23"/>
      <c r="AE23"/>
      <c r="AF23"/>
      <c r="AG23"/>
      <c r="AH23"/>
      <c r="AI23"/>
      <c r="AJ23"/>
      <c r="AK23"/>
    </row>
    <row r="24" spans="1:37" x14ac:dyDescent="0.25">
      <c r="A24"/>
      <c r="B24"/>
      <c r="C24"/>
      <c r="D24"/>
      <c r="E24"/>
      <c r="F24"/>
      <c r="G24"/>
      <c r="H24"/>
      <c r="I24"/>
      <c r="K24"/>
      <c r="L24"/>
      <c r="M24"/>
      <c r="N24"/>
      <c r="O24"/>
      <c r="P24"/>
      <c r="Q24"/>
      <c r="R24"/>
      <c r="S24"/>
      <c r="T24"/>
      <c r="U24"/>
      <c r="V24"/>
      <c r="W24"/>
      <c r="X24"/>
      <c r="Y24"/>
      <c r="Z24"/>
      <c r="AA24"/>
      <c r="AB24"/>
      <c r="AC24"/>
      <c r="AD24"/>
      <c r="AE24"/>
      <c r="AF24"/>
      <c r="AG24"/>
      <c r="AH24"/>
      <c r="AI24"/>
      <c r="AJ24"/>
      <c r="AK24"/>
    </row>
    <row r="25" spans="1:37" s="208" customFormat="1" ht="15.75" thickBot="1" x14ac:dyDescent="0.3">
      <c r="A25" s="207"/>
      <c r="B25" s="207"/>
      <c r="C25" s="207"/>
      <c r="D25" s="207"/>
      <c r="E25" s="207"/>
      <c r="F25" s="207"/>
      <c r="G25" s="207"/>
      <c r="H25" s="207"/>
      <c r="I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row>
    <row r="26" spans="1:37"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row>
    <row r="27" spans="1:37" ht="21" x14ac:dyDescent="0.35">
      <c r="A27" s="148" t="s">
        <v>1925</v>
      </c>
      <c r="B27"/>
      <c r="C27"/>
      <c r="D27"/>
      <c r="E27"/>
      <c r="F27" s="148" t="s">
        <v>2112</v>
      </c>
      <c r="G27"/>
      <c r="H27"/>
      <c r="I27"/>
      <c r="J27"/>
      <c r="K27"/>
      <c r="L27"/>
      <c r="M27"/>
      <c r="N27"/>
      <c r="O27"/>
      <c r="P27"/>
      <c r="Q27"/>
      <c r="R27"/>
      <c r="S27"/>
      <c r="T27"/>
      <c r="U27"/>
      <c r="V27"/>
      <c r="W27"/>
      <c r="X27"/>
      <c r="Y27"/>
      <c r="Z27"/>
      <c r="AA27"/>
      <c r="AB27"/>
      <c r="AC27"/>
      <c r="AD27"/>
      <c r="AE27"/>
      <c r="AF27"/>
      <c r="AG27"/>
      <c r="AH27"/>
      <c r="AI27"/>
      <c r="AJ27"/>
      <c r="AK27"/>
    </row>
    <row r="28" spans="1:37"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row>
    <row r="29" spans="1:37" x14ac:dyDescent="0.25">
      <c r="A29" s="150" t="s">
        <v>1</v>
      </c>
      <c r="B29" s="221" t="s">
        <v>8</v>
      </c>
      <c r="C29"/>
      <c r="D29"/>
      <c r="E29"/>
      <c r="F29" s="150" t="s">
        <v>1</v>
      </c>
      <c r="G29" s="221" t="s">
        <v>8</v>
      </c>
      <c r="H29"/>
      <c r="I29"/>
      <c r="J29"/>
      <c r="K29"/>
      <c r="L29"/>
      <c r="M29"/>
      <c r="N29"/>
      <c r="O29"/>
      <c r="P29"/>
      <c r="Q29"/>
      <c r="R29"/>
      <c r="S29"/>
      <c r="T29"/>
      <c r="U29"/>
      <c r="V29"/>
      <c r="W29"/>
      <c r="X29"/>
      <c r="Y29"/>
      <c r="Z29"/>
      <c r="AA29"/>
      <c r="AB29"/>
      <c r="AC29"/>
      <c r="AD29"/>
      <c r="AE29"/>
      <c r="AF29"/>
      <c r="AG29"/>
      <c r="AH29"/>
      <c r="AI29"/>
      <c r="AJ29"/>
      <c r="AK29"/>
    </row>
    <row r="30" spans="1:37" x14ac:dyDescent="0.25">
      <c r="A30" s="150" t="s">
        <v>1852</v>
      </c>
      <c r="B30" s="221" t="s">
        <v>1853</v>
      </c>
      <c r="C30"/>
      <c r="D30"/>
      <c r="E30"/>
      <c r="F30" s="150" t="s">
        <v>1852</v>
      </c>
      <c r="G30" s="221" t="s">
        <v>1853</v>
      </c>
      <c r="H30"/>
      <c r="I30"/>
      <c r="J30"/>
      <c r="K30"/>
      <c r="L30"/>
      <c r="M30"/>
      <c r="N30"/>
      <c r="O30"/>
      <c r="P30"/>
      <c r="Q30"/>
      <c r="R30"/>
      <c r="S30"/>
      <c r="T30"/>
      <c r="U30"/>
      <c r="V30"/>
      <c r="W30"/>
      <c r="X30"/>
      <c r="Y30"/>
      <c r="Z30"/>
      <c r="AA30"/>
      <c r="AB30"/>
      <c r="AC30"/>
      <c r="AD30"/>
      <c r="AE30"/>
      <c r="AF30"/>
      <c r="AG30"/>
      <c r="AH30"/>
      <c r="AI30"/>
      <c r="AJ30"/>
      <c r="AK30"/>
    </row>
    <row r="31" spans="1:37"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row>
    <row r="32" spans="1:37" x14ac:dyDescent="0.25">
      <c r="A32" s="150" t="s">
        <v>1956</v>
      </c>
      <c r="B32" t="s">
        <v>2038</v>
      </c>
      <c r="C32" t="s">
        <v>2088</v>
      </c>
      <c r="D32" t="s">
        <v>1844</v>
      </c>
      <c r="E32"/>
      <c r="F32" s="150" t="s">
        <v>1956</v>
      </c>
      <c r="G32" t="s">
        <v>2038</v>
      </c>
      <c r="H32" t="s">
        <v>2088</v>
      </c>
      <c r="I32" t="s">
        <v>1844</v>
      </c>
      <c r="J32"/>
      <c r="K32"/>
      <c r="L32"/>
      <c r="M32"/>
      <c r="N32"/>
      <c r="O32"/>
      <c r="P32"/>
      <c r="Q32"/>
      <c r="R32"/>
      <c r="S32"/>
      <c r="T32"/>
      <c r="U32"/>
      <c r="V32"/>
      <c r="W32"/>
      <c r="X32"/>
      <c r="Y32"/>
      <c r="Z32"/>
      <c r="AA32"/>
      <c r="AB32"/>
      <c r="AC32"/>
      <c r="AD32"/>
      <c r="AE32"/>
      <c r="AF32"/>
      <c r="AG32"/>
      <c r="AH32"/>
      <c r="AI32"/>
      <c r="AJ32"/>
      <c r="AK32"/>
    </row>
    <row r="33" spans="1:37" x14ac:dyDescent="0.25">
      <c r="A33" s="44" t="s">
        <v>145</v>
      </c>
      <c r="B33" s="10">
        <v>2767008.7973924051</v>
      </c>
      <c r="C33" s="199">
        <f>VLOOKUP(A33,Places[#All],7,FALSE)</f>
        <v>7.8</v>
      </c>
      <c r="D33" s="177">
        <f>VLOOKUP(A33,Places[#All],6,FALSE)</f>
        <v>20472</v>
      </c>
      <c r="E33"/>
      <c r="F33" s="44" t="s">
        <v>145</v>
      </c>
      <c r="G33" s="10">
        <v>2767008.7973924051</v>
      </c>
      <c r="H33" s="199">
        <f>VLOOKUP(F33,Places[#All],7,FALSE)</f>
        <v>7.8</v>
      </c>
      <c r="I33" s="177">
        <f>VLOOKUP(F33,Places[#All],6,FALSE)</f>
        <v>20472</v>
      </c>
      <c r="J33"/>
      <c r="K33"/>
      <c r="L33"/>
      <c r="M33"/>
      <c r="N33"/>
      <c r="O33"/>
      <c r="P33"/>
      <c r="Q33"/>
      <c r="R33"/>
      <c r="S33"/>
      <c r="T33"/>
      <c r="U33"/>
      <c r="V33"/>
      <c r="W33"/>
      <c r="X33"/>
      <c r="Y33"/>
      <c r="Z33"/>
      <c r="AA33"/>
      <c r="AB33"/>
      <c r="AC33"/>
      <c r="AD33"/>
      <c r="AE33"/>
      <c r="AF33"/>
      <c r="AG33"/>
      <c r="AH33"/>
      <c r="AI33"/>
      <c r="AJ33"/>
      <c r="AK33"/>
    </row>
    <row r="34" spans="1:37" x14ac:dyDescent="0.25">
      <c r="A34" s="44" t="s">
        <v>187</v>
      </c>
      <c r="B34" s="10">
        <v>765706.76259493665</v>
      </c>
      <c r="C34" s="199">
        <f>VLOOKUP(A34,Places[#All],7,FALSE)</f>
        <v>7.6</v>
      </c>
      <c r="D34" s="177">
        <f>VLOOKUP(A34,Places[#All],6,FALSE)</f>
        <v>84649</v>
      </c>
      <c r="E34"/>
      <c r="F34" s="44" t="s">
        <v>187</v>
      </c>
      <c r="G34" s="10">
        <v>765706.76259493665</v>
      </c>
      <c r="H34" s="199">
        <f>VLOOKUP(F34,Places[#All],7,FALSE)</f>
        <v>7.6</v>
      </c>
      <c r="I34" s="177">
        <f>VLOOKUP(F34,Places[#All],6,FALSE)</f>
        <v>84649</v>
      </c>
      <c r="J34"/>
      <c r="K34"/>
      <c r="L34"/>
      <c r="M34"/>
      <c r="N34"/>
      <c r="O34"/>
      <c r="P34"/>
      <c r="Q34"/>
      <c r="R34"/>
      <c r="S34"/>
      <c r="T34"/>
      <c r="U34"/>
      <c r="V34"/>
      <c r="W34"/>
      <c r="X34"/>
      <c r="Y34"/>
      <c r="Z34"/>
      <c r="AA34"/>
      <c r="AB34"/>
      <c r="AC34"/>
      <c r="AD34"/>
      <c r="AE34"/>
      <c r="AF34"/>
      <c r="AG34"/>
      <c r="AH34"/>
      <c r="AI34"/>
      <c r="AJ34"/>
      <c r="AK34"/>
    </row>
    <row r="35" spans="1:37" x14ac:dyDescent="0.25">
      <c r="A35" s="44" t="s">
        <v>263</v>
      </c>
      <c r="B35" s="10">
        <v>782266.67833500006</v>
      </c>
      <c r="C35" s="199">
        <f>VLOOKUP(A35,Places[#All],7,FALSE)</f>
        <v>6.9</v>
      </c>
      <c r="D35" s="177">
        <f>VLOOKUP(A35,Places[#All],6,FALSE)</f>
        <v>51783</v>
      </c>
      <c r="E35"/>
      <c r="F35" s="44" t="s">
        <v>263</v>
      </c>
      <c r="G35" s="10">
        <v>782266.67833500006</v>
      </c>
      <c r="H35" s="199">
        <f>VLOOKUP(F35,Places[#All],7,FALSE)</f>
        <v>6.9</v>
      </c>
      <c r="I35" s="177">
        <f>VLOOKUP(F35,Places[#All],6,FALSE)</f>
        <v>51783</v>
      </c>
      <c r="J35"/>
      <c r="K35"/>
      <c r="L35"/>
      <c r="M35"/>
      <c r="N35"/>
      <c r="O35"/>
      <c r="P35"/>
      <c r="Q35"/>
      <c r="R35"/>
      <c r="S35"/>
      <c r="T35"/>
      <c r="U35"/>
      <c r="V35"/>
      <c r="W35"/>
      <c r="X35"/>
      <c r="Y35"/>
      <c r="Z35"/>
      <c r="AA35"/>
      <c r="AB35"/>
      <c r="AC35"/>
      <c r="AD35"/>
      <c r="AE35"/>
      <c r="AF35"/>
      <c r="AG35"/>
      <c r="AH35"/>
      <c r="AI35"/>
      <c r="AJ35"/>
      <c r="AK35"/>
    </row>
    <row r="36" spans="1:37" x14ac:dyDescent="0.25">
      <c r="A36" s="44" t="s">
        <v>265</v>
      </c>
      <c r="B36" s="10">
        <v>2501287.4445906268</v>
      </c>
      <c r="C36" s="199">
        <f>VLOOKUP(A36,Places[#All],7,FALSE)</f>
        <v>50</v>
      </c>
      <c r="D36" s="177">
        <f>VLOOKUP(A36,Places[#All],6,FALSE)</f>
        <v>352005</v>
      </c>
      <c r="E36"/>
      <c r="F36" s="44" t="s">
        <v>265</v>
      </c>
      <c r="G36" s="10">
        <v>2501287.4445906268</v>
      </c>
      <c r="H36" s="199">
        <f>VLOOKUP(F36,Places[#All],7,FALSE)</f>
        <v>50</v>
      </c>
      <c r="I36" s="177">
        <f>VLOOKUP(F36,Places[#All],6,FALSE)</f>
        <v>352005</v>
      </c>
      <c r="J36"/>
      <c r="K36"/>
      <c r="L36"/>
      <c r="M36"/>
      <c r="N36"/>
      <c r="O36"/>
      <c r="P36"/>
      <c r="Q36"/>
      <c r="R36"/>
      <c r="S36"/>
      <c r="T36"/>
      <c r="U36"/>
      <c r="V36"/>
      <c r="W36"/>
      <c r="X36"/>
      <c r="Y36"/>
      <c r="Z36"/>
      <c r="AA36"/>
      <c r="AB36"/>
      <c r="AC36"/>
      <c r="AD36"/>
      <c r="AE36"/>
      <c r="AF36"/>
      <c r="AG36"/>
      <c r="AH36"/>
      <c r="AI36"/>
      <c r="AJ36"/>
      <c r="AK36"/>
    </row>
    <row r="37" spans="1:37" x14ac:dyDescent="0.25">
      <c r="A37" s="44" t="s">
        <v>179</v>
      </c>
      <c r="B37" s="10">
        <v>730366.94050632906</v>
      </c>
      <c r="C37" s="199">
        <f>VLOOKUP(A37,Places[#All],7,FALSE)</f>
        <v>10.9</v>
      </c>
      <c r="D37" s="177">
        <f>VLOOKUP(A37,Places[#All],6,FALSE)</f>
        <v>58610</v>
      </c>
      <c r="E37"/>
      <c r="F37" s="44" t="s">
        <v>179</v>
      </c>
      <c r="G37" s="10">
        <v>730366.94050632906</v>
      </c>
      <c r="H37" s="199">
        <f>VLOOKUP(F37,Places[#All],7,FALSE)</f>
        <v>10.9</v>
      </c>
      <c r="I37" s="177">
        <f>VLOOKUP(F37,Places[#All],6,FALSE)</f>
        <v>58610</v>
      </c>
      <c r="J37"/>
      <c r="K37"/>
      <c r="L37"/>
      <c r="M37"/>
      <c r="N37"/>
      <c r="O37"/>
      <c r="P37"/>
      <c r="Q37"/>
      <c r="R37"/>
      <c r="S37"/>
      <c r="T37"/>
      <c r="U37"/>
      <c r="V37"/>
      <c r="W37"/>
      <c r="X37"/>
      <c r="Y37"/>
      <c r="Z37"/>
      <c r="AA37"/>
      <c r="AB37"/>
      <c r="AC37"/>
      <c r="AD37"/>
      <c r="AE37"/>
      <c r="AF37"/>
      <c r="AG37"/>
      <c r="AH37"/>
      <c r="AI37"/>
      <c r="AJ37"/>
      <c r="AK37"/>
    </row>
    <row r="38" spans="1:37" x14ac:dyDescent="0.25">
      <c r="A38" s="44" t="s">
        <v>166</v>
      </c>
      <c r="B38" s="10">
        <v>184151.42263291139</v>
      </c>
      <c r="C38" s="199">
        <f>VLOOKUP(A38,Places[#All],7,FALSE)</f>
        <v>1.6</v>
      </c>
      <c r="D38" s="177">
        <f>VLOOKUP(A38,Places[#All],6,FALSE)</f>
        <v>16750</v>
      </c>
      <c r="E38"/>
      <c r="F38" s="44" t="s">
        <v>166</v>
      </c>
      <c r="G38" s="10">
        <v>184151.42263291139</v>
      </c>
      <c r="H38" s="199">
        <f>VLOOKUP(F38,Places[#All],7,FALSE)</f>
        <v>1.6</v>
      </c>
      <c r="I38" s="177">
        <f>VLOOKUP(F38,Places[#All],6,FALSE)</f>
        <v>16750</v>
      </c>
      <c r="J38"/>
      <c r="K38"/>
      <c r="L38"/>
      <c r="M38"/>
      <c r="N38"/>
      <c r="O38"/>
      <c r="P38"/>
      <c r="Q38"/>
      <c r="R38"/>
      <c r="S38"/>
      <c r="T38"/>
      <c r="U38"/>
      <c r="V38"/>
      <c r="W38"/>
      <c r="X38"/>
      <c r="Y38"/>
      <c r="Z38"/>
      <c r="AA38"/>
      <c r="AB38"/>
      <c r="AC38"/>
      <c r="AD38"/>
      <c r="AE38"/>
      <c r="AF38"/>
      <c r="AG38"/>
      <c r="AH38"/>
      <c r="AI38"/>
      <c r="AJ38"/>
      <c r="AK38"/>
    </row>
    <row r="39" spans="1:37" x14ac:dyDescent="0.25">
      <c r="A39" s="44" t="s">
        <v>180</v>
      </c>
      <c r="B39" s="10">
        <v>575990.79113924049</v>
      </c>
      <c r="C39" s="199">
        <f>VLOOKUP(A39,Places[#All],7,FALSE)</f>
        <v>9.6999999999999993</v>
      </c>
      <c r="D39" s="177">
        <f>VLOOKUP(A39,Places[#All],6,FALSE)</f>
        <v>49958</v>
      </c>
      <c r="E39"/>
      <c r="F39" s="44" t="s">
        <v>180</v>
      </c>
      <c r="G39" s="10">
        <v>575990.79113924049</v>
      </c>
      <c r="H39" s="199">
        <f>VLOOKUP(F39,Places[#All],7,FALSE)</f>
        <v>9.6999999999999993</v>
      </c>
      <c r="I39" s="177">
        <f>VLOOKUP(F39,Places[#All],6,FALSE)</f>
        <v>49958</v>
      </c>
      <c r="J39"/>
      <c r="K39"/>
      <c r="L39"/>
      <c r="M39"/>
      <c r="N39"/>
      <c r="O39"/>
      <c r="P39"/>
      <c r="Q39"/>
      <c r="R39"/>
      <c r="S39"/>
      <c r="T39"/>
      <c r="U39"/>
      <c r="V39"/>
      <c r="W39"/>
      <c r="X39"/>
      <c r="Y39"/>
      <c r="Z39"/>
      <c r="AA39"/>
      <c r="AB39"/>
      <c r="AC39"/>
      <c r="AD39"/>
      <c r="AE39"/>
      <c r="AF39"/>
      <c r="AG39"/>
      <c r="AH39"/>
      <c r="AI39"/>
      <c r="AJ39"/>
      <c r="AK39"/>
    </row>
    <row r="40" spans="1:37" x14ac:dyDescent="0.25">
      <c r="A40" s="44" t="s">
        <v>15</v>
      </c>
      <c r="B40" s="10">
        <v>26033100</v>
      </c>
      <c r="C40" s="199">
        <f>VLOOKUP(A40,Places[#All],7,FALSE)</f>
        <v>148.80000000000001</v>
      </c>
      <c r="D40" s="177">
        <f>VLOOKUP(A40,Places[#All],6,FALSE)</f>
        <v>383579</v>
      </c>
      <c r="E40"/>
      <c r="F40" s="44" t="s">
        <v>200</v>
      </c>
      <c r="G40" s="10">
        <v>4256492.3164556958</v>
      </c>
      <c r="H40" s="199">
        <f>VLOOKUP(F40,Places[#All],7,FALSE)</f>
        <v>6.6</v>
      </c>
      <c r="I40" s="177">
        <f>VLOOKUP(F40,Places[#All],6,FALSE)</f>
        <v>75813</v>
      </c>
      <c r="J40"/>
      <c r="K40"/>
      <c r="L40"/>
      <c r="M40"/>
      <c r="N40"/>
      <c r="O40"/>
      <c r="P40"/>
      <c r="Q40"/>
      <c r="R40"/>
      <c r="S40"/>
      <c r="T40"/>
      <c r="U40"/>
      <c r="V40"/>
      <c r="W40"/>
      <c r="X40"/>
      <c r="Y40"/>
      <c r="Z40"/>
      <c r="AA40"/>
      <c r="AB40"/>
      <c r="AC40"/>
      <c r="AD40"/>
      <c r="AE40"/>
      <c r="AF40"/>
      <c r="AG40"/>
      <c r="AH40"/>
      <c r="AI40"/>
      <c r="AJ40"/>
      <c r="AK40"/>
    </row>
    <row r="41" spans="1:37" x14ac:dyDescent="0.25">
      <c r="A41" s="44" t="s">
        <v>200</v>
      </c>
      <c r="B41" s="10">
        <v>4256492.3164556958</v>
      </c>
      <c r="C41" s="199">
        <f>VLOOKUP(A41,Places[#All],7,FALSE)</f>
        <v>6.6</v>
      </c>
      <c r="D41" s="177">
        <f>VLOOKUP(A41,Places[#All],6,FALSE)</f>
        <v>75813</v>
      </c>
      <c r="E41"/>
      <c r="F41" s="44" t="s">
        <v>227</v>
      </c>
      <c r="G41" s="10">
        <v>156745.14375000002</v>
      </c>
      <c r="H41" s="199">
        <f>VLOOKUP(F41,Places[#All],7,FALSE)</f>
        <v>30.7</v>
      </c>
      <c r="I41" s="177">
        <f>VLOOKUP(F41,Places[#All],6,FALSE)</f>
        <v>49241</v>
      </c>
      <c r="J41"/>
      <c r="K41"/>
      <c r="L41"/>
      <c r="M41"/>
      <c r="N41"/>
      <c r="O41"/>
      <c r="P41"/>
      <c r="Q41"/>
      <c r="R41"/>
      <c r="S41"/>
      <c r="T41"/>
      <c r="U41"/>
      <c r="V41"/>
      <c r="W41"/>
      <c r="X41"/>
      <c r="Y41"/>
      <c r="Z41"/>
      <c r="AA41"/>
      <c r="AB41"/>
      <c r="AC41"/>
      <c r="AD41"/>
      <c r="AE41"/>
      <c r="AF41"/>
      <c r="AG41"/>
      <c r="AH41"/>
      <c r="AI41"/>
      <c r="AJ41"/>
      <c r="AK41"/>
    </row>
    <row r="42" spans="1:37" x14ac:dyDescent="0.25">
      <c r="A42" s="44" t="s">
        <v>227</v>
      </c>
      <c r="B42" s="10">
        <v>156745.14375000002</v>
      </c>
      <c r="C42" s="199">
        <f>VLOOKUP(A42,Places[#All],7,FALSE)</f>
        <v>30.7</v>
      </c>
      <c r="D42" s="177">
        <f>VLOOKUP(A42,Places[#All],6,FALSE)</f>
        <v>49241</v>
      </c>
      <c r="E42"/>
      <c r="F42" s="44" t="s">
        <v>159</v>
      </c>
      <c r="G42" s="10">
        <v>289853.43037974683</v>
      </c>
      <c r="H42" s="199">
        <f>VLOOKUP(F42,Places[#All],7,FALSE)</f>
        <v>2.5</v>
      </c>
      <c r="I42" s="177">
        <f>VLOOKUP(F42,Places[#All],6,FALSE)</f>
        <v>35728</v>
      </c>
      <c r="J42"/>
      <c r="K42"/>
      <c r="L42"/>
      <c r="M42"/>
      <c r="N42"/>
      <c r="O42"/>
      <c r="P42"/>
      <c r="Q42"/>
      <c r="R42"/>
      <c r="S42"/>
      <c r="T42"/>
      <c r="U42"/>
      <c r="V42"/>
      <c r="W42"/>
      <c r="X42"/>
      <c r="Y42"/>
      <c r="Z42"/>
      <c r="AA42"/>
      <c r="AB42"/>
      <c r="AC42"/>
      <c r="AD42"/>
      <c r="AE42"/>
      <c r="AF42"/>
      <c r="AG42"/>
      <c r="AH42"/>
      <c r="AI42"/>
      <c r="AJ42"/>
      <c r="AK42"/>
    </row>
    <row r="43" spans="1:37" x14ac:dyDescent="0.25">
      <c r="A43" s="44" t="s">
        <v>159</v>
      </c>
      <c r="B43" s="10">
        <v>289853.43037974683</v>
      </c>
      <c r="C43" s="199">
        <f>VLOOKUP(A43,Places[#All],7,FALSE)</f>
        <v>2.5</v>
      </c>
      <c r="D43" s="177">
        <f>VLOOKUP(A43,Places[#All],6,FALSE)</f>
        <v>35728</v>
      </c>
      <c r="E43"/>
      <c r="F43" s="44" t="s">
        <v>160</v>
      </c>
      <c r="G43" s="10">
        <v>347143.54484810127</v>
      </c>
      <c r="H43" s="199">
        <f>VLOOKUP(F43,Places[#All],7,FALSE)</f>
        <v>6.1</v>
      </c>
      <c r="I43" s="177">
        <f>VLOOKUP(F43,Places[#All],6,FALSE)</f>
        <v>77131</v>
      </c>
      <c r="J43"/>
      <c r="K43"/>
      <c r="L43"/>
      <c r="M43"/>
      <c r="N43"/>
      <c r="O43"/>
      <c r="P43"/>
      <c r="Q43"/>
      <c r="R43"/>
      <c r="S43"/>
      <c r="T43"/>
      <c r="U43"/>
      <c r="V43"/>
      <c r="W43"/>
      <c r="X43"/>
      <c r="Y43"/>
      <c r="Z43"/>
      <c r="AA43"/>
      <c r="AB43"/>
      <c r="AC43"/>
      <c r="AD43"/>
      <c r="AE43"/>
      <c r="AF43"/>
      <c r="AG43"/>
      <c r="AH43"/>
      <c r="AI43"/>
      <c r="AJ43"/>
      <c r="AK43"/>
    </row>
    <row r="44" spans="1:37" x14ac:dyDescent="0.25">
      <c r="A44" s="44" t="s">
        <v>160</v>
      </c>
      <c r="B44" s="10">
        <v>347143.54484810127</v>
      </c>
      <c r="C44" s="199">
        <f>VLOOKUP(A44,Places[#All],7,FALSE)</f>
        <v>6.1</v>
      </c>
      <c r="D44" s="177">
        <f>VLOOKUP(A44,Places[#All],6,FALSE)</f>
        <v>77131</v>
      </c>
      <c r="E44"/>
      <c r="F44" s="44" t="s">
        <v>428</v>
      </c>
      <c r="G44" s="10">
        <v>6566244.7263157899</v>
      </c>
      <c r="H44" s="199">
        <f>VLOOKUP(F44,Places[#All],7,FALSE)</f>
        <v>10.5</v>
      </c>
      <c r="I44" s="177">
        <f>VLOOKUP(F44,Places[#All],6,FALSE)</f>
        <v>121643</v>
      </c>
      <c r="J44"/>
      <c r="K44"/>
      <c r="L44"/>
      <c r="M44"/>
      <c r="N44"/>
      <c r="O44"/>
      <c r="P44"/>
      <c r="Q44"/>
      <c r="R44"/>
      <c r="S44"/>
      <c r="T44"/>
      <c r="U44"/>
      <c r="V44"/>
      <c r="W44"/>
      <c r="X44"/>
      <c r="Y44"/>
      <c r="Z44"/>
      <c r="AA44"/>
      <c r="AB44"/>
      <c r="AC44"/>
      <c r="AD44"/>
      <c r="AE44"/>
      <c r="AF44"/>
      <c r="AG44"/>
      <c r="AH44"/>
      <c r="AI44"/>
      <c r="AJ44"/>
      <c r="AK44"/>
    </row>
    <row r="45" spans="1:37" x14ac:dyDescent="0.25">
      <c r="A45" s="44" t="s">
        <v>428</v>
      </c>
      <c r="B45" s="10">
        <v>6566244.7263157899</v>
      </c>
      <c r="C45" s="199">
        <f>VLOOKUP(A45,Places[#All],7,FALSE)</f>
        <v>10.5</v>
      </c>
      <c r="D45" s="177">
        <f>VLOOKUP(A45,Places[#All],6,FALSE)</f>
        <v>121643</v>
      </c>
      <c r="E45"/>
      <c r="F45" s="44" t="s">
        <v>218</v>
      </c>
      <c r="G45" s="10">
        <v>3958406.1992658228</v>
      </c>
      <c r="H45" s="199">
        <f>VLOOKUP(F45,Places[#All],7,FALSE)</f>
        <v>5.7</v>
      </c>
      <c r="I45" s="177">
        <f>VLOOKUP(F45,Places[#All],6,FALSE)</f>
        <v>34183</v>
      </c>
      <c r="J45"/>
      <c r="K45"/>
      <c r="L45"/>
      <c r="M45"/>
      <c r="N45"/>
      <c r="O45"/>
      <c r="P45"/>
      <c r="Q45"/>
      <c r="R45"/>
      <c r="S45"/>
      <c r="T45"/>
      <c r="U45"/>
      <c r="V45"/>
      <c r="W45"/>
      <c r="X45"/>
      <c r="Y45"/>
      <c r="Z45"/>
      <c r="AA45"/>
      <c r="AB45"/>
      <c r="AC45"/>
      <c r="AD45"/>
      <c r="AE45"/>
      <c r="AF45"/>
      <c r="AG45"/>
      <c r="AH45"/>
      <c r="AI45"/>
      <c r="AJ45"/>
      <c r="AK45"/>
    </row>
    <row r="46" spans="1:37" x14ac:dyDescent="0.25">
      <c r="A46" s="44" t="s">
        <v>218</v>
      </c>
      <c r="B46" s="10">
        <v>3958406.1992658228</v>
      </c>
      <c r="C46" s="199">
        <f>VLOOKUP(A46,Places[#All],7,FALSE)</f>
        <v>5.7</v>
      </c>
      <c r="D46" s="177">
        <f>VLOOKUP(A46,Places[#All],6,FALSE)</f>
        <v>34183</v>
      </c>
      <c r="E46"/>
      <c r="F46" s="44" t="s">
        <v>240</v>
      </c>
      <c r="G46" s="10">
        <v>1704116.9961977187</v>
      </c>
      <c r="H46" s="199">
        <f>VLOOKUP(F46,Places[#All],7,FALSE)</f>
        <v>6.3</v>
      </c>
      <c r="I46" s="177">
        <f>VLOOKUP(F46,Places[#All],6,FALSE)</f>
        <v>5281</v>
      </c>
      <c r="J46"/>
      <c r="K46"/>
      <c r="L46"/>
      <c r="M46"/>
      <c r="N46"/>
      <c r="O46"/>
      <c r="P46"/>
      <c r="Q46"/>
      <c r="R46"/>
      <c r="S46"/>
      <c r="T46"/>
      <c r="U46"/>
      <c r="V46"/>
      <c r="W46"/>
      <c r="X46"/>
      <c r="Y46"/>
      <c r="Z46"/>
      <c r="AA46"/>
      <c r="AB46"/>
      <c r="AC46"/>
      <c r="AD46"/>
      <c r="AE46"/>
      <c r="AF46"/>
      <c r="AG46"/>
      <c r="AH46"/>
      <c r="AI46"/>
      <c r="AJ46"/>
      <c r="AK46"/>
    </row>
    <row r="47" spans="1:37" x14ac:dyDescent="0.25">
      <c r="A47" s="44" t="s">
        <v>240</v>
      </c>
      <c r="B47" s="10">
        <v>1704116.9961977187</v>
      </c>
      <c r="C47" s="199">
        <f>VLOOKUP(A47,Places[#All],7,FALSE)</f>
        <v>6.3</v>
      </c>
      <c r="D47" s="177">
        <f>VLOOKUP(A47,Places[#All],6,FALSE)</f>
        <v>5281</v>
      </c>
      <c r="E47"/>
      <c r="F47" s="44" t="s">
        <v>181</v>
      </c>
      <c r="G47" s="10">
        <v>353557.48101265822</v>
      </c>
      <c r="H47" s="199">
        <f>VLOOKUP(F47,Places[#All],7,FALSE)</f>
        <v>2</v>
      </c>
      <c r="I47" s="177">
        <f>VLOOKUP(F47,Places[#All],6,FALSE)</f>
        <v>1084</v>
      </c>
      <c r="J47"/>
      <c r="K47"/>
      <c r="L47"/>
      <c r="M47"/>
      <c r="N47"/>
      <c r="O47"/>
      <c r="P47"/>
      <c r="Q47"/>
      <c r="R47"/>
      <c r="S47"/>
      <c r="T47"/>
      <c r="U47"/>
      <c r="V47"/>
      <c r="W47"/>
      <c r="X47"/>
      <c r="Y47"/>
      <c r="Z47"/>
      <c r="AA47"/>
      <c r="AB47"/>
      <c r="AC47"/>
      <c r="AD47"/>
      <c r="AE47"/>
      <c r="AF47"/>
      <c r="AG47"/>
      <c r="AH47"/>
      <c r="AI47"/>
      <c r="AJ47"/>
      <c r="AK47"/>
    </row>
    <row r="48" spans="1:37" x14ac:dyDescent="0.25">
      <c r="A48" s="44" t="s">
        <v>181</v>
      </c>
      <c r="B48" s="10">
        <v>353557.48101265822</v>
      </c>
      <c r="C48" s="199">
        <f>VLOOKUP(A48,Places[#All],7,FALSE)</f>
        <v>2</v>
      </c>
      <c r="D48" s="177">
        <f>VLOOKUP(A48,Places[#All],6,FALSE)</f>
        <v>1084</v>
      </c>
      <c r="E48"/>
      <c r="F48" s="44" t="s">
        <v>266</v>
      </c>
      <c r="G48" s="10">
        <v>671792.25298136647</v>
      </c>
      <c r="H48" s="199">
        <f>VLOOKUP(F48,Places[#All],7,FALSE)</f>
        <v>12.2</v>
      </c>
      <c r="I48" s="177">
        <f>VLOOKUP(F48,Places[#All],6,FALSE)</f>
        <v>43601</v>
      </c>
      <c r="J48"/>
      <c r="K48"/>
      <c r="L48"/>
      <c r="M48"/>
      <c r="N48"/>
      <c r="O48"/>
      <c r="P48"/>
      <c r="Q48"/>
      <c r="R48"/>
      <c r="S48"/>
      <c r="T48"/>
      <c r="U48"/>
      <c r="V48"/>
      <c r="W48"/>
      <c r="X48"/>
      <c r="Y48"/>
      <c r="Z48"/>
      <c r="AA48"/>
      <c r="AB48"/>
      <c r="AC48"/>
      <c r="AD48"/>
      <c r="AE48"/>
      <c r="AF48"/>
      <c r="AG48"/>
      <c r="AH48"/>
      <c r="AI48"/>
      <c r="AJ48"/>
      <c r="AK48"/>
    </row>
    <row r="49" spans="1:37" x14ac:dyDescent="0.25">
      <c r="A49" s="44" t="s">
        <v>266</v>
      </c>
      <c r="B49" s="10">
        <v>671792.25298136647</v>
      </c>
      <c r="C49" s="199">
        <f>VLOOKUP(A49,Places[#All],7,FALSE)</f>
        <v>12.2</v>
      </c>
      <c r="D49" s="177">
        <f>VLOOKUP(A49,Places[#All],6,FALSE)</f>
        <v>43601</v>
      </c>
      <c r="E49"/>
      <c r="F49" s="44" t="s">
        <v>267</v>
      </c>
      <c r="G49" s="10">
        <v>368708.32580463012</v>
      </c>
      <c r="H49" s="199">
        <f>VLOOKUP(F49,Places[#All],7,FALSE)</f>
        <v>10.5</v>
      </c>
      <c r="I49" s="177">
        <f>VLOOKUP(F49,Places[#All],6,FALSE)</f>
        <v>82421</v>
      </c>
      <c r="J49"/>
      <c r="K49"/>
      <c r="L49"/>
      <c r="M49"/>
      <c r="N49"/>
      <c r="O49"/>
      <c r="P49"/>
      <c r="Q49"/>
      <c r="R49"/>
      <c r="S49"/>
      <c r="T49"/>
      <c r="U49"/>
      <c r="V49"/>
      <c r="W49"/>
      <c r="X49"/>
      <c r="Y49"/>
      <c r="Z49"/>
      <c r="AA49"/>
      <c r="AB49"/>
      <c r="AC49"/>
      <c r="AD49"/>
      <c r="AE49"/>
      <c r="AF49"/>
      <c r="AG49"/>
      <c r="AH49"/>
      <c r="AI49"/>
      <c r="AJ49"/>
      <c r="AK49"/>
    </row>
    <row r="50" spans="1:37" x14ac:dyDescent="0.25">
      <c r="A50" s="44" t="s">
        <v>267</v>
      </c>
      <c r="B50" s="10">
        <v>368708.32580463012</v>
      </c>
      <c r="C50" s="199">
        <f>VLOOKUP(A50,Places[#All],7,FALSE)</f>
        <v>10.5</v>
      </c>
      <c r="D50" s="177">
        <f>VLOOKUP(A50,Places[#All],6,FALSE)</f>
        <v>82421</v>
      </c>
      <c r="E50"/>
      <c r="F50" s="44" t="s">
        <v>188</v>
      </c>
      <c r="G50" s="10">
        <v>3833761.7920632907</v>
      </c>
      <c r="H50" s="199">
        <f>VLOOKUP(F50,Places[#All],7,FALSE)</f>
        <v>17.399999999999999</v>
      </c>
      <c r="I50" s="177">
        <f>VLOOKUP(F50,Places[#All],6,FALSE)</f>
        <v>103695</v>
      </c>
      <c r="J50"/>
      <c r="K50"/>
      <c r="L50"/>
      <c r="M50"/>
      <c r="N50"/>
      <c r="O50"/>
      <c r="P50"/>
      <c r="Q50"/>
      <c r="R50"/>
      <c r="S50"/>
      <c r="T50"/>
      <c r="U50"/>
      <c r="V50"/>
      <c r="W50"/>
      <c r="X50"/>
      <c r="Y50"/>
      <c r="Z50"/>
      <c r="AA50"/>
      <c r="AB50"/>
      <c r="AC50"/>
      <c r="AD50"/>
      <c r="AE50"/>
      <c r="AF50"/>
      <c r="AG50"/>
      <c r="AH50"/>
      <c r="AI50"/>
      <c r="AJ50"/>
      <c r="AK50"/>
    </row>
    <row r="51" spans="1:37" x14ac:dyDescent="0.25">
      <c r="A51" s="44" t="s">
        <v>188</v>
      </c>
      <c r="B51" s="10">
        <v>3833761.7920632907</v>
      </c>
      <c r="C51" s="199">
        <f>VLOOKUP(A51,Places[#All],7,FALSE)</f>
        <v>17.399999999999999</v>
      </c>
      <c r="D51" s="177">
        <f>VLOOKUP(A51,Places[#All],6,FALSE)</f>
        <v>103695</v>
      </c>
      <c r="E51"/>
      <c r="F51" s="44" t="s">
        <v>172</v>
      </c>
      <c r="G51" s="10">
        <v>1144549.4430379746</v>
      </c>
      <c r="H51" s="199">
        <f>VLOOKUP(F51,Places[#All],7,FALSE)</f>
        <v>13.7</v>
      </c>
      <c r="I51" s="177">
        <f>VLOOKUP(F51,Places[#All],6,FALSE)</f>
        <v>23954</v>
      </c>
      <c r="J51"/>
      <c r="K51"/>
      <c r="L51"/>
      <c r="M51"/>
      <c r="N51"/>
      <c r="O51"/>
      <c r="P51"/>
      <c r="Q51"/>
      <c r="R51"/>
      <c r="S51"/>
      <c r="T51"/>
      <c r="U51"/>
      <c r="V51"/>
      <c r="W51"/>
      <c r="X51"/>
      <c r="Y51"/>
      <c r="Z51"/>
      <c r="AA51"/>
      <c r="AB51"/>
      <c r="AC51"/>
      <c r="AD51"/>
      <c r="AE51"/>
      <c r="AF51"/>
      <c r="AG51"/>
      <c r="AH51"/>
      <c r="AI51"/>
      <c r="AJ51"/>
      <c r="AK51"/>
    </row>
    <row r="52" spans="1:37" x14ac:dyDescent="0.25">
      <c r="A52" s="44" t="s">
        <v>172</v>
      </c>
      <c r="B52" s="10">
        <v>1144549.4430379746</v>
      </c>
      <c r="C52" s="199">
        <f>VLOOKUP(A52,Places[#All],7,FALSE)</f>
        <v>13.7</v>
      </c>
      <c r="D52" s="177">
        <f>VLOOKUP(A52,Places[#All],6,FALSE)</f>
        <v>23954</v>
      </c>
      <c r="E52"/>
      <c r="F52" s="44" t="s">
        <v>228</v>
      </c>
      <c r="G52" s="10">
        <v>66068.990253000011</v>
      </c>
      <c r="H52" s="199">
        <f>VLOOKUP(F52,Places[#All],7,FALSE)</f>
        <v>14.9</v>
      </c>
      <c r="I52" s="177">
        <f>VLOOKUP(F52,Places[#All],6,FALSE)</f>
        <v>8937</v>
      </c>
      <c r="J52"/>
      <c r="K52"/>
      <c r="L52"/>
      <c r="M52"/>
      <c r="N52"/>
      <c r="O52"/>
      <c r="P52"/>
      <c r="Q52"/>
      <c r="R52"/>
      <c r="S52"/>
      <c r="T52"/>
      <c r="U52"/>
      <c r="V52"/>
      <c r="W52"/>
      <c r="X52"/>
      <c r="Y52"/>
      <c r="Z52"/>
      <c r="AA52"/>
      <c r="AB52"/>
      <c r="AC52"/>
      <c r="AD52"/>
      <c r="AE52"/>
      <c r="AF52"/>
      <c r="AG52"/>
      <c r="AH52"/>
      <c r="AI52"/>
      <c r="AJ52"/>
      <c r="AK52"/>
    </row>
    <row r="53" spans="1:37" x14ac:dyDescent="0.25">
      <c r="A53" s="44" t="s">
        <v>228</v>
      </c>
      <c r="B53" s="10">
        <v>66068.990253000011</v>
      </c>
      <c r="C53" s="199">
        <f>VLOOKUP(A53,Places[#All],7,FALSE)</f>
        <v>14.9</v>
      </c>
      <c r="D53" s="177">
        <f>VLOOKUP(A53,Places[#All],6,FALSE)</f>
        <v>8937</v>
      </c>
      <c r="E53"/>
      <c r="F53" s="44" t="s">
        <v>229</v>
      </c>
      <c r="G53" s="10">
        <v>143238.27317062503</v>
      </c>
      <c r="H53" s="199">
        <f>VLOOKUP(F53,Places[#All],7,FALSE)</f>
        <v>3.9</v>
      </c>
      <c r="I53" s="177">
        <f>VLOOKUP(F53,Places[#All],6,FALSE)</f>
        <v>11267</v>
      </c>
      <c r="J53"/>
      <c r="K53"/>
      <c r="L53"/>
      <c r="M53"/>
      <c r="N53"/>
      <c r="O53"/>
      <c r="P53"/>
      <c r="Q53"/>
      <c r="R53"/>
      <c r="S53"/>
      <c r="T53"/>
      <c r="U53"/>
      <c r="V53"/>
      <c r="W53"/>
      <c r="X53"/>
      <c r="Y53"/>
      <c r="Z53"/>
      <c r="AA53"/>
      <c r="AB53"/>
      <c r="AC53"/>
      <c r="AD53"/>
      <c r="AE53"/>
      <c r="AF53"/>
      <c r="AG53"/>
      <c r="AH53"/>
      <c r="AI53"/>
      <c r="AJ53"/>
      <c r="AK53"/>
    </row>
    <row r="54" spans="1:37" x14ac:dyDescent="0.25">
      <c r="A54" s="44" t="s">
        <v>229</v>
      </c>
      <c r="B54" s="10">
        <v>143238.27317062503</v>
      </c>
      <c r="C54" s="199">
        <f>VLOOKUP(A54,Places[#All],7,FALSE)</f>
        <v>3.9</v>
      </c>
      <c r="D54" s="177">
        <f>VLOOKUP(A54,Places[#All],6,FALSE)</f>
        <v>11267</v>
      </c>
      <c r="E54"/>
      <c r="F54" s="44" t="s">
        <v>302</v>
      </c>
      <c r="G54" s="10">
        <v>3156292.5366462674</v>
      </c>
      <c r="H54" s="199">
        <f>VLOOKUP(F54,Places[#All],7,FALSE)</f>
        <v>37.700000000000003</v>
      </c>
      <c r="I54" s="177">
        <f>VLOOKUP(F54,Places[#All],6,FALSE)</f>
        <v>115877</v>
      </c>
      <c r="J54"/>
      <c r="K54"/>
      <c r="L54"/>
      <c r="M54"/>
      <c r="N54"/>
      <c r="O54"/>
      <c r="P54"/>
      <c r="Q54"/>
      <c r="R54"/>
      <c r="S54"/>
      <c r="T54"/>
      <c r="U54"/>
      <c r="V54"/>
      <c r="W54"/>
      <c r="X54"/>
      <c r="Y54"/>
      <c r="Z54"/>
      <c r="AA54"/>
      <c r="AB54"/>
      <c r="AC54"/>
      <c r="AD54"/>
      <c r="AE54"/>
      <c r="AF54"/>
      <c r="AG54"/>
      <c r="AH54"/>
      <c r="AI54"/>
      <c r="AJ54"/>
      <c r="AK54"/>
    </row>
    <row r="55" spans="1:37" x14ac:dyDescent="0.25">
      <c r="A55" s="44" t="s">
        <v>302</v>
      </c>
      <c r="B55" s="10">
        <v>3156292.5366462674</v>
      </c>
      <c r="C55" s="199">
        <f>VLOOKUP(A55,Places[#All],7,FALSE)</f>
        <v>37.700000000000003</v>
      </c>
      <c r="D55" s="177">
        <f>VLOOKUP(A55,Places[#All],6,FALSE)</f>
        <v>115877</v>
      </c>
      <c r="E55"/>
      <c r="F55" s="44" t="s">
        <v>221</v>
      </c>
      <c r="G55" s="10">
        <v>1318833.1082278481</v>
      </c>
      <c r="H55" s="199">
        <f>VLOOKUP(F55,Places[#All],7,FALSE)</f>
        <v>18.7</v>
      </c>
      <c r="I55" s="177">
        <f>VLOOKUP(F55,Places[#All],6,FALSE)</f>
        <v>91909</v>
      </c>
      <c r="J55"/>
      <c r="K55"/>
      <c r="L55"/>
      <c r="M55"/>
      <c r="N55"/>
      <c r="O55"/>
      <c r="P55"/>
      <c r="Q55"/>
      <c r="R55"/>
      <c r="S55"/>
      <c r="T55"/>
      <c r="U55"/>
      <c r="V55"/>
      <c r="W55"/>
      <c r="X55"/>
      <c r="Y55"/>
      <c r="Z55"/>
      <c r="AA55"/>
      <c r="AB55"/>
      <c r="AC55"/>
      <c r="AD55"/>
      <c r="AE55"/>
      <c r="AF55"/>
      <c r="AG55"/>
      <c r="AH55"/>
      <c r="AI55"/>
      <c r="AJ55"/>
      <c r="AK55"/>
    </row>
    <row r="56" spans="1:37" x14ac:dyDescent="0.25">
      <c r="A56" s="44" t="s">
        <v>221</v>
      </c>
      <c r="B56" s="10">
        <v>1318833.1082278481</v>
      </c>
      <c r="C56" s="199">
        <f>VLOOKUP(A56,Places[#All],7,FALSE)</f>
        <v>18.7</v>
      </c>
      <c r="D56" s="177">
        <f>VLOOKUP(A56,Places[#All],6,FALSE)</f>
        <v>91909</v>
      </c>
      <c r="E56"/>
      <c r="F56" s="44" t="s">
        <v>161</v>
      </c>
      <c r="G56" s="10">
        <v>892265.47651898733</v>
      </c>
      <c r="H56" s="199">
        <f>VLOOKUP(F56,Places[#All],7,FALSE)</f>
        <v>8.6999999999999993</v>
      </c>
      <c r="I56" s="177">
        <f>VLOOKUP(F56,Places[#All],6,FALSE)</f>
        <v>50462</v>
      </c>
      <c r="J56"/>
      <c r="K56"/>
      <c r="L56"/>
      <c r="M56"/>
      <c r="N56"/>
      <c r="O56"/>
      <c r="P56"/>
      <c r="Q56"/>
      <c r="R56"/>
      <c r="S56"/>
      <c r="T56"/>
      <c r="U56"/>
      <c r="V56"/>
      <c r="W56"/>
      <c r="X56"/>
      <c r="Y56"/>
      <c r="Z56"/>
      <c r="AA56"/>
      <c r="AB56"/>
      <c r="AC56"/>
      <c r="AD56"/>
      <c r="AE56"/>
      <c r="AF56"/>
      <c r="AG56"/>
      <c r="AH56"/>
      <c r="AI56"/>
      <c r="AJ56"/>
      <c r="AK56"/>
    </row>
    <row r="57" spans="1:37" x14ac:dyDescent="0.25">
      <c r="A57" s="44" t="s">
        <v>161</v>
      </c>
      <c r="B57" s="10">
        <v>892265.47651898733</v>
      </c>
      <c r="C57" s="199">
        <f>VLOOKUP(A57,Places[#All],7,FALSE)</f>
        <v>8.6999999999999993</v>
      </c>
      <c r="D57" s="177">
        <f>VLOOKUP(A57,Places[#All],6,FALSE)</f>
        <v>50462</v>
      </c>
      <c r="E57"/>
      <c r="F57" s="44" t="s">
        <v>241</v>
      </c>
      <c r="G57" s="10">
        <v>546737.71346007613</v>
      </c>
      <c r="H57" s="199">
        <f>VLOOKUP(F57,Places[#All],7,FALSE)</f>
        <v>29.7</v>
      </c>
      <c r="I57" s="177">
        <f>VLOOKUP(F57,Places[#All],6,FALSE)</f>
        <v>91583</v>
      </c>
      <c r="J57"/>
      <c r="K57"/>
      <c r="L57"/>
      <c r="M57"/>
      <c r="N57"/>
      <c r="O57"/>
      <c r="P57"/>
      <c r="Q57"/>
      <c r="R57"/>
      <c r="S57"/>
      <c r="T57"/>
      <c r="U57"/>
      <c r="V57"/>
      <c r="W57"/>
      <c r="X57"/>
      <c r="Y57"/>
      <c r="Z57"/>
      <c r="AA57"/>
      <c r="AB57"/>
      <c r="AC57"/>
      <c r="AD57"/>
      <c r="AE57"/>
      <c r="AF57"/>
      <c r="AG57"/>
      <c r="AH57"/>
      <c r="AI57"/>
      <c r="AJ57"/>
      <c r="AK57"/>
    </row>
    <row r="58" spans="1:37" x14ac:dyDescent="0.25">
      <c r="A58" s="44" t="s">
        <v>241</v>
      </c>
      <c r="B58" s="10">
        <v>546737.71346007613</v>
      </c>
      <c r="C58" s="199">
        <f>VLOOKUP(A58,Places[#All],7,FALSE)</f>
        <v>29.7</v>
      </c>
      <c r="D58" s="177">
        <f>VLOOKUP(A58,Places[#All],6,FALSE)</f>
        <v>91583</v>
      </c>
      <c r="E58"/>
      <c r="F58" s="44" t="s">
        <v>242</v>
      </c>
      <c r="G58" s="10">
        <v>427421.99477351917</v>
      </c>
      <c r="H58" s="199">
        <f>VLOOKUP(F58,Places[#All],7,FALSE)</f>
        <v>44.7</v>
      </c>
      <c r="I58" s="177">
        <f>VLOOKUP(F58,Places[#All],6,FALSE)</f>
        <v>83447</v>
      </c>
      <c r="J58"/>
      <c r="K58"/>
      <c r="L58"/>
      <c r="M58"/>
      <c r="N58"/>
      <c r="O58"/>
      <c r="P58"/>
      <c r="Q58"/>
      <c r="R58"/>
      <c r="S58"/>
      <c r="T58"/>
      <c r="U58"/>
      <c r="V58"/>
      <c r="W58"/>
      <c r="X58"/>
      <c r="Y58"/>
      <c r="Z58"/>
      <c r="AA58"/>
      <c r="AB58"/>
      <c r="AC58"/>
      <c r="AD58"/>
      <c r="AE58"/>
      <c r="AF58"/>
      <c r="AG58"/>
      <c r="AH58"/>
      <c r="AI58"/>
      <c r="AJ58"/>
      <c r="AK58"/>
    </row>
    <row r="59" spans="1:37" x14ac:dyDescent="0.25">
      <c r="A59" s="44" t="s">
        <v>242</v>
      </c>
      <c r="B59" s="10">
        <v>427421.99477351917</v>
      </c>
      <c r="C59" s="199">
        <f>VLOOKUP(A59,Places[#All],7,FALSE)</f>
        <v>44.7</v>
      </c>
      <c r="D59" s="177">
        <f>VLOOKUP(A59,Places[#All],6,FALSE)</f>
        <v>83447</v>
      </c>
      <c r="E59"/>
      <c r="F59" s="44" t="s">
        <v>310</v>
      </c>
      <c r="G59" s="10">
        <v>2859532.2200489598</v>
      </c>
      <c r="H59" s="199">
        <f>VLOOKUP(F59,Places[#All],7,FALSE)</f>
        <v>49.6</v>
      </c>
      <c r="I59" s="177">
        <f>VLOOKUP(F59,Places[#All],6,FALSE)</f>
        <v>271651</v>
      </c>
      <c r="J59"/>
      <c r="K59"/>
      <c r="L59"/>
      <c r="M59"/>
      <c r="N59"/>
      <c r="O59"/>
      <c r="P59"/>
      <c r="Q59"/>
      <c r="R59"/>
      <c r="S59"/>
      <c r="T59"/>
      <c r="U59"/>
      <c r="V59"/>
      <c r="W59"/>
      <c r="X59"/>
      <c r="Y59"/>
      <c r="Z59"/>
      <c r="AA59"/>
      <c r="AB59"/>
      <c r="AC59"/>
      <c r="AD59"/>
      <c r="AE59"/>
      <c r="AF59"/>
      <c r="AG59"/>
      <c r="AH59"/>
      <c r="AI59"/>
      <c r="AJ59"/>
      <c r="AK59"/>
    </row>
    <row r="60" spans="1:37" x14ac:dyDescent="0.25">
      <c r="A60" s="44" t="s">
        <v>310</v>
      </c>
      <c r="B60" s="10">
        <v>2859532.2200489598</v>
      </c>
      <c r="C60" s="199">
        <f>VLOOKUP(A60,Places[#All],7,FALSE)</f>
        <v>49.6</v>
      </c>
      <c r="D60" s="177">
        <f>VLOOKUP(A60,Places[#All],6,FALSE)</f>
        <v>271651</v>
      </c>
      <c r="E60"/>
      <c r="F60" s="44" t="s">
        <v>138</v>
      </c>
      <c r="G60" s="10">
        <v>4217208.1518987343</v>
      </c>
      <c r="H60" s="199">
        <f>VLOOKUP(F60,Places[#All],7,FALSE)</f>
        <v>14.2</v>
      </c>
      <c r="I60" s="177">
        <f>VLOOKUP(F60,Places[#All],6,FALSE)</f>
        <v>87910</v>
      </c>
      <c r="J60"/>
      <c r="K60"/>
      <c r="L60"/>
      <c r="M60"/>
      <c r="N60"/>
      <c r="O60"/>
      <c r="P60"/>
      <c r="Q60"/>
      <c r="R60"/>
      <c r="S60"/>
      <c r="T60"/>
      <c r="U60"/>
      <c r="V60"/>
      <c r="W60"/>
      <c r="X60"/>
      <c r="Y60"/>
      <c r="Z60"/>
      <c r="AA60"/>
      <c r="AB60"/>
      <c r="AC60"/>
      <c r="AD60"/>
      <c r="AE60"/>
      <c r="AF60"/>
      <c r="AG60"/>
      <c r="AH60"/>
      <c r="AI60"/>
      <c r="AJ60"/>
      <c r="AK60"/>
    </row>
    <row r="61" spans="1:37" x14ac:dyDescent="0.25">
      <c r="A61" s="44" t="s">
        <v>138</v>
      </c>
      <c r="B61" s="10">
        <v>4217208.1518987343</v>
      </c>
      <c r="C61" s="199">
        <f>VLOOKUP(A61,Places[#All],7,FALSE)</f>
        <v>14.2</v>
      </c>
      <c r="D61" s="177">
        <f>VLOOKUP(A61,Places[#All],6,FALSE)</f>
        <v>87910</v>
      </c>
      <c r="E61"/>
      <c r="F61" s="44" t="s">
        <v>152</v>
      </c>
      <c r="G61" s="10">
        <v>6952375.5413164552</v>
      </c>
      <c r="H61" s="199">
        <f>VLOOKUP(F61,Places[#All],7,FALSE)</f>
        <v>13.4</v>
      </c>
      <c r="I61" s="177">
        <f>VLOOKUP(F61,Places[#All],6,FALSE)</f>
        <v>36478</v>
      </c>
      <c r="J61"/>
      <c r="K61"/>
      <c r="L61"/>
      <c r="M61"/>
      <c r="N61"/>
      <c r="O61"/>
      <c r="P61"/>
      <c r="Q61"/>
      <c r="R61"/>
      <c r="S61"/>
      <c r="T61"/>
      <c r="U61"/>
      <c r="V61"/>
      <c r="W61"/>
      <c r="X61"/>
      <c r="Y61"/>
      <c r="Z61"/>
      <c r="AA61"/>
      <c r="AB61"/>
      <c r="AC61"/>
      <c r="AD61"/>
      <c r="AE61"/>
      <c r="AF61"/>
      <c r="AG61"/>
      <c r="AH61"/>
      <c r="AI61"/>
      <c r="AJ61"/>
      <c r="AK61"/>
    </row>
    <row r="62" spans="1:37" x14ac:dyDescent="0.25">
      <c r="A62" s="44" t="s">
        <v>152</v>
      </c>
      <c r="B62" s="10">
        <v>6952375.5413164552</v>
      </c>
      <c r="C62" s="199">
        <f>VLOOKUP(A62,Places[#All],7,FALSE)</f>
        <v>13.4</v>
      </c>
      <c r="D62" s="177">
        <f>VLOOKUP(A62,Places[#All],6,FALSE)</f>
        <v>36478</v>
      </c>
      <c r="E62"/>
      <c r="F62" s="44" t="s">
        <v>123</v>
      </c>
      <c r="G62" s="10">
        <v>2146083.2924050633</v>
      </c>
      <c r="H62" s="199">
        <f>VLOOKUP(F62,Places[#All],7,FALSE)</f>
        <v>24.2</v>
      </c>
      <c r="I62" s="177">
        <f>VLOOKUP(F62,Places[#All],6,FALSE)</f>
        <v>112022</v>
      </c>
      <c r="J62"/>
      <c r="K62"/>
      <c r="L62"/>
      <c r="M62"/>
      <c r="N62"/>
      <c r="O62"/>
      <c r="P62"/>
      <c r="Q62"/>
      <c r="R62"/>
      <c r="S62"/>
      <c r="T62"/>
      <c r="U62"/>
      <c r="V62"/>
      <c r="W62"/>
      <c r="X62"/>
      <c r="Y62"/>
      <c r="Z62"/>
      <c r="AA62"/>
      <c r="AB62"/>
      <c r="AC62"/>
      <c r="AD62"/>
      <c r="AE62"/>
      <c r="AF62"/>
      <c r="AG62"/>
      <c r="AH62"/>
      <c r="AI62"/>
      <c r="AJ62"/>
      <c r="AK62"/>
    </row>
    <row r="63" spans="1:37" x14ac:dyDescent="0.25">
      <c r="A63" s="44" t="s">
        <v>123</v>
      </c>
      <c r="B63" s="10">
        <v>2146083.2924050633</v>
      </c>
      <c r="C63" s="199">
        <f>VLOOKUP(A63,Places[#All],7,FALSE)</f>
        <v>24.2</v>
      </c>
      <c r="D63" s="177">
        <f>VLOOKUP(A63,Places[#All],6,FALSE)</f>
        <v>112022</v>
      </c>
      <c r="E63"/>
      <c r="F63" s="44" t="s">
        <v>243</v>
      </c>
      <c r="G63" s="10">
        <v>627823.72881533101</v>
      </c>
      <c r="H63" s="199">
        <f>VLOOKUP(F63,Places[#All],7,FALSE)</f>
        <v>15.3</v>
      </c>
      <c r="I63" s="177">
        <f>VLOOKUP(F63,Places[#All],6,FALSE)</f>
        <v>54741</v>
      </c>
      <c r="J63"/>
      <c r="K63"/>
      <c r="L63"/>
      <c r="M63"/>
      <c r="N63"/>
      <c r="O63"/>
      <c r="P63"/>
      <c r="Q63"/>
      <c r="R63"/>
      <c r="S63"/>
      <c r="T63"/>
      <c r="U63"/>
      <c r="V63"/>
      <c r="W63"/>
      <c r="X63"/>
      <c r="Y63"/>
      <c r="Z63"/>
      <c r="AA63"/>
      <c r="AB63"/>
      <c r="AC63"/>
      <c r="AD63"/>
      <c r="AE63"/>
      <c r="AF63"/>
      <c r="AG63"/>
      <c r="AH63"/>
      <c r="AI63"/>
      <c r="AJ63"/>
      <c r="AK63"/>
    </row>
    <row r="64" spans="1:37" x14ac:dyDescent="0.25">
      <c r="A64" s="44" t="s">
        <v>243</v>
      </c>
      <c r="B64" s="10">
        <v>627823.72881533101</v>
      </c>
      <c r="C64" s="199">
        <f>VLOOKUP(A64,Places[#All],7,FALSE)</f>
        <v>15.3</v>
      </c>
      <c r="D64" s="177">
        <f>VLOOKUP(A64,Places[#All],6,FALSE)</f>
        <v>54741</v>
      </c>
      <c r="E64"/>
      <c r="F64" s="44" t="s">
        <v>150</v>
      </c>
      <c r="G64" s="10">
        <v>491582.92405063286</v>
      </c>
      <c r="H64" s="199">
        <f>VLOOKUP(F64,Places[#All],7,FALSE)</f>
        <v>10</v>
      </c>
      <c r="I64" s="177">
        <f>VLOOKUP(F64,Places[#All],6,FALSE)</f>
        <v>96617</v>
      </c>
      <c r="J64"/>
      <c r="K64"/>
      <c r="L64"/>
      <c r="M64"/>
      <c r="N64"/>
      <c r="O64"/>
      <c r="P64"/>
      <c r="Q64"/>
      <c r="R64"/>
      <c r="S64"/>
      <c r="T64"/>
      <c r="U64"/>
      <c r="V64"/>
      <c r="W64"/>
      <c r="X64"/>
      <c r="Y64"/>
      <c r="Z64"/>
      <c r="AA64"/>
      <c r="AB64"/>
      <c r="AC64"/>
      <c r="AD64"/>
      <c r="AE64"/>
      <c r="AF64"/>
      <c r="AG64"/>
      <c r="AH64"/>
      <c r="AI64"/>
      <c r="AJ64"/>
      <c r="AK64"/>
    </row>
    <row r="65" spans="1:37" x14ac:dyDescent="0.25">
      <c r="A65" s="44" t="s">
        <v>150</v>
      </c>
      <c r="B65" s="10">
        <v>491582.92405063286</v>
      </c>
      <c r="C65" s="199">
        <f>VLOOKUP(A65,Places[#All],7,FALSE)</f>
        <v>10</v>
      </c>
      <c r="D65" s="177">
        <f>VLOOKUP(A65,Places[#All],6,FALSE)</f>
        <v>96617</v>
      </c>
      <c r="E65"/>
      <c r="F65" s="44" t="s">
        <v>230</v>
      </c>
      <c r="G65" s="10">
        <v>1643463.9202875001</v>
      </c>
      <c r="H65" s="199">
        <f>VLOOKUP(F65,Places[#All],7,FALSE)</f>
        <v>39.5</v>
      </c>
      <c r="I65" s="177">
        <f>VLOOKUP(F65,Places[#All],6,FALSE)</f>
        <v>168819</v>
      </c>
      <c r="J65"/>
      <c r="K65"/>
      <c r="L65"/>
      <c r="M65"/>
      <c r="N65"/>
      <c r="O65"/>
      <c r="P65"/>
      <c r="Q65"/>
      <c r="R65"/>
      <c r="S65"/>
      <c r="T65"/>
      <c r="U65"/>
      <c r="V65"/>
      <c r="W65"/>
      <c r="X65"/>
      <c r="Y65"/>
      <c r="Z65"/>
      <c r="AA65"/>
      <c r="AB65"/>
      <c r="AC65"/>
      <c r="AD65"/>
      <c r="AE65"/>
      <c r="AF65"/>
      <c r="AG65"/>
      <c r="AH65"/>
      <c r="AI65"/>
      <c r="AJ65"/>
      <c r="AK65"/>
    </row>
    <row r="66" spans="1:37" x14ac:dyDescent="0.25">
      <c r="A66" s="44" t="s">
        <v>230</v>
      </c>
      <c r="B66" s="10">
        <v>1643463.9202875001</v>
      </c>
      <c r="C66" s="199">
        <f>VLOOKUP(A66,Places[#All],7,FALSE)</f>
        <v>39.5</v>
      </c>
      <c r="D66" s="177">
        <f>VLOOKUP(A66,Places[#All],6,FALSE)</f>
        <v>168819</v>
      </c>
      <c r="E66"/>
      <c r="F66" s="44" t="s">
        <v>311</v>
      </c>
      <c r="G66" s="10">
        <v>1122087.410379437</v>
      </c>
      <c r="H66" s="199">
        <f>VLOOKUP(F66,Places[#All],7,FALSE)</f>
        <v>7.9</v>
      </c>
      <c r="I66" s="177">
        <f>VLOOKUP(F66,Places[#All],6,FALSE)</f>
        <v>21390</v>
      </c>
      <c r="J66"/>
      <c r="K66"/>
      <c r="L66"/>
      <c r="M66"/>
      <c r="N66"/>
      <c r="O66"/>
      <c r="P66"/>
      <c r="Q66"/>
      <c r="R66"/>
      <c r="S66"/>
      <c r="T66"/>
      <c r="U66"/>
      <c r="V66"/>
      <c r="W66"/>
      <c r="X66"/>
      <c r="Y66"/>
      <c r="Z66"/>
      <c r="AA66"/>
      <c r="AB66"/>
      <c r="AC66"/>
      <c r="AD66"/>
      <c r="AE66"/>
      <c r="AF66"/>
      <c r="AG66"/>
      <c r="AH66"/>
      <c r="AI66"/>
      <c r="AJ66"/>
      <c r="AK66"/>
    </row>
    <row r="67" spans="1:37" x14ac:dyDescent="0.25">
      <c r="A67" s="44" t="s">
        <v>311</v>
      </c>
      <c r="B67" s="10">
        <v>1122087.410379437</v>
      </c>
      <c r="C67" s="199">
        <f>VLOOKUP(A67,Places[#All],7,FALSE)</f>
        <v>7.9</v>
      </c>
      <c r="D67" s="177">
        <f>VLOOKUP(A67,Places[#All],6,FALSE)</f>
        <v>21390</v>
      </c>
      <c r="E67"/>
      <c r="F67" s="44" t="s">
        <v>268</v>
      </c>
      <c r="G67" s="10">
        <v>1545061.1006968643</v>
      </c>
      <c r="H67" s="199">
        <f>VLOOKUP(F67,Places[#All],7,FALSE)</f>
        <v>15.7</v>
      </c>
      <c r="I67" s="177">
        <f>VLOOKUP(F67,Places[#All],6,FALSE)</f>
        <v>113615</v>
      </c>
      <c r="J67"/>
      <c r="K67"/>
      <c r="L67"/>
      <c r="M67"/>
      <c r="N67"/>
      <c r="O67"/>
      <c r="P67"/>
      <c r="Q67"/>
      <c r="R67"/>
      <c r="S67"/>
      <c r="T67"/>
      <c r="U67"/>
      <c r="V67"/>
      <c r="W67"/>
      <c r="X67"/>
      <c r="Y67"/>
      <c r="Z67"/>
      <c r="AA67"/>
      <c r="AB67"/>
      <c r="AC67"/>
      <c r="AD67"/>
      <c r="AE67"/>
      <c r="AF67"/>
      <c r="AG67"/>
      <c r="AH67"/>
      <c r="AI67"/>
      <c r="AJ67"/>
      <c r="AK67"/>
    </row>
    <row r="68" spans="1:37" x14ac:dyDescent="0.25">
      <c r="A68" s="44" t="s">
        <v>268</v>
      </c>
      <c r="B68" s="10">
        <v>1545061.1006968643</v>
      </c>
      <c r="C68" s="199">
        <f>VLOOKUP(A68,Places[#All],7,FALSE)</f>
        <v>15.7</v>
      </c>
      <c r="D68" s="177">
        <f>VLOOKUP(A68,Places[#All],6,FALSE)</f>
        <v>113615</v>
      </c>
      <c r="E68"/>
      <c r="F68" s="44" t="s">
        <v>201</v>
      </c>
      <c r="G68" s="10">
        <v>786884.11249367089</v>
      </c>
      <c r="H68" s="199">
        <f>VLOOKUP(F68,Places[#All],7,FALSE)</f>
        <v>7</v>
      </c>
      <c r="I68" s="177">
        <f>VLOOKUP(F68,Places[#All],6,FALSE)</f>
        <v>47963</v>
      </c>
      <c r="J68"/>
      <c r="K68"/>
      <c r="L68"/>
      <c r="M68"/>
      <c r="N68"/>
      <c r="O68"/>
      <c r="P68"/>
      <c r="Q68"/>
      <c r="R68"/>
      <c r="S68"/>
      <c r="T68"/>
      <c r="U68"/>
      <c r="V68"/>
      <c r="W68"/>
      <c r="X68"/>
      <c r="Y68"/>
      <c r="Z68"/>
      <c r="AA68"/>
      <c r="AB68"/>
      <c r="AC68"/>
      <c r="AD68"/>
      <c r="AE68"/>
      <c r="AF68"/>
      <c r="AG68"/>
      <c r="AH68"/>
      <c r="AI68"/>
      <c r="AJ68"/>
      <c r="AK68"/>
    </row>
    <row r="69" spans="1:37" x14ac:dyDescent="0.25">
      <c r="A69" s="44" t="s">
        <v>201</v>
      </c>
      <c r="B69" s="10">
        <v>786884.11249367089</v>
      </c>
      <c r="C69" s="199">
        <f>VLOOKUP(A69,Places[#All],7,FALSE)</f>
        <v>7</v>
      </c>
      <c r="D69" s="177">
        <f>VLOOKUP(A69,Places[#All],6,FALSE)</f>
        <v>47963</v>
      </c>
      <c r="E69"/>
      <c r="F69" s="44" t="s">
        <v>430</v>
      </c>
      <c r="G69" s="10">
        <v>972135.49173417711</v>
      </c>
      <c r="H69" s="199">
        <f>VLOOKUP(F69,Places[#All],7,FALSE)</f>
        <v>5.0999999999999996</v>
      </c>
      <c r="I69" s="177">
        <f>VLOOKUP(F69,Places[#All],6,FALSE)</f>
        <v>39214</v>
      </c>
      <c r="J69"/>
      <c r="K69"/>
      <c r="L69"/>
      <c r="M69"/>
      <c r="N69"/>
      <c r="O69"/>
      <c r="P69"/>
      <c r="Q69"/>
      <c r="R69"/>
      <c r="S69"/>
      <c r="T69"/>
      <c r="U69"/>
      <c r="V69"/>
      <c r="W69"/>
      <c r="X69"/>
      <c r="Y69"/>
      <c r="Z69"/>
      <c r="AA69"/>
      <c r="AB69"/>
      <c r="AC69"/>
      <c r="AD69"/>
      <c r="AE69"/>
      <c r="AF69"/>
      <c r="AG69"/>
      <c r="AH69"/>
      <c r="AI69"/>
      <c r="AJ69"/>
      <c r="AK69"/>
    </row>
    <row r="70" spans="1:37" x14ac:dyDescent="0.25">
      <c r="A70" s="44" t="s">
        <v>430</v>
      </c>
      <c r="B70" s="10">
        <v>972135.49173417711</v>
      </c>
      <c r="C70" s="199">
        <f>VLOOKUP(A70,Places[#All],7,FALSE)</f>
        <v>5.0999999999999996</v>
      </c>
      <c r="D70" s="177">
        <f>VLOOKUP(A70,Places[#All],6,FALSE)</f>
        <v>39214</v>
      </c>
      <c r="E70"/>
      <c r="F70" s="44" t="s">
        <v>269</v>
      </c>
      <c r="G70" s="10">
        <v>776952.98252964427</v>
      </c>
      <c r="H70" s="199">
        <f>VLOOKUP(F70,Places[#All],7,FALSE)</f>
        <v>6.6</v>
      </c>
      <c r="I70" s="177">
        <f>VLOOKUP(F70,Places[#All],6,FALSE)</f>
        <v>48958</v>
      </c>
      <c r="J70"/>
      <c r="K70"/>
      <c r="L70"/>
      <c r="M70"/>
      <c r="N70"/>
      <c r="O70"/>
      <c r="P70"/>
      <c r="Q70"/>
      <c r="R70"/>
      <c r="S70"/>
      <c r="T70"/>
      <c r="U70"/>
      <c r="V70"/>
      <c r="W70"/>
      <c r="X70"/>
      <c r="Y70"/>
      <c r="Z70"/>
      <c r="AA70"/>
      <c r="AB70"/>
      <c r="AC70"/>
      <c r="AD70"/>
      <c r="AE70"/>
      <c r="AF70"/>
      <c r="AG70"/>
      <c r="AH70"/>
      <c r="AI70"/>
      <c r="AJ70"/>
      <c r="AK70"/>
    </row>
    <row r="71" spans="1:37" x14ac:dyDescent="0.25">
      <c r="A71" s="44" t="s">
        <v>269</v>
      </c>
      <c r="B71" s="10">
        <v>776952.98252964427</v>
      </c>
      <c r="C71" s="199">
        <f>VLOOKUP(A71,Places[#All],7,FALSE)</f>
        <v>6.6</v>
      </c>
      <c r="D71" s="177">
        <f>VLOOKUP(A71,Places[#All],6,FALSE)</f>
        <v>48958</v>
      </c>
      <c r="E71"/>
      <c r="F71" s="44" t="s">
        <v>270</v>
      </c>
      <c r="G71" s="10">
        <v>2139535.9533047737</v>
      </c>
      <c r="H71" s="199">
        <f>VLOOKUP(F71,Places[#All],7,FALSE)</f>
        <v>6.5</v>
      </c>
      <c r="I71" s="177">
        <f>VLOOKUP(F71,Places[#All],6,FALSE)</f>
        <v>33730</v>
      </c>
      <c r="J71"/>
      <c r="K71"/>
      <c r="L71"/>
      <c r="M71"/>
      <c r="N71"/>
      <c r="O71"/>
      <c r="P71"/>
      <c r="Q71"/>
      <c r="R71"/>
      <c r="S71"/>
      <c r="T71"/>
      <c r="U71"/>
      <c r="V71"/>
      <c r="W71"/>
      <c r="X71"/>
      <c r="Y71"/>
      <c r="Z71"/>
      <c r="AA71"/>
      <c r="AB71"/>
      <c r="AC71"/>
      <c r="AD71"/>
      <c r="AE71"/>
      <c r="AF71"/>
      <c r="AG71"/>
      <c r="AH71"/>
      <c r="AI71"/>
      <c r="AJ71"/>
      <c r="AK71"/>
    </row>
    <row r="72" spans="1:37" x14ac:dyDescent="0.25">
      <c r="A72" s="44" t="s">
        <v>270</v>
      </c>
      <c r="B72" s="10">
        <v>2139535.9533047737</v>
      </c>
      <c r="C72" s="199">
        <f>VLOOKUP(A72,Places[#All],7,FALSE)</f>
        <v>6.5</v>
      </c>
      <c r="D72" s="177">
        <f>VLOOKUP(A72,Places[#All],6,FALSE)</f>
        <v>33730</v>
      </c>
      <c r="E72"/>
      <c r="F72" s="44" t="s">
        <v>308</v>
      </c>
      <c r="G72" s="10">
        <v>607991.21232558147</v>
      </c>
      <c r="H72" s="199">
        <f>VLOOKUP(F72,Places[#All],7,FALSE)</f>
        <v>1.7</v>
      </c>
      <c r="I72" s="177">
        <f>VLOOKUP(F72,Places[#All],6,FALSE)</f>
        <v>4347</v>
      </c>
      <c r="J72"/>
      <c r="K72"/>
      <c r="L72"/>
      <c r="M72"/>
      <c r="N72"/>
      <c r="O72"/>
      <c r="P72"/>
      <c r="Q72"/>
      <c r="R72"/>
      <c r="S72"/>
      <c r="T72"/>
      <c r="U72"/>
      <c r="V72"/>
      <c r="W72"/>
      <c r="X72"/>
      <c r="Y72"/>
      <c r="Z72"/>
      <c r="AA72"/>
      <c r="AB72"/>
      <c r="AC72"/>
      <c r="AD72"/>
      <c r="AE72"/>
      <c r="AF72"/>
      <c r="AG72"/>
      <c r="AH72"/>
      <c r="AI72"/>
      <c r="AJ72"/>
      <c r="AK72"/>
    </row>
    <row r="73" spans="1:37" x14ac:dyDescent="0.25">
      <c r="A73" s="44" t="s">
        <v>308</v>
      </c>
      <c r="B73" s="10">
        <v>607991.21232558147</v>
      </c>
      <c r="C73" s="199">
        <f>VLOOKUP(A73,Places[#All],7,FALSE)</f>
        <v>1.7</v>
      </c>
      <c r="D73" s="177">
        <f>VLOOKUP(A73,Places[#All],6,FALSE)</f>
        <v>4347</v>
      </c>
      <c r="E73"/>
      <c r="F73" s="44" t="s">
        <v>167</v>
      </c>
      <c r="G73" s="10">
        <v>418323.2658227848</v>
      </c>
      <c r="H73" s="199">
        <f>VLOOKUP(F73,Places[#All],7,FALSE)</f>
        <v>14.9</v>
      </c>
      <c r="I73" s="177">
        <f>VLOOKUP(F73,Places[#All],6,FALSE)</f>
        <v>56275</v>
      </c>
      <c r="J73"/>
      <c r="K73"/>
      <c r="L73"/>
      <c r="M73"/>
      <c r="N73"/>
      <c r="O73"/>
      <c r="P73"/>
      <c r="Q73"/>
      <c r="R73"/>
      <c r="S73"/>
      <c r="T73"/>
      <c r="U73"/>
      <c r="V73"/>
      <c r="W73"/>
      <c r="X73"/>
      <c r="Y73"/>
      <c r="Z73"/>
      <c r="AA73"/>
      <c r="AB73"/>
      <c r="AC73"/>
      <c r="AD73"/>
      <c r="AE73"/>
      <c r="AF73"/>
      <c r="AG73"/>
      <c r="AH73"/>
      <c r="AI73"/>
      <c r="AJ73"/>
      <c r="AK73"/>
    </row>
    <row r="74" spans="1:37" x14ac:dyDescent="0.25">
      <c r="A74" s="44" t="s">
        <v>167</v>
      </c>
      <c r="B74" s="10">
        <v>418323.2658227848</v>
      </c>
      <c r="C74" s="199">
        <f>VLOOKUP(A74,Places[#All],7,FALSE)</f>
        <v>14.9</v>
      </c>
      <c r="D74" s="177">
        <f>VLOOKUP(A74,Places[#All],6,FALSE)</f>
        <v>56275</v>
      </c>
      <c r="E74"/>
      <c r="F74" s="44" t="s">
        <v>162</v>
      </c>
      <c r="G74" s="10">
        <v>1351306.2480379746</v>
      </c>
      <c r="H74" s="199">
        <f>VLOOKUP(F74,Places[#All],7,FALSE)</f>
        <v>12.4</v>
      </c>
      <c r="I74" s="177">
        <f>VLOOKUP(F74,Places[#All],6,FALSE)</f>
        <v>112269</v>
      </c>
      <c r="J74"/>
      <c r="K74"/>
      <c r="L74"/>
      <c r="M74"/>
      <c r="N74"/>
      <c r="O74"/>
      <c r="P74"/>
      <c r="Q74"/>
      <c r="R74"/>
      <c r="S74"/>
      <c r="T74"/>
      <c r="U74"/>
      <c r="V74"/>
      <c r="W74"/>
      <c r="X74"/>
      <c r="Y74"/>
      <c r="Z74"/>
      <c r="AA74"/>
      <c r="AB74"/>
      <c r="AC74"/>
      <c r="AD74"/>
      <c r="AE74"/>
      <c r="AF74"/>
      <c r="AG74"/>
      <c r="AH74"/>
      <c r="AI74"/>
      <c r="AJ74"/>
      <c r="AK74"/>
    </row>
    <row r="75" spans="1:37" x14ac:dyDescent="0.25">
      <c r="A75" s="44" t="s">
        <v>162</v>
      </c>
      <c r="B75" s="10">
        <v>1351306.2480379746</v>
      </c>
      <c r="C75" s="199">
        <f>VLOOKUP(A75,Places[#All],7,FALSE)</f>
        <v>12.4</v>
      </c>
      <c r="D75" s="177">
        <f>VLOOKUP(A75,Places[#All],6,FALSE)</f>
        <v>112269</v>
      </c>
      <c r="E75"/>
      <c r="F75" s="44" t="s">
        <v>182</v>
      </c>
      <c r="G75" s="10">
        <v>783453.64936708857</v>
      </c>
      <c r="H75" s="199">
        <f>VLOOKUP(F75,Places[#All],7,FALSE)</f>
        <v>6.7</v>
      </c>
      <c r="I75" s="177">
        <f>VLOOKUP(F75,Places[#All],6,FALSE)</f>
        <v>21527</v>
      </c>
      <c r="J75"/>
      <c r="K75"/>
      <c r="L75"/>
      <c r="M75"/>
      <c r="N75"/>
      <c r="O75"/>
      <c r="P75"/>
      <c r="Q75"/>
      <c r="R75"/>
      <c r="S75"/>
      <c r="T75"/>
      <c r="U75"/>
      <c r="V75"/>
      <c r="W75"/>
      <c r="X75"/>
      <c r="Y75"/>
      <c r="Z75"/>
      <c r="AA75"/>
      <c r="AB75"/>
      <c r="AC75"/>
      <c r="AD75"/>
      <c r="AE75"/>
      <c r="AF75"/>
      <c r="AG75"/>
      <c r="AH75"/>
      <c r="AI75"/>
      <c r="AJ75"/>
      <c r="AK75"/>
    </row>
    <row r="76" spans="1:37" x14ac:dyDescent="0.25">
      <c r="A76" s="44" t="s">
        <v>182</v>
      </c>
      <c r="B76" s="10">
        <v>783453.64936708857</v>
      </c>
      <c r="C76" s="199">
        <f>VLOOKUP(A76,Places[#All],7,FALSE)</f>
        <v>6.7</v>
      </c>
      <c r="D76" s="177">
        <f>VLOOKUP(A76,Places[#All],6,FALSE)</f>
        <v>21527</v>
      </c>
      <c r="E76"/>
      <c r="F76" s="44" t="s">
        <v>231</v>
      </c>
      <c r="G76" s="10">
        <v>145888.68152437502</v>
      </c>
      <c r="H76" s="199">
        <f>VLOOKUP(F76,Places[#All],7,FALSE)</f>
        <v>12.7</v>
      </c>
      <c r="I76" s="177">
        <f>VLOOKUP(F76,Places[#All],6,FALSE)</f>
        <v>64822</v>
      </c>
      <c r="J76"/>
      <c r="K76"/>
      <c r="L76"/>
      <c r="M76"/>
      <c r="N76"/>
      <c r="O76"/>
      <c r="P76"/>
      <c r="Q76"/>
      <c r="R76"/>
      <c r="S76"/>
      <c r="T76"/>
      <c r="U76"/>
      <c r="V76"/>
      <c r="W76"/>
      <c r="X76"/>
      <c r="Y76"/>
      <c r="Z76"/>
      <c r="AA76"/>
      <c r="AB76"/>
      <c r="AC76"/>
      <c r="AD76"/>
      <c r="AE76"/>
      <c r="AF76"/>
      <c r="AG76"/>
      <c r="AH76"/>
      <c r="AI76"/>
      <c r="AJ76"/>
      <c r="AK76"/>
    </row>
    <row r="77" spans="1:37" x14ac:dyDescent="0.25">
      <c r="A77" s="44" t="s">
        <v>231</v>
      </c>
      <c r="B77" s="10">
        <v>145888.68152437502</v>
      </c>
      <c r="C77" s="199">
        <f>VLOOKUP(A77,Places[#All],7,FALSE)</f>
        <v>12.7</v>
      </c>
      <c r="D77" s="177">
        <f>VLOOKUP(A77,Places[#All],6,FALSE)</f>
        <v>64822</v>
      </c>
      <c r="E77"/>
      <c r="F77" s="44" t="s">
        <v>317</v>
      </c>
      <c r="G77" s="10">
        <v>1599667.8540146882</v>
      </c>
      <c r="H77" s="199">
        <f>VLOOKUP(F77,Places[#All],7,FALSE)</f>
        <v>14.5</v>
      </c>
      <c r="I77" s="177">
        <f>VLOOKUP(F77,Places[#All],6,FALSE)</f>
        <v>103241</v>
      </c>
      <c r="J77"/>
      <c r="K77"/>
      <c r="L77"/>
      <c r="M77"/>
      <c r="N77"/>
      <c r="O77"/>
      <c r="P77"/>
      <c r="Q77"/>
      <c r="R77"/>
      <c r="S77"/>
      <c r="T77"/>
      <c r="U77"/>
      <c r="V77"/>
      <c r="W77"/>
      <c r="X77"/>
      <c r="Y77"/>
      <c r="Z77"/>
      <c r="AA77"/>
      <c r="AB77"/>
      <c r="AC77"/>
      <c r="AD77"/>
      <c r="AE77"/>
      <c r="AF77"/>
      <c r="AG77"/>
      <c r="AH77"/>
      <c r="AI77"/>
      <c r="AJ77"/>
      <c r="AK77"/>
    </row>
    <row r="78" spans="1:37" x14ac:dyDescent="0.25">
      <c r="A78" s="44" t="s">
        <v>317</v>
      </c>
      <c r="B78" s="10">
        <v>1599667.8540146882</v>
      </c>
      <c r="C78" s="199">
        <f>VLOOKUP(A78,Places[#All],7,FALSE)</f>
        <v>14.5</v>
      </c>
      <c r="D78" s="177">
        <f>VLOOKUP(A78,Places[#All],6,FALSE)</f>
        <v>103241</v>
      </c>
      <c r="E78"/>
      <c r="F78" s="44" t="s">
        <v>16</v>
      </c>
      <c r="G78" s="10">
        <v>153760.34354430379</v>
      </c>
      <c r="H78" s="199">
        <f>VLOOKUP(F78,Places[#All],7,FALSE)</f>
        <v>11.2</v>
      </c>
      <c r="I78" s="177">
        <f>VLOOKUP(F78,Places[#All],6,FALSE)</f>
        <v>44120</v>
      </c>
      <c r="J78"/>
      <c r="K78"/>
      <c r="L78"/>
      <c r="M78"/>
      <c r="N78"/>
      <c r="O78"/>
      <c r="P78"/>
      <c r="Q78"/>
      <c r="R78"/>
      <c r="S78"/>
      <c r="T78"/>
      <c r="U78"/>
      <c r="V78"/>
      <c r="W78"/>
      <c r="X78"/>
      <c r="Y78"/>
      <c r="Z78"/>
      <c r="AA78"/>
      <c r="AB78"/>
      <c r="AC78"/>
      <c r="AD78"/>
      <c r="AE78"/>
      <c r="AF78"/>
      <c r="AG78"/>
      <c r="AH78"/>
      <c r="AI78"/>
      <c r="AJ78"/>
      <c r="AK78"/>
    </row>
    <row r="79" spans="1:37" x14ac:dyDescent="0.25">
      <c r="A79" s="44" t="s">
        <v>16</v>
      </c>
      <c r="B79" s="10">
        <v>153760.34354430379</v>
      </c>
      <c r="C79" s="199">
        <f>VLOOKUP(A79,Places[#All],7,FALSE)</f>
        <v>11.2</v>
      </c>
      <c r="D79" s="177">
        <f>VLOOKUP(A79,Places[#All],6,FALSE)</f>
        <v>44120</v>
      </c>
      <c r="E79"/>
      <c r="F79" s="44" t="s">
        <v>9</v>
      </c>
      <c r="G79" s="10">
        <v>1488632.0082531644</v>
      </c>
      <c r="H79" s="199">
        <f>VLOOKUP(F79,Places[#All],7,FALSE)</f>
        <v>9.6</v>
      </c>
      <c r="I79" s="177">
        <f>VLOOKUP(F79,Places[#All],6,FALSE)</f>
        <v>115586</v>
      </c>
      <c r="J79"/>
      <c r="K79"/>
      <c r="L79"/>
      <c r="M79"/>
      <c r="N79"/>
      <c r="O79"/>
      <c r="P79"/>
      <c r="Q79"/>
      <c r="R79"/>
      <c r="S79"/>
      <c r="T79"/>
      <c r="U79"/>
      <c r="V79"/>
      <c r="W79"/>
      <c r="X79"/>
      <c r="Y79"/>
      <c r="Z79"/>
      <c r="AA79"/>
      <c r="AB79"/>
      <c r="AC79"/>
      <c r="AD79"/>
      <c r="AE79"/>
      <c r="AF79"/>
      <c r="AG79"/>
      <c r="AH79"/>
      <c r="AI79"/>
      <c r="AJ79"/>
      <c r="AK79"/>
    </row>
    <row r="80" spans="1:37" x14ac:dyDescent="0.25">
      <c r="A80" s="44" t="s">
        <v>9</v>
      </c>
      <c r="B80" s="10">
        <v>1488632.0082531644</v>
      </c>
      <c r="C80" s="199">
        <f>VLOOKUP(A80,Places[#All],7,FALSE)</f>
        <v>9.6</v>
      </c>
      <c r="D80" s="177">
        <f>VLOOKUP(A80,Places[#All],6,FALSE)</f>
        <v>115586</v>
      </c>
      <c r="E80"/>
      <c r="F80" s="44" t="s">
        <v>10</v>
      </c>
      <c r="G80" s="10">
        <v>2425637.9012658228</v>
      </c>
      <c r="H80" s="199">
        <f>VLOOKUP(F80,Places[#All],7,FALSE)</f>
        <v>5.5</v>
      </c>
      <c r="I80" s="177">
        <f>VLOOKUP(F80,Places[#All],6,FALSE)</f>
        <v>16719</v>
      </c>
      <c r="J80"/>
      <c r="K80"/>
      <c r="L80"/>
      <c r="M80"/>
      <c r="N80"/>
      <c r="O80"/>
      <c r="P80"/>
      <c r="Q80"/>
      <c r="R80"/>
      <c r="S80"/>
      <c r="T80"/>
      <c r="U80"/>
      <c r="V80"/>
      <c r="W80"/>
      <c r="X80"/>
      <c r="Y80"/>
      <c r="Z80"/>
      <c r="AA80"/>
      <c r="AB80"/>
      <c r="AC80"/>
      <c r="AD80"/>
      <c r="AE80"/>
      <c r="AF80"/>
      <c r="AG80"/>
      <c r="AH80"/>
      <c r="AI80"/>
      <c r="AJ80"/>
      <c r="AK80"/>
    </row>
    <row r="81" spans="1:37" x14ac:dyDescent="0.25">
      <c r="A81" s="44" t="s">
        <v>10</v>
      </c>
      <c r="B81" s="10">
        <v>2425637.9012658228</v>
      </c>
      <c r="C81" s="199">
        <f>VLOOKUP(A81,Places[#All],7,FALSE)</f>
        <v>5.5</v>
      </c>
      <c r="D81" s="177">
        <f>VLOOKUP(A81,Places[#All],6,FALSE)</f>
        <v>16719</v>
      </c>
      <c r="E81"/>
      <c r="F81" s="44" t="s">
        <v>125</v>
      </c>
      <c r="G81" s="10">
        <v>966166.42218987341</v>
      </c>
      <c r="H81" s="199">
        <f>VLOOKUP(F81,Places[#All],7,FALSE)</f>
        <v>42.2</v>
      </c>
      <c r="I81" s="177">
        <f>VLOOKUP(F81,Places[#All],6,FALSE)</f>
        <v>172886</v>
      </c>
      <c r="J81"/>
      <c r="K81"/>
      <c r="L81"/>
      <c r="M81"/>
      <c r="N81"/>
      <c r="O81"/>
      <c r="P81"/>
      <c r="Q81"/>
      <c r="R81"/>
      <c r="S81"/>
      <c r="T81"/>
      <c r="U81"/>
      <c r="V81"/>
      <c r="W81"/>
      <c r="X81"/>
      <c r="Y81"/>
      <c r="Z81"/>
      <c r="AA81"/>
      <c r="AB81"/>
      <c r="AC81"/>
      <c r="AD81"/>
      <c r="AE81"/>
      <c r="AF81"/>
      <c r="AG81"/>
      <c r="AH81"/>
      <c r="AI81"/>
      <c r="AJ81"/>
      <c r="AK81"/>
    </row>
    <row r="82" spans="1:37" x14ac:dyDescent="0.25">
      <c r="A82" s="44" t="s">
        <v>125</v>
      </c>
      <c r="B82" s="10">
        <v>966166.42218987341</v>
      </c>
      <c r="C82" s="199">
        <f>VLOOKUP(A82,Places[#All],7,FALSE)</f>
        <v>42.2</v>
      </c>
      <c r="D82" s="177">
        <f>VLOOKUP(A82,Places[#All],6,FALSE)</f>
        <v>172886</v>
      </c>
      <c r="E82"/>
      <c r="F82" s="44" t="s">
        <v>303</v>
      </c>
      <c r="G82" s="10">
        <v>2611487.2954589967</v>
      </c>
      <c r="H82" s="199">
        <f>VLOOKUP(F82,Places[#All],7,FALSE)</f>
        <v>18.8</v>
      </c>
      <c r="I82" s="177">
        <f>VLOOKUP(F82,Places[#All],6,FALSE)</f>
        <v>62904</v>
      </c>
      <c r="J82"/>
      <c r="K82"/>
      <c r="L82"/>
      <c r="M82"/>
      <c r="N82"/>
      <c r="O82"/>
      <c r="P82"/>
      <c r="Q82"/>
      <c r="R82"/>
      <c r="S82"/>
      <c r="T82"/>
      <c r="U82"/>
      <c r="V82"/>
      <c r="W82"/>
      <c r="X82"/>
      <c r="Y82"/>
      <c r="Z82"/>
      <c r="AA82"/>
      <c r="AB82"/>
      <c r="AC82"/>
      <c r="AD82"/>
      <c r="AE82"/>
      <c r="AF82"/>
      <c r="AG82"/>
      <c r="AH82"/>
      <c r="AI82"/>
      <c r="AJ82"/>
      <c r="AK82"/>
    </row>
    <row r="83" spans="1:37" x14ac:dyDescent="0.25">
      <c r="A83" s="44" t="s">
        <v>303</v>
      </c>
      <c r="B83" s="10">
        <v>2611487.2954589967</v>
      </c>
      <c r="C83" s="199">
        <f>VLOOKUP(A83,Places[#All],7,FALSE)</f>
        <v>18.8</v>
      </c>
      <c r="D83" s="177">
        <f>VLOOKUP(A83,Places[#All],6,FALSE)</f>
        <v>62904</v>
      </c>
      <c r="E83"/>
      <c r="F83" s="44" t="s">
        <v>304</v>
      </c>
      <c r="G83" s="10">
        <v>1953828.9900367199</v>
      </c>
      <c r="H83" s="199">
        <f>VLOOKUP(F83,Places[#All],7,FALSE)</f>
        <v>37.1</v>
      </c>
      <c r="I83" s="177">
        <f>VLOOKUP(F83,Places[#All],6,FALSE)</f>
        <v>152213</v>
      </c>
      <c r="J83"/>
      <c r="K83"/>
      <c r="L83"/>
      <c r="M83"/>
      <c r="N83"/>
      <c r="O83"/>
      <c r="P83"/>
      <c r="Q83"/>
      <c r="R83"/>
      <c r="S83"/>
      <c r="T83"/>
      <c r="U83"/>
      <c r="V83"/>
      <c r="W83"/>
      <c r="X83"/>
      <c r="Y83"/>
      <c r="Z83"/>
      <c r="AA83"/>
      <c r="AB83"/>
      <c r="AC83"/>
      <c r="AD83"/>
      <c r="AE83"/>
      <c r="AF83"/>
      <c r="AG83"/>
      <c r="AH83"/>
      <c r="AI83"/>
      <c r="AJ83"/>
      <c r="AK83"/>
    </row>
    <row r="84" spans="1:37" x14ac:dyDescent="0.25">
      <c r="A84" s="44" t="s">
        <v>304</v>
      </c>
      <c r="B84" s="10">
        <v>1953828.9900367199</v>
      </c>
      <c r="C84" s="199">
        <f>VLOOKUP(A84,Places[#All],7,FALSE)</f>
        <v>37.1</v>
      </c>
      <c r="D84" s="177">
        <f>VLOOKUP(A84,Places[#All],6,FALSE)</f>
        <v>152213</v>
      </c>
      <c r="E84"/>
      <c r="F84" s="44" t="s">
        <v>126</v>
      </c>
      <c r="G84" s="10">
        <v>875153.5067848101</v>
      </c>
      <c r="H84" s="199">
        <f>VLOOKUP(F84,Places[#All],7,FALSE)</f>
        <v>27.7</v>
      </c>
      <c r="I84" s="177">
        <f>VLOOKUP(F84,Places[#All],6,FALSE)</f>
        <v>79022</v>
      </c>
      <c r="J84"/>
      <c r="K84"/>
      <c r="L84"/>
      <c r="M84"/>
      <c r="N84"/>
      <c r="O84"/>
      <c r="P84"/>
      <c r="Q84"/>
      <c r="R84"/>
      <c r="S84"/>
      <c r="T84"/>
      <c r="U84"/>
      <c r="V84"/>
      <c r="W84"/>
      <c r="X84"/>
      <c r="Y84"/>
      <c r="Z84"/>
      <c r="AA84"/>
      <c r="AB84"/>
      <c r="AC84"/>
      <c r="AD84"/>
      <c r="AE84"/>
      <c r="AF84"/>
      <c r="AG84"/>
      <c r="AH84"/>
      <c r="AI84"/>
      <c r="AJ84"/>
      <c r="AK84"/>
    </row>
    <row r="85" spans="1:37" x14ac:dyDescent="0.25">
      <c r="A85" s="44" t="s">
        <v>126</v>
      </c>
      <c r="B85" s="10">
        <v>875153.5067848101</v>
      </c>
      <c r="C85" s="199">
        <f>VLOOKUP(A85,Places[#All],7,FALSE)</f>
        <v>27.7</v>
      </c>
      <c r="D85" s="177">
        <f>VLOOKUP(A85,Places[#All],6,FALSE)</f>
        <v>79022</v>
      </c>
      <c r="E85"/>
      <c r="F85" s="44" t="s">
        <v>244</v>
      </c>
      <c r="G85" s="10">
        <v>1895990.1517870724</v>
      </c>
      <c r="H85" s="199">
        <f>VLOOKUP(F85,Places[#All],7,FALSE)</f>
        <v>43</v>
      </c>
      <c r="I85" s="177">
        <f>VLOOKUP(F85,Places[#All],6,FALSE)</f>
        <v>213739</v>
      </c>
      <c r="J85"/>
      <c r="K85"/>
      <c r="L85"/>
      <c r="M85"/>
      <c r="N85"/>
      <c r="O85"/>
      <c r="P85"/>
      <c r="Q85"/>
      <c r="R85"/>
      <c r="S85"/>
      <c r="T85"/>
      <c r="U85"/>
      <c r="V85"/>
      <c r="W85"/>
      <c r="X85"/>
      <c r="Y85"/>
      <c r="Z85"/>
      <c r="AA85"/>
      <c r="AB85"/>
      <c r="AC85"/>
      <c r="AD85"/>
      <c r="AE85"/>
      <c r="AF85"/>
      <c r="AG85"/>
      <c r="AH85"/>
      <c r="AI85"/>
      <c r="AJ85"/>
      <c r="AK85"/>
    </row>
    <row r="86" spans="1:37" x14ac:dyDescent="0.25">
      <c r="A86" s="44" t="s">
        <v>244</v>
      </c>
      <c r="B86" s="10">
        <v>1895990.1517870724</v>
      </c>
      <c r="C86" s="199">
        <f>VLOOKUP(A86,Places[#All],7,FALSE)</f>
        <v>43</v>
      </c>
      <c r="D86" s="177">
        <f>VLOOKUP(A86,Places[#All],6,FALSE)</f>
        <v>213739</v>
      </c>
      <c r="E86"/>
      <c r="F86" s="44" t="s">
        <v>271</v>
      </c>
      <c r="G86" s="10">
        <v>2609821.2514624507</v>
      </c>
      <c r="H86" s="199">
        <f>VLOOKUP(F86,Places[#All],7,FALSE)</f>
        <v>9.1</v>
      </c>
      <c r="I86" s="177">
        <f>VLOOKUP(F86,Places[#All],6,FALSE)</f>
        <v>55814</v>
      </c>
      <c r="J86"/>
      <c r="K86"/>
      <c r="L86"/>
      <c r="M86"/>
      <c r="N86"/>
      <c r="O86"/>
      <c r="P86"/>
      <c r="Q86"/>
      <c r="R86"/>
      <c r="S86"/>
      <c r="T86"/>
      <c r="U86"/>
      <c r="V86"/>
      <c r="W86"/>
      <c r="X86"/>
      <c r="Y86"/>
      <c r="Z86"/>
      <c r="AA86"/>
      <c r="AB86"/>
      <c r="AC86"/>
      <c r="AD86"/>
      <c r="AE86"/>
      <c r="AF86"/>
      <c r="AG86"/>
      <c r="AH86"/>
      <c r="AI86"/>
      <c r="AJ86"/>
      <c r="AK86"/>
    </row>
    <row r="87" spans="1:37" x14ac:dyDescent="0.25">
      <c r="A87" s="44" t="s">
        <v>271</v>
      </c>
      <c r="B87" s="10">
        <v>2609821.2514624507</v>
      </c>
      <c r="C87" s="199">
        <f>VLOOKUP(A87,Places[#All],7,FALSE)</f>
        <v>9.1</v>
      </c>
      <c r="D87" s="177">
        <f>VLOOKUP(A87,Places[#All],6,FALSE)</f>
        <v>55814</v>
      </c>
      <c r="E87"/>
      <c r="F87" s="44" t="s">
        <v>272</v>
      </c>
      <c r="G87" s="10">
        <v>2358936.1931620552</v>
      </c>
      <c r="H87" s="199">
        <f>VLOOKUP(F87,Places[#All],7,FALSE)</f>
        <v>22.4</v>
      </c>
      <c r="I87" s="177">
        <f>VLOOKUP(F87,Places[#All],6,FALSE)</f>
        <v>139640</v>
      </c>
      <c r="J87"/>
      <c r="K87"/>
      <c r="L87"/>
      <c r="M87"/>
      <c r="N87"/>
      <c r="O87"/>
      <c r="P87"/>
      <c r="Q87"/>
      <c r="R87"/>
      <c r="S87"/>
      <c r="T87"/>
      <c r="U87"/>
      <c r="V87"/>
      <c r="W87"/>
      <c r="X87"/>
      <c r="Y87"/>
      <c r="Z87"/>
      <c r="AA87"/>
      <c r="AB87"/>
      <c r="AC87"/>
      <c r="AD87"/>
      <c r="AE87"/>
      <c r="AF87"/>
      <c r="AG87"/>
      <c r="AH87"/>
      <c r="AI87"/>
      <c r="AJ87"/>
      <c r="AK87"/>
    </row>
    <row r="88" spans="1:37" x14ac:dyDescent="0.25">
      <c r="A88" s="44" t="s">
        <v>121</v>
      </c>
      <c r="B88" s="10">
        <v>10886431.928962024</v>
      </c>
      <c r="C88" s="199">
        <f>VLOOKUP(A88,Places[#All],7,FALSE)</f>
        <v>114.4</v>
      </c>
      <c r="D88" s="177">
        <f>VLOOKUP(A88,Places[#All],6,FALSE)</f>
        <v>530093</v>
      </c>
      <c r="E88"/>
      <c r="F88" s="44" t="s">
        <v>273</v>
      </c>
      <c r="G88" s="10">
        <v>1683421.335889328</v>
      </c>
      <c r="H88" s="199">
        <f>VLOOKUP(F88,Places[#All],7,FALSE)</f>
        <v>18</v>
      </c>
      <c r="I88" s="177">
        <f>VLOOKUP(F88,Places[#All],6,FALSE)</f>
        <v>172646</v>
      </c>
      <c r="J88"/>
      <c r="K88"/>
      <c r="L88"/>
      <c r="M88"/>
      <c r="N88"/>
      <c r="O88"/>
      <c r="P88"/>
      <c r="Q88"/>
      <c r="R88"/>
      <c r="S88"/>
      <c r="T88"/>
      <c r="U88"/>
      <c r="V88"/>
      <c r="W88"/>
      <c r="X88"/>
      <c r="Y88"/>
      <c r="Z88"/>
      <c r="AA88"/>
      <c r="AB88"/>
      <c r="AC88"/>
      <c r="AD88"/>
      <c r="AE88"/>
      <c r="AF88"/>
      <c r="AG88"/>
      <c r="AH88"/>
      <c r="AI88"/>
      <c r="AJ88"/>
      <c r="AK88"/>
    </row>
    <row r="89" spans="1:37" x14ac:dyDescent="0.25">
      <c r="A89" s="44" t="s">
        <v>272</v>
      </c>
      <c r="B89" s="10">
        <v>2358936.1931620552</v>
      </c>
      <c r="C89" s="199">
        <f>VLOOKUP(A89,Places[#All],7,FALSE)</f>
        <v>22.4</v>
      </c>
      <c r="D89" s="177">
        <f>VLOOKUP(A89,Places[#All],6,FALSE)</f>
        <v>139640</v>
      </c>
      <c r="E89"/>
      <c r="F89" s="44" t="s">
        <v>155</v>
      </c>
      <c r="G89" s="10">
        <v>847733.15992405056</v>
      </c>
      <c r="H89" s="199">
        <f>VLOOKUP(F89,Places[#All],7,FALSE)</f>
        <v>5.8</v>
      </c>
      <c r="I89" s="177">
        <f>VLOOKUP(F89,Places[#All],6,FALSE)</f>
        <v>59721</v>
      </c>
      <c r="J89"/>
      <c r="K89"/>
      <c r="L89"/>
      <c r="M89"/>
      <c r="N89"/>
      <c r="O89"/>
      <c r="P89"/>
      <c r="Q89"/>
      <c r="R89"/>
      <c r="S89"/>
      <c r="T89"/>
      <c r="U89"/>
      <c r="V89"/>
      <c r="W89"/>
      <c r="X89"/>
      <c r="Y89"/>
      <c r="Z89"/>
      <c r="AA89"/>
      <c r="AB89"/>
      <c r="AC89"/>
      <c r="AD89"/>
      <c r="AE89"/>
      <c r="AF89"/>
      <c r="AG89"/>
      <c r="AH89"/>
      <c r="AI89"/>
      <c r="AJ89"/>
      <c r="AK89"/>
    </row>
    <row r="90" spans="1:37" x14ac:dyDescent="0.25">
      <c r="A90" s="44" t="s">
        <v>273</v>
      </c>
      <c r="B90" s="10">
        <v>1683421.335889328</v>
      </c>
      <c r="C90" s="199">
        <f>VLOOKUP(A90,Places[#All],7,FALSE)</f>
        <v>18</v>
      </c>
      <c r="D90" s="177">
        <f>VLOOKUP(A90,Places[#All],6,FALSE)</f>
        <v>172646</v>
      </c>
      <c r="E90"/>
      <c r="F90" s="44" t="s">
        <v>189</v>
      </c>
      <c r="G90" s="10">
        <v>767633.81012658228</v>
      </c>
      <c r="H90" s="199">
        <f>VLOOKUP(F90,Places[#All],7,FALSE)</f>
        <v>30.4</v>
      </c>
      <c r="I90" s="177">
        <f>VLOOKUP(F90,Places[#All],6,FALSE)</f>
        <v>201361</v>
      </c>
      <c r="J90"/>
      <c r="K90"/>
      <c r="L90"/>
      <c r="M90"/>
      <c r="N90"/>
      <c r="O90"/>
      <c r="P90"/>
      <c r="Q90"/>
      <c r="R90"/>
      <c r="S90"/>
      <c r="T90"/>
      <c r="U90"/>
      <c r="V90"/>
      <c r="W90"/>
      <c r="X90"/>
      <c r="Y90"/>
      <c r="Z90"/>
      <c r="AA90"/>
      <c r="AB90"/>
      <c r="AC90"/>
      <c r="AD90"/>
      <c r="AE90"/>
      <c r="AF90"/>
      <c r="AG90"/>
      <c r="AH90"/>
      <c r="AI90"/>
      <c r="AJ90"/>
      <c r="AK90"/>
    </row>
    <row r="91" spans="1:37" x14ac:dyDescent="0.25">
      <c r="A91" s="44" t="s">
        <v>155</v>
      </c>
      <c r="B91" s="10">
        <v>847733.15992405056</v>
      </c>
      <c r="C91" s="199">
        <f>VLOOKUP(A91,Places[#All],7,FALSE)</f>
        <v>5.8</v>
      </c>
      <c r="D91" s="177">
        <f>VLOOKUP(A91,Places[#All],6,FALSE)</f>
        <v>59721</v>
      </c>
      <c r="E91"/>
      <c r="F91" s="44" t="s">
        <v>202</v>
      </c>
      <c r="G91" s="10">
        <v>498484.19620253163</v>
      </c>
      <c r="H91" s="199">
        <f>VLOOKUP(F91,Places[#All],7,FALSE)</f>
        <v>19.399999999999999</v>
      </c>
      <c r="I91" s="177">
        <f>VLOOKUP(F91,Places[#All],6,FALSE)</f>
        <v>52002</v>
      </c>
      <c r="J91"/>
      <c r="K91"/>
      <c r="L91"/>
      <c r="M91"/>
      <c r="N91"/>
      <c r="O91"/>
      <c r="P91"/>
      <c r="Q91"/>
      <c r="R91"/>
      <c r="S91"/>
      <c r="T91"/>
      <c r="U91"/>
      <c r="V91"/>
      <c r="W91"/>
      <c r="X91"/>
      <c r="Y91"/>
      <c r="Z91"/>
      <c r="AA91"/>
      <c r="AB91"/>
      <c r="AC91"/>
      <c r="AD91"/>
      <c r="AE91"/>
      <c r="AF91"/>
      <c r="AG91"/>
      <c r="AH91"/>
      <c r="AI91"/>
      <c r="AJ91"/>
      <c r="AK91"/>
    </row>
    <row r="92" spans="1:37" x14ac:dyDescent="0.25">
      <c r="A92" s="44" t="s">
        <v>189</v>
      </c>
      <c r="B92" s="10">
        <v>767633.81012658228</v>
      </c>
      <c r="C92" s="199">
        <f>VLOOKUP(A92,Places[#All],7,FALSE)</f>
        <v>30.4</v>
      </c>
      <c r="D92" s="177">
        <f>VLOOKUP(A92,Places[#All],6,FALSE)</f>
        <v>201361</v>
      </c>
      <c r="E92"/>
      <c r="F92" s="44" t="s">
        <v>17</v>
      </c>
      <c r="G92" s="10">
        <v>131400.92152091255</v>
      </c>
      <c r="H92" s="199">
        <f>VLOOKUP(F92,Places[#All],7,FALSE)</f>
        <v>3.5</v>
      </c>
      <c r="I92" s="177">
        <f>VLOOKUP(F92,Places[#All],6,FALSE)</f>
        <v>12584</v>
      </c>
      <c r="J92"/>
      <c r="K92"/>
      <c r="L92"/>
      <c r="M92"/>
      <c r="N92"/>
      <c r="O92"/>
      <c r="P92"/>
      <c r="Q92"/>
      <c r="R92"/>
      <c r="S92"/>
      <c r="T92"/>
      <c r="U92"/>
      <c r="V92"/>
      <c r="W92"/>
      <c r="X92"/>
      <c r="Y92"/>
      <c r="Z92"/>
      <c r="AA92"/>
      <c r="AB92"/>
      <c r="AC92"/>
      <c r="AD92"/>
      <c r="AE92"/>
      <c r="AF92"/>
      <c r="AG92"/>
      <c r="AH92"/>
      <c r="AI92"/>
      <c r="AJ92"/>
      <c r="AK92"/>
    </row>
    <row r="93" spans="1:37" x14ac:dyDescent="0.25">
      <c r="A93" s="44" t="s">
        <v>202</v>
      </c>
      <c r="B93" s="10">
        <v>498484.19620253163</v>
      </c>
      <c r="C93" s="199">
        <f>VLOOKUP(A93,Places[#All],7,FALSE)</f>
        <v>19.399999999999999</v>
      </c>
      <c r="D93" s="177">
        <f>VLOOKUP(A93,Places[#All],6,FALSE)</f>
        <v>52002</v>
      </c>
      <c r="E93"/>
      <c r="F93" s="44" t="s">
        <v>168</v>
      </c>
      <c r="G93" s="10">
        <v>119445.09493670885</v>
      </c>
      <c r="H93" s="199">
        <f>VLOOKUP(F93,Places[#All],7,FALSE)</f>
        <v>0.9</v>
      </c>
      <c r="I93" s="177">
        <f>VLOOKUP(F93,Places[#All],6,FALSE)</f>
        <v>14315</v>
      </c>
      <c r="J93"/>
      <c r="K93"/>
      <c r="L93"/>
      <c r="M93"/>
      <c r="N93"/>
      <c r="O93"/>
      <c r="P93"/>
      <c r="Q93"/>
      <c r="R93"/>
      <c r="S93"/>
      <c r="T93"/>
      <c r="U93"/>
      <c r="V93"/>
      <c r="W93"/>
      <c r="X93"/>
      <c r="Y93"/>
      <c r="Z93"/>
      <c r="AA93"/>
      <c r="AB93"/>
      <c r="AC93"/>
      <c r="AD93"/>
      <c r="AE93"/>
      <c r="AF93"/>
      <c r="AG93"/>
      <c r="AH93"/>
      <c r="AI93"/>
      <c r="AJ93"/>
      <c r="AK93"/>
    </row>
    <row r="94" spans="1:37" x14ac:dyDescent="0.25">
      <c r="A94" s="44" t="s">
        <v>17</v>
      </c>
      <c r="B94" s="10">
        <v>131400.92152091255</v>
      </c>
      <c r="C94" s="199">
        <f>VLOOKUP(A94,Places[#All],7,FALSE)</f>
        <v>3.5</v>
      </c>
      <c r="D94" s="177">
        <f>VLOOKUP(A94,Places[#All],6,FALSE)</f>
        <v>12584</v>
      </c>
      <c r="E94"/>
      <c r="F94" s="44" t="s">
        <v>222</v>
      </c>
      <c r="G94" s="10">
        <v>1212500.4303797467</v>
      </c>
      <c r="H94" s="199">
        <f>VLOOKUP(F94,Places[#All],7,FALSE)</f>
        <v>6.1</v>
      </c>
      <c r="I94" s="177">
        <f>VLOOKUP(F94,Places[#All],6,FALSE)</f>
        <v>86965</v>
      </c>
      <c r="J94"/>
      <c r="K94"/>
      <c r="L94"/>
      <c r="M94"/>
      <c r="N94"/>
      <c r="O94"/>
      <c r="P94"/>
      <c r="Q94"/>
      <c r="R94"/>
      <c r="S94"/>
      <c r="T94"/>
      <c r="U94"/>
      <c r="V94"/>
      <c r="W94"/>
      <c r="X94"/>
      <c r="Y94"/>
      <c r="Z94"/>
      <c r="AA94"/>
      <c r="AB94"/>
      <c r="AC94"/>
      <c r="AD94"/>
      <c r="AE94"/>
      <c r="AF94"/>
      <c r="AG94"/>
      <c r="AH94"/>
      <c r="AI94"/>
      <c r="AJ94"/>
      <c r="AK94"/>
    </row>
    <row r="95" spans="1:37" x14ac:dyDescent="0.25">
      <c r="A95" s="44" t="s">
        <v>168</v>
      </c>
      <c r="B95" s="10">
        <v>119445.09493670885</v>
      </c>
      <c r="C95" s="199">
        <f>VLOOKUP(A95,Places[#All],7,FALSE)</f>
        <v>0.9</v>
      </c>
      <c r="D95" s="177">
        <f>VLOOKUP(A95,Places[#All],6,FALSE)</f>
        <v>14315</v>
      </c>
      <c r="E95"/>
      <c r="F95" s="44" t="s">
        <v>232</v>
      </c>
      <c r="G95" s="10">
        <v>918723.73720199999</v>
      </c>
      <c r="H95" s="199">
        <f>VLOOKUP(F95,Places[#All],7,FALSE)</f>
        <v>27.7</v>
      </c>
      <c r="I95" s="177">
        <f>VLOOKUP(F95,Places[#All],6,FALSE)</f>
        <v>85275</v>
      </c>
      <c r="J95"/>
      <c r="K95"/>
      <c r="L95"/>
      <c r="M95"/>
      <c r="N95"/>
      <c r="O95"/>
      <c r="P95"/>
      <c r="Q95"/>
      <c r="R95"/>
      <c r="S95"/>
      <c r="T95"/>
      <c r="U95"/>
      <c r="V95"/>
      <c r="W95"/>
      <c r="X95"/>
      <c r="Y95"/>
      <c r="Z95"/>
      <c r="AA95"/>
      <c r="AB95"/>
      <c r="AC95"/>
      <c r="AD95"/>
      <c r="AE95"/>
      <c r="AF95"/>
      <c r="AG95"/>
      <c r="AH95"/>
      <c r="AI95"/>
      <c r="AJ95"/>
      <c r="AK95"/>
    </row>
    <row r="96" spans="1:37" x14ac:dyDescent="0.25">
      <c r="A96" s="44" t="s">
        <v>222</v>
      </c>
      <c r="B96" s="10">
        <v>1212500.4303797467</v>
      </c>
      <c r="C96" s="199">
        <f>VLOOKUP(A96,Places[#All],7,FALSE)</f>
        <v>6.1</v>
      </c>
      <c r="D96" s="177">
        <f>VLOOKUP(A96,Places[#All],6,FALSE)</f>
        <v>86965</v>
      </c>
      <c r="E96"/>
      <c r="F96" s="44" t="s">
        <v>146</v>
      </c>
      <c r="G96" s="10">
        <v>754217.73706329113</v>
      </c>
      <c r="H96" s="199">
        <f>VLOOKUP(F96,Places[#All],7,FALSE)</f>
        <v>1.4</v>
      </c>
      <c r="I96" s="177">
        <f>VLOOKUP(F96,Places[#All],6,FALSE)</f>
        <v>19465</v>
      </c>
      <c r="J96"/>
      <c r="K96"/>
      <c r="L96"/>
      <c r="M96"/>
      <c r="N96"/>
      <c r="O96"/>
      <c r="P96"/>
      <c r="Q96"/>
      <c r="R96"/>
      <c r="S96"/>
      <c r="T96"/>
      <c r="U96"/>
      <c r="V96"/>
      <c r="W96"/>
      <c r="X96"/>
      <c r="Y96"/>
      <c r="Z96"/>
      <c r="AA96"/>
      <c r="AB96"/>
      <c r="AC96"/>
      <c r="AD96"/>
      <c r="AE96"/>
      <c r="AF96"/>
      <c r="AG96"/>
      <c r="AH96"/>
      <c r="AI96"/>
      <c r="AJ96"/>
      <c r="AK96"/>
    </row>
    <row r="97" spans="1:37" x14ac:dyDescent="0.25">
      <c r="A97" s="44" t="s">
        <v>232</v>
      </c>
      <c r="B97" s="10">
        <v>918723.73720199999</v>
      </c>
      <c r="C97" s="199">
        <f>VLOOKUP(A97,Places[#All],7,FALSE)</f>
        <v>27.7</v>
      </c>
      <c r="D97" s="177">
        <f>VLOOKUP(A97,Places[#All],6,FALSE)</f>
        <v>85275</v>
      </c>
      <c r="E97"/>
      <c r="F97" s="44" t="s">
        <v>173</v>
      </c>
      <c r="G97" s="10">
        <v>119531.09540506329</v>
      </c>
      <c r="H97" s="199">
        <f>VLOOKUP(F97,Places[#All],7,FALSE)</f>
        <v>1.7</v>
      </c>
      <c r="I97" s="177">
        <f>VLOOKUP(F97,Places[#All],6,FALSE)</f>
        <v>1898</v>
      </c>
      <c r="J97"/>
      <c r="K97"/>
      <c r="L97"/>
      <c r="M97"/>
      <c r="N97"/>
      <c r="O97"/>
      <c r="P97"/>
      <c r="Q97"/>
      <c r="R97"/>
      <c r="S97"/>
      <c r="T97"/>
      <c r="U97"/>
      <c r="V97"/>
      <c r="W97"/>
      <c r="X97"/>
      <c r="Y97"/>
      <c r="Z97"/>
      <c r="AA97"/>
      <c r="AB97"/>
      <c r="AC97"/>
      <c r="AD97"/>
      <c r="AE97"/>
      <c r="AF97"/>
      <c r="AG97"/>
      <c r="AH97"/>
      <c r="AI97"/>
      <c r="AJ97"/>
      <c r="AK97"/>
    </row>
    <row r="98" spans="1:37" x14ac:dyDescent="0.25">
      <c r="A98" s="44" t="s">
        <v>146</v>
      </c>
      <c r="B98" s="10">
        <v>754217.73706329113</v>
      </c>
      <c r="C98" s="199">
        <f>VLOOKUP(A98,Places[#All],7,FALSE)</f>
        <v>1.4</v>
      </c>
      <c r="D98" s="177">
        <f>VLOOKUP(A98,Places[#All],6,FALSE)</f>
        <v>19465</v>
      </c>
      <c r="E98"/>
      <c r="F98" s="44" t="s">
        <v>245</v>
      </c>
      <c r="G98" s="10">
        <v>562900.77946768061</v>
      </c>
      <c r="H98" s="199">
        <f>VLOOKUP(F98,Places[#All],7,FALSE)</f>
        <v>18.8</v>
      </c>
      <c r="I98" s="177">
        <f>VLOOKUP(F98,Places[#All],6,FALSE)</f>
        <v>55406</v>
      </c>
      <c r="J98"/>
      <c r="K98"/>
      <c r="L98"/>
      <c r="M98"/>
      <c r="N98"/>
      <c r="O98"/>
      <c r="P98"/>
      <c r="Q98"/>
      <c r="R98"/>
      <c r="S98"/>
      <c r="T98"/>
      <c r="U98"/>
      <c r="V98"/>
      <c r="W98"/>
      <c r="X98"/>
      <c r="Y98"/>
      <c r="Z98"/>
      <c r="AA98"/>
      <c r="AB98"/>
      <c r="AC98"/>
      <c r="AD98"/>
      <c r="AE98"/>
      <c r="AF98"/>
      <c r="AG98"/>
      <c r="AH98"/>
      <c r="AI98"/>
      <c r="AJ98"/>
      <c r="AK98"/>
    </row>
    <row r="99" spans="1:37" x14ac:dyDescent="0.25">
      <c r="A99" s="44" t="s">
        <v>173</v>
      </c>
      <c r="B99" s="10">
        <v>119531.09540506329</v>
      </c>
      <c r="C99" s="199">
        <f>VLOOKUP(A99,Places[#All],7,FALSE)</f>
        <v>1.7</v>
      </c>
      <c r="D99" s="177">
        <f>VLOOKUP(A99,Places[#All],6,FALSE)</f>
        <v>1898</v>
      </c>
      <c r="E99"/>
      <c r="F99" s="44" t="s">
        <v>274</v>
      </c>
      <c r="G99" s="10">
        <v>12523295.5053642</v>
      </c>
      <c r="H99" s="199">
        <f>VLOOKUP(F99,Places[#All],7,FALSE)</f>
        <v>26.9</v>
      </c>
      <c r="I99" s="177">
        <f>VLOOKUP(F99,Places[#All],6,FALSE)</f>
        <v>200641</v>
      </c>
      <c r="J99"/>
      <c r="K99"/>
      <c r="L99"/>
      <c r="M99"/>
      <c r="N99"/>
      <c r="O99"/>
      <c r="P99"/>
      <c r="Q99"/>
      <c r="R99"/>
      <c r="S99"/>
      <c r="T99"/>
      <c r="U99"/>
      <c r="V99"/>
      <c r="W99"/>
      <c r="X99"/>
      <c r="Y99"/>
      <c r="Z99"/>
      <c r="AA99"/>
      <c r="AB99"/>
      <c r="AC99"/>
      <c r="AD99"/>
      <c r="AE99"/>
      <c r="AF99"/>
      <c r="AG99"/>
      <c r="AH99"/>
      <c r="AI99"/>
      <c r="AJ99"/>
      <c r="AK99"/>
    </row>
    <row r="100" spans="1:37" x14ac:dyDescent="0.25">
      <c r="A100" s="44" t="s">
        <v>245</v>
      </c>
      <c r="B100" s="10">
        <v>562900.77946768061</v>
      </c>
      <c r="C100" s="199">
        <f>VLOOKUP(A100,Places[#All],7,FALSE)</f>
        <v>18.8</v>
      </c>
      <c r="D100" s="177">
        <f>VLOOKUP(A100,Places[#All],6,FALSE)</f>
        <v>55406</v>
      </c>
      <c r="E100"/>
      <c r="F100" s="44" t="s">
        <v>312</v>
      </c>
      <c r="G100" s="10">
        <v>5435158.7614075895</v>
      </c>
      <c r="H100" s="199">
        <f>VLOOKUP(F100,Places[#All],7,FALSE)</f>
        <v>4.2</v>
      </c>
      <c r="I100" s="177">
        <f>VLOOKUP(F100,Places[#All],6,FALSE)</f>
        <v>27447</v>
      </c>
      <c r="J100"/>
      <c r="K100"/>
      <c r="L100"/>
      <c r="M100"/>
      <c r="N100"/>
      <c r="O100"/>
      <c r="P100"/>
      <c r="Q100"/>
      <c r="R100"/>
      <c r="S100"/>
      <c r="T100"/>
      <c r="U100"/>
      <c r="V100"/>
      <c r="W100"/>
      <c r="X100"/>
      <c r="Y100"/>
      <c r="Z100"/>
      <c r="AA100"/>
      <c r="AB100"/>
      <c r="AC100"/>
      <c r="AD100"/>
      <c r="AE100"/>
      <c r="AF100"/>
      <c r="AG100"/>
      <c r="AH100"/>
      <c r="AI100"/>
      <c r="AJ100"/>
      <c r="AK100"/>
    </row>
    <row r="101" spans="1:37" x14ac:dyDescent="0.25">
      <c r="A101" s="44" t="s">
        <v>274</v>
      </c>
      <c r="B101" s="10">
        <v>12523295.5053642</v>
      </c>
      <c r="C101" s="199">
        <f>VLOOKUP(A101,Places[#All],7,FALSE)</f>
        <v>26.9</v>
      </c>
      <c r="D101" s="177">
        <f>VLOOKUP(A101,Places[#All],6,FALSE)</f>
        <v>200641</v>
      </c>
      <c r="E101"/>
      <c r="F101" s="44" t="s">
        <v>203</v>
      </c>
      <c r="G101" s="10">
        <v>5295415.1348734172</v>
      </c>
      <c r="H101" s="199">
        <f>VLOOKUP(F101,Places[#All],7,FALSE)</f>
        <v>11.8</v>
      </c>
      <c r="I101" s="177">
        <f>VLOOKUP(F101,Places[#All],6,FALSE)</f>
        <v>202</v>
      </c>
      <c r="J101"/>
      <c r="K101"/>
      <c r="L101"/>
      <c r="M101"/>
      <c r="N101"/>
      <c r="O101"/>
      <c r="P101"/>
      <c r="Q101"/>
      <c r="R101"/>
      <c r="S101"/>
      <c r="T101"/>
      <c r="U101"/>
      <c r="V101"/>
      <c r="W101"/>
      <c r="X101"/>
      <c r="Y101"/>
      <c r="Z101"/>
      <c r="AA101"/>
      <c r="AB101"/>
      <c r="AC101"/>
      <c r="AD101"/>
      <c r="AE101"/>
      <c r="AF101"/>
      <c r="AG101"/>
      <c r="AH101"/>
      <c r="AI101"/>
      <c r="AJ101"/>
      <c r="AK101"/>
    </row>
    <row r="102" spans="1:37" x14ac:dyDescent="0.25">
      <c r="A102" s="44" t="s">
        <v>312</v>
      </c>
      <c r="B102" s="10">
        <v>5435158.7614075895</v>
      </c>
      <c r="C102" s="199">
        <f>VLOOKUP(A102,Places[#All],7,FALSE)</f>
        <v>4.2</v>
      </c>
      <c r="D102" s="177">
        <f>VLOOKUP(A102,Places[#All],6,FALSE)</f>
        <v>27447</v>
      </c>
      <c r="E102"/>
      <c r="F102" s="44" t="s">
        <v>223</v>
      </c>
      <c r="G102" s="10">
        <v>2651734.1943037971</v>
      </c>
      <c r="H102" s="199">
        <f>VLOOKUP(F102,Places[#All],7,FALSE)</f>
        <v>9.1</v>
      </c>
      <c r="I102" s="177">
        <f>VLOOKUP(F102,Places[#All],6,FALSE)</f>
        <v>109419</v>
      </c>
      <c r="J102"/>
      <c r="K102"/>
      <c r="L102"/>
      <c r="M102"/>
      <c r="N102"/>
      <c r="O102"/>
      <c r="P102"/>
      <c r="Q102"/>
      <c r="R102"/>
      <c r="S102"/>
      <c r="T102"/>
      <c r="U102"/>
      <c r="V102"/>
      <c r="W102"/>
      <c r="X102"/>
      <c r="Y102"/>
      <c r="Z102"/>
      <c r="AA102"/>
      <c r="AB102"/>
      <c r="AC102"/>
      <c r="AD102"/>
      <c r="AE102"/>
      <c r="AF102"/>
      <c r="AG102"/>
      <c r="AH102"/>
      <c r="AI102"/>
      <c r="AJ102"/>
      <c r="AK102"/>
    </row>
    <row r="103" spans="1:37" x14ac:dyDescent="0.25">
      <c r="A103" s="44" t="s">
        <v>203</v>
      </c>
      <c r="B103" s="10">
        <v>5295415.1348734172</v>
      </c>
      <c r="C103" s="199">
        <f>VLOOKUP(A103,Places[#All],7,FALSE)</f>
        <v>11.8</v>
      </c>
      <c r="D103" s="177">
        <f>VLOOKUP(A103,Places[#All],6,FALSE)</f>
        <v>202</v>
      </c>
      <c r="E103"/>
      <c r="F103" s="44" t="s">
        <v>275</v>
      </c>
      <c r="G103" s="10">
        <v>3572387.2623150763</v>
      </c>
      <c r="H103" s="199">
        <f>VLOOKUP(F103,Places[#All],7,FALSE)</f>
        <v>65.599999999999994</v>
      </c>
      <c r="I103" s="177">
        <f>VLOOKUP(F103,Places[#All],6,FALSE)</f>
        <v>282572</v>
      </c>
      <c r="J103"/>
      <c r="K103"/>
      <c r="L103"/>
      <c r="M103"/>
      <c r="N103"/>
      <c r="O103"/>
      <c r="P103"/>
      <c r="Q103"/>
      <c r="R103"/>
      <c r="S103"/>
      <c r="T103"/>
      <c r="U103"/>
      <c r="V103"/>
      <c r="W103"/>
      <c r="X103"/>
      <c r="Y103"/>
      <c r="Z103"/>
      <c r="AA103"/>
      <c r="AB103"/>
      <c r="AC103"/>
      <c r="AD103"/>
      <c r="AE103"/>
      <c r="AF103"/>
      <c r="AG103"/>
      <c r="AH103"/>
      <c r="AI103"/>
      <c r="AJ103"/>
      <c r="AK103"/>
    </row>
    <row r="104" spans="1:37" x14ac:dyDescent="0.25">
      <c r="A104" s="44" t="s">
        <v>223</v>
      </c>
      <c r="B104" s="10">
        <v>2651734.1943037971</v>
      </c>
      <c r="C104" s="199">
        <f>VLOOKUP(A104,Places[#All],7,FALSE)</f>
        <v>9.1</v>
      </c>
      <c r="D104" s="177">
        <f>VLOOKUP(A104,Places[#All],6,FALSE)</f>
        <v>109419</v>
      </c>
      <c r="E104"/>
      <c r="F104" s="44" t="s">
        <v>156</v>
      </c>
      <c r="G104" s="10">
        <v>530965.45827911387</v>
      </c>
      <c r="H104" s="199">
        <f>VLOOKUP(F104,Places[#All],7,FALSE)</f>
        <v>8.8000000000000007</v>
      </c>
      <c r="I104" s="177">
        <f>VLOOKUP(F104,Places[#All],6,FALSE)</f>
        <v>1463</v>
      </c>
      <c r="J104"/>
      <c r="K104"/>
      <c r="L104"/>
      <c r="M104"/>
      <c r="N104"/>
      <c r="O104"/>
      <c r="P104"/>
      <c r="Q104"/>
      <c r="R104"/>
      <c r="S104"/>
      <c r="T104"/>
      <c r="U104"/>
      <c r="V104"/>
      <c r="W104"/>
      <c r="X104"/>
      <c r="Y104"/>
      <c r="Z104"/>
      <c r="AA104"/>
      <c r="AB104"/>
      <c r="AC104"/>
      <c r="AD104"/>
      <c r="AE104"/>
      <c r="AF104"/>
      <c r="AG104"/>
      <c r="AH104"/>
      <c r="AI104"/>
      <c r="AJ104"/>
      <c r="AK104"/>
    </row>
    <row r="105" spans="1:37" x14ac:dyDescent="0.25">
      <c r="A105" s="44" t="s">
        <v>275</v>
      </c>
      <c r="B105" s="10">
        <v>3572387.2623150763</v>
      </c>
      <c r="C105" s="199">
        <f>VLOOKUP(A105,Places[#All],7,FALSE)</f>
        <v>65.599999999999994</v>
      </c>
      <c r="D105" s="177">
        <f>VLOOKUP(A105,Places[#All],6,FALSE)</f>
        <v>282572</v>
      </c>
      <c r="E105"/>
      <c r="F105" s="44" t="s">
        <v>233</v>
      </c>
      <c r="G105" s="10">
        <v>533143.18125000002</v>
      </c>
      <c r="H105" s="199">
        <f>VLOOKUP(F105,Places[#All],7,FALSE)</f>
        <v>42.9</v>
      </c>
      <c r="I105" s="177">
        <f>VLOOKUP(F105,Places[#All],6,FALSE)</f>
        <v>108393</v>
      </c>
      <c r="J105"/>
      <c r="K105"/>
      <c r="L105"/>
      <c r="M105"/>
      <c r="N105"/>
      <c r="O105"/>
      <c r="P105"/>
      <c r="Q105"/>
      <c r="R105"/>
      <c r="S105"/>
      <c r="T105"/>
      <c r="U105"/>
      <c r="V105"/>
      <c r="W105"/>
      <c r="X105"/>
      <c r="Y105"/>
      <c r="Z105"/>
      <c r="AA105"/>
      <c r="AB105"/>
      <c r="AC105"/>
      <c r="AD105"/>
      <c r="AE105"/>
      <c r="AF105"/>
      <c r="AG105"/>
      <c r="AH105"/>
      <c r="AI105"/>
      <c r="AJ105"/>
      <c r="AK105"/>
    </row>
    <row r="106" spans="1:37" x14ac:dyDescent="0.25">
      <c r="A106" s="44" t="s">
        <v>156</v>
      </c>
      <c r="B106" s="10">
        <v>530965.45827911387</v>
      </c>
      <c r="C106" s="199">
        <f>VLOOKUP(A106,Places[#All],7,FALSE)</f>
        <v>8.8000000000000007</v>
      </c>
      <c r="D106" s="177">
        <f>VLOOKUP(A106,Places[#All],6,FALSE)</f>
        <v>1463</v>
      </c>
      <c r="E106"/>
      <c r="F106" s="44" t="s">
        <v>190</v>
      </c>
      <c r="G106" s="10">
        <v>535470.76799999992</v>
      </c>
      <c r="H106" s="199">
        <f>VLOOKUP(F106,Places[#All],7,FALSE)</f>
        <v>8.6</v>
      </c>
      <c r="I106" s="177">
        <f>VLOOKUP(F106,Places[#All],6,FALSE)</f>
        <v>20227</v>
      </c>
      <c r="J106"/>
      <c r="K106"/>
      <c r="L106"/>
      <c r="M106"/>
      <c r="N106"/>
      <c r="O106"/>
      <c r="P106"/>
      <c r="Q106"/>
      <c r="R106"/>
      <c r="S106"/>
      <c r="T106"/>
      <c r="U106"/>
      <c r="V106"/>
      <c r="W106"/>
      <c r="X106"/>
      <c r="Y106"/>
      <c r="Z106"/>
      <c r="AA106"/>
      <c r="AB106"/>
      <c r="AC106"/>
      <c r="AD106"/>
      <c r="AE106"/>
      <c r="AF106"/>
      <c r="AG106"/>
      <c r="AH106"/>
      <c r="AI106"/>
      <c r="AJ106"/>
      <c r="AK106"/>
    </row>
    <row r="107" spans="1:37" x14ac:dyDescent="0.25">
      <c r="A107" s="44" t="s">
        <v>233</v>
      </c>
      <c r="B107" s="10">
        <v>533143.18125000002</v>
      </c>
      <c r="C107" s="199">
        <f>VLOOKUP(A107,Places[#All],7,FALSE)</f>
        <v>42.9</v>
      </c>
      <c r="D107" s="177">
        <f>VLOOKUP(A107,Places[#All],6,FALSE)</f>
        <v>108393</v>
      </c>
      <c r="E107"/>
      <c r="F107" s="44" t="s">
        <v>276</v>
      </c>
      <c r="G107" s="10">
        <v>2539451.2427837378</v>
      </c>
      <c r="H107" s="199">
        <f>VLOOKUP(F107,Places[#All],7,FALSE)</f>
        <v>7.4</v>
      </c>
      <c r="I107" s="177">
        <f>VLOOKUP(F107,Places[#All],6,FALSE)</f>
        <v>62183</v>
      </c>
      <c r="J107"/>
      <c r="K107"/>
      <c r="L107"/>
      <c r="M107"/>
      <c r="N107"/>
      <c r="O107"/>
      <c r="P107"/>
      <c r="Q107"/>
      <c r="R107"/>
      <c r="S107"/>
      <c r="T107"/>
      <c r="U107"/>
      <c r="V107"/>
      <c r="W107"/>
      <c r="X107"/>
      <c r="Y107"/>
      <c r="Z107"/>
      <c r="AA107"/>
      <c r="AB107"/>
      <c r="AC107"/>
      <c r="AD107"/>
      <c r="AE107"/>
      <c r="AF107"/>
      <c r="AG107"/>
      <c r="AH107"/>
      <c r="AI107"/>
      <c r="AJ107"/>
      <c r="AK107"/>
    </row>
    <row r="108" spans="1:37" x14ac:dyDescent="0.25">
      <c r="A108" s="44" t="s">
        <v>190</v>
      </c>
      <c r="B108" s="10">
        <v>535470.76799999992</v>
      </c>
      <c r="C108" s="199">
        <f>VLOOKUP(A108,Places[#All],7,FALSE)</f>
        <v>8.6</v>
      </c>
      <c r="D108" s="177">
        <f>VLOOKUP(A108,Places[#All],6,FALSE)</f>
        <v>20227</v>
      </c>
      <c r="E108"/>
      <c r="F108" s="44" t="s">
        <v>157</v>
      </c>
      <c r="G108" s="10">
        <v>47665.494151898733</v>
      </c>
      <c r="H108" s="199">
        <f>VLOOKUP(F108,Places[#All],7,FALSE)</f>
        <v>6.2</v>
      </c>
      <c r="I108" s="177">
        <f>VLOOKUP(F108,Places[#All],6,FALSE)</f>
        <v>5353</v>
      </c>
      <c r="J108"/>
      <c r="K108"/>
      <c r="L108"/>
      <c r="M108"/>
      <c r="N108"/>
      <c r="O108"/>
      <c r="P108"/>
      <c r="Q108"/>
      <c r="R108"/>
      <c r="S108"/>
      <c r="T108"/>
      <c r="U108"/>
      <c r="V108"/>
      <c r="W108"/>
      <c r="X108"/>
      <c r="Y108"/>
      <c r="Z108"/>
      <c r="AA108"/>
      <c r="AB108"/>
      <c r="AC108"/>
      <c r="AD108"/>
      <c r="AE108"/>
      <c r="AF108"/>
      <c r="AG108"/>
      <c r="AH108"/>
      <c r="AI108"/>
      <c r="AJ108"/>
      <c r="AK108"/>
    </row>
    <row r="109" spans="1:37" x14ac:dyDescent="0.25">
      <c r="A109" s="44" t="s">
        <v>276</v>
      </c>
      <c r="B109" s="10">
        <v>2539451.2427837378</v>
      </c>
      <c r="C109" s="199">
        <f>VLOOKUP(A109,Places[#All],7,FALSE)</f>
        <v>7.4</v>
      </c>
      <c r="D109" s="177">
        <f>VLOOKUP(A109,Places[#All],6,FALSE)</f>
        <v>62183</v>
      </c>
      <c r="E109"/>
      <c r="F109" s="44" t="s">
        <v>313</v>
      </c>
      <c r="G109" s="10">
        <v>548931.33253365976</v>
      </c>
      <c r="H109" s="199">
        <f>VLOOKUP(F109,Places[#All],7,FALSE)</f>
        <v>9.1</v>
      </c>
      <c r="I109" s="177">
        <f>VLOOKUP(F109,Places[#All],6,FALSE)</f>
        <v>59556</v>
      </c>
      <c r="J109"/>
      <c r="K109"/>
      <c r="L109"/>
      <c r="M109"/>
      <c r="N109"/>
      <c r="O109"/>
      <c r="P109"/>
      <c r="Q109"/>
      <c r="R109"/>
      <c r="S109"/>
      <c r="T109"/>
      <c r="U109"/>
      <c r="V109"/>
      <c r="W109"/>
      <c r="X109"/>
      <c r="Y109"/>
      <c r="Z109"/>
      <c r="AA109"/>
      <c r="AB109"/>
      <c r="AC109"/>
      <c r="AD109"/>
      <c r="AE109"/>
      <c r="AF109"/>
      <c r="AG109"/>
      <c r="AH109"/>
      <c r="AI109"/>
      <c r="AJ109"/>
      <c r="AK109"/>
    </row>
    <row r="110" spans="1:37" x14ac:dyDescent="0.25">
      <c r="A110" s="44" t="s">
        <v>157</v>
      </c>
      <c r="B110" s="10">
        <v>47665.494151898733</v>
      </c>
      <c r="C110" s="199">
        <f>VLOOKUP(A110,Places[#All],7,FALSE)</f>
        <v>6.2</v>
      </c>
      <c r="D110" s="177">
        <f>VLOOKUP(A110,Places[#All],6,FALSE)</f>
        <v>5353</v>
      </c>
      <c r="E110"/>
      <c r="F110" s="44" t="s">
        <v>165</v>
      </c>
      <c r="G110" s="10">
        <v>1331635.4989367088</v>
      </c>
      <c r="H110" s="199">
        <f>VLOOKUP(F110,Places[#All],7,FALSE)</f>
        <v>7.8</v>
      </c>
      <c r="I110" s="177">
        <f>VLOOKUP(F110,Places[#All],6,FALSE)</f>
        <v>48683</v>
      </c>
      <c r="J110"/>
      <c r="K110"/>
      <c r="L110"/>
      <c r="M110"/>
      <c r="N110"/>
      <c r="O110"/>
      <c r="P110"/>
      <c r="Q110"/>
      <c r="R110"/>
      <c r="S110"/>
      <c r="T110"/>
      <c r="U110"/>
      <c r="V110"/>
      <c r="W110"/>
      <c r="X110"/>
      <c r="Y110"/>
      <c r="Z110"/>
      <c r="AA110"/>
      <c r="AB110"/>
      <c r="AC110"/>
      <c r="AD110"/>
      <c r="AE110"/>
      <c r="AF110"/>
      <c r="AG110"/>
      <c r="AH110"/>
      <c r="AI110"/>
      <c r="AJ110"/>
      <c r="AK110"/>
    </row>
    <row r="111" spans="1:37" x14ac:dyDescent="0.25">
      <c r="A111" s="44" t="s">
        <v>313</v>
      </c>
      <c r="B111" s="10">
        <v>548931.33253365976</v>
      </c>
      <c r="C111" s="199">
        <f>VLOOKUP(A111,Places[#All],7,FALSE)</f>
        <v>9.1</v>
      </c>
      <c r="D111" s="177">
        <f>VLOOKUP(A111,Places[#All],6,FALSE)</f>
        <v>59556</v>
      </c>
      <c r="E111"/>
      <c r="F111" s="44" t="s">
        <v>277</v>
      </c>
      <c r="G111" s="10">
        <v>203038.22642574814</v>
      </c>
      <c r="H111" s="199">
        <f>VLOOKUP(F111,Places[#All],7,FALSE)</f>
        <v>1.8</v>
      </c>
      <c r="I111" s="177">
        <f>VLOOKUP(F111,Places[#All],6,FALSE)</f>
        <v>15568</v>
      </c>
      <c r="J111"/>
      <c r="K111"/>
      <c r="L111"/>
      <c r="M111"/>
      <c r="N111"/>
      <c r="O111"/>
      <c r="P111"/>
      <c r="Q111"/>
      <c r="R111"/>
      <c r="S111"/>
      <c r="T111"/>
      <c r="U111"/>
      <c r="V111"/>
      <c r="W111"/>
      <c r="X111"/>
      <c r="Y111"/>
      <c r="Z111"/>
      <c r="AA111"/>
      <c r="AB111"/>
      <c r="AC111"/>
      <c r="AD111"/>
      <c r="AE111"/>
      <c r="AF111"/>
      <c r="AG111"/>
      <c r="AH111"/>
      <c r="AI111"/>
      <c r="AJ111"/>
      <c r="AK111"/>
    </row>
    <row r="112" spans="1:37" x14ac:dyDescent="0.25">
      <c r="A112" s="44" t="s">
        <v>165</v>
      </c>
      <c r="B112" s="10">
        <v>1331635.4989367088</v>
      </c>
      <c r="C112" s="199">
        <f>VLOOKUP(A112,Places[#All],7,FALSE)</f>
        <v>7.8</v>
      </c>
      <c r="D112" s="177">
        <f>VLOOKUP(A112,Places[#All],6,FALSE)</f>
        <v>48683</v>
      </c>
      <c r="E112"/>
      <c r="F112" s="44" t="s">
        <v>204</v>
      </c>
      <c r="G112" s="10">
        <v>53178.017999999996</v>
      </c>
      <c r="H112" s="199">
        <f>VLOOKUP(F112,Places[#All],7,FALSE)</f>
        <v>3.5</v>
      </c>
      <c r="I112" s="177">
        <f>VLOOKUP(F112,Places[#All],6,FALSE)</f>
        <v>39908</v>
      </c>
      <c r="J112"/>
      <c r="K112"/>
      <c r="L112"/>
      <c r="M112"/>
      <c r="N112"/>
      <c r="O112"/>
      <c r="P112"/>
      <c r="Q112"/>
      <c r="R112"/>
      <c r="S112"/>
      <c r="T112"/>
      <c r="U112"/>
      <c r="V112"/>
      <c r="W112"/>
      <c r="X112"/>
      <c r="Y112"/>
      <c r="Z112"/>
      <c r="AA112"/>
      <c r="AB112"/>
      <c r="AC112"/>
      <c r="AD112"/>
      <c r="AE112"/>
      <c r="AF112"/>
      <c r="AG112"/>
      <c r="AH112"/>
      <c r="AI112"/>
      <c r="AJ112"/>
      <c r="AK112"/>
    </row>
    <row r="113" spans="1:37" x14ac:dyDescent="0.25">
      <c r="A113" s="44" t="s">
        <v>277</v>
      </c>
      <c r="B113" s="10">
        <v>203038.22642574814</v>
      </c>
      <c r="C113" s="199">
        <f>VLOOKUP(A113,Places[#All],7,FALSE)</f>
        <v>1.8</v>
      </c>
      <c r="D113" s="177">
        <f>VLOOKUP(A113,Places[#All],6,FALSE)</f>
        <v>15568</v>
      </c>
      <c r="E113"/>
      <c r="F113" s="44" t="s">
        <v>151</v>
      </c>
      <c r="G113" s="10">
        <v>5068301.9128405061</v>
      </c>
      <c r="H113" s="199">
        <f>VLOOKUP(F113,Places[#All],7,FALSE)</f>
        <v>8.4</v>
      </c>
      <c r="I113" s="177">
        <f>VLOOKUP(F113,Places[#All],6,FALSE)</f>
        <v>32206</v>
      </c>
      <c r="J113"/>
      <c r="K113"/>
      <c r="L113"/>
      <c r="M113"/>
      <c r="N113"/>
      <c r="O113"/>
      <c r="P113"/>
      <c r="Q113"/>
      <c r="R113"/>
      <c r="S113"/>
      <c r="T113"/>
      <c r="U113"/>
      <c r="V113"/>
      <c r="W113"/>
      <c r="X113"/>
      <c r="Y113"/>
      <c r="Z113"/>
      <c r="AA113"/>
      <c r="AB113"/>
      <c r="AC113"/>
      <c r="AD113"/>
      <c r="AE113"/>
      <c r="AF113"/>
      <c r="AG113"/>
      <c r="AH113"/>
      <c r="AI113"/>
      <c r="AJ113"/>
      <c r="AK113"/>
    </row>
    <row r="114" spans="1:37" x14ac:dyDescent="0.25">
      <c r="A114" s="44" t="s">
        <v>204</v>
      </c>
      <c r="B114" s="10">
        <v>53178.017999999996</v>
      </c>
      <c r="C114" s="199">
        <f>VLOOKUP(A114,Places[#All],7,FALSE)</f>
        <v>3.5</v>
      </c>
      <c r="D114" s="177">
        <f>VLOOKUP(A114,Places[#All],6,FALSE)</f>
        <v>39908</v>
      </c>
      <c r="E114"/>
      <c r="F114" s="44" t="s">
        <v>278</v>
      </c>
      <c r="G114" s="10">
        <v>1898195.0288372096</v>
      </c>
      <c r="H114" s="199">
        <f>VLOOKUP(F114,Places[#All],7,FALSE)</f>
        <v>8.9</v>
      </c>
      <c r="I114" s="177">
        <f>VLOOKUP(F114,Places[#All],6,FALSE)</f>
        <v>22991</v>
      </c>
      <c r="J114"/>
      <c r="K114"/>
      <c r="L114"/>
      <c r="M114"/>
      <c r="N114"/>
      <c r="O114"/>
      <c r="P114"/>
      <c r="Q114"/>
      <c r="R114"/>
      <c r="S114"/>
      <c r="T114"/>
      <c r="U114"/>
      <c r="V114"/>
      <c r="W114"/>
      <c r="X114"/>
      <c r="Y114"/>
      <c r="Z114"/>
      <c r="AA114"/>
      <c r="AB114"/>
      <c r="AC114"/>
      <c r="AD114"/>
      <c r="AE114"/>
      <c r="AF114"/>
      <c r="AG114"/>
      <c r="AH114"/>
      <c r="AI114"/>
      <c r="AJ114"/>
      <c r="AK114"/>
    </row>
    <row r="115" spans="1:37" x14ac:dyDescent="0.25">
      <c r="A115" s="44" t="s">
        <v>151</v>
      </c>
      <c r="B115" s="10">
        <v>5068301.9128405061</v>
      </c>
      <c r="C115" s="199">
        <f>VLOOKUP(A115,Places[#All],7,FALSE)</f>
        <v>8.4</v>
      </c>
      <c r="D115" s="177">
        <f>VLOOKUP(A115,Places[#All],6,FALSE)</f>
        <v>32206</v>
      </c>
      <c r="E115"/>
      <c r="F115" s="44" t="s">
        <v>279</v>
      </c>
      <c r="G115" s="10">
        <v>699806.24126071006</v>
      </c>
      <c r="H115" s="199">
        <f>VLOOKUP(F115,Places[#All],7,FALSE)</f>
        <v>6.6</v>
      </c>
      <c r="I115" s="177">
        <f>VLOOKUP(F115,Places[#All],6,FALSE)</f>
        <v>31024</v>
      </c>
      <c r="J115"/>
      <c r="K115"/>
      <c r="L115"/>
      <c r="M115"/>
      <c r="N115"/>
      <c r="O115"/>
      <c r="P115"/>
      <c r="Q115"/>
      <c r="R115"/>
      <c r="S115"/>
      <c r="T115"/>
      <c r="U115"/>
      <c r="V115"/>
      <c r="W115"/>
      <c r="X115"/>
      <c r="Y115"/>
      <c r="Z115"/>
      <c r="AA115"/>
      <c r="AB115"/>
      <c r="AC115"/>
      <c r="AD115"/>
      <c r="AE115"/>
      <c r="AF115"/>
      <c r="AG115"/>
      <c r="AH115"/>
      <c r="AI115"/>
      <c r="AJ115"/>
      <c r="AK115"/>
    </row>
    <row r="116" spans="1:37" x14ac:dyDescent="0.25">
      <c r="A116" s="44" t="s">
        <v>278</v>
      </c>
      <c r="B116" s="10">
        <v>1898195.0288372096</v>
      </c>
      <c r="C116" s="199">
        <f>VLOOKUP(A116,Places[#All],7,FALSE)</f>
        <v>8.9</v>
      </c>
      <c r="D116" s="177">
        <f>VLOOKUP(A116,Places[#All],6,FALSE)</f>
        <v>22991</v>
      </c>
      <c r="E116"/>
      <c r="F116" s="44" t="s">
        <v>280</v>
      </c>
      <c r="G116" s="10">
        <v>1711704.7344675644</v>
      </c>
      <c r="H116" s="199">
        <f>VLOOKUP(F116,Places[#All],7,FALSE)</f>
        <v>14.7</v>
      </c>
      <c r="I116" s="177">
        <f>VLOOKUP(F116,Places[#All],6,FALSE)</f>
        <v>66266</v>
      </c>
      <c r="J116"/>
      <c r="K116"/>
      <c r="L116"/>
      <c r="M116"/>
      <c r="N116"/>
      <c r="O116"/>
      <c r="P116"/>
      <c r="Q116"/>
      <c r="R116"/>
      <c r="S116"/>
      <c r="T116"/>
      <c r="U116"/>
      <c r="V116"/>
      <c r="W116"/>
      <c r="X116"/>
      <c r="Y116"/>
      <c r="Z116"/>
      <c r="AA116"/>
      <c r="AB116"/>
      <c r="AC116"/>
      <c r="AD116"/>
      <c r="AE116"/>
      <c r="AF116"/>
      <c r="AG116"/>
      <c r="AH116"/>
      <c r="AI116"/>
      <c r="AJ116"/>
      <c r="AK116"/>
    </row>
    <row r="117" spans="1:37" x14ac:dyDescent="0.25">
      <c r="A117" s="44" t="s">
        <v>279</v>
      </c>
      <c r="B117" s="10">
        <v>699806.24126071006</v>
      </c>
      <c r="C117" s="199">
        <f>VLOOKUP(A117,Places[#All],7,FALSE)</f>
        <v>6.6</v>
      </c>
      <c r="D117" s="177">
        <f>VLOOKUP(A117,Places[#All],6,FALSE)</f>
        <v>31024</v>
      </c>
      <c r="E117"/>
      <c r="F117" s="44" t="s">
        <v>281</v>
      </c>
      <c r="G117" s="10">
        <v>736687.48175030609</v>
      </c>
      <c r="H117" s="199">
        <f>VLOOKUP(F117,Places[#All],7,FALSE)</f>
        <v>3.3</v>
      </c>
      <c r="I117" s="177">
        <f>VLOOKUP(F117,Places[#All],6,FALSE)</f>
        <v>16046</v>
      </c>
      <c r="J117"/>
      <c r="K117"/>
      <c r="L117"/>
      <c r="M117"/>
      <c r="N117"/>
      <c r="O117"/>
      <c r="P117"/>
      <c r="Q117"/>
      <c r="R117"/>
      <c r="S117"/>
      <c r="T117"/>
      <c r="U117"/>
      <c r="V117"/>
      <c r="W117"/>
      <c r="X117"/>
      <c r="Y117"/>
      <c r="Z117"/>
      <c r="AA117"/>
      <c r="AB117"/>
      <c r="AC117"/>
      <c r="AD117"/>
      <c r="AE117"/>
      <c r="AF117"/>
      <c r="AG117"/>
      <c r="AH117"/>
      <c r="AI117"/>
      <c r="AJ117"/>
      <c r="AK117"/>
    </row>
    <row r="118" spans="1:37" x14ac:dyDescent="0.25">
      <c r="A118" s="44" t="s">
        <v>280</v>
      </c>
      <c r="B118" s="10">
        <v>1711704.7344675644</v>
      </c>
      <c r="C118" s="199">
        <f>VLOOKUP(A118,Places[#All],7,FALSE)</f>
        <v>14.7</v>
      </c>
      <c r="D118" s="177">
        <f>VLOOKUP(A118,Places[#All],6,FALSE)</f>
        <v>66266</v>
      </c>
      <c r="E118"/>
      <c r="F118" s="44" t="s">
        <v>234</v>
      </c>
      <c r="G118" s="10">
        <v>149294.57001712502</v>
      </c>
      <c r="H118" s="199">
        <f>VLOOKUP(F118,Places[#All],7,FALSE)</f>
        <v>38</v>
      </c>
      <c r="I118" s="177">
        <f>VLOOKUP(F118,Places[#All],6,FALSE)</f>
        <v>68183</v>
      </c>
      <c r="J118"/>
      <c r="K118"/>
      <c r="L118"/>
      <c r="M118"/>
      <c r="N118"/>
      <c r="O118"/>
      <c r="P118"/>
      <c r="Q118"/>
      <c r="R118"/>
      <c r="S118"/>
      <c r="T118"/>
      <c r="U118"/>
      <c r="V118"/>
      <c r="W118"/>
      <c r="X118"/>
      <c r="Y118"/>
      <c r="Z118"/>
      <c r="AA118"/>
      <c r="AB118"/>
      <c r="AC118"/>
      <c r="AD118"/>
      <c r="AE118"/>
      <c r="AF118"/>
      <c r="AG118"/>
      <c r="AH118"/>
      <c r="AI118"/>
      <c r="AJ118"/>
      <c r="AK118"/>
    </row>
    <row r="119" spans="1:37" x14ac:dyDescent="0.25">
      <c r="A119" s="44" t="s">
        <v>281</v>
      </c>
      <c r="B119" s="10">
        <v>736687.48175030609</v>
      </c>
      <c r="C119" s="199">
        <f>VLOOKUP(A119,Places[#All],7,FALSE)</f>
        <v>3.3</v>
      </c>
      <c r="D119" s="177">
        <f>VLOOKUP(A119,Places[#All],6,FALSE)</f>
        <v>16046</v>
      </c>
      <c r="E119"/>
      <c r="F119" s="44" t="s">
        <v>282</v>
      </c>
      <c r="G119" s="10">
        <v>1510205.385</v>
      </c>
      <c r="H119" s="199">
        <f>VLOOKUP(F119,Places[#All],7,FALSE)</f>
        <v>16.600000000000001</v>
      </c>
      <c r="I119" s="177">
        <f>VLOOKUP(F119,Places[#All],6,FALSE)</f>
        <v>85623</v>
      </c>
      <c r="J119"/>
      <c r="K119"/>
      <c r="L119"/>
      <c r="M119"/>
      <c r="N119"/>
      <c r="O119"/>
      <c r="P119"/>
      <c r="Q119"/>
      <c r="R119"/>
      <c r="S119"/>
      <c r="T119"/>
      <c r="U119"/>
      <c r="V119"/>
      <c r="W119"/>
      <c r="X119"/>
      <c r="Y119"/>
      <c r="Z119"/>
      <c r="AA119"/>
      <c r="AB119"/>
      <c r="AC119"/>
      <c r="AD119"/>
      <c r="AE119"/>
      <c r="AF119"/>
      <c r="AG119"/>
      <c r="AH119"/>
      <c r="AI119"/>
      <c r="AJ119"/>
      <c r="AK119"/>
    </row>
    <row r="120" spans="1:37" x14ac:dyDescent="0.25">
      <c r="A120" s="44" t="s">
        <v>234</v>
      </c>
      <c r="B120" s="10">
        <v>149294.57001712502</v>
      </c>
      <c r="C120" s="199">
        <f>VLOOKUP(A120,Places[#All],7,FALSE)</f>
        <v>38</v>
      </c>
      <c r="D120" s="177">
        <f>VLOOKUP(A120,Places[#All],6,FALSE)</f>
        <v>68183</v>
      </c>
      <c r="E120"/>
      <c r="F120" s="44" t="s">
        <v>163</v>
      </c>
      <c r="G120" s="10">
        <v>7275871.080835443</v>
      </c>
      <c r="H120" s="199">
        <f>VLOOKUP(F120,Places[#All],7,FALSE)</f>
        <v>9.4</v>
      </c>
      <c r="I120" s="177">
        <f>VLOOKUP(F120,Places[#All],6,FALSE)</f>
        <v>80140</v>
      </c>
      <c r="J120"/>
      <c r="K120"/>
      <c r="L120"/>
      <c r="M120"/>
      <c r="N120"/>
      <c r="O120"/>
      <c r="P120"/>
      <c r="Q120"/>
      <c r="R120"/>
      <c r="S120"/>
      <c r="T120"/>
      <c r="U120"/>
      <c r="V120"/>
      <c r="W120"/>
      <c r="X120"/>
      <c r="Y120"/>
      <c r="Z120"/>
      <c r="AA120"/>
      <c r="AB120"/>
      <c r="AC120"/>
      <c r="AD120"/>
      <c r="AE120"/>
      <c r="AF120"/>
      <c r="AG120"/>
      <c r="AH120"/>
      <c r="AI120"/>
      <c r="AJ120"/>
      <c r="AK120"/>
    </row>
    <row r="121" spans="1:37" x14ac:dyDescent="0.25">
      <c r="A121" s="44" t="s">
        <v>282</v>
      </c>
      <c r="B121" s="10">
        <v>1510205.385</v>
      </c>
      <c r="C121" s="199">
        <f>VLOOKUP(A121,Places[#All],7,FALSE)</f>
        <v>16.600000000000001</v>
      </c>
      <c r="D121" s="177">
        <f>VLOOKUP(A121,Places[#All],6,FALSE)</f>
        <v>85623</v>
      </c>
      <c r="E121"/>
      <c r="F121" s="44" t="s">
        <v>224</v>
      </c>
      <c r="G121" s="10">
        <v>90582.91306329114</v>
      </c>
      <c r="H121" s="199">
        <f>VLOOKUP(F121,Places[#All],7,FALSE)</f>
        <v>2</v>
      </c>
      <c r="I121" s="177">
        <f>VLOOKUP(F121,Places[#All],6,FALSE)</f>
        <v>32754</v>
      </c>
      <c r="J121"/>
      <c r="K121"/>
      <c r="L121"/>
      <c r="M121"/>
      <c r="N121"/>
      <c r="O121"/>
      <c r="P121"/>
      <c r="Q121"/>
      <c r="R121"/>
      <c r="S121"/>
      <c r="T121"/>
      <c r="U121"/>
      <c r="V121"/>
      <c r="W121"/>
      <c r="X121"/>
      <c r="Y121"/>
      <c r="Z121"/>
      <c r="AA121"/>
      <c r="AB121"/>
      <c r="AC121"/>
      <c r="AD121"/>
      <c r="AE121"/>
      <c r="AF121"/>
      <c r="AG121"/>
      <c r="AH121"/>
      <c r="AI121"/>
      <c r="AJ121"/>
      <c r="AK121"/>
    </row>
    <row r="122" spans="1:37" x14ac:dyDescent="0.25">
      <c r="A122" s="44" t="s">
        <v>163</v>
      </c>
      <c r="B122" s="10">
        <v>7275871.080835443</v>
      </c>
      <c r="C122" s="199">
        <f>VLOOKUP(A122,Places[#All],7,FALSE)</f>
        <v>9.4</v>
      </c>
      <c r="D122" s="177">
        <f>VLOOKUP(A122,Places[#All],6,FALSE)</f>
        <v>80140</v>
      </c>
      <c r="E122"/>
      <c r="F122" s="44" t="s">
        <v>314</v>
      </c>
      <c r="G122" s="10">
        <v>252529.46948041618</v>
      </c>
      <c r="H122" s="199">
        <f>VLOOKUP(F122,Places[#All],7,FALSE)</f>
        <v>3.9</v>
      </c>
      <c r="I122" s="177">
        <f>VLOOKUP(F122,Places[#All],6,FALSE)</f>
        <v>26969</v>
      </c>
      <c r="J122"/>
      <c r="K122"/>
      <c r="L122"/>
      <c r="M122"/>
      <c r="N122"/>
      <c r="O122"/>
      <c r="P122"/>
      <c r="Q122"/>
      <c r="R122"/>
      <c r="S122"/>
      <c r="T122"/>
      <c r="U122"/>
      <c r="V122"/>
      <c r="W122"/>
      <c r="X122"/>
      <c r="Y122"/>
      <c r="Z122"/>
      <c r="AA122"/>
      <c r="AB122"/>
      <c r="AC122"/>
      <c r="AD122"/>
      <c r="AE122"/>
      <c r="AF122"/>
      <c r="AG122"/>
      <c r="AH122"/>
      <c r="AI122"/>
      <c r="AJ122"/>
      <c r="AK122"/>
    </row>
    <row r="123" spans="1:37" x14ac:dyDescent="0.25">
      <c r="A123" s="44" t="s">
        <v>224</v>
      </c>
      <c r="B123" s="10">
        <v>90582.91306329114</v>
      </c>
      <c r="C123" s="199">
        <f>VLOOKUP(A123,Places[#All],7,FALSE)</f>
        <v>2</v>
      </c>
      <c r="D123" s="177">
        <f>VLOOKUP(A123,Places[#All],6,FALSE)</f>
        <v>32754</v>
      </c>
      <c r="E123"/>
      <c r="F123" s="44" t="s">
        <v>246</v>
      </c>
      <c r="G123" s="10">
        <v>241531.74144486693</v>
      </c>
      <c r="H123" s="199">
        <f>VLOOKUP(F123,Places[#All],7,FALSE)</f>
        <v>7.5</v>
      </c>
      <c r="I123" s="177">
        <f>VLOOKUP(F123,Places[#All],6,FALSE)</f>
        <v>24382</v>
      </c>
      <c r="J123"/>
      <c r="K123"/>
      <c r="L123"/>
      <c r="M123"/>
      <c r="N123"/>
      <c r="O123"/>
      <c r="P123"/>
      <c r="Q123"/>
      <c r="R123"/>
      <c r="S123"/>
      <c r="T123"/>
      <c r="U123"/>
      <c r="V123"/>
      <c r="W123"/>
      <c r="X123"/>
      <c r="Y123"/>
      <c r="Z123"/>
      <c r="AA123"/>
      <c r="AB123"/>
      <c r="AC123"/>
      <c r="AD123"/>
      <c r="AE123"/>
      <c r="AF123"/>
      <c r="AG123"/>
      <c r="AH123"/>
      <c r="AI123"/>
      <c r="AJ123"/>
      <c r="AK123"/>
    </row>
    <row r="124" spans="1:37" x14ac:dyDescent="0.25">
      <c r="A124" s="44" t="s">
        <v>314</v>
      </c>
      <c r="B124" s="10">
        <v>252529.46948041618</v>
      </c>
      <c r="C124" s="199">
        <f>VLOOKUP(A124,Places[#All],7,FALSE)</f>
        <v>3.9</v>
      </c>
      <c r="D124" s="177">
        <f>VLOOKUP(A124,Places[#All],6,FALSE)</f>
        <v>26969</v>
      </c>
      <c r="E124"/>
      <c r="F124" s="44" t="s">
        <v>225</v>
      </c>
      <c r="G124" s="10">
        <v>213408.56962025314</v>
      </c>
      <c r="H124" s="199">
        <f>VLOOKUP(F124,Places[#All],7,FALSE)</f>
        <v>1.9</v>
      </c>
      <c r="I124" s="177">
        <f>VLOOKUP(F124,Places[#All],6,FALSE)</f>
        <v>20521</v>
      </c>
      <c r="J124"/>
      <c r="K124"/>
      <c r="L124"/>
      <c r="M124"/>
      <c r="N124"/>
      <c r="O124"/>
      <c r="P124"/>
      <c r="Q124"/>
      <c r="R124"/>
      <c r="S124"/>
      <c r="T124"/>
      <c r="U124"/>
      <c r="V124"/>
      <c r="W124"/>
      <c r="X124"/>
      <c r="Y124"/>
      <c r="Z124"/>
      <c r="AA124"/>
      <c r="AB124"/>
      <c r="AC124"/>
      <c r="AD124"/>
      <c r="AE124"/>
      <c r="AF124"/>
      <c r="AG124"/>
      <c r="AH124"/>
      <c r="AI124"/>
      <c r="AJ124"/>
      <c r="AK124"/>
    </row>
    <row r="125" spans="1:37" x14ac:dyDescent="0.25">
      <c r="A125" s="44" t="s">
        <v>246</v>
      </c>
      <c r="B125" s="10">
        <v>241531.74144486693</v>
      </c>
      <c r="C125" s="199">
        <f>VLOOKUP(A125,Places[#All],7,FALSE)</f>
        <v>7.5</v>
      </c>
      <c r="D125" s="177">
        <f>VLOOKUP(A125,Places[#All],6,FALSE)</f>
        <v>24382</v>
      </c>
      <c r="E125"/>
      <c r="F125" s="44" t="s">
        <v>283</v>
      </c>
      <c r="G125" s="10">
        <v>91329.48606271777</v>
      </c>
      <c r="H125" s="199">
        <f>VLOOKUP(F125,Places[#All],7,FALSE)</f>
        <v>4</v>
      </c>
      <c r="I125" s="177">
        <f>VLOOKUP(F125,Places[#All],6,FALSE)</f>
        <v>11529</v>
      </c>
      <c r="J125"/>
      <c r="K125"/>
      <c r="L125"/>
      <c r="M125"/>
      <c r="N125"/>
      <c r="O125"/>
      <c r="P125"/>
      <c r="Q125"/>
      <c r="R125"/>
      <c r="S125"/>
      <c r="T125"/>
      <c r="U125"/>
      <c r="V125"/>
      <c r="W125"/>
      <c r="X125"/>
      <c r="Y125"/>
      <c r="Z125"/>
      <c r="AA125"/>
      <c r="AB125"/>
      <c r="AC125"/>
      <c r="AD125"/>
      <c r="AE125"/>
      <c r="AF125"/>
      <c r="AG125"/>
      <c r="AH125"/>
      <c r="AI125"/>
      <c r="AJ125"/>
      <c r="AK125"/>
    </row>
    <row r="126" spans="1:37" x14ac:dyDescent="0.25">
      <c r="A126" s="44" t="s">
        <v>225</v>
      </c>
      <c r="B126" s="10">
        <v>213408.56962025314</v>
      </c>
      <c r="C126" s="199">
        <f>VLOOKUP(A126,Places[#All],7,FALSE)</f>
        <v>1.9</v>
      </c>
      <c r="D126" s="177">
        <f>VLOOKUP(A126,Places[#All],6,FALSE)</f>
        <v>20521</v>
      </c>
      <c r="E126"/>
      <c r="F126" s="44" t="s">
        <v>175</v>
      </c>
      <c r="G126" s="10">
        <v>1503881.6962405061</v>
      </c>
      <c r="H126" s="199">
        <f>VLOOKUP(F126,Places[#All],7,FALSE)</f>
        <v>19.8</v>
      </c>
      <c r="I126" s="177">
        <f>VLOOKUP(F126,Places[#All],6,FALSE)</f>
        <v>12777</v>
      </c>
      <c r="J126"/>
      <c r="K126"/>
      <c r="L126"/>
      <c r="M126"/>
      <c r="N126"/>
      <c r="O126"/>
      <c r="P126"/>
      <c r="Q126"/>
      <c r="R126"/>
      <c r="S126"/>
      <c r="T126"/>
      <c r="U126"/>
      <c r="V126"/>
      <c r="W126"/>
      <c r="X126"/>
      <c r="Y126"/>
      <c r="Z126"/>
      <c r="AA126"/>
      <c r="AB126"/>
      <c r="AC126"/>
      <c r="AD126"/>
      <c r="AE126"/>
      <c r="AF126"/>
      <c r="AG126"/>
      <c r="AH126"/>
      <c r="AI126"/>
      <c r="AJ126"/>
      <c r="AK126"/>
    </row>
    <row r="127" spans="1:37" x14ac:dyDescent="0.25">
      <c r="A127" s="44" t="s">
        <v>158</v>
      </c>
      <c r="B127" s="10">
        <v>2259514.7249620254</v>
      </c>
      <c r="C127" s="199">
        <f>VLOOKUP(A127,Places[#All],7,FALSE)</f>
        <v>50.3</v>
      </c>
      <c r="D127" s="177">
        <f>VLOOKUP(A127,Places[#All],6,FALSE)</f>
        <v>467354</v>
      </c>
      <c r="E127"/>
      <c r="F127" s="44" t="s">
        <v>147</v>
      </c>
      <c r="G127" s="10">
        <v>4997698.501177215</v>
      </c>
      <c r="H127" s="199">
        <f>VLOOKUP(F127,Places[#All],7,FALSE)</f>
        <v>3.9</v>
      </c>
      <c r="I127" s="177">
        <f>VLOOKUP(F127,Places[#All],6,FALSE)</f>
        <v>35532</v>
      </c>
      <c r="J127"/>
      <c r="K127"/>
      <c r="L127"/>
      <c r="M127"/>
      <c r="N127"/>
      <c r="O127"/>
      <c r="P127"/>
      <c r="Q127"/>
      <c r="R127"/>
      <c r="S127"/>
      <c r="T127"/>
      <c r="U127"/>
      <c r="V127"/>
      <c r="W127"/>
      <c r="X127"/>
      <c r="Y127"/>
      <c r="Z127"/>
      <c r="AA127"/>
      <c r="AB127"/>
      <c r="AC127"/>
      <c r="AD127"/>
      <c r="AE127"/>
      <c r="AF127"/>
      <c r="AG127"/>
      <c r="AH127"/>
      <c r="AI127"/>
      <c r="AJ127"/>
      <c r="AK127"/>
    </row>
    <row r="128" spans="1:37" x14ac:dyDescent="0.25">
      <c r="A128" s="44" t="s">
        <v>283</v>
      </c>
      <c r="B128" s="10">
        <v>91329.48606271777</v>
      </c>
      <c r="C128" s="199">
        <f>VLOOKUP(A128,Places[#All],7,FALSE)</f>
        <v>4</v>
      </c>
      <c r="D128" s="177">
        <f>VLOOKUP(A128,Places[#All],6,FALSE)</f>
        <v>11529</v>
      </c>
      <c r="E128"/>
      <c r="F128" s="44" t="s">
        <v>235</v>
      </c>
      <c r="G128" s="10">
        <v>347654.43806250003</v>
      </c>
      <c r="H128" s="199">
        <f>VLOOKUP(F128,Places[#All],7,FALSE)</f>
        <v>46.5</v>
      </c>
      <c r="I128" s="177">
        <f>VLOOKUP(F128,Places[#All],6,FALSE)</f>
        <v>92595</v>
      </c>
      <c r="J128"/>
      <c r="K128"/>
      <c r="L128"/>
      <c r="M128"/>
      <c r="N128"/>
      <c r="O128"/>
      <c r="P128"/>
      <c r="Q128"/>
      <c r="R128"/>
      <c r="S128"/>
      <c r="T128"/>
      <c r="U128"/>
      <c r="V128"/>
      <c r="W128"/>
      <c r="X128"/>
      <c r="Y128"/>
      <c r="Z128"/>
      <c r="AA128"/>
      <c r="AB128"/>
      <c r="AC128"/>
      <c r="AD128"/>
      <c r="AE128"/>
      <c r="AF128"/>
      <c r="AG128"/>
      <c r="AH128"/>
      <c r="AI128"/>
      <c r="AJ128"/>
      <c r="AK128"/>
    </row>
    <row r="129" spans="1:37" x14ac:dyDescent="0.25">
      <c r="A129" s="44" t="s">
        <v>12</v>
      </c>
      <c r="B129" s="10">
        <v>88404820.173600376</v>
      </c>
      <c r="C129" s="199">
        <f>VLOOKUP(A129,Places[#All],7,FALSE)</f>
        <v>468.7</v>
      </c>
      <c r="D129" s="177">
        <f>VLOOKUP(A129,Places[#All],6,FALSE)</f>
        <v>3990456</v>
      </c>
      <c r="E129"/>
      <c r="F129" s="44" t="s">
        <v>284</v>
      </c>
      <c r="G129" s="10">
        <v>2715352.0716279075</v>
      </c>
      <c r="H129" s="199">
        <f>VLOOKUP(F129,Places[#All],7,FALSE)</f>
        <v>17.7</v>
      </c>
      <c r="I129" s="177">
        <f>VLOOKUP(F129,Places[#All],6,FALSE)</f>
        <v>95202</v>
      </c>
      <c r="J129"/>
      <c r="K129"/>
      <c r="L129"/>
      <c r="M129"/>
      <c r="N129"/>
      <c r="O129"/>
      <c r="P129"/>
      <c r="Q129"/>
      <c r="R129"/>
      <c r="S129"/>
      <c r="T129"/>
      <c r="U129"/>
      <c r="V129"/>
      <c r="W129"/>
      <c r="X129"/>
      <c r="Y129"/>
      <c r="Z129"/>
      <c r="AA129"/>
      <c r="AB129"/>
      <c r="AC129"/>
      <c r="AD129"/>
      <c r="AE129"/>
      <c r="AF129"/>
      <c r="AG129"/>
      <c r="AH129"/>
      <c r="AI129"/>
      <c r="AJ129"/>
      <c r="AK129"/>
    </row>
    <row r="130" spans="1:37" x14ac:dyDescent="0.25">
      <c r="A130" s="44" t="s">
        <v>175</v>
      </c>
      <c r="B130" s="10">
        <v>1503881.6962405061</v>
      </c>
      <c r="C130" s="199">
        <f>VLOOKUP(A130,Places[#All],7,FALSE)</f>
        <v>19.8</v>
      </c>
      <c r="D130" s="177">
        <f>VLOOKUP(A130,Places[#All],6,FALSE)</f>
        <v>12777</v>
      </c>
      <c r="E130"/>
      <c r="F130" s="44" t="s">
        <v>183</v>
      </c>
      <c r="G130" s="10">
        <v>757972.02911392401</v>
      </c>
      <c r="H130" s="199">
        <f>VLOOKUP(F130,Places[#All],7,FALSE)</f>
        <v>13.6</v>
      </c>
      <c r="I130" s="177">
        <f>VLOOKUP(F130,Places[#All],6,FALSE)</f>
        <v>36715</v>
      </c>
      <c r="J130"/>
      <c r="K130"/>
      <c r="L130"/>
      <c r="M130"/>
      <c r="N130"/>
      <c r="O130"/>
      <c r="P130"/>
      <c r="Q130"/>
      <c r="R130"/>
      <c r="S130"/>
      <c r="T130"/>
      <c r="U130"/>
      <c r="V130"/>
      <c r="W130"/>
      <c r="X130"/>
      <c r="Y130"/>
      <c r="Z130"/>
      <c r="AA130"/>
      <c r="AB130"/>
      <c r="AC130"/>
      <c r="AD130"/>
      <c r="AE130"/>
      <c r="AF130"/>
      <c r="AG130"/>
      <c r="AH130"/>
      <c r="AI130"/>
      <c r="AJ130"/>
      <c r="AK130"/>
    </row>
    <row r="131" spans="1:37" x14ac:dyDescent="0.25">
      <c r="A131" s="44" t="s">
        <v>147</v>
      </c>
      <c r="B131" s="10">
        <v>4997698.501177215</v>
      </c>
      <c r="C131" s="199">
        <f>VLOOKUP(A131,Places[#All],7,FALSE)</f>
        <v>3.9</v>
      </c>
      <c r="D131" s="177">
        <f>VLOOKUP(A131,Places[#All],6,FALSE)</f>
        <v>35532</v>
      </c>
      <c r="E131"/>
      <c r="F131" s="44" t="s">
        <v>247</v>
      </c>
      <c r="G131" s="10">
        <v>456243.04140684416</v>
      </c>
      <c r="H131" s="199">
        <f>VLOOKUP(F131,Places[#All],7,FALSE)</f>
        <v>5.5</v>
      </c>
      <c r="I131" s="177">
        <f>VLOOKUP(F131,Places[#All],6,FALSE)</f>
        <v>39437</v>
      </c>
      <c r="J131"/>
      <c r="K131"/>
      <c r="L131"/>
      <c r="M131"/>
      <c r="N131"/>
      <c r="O131"/>
      <c r="P131"/>
      <c r="Q131"/>
      <c r="R131"/>
      <c r="S131"/>
      <c r="T131"/>
      <c r="U131"/>
      <c r="V131"/>
      <c r="W131"/>
      <c r="X131"/>
      <c r="Y131"/>
      <c r="Z131"/>
      <c r="AA131"/>
      <c r="AB131"/>
      <c r="AC131"/>
      <c r="AD131"/>
      <c r="AE131"/>
      <c r="AF131"/>
      <c r="AG131"/>
      <c r="AH131"/>
      <c r="AI131"/>
      <c r="AJ131"/>
      <c r="AK131"/>
    </row>
    <row r="132" spans="1:37" x14ac:dyDescent="0.25">
      <c r="A132" s="44" t="s">
        <v>235</v>
      </c>
      <c r="B132" s="10">
        <v>347654.43806250003</v>
      </c>
      <c r="C132" s="199">
        <f>VLOOKUP(A132,Places[#All],7,FALSE)</f>
        <v>46.5</v>
      </c>
      <c r="D132" s="177">
        <f>VLOOKUP(A132,Places[#All],6,FALSE)</f>
        <v>92595</v>
      </c>
      <c r="E132"/>
      <c r="F132" s="44" t="s">
        <v>191</v>
      </c>
      <c r="G132" s="10">
        <v>4223082.7271012655</v>
      </c>
      <c r="H132" s="199">
        <f>VLOOKUP(F132,Places[#All],7,FALSE)</f>
        <v>8.3000000000000007</v>
      </c>
      <c r="I132" s="177">
        <f>VLOOKUP(F132,Places[#All],6,FALSE)</f>
        <v>62632</v>
      </c>
      <c r="J132"/>
      <c r="K132"/>
      <c r="L132"/>
      <c r="M132"/>
      <c r="N132"/>
      <c r="O132"/>
      <c r="P132"/>
      <c r="Q132"/>
      <c r="R132"/>
      <c r="S132"/>
      <c r="T132"/>
      <c r="U132"/>
      <c r="V132"/>
      <c r="W132"/>
      <c r="X132"/>
      <c r="Y132"/>
      <c r="Z132"/>
      <c r="AA132"/>
      <c r="AB132"/>
      <c r="AC132"/>
      <c r="AD132"/>
      <c r="AE132"/>
      <c r="AF132"/>
      <c r="AG132"/>
      <c r="AH132"/>
      <c r="AI132"/>
      <c r="AJ132"/>
      <c r="AK132"/>
    </row>
    <row r="133" spans="1:37" x14ac:dyDescent="0.25">
      <c r="A133" s="44" t="s">
        <v>284</v>
      </c>
      <c r="B133" s="10">
        <v>2715352.0716279075</v>
      </c>
      <c r="C133" s="199">
        <f>VLOOKUP(A133,Places[#All],7,FALSE)</f>
        <v>17.7</v>
      </c>
      <c r="D133" s="177">
        <f>VLOOKUP(A133,Places[#All],6,FALSE)</f>
        <v>95202</v>
      </c>
      <c r="E133"/>
      <c r="F133" s="44" t="s">
        <v>192</v>
      </c>
      <c r="G133" s="10">
        <v>791069.46862025314</v>
      </c>
      <c r="H133" s="199">
        <f>VLOOKUP(F133,Places[#All],7,FALSE)</f>
        <v>7.7</v>
      </c>
      <c r="I133" s="177">
        <f>VLOOKUP(F133,Places[#All],6,FALSE)</f>
        <v>60401</v>
      </c>
      <c r="J133"/>
      <c r="K133"/>
      <c r="L133"/>
      <c r="M133"/>
      <c r="N133"/>
      <c r="O133"/>
      <c r="P133"/>
      <c r="Q133"/>
      <c r="R133"/>
      <c r="S133"/>
      <c r="T133"/>
      <c r="U133"/>
      <c r="V133"/>
      <c r="W133"/>
      <c r="X133"/>
      <c r="Y133"/>
      <c r="Z133"/>
      <c r="AA133"/>
      <c r="AB133"/>
      <c r="AC133"/>
      <c r="AD133"/>
      <c r="AE133"/>
      <c r="AF133"/>
      <c r="AG133"/>
      <c r="AH133"/>
      <c r="AI133"/>
      <c r="AJ133"/>
      <c r="AK133"/>
    </row>
    <row r="134" spans="1:37" x14ac:dyDescent="0.25">
      <c r="A134" s="44" t="s">
        <v>183</v>
      </c>
      <c r="B134" s="10">
        <v>757972.02911392401</v>
      </c>
      <c r="C134" s="199">
        <f>VLOOKUP(A134,Places[#All],7,FALSE)</f>
        <v>13.6</v>
      </c>
      <c r="D134" s="177">
        <f>VLOOKUP(A134,Places[#All],6,FALSE)</f>
        <v>36715</v>
      </c>
      <c r="E134"/>
      <c r="F134" s="44" t="s">
        <v>236</v>
      </c>
      <c r="G134" s="10">
        <v>855936.47651250008</v>
      </c>
      <c r="H134" s="199">
        <f>VLOOKUP(F134,Places[#All],7,FALSE)</f>
        <v>51.3</v>
      </c>
      <c r="I134" s="177">
        <f>VLOOKUP(F134,Places[#All],6,FALSE)</f>
        <v>209050</v>
      </c>
      <c r="J134"/>
      <c r="K134"/>
      <c r="L134"/>
      <c r="M134"/>
      <c r="N134"/>
      <c r="O134"/>
      <c r="P134"/>
      <c r="Q134"/>
      <c r="R134"/>
      <c r="S134"/>
      <c r="T134"/>
      <c r="U134"/>
      <c r="V134"/>
      <c r="W134"/>
      <c r="X134"/>
      <c r="Y134"/>
      <c r="Z134"/>
      <c r="AA134"/>
      <c r="AB134"/>
      <c r="AC134"/>
      <c r="AD134"/>
      <c r="AE134"/>
      <c r="AF134"/>
      <c r="AG134"/>
      <c r="AH134"/>
      <c r="AI134"/>
      <c r="AJ134"/>
      <c r="AK134"/>
    </row>
    <row r="135" spans="1:37" x14ac:dyDescent="0.25">
      <c r="A135" s="44" t="s">
        <v>247</v>
      </c>
      <c r="B135" s="10">
        <v>456243.04140684416</v>
      </c>
      <c r="C135" s="199">
        <f>VLOOKUP(A135,Places[#All],7,FALSE)</f>
        <v>5.5</v>
      </c>
      <c r="D135" s="177">
        <f>VLOOKUP(A135,Places[#All],6,FALSE)</f>
        <v>39437</v>
      </c>
      <c r="E135"/>
      <c r="F135" s="44" t="s">
        <v>297</v>
      </c>
      <c r="G135" s="10">
        <v>1051240</v>
      </c>
      <c r="H135" s="199">
        <f>VLOOKUP(F135,Places[#All],7,FALSE)</f>
        <v>33.6</v>
      </c>
      <c r="I135" s="177">
        <f>VLOOKUP(F135,Places[#All],6,FALSE)</f>
        <v>114985</v>
      </c>
      <c r="J135"/>
      <c r="K135"/>
      <c r="L135"/>
      <c r="M135"/>
      <c r="N135"/>
      <c r="O135"/>
      <c r="P135"/>
      <c r="Q135"/>
      <c r="R135"/>
      <c r="S135"/>
      <c r="T135"/>
      <c r="U135"/>
      <c r="V135"/>
      <c r="W135"/>
      <c r="X135"/>
      <c r="Y135"/>
      <c r="Z135"/>
      <c r="AA135"/>
      <c r="AB135"/>
      <c r="AC135"/>
      <c r="AD135"/>
      <c r="AE135"/>
      <c r="AF135"/>
      <c r="AG135"/>
      <c r="AH135"/>
      <c r="AI135"/>
      <c r="AJ135"/>
      <c r="AK135"/>
    </row>
    <row r="136" spans="1:37" x14ac:dyDescent="0.25">
      <c r="A136" s="44" t="s">
        <v>191</v>
      </c>
      <c r="B136" s="10">
        <v>4223082.7271012655</v>
      </c>
      <c r="C136" s="199">
        <f>VLOOKUP(A136,Places[#All],7,FALSE)</f>
        <v>8.3000000000000007</v>
      </c>
      <c r="D136" s="177">
        <f>VLOOKUP(A136,Places[#All],6,FALSE)</f>
        <v>62632</v>
      </c>
      <c r="E136"/>
      <c r="F136" s="44" t="s">
        <v>315</v>
      </c>
      <c r="G136" s="10">
        <v>699244.66575275408</v>
      </c>
      <c r="H136" s="199">
        <f>VLOOKUP(F136,Places[#All],7,FALSE)</f>
        <v>7.3</v>
      </c>
      <c r="I136" s="177">
        <f>VLOOKUP(F136,Places[#All],6,FALSE)</f>
        <v>61431</v>
      </c>
      <c r="J136"/>
      <c r="K136"/>
      <c r="L136"/>
      <c r="M136"/>
      <c r="N136"/>
      <c r="O136"/>
      <c r="P136"/>
      <c r="Q136"/>
      <c r="R136"/>
      <c r="S136"/>
      <c r="T136"/>
      <c r="U136"/>
      <c r="V136"/>
      <c r="W136"/>
      <c r="X136"/>
      <c r="Y136"/>
      <c r="Z136"/>
      <c r="AA136"/>
      <c r="AB136"/>
      <c r="AC136"/>
      <c r="AD136"/>
      <c r="AE136"/>
      <c r="AF136"/>
      <c r="AG136"/>
      <c r="AH136"/>
      <c r="AI136"/>
      <c r="AJ136"/>
      <c r="AK136"/>
    </row>
    <row r="137" spans="1:37" x14ac:dyDescent="0.25">
      <c r="A137" s="44" t="s">
        <v>192</v>
      </c>
      <c r="B137" s="10">
        <v>791069.46862025314</v>
      </c>
      <c r="C137" s="199">
        <f>VLOOKUP(A137,Places[#All],7,FALSE)</f>
        <v>7.7</v>
      </c>
      <c r="D137" s="177">
        <f>VLOOKUP(A137,Places[#All],6,FALSE)</f>
        <v>60401</v>
      </c>
      <c r="E137"/>
      <c r="F137" s="44" t="s">
        <v>285</v>
      </c>
      <c r="G137" s="10">
        <v>3001101.062676454</v>
      </c>
      <c r="H137" s="199">
        <f>VLOOKUP(F137,Places[#All],7,FALSE)</f>
        <v>23.8</v>
      </c>
      <c r="I137" s="177">
        <f>VLOOKUP(F137,Places[#All],6,FALSE)</f>
        <v>85326</v>
      </c>
      <c r="J137"/>
      <c r="K137"/>
      <c r="L137"/>
      <c r="M137"/>
      <c r="N137"/>
      <c r="O137"/>
      <c r="P137"/>
      <c r="Q137"/>
      <c r="R137"/>
      <c r="S137"/>
      <c r="T137"/>
      <c r="U137"/>
      <c r="V137"/>
      <c r="W137"/>
      <c r="X137"/>
      <c r="Y137"/>
      <c r="Z137"/>
      <c r="AA137"/>
      <c r="AB137"/>
      <c r="AC137"/>
      <c r="AD137"/>
      <c r="AE137"/>
      <c r="AF137"/>
      <c r="AG137"/>
      <c r="AH137"/>
      <c r="AI137"/>
      <c r="AJ137"/>
      <c r="AK137"/>
    </row>
    <row r="138" spans="1:37" x14ac:dyDescent="0.25">
      <c r="A138" s="44" t="s">
        <v>236</v>
      </c>
      <c r="B138" s="10">
        <v>855936.47651250008</v>
      </c>
      <c r="C138" s="199">
        <f>VLOOKUP(A138,Places[#All],7,FALSE)</f>
        <v>51.3</v>
      </c>
      <c r="D138" s="177">
        <f>VLOOKUP(A138,Places[#All],6,FALSE)</f>
        <v>209050</v>
      </c>
      <c r="E138"/>
      <c r="F138" s="44" t="s">
        <v>169</v>
      </c>
      <c r="G138" s="10">
        <v>1105460.6375696203</v>
      </c>
      <c r="H138" s="199">
        <f>VLOOKUP(F138,Places[#All],7,FALSE)</f>
        <v>9.6999999999999993</v>
      </c>
      <c r="I138" s="177">
        <f>VLOOKUP(F138,Places[#All],6,FALSE)</f>
        <v>105120</v>
      </c>
      <c r="J138"/>
      <c r="K138"/>
      <c r="L138"/>
      <c r="M138"/>
      <c r="N138"/>
      <c r="O138"/>
      <c r="P138"/>
      <c r="Q138"/>
      <c r="R138"/>
      <c r="S138"/>
      <c r="T138"/>
      <c r="U138"/>
      <c r="V138"/>
      <c r="W138"/>
      <c r="X138"/>
      <c r="Y138"/>
      <c r="Z138"/>
      <c r="AA138"/>
      <c r="AB138"/>
      <c r="AC138"/>
      <c r="AD138"/>
      <c r="AE138"/>
      <c r="AF138"/>
      <c r="AG138"/>
      <c r="AH138"/>
      <c r="AI138"/>
      <c r="AJ138"/>
      <c r="AK138"/>
    </row>
    <row r="139" spans="1:37" x14ac:dyDescent="0.25">
      <c r="A139" s="44" t="s">
        <v>297</v>
      </c>
      <c r="B139" s="10">
        <v>1051240</v>
      </c>
      <c r="C139" s="199">
        <f>VLOOKUP(A139,Places[#All],7,FALSE)</f>
        <v>33.6</v>
      </c>
      <c r="D139" s="177">
        <f>VLOOKUP(A139,Places[#All],6,FALSE)</f>
        <v>114985</v>
      </c>
      <c r="E139"/>
      <c r="F139" s="44" t="s">
        <v>305</v>
      </c>
      <c r="G139" s="10">
        <v>4327077.8860465121</v>
      </c>
      <c r="H139" s="199">
        <f>VLOOKUP(F139,Places[#All],7,FALSE)</f>
        <v>41.3</v>
      </c>
      <c r="I139" s="177">
        <f>VLOOKUP(F139,Places[#All],6,FALSE)</f>
        <v>176080</v>
      </c>
      <c r="J139"/>
      <c r="K139"/>
      <c r="L139"/>
      <c r="M139"/>
      <c r="N139"/>
      <c r="O139"/>
      <c r="P139"/>
      <c r="Q139"/>
      <c r="R139"/>
      <c r="S139"/>
      <c r="T139"/>
      <c r="U139"/>
      <c r="V139"/>
      <c r="W139"/>
      <c r="X139"/>
      <c r="Y139"/>
      <c r="Z139"/>
      <c r="AA139"/>
      <c r="AB139"/>
      <c r="AC139"/>
      <c r="AD139"/>
      <c r="AE139"/>
      <c r="AF139"/>
      <c r="AG139"/>
      <c r="AH139"/>
      <c r="AI139"/>
      <c r="AJ139"/>
      <c r="AK139"/>
    </row>
    <row r="140" spans="1:37" x14ac:dyDescent="0.25">
      <c r="A140" s="44" t="s">
        <v>315</v>
      </c>
      <c r="B140" s="10">
        <v>699244.66575275408</v>
      </c>
      <c r="C140" s="199">
        <f>VLOOKUP(A140,Places[#All],7,FALSE)</f>
        <v>7.3</v>
      </c>
      <c r="D140" s="177">
        <f>VLOOKUP(A140,Places[#All],6,FALSE)</f>
        <v>61431</v>
      </c>
      <c r="E140"/>
      <c r="F140" s="44" t="s">
        <v>18</v>
      </c>
      <c r="G140" s="10">
        <v>2467026.6813307987</v>
      </c>
      <c r="H140" s="199">
        <f>VLOOKUP(F140,Places[#All],7,FALSE)</f>
        <v>49.9</v>
      </c>
      <c r="I140" s="177">
        <f>VLOOKUP(F140,Places[#All],6,FALSE)</f>
        <v>181107</v>
      </c>
      <c r="J140"/>
      <c r="K140"/>
      <c r="L140"/>
      <c r="M140"/>
      <c r="N140"/>
      <c r="O140"/>
      <c r="P140"/>
      <c r="Q140"/>
      <c r="R140"/>
      <c r="S140"/>
      <c r="T140"/>
      <c r="U140"/>
      <c r="V140"/>
      <c r="W140"/>
      <c r="X140"/>
      <c r="Y140"/>
      <c r="Z140"/>
      <c r="AA140"/>
      <c r="AB140"/>
      <c r="AC140"/>
      <c r="AD140"/>
      <c r="AE140"/>
      <c r="AF140"/>
      <c r="AG140"/>
      <c r="AH140"/>
      <c r="AI140"/>
      <c r="AJ140"/>
      <c r="AK140"/>
    </row>
    <row r="141" spans="1:37" x14ac:dyDescent="0.25">
      <c r="A141" s="44" t="s">
        <v>285</v>
      </c>
      <c r="B141" s="10">
        <v>3001101.062676454</v>
      </c>
      <c r="C141" s="199">
        <f>VLOOKUP(A141,Places[#All],7,FALSE)</f>
        <v>23.8</v>
      </c>
      <c r="D141" s="177">
        <f>VLOOKUP(A141,Places[#All],6,FALSE)</f>
        <v>85326</v>
      </c>
      <c r="E141"/>
      <c r="F141" s="44" t="s">
        <v>262</v>
      </c>
      <c r="G141" s="10">
        <v>2582509.839367589</v>
      </c>
      <c r="H141" s="199">
        <f>VLOOKUP(F141,Places[#All],7,FALSE)</f>
        <v>25.4</v>
      </c>
      <c r="I141" s="177">
        <f>VLOOKUP(F141,Places[#All],6,FALSE)</f>
        <v>139484</v>
      </c>
      <c r="J141"/>
      <c r="K141"/>
      <c r="L141"/>
      <c r="M141"/>
      <c r="N141"/>
      <c r="O141"/>
      <c r="P141"/>
      <c r="Q141"/>
      <c r="R141"/>
      <c r="S141"/>
      <c r="T141"/>
      <c r="U141"/>
      <c r="V141"/>
      <c r="W141"/>
      <c r="X141"/>
      <c r="Y141"/>
      <c r="Z141"/>
      <c r="AA141"/>
      <c r="AB141"/>
      <c r="AC141"/>
      <c r="AD141"/>
      <c r="AE141"/>
      <c r="AF141"/>
      <c r="AG141"/>
      <c r="AH141"/>
      <c r="AI141"/>
      <c r="AJ141"/>
      <c r="AK141"/>
    </row>
    <row r="142" spans="1:37" x14ac:dyDescent="0.25">
      <c r="A142" s="44" t="s">
        <v>169</v>
      </c>
      <c r="B142" s="10">
        <v>1105460.6375696203</v>
      </c>
      <c r="C142" s="199">
        <f>VLOOKUP(A142,Places[#All],7,FALSE)</f>
        <v>9.6999999999999993</v>
      </c>
      <c r="D142" s="177">
        <f>VLOOKUP(A142,Places[#All],6,FALSE)</f>
        <v>105120</v>
      </c>
      <c r="E142"/>
      <c r="F142" s="44" t="s">
        <v>176</v>
      </c>
      <c r="G142" s="10">
        <v>106098.0345949367</v>
      </c>
      <c r="H142" s="199">
        <f>VLOOKUP(F142,Places[#All],7,FALSE)</f>
        <v>4.8</v>
      </c>
      <c r="I142" s="177">
        <f>VLOOKUP(F142,Places[#All],6,FALSE)</f>
        <v>13404</v>
      </c>
      <c r="J142"/>
      <c r="K142"/>
      <c r="L142"/>
      <c r="M142"/>
      <c r="N142"/>
      <c r="O142"/>
      <c r="P142"/>
      <c r="Q142"/>
      <c r="R142"/>
      <c r="S142"/>
      <c r="T142"/>
      <c r="U142"/>
      <c r="V142"/>
      <c r="W142"/>
      <c r="X142"/>
      <c r="Y142"/>
      <c r="Z142"/>
      <c r="AA142"/>
      <c r="AB142"/>
      <c r="AC142"/>
      <c r="AD142"/>
      <c r="AE142"/>
      <c r="AF142"/>
      <c r="AG142"/>
      <c r="AH142"/>
      <c r="AI142"/>
      <c r="AJ142"/>
      <c r="AK142"/>
    </row>
    <row r="143" spans="1:37" x14ac:dyDescent="0.25">
      <c r="A143" s="44" t="s">
        <v>305</v>
      </c>
      <c r="B143" s="10">
        <v>4327077.8860465121</v>
      </c>
      <c r="C143" s="199">
        <f>VLOOKUP(A143,Places[#All],7,FALSE)</f>
        <v>41.3</v>
      </c>
      <c r="D143" s="177">
        <f>VLOOKUP(A143,Places[#All],6,FALSE)</f>
        <v>176080</v>
      </c>
      <c r="E143"/>
      <c r="F143" s="44" t="s">
        <v>212</v>
      </c>
      <c r="G143" s="10">
        <v>3737410.4772151895</v>
      </c>
      <c r="H143" s="199">
        <f>VLOOKUP(F143,Places[#All],7,FALSE)</f>
        <v>4.7</v>
      </c>
      <c r="I143" s="177">
        <f>VLOOKUP(F143,Places[#All],6,FALSE)</f>
        <v>53682</v>
      </c>
      <c r="J143"/>
      <c r="K143"/>
      <c r="L143"/>
      <c r="M143"/>
      <c r="N143"/>
      <c r="O143"/>
      <c r="P143"/>
      <c r="Q143"/>
      <c r="R143"/>
      <c r="S143"/>
      <c r="T143"/>
      <c r="U143"/>
      <c r="V143"/>
      <c r="W143"/>
      <c r="X143"/>
      <c r="Y143"/>
      <c r="Z143"/>
      <c r="AA143"/>
      <c r="AB143"/>
      <c r="AC143"/>
      <c r="AD143"/>
      <c r="AE143"/>
      <c r="AF143"/>
      <c r="AG143"/>
      <c r="AH143"/>
      <c r="AI143"/>
      <c r="AJ143"/>
      <c r="AK143"/>
    </row>
    <row r="144" spans="1:37" x14ac:dyDescent="0.25">
      <c r="A144" s="44" t="s">
        <v>18</v>
      </c>
      <c r="B144" s="10">
        <v>2467026.6813307987</v>
      </c>
      <c r="C144" s="199">
        <f>VLOOKUP(A144,Places[#All],7,FALSE)</f>
        <v>49.9</v>
      </c>
      <c r="D144" s="177">
        <f>VLOOKUP(A144,Places[#All],6,FALSE)</f>
        <v>181107</v>
      </c>
      <c r="E144"/>
      <c r="F144" s="44" t="s">
        <v>193</v>
      </c>
      <c r="G144" s="10">
        <v>17736269.430379745</v>
      </c>
      <c r="H144" s="199">
        <f>VLOOKUP(F144,Places[#All],7,FALSE)</f>
        <v>23</v>
      </c>
      <c r="I144" s="177">
        <f>VLOOKUP(F144,Places[#All],6,FALSE)</f>
        <v>141371</v>
      </c>
      <c r="J144"/>
      <c r="K144"/>
      <c r="L144"/>
      <c r="M144"/>
      <c r="N144"/>
      <c r="O144"/>
      <c r="P144"/>
      <c r="Q144"/>
      <c r="R144"/>
      <c r="S144"/>
      <c r="T144"/>
      <c r="U144"/>
      <c r="V144"/>
      <c r="W144"/>
      <c r="X144"/>
      <c r="Y144"/>
      <c r="Z144"/>
      <c r="AA144"/>
      <c r="AB144"/>
      <c r="AC144"/>
      <c r="AD144"/>
      <c r="AE144"/>
      <c r="AF144"/>
      <c r="AG144"/>
      <c r="AH144"/>
      <c r="AI144"/>
      <c r="AJ144"/>
      <c r="AK144"/>
    </row>
    <row r="145" spans="1:37" x14ac:dyDescent="0.25">
      <c r="A145" s="44" t="s">
        <v>262</v>
      </c>
      <c r="B145" s="10">
        <v>2582509.839367589</v>
      </c>
      <c r="C145" s="199">
        <f>VLOOKUP(A145,Places[#All],7,FALSE)</f>
        <v>25.4</v>
      </c>
      <c r="D145" s="177">
        <f>VLOOKUP(A145,Places[#All],6,FALSE)</f>
        <v>139484</v>
      </c>
      <c r="E145"/>
      <c r="F145" s="44" t="s">
        <v>238</v>
      </c>
      <c r="G145" s="10">
        <v>189436.20450000002</v>
      </c>
      <c r="H145" s="199">
        <f>VLOOKUP(F145,Places[#All],7,FALSE)</f>
        <v>31.6</v>
      </c>
      <c r="I145" s="177">
        <f>VLOOKUP(F145,Places[#All],6,FALSE)</f>
        <v>79133</v>
      </c>
      <c r="J145"/>
      <c r="K145"/>
      <c r="L145"/>
      <c r="M145"/>
      <c r="N145"/>
      <c r="O145"/>
      <c r="P145"/>
      <c r="Q145"/>
      <c r="R145"/>
      <c r="S145"/>
      <c r="T145"/>
      <c r="U145"/>
      <c r="V145"/>
      <c r="W145"/>
      <c r="X145"/>
      <c r="Y145"/>
      <c r="Z145"/>
      <c r="AA145"/>
      <c r="AB145"/>
      <c r="AC145"/>
      <c r="AD145"/>
      <c r="AE145"/>
      <c r="AF145"/>
      <c r="AG145"/>
      <c r="AH145"/>
      <c r="AI145"/>
      <c r="AJ145"/>
      <c r="AK145"/>
    </row>
    <row r="146" spans="1:37" x14ac:dyDescent="0.25">
      <c r="A146" s="44" t="s">
        <v>176</v>
      </c>
      <c r="B146" s="10">
        <v>106098.0345949367</v>
      </c>
      <c r="C146" s="199">
        <f>VLOOKUP(A146,Places[#All],7,FALSE)</f>
        <v>4.8</v>
      </c>
      <c r="D146" s="177">
        <f>VLOOKUP(A146,Places[#All],6,FALSE)</f>
        <v>13404</v>
      </c>
      <c r="E146"/>
      <c r="F146" s="44" t="s">
        <v>170</v>
      </c>
      <c r="G146" s="10">
        <v>1035243.9094936708</v>
      </c>
      <c r="H146" s="199">
        <f>VLOOKUP(F146,Places[#All],7,FALSE)</f>
        <v>8.3000000000000007</v>
      </c>
      <c r="I146" s="177">
        <f>VLOOKUP(F146,Places[#All],6,FALSE)</f>
        <v>62888</v>
      </c>
      <c r="J146"/>
      <c r="K146"/>
      <c r="L146"/>
      <c r="M146"/>
      <c r="N146"/>
      <c r="O146"/>
      <c r="P146"/>
      <c r="Q146"/>
      <c r="R146"/>
      <c r="S146"/>
      <c r="T146"/>
      <c r="U146"/>
      <c r="V146"/>
      <c r="W146"/>
      <c r="X146"/>
      <c r="Y146"/>
      <c r="Z146"/>
      <c r="AA146"/>
      <c r="AB146"/>
      <c r="AC146"/>
      <c r="AD146"/>
      <c r="AE146"/>
      <c r="AF146"/>
      <c r="AG146"/>
      <c r="AH146"/>
      <c r="AI146"/>
      <c r="AJ146"/>
      <c r="AK146"/>
    </row>
    <row r="147" spans="1:37" x14ac:dyDescent="0.25">
      <c r="A147" s="44" t="s">
        <v>212</v>
      </c>
      <c r="B147" s="10">
        <v>3737410.4772151895</v>
      </c>
      <c r="C147" s="199">
        <f>VLOOKUP(A147,Places[#All],7,FALSE)</f>
        <v>4.7</v>
      </c>
      <c r="D147" s="177">
        <f>VLOOKUP(A147,Places[#All],6,FALSE)</f>
        <v>53682</v>
      </c>
      <c r="E147"/>
      <c r="F147" s="44" t="s">
        <v>286</v>
      </c>
      <c r="G147" s="10">
        <v>447385.99375494069</v>
      </c>
      <c r="H147" s="199">
        <f>VLOOKUP(F147,Places[#All],7,FALSE)</f>
        <v>6.6</v>
      </c>
      <c r="I147" s="177">
        <f>VLOOKUP(F147,Places[#All],6,FALSE)</f>
        <v>51671</v>
      </c>
      <c r="J147"/>
      <c r="K147"/>
      <c r="L147"/>
      <c r="M147"/>
      <c r="N147"/>
      <c r="O147"/>
      <c r="P147"/>
      <c r="Q147"/>
      <c r="R147"/>
      <c r="S147"/>
      <c r="T147"/>
      <c r="U147"/>
      <c r="V147"/>
      <c r="W147"/>
      <c r="X147"/>
      <c r="Y147"/>
      <c r="Z147"/>
      <c r="AA147"/>
      <c r="AB147"/>
      <c r="AC147"/>
      <c r="AD147"/>
      <c r="AE147"/>
      <c r="AF147"/>
      <c r="AG147"/>
      <c r="AH147"/>
      <c r="AI147"/>
      <c r="AJ147"/>
      <c r="AK147"/>
    </row>
    <row r="148" spans="1:37" x14ac:dyDescent="0.25">
      <c r="A148" s="44" t="s">
        <v>193</v>
      </c>
      <c r="B148" s="10">
        <v>17736269.430379745</v>
      </c>
      <c r="C148" s="199">
        <f>VLOOKUP(A148,Places[#All],7,FALSE)</f>
        <v>23</v>
      </c>
      <c r="D148" s="177">
        <f>VLOOKUP(A148,Places[#All],6,FALSE)</f>
        <v>141371</v>
      </c>
      <c r="E148"/>
      <c r="F148" s="44" t="s">
        <v>153</v>
      </c>
      <c r="G148" s="10">
        <v>3636785.6823037975</v>
      </c>
      <c r="H148" s="199">
        <f>VLOOKUP(F148,Places[#All],7,FALSE)</f>
        <v>23</v>
      </c>
      <c r="I148" s="177">
        <f>VLOOKUP(F148,Places[#All],6,FALSE)</f>
        <v>152361</v>
      </c>
      <c r="J148"/>
      <c r="K148"/>
      <c r="L148"/>
      <c r="M148"/>
      <c r="N148"/>
      <c r="O148"/>
      <c r="P148"/>
      <c r="Q148"/>
      <c r="R148"/>
      <c r="S148"/>
      <c r="T148"/>
      <c r="U148"/>
      <c r="V148"/>
      <c r="W148"/>
      <c r="X148"/>
      <c r="Y148"/>
      <c r="Z148"/>
      <c r="AA148"/>
      <c r="AB148"/>
      <c r="AC148"/>
      <c r="AD148"/>
      <c r="AE148"/>
      <c r="AF148"/>
      <c r="AG148"/>
      <c r="AH148"/>
      <c r="AI148"/>
      <c r="AJ148"/>
      <c r="AK148"/>
    </row>
    <row r="149" spans="1:37" x14ac:dyDescent="0.25">
      <c r="A149" s="44" t="s">
        <v>238</v>
      </c>
      <c r="B149" s="10">
        <v>189436.20450000002</v>
      </c>
      <c r="C149" s="199">
        <f>VLOOKUP(A149,Places[#All],7,FALSE)</f>
        <v>31.6</v>
      </c>
      <c r="D149" s="177">
        <f>VLOOKUP(A149,Places[#All],6,FALSE)</f>
        <v>79133</v>
      </c>
      <c r="E149"/>
      <c r="F149" s="44" t="s">
        <v>309</v>
      </c>
      <c r="G149" s="10">
        <v>1995185.3816034275</v>
      </c>
      <c r="H149" s="199">
        <f>VLOOKUP(F149,Places[#All],7,FALSE)</f>
        <v>39.1</v>
      </c>
      <c r="I149" s="177">
        <f>VLOOKUP(F149,Places[#All],6,FALSE)</f>
        <v>49704</v>
      </c>
      <c r="J149"/>
      <c r="K149"/>
      <c r="L149"/>
      <c r="M149"/>
      <c r="N149"/>
      <c r="O149"/>
      <c r="P149"/>
      <c r="Q149"/>
      <c r="R149"/>
      <c r="S149"/>
      <c r="T149"/>
      <c r="U149"/>
      <c r="V149"/>
      <c r="W149"/>
      <c r="X149"/>
      <c r="Y149"/>
      <c r="Z149"/>
      <c r="AA149"/>
      <c r="AB149"/>
      <c r="AC149"/>
      <c r="AD149"/>
      <c r="AE149"/>
      <c r="AF149"/>
      <c r="AG149"/>
      <c r="AH149"/>
      <c r="AI149"/>
      <c r="AJ149"/>
      <c r="AK149"/>
    </row>
    <row r="150" spans="1:37" x14ac:dyDescent="0.25">
      <c r="A150" s="44" t="s">
        <v>170</v>
      </c>
      <c r="B150" s="10">
        <v>1035243.9094936708</v>
      </c>
      <c r="C150" s="199">
        <f>VLOOKUP(A150,Places[#All],7,FALSE)</f>
        <v>8.3000000000000007</v>
      </c>
      <c r="D150" s="177">
        <f>VLOOKUP(A150,Places[#All],6,FALSE)</f>
        <v>62888</v>
      </c>
      <c r="E150"/>
      <c r="F150" s="44" t="s">
        <v>140</v>
      </c>
      <c r="G150" s="10">
        <v>1939277.1300375001</v>
      </c>
      <c r="H150" s="199">
        <f>VLOOKUP(F150,Places[#All],7,FALSE)</f>
        <v>34.9</v>
      </c>
      <c r="I150" s="177">
        <f>VLOOKUP(F150,Places[#All],6,FALSE)</f>
        <v>74585</v>
      </c>
      <c r="J150"/>
      <c r="K150"/>
      <c r="L150"/>
      <c r="M150"/>
      <c r="N150"/>
      <c r="O150"/>
      <c r="P150"/>
      <c r="Q150"/>
      <c r="R150"/>
      <c r="S150"/>
      <c r="T150"/>
      <c r="U150"/>
      <c r="V150"/>
      <c r="W150"/>
      <c r="X150"/>
      <c r="Y150"/>
      <c r="Z150"/>
      <c r="AA150"/>
      <c r="AB150"/>
      <c r="AC150"/>
      <c r="AD150"/>
      <c r="AE150"/>
      <c r="AF150"/>
      <c r="AG150"/>
      <c r="AH150"/>
      <c r="AI150"/>
      <c r="AJ150"/>
      <c r="AK150"/>
    </row>
    <row r="151" spans="1:37" x14ac:dyDescent="0.25">
      <c r="A151" s="44" t="s">
        <v>286</v>
      </c>
      <c r="B151" s="10">
        <v>447385.99375494069</v>
      </c>
      <c r="C151" s="199">
        <f>VLOOKUP(A151,Places[#All],7,FALSE)</f>
        <v>6.6</v>
      </c>
      <c r="D151" s="177">
        <f>VLOOKUP(A151,Places[#All],6,FALSE)</f>
        <v>51671</v>
      </c>
      <c r="E151"/>
      <c r="F151" s="44" t="s">
        <v>248</v>
      </c>
      <c r="G151" s="10">
        <v>1415205.912091255</v>
      </c>
      <c r="H151" s="199">
        <f>VLOOKUP(F151,Places[#All],7,FALSE)</f>
        <v>40</v>
      </c>
      <c r="I151" s="177">
        <f>VLOOKUP(F151,Places[#All],6,FALSE)</f>
        <v>177751</v>
      </c>
      <c r="J151"/>
      <c r="K151"/>
      <c r="L151"/>
      <c r="M151"/>
      <c r="N151"/>
      <c r="O151"/>
      <c r="P151"/>
      <c r="Q151"/>
      <c r="R151"/>
      <c r="S151"/>
      <c r="T151"/>
      <c r="U151"/>
      <c r="V151"/>
      <c r="W151"/>
      <c r="X151"/>
      <c r="Y151"/>
      <c r="Z151"/>
      <c r="AA151"/>
      <c r="AB151"/>
      <c r="AC151"/>
      <c r="AD151"/>
      <c r="AE151"/>
      <c r="AF151"/>
      <c r="AG151"/>
      <c r="AH151"/>
      <c r="AI151"/>
      <c r="AJ151"/>
      <c r="AK151"/>
    </row>
    <row r="152" spans="1:37" x14ac:dyDescent="0.25">
      <c r="A152" s="44" t="s">
        <v>153</v>
      </c>
      <c r="B152" s="10">
        <v>3636785.6823037975</v>
      </c>
      <c r="C152" s="199">
        <f>VLOOKUP(A152,Places[#All],7,FALSE)</f>
        <v>23</v>
      </c>
      <c r="D152" s="177">
        <f>VLOOKUP(A152,Places[#All],6,FALSE)</f>
        <v>152361</v>
      </c>
      <c r="E152"/>
      <c r="F152" s="44" t="s">
        <v>178</v>
      </c>
      <c r="G152" s="10">
        <v>445312.54860759492</v>
      </c>
      <c r="H152" s="199">
        <f>VLOOKUP(F152,Places[#All],7,FALSE)</f>
        <v>13.5</v>
      </c>
      <c r="I152" s="177">
        <f>VLOOKUP(F152,Places[#All],6,FALSE)</f>
        <v>41928</v>
      </c>
      <c r="J152"/>
      <c r="K152"/>
      <c r="L152"/>
      <c r="M152"/>
      <c r="N152"/>
      <c r="O152"/>
      <c r="P152"/>
      <c r="Q152"/>
      <c r="R152"/>
      <c r="S152"/>
      <c r="T152"/>
      <c r="U152"/>
      <c r="V152"/>
      <c r="W152"/>
      <c r="X152"/>
      <c r="Y152"/>
      <c r="Z152"/>
      <c r="AA152"/>
      <c r="AB152"/>
      <c r="AC152"/>
      <c r="AD152"/>
      <c r="AE152"/>
      <c r="AF152"/>
      <c r="AG152"/>
      <c r="AH152"/>
      <c r="AI152"/>
      <c r="AJ152"/>
      <c r="AK152"/>
    </row>
    <row r="153" spans="1:37" x14ac:dyDescent="0.25">
      <c r="A153" s="44" t="s">
        <v>309</v>
      </c>
      <c r="B153" s="10">
        <v>1995185.3816034275</v>
      </c>
      <c r="C153" s="199">
        <f>VLOOKUP(A153,Places[#All],7,FALSE)</f>
        <v>39.1</v>
      </c>
      <c r="D153" s="177">
        <f>VLOOKUP(A153,Places[#All],6,FALSE)</f>
        <v>49704</v>
      </c>
      <c r="E153"/>
      <c r="F153" s="44" t="s">
        <v>287</v>
      </c>
      <c r="G153" s="10">
        <v>373495.5750396573</v>
      </c>
      <c r="H153" s="199">
        <f>VLOOKUP(F153,Places[#All],7,FALSE)</f>
        <v>12.9</v>
      </c>
      <c r="I153" s="177">
        <f>VLOOKUP(F153,Places[#All],6,FALSE)</f>
        <v>48325</v>
      </c>
      <c r="J153"/>
      <c r="K153"/>
      <c r="L153"/>
      <c r="M153"/>
      <c r="N153"/>
      <c r="O153"/>
      <c r="P153"/>
      <c r="Q153"/>
      <c r="R153"/>
      <c r="S153"/>
      <c r="T153"/>
      <c r="U153"/>
      <c r="V153"/>
      <c r="W153"/>
      <c r="X153"/>
      <c r="Y153"/>
      <c r="Z153"/>
      <c r="AA153"/>
      <c r="AB153"/>
      <c r="AC153"/>
      <c r="AD153"/>
      <c r="AE153"/>
      <c r="AF153"/>
      <c r="AG153"/>
      <c r="AH153"/>
      <c r="AI153"/>
      <c r="AJ153"/>
      <c r="AK153"/>
    </row>
    <row r="154" spans="1:37" x14ac:dyDescent="0.25">
      <c r="A154" s="44" t="s">
        <v>140</v>
      </c>
      <c r="B154" s="10">
        <v>1939277.1300375001</v>
      </c>
      <c r="C154" s="199">
        <f>VLOOKUP(A154,Places[#All],7,FALSE)</f>
        <v>34.9</v>
      </c>
      <c r="D154" s="177">
        <f>VLOOKUP(A154,Places[#All],6,FALSE)</f>
        <v>74585</v>
      </c>
      <c r="E154"/>
      <c r="F154" s="44" t="s">
        <v>249</v>
      </c>
      <c r="G154" s="10">
        <v>1228933.0611406844</v>
      </c>
      <c r="H154" s="199">
        <f>VLOOKUP(F154,Places[#All],7,FALSE)</f>
        <v>36</v>
      </c>
      <c r="I154" s="177">
        <f>VLOOKUP(F154,Places[#All],6,FALSE)</f>
        <v>71586</v>
      </c>
      <c r="J154"/>
      <c r="K154"/>
      <c r="L154"/>
      <c r="M154"/>
      <c r="N154"/>
      <c r="O154"/>
      <c r="P154"/>
      <c r="Q154"/>
      <c r="R154"/>
      <c r="S154"/>
      <c r="T154"/>
      <c r="U154"/>
      <c r="V154"/>
      <c r="W154"/>
      <c r="X154"/>
      <c r="Y154"/>
      <c r="Z154"/>
      <c r="AA154"/>
      <c r="AB154"/>
      <c r="AC154"/>
      <c r="AD154"/>
      <c r="AE154"/>
      <c r="AF154"/>
      <c r="AG154"/>
      <c r="AH154"/>
      <c r="AI154"/>
      <c r="AJ154"/>
      <c r="AK154"/>
    </row>
    <row r="155" spans="1:37" x14ac:dyDescent="0.25">
      <c r="A155" s="44" t="s">
        <v>248</v>
      </c>
      <c r="B155" s="10">
        <v>1415205.912091255</v>
      </c>
      <c r="C155" s="199">
        <f>VLOOKUP(A155,Places[#All],7,FALSE)</f>
        <v>40</v>
      </c>
      <c r="D155" s="177">
        <f>VLOOKUP(A155,Places[#All],6,FALSE)</f>
        <v>177751</v>
      </c>
      <c r="E155"/>
      <c r="F155" s="44" t="s">
        <v>148</v>
      </c>
      <c r="G155" s="10">
        <v>2575767.1139240507</v>
      </c>
      <c r="H155" s="199">
        <f>VLOOKUP(F155,Places[#All],7,FALSE)</f>
        <v>6.2</v>
      </c>
      <c r="I155" s="177">
        <f>VLOOKUP(F155,Places[#All],6,FALSE)</f>
        <v>67412</v>
      </c>
      <c r="J155"/>
      <c r="K155"/>
      <c r="L155"/>
      <c r="M155"/>
      <c r="N155"/>
      <c r="O155"/>
      <c r="P155"/>
      <c r="Q155"/>
      <c r="R155"/>
      <c r="S155"/>
      <c r="T155"/>
      <c r="U155"/>
      <c r="V155"/>
      <c r="W155"/>
      <c r="X155"/>
      <c r="Y155"/>
      <c r="Z155"/>
      <c r="AA155"/>
      <c r="AB155"/>
      <c r="AC155"/>
      <c r="AD155"/>
      <c r="AE155"/>
      <c r="AF155"/>
      <c r="AG155"/>
      <c r="AH155"/>
      <c r="AI155"/>
      <c r="AJ155"/>
      <c r="AK155"/>
    </row>
    <row r="156" spans="1:37" x14ac:dyDescent="0.25">
      <c r="A156" s="44" t="s">
        <v>178</v>
      </c>
      <c r="B156" s="10">
        <v>445312.54860759492</v>
      </c>
      <c r="C156" s="199">
        <f>VLOOKUP(A156,Places[#All],7,FALSE)</f>
        <v>13.5</v>
      </c>
      <c r="D156" s="177">
        <f>VLOOKUP(A156,Places[#All],6,FALSE)</f>
        <v>41928</v>
      </c>
      <c r="E156"/>
      <c r="F156" s="44" t="s">
        <v>250</v>
      </c>
      <c r="G156" s="10">
        <v>305497.25589353614</v>
      </c>
      <c r="H156" s="199">
        <f>VLOOKUP(F156,Places[#All],7,FALSE)</f>
        <v>22.3</v>
      </c>
      <c r="I156" s="177">
        <f>VLOOKUP(F156,Places[#All],6,FALSE)</f>
        <v>103440</v>
      </c>
      <c r="J156"/>
      <c r="K156"/>
      <c r="L156"/>
      <c r="M156"/>
      <c r="N156"/>
      <c r="O156"/>
      <c r="P156"/>
      <c r="Q156"/>
      <c r="R156"/>
      <c r="S156"/>
      <c r="T156"/>
      <c r="U156"/>
      <c r="V156"/>
      <c r="W156"/>
      <c r="X156"/>
      <c r="Y156"/>
      <c r="Z156"/>
      <c r="AA156"/>
      <c r="AB156"/>
      <c r="AC156"/>
      <c r="AD156"/>
      <c r="AE156"/>
      <c r="AF156"/>
      <c r="AG156"/>
      <c r="AH156"/>
      <c r="AI156"/>
      <c r="AJ156"/>
      <c r="AK156"/>
    </row>
    <row r="157" spans="1:37" x14ac:dyDescent="0.25">
      <c r="A157" s="44" t="s">
        <v>287</v>
      </c>
      <c r="B157" s="10">
        <v>373495.5750396573</v>
      </c>
      <c r="C157" s="199">
        <f>VLOOKUP(A157,Places[#All],7,FALSE)</f>
        <v>12.9</v>
      </c>
      <c r="D157" s="177">
        <f>VLOOKUP(A157,Places[#All],6,FALSE)</f>
        <v>48325</v>
      </c>
      <c r="E157"/>
      <c r="F157" s="44" t="s">
        <v>185</v>
      </c>
      <c r="G157" s="10">
        <v>77393.33975202532</v>
      </c>
      <c r="H157" s="199">
        <f>VLOOKUP(F157,Places[#All],7,FALSE)</f>
        <v>3</v>
      </c>
      <c r="I157" s="177">
        <f>VLOOKUP(F157,Places[#All],6,FALSE)</f>
        <v>1867</v>
      </c>
      <c r="J157"/>
      <c r="K157"/>
      <c r="L157"/>
      <c r="M157"/>
      <c r="N157"/>
      <c r="O157"/>
      <c r="P157"/>
      <c r="Q157"/>
      <c r="R157"/>
      <c r="S157"/>
      <c r="T157"/>
      <c r="U157"/>
      <c r="V157"/>
      <c r="W157"/>
      <c r="X157"/>
      <c r="Y157"/>
      <c r="Z157"/>
      <c r="AA157"/>
      <c r="AB157"/>
      <c r="AC157"/>
      <c r="AD157"/>
      <c r="AE157"/>
      <c r="AF157"/>
      <c r="AG157"/>
      <c r="AH157"/>
      <c r="AI157"/>
      <c r="AJ157"/>
      <c r="AK157"/>
    </row>
    <row r="158" spans="1:37" x14ac:dyDescent="0.25">
      <c r="A158" s="44" t="s">
        <v>249</v>
      </c>
      <c r="B158" s="10">
        <v>1228933.0611406844</v>
      </c>
      <c r="C158" s="199">
        <f>VLOOKUP(A158,Places[#All],7,FALSE)</f>
        <v>36</v>
      </c>
      <c r="D158" s="177">
        <f>VLOOKUP(A158,Places[#All],6,FALSE)</f>
        <v>71586</v>
      </c>
      <c r="E158"/>
      <c r="F158" s="44" t="s">
        <v>177</v>
      </c>
      <c r="G158" s="10">
        <v>370923.24768455693</v>
      </c>
      <c r="H158" s="199">
        <f>VLOOKUP(F158,Places[#All],7,FALSE)</f>
        <v>3.6</v>
      </c>
      <c r="I158" s="177">
        <f>VLOOKUP(F158,Places[#All],6,FALSE)</f>
        <v>8141</v>
      </c>
      <c r="J158"/>
      <c r="K158"/>
      <c r="L158"/>
      <c r="M158"/>
      <c r="N158"/>
      <c r="O158"/>
      <c r="P158"/>
      <c r="Q158"/>
      <c r="R158"/>
      <c r="S158"/>
      <c r="T158"/>
      <c r="U158"/>
      <c r="V158"/>
      <c r="W158"/>
      <c r="X158"/>
      <c r="Y158"/>
      <c r="Z158"/>
      <c r="AA158"/>
      <c r="AB158"/>
      <c r="AC158"/>
      <c r="AD158"/>
      <c r="AE158"/>
      <c r="AF158"/>
      <c r="AG158"/>
      <c r="AH158"/>
      <c r="AI158"/>
      <c r="AJ158"/>
      <c r="AK158"/>
    </row>
    <row r="159" spans="1:37" x14ac:dyDescent="0.25">
      <c r="A159" s="44" t="s">
        <v>148</v>
      </c>
      <c r="B159" s="10">
        <v>2575767.1139240507</v>
      </c>
      <c r="C159" s="199">
        <f>VLOOKUP(A159,Places[#All],7,FALSE)</f>
        <v>6.2</v>
      </c>
      <c r="D159" s="177">
        <f>VLOOKUP(A159,Places[#All],6,FALSE)</f>
        <v>67412</v>
      </c>
      <c r="E159"/>
      <c r="F159" s="44" t="s">
        <v>194</v>
      </c>
      <c r="G159" s="10">
        <v>418803.16967088607</v>
      </c>
      <c r="H159" s="199">
        <f>VLOOKUP(F159,Places[#All],7,FALSE)</f>
        <v>5.2</v>
      </c>
      <c r="I159" s="177">
        <f>VLOOKUP(F159,Places[#All],6,FALSE)</f>
        <v>54412</v>
      </c>
      <c r="J159"/>
      <c r="K159"/>
      <c r="L159"/>
      <c r="M159"/>
      <c r="N159"/>
      <c r="O159"/>
      <c r="P159"/>
      <c r="Q159"/>
      <c r="R159"/>
      <c r="S159"/>
      <c r="T159"/>
      <c r="U159"/>
      <c r="V159"/>
      <c r="W159"/>
      <c r="X159"/>
      <c r="Y159"/>
      <c r="Z159"/>
      <c r="AA159"/>
      <c r="AB159"/>
      <c r="AC159"/>
      <c r="AD159"/>
      <c r="AE159"/>
      <c r="AF159"/>
      <c r="AG159"/>
      <c r="AH159"/>
      <c r="AI159"/>
      <c r="AJ159"/>
      <c r="AK159"/>
    </row>
    <row r="160" spans="1:37" x14ac:dyDescent="0.25">
      <c r="A160" s="44" t="s">
        <v>250</v>
      </c>
      <c r="B160" s="10">
        <v>305497.25589353614</v>
      </c>
      <c r="C160" s="199">
        <f>VLOOKUP(A160,Places[#All],7,FALSE)</f>
        <v>22.3</v>
      </c>
      <c r="D160" s="177">
        <f>VLOOKUP(A160,Places[#All],6,FALSE)</f>
        <v>103440</v>
      </c>
      <c r="E160"/>
      <c r="F160" s="44" t="s">
        <v>7</v>
      </c>
      <c r="G160" s="10">
        <v>4577600.1080783363</v>
      </c>
      <c r="H160" s="199">
        <f>VLOOKUP(F160,Places[#All],7,FALSE)</f>
        <v>23.6</v>
      </c>
      <c r="I160" s="177">
        <f>VLOOKUP(F160,Places[#All],6,FALSE)</f>
        <v>156259</v>
      </c>
      <c r="J160"/>
      <c r="K160"/>
      <c r="L160"/>
      <c r="M160"/>
      <c r="N160"/>
      <c r="O160"/>
      <c r="P160"/>
      <c r="Q160"/>
      <c r="R160"/>
      <c r="S160"/>
      <c r="T160"/>
      <c r="U160"/>
      <c r="V160"/>
      <c r="W160"/>
      <c r="X160"/>
      <c r="Y160"/>
      <c r="Z160"/>
      <c r="AA160"/>
      <c r="AB160"/>
      <c r="AC160"/>
      <c r="AD160"/>
      <c r="AE160"/>
      <c r="AF160"/>
      <c r="AG160"/>
      <c r="AH160"/>
      <c r="AI160"/>
      <c r="AJ160"/>
      <c r="AK160"/>
    </row>
    <row r="161" spans="1:37" x14ac:dyDescent="0.25">
      <c r="A161" s="44" t="s">
        <v>185</v>
      </c>
      <c r="B161" s="10">
        <v>77393.33975202532</v>
      </c>
      <c r="C161" s="199">
        <f>VLOOKUP(A161,Places[#All],7,FALSE)</f>
        <v>3</v>
      </c>
      <c r="D161" s="177">
        <f>VLOOKUP(A161,Places[#All],6,FALSE)</f>
        <v>1867</v>
      </c>
      <c r="E161"/>
      <c r="F161" s="44" t="s">
        <v>20</v>
      </c>
      <c r="G161" s="10">
        <v>2054167.9285171104</v>
      </c>
      <c r="H161" s="199">
        <f>VLOOKUP(F161,Places[#All],7,FALSE)</f>
        <v>61.5</v>
      </c>
      <c r="I161" s="177">
        <f>VLOOKUP(F161,Places[#All],6,FALSE)</f>
        <v>215941</v>
      </c>
      <c r="J161"/>
      <c r="K161"/>
      <c r="L161"/>
      <c r="M161"/>
      <c r="N161"/>
      <c r="O161"/>
      <c r="P161"/>
      <c r="Q161"/>
      <c r="R161"/>
      <c r="S161"/>
      <c r="T161"/>
      <c r="U161"/>
      <c r="V161"/>
      <c r="W161"/>
      <c r="X161"/>
      <c r="Y161"/>
      <c r="Z161"/>
      <c r="AA161"/>
      <c r="AB161"/>
      <c r="AC161"/>
      <c r="AD161"/>
      <c r="AE161"/>
      <c r="AF161"/>
      <c r="AG161"/>
      <c r="AH161"/>
      <c r="AI161"/>
      <c r="AJ161"/>
      <c r="AK161"/>
    </row>
    <row r="162" spans="1:37" x14ac:dyDescent="0.25">
      <c r="A162" s="44" t="s">
        <v>177</v>
      </c>
      <c r="B162" s="10">
        <v>370923.24768455693</v>
      </c>
      <c r="C162" s="199">
        <f>VLOOKUP(A162,Places[#All],7,FALSE)</f>
        <v>3.6</v>
      </c>
      <c r="D162" s="177">
        <f>VLOOKUP(A162,Places[#All],6,FALSE)</f>
        <v>8141</v>
      </c>
      <c r="E162"/>
      <c r="F162" s="44" t="s">
        <v>1761</v>
      </c>
      <c r="G162" s="10">
        <v>1468000</v>
      </c>
      <c r="H162" s="199">
        <f>VLOOKUP(F162,Places[#All],7,FALSE)</f>
        <v>21.8</v>
      </c>
      <c r="I162" s="177">
        <f>VLOOKUP(F162,Places[#All],6,FALSE)</f>
        <v>111128</v>
      </c>
      <c r="J162"/>
      <c r="K162"/>
      <c r="L162"/>
      <c r="M162"/>
      <c r="N162"/>
      <c r="O162"/>
      <c r="P162"/>
      <c r="Q162"/>
      <c r="R162"/>
      <c r="S162"/>
      <c r="T162"/>
      <c r="U162"/>
      <c r="V162"/>
      <c r="W162"/>
      <c r="X162"/>
      <c r="Y162"/>
      <c r="Z162"/>
      <c r="AA162"/>
      <c r="AB162"/>
      <c r="AC162"/>
      <c r="AD162"/>
      <c r="AE162"/>
      <c r="AF162"/>
      <c r="AG162"/>
      <c r="AH162"/>
      <c r="AI162"/>
      <c r="AJ162"/>
      <c r="AK162"/>
    </row>
    <row r="163" spans="1:37" x14ac:dyDescent="0.25">
      <c r="A163" s="44" t="s">
        <v>194</v>
      </c>
      <c r="B163" s="10">
        <v>418803.16967088607</v>
      </c>
      <c r="C163" s="199">
        <f>VLOOKUP(A163,Places[#All],7,FALSE)</f>
        <v>5.2</v>
      </c>
      <c r="D163" s="177">
        <f>VLOOKUP(A163,Places[#All],6,FALSE)</f>
        <v>54412</v>
      </c>
      <c r="E163"/>
      <c r="F163" s="44" t="s">
        <v>288</v>
      </c>
      <c r="G163" s="10">
        <v>3321750.21</v>
      </c>
      <c r="H163" s="199">
        <f>VLOOKUP(F163,Places[#All],7,FALSE)</f>
        <v>18.399999999999999</v>
      </c>
      <c r="I163" s="177">
        <f>VLOOKUP(F163,Places[#All],6,FALSE)</f>
        <v>64857</v>
      </c>
      <c r="J163"/>
      <c r="K163"/>
      <c r="L163"/>
      <c r="M163"/>
      <c r="N163"/>
      <c r="O163"/>
      <c r="P163"/>
      <c r="Q163"/>
      <c r="R163"/>
      <c r="S163"/>
      <c r="T163"/>
      <c r="U163"/>
      <c r="V163"/>
      <c r="W163"/>
      <c r="X163"/>
      <c r="Y163"/>
      <c r="Z163"/>
      <c r="AA163"/>
      <c r="AB163"/>
      <c r="AC163"/>
      <c r="AD163"/>
      <c r="AE163"/>
      <c r="AF163"/>
      <c r="AG163"/>
      <c r="AH163"/>
      <c r="AI163"/>
      <c r="AJ163"/>
      <c r="AK163"/>
    </row>
    <row r="164" spans="1:37" x14ac:dyDescent="0.25">
      <c r="A164" s="44" t="s">
        <v>124</v>
      </c>
      <c r="B164" s="10">
        <v>35256726.769277848</v>
      </c>
      <c r="C164" s="199">
        <f>VLOOKUP(A164,Places[#All],7,FALSE)</f>
        <v>97.9</v>
      </c>
      <c r="D164" s="177">
        <f>VLOOKUP(A164,Places[#All],6,FALSE)</f>
        <v>508529</v>
      </c>
      <c r="E164"/>
      <c r="F164" s="44" t="s">
        <v>154</v>
      </c>
      <c r="G164" s="10">
        <v>615805.82278481009</v>
      </c>
      <c r="H164" s="199">
        <f>VLOOKUP(F164,Places[#All],7,FALSE)</f>
        <v>15</v>
      </c>
      <c r="I164" s="177">
        <f>VLOOKUP(F164,Places[#All],6,FALSE)</f>
        <v>33982</v>
      </c>
      <c r="J164"/>
      <c r="K164"/>
      <c r="L164"/>
      <c r="M164"/>
      <c r="N164"/>
      <c r="O164"/>
      <c r="P164"/>
      <c r="Q164"/>
      <c r="R164"/>
      <c r="S164"/>
      <c r="T164"/>
      <c r="U164"/>
      <c r="V164"/>
      <c r="W164"/>
      <c r="X164"/>
      <c r="Y164"/>
      <c r="Z164"/>
      <c r="AA164"/>
      <c r="AB164"/>
      <c r="AC164"/>
      <c r="AD164"/>
      <c r="AE164"/>
      <c r="AF164"/>
      <c r="AG164"/>
      <c r="AH164"/>
      <c r="AI164"/>
      <c r="AJ164"/>
      <c r="AK164"/>
    </row>
    <row r="165" spans="1:37" x14ac:dyDescent="0.25">
      <c r="A165" s="44" t="s">
        <v>7</v>
      </c>
      <c r="B165" s="10">
        <v>4577600.1080783363</v>
      </c>
      <c r="C165" s="199">
        <f>VLOOKUP(A165,Places[#All],7,FALSE)</f>
        <v>23.6</v>
      </c>
      <c r="D165" s="177">
        <f>VLOOKUP(A165,Places[#All],6,FALSE)</f>
        <v>156259</v>
      </c>
      <c r="E165"/>
      <c r="F165" s="44" t="s">
        <v>195</v>
      </c>
      <c r="G165" s="10">
        <v>408236.79113924049</v>
      </c>
      <c r="H165" s="199">
        <f>VLOOKUP(F165,Places[#All],7,FALSE)</f>
        <v>2.4</v>
      </c>
      <c r="I165" s="177">
        <f>VLOOKUP(F165,Places[#All],6,FALSE)</f>
        <v>24510</v>
      </c>
      <c r="J165"/>
      <c r="K165"/>
      <c r="L165"/>
      <c r="M165"/>
      <c r="N165"/>
      <c r="O165"/>
      <c r="P165"/>
      <c r="Q165"/>
      <c r="R165"/>
      <c r="S165"/>
      <c r="T165"/>
      <c r="U165"/>
      <c r="V165"/>
      <c r="W165"/>
      <c r="X165"/>
      <c r="Y165"/>
      <c r="Z165"/>
      <c r="AA165"/>
      <c r="AB165"/>
      <c r="AC165"/>
      <c r="AD165"/>
      <c r="AE165"/>
      <c r="AF165"/>
      <c r="AG165"/>
      <c r="AH165"/>
      <c r="AI165"/>
      <c r="AJ165"/>
      <c r="AK165"/>
    </row>
    <row r="166" spans="1:37" x14ac:dyDescent="0.25">
      <c r="A166" s="44" t="s">
        <v>20</v>
      </c>
      <c r="B166" s="10">
        <v>2054167.9285171104</v>
      </c>
      <c r="C166" s="199">
        <f>VLOOKUP(A166,Places[#All],7,FALSE)</f>
        <v>61.5</v>
      </c>
      <c r="D166" s="177">
        <f>VLOOKUP(A166,Places[#All],6,FALSE)</f>
        <v>215941</v>
      </c>
      <c r="E166"/>
      <c r="F166" s="44" t="s">
        <v>196</v>
      </c>
      <c r="G166" s="10">
        <v>434071.22565949365</v>
      </c>
      <c r="H166" s="199">
        <f>VLOOKUP(F166,Places[#All],7,FALSE)</f>
        <v>4.0999999999999996</v>
      </c>
      <c r="I166" s="177">
        <f>VLOOKUP(F166,Places[#All],6,FALSE)</f>
        <v>40335</v>
      </c>
      <c r="J166"/>
      <c r="K166"/>
      <c r="L166"/>
      <c r="M166"/>
      <c r="N166"/>
      <c r="O166"/>
      <c r="P166"/>
      <c r="Q166"/>
      <c r="R166"/>
      <c r="S166"/>
      <c r="T166"/>
      <c r="U166"/>
      <c r="V166"/>
      <c r="W166"/>
      <c r="X166"/>
      <c r="Y166"/>
      <c r="Z166"/>
      <c r="AA166"/>
      <c r="AB166"/>
      <c r="AC166"/>
      <c r="AD166"/>
      <c r="AE166"/>
      <c r="AF166"/>
      <c r="AG166"/>
      <c r="AH166"/>
      <c r="AI166"/>
      <c r="AJ166"/>
      <c r="AK166"/>
    </row>
    <row r="167" spans="1:37" x14ac:dyDescent="0.25">
      <c r="A167" s="44" t="s">
        <v>1761</v>
      </c>
      <c r="B167" s="10">
        <v>1468000</v>
      </c>
      <c r="C167" s="199">
        <f>VLOOKUP(A167,Places[#All],7,FALSE)</f>
        <v>21.8</v>
      </c>
      <c r="D167" s="177">
        <f>VLOOKUP(A167,Places[#All],6,FALSE)</f>
        <v>111128</v>
      </c>
      <c r="E167"/>
      <c r="F167" s="44" t="s">
        <v>239</v>
      </c>
      <c r="G167" s="10">
        <v>1471263.0867708751</v>
      </c>
      <c r="H167" s="199">
        <f>VLOOKUP(F167,Places[#All],7,FALSE)</f>
        <v>25.7</v>
      </c>
      <c r="I167" s="177">
        <f>VLOOKUP(F167,Places[#All],6,FALSE)</f>
        <v>48867</v>
      </c>
      <c r="J167"/>
      <c r="K167"/>
      <c r="L167"/>
      <c r="M167"/>
      <c r="N167"/>
      <c r="O167"/>
      <c r="P167"/>
      <c r="Q167"/>
      <c r="R167"/>
      <c r="S167"/>
      <c r="T167"/>
      <c r="U167"/>
      <c r="V167"/>
      <c r="W167"/>
      <c r="X167"/>
      <c r="Y167"/>
      <c r="Z167"/>
      <c r="AA167"/>
      <c r="AB167"/>
      <c r="AC167"/>
      <c r="AD167"/>
      <c r="AE167"/>
      <c r="AF167"/>
      <c r="AG167"/>
      <c r="AH167"/>
      <c r="AI167"/>
      <c r="AJ167"/>
      <c r="AK167"/>
    </row>
    <row r="168" spans="1:37" x14ac:dyDescent="0.25">
      <c r="A168" s="44" t="s">
        <v>288</v>
      </c>
      <c r="B168" s="10">
        <v>3321750.21</v>
      </c>
      <c r="C168" s="199">
        <f>VLOOKUP(A168,Places[#All],7,FALSE)</f>
        <v>18.399999999999999</v>
      </c>
      <c r="D168" s="177">
        <f>VLOOKUP(A168,Places[#All],6,FALSE)</f>
        <v>64857</v>
      </c>
      <c r="E168"/>
      <c r="F168" s="44" t="s">
        <v>289</v>
      </c>
      <c r="G168" s="10">
        <v>4167322.2920485931</v>
      </c>
      <c r="H168" s="199">
        <f>VLOOKUP(F168,Places[#All],7,FALSE)</f>
        <v>14.2</v>
      </c>
      <c r="I168" s="177">
        <f>VLOOKUP(F168,Places[#All],6,FALSE)</f>
        <v>36013</v>
      </c>
      <c r="J168"/>
      <c r="K168"/>
      <c r="L168"/>
      <c r="M168"/>
      <c r="N168"/>
      <c r="O168"/>
      <c r="P168"/>
      <c r="Q168"/>
      <c r="R168"/>
      <c r="S168"/>
      <c r="T168"/>
      <c r="U168"/>
      <c r="V168"/>
      <c r="W168"/>
      <c r="X168"/>
      <c r="Y168"/>
      <c r="Z168"/>
      <c r="AA168"/>
      <c r="AB168"/>
      <c r="AC168"/>
      <c r="AD168"/>
      <c r="AE168"/>
      <c r="AF168"/>
      <c r="AG168"/>
      <c r="AH168"/>
      <c r="AI168"/>
      <c r="AJ168"/>
      <c r="AK168"/>
    </row>
    <row r="169" spans="1:37" x14ac:dyDescent="0.25">
      <c r="A169" s="44" t="s">
        <v>21</v>
      </c>
      <c r="B169" s="10">
        <v>76397499.007086918</v>
      </c>
      <c r="C169" s="199">
        <f>VLOOKUP(A169,Places[#All],7,FALSE)</f>
        <v>325.2</v>
      </c>
      <c r="D169" s="177">
        <f>VLOOKUP(A169,Places[#All],6,FALSE)</f>
        <v>1425976</v>
      </c>
      <c r="E169"/>
      <c r="F169" s="44" t="s">
        <v>22</v>
      </c>
      <c r="G169" s="10">
        <v>1140690.8413004293</v>
      </c>
      <c r="H169" s="199">
        <f>VLOOKUP(F169,Places[#All],7,FALSE)</f>
        <v>24.4</v>
      </c>
      <c r="I169" s="177">
        <f>VLOOKUP(F169,Places[#All],6,FALSE)</f>
        <v>96847</v>
      </c>
      <c r="J169"/>
      <c r="K169"/>
      <c r="L169"/>
      <c r="M169"/>
      <c r="N169"/>
      <c r="O169"/>
      <c r="P169"/>
      <c r="Q169"/>
      <c r="R169"/>
      <c r="S169"/>
      <c r="T169"/>
      <c r="U169"/>
      <c r="V169"/>
      <c r="W169"/>
      <c r="X169"/>
      <c r="Y169"/>
      <c r="Z169"/>
      <c r="AA169"/>
      <c r="AB169"/>
      <c r="AC169"/>
      <c r="AD169"/>
      <c r="AE169"/>
      <c r="AF169"/>
      <c r="AG169"/>
      <c r="AH169"/>
      <c r="AI169"/>
      <c r="AJ169"/>
      <c r="AK169"/>
    </row>
    <row r="170" spans="1:37" x14ac:dyDescent="0.25">
      <c r="A170" s="44" t="s">
        <v>154</v>
      </c>
      <c r="B170" s="10">
        <v>615805.82278481009</v>
      </c>
      <c r="C170" s="199">
        <f>VLOOKUP(A170,Places[#All],7,FALSE)</f>
        <v>15</v>
      </c>
      <c r="D170" s="177">
        <f>VLOOKUP(A170,Places[#All],6,FALSE)</f>
        <v>33982</v>
      </c>
      <c r="E170"/>
      <c r="F170" s="44" t="s">
        <v>197</v>
      </c>
      <c r="G170" s="10">
        <v>567200.69388607587</v>
      </c>
      <c r="H170" s="199">
        <f>VLOOKUP(F170,Places[#All],7,FALSE)</f>
        <v>3.8</v>
      </c>
      <c r="I170" s="177">
        <f>VLOOKUP(F170,Places[#All],6,FALSE)</f>
        <v>13186</v>
      </c>
      <c r="J170"/>
      <c r="K170"/>
      <c r="L170"/>
      <c r="M170"/>
      <c r="N170"/>
      <c r="O170"/>
      <c r="P170"/>
      <c r="Q170"/>
      <c r="R170"/>
      <c r="S170"/>
      <c r="T170"/>
      <c r="U170"/>
      <c r="V170"/>
      <c r="W170"/>
      <c r="X170"/>
      <c r="Y170"/>
      <c r="Z170"/>
      <c r="AA170"/>
      <c r="AB170"/>
      <c r="AC170"/>
      <c r="AD170"/>
      <c r="AE170"/>
      <c r="AF170"/>
      <c r="AG170"/>
      <c r="AH170"/>
      <c r="AI170"/>
      <c r="AJ170"/>
      <c r="AK170"/>
    </row>
    <row r="171" spans="1:37" x14ac:dyDescent="0.25">
      <c r="A171" s="44" t="s">
        <v>195</v>
      </c>
      <c r="B171" s="10">
        <v>408236.79113924049</v>
      </c>
      <c r="C171" s="199">
        <f>VLOOKUP(A171,Places[#All],7,FALSE)</f>
        <v>2.4</v>
      </c>
      <c r="D171" s="177">
        <f>VLOOKUP(A171,Places[#All],6,FALSE)</f>
        <v>24510</v>
      </c>
      <c r="E171"/>
      <c r="F171" s="44" t="s">
        <v>290</v>
      </c>
      <c r="G171" s="10">
        <v>6201789.1281818179</v>
      </c>
      <c r="H171" s="199">
        <f>VLOOKUP(F171,Places[#All],7,FALSE)</f>
        <v>27.1</v>
      </c>
      <c r="I171" s="177">
        <f>VLOOKUP(F171,Places[#All],6,FALSE)</f>
        <v>332725</v>
      </c>
      <c r="J171"/>
      <c r="K171"/>
      <c r="L171"/>
      <c r="M171"/>
      <c r="N171"/>
      <c r="O171"/>
      <c r="P171"/>
      <c r="Q171"/>
      <c r="R171"/>
      <c r="S171"/>
      <c r="T171"/>
      <c r="U171"/>
      <c r="V171"/>
      <c r="W171"/>
      <c r="X171"/>
      <c r="Y171"/>
      <c r="Z171"/>
      <c r="AA171"/>
      <c r="AB171"/>
      <c r="AC171"/>
      <c r="AD171"/>
      <c r="AE171"/>
      <c r="AF171"/>
      <c r="AG171"/>
      <c r="AH171"/>
      <c r="AI171"/>
      <c r="AJ171"/>
      <c r="AK171"/>
    </row>
    <row r="172" spans="1:37" x14ac:dyDescent="0.25">
      <c r="A172" s="44" t="s">
        <v>196</v>
      </c>
      <c r="B172" s="10">
        <v>434071.22565949365</v>
      </c>
      <c r="C172" s="199">
        <f>VLOOKUP(A172,Places[#All],7,FALSE)</f>
        <v>4.0999999999999996</v>
      </c>
      <c r="D172" s="177">
        <f>VLOOKUP(A172,Places[#All],6,FALSE)</f>
        <v>40335</v>
      </c>
      <c r="E172"/>
      <c r="F172" s="44" t="s">
        <v>206</v>
      </c>
      <c r="G172" s="10">
        <v>3154598.0439873417</v>
      </c>
      <c r="H172" s="199">
        <f>VLOOKUP(F172,Places[#All],7,FALSE)</f>
        <v>52.8</v>
      </c>
      <c r="I172" s="177">
        <f>VLOOKUP(F172,Places[#All],6,FALSE)</f>
        <v>210089</v>
      </c>
      <c r="J172"/>
      <c r="K172"/>
      <c r="L172"/>
      <c r="M172"/>
      <c r="N172"/>
      <c r="O172"/>
      <c r="P172"/>
      <c r="Q172"/>
      <c r="R172"/>
      <c r="S172"/>
      <c r="T172"/>
      <c r="U172"/>
      <c r="V172"/>
      <c r="W172"/>
      <c r="X172"/>
      <c r="Y172"/>
      <c r="Z172"/>
      <c r="AA172"/>
      <c r="AB172"/>
      <c r="AC172"/>
      <c r="AD172"/>
      <c r="AE172"/>
      <c r="AF172"/>
      <c r="AG172"/>
      <c r="AH172"/>
      <c r="AI172"/>
      <c r="AJ172"/>
      <c r="AK172"/>
    </row>
    <row r="173" spans="1:37" x14ac:dyDescent="0.25">
      <c r="A173" s="44" t="s">
        <v>239</v>
      </c>
      <c r="B173" s="10">
        <v>1471263.0867708751</v>
      </c>
      <c r="C173" s="199">
        <f>VLOOKUP(A173,Places[#All],7,FALSE)</f>
        <v>25.7</v>
      </c>
      <c r="D173" s="177">
        <f>VLOOKUP(A173,Places[#All],6,FALSE)</f>
        <v>48867</v>
      </c>
      <c r="E173"/>
      <c r="F173" s="44" t="s">
        <v>186</v>
      </c>
      <c r="G173" s="10">
        <v>11273447.839101264</v>
      </c>
      <c r="H173" s="199">
        <f>VLOOKUP(F173,Places[#All],7,FALSE)</f>
        <v>8.4</v>
      </c>
      <c r="I173" s="177">
        <f>VLOOKUP(F173,Places[#All],6,FALSE)</f>
        <v>91411</v>
      </c>
      <c r="J173"/>
      <c r="K173"/>
      <c r="L173"/>
      <c r="M173"/>
      <c r="N173"/>
      <c r="O173"/>
      <c r="P173"/>
      <c r="Q173"/>
      <c r="R173"/>
      <c r="S173"/>
      <c r="T173"/>
      <c r="U173"/>
      <c r="V173"/>
      <c r="W173"/>
      <c r="X173"/>
      <c r="Y173"/>
      <c r="Z173"/>
      <c r="AA173"/>
      <c r="AB173"/>
      <c r="AC173"/>
      <c r="AD173"/>
      <c r="AE173"/>
      <c r="AF173"/>
      <c r="AG173"/>
      <c r="AH173"/>
      <c r="AI173"/>
      <c r="AJ173"/>
      <c r="AK173"/>
    </row>
    <row r="174" spans="1:37" x14ac:dyDescent="0.25">
      <c r="A174" s="44" t="s">
        <v>289</v>
      </c>
      <c r="B174" s="10">
        <v>4167322.2920485931</v>
      </c>
      <c r="C174" s="199">
        <f>VLOOKUP(A174,Places[#All],7,FALSE)</f>
        <v>14.2</v>
      </c>
      <c r="D174" s="177">
        <f>VLOOKUP(A174,Places[#All],6,FALSE)</f>
        <v>36013</v>
      </c>
      <c r="E174"/>
      <c r="F174" s="44" t="s">
        <v>316</v>
      </c>
      <c r="G174" s="10">
        <v>806808.44842105277</v>
      </c>
      <c r="H174" s="199">
        <f>VLOOKUP(F174,Places[#All],7,FALSE)</f>
        <v>16.2</v>
      </c>
      <c r="I174" s="177">
        <f>VLOOKUP(F174,Places[#All],6,FALSE)</f>
        <v>58115</v>
      </c>
      <c r="J174"/>
      <c r="K174"/>
      <c r="L174"/>
      <c r="M174"/>
      <c r="N174"/>
      <c r="O174"/>
      <c r="P174"/>
      <c r="Q174"/>
      <c r="R174"/>
      <c r="S174"/>
      <c r="T174"/>
      <c r="U174"/>
      <c r="V174"/>
      <c r="W174"/>
      <c r="X174"/>
      <c r="Y174"/>
      <c r="Z174"/>
      <c r="AA174"/>
      <c r="AB174"/>
      <c r="AC174"/>
      <c r="AD174"/>
      <c r="AE174"/>
      <c r="AF174"/>
      <c r="AG174"/>
      <c r="AH174"/>
      <c r="AI174"/>
      <c r="AJ174"/>
      <c r="AK174"/>
    </row>
    <row r="175" spans="1:37" x14ac:dyDescent="0.25">
      <c r="A175" s="44" t="s">
        <v>22</v>
      </c>
      <c r="B175" s="10">
        <v>1140690.8413004293</v>
      </c>
      <c r="C175" s="199">
        <f>VLOOKUP(A175,Places[#All],7,FALSE)</f>
        <v>24.4</v>
      </c>
      <c r="D175" s="177">
        <f>VLOOKUP(A175,Places[#All],6,FALSE)</f>
        <v>96847</v>
      </c>
      <c r="E175"/>
      <c r="F175" s="44" t="s">
        <v>291</v>
      </c>
      <c r="G175" s="10">
        <v>567910.28063241101</v>
      </c>
      <c r="H175" s="199">
        <f>VLOOKUP(F175,Places[#All],7,FALSE)</f>
        <v>11.3</v>
      </c>
      <c r="I175" s="177">
        <f>VLOOKUP(F175,Places[#All],6,FALSE)</f>
        <v>24119</v>
      </c>
      <c r="J175"/>
      <c r="K175"/>
      <c r="L175"/>
      <c r="M175"/>
      <c r="N175"/>
      <c r="O175"/>
      <c r="P175"/>
      <c r="Q175"/>
      <c r="R175"/>
      <c r="S175"/>
      <c r="T175"/>
      <c r="U175"/>
      <c r="V175"/>
      <c r="W175"/>
      <c r="X175"/>
      <c r="Y175"/>
      <c r="Z175"/>
      <c r="AA175"/>
      <c r="AB175"/>
      <c r="AC175"/>
      <c r="AD175"/>
      <c r="AE175"/>
      <c r="AF175"/>
      <c r="AG175"/>
      <c r="AH175"/>
      <c r="AI175"/>
      <c r="AJ175"/>
      <c r="AK175"/>
    </row>
    <row r="176" spans="1:37" x14ac:dyDescent="0.25">
      <c r="A176" s="44" t="s">
        <v>197</v>
      </c>
      <c r="B176" s="10">
        <v>567200.69388607587</v>
      </c>
      <c r="C176" s="199">
        <f>VLOOKUP(A176,Places[#All],7,FALSE)</f>
        <v>3.8</v>
      </c>
      <c r="D176" s="177">
        <f>VLOOKUP(A176,Places[#All],6,FALSE)</f>
        <v>13186</v>
      </c>
      <c r="E176"/>
      <c r="F176" s="44" t="s">
        <v>184</v>
      </c>
      <c r="G176" s="10">
        <v>351860.82979746832</v>
      </c>
      <c r="H176" s="199">
        <f>VLOOKUP(F176,Places[#All],7,FALSE)</f>
        <v>3</v>
      </c>
      <c r="I176" s="177">
        <f>VLOOKUP(F176,Places[#All],6,FALSE)</f>
        <v>10917</v>
      </c>
      <c r="J176"/>
      <c r="K176"/>
      <c r="L176"/>
      <c r="M176"/>
      <c r="N176"/>
      <c r="O176"/>
      <c r="P176"/>
      <c r="Q176"/>
      <c r="R176"/>
      <c r="S176"/>
      <c r="T176"/>
      <c r="U176"/>
      <c r="V176"/>
      <c r="W176"/>
      <c r="X176"/>
      <c r="Y176"/>
      <c r="Z176"/>
      <c r="AA176"/>
      <c r="AB176"/>
      <c r="AC176"/>
      <c r="AD176"/>
      <c r="AE176"/>
      <c r="AF176"/>
      <c r="AG176"/>
      <c r="AH176"/>
      <c r="AI176"/>
      <c r="AJ176"/>
      <c r="AK176"/>
    </row>
    <row r="177" spans="1:37" x14ac:dyDescent="0.25">
      <c r="A177" s="44" t="s">
        <v>290</v>
      </c>
      <c r="B177" s="10">
        <v>6201789.1281818179</v>
      </c>
      <c r="C177" s="199">
        <f>VLOOKUP(A177,Places[#All],7,FALSE)</f>
        <v>27.1</v>
      </c>
      <c r="D177" s="177">
        <f>VLOOKUP(A177,Places[#All],6,FALSE)</f>
        <v>332725</v>
      </c>
      <c r="E177"/>
      <c r="F177" s="44" t="s">
        <v>164</v>
      </c>
      <c r="G177" s="10">
        <v>583422.93037974683</v>
      </c>
      <c r="H177" s="199">
        <f>VLOOKUP(F177,Places[#All],7,FALSE)</f>
        <v>2.2000000000000002</v>
      </c>
      <c r="I177" s="177">
        <f>VLOOKUP(F177,Places[#All],6,FALSE)</f>
        <v>11555</v>
      </c>
      <c r="J177"/>
      <c r="K177"/>
      <c r="L177"/>
      <c r="M177"/>
      <c r="N177"/>
      <c r="O177"/>
      <c r="P177"/>
      <c r="Q177"/>
      <c r="R177"/>
      <c r="S177"/>
      <c r="T177"/>
      <c r="U177"/>
      <c r="V177"/>
      <c r="W177"/>
      <c r="X177"/>
      <c r="Y177"/>
      <c r="Z177"/>
      <c r="AA177"/>
      <c r="AB177"/>
      <c r="AC177"/>
      <c r="AD177"/>
      <c r="AE177"/>
      <c r="AF177"/>
      <c r="AG177"/>
      <c r="AH177"/>
      <c r="AI177"/>
      <c r="AJ177"/>
      <c r="AK177"/>
    </row>
    <row r="178" spans="1:37" x14ac:dyDescent="0.25">
      <c r="A178" s="44" t="s">
        <v>206</v>
      </c>
      <c r="B178" s="10">
        <v>3154598.0439873417</v>
      </c>
      <c r="C178" s="199">
        <f>VLOOKUP(A178,Places[#All],7,FALSE)</f>
        <v>52.8</v>
      </c>
      <c r="D178" s="177">
        <f>VLOOKUP(A178,Places[#All],6,FALSE)</f>
        <v>210089</v>
      </c>
      <c r="E178"/>
      <c r="F178" s="44" t="s">
        <v>306</v>
      </c>
      <c r="G178" s="10">
        <v>491332.37037943705</v>
      </c>
      <c r="H178" s="199">
        <f>VLOOKUP(F178,Places[#All],7,FALSE)</f>
        <v>3.5</v>
      </c>
      <c r="I178" s="177">
        <f>VLOOKUP(F178,Places[#All],6,FALSE)</f>
        <v>13379</v>
      </c>
      <c r="J178"/>
      <c r="K178"/>
      <c r="L178"/>
      <c r="M178"/>
      <c r="N178"/>
      <c r="O178"/>
      <c r="P178"/>
      <c r="Q178"/>
      <c r="R178"/>
      <c r="S178"/>
      <c r="T178"/>
      <c r="U178"/>
      <c r="V178"/>
      <c r="W178"/>
      <c r="X178"/>
      <c r="Y178"/>
      <c r="Z178"/>
      <c r="AA178"/>
      <c r="AB178"/>
      <c r="AC178"/>
      <c r="AD178"/>
      <c r="AE178"/>
      <c r="AF178"/>
      <c r="AG178"/>
      <c r="AH178"/>
      <c r="AI178"/>
      <c r="AJ178"/>
      <c r="AK178"/>
    </row>
    <row r="179" spans="1:37" x14ac:dyDescent="0.25">
      <c r="A179" s="44" t="s">
        <v>186</v>
      </c>
      <c r="B179" s="10">
        <v>11273447.839101264</v>
      </c>
      <c r="C179" s="199">
        <f>VLOOKUP(A179,Places[#All],7,FALSE)</f>
        <v>8.4</v>
      </c>
      <c r="D179" s="177">
        <f>VLOOKUP(A179,Places[#All],6,FALSE)</f>
        <v>91411</v>
      </c>
      <c r="E179"/>
      <c r="F179" s="44" t="s">
        <v>11</v>
      </c>
      <c r="G179" s="10">
        <v>300927.23290936707</v>
      </c>
      <c r="H179" s="199">
        <f>VLOOKUP(F179,Places[#All],7,FALSE)</f>
        <v>2.8</v>
      </c>
      <c r="I179" s="177">
        <f>VLOOKUP(F179,Places[#All],6,FALSE)</f>
        <v>20767</v>
      </c>
      <c r="J179"/>
      <c r="K179"/>
      <c r="L179"/>
      <c r="M179"/>
      <c r="N179"/>
      <c r="O179"/>
      <c r="P179"/>
      <c r="Q179"/>
      <c r="R179"/>
      <c r="S179"/>
      <c r="T179"/>
      <c r="U179"/>
      <c r="V179"/>
      <c r="W179"/>
      <c r="X179"/>
      <c r="Y179"/>
      <c r="Z179"/>
      <c r="AA179"/>
      <c r="AB179"/>
      <c r="AC179"/>
      <c r="AD179"/>
      <c r="AE179"/>
      <c r="AF179"/>
      <c r="AG179"/>
      <c r="AH179"/>
      <c r="AI179"/>
      <c r="AJ179"/>
      <c r="AK179"/>
    </row>
    <row r="180" spans="1:37" x14ac:dyDescent="0.25">
      <c r="A180" s="44" t="s">
        <v>316</v>
      </c>
      <c r="B180" s="10">
        <v>806808.44842105277</v>
      </c>
      <c r="C180" s="199">
        <f>VLOOKUP(A180,Places[#All],7,FALSE)</f>
        <v>16.2</v>
      </c>
      <c r="D180" s="177">
        <f>VLOOKUP(A180,Places[#All],6,FALSE)</f>
        <v>58115</v>
      </c>
      <c r="E180"/>
      <c r="F180" s="44" t="s">
        <v>198</v>
      </c>
      <c r="G180" s="10">
        <v>219778.97468354428</v>
      </c>
      <c r="H180" s="199">
        <f>VLOOKUP(F180,Places[#All],7,FALSE)</f>
        <v>3.4</v>
      </c>
      <c r="I180" s="177">
        <f>VLOOKUP(F180,Places[#All],6,FALSE)</f>
        <v>25611</v>
      </c>
      <c r="J180"/>
      <c r="K180"/>
      <c r="L180"/>
      <c r="M180"/>
      <c r="N180"/>
      <c r="O180"/>
      <c r="P180"/>
      <c r="Q180"/>
      <c r="R180"/>
      <c r="S180"/>
      <c r="T180"/>
      <c r="U180"/>
      <c r="V180"/>
      <c r="W180"/>
      <c r="X180"/>
      <c r="Y180"/>
      <c r="Z180"/>
      <c r="AA180"/>
      <c r="AB180"/>
      <c r="AC180"/>
      <c r="AD180"/>
      <c r="AE180"/>
      <c r="AF180"/>
      <c r="AG180"/>
      <c r="AH180"/>
      <c r="AI180"/>
      <c r="AJ180"/>
      <c r="AK180"/>
    </row>
    <row r="181" spans="1:37" x14ac:dyDescent="0.25">
      <c r="A181" s="44" t="s">
        <v>291</v>
      </c>
      <c r="B181" s="10">
        <v>567910.28063241101</v>
      </c>
      <c r="C181" s="199">
        <f>VLOOKUP(A181,Places[#All],7,FALSE)</f>
        <v>11.3</v>
      </c>
      <c r="D181" s="177">
        <f>VLOOKUP(A181,Places[#All],6,FALSE)</f>
        <v>24119</v>
      </c>
      <c r="E181"/>
      <c r="F181" s="44" t="s">
        <v>292</v>
      </c>
      <c r="G181" s="10">
        <v>140235.61868435913</v>
      </c>
      <c r="H181" s="199">
        <f>VLOOKUP(F181,Places[#All],7,FALSE)</f>
        <v>3.1</v>
      </c>
      <c r="I181" s="177">
        <f>VLOOKUP(F181,Places[#All],6,FALSE)</f>
        <v>38234</v>
      </c>
      <c r="J181"/>
      <c r="K181"/>
      <c r="L181"/>
      <c r="M181"/>
      <c r="N181"/>
      <c r="O181"/>
      <c r="P181"/>
      <c r="Q181"/>
      <c r="R181"/>
      <c r="S181"/>
      <c r="T181"/>
      <c r="U181"/>
      <c r="V181"/>
      <c r="W181"/>
      <c r="X181"/>
      <c r="Y181"/>
      <c r="Z181"/>
      <c r="AA181"/>
      <c r="AB181"/>
      <c r="AC181"/>
      <c r="AD181"/>
      <c r="AE181"/>
      <c r="AF181"/>
      <c r="AG181"/>
      <c r="AH181"/>
      <c r="AI181"/>
      <c r="AJ181"/>
      <c r="AK181"/>
    </row>
    <row r="182" spans="1:37" x14ac:dyDescent="0.25">
      <c r="A182" s="44" t="s">
        <v>184</v>
      </c>
      <c r="B182" s="10">
        <v>351860.82979746832</v>
      </c>
      <c r="C182" s="199">
        <f>VLOOKUP(A182,Places[#All],7,FALSE)</f>
        <v>3</v>
      </c>
      <c r="D182" s="177">
        <f>VLOOKUP(A182,Places[#All],6,FALSE)</f>
        <v>10917</v>
      </c>
      <c r="E182"/>
      <c r="F182" s="44" t="s">
        <v>416</v>
      </c>
      <c r="G182" s="10">
        <v>4952739.7339167688</v>
      </c>
      <c r="H182" s="199">
        <f>VLOOKUP(F182,Places[#All],7,FALSE)</f>
        <v>61.7</v>
      </c>
      <c r="I182" s="177">
        <f>VLOOKUP(F182,Places[#All],6,FALSE)</f>
        <v>311178</v>
      </c>
      <c r="J182"/>
      <c r="K182"/>
      <c r="L182"/>
      <c r="M182"/>
      <c r="N182"/>
      <c r="O182"/>
      <c r="P182"/>
      <c r="Q182"/>
      <c r="R182"/>
      <c r="S182"/>
      <c r="T182"/>
      <c r="U182"/>
      <c r="V182"/>
      <c r="W182"/>
      <c r="X182"/>
      <c r="Y182"/>
      <c r="Z182"/>
      <c r="AA182"/>
      <c r="AB182"/>
      <c r="AC182"/>
      <c r="AD182"/>
      <c r="AE182"/>
      <c r="AF182"/>
      <c r="AG182"/>
      <c r="AH182"/>
      <c r="AI182"/>
      <c r="AJ182"/>
      <c r="AK182"/>
    </row>
    <row r="183" spans="1:37" x14ac:dyDescent="0.25">
      <c r="A183" s="44" t="s">
        <v>164</v>
      </c>
      <c r="B183" s="10">
        <v>583422.93037974683</v>
      </c>
      <c r="C183" s="199">
        <f>VLOOKUP(A183,Places[#All],7,FALSE)</f>
        <v>2.2000000000000002</v>
      </c>
      <c r="D183" s="177">
        <f>VLOOKUP(A183,Places[#All],6,FALSE)</f>
        <v>11555</v>
      </c>
      <c r="E183"/>
      <c r="F183" s="44" t="s">
        <v>298</v>
      </c>
      <c r="G183" s="10">
        <v>1177814</v>
      </c>
      <c r="H183" s="199">
        <f>VLOOKUP(F183,Places[#All],7,FALSE)</f>
        <v>37.299999999999997</v>
      </c>
      <c r="I183" s="177">
        <f>VLOOKUP(F183,Places[#All],6,FALSE)</f>
        <v>114742</v>
      </c>
      <c r="J183"/>
      <c r="K183"/>
      <c r="L183"/>
      <c r="M183"/>
      <c r="N183"/>
      <c r="O183"/>
      <c r="P183"/>
      <c r="Q183"/>
      <c r="R183"/>
      <c r="S183"/>
      <c r="T183"/>
      <c r="U183"/>
      <c r="V183"/>
      <c r="W183"/>
      <c r="X183"/>
      <c r="Y183"/>
      <c r="Z183"/>
      <c r="AA183"/>
      <c r="AB183"/>
      <c r="AC183"/>
      <c r="AD183"/>
      <c r="AE183"/>
      <c r="AF183"/>
      <c r="AG183"/>
      <c r="AH183"/>
      <c r="AI183"/>
      <c r="AJ183"/>
      <c r="AK183"/>
    </row>
    <row r="184" spans="1:37" x14ac:dyDescent="0.25">
      <c r="A184" s="44" t="s">
        <v>306</v>
      </c>
      <c r="B184" s="10">
        <v>491332.37037943705</v>
      </c>
      <c r="C184" s="199">
        <f>VLOOKUP(A184,Places[#All],7,FALSE)</f>
        <v>3.5</v>
      </c>
      <c r="D184" s="177">
        <f>VLOOKUP(A184,Places[#All],6,FALSE)</f>
        <v>13379</v>
      </c>
      <c r="E184"/>
      <c r="F184" s="44" t="s">
        <v>199</v>
      </c>
      <c r="G184" s="10">
        <v>349310.54430379748</v>
      </c>
      <c r="H184" s="199">
        <f>VLOOKUP(F184,Places[#All],7,FALSE)</f>
        <v>4</v>
      </c>
      <c r="I184" s="177">
        <f>VLOOKUP(F184,Places[#All],6,FALSE)</f>
        <v>36120</v>
      </c>
      <c r="J184"/>
      <c r="K184"/>
      <c r="L184"/>
      <c r="M184"/>
      <c r="N184"/>
      <c r="O184"/>
      <c r="P184"/>
      <c r="Q184"/>
      <c r="R184"/>
      <c r="S184"/>
      <c r="T184"/>
      <c r="U184"/>
      <c r="V184"/>
      <c r="W184"/>
      <c r="X184"/>
      <c r="Y184"/>
      <c r="Z184"/>
      <c r="AA184"/>
      <c r="AB184"/>
      <c r="AC184"/>
      <c r="AD184"/>
      <c r="AE184"/>
      <c r="AF184"/>
      <c r="AG184"/>
      <c r="AH184"/>
      <c r="AI184"/>
      <c r="AJ184"/>
      <c r="AK184"/>
    </row>
    <row r="185" spans="1:37" x14ac:dyDescent="0.25">
      <c r="A185" s="44" t="s">
        <v>11</v>
      </c>
      <c r="B185" s="10">
        <v>300927.23290936707</v>
      </c>
      <c r="C185" s="199">
        <f>VLOOKUP(A185,Places[#All],7,FALSE)</f>
        <v>2.8</v>
      </c>
      <c r="D185" s="177">
        <f>VLOOKUP(A185,Places[#All],6,FALSE)</f>
        <v>20767</v>
      </c>
      <c r="E185"/>
      <c r="F185" s="44" t="s">
        <v>149</v>
      </c>
      <c r="G185" s="10">
        <v>2256186.1883164556</v>
      </c>
      <c r="H185" s="199">
        <f>VLOOKUP(F185,Places[#All],7,FALSE)</f>
        <v>20.5</v>
      </c>
      <c r="I185" s="177">
        <f>VLOOKUP(F185,Places[#All],6,FALSE)</f>
        <v>145182</v>
      </c>
      <c r="J185"/>
      <c r="K185"/>
      <c r="L185"/>
      <c r="M185"/>
      <c r="N185"/>
      <c r="O185"/>
      <c r="P185"/>
      <c r="Q185"/>
      <c r="R185"/>
      <c r="S185"/>
      <c r="T185"/>
      <c r="U185"/>
      <c r="V185"/>
      <c r="W185"/>
      <c r="X185"/>
      <c r="Y185"/>
      <c r="Z185"/>
      <c r="AA185"/>
      <c r="AB185"/>
      <c r="AC185"/>
      <c r="AD185"/>
      <c r="AE185"/>
      <c r="AF185"/>
      <c r="AG185"/>
      <c r="AH185"/>
      <c r="AI185"/>
      <c r="AJ185"/>
      <c r="AK185"/>
    </row>
    <row r="186" spans="1:37" x14ac:dyDescent="0.25">
      <c r="A186" s="44" t="s">
        <v>198</v>
      </c>
      <c r="B186" s="10">
        <v>219778.97468354428</v>
      </c>
      <c r="C186" s="199">
        <f>VLOOKUP(A186,Places[#All],7,FALSE)</f>
        <v>3.4</v>
      </c>
      <c r="D186" s="177">
        <f>VLOOKUP(A186,Places[#All],6,FALSE)</f>
        <v>25611</v>
      </c>
      <c r="E186"/>
      <c r="F186" s="44" t="s">
        <v>293</v>
      </c>
      <c r="G186" s="10">
        <v>961416.55021456804</v>
      </c>
      <c r="H186" s="199">
        <f>VLOOKUP(F186,Places[#All],7,FALSE)</f>
        <v>11.1</v>
      </c>
      <c r="I186" s="177">
        <f>VLOOKUP(F186,Places[#All],6,FALSE)</f>
        <v>79795</v>
      </c>
      <c r="J186"/>
      <c r="K186"/>
      <c r="L186"/>
      <c r="M186"/>
      <c r="N186"/>
      <c r="O186"/>
      <c r="P186"/>
      <c r="Q186"/>
      <c r="R186"/>
      <c r="S186"/>
      <c r="T186"/>
      <c r="U186"/>
      <c r="V186"/>
      <c r="W186"/>
      <c r="X186"/>
      <c r="Y186"/>
      <c r="Z186"/>
      <c r="AA186"/>
      <c r="AB186"/>
      <c r="AC186"/>
      <c r="AD186"/>
      <c r="AE186"/>
      <c r="AF186"/>
      <c r="AG186"/>
      <c r="AH186"/>
      <c r="AI186"/>
      <c r="AJ186"/>
      <c r="AK186"/>
    </row>
    <row r="187" spans="1:37" x14ac:dyDescent="0.25">
      <c r="A187" s="44" t="s">
        <v>292</v>
      </c>
      <c r="B187" s="10">
        <v>140235.61868435913</v>
      </c>
      <c r="C187" s="199">
        <f>VLOOKUP(A187,Places[#All],7,FALSE)</f>
        <v>3.1</v>
      </c>
      <c r="D187" s="177">
        <f>VLOOKUP(A187,Places[#All],6,FALSE)</f>
        <v>38234</v>
      </c>
      <c r="E187"/>
      <c r="F187" s="44" t="s">
        <v>252</v>
      </c>
      <c r="G187" s="10">
        <v>238263.83399239546</v>
      </c>
      <c r="H187" s="199">
        <f>VLOOKUP(F187,Places[#All],7,FALSE)</f>
        <v>15.6</v>
      </c>
      <c r="I187" s="177">
        <f>VLOOKUP(F187,Places[#All],6,FALSE)</f>
        <v>77000</v>
      </c>
      <c r="J187"/>
      <c r="K187"/>
      <c r="L187"/>
      <c r="M187"/>
      <c r="N187"/>
      <c r="O187"/>
      <c r="P187"/>
      <c r="Q187"/>
      <c r="R187"/>
      <c r="S187"/>
      <c r="T187"/>
      <c r="U187"/>
      <c r="V187"/>
      <c r="W187"/>
      <c r="X187"/>
      <c r="Y187"/>
      <c r="Z187"/>
      <c r="AA187"/>
      <c r="AB187"/>
      <c r="AC187"/>
      <c r="AD187"/>
      <c r="AE187"/>
      <c r="AF187"/>
      <c r="AG187"/>
      <c r="AH187"/>
      <c r="AI187"/>
      <c r="AJ187"/>
      <c r="AK187"/>
    </row>
    <row r="188" spans="1:37" x14ac:dyDescent="0.25">
      <c r="A188" s="44" t="s">
        <v>416</v>
      </c>
      <c r="B188" s="10">
        <v>4952739.7339167688</v>
      </c>
      <c r="C188" s="199">
        <f>VLOOKUP(A188,Places[#All],7,FALSE)</f>
        <v>61.7</v>
      </c>
      <c r="D188" s="177">
        <f>VLOOKUP(A188,Places[#All],6,FALSE)</f>
        <v>311178</v>
      </c>
      <c r="E188"/>
      <c r="F188" s="44" t="s">
        <v>294</v>
      </c>
      <c r="G188" s="10">
        <v>125744.45793337097</v>
      </c>
      <c r="H188" s="199">
        <f>VLOOKUP(F188,Places[#All],7,FALSE)</f>
        <v>2.1</v>
      </c>
      <c r="I188" s="177">
        <f>VLOOKUP(F188,Places[#All],6,FALSE)</f>
        <v>5839</v>
      </c>
      <c r="J188"/>
      <c r="K188"/>
      <c r="L188"/>
      <c r="M188"/>
      <c r="N188"/>
      <c r="O188"/>
      <c r="P188"/>
      <c r="Q188"/>
      <c r="R188"/>
      <c r="S188"/>
      <c r="T188"/>
      <c r="U188"/>
      <c r="V188"/>
      <c r="W188"/>
      <c r="X188"/>
      <c r="Y188"/>
      <c r="Z188"/>
      <c r="AA188"/>
      <c r="AB188"/>
      <c r="AC188"/>
      <c r="AD188"/>
      <c r="AE188"/>
      <c r="AF188"/>
      <c r="AG188"/>
      <c r="AH188"/>
      <c r="AI188"/>
      <c r="AJ188"/>
      <c r="AK188"/>
    </row>
    <row r="189" spans="1:37" x14ac:dyDescent="0.25">
      <c r="A189" s="44" t="s">
        <v>298</v>
      </c>
      <c r="B189" s="10">
        <v>1177814</v>
      </c>
      <c r="C189" s="199">
        <f>VLOOKUP(A189,Places[#All],7,FALSE)</f>
        <v>37.299999999999997</v>
      </c>
      <c r="D189" s="177">
        <f>VLOOKUP(A189,Places[#All],6,FALSE)</f>
        <v>114742</v>
      </c>
      <c r="E189"/>
      <c r="F189" s="44" t="s">
        <v>307</v>
      </c>
      <c r="G189" s="10">
        <v>4489168.9052386787</v>
      </c>
      <c r="H189" s="199">
        <f>VLOOKUP(F189,Places[#All],7,FALSE)</f>
        <v>18.7</v>
      </c>
      <c r="I189" s="177">
        <f>VLOOKUP(F189,Places[#All],6,FALSE)</f>
        <v>101224</v>
      </c>
      <c r="J189"/>
      <c r="K189"/>
      <c r="L189"/>
      <c r="M189"/>
      <c r="N189"/>
      <c r="O189"/>
      <c r="P189"/>
      <c r="Q189"/>
      <c r="R189"/>
      <c r="S189"/>
      <c r="T189"/>
      <c r="U189"/>
      <c r="V189"/>
      <c r="W189"/>
      <c r="X189"/>
      <c r="Y189"/>
      <c r="Z189"/>
      <c r="AA189"/>
      <c r="AB189"/>
      <c r="AC189"/>
      <c r="AD189"/>
      <c r="AE189"/>
      <c r="AF189"/>
      <c r="AG189"/>
      <c r="AH189"/>
      <c r="AI189"/>
      <c r="AJ189"/>
      <c r="AK189"/>
    </row>
    <row r="190" spans="1:37" x14ac:dyDescent="0.25">
      <c r="A190" s="44" t="s">
        <v>199</v>
      </c>
      <c r="B190" s="10">
        <v>349310.54430379748</v>
      </c>
      <c r="C190" s="199">
        <f>VLOOKUP(A190,Places[#All],7,FALSE)</f>
        <v>4</v>
      </c>
      <c r="D190" s="177">
        <f>VLOOKUP(A190,Places[#All],6,FALSE)</f>
        <v>36120</v>
      </c>
      <c r="E190"/>
      <c r="F190" s="44" t="s">
        <v>207</v>
      </c>
      <c r="G190" s="10">
        <v>192598.57974683543</v>
      </c>
      <c r="H190" s="199">
        <f>VLOOKUP(F190,Places[#All],7,FALSE)</f>
        <v>9</v>
      </c>
      <c r="I190" s="177">
        <f>VLOOKUP(F190,Places[#All],6,FALSE)</f>
        <v>30006</v>
      </c>
      <c r="J190"/>
      <c r="K190"/>
      <c r="L190"/>
      <c r="M190"/>
      <c r="N190"/>
      <c r="O190"/>
      <c r="P190"/>
      <c r="Q190"/>
      <c r="R190"/>
      <c r="S190"/>
      <c r="T190"/>
      <c r="U190"/>
      <c r="V190"/>
      <c r="W190"/>
      <c r="X190"/>
      <c r="Y190"/>
      <c r="Z190"/>
      <c r="AA190"/>
      <c r="AB190"/>
      <c r="AC190"/>
      <c r="AD190"/>
      <c r="AE190"/>
      <c r="AF190"/>
      <c r="AG190"/>
      <c r="AH190"/>
      <c r="AI190"/>
      <c r="AJ190"/>
      <c r="AK190"/>
    </row>
    <row r="191" spans="1:37" x14ac:dyDescent="0.25">
      <c r="A191" s="44" t="s">
        <v>149</v>
      </c>
      <c r="B191" s="10">
        <v>2256186.1883164556</v>
      </c>
      <c r="C191" s="199">
        <f>VLOOKUP(A191,Places[#All],7,FALSE)</f>
        <v>20.5</v>
      </c>
      <c r="D191" s="177">
        <f>VLOOKUP(A191,Places[#All],6,FALSE)</f>
        <v>145182</v>
      </c>
      <c r="E191"/>
      <c r="F191" s="44" t="s">
        <v>205</v>
      </c>
      <c r="G191" s="10">
        <v>1094671.2948607595</v>
      </c>
      <c r="H191" s="199">
        <f>VLOOKUP(F191,Places[#All],7,FALSE)</f>
        <v>16</v>
      </c>
      <c r="I191" s="177">
        <f>VLOOKUP(F191,Places[#All],6,FALSE)</f>
        <v>106311</v>
      </c>
      <c r="J191"/>
      <c r="K191"/>
      <c r="L191"/>
      <c r="M191"/>
      <c r="N191"/>
      <c r="O191"/>
      <c r="P191"/>
      <c r="Q191"/>
      <c r="R191"/>
      <c r="S191"/>
      <c r="T191"/>
      <c r="U191"/>
      <c r="V191"/>
      <c r="W191"/>
      <c r="X191"/>
      <c r="Y191"/>
      <c r="Z191"/>
      <c r="AA191"/>
      <c r="AB191"/>
      <c r="AC191"/>
      <c r="AD191"/>
      <c r="AE191"/>
      <c r="AF191"/>
      <c r="AG191"/>
      <c r="AH191"/>
      <c r="AI191"/>
      <c r="AJ191"/>
      <c r="AK191"/>
    </row>
    <row r="192" spans="1:37" x14ac:dyDescent="0.25">
      <c r="A192" s="44" t="s">
        <v>293</v>
      </c>
      <c r="B192" s="10">
        <v>961416.55021456804</v>
      </c>
      <c r="C192" s="199">
        <f>VLOOKUP(A192,Places[#All],7,FALSE)</f>
        <v>11.1</v>
      </c>
      <c r="D192" s="177">
        <f>VLOOKUP(A192,Places[#All],6,FALSE)</f>
        <v>79795</v>
      </c>
      <c r="E192"/>
      <c r="F192" s="44" t="s">
        <v>174</v>
      </c>
      <c r="G192" s="10">
        <v>358914.99167088605</v>
      </c>
      <c r="H192" s="199">
        <f>VLOOKUP(F192,Places[#All],7,FALSE)</f>
        <v>5.2</v>
      </c>
      <c r="I192" s="177">
        <f>VLOOKUP(F192,Places[#All],6,FALSE)</f>
        <v>8352</v>
      </c>
      <c r="J192"/>
      <c r="K192"/>
      <c r="L192"/>
      <c r="M192"/>
      <c r="N192"/>
      <c r="O192"/>
      <c r="P192"/>
      <c r="Q192"/>
      <c r="R192"/>
      <c r="S192"/>
      <c r="T192"/>
      <c r="U192"/>
      <c r="V192"/>
      <c r="W192"/>
      <c r="X192"/>
      <c r="Y192"/>
      <c r="Z192"/>
      <c r="AA192"/>
      <c r="AB192"/>
      <c r="AC192"/>
      <c r="AD192"/>
      <c r="AE192"/>
      <c r="AF192"/>
      <c r="AG192"/>
      <c r="AH192"/>
      <c r="AI192"/>
      <c r="AJ192"/>
      <c r="AK192"/>
    </row>
    <row r="193" spans="1:37" x14ac:dyDescent="0.25">
      <c r="A193" s="44" t="s">
        <v>252</v>
      </c>
      <c r="B193" s="10">
        <v>238263.83399239546</v>
      </c>
      <c r="C193" s="199">
        <f>VLOOKUP(A193,Places[#All],7,FALSE)</f>
        <v>15.6</v>
      </c>
      <c r="D193" s="177">
        <f>VLOOKUP(A193,Places[#All],6,FALSE)</f>
        <v>77000</v>
      </c>
      <c r="E193"/>
      <c r="F193" s="44" t="s">
        <v>295</v>
      </c>
      <c r="G193" s="10">
        <v>614513.87634105026</v>
      </c>
      <c r="H193" s="199">
        <f>VLOOKUP(F193,Places[#All],7,FALSE)</f>
        <v>10</v>
      </c>
      <c r="I193" s="177">
        <f>VLOOKUP(F193,Places[#All],6,FALSE)</f>
        <v>90938</v>
      </c>
      <c r="J193"/>
      <c r="K193"/>
      <c r="L193"/>
      <c r="M193"/>
      <c r="N193"/>
      <c r="O193"/>
      <c r="P193"/>
      <c r="Q193"/>
      <c r="R193"/>
      <c r="S193"/>
      <c r="T193"/>
      <c r="U193"/>
      <c r="V193"/>
      <c r="W193"/>
      <c r="X193"/>
      <c r="Y193"/>
      <c r="Z193"/>
      <c r="AA193"/>
      <c r="AB193"/>
      <c r="AC193"/>
      <c r="AD193"/>
      <c r="AE193"/>
      <c r="AF193"/>
      <c r="AG193"/>
      <c r="AH193"/>
      <c r="AI193"/>
      <c r="AJ193"/>
      <c r="AK193"/>
    </row>
    <row r="194" spans="1:37" x14ac:dyDescent="0.25">
      <c r="A194" s="44" t="s">
        <v>294</v>
      </c>
      <c r="B194" s="10">
        <v>125744.45793337097</v>
      </c>
      <c r="C194" s="199">
        <f>VLOOKUP(A194,Places[#All],7,FALSE)</f>
        <v>2.1</v>
      </c>
      <c r="D194" s="177">
        <f>VLOOKUP(A194,Places[#All],6,FALSE)</f>
        <v>5839</v>
      </c>
      <c r="E194"/>
      <c r="F194" s="44" t="s">
        <v>171</v>
      </c>
      <c r="G194" s="10">
        <v>647657.84810126573</v>
      </c>
      <c r="H194" s="199">
        <f>VLOOKUP(F194,Places[#All],7,FALSE)</f>
        <v>14.6</v>
      </c>
      <c r="I194" s="177">
        <f>VLOOKUP(F194,Places[#All],6,FALSE)</f>
        <v>86064</v>
      </c>
      <c r="J194"/>
      <c r="K194"/>
      <c r="L194"/>
      <c r="M194"/>
      <c r="N194"/>
      <c r="O194"/>
      <c r="P194"/>
      <c r="Q194"/>
      <c r="R194"/>
      <c r="S194"/>
      <c r="T194"/>
      <c r="U194"/>
      <c r="V194"/>
      <c r="W194"/>
      <c r="X194"/>
      <c r="Y194"/>
      <c r="Z194"/>
      <c r="AA194"/>
      <c r="AB194"/>
      <c r="AC194"/>
      <c r="AD194"/>
      <c r="AE194"/>
      <c r="AF194"/>
      <c r="AG194"/>
      <c r="AH194"/>
      <c r="AI194"/>
      <c r="AJ194"/>
      <c r="AK194"/>
    </row>
    <row r="195" spans="1:37" x14ac:dyDescent="0.25">
      <c r="A195" s="44" t="s">
        <v>307</v>
      </c>
      <c r="B195" s="10">
        <v>4489168.9052386787</v>
      </c>
      <c r="C195" s="199">
        <f>VLOOKUP(A195,Places[#All],7,FALSE)</f>
        <v>18.7</v>
      </c>
      <c r="D195" s="177">
        <f>VLOOKUP(A195,Places[#All],6,FALSE)</f>
        <v>101224</v>
      </c>
      <c r="E195"/>
      <c r="F195" s="44" t="s">
        <v>299</v>
      </c>
      <c r="G195" s="10">
        <v>226102</v>
      </c>
      <c r="H195" s="199">
        <f>VLOOKUP(F195,Places[#All],7,FALSE)</f>
        <v>23.7</v>
      </c>
      <c r="I195" s="177">
        <f>VLOOKUP(F195,Places[#All],6,FALSE)</f>
        <v>37280</v>
      </c>
      <c r="J195"/>
      <c r="K195"/>
      <c r="L195"/>
      <c r="M195"/>
      <c r="N195"/>
      <c r="O195"/>
      <c r="P195"/>
      <c r="Q195"/>
      <c r="R195"/>
      <c r="S195"/>
      <c r="T195"/>
      <c r="U195"/>
      <c r="V195"/>
      <c r="W195"/>
      <c r="X195"/>
      <c r="Y195"/>
      <c r="Z195"/>
      <c r="AA195"/>
      <c r="AB195"/>
      <c r="AC195"/>
      <c r="AD195"/>
      <c r="AE195"/>
      <c r="AF195"/>
      <c r="AG195"/>
      <c r="AH195"/>
      <c r="AI195"/>
      <c r="AJ195"/>
      <c r="AK195"/>
    </row>
    <row r="196" spans="1:37" x14ac:dyDescent="0.25">
      <c r="A196" s="44" t="s">
        <v>207</v>
      </c>
      <c r="B196" s="10">
        <v>192598.57974683543</v>
      </c>
      <c r="C196" s="199">
        <f>VLOOKUP(A196,Places[#All],7,FALSE)</f>
        <v>9</v>
      </c>
      <c r="D196" s="177">
        <f>VLOOKUP(A196,Places[#All],6,FALSE)</f>
        <v>30006</v>
      </c>
      <c r="E196"/>
      <c r="F196" s="44" t="s">
        <v>296</v>
      </c>
      <c r="G196" s="10">
        <v>566543.43127046863</v>
      </c>
      <c r="H196" s="199">
        <f>VLOOKUP(F196,Places[#All],7,FALSE)</f>
        <v>19.3</v>
      </c>
      <c r="I196" s="177">
        <f>VLOOKUP(F196,Places[#All],6,FALSE)</f>
        <v>67787</v>
      </c>
      <c r="J196"/>
      <c r="K196"/>
      <c r="L196"/>
      <c r="M196"/>
      <c r="N196"/>
      <c r="O196"/>
      <c r="P196"/>
      <c r="Q196"/>
      <c r="R196"/>
      <c r="S196"/>
      <c r="T196"/>
      <c r="U196"/>
      <c r="V196"/>
      <c r="W196"/>
      <c r="X196"/>
      <c r="Y196"/>
      <c r="Z196"/>
      <c r="AA196"/>
      <c r="AB196"/>
      <c r="AC196"/>
      <c r="AD196"/>
      <c r="AE196"/>
      <c r="AF196"/>
      <c r="AG196"/>
      <c r="AH196"/>
      <c r="AI196"/>
      <c r="AJ196"/>
      <c r="AK196"/>
    </row>
    <row r="197" spans="1:37" x14ac:dyDescent="0.25">
      <c r="A197" s="44" t="s">
        <v>205</v>
      </c>
      <c r="B197" s="10">
        <v>1094671.2948607595</v>
      </c>
      <c r="C197" s="199">
        <f>VLOOKUP(A197,Places[#All],7,FALSE)</f>
        <v>16</v>
      </c>
      <c r="D197" s="177">
        <f>VLOOKUP(A197,Places[#All],6,FALSE)</f>
        <v>106311</v>
      </c>
      <c r="E197"/>
      <c r="F197" s="44" t="s">
        <v>251</v>
      </c>
      <c r="G197" s="10">
        <v>265769.96197718632</v>
      </c>
      <c r="H197" s="199">
        <f>VLOOKUP(F197,Places[#All],7,FALSE)</f>
        <v>28.4</v>
      </c>
      <c r="I197" s="177">
        <f>VLOOKUP(F197,Places[#All],6,FALSE)</f>
        <v>53682</v>
      </c>
      <c r="J197"/>
      <c r="K197"/>
      <c r="L197"/>
      <c r="M197"/>
      <c r="N197"/>
      <c r="O197"/>
      <c r="P197"/>
      <c r="Q197"/>
      <c r="R197"/>
      <c r="S197"/>
      <c r="T197"/>
      <c r="U197"/>
      <c r="V197"/>
      <c r="W197"/>
      <c r="X197"/>
      <c r="Y197"/>
      <c r="Z197"/>
      <c r="AA197"/>
      <c r="AB197"/>
      <c r="AC197"/>
      <c r="AD197"/>
      <c r="AE197"/>
      <c r="AF197"/>
      <c r="AG197"/>
      <c r="AH197"/>
      <c r="AI197"/>
      <c r="AJ197"/>
      <c r="AK197"/>
    </row>
    <row r="198" spans="1:37" x14ac:dyDescent="0.25">
      <c r="A198" s="44" t="s">
        <v>174</v>
      </c>
      <c r="B198" s="10">
        <v>358914.99167088605</v>
      </c>
      <c r="C198" s="199">
        <f>VLOOKUP(A198,Places[#All],7,FALSE)</f>
        <v>5.2</v>
      </c>
      <c r="D198" s="177">
        <f>VLOOKUP(A198,Places[#All],6,FALSE)</f>
        <v>8352</v>
      </c>
      <c r="E198"/>
      <c r="F198"/>
      <c r="G198"/>
      <c r="H198" s="199" t="e">
        <f>VLOOKUP(F198,Places[#All],7,FALSE)</f>
        <v>#N/A</v>
      </c>
      <c r="I198" s="177" t="e">
        <f>VLOOKUP(F198,Places[#All],6,FALSE)</f>
        <v>#N/A</v>
      </c>
      <c r="J198"/>
      <c r="K198"/>
      <c r="L198"/>
      <c r="M198"/>
      <c r="N198"/>
      <c r="O198"/>
      <c r="P198"/>
      <c r="Q198"/>
      <c r="R198"/>
      <c r="S198"/>
      <c r="T198"/>
      <c r="U198"/>
      <c r="V198"/>
      <c r="W198"/>
      <c r="X198"/>
      <c r="Y198"/>
      <c r="Z198"/>
      <c r="AA198"/>
      <c r="AB198"/>
      <c r="AC198"/>
      <c r="AD198"/>
      <c r="AE198"/>
      <c r="AF198"/>
      <c r="AG198"/>
      <c r="AH198"/>
      <c r="AI198"/>
      <c r="AJ198"/>
      <c r="AK198"/>
    </row>
    <row r="199" spans="1:37" x14ac:dyDescent="0.25">
      <c r="A199" s="44" t="s">
        <v>295</v>
      </c>
      <c r="B199" s="10">
        <v>614513.87634105026</v>
      </c>
      <c r="C199" s="199">
        <f>VLOOKUP(A199,Places[#All],7,FALSE)</f>
        <v>10</v>
      </c>
      <c r="D199" s="177">
        <f>VLOOKUP(A199,Places[#All],6,FALSE)</f>
        <v>90938</v>
      </c>
      <c r="E199"/>
      <c r="F199"/>
      <c r="G199"/>
      <c r="H199" s="199" t="e">
        <f>VLOOKUP(F199,Places[#All],7,FALSE)</f>
        <v>#N/A</v>
      </c>
      <c r="I199" s="177" t="e">
        <f>VLOOKUP(F199,Places[#All],6,FALSE)</f>
        <v>#N/A</v>
      </c>
      <c r="J199"/>
      <c r="K199"/>
      <c r="L199"/>
      <c r="M199"/>
      <c r="N199"/>
      <c r="O199"/>
      <c r="P199"/>
      <c r="Q199"/>
      <c r="R199"/>
      <c r="S199"/>
      <c r="T199"/>
      <c r="U199"/>
      <c r="V199"/>
      <c r="W199"/>
      <c r="X199"/>
      <c r="Y199"/>
      <c r="Z199"/>
      <c r="AA199"/>
      <c r="AB199"/>
      <c r="AC199"/>
      <c r="AD199"/>
      <c r="AE199"/>
      <c r="AF199"/>
      <c r="AG199"/>
      <c r="AH199"/>
      <c r="AI199"/>
      <c r="AJ199"/>
      <c r="AK199"/>
    </row>
    <row r="200" spans="1:37" x14ac:dyDescent="0.25">
      <c r="A200" s="44" t="s">
        <v>171</v>
      </c>
      <c r="B200" s="10">
        <v>647657.84810126573</v>
      </c>
      <c r="C200" s="199">
        <f>VLOOKUP(A200,Places[#All],7,FALSE)</f>
        <v>14.6</v>
      </c>
      <c r="D200" s="177">
        <f>VLOOKUP(A200,Places[#All],6,FALSE)</f>
        <v>86064</v>
      </c>
      <c r="E200"/>
      <c r="F200"/>
      <c r="G200"/>
      <c r="H200" s="199" t="e">
        <f>VLOOKUP(F200,Places[#All],7,FALSE)</f>
        <v>#N/A</v>
      </c>
      <c r="I200" s="177" t="e">
        <f>VLOOKUP(F200,Places[#All],6,FALSE)</f>
        <v>#N/A</v>
      </c>
      <c r="J200"/>
      <c r="K200"/>
      <c r="L200"/>
      <c r="M200"/>
      <c r="N200"/>
      <c r="O200"/>
      <c r="P200"/>
      <c r="Q200"/>
      <c r="R200"/>
      <c r="S200"/>
      <c r="T200"/>
      <c r="U200"/>
      <c r="V200"/>
      <c r="W200"/>
      <c r="X200"/>
      <c r="Y200"/>
      <c r="Z200"/>
      <c r="AA200"/>
      <c r="AB200"/>
      <c r="AC200"/>
      <c r="AD200"/>
      <c r="AE200"/>
      <c r="AF200"/>
      <c r="AG200"/>
      <c r="AH200"/>
      <c r="AI200"/>
      <c r="AJ200"/>
      <c r="AK200"/>
    </row>
    <row r="201" spans="1:37" x14ac:dyDescent="0.25">
      <c r="A201" s="44" t="s">
        <v>299</v>
      </c>
      <c r="B201" s="10">
        <v>226102</v>
      </c>
      <c r="C201" s="199">
        <f>VLOOKUP(A201,Places[#All],7,FALSE)</f>
        <v>23.7</v>
      </c>
      <c r="D201" s="177">
        <f>VLOOKUP(A201,Places[#All],6,FALSE)</f>
        <v>37280</v>
      </c>
      <c r="E201"/>
      <c r="F201"/>
      <c r="G201"/>
      <c r="H201" s="199" t="e">
        <f>VLOOKUP(F201,Places[#All],7,FALSE)</f>
        <v>#N/A</v>
      </c>
      <c r="I201" s="177" t="e">
        <f>VLOOKUP(F201,Places[#All],6,FALSE)</f>
        <v>#N/A</v>
      </c>
      <c r="J201"/>
      <c r="K201"/>
      <c r="L201"/>
      <c r="M201"/>
      <c r="N201"/>
      <c r="O201"/>
      <c r="P201"/>
      <c r="Q201"/>
      <c r="R201"/>
      <c r="S201"/>
      <c r="T201"/>
      <c r="U201"/>
      <c r="V201"/>
      <c r="W201"/>
      <c r="X201"/>
      <c r="Y201"/>
      <c r="Z201"/>
      <c r="AA201"/>
      <c r="AB201"/>
      <c r="AC201"/>
      <c r="AD201"/>
      <c r="AE201"/>
      <c r="AF201"/>
      <c r="AG201"/>
      <c r="AH201"/>
      <c r="AI201"/>
      <c r="AJ201"/>
      <c r="AK201"/>
    </row>
    <row r="202" spans="1:37" x14ac:dyDescent="0.25">
      <c r="A202" s="44" t="s">
        <v>296</v>
      </c>
      <c r="B202" s="10">
        <v>566543.43127046863</v>
      </c>
      <c r="C202" s="199">
        <f>VLOOKUP(A202,Places[#All],7,FALSE)</f>
        <v>19.3</v>
      </c>
      <c r="D202" s="177">
        <f>VLOOKUP(A202,Places[#All],6,FALSE)</f>
        <v>67787</v>
      </c>
      <c r="E202"/>
      <c r="F202"/>
      <c r="G202"/>
      <c r="H202" s="199" t="e">
        <f>VLOOKUP(F202,Places[#All],7,FALSE)</f>
        <v>#N/A</v>
      </c>
      <c r="I202" s="177" t="e">
        <f>VLOOKUP(F202,Places[#All],6,FALSE)</f>
        <v>#N/A</v>
      </c>
      <c r="J202"/>
      <c r="K202"/>
      <c r="L202"/>
      <c r="M202"/>
      <c r="N202"/>
      <c r="O202"/>
      <c r="P202"/>
      <c r="Q202"/>
      <c r="R202"/>
      <c r="S202"/>
      <c r="T202"/>
      <c r="U202"/>
      <c r="V202"/>
      <c r="W202"/>
      <c r="X202"/>
      <c r="Y202"/>
      <c r="Z202"/>
      <c r="AA202"/>
      <c r="AB202"/>
      <c r="AC202"/>
      <c r="AD202"/>
      <c r="AE202"/>
      <c r="AF202"/>
      <c r="AG202"/>
      <c r="AH202"/>
      <c r="AI202"/>
      <c r="AJ202"/>
      <c r="AK202"/>
    </row>
    <row r="203" spans="1:37" x14ac:dyDescent="0.25">
      <c r="A203" s="44" t="s">
        <v>251</v>
      </c>
      <c r="B203" s="10">
        <v>265769.96197718632</v>
      </c>
      <c r="C203" s="199">
        <f>VLOOKUP(A203,Places[#All],7,FALSE)</f>
        <v>28.4</v>
      </c>
      <c r="D203" s="177">
        <f>VLOOKUP(A203,Places[#All],6,FALSE)</f>
        <v>53682</v>
      </c>
      <c r="E203"/>
      <c r="F203"/>
      <c r="G203"/>
      <c r="H203" s="199" t="e">
        <f>VLOOKUP(F203,Places[#All],7,FALSE)</f>
        <v>#N/A</v>
      </c>
      <c r="I203" s="177" t="e">
        <f>VLOOKUP(F203,Places[#All],6,FALSE)</f>
        <v>#N/A</v>
      </c>
      <c r="J203"/>
      <c r="K203"/>
      <c r="L203"/>
      <c r="M203"/>
      <c r="N203"/>
      <c r="O203"/>
      <c r="P203"/>
      <c r="Q203"/>
      <c r="R203"/>
      <c r="S203"/>
      <c r="T203"/>
      <c r="U203"/>
      <c r="V203"/>
      <c r="W203"/>
      <c r="X203"/>
      <c r="Y203"/>
      <c r="Z203"/>
      <c r="AA203"/>
      <c r="AB203"/>
      <c r="AC203"/>
      <c r="AD203"/>
      <c r="AE203"/>
      <c r="AF203"/>
      <c r="AG203"/>
      <c r="AH203"/>
      <c r="AI203"/>
      <c r="AJ203"/>
      <c r="AK203"/>
    </row>
    <row r="204" spans="1:37" x14ac:dyDescent="0.25">
      <c r="A204"/>
      <c r="B204"/>
      <c r="C204"/>
      <c r="D204" s="177"/>
      <c r="E204"/>
      <c r="F204"/>
      <c r="G204"/>
      <c r="H204"/>
      <c r="I204" s="177"/>
      <c r="J204"/>
      <c r="K204"/>
      <c r="L204"/>
      <c r="M204"/>
      <c r="N204"/>
      <c r="O204"/>
      <c r="P204"/>
      <c r="Q204"/>
      <c r="R204"/>
      <c r="S204"/>
      <c r="T204"/>
      <c r="U204"/>
      <c r="V204"/>
      <c r="W204"/>
      <c r="X204"/>
      <c r="Y204"/>
      <c r="Z204"/>
      <c r="AA204"/>
      <c r="AB204"/>
      <c r="AC204"/>
      <c r="AD204"/>
      <c r="AE204"/>
      <c r="AF204"/>
      <c r="AG204"/>
      <c r="AH204"/>
      <c r="AI204"/>
      <c r="AJ204"/>
      <c r="AK204"/>
    </row>
    <row r="205" spans="1:37" x14ac:dyDescent="0.25">
      <c r="A205"/>
      <c r="B205"/>
      <c r="C205"/>
      <c r="D205" s="177"/>
      <c r="E205"/>
      <c r="F205"/>
      <c r="G205"/>
      <c r="H205"/>
      <c r="I205" s="177"/>
      <c r="J205"/>
      <c r="K205"/>
      <c r="L205"/>
      <c r="M205"/>
      <c r="N205"/>
      <c r="O205"/>
      <c r="P205"/>
      <c r="Q205"/>
      <c r="R205"/>
      <c r="S205"/>
      <c r="T205"/>
      <c r="U205"/>
      <c r="V205"/>
      <c r="W205"/>
      <c r="X205"/>
      <c r="Y205"/>
      <c r="Z205"/>
      <c r="AA205"/>
      <c r="AB205"/>
      <c r="AC205"/>
      <c r="AD205"/>
      <c r="AE205"/>
      <c r="AF205"/>
      <c r="AG205"/>
      <c r="AH205"/>
      <c r="AI205"/>
      <c r="AJ205"/>
      <c r="AK205"/>
    </row>
    <row r="206" spans="1:37" x14ac:dyDescent="0.25">
      <c r="A206"/>
      <c r="B206"/>
      <c r="C206"/>
      <c r="D206" s="177"/>
      <c r="E206"/>
      <c r="F206"/>
      <c r="G206"/>
      <c r="H206"/>
      <c r="I206" s="177"/>
      <c r="J206"/>
      <c r="K206"/>
      <c r="L206"/>
      <c r="M206"/>
      <c r="N206"/>
      <c r="O206"/>
      <c r="P206"/>
      <c r="Q206"/>
      <c r="R206"/>
      <c r="S206"/>
      <c r="T206"/>
      <c r="U206"/>
      <c r="V206"/>
      <c r="W206"/>
      <c r="X206"/>
      <c r="Y206"/>
      <c r="Z206"/>
      <c r="AA206"/>
      <c r="AB206"/>
      <c r="AC206"/>
      <c r="AD206"/>
      <c r="AE206"/>
      <c r="AF206"/>
      <c r="AG206"/>
      <c r="AH206"/>
      <c r="AI206"/>
      <c r="AJ206"/>
      <c r="AK206"/>
    </row>
    <row r="207" spans="1:37" x14ac:dyDescent="0.25">
      <c r="A207"/>
      <c r="B207"/>
      <c r="C207"/>
      <c r="D207" s="177"/>
      <c r="E207"/>
      <c r="F207"/>
      <c r="G207"/>
      <c r="H207"/>
      <c r="I207" s="177"/>
      <c r="J207"/>
      <c r="K207"/>
      <c r="L207"/>
      <c r="M207"/>
      <c r="N207"/>
      <c r="O207"/>
      <c r="P207"/>
      <c r="Q207"/>
      <c r="R207"/>
      <c r="S207"/>
      <c r="T207"/>
      <c r="U207"/>
      <c r="V207"/>
      <c r="W207"/>
      <c r="X207"/>
      <c r="Y207"/>
      <c r="Z207"/>
      <c r="AA207"/>
      <c r="AB207"/>
      <c r="AC207"/>
      <c r="AD207"/>
      <c r="AE207"/>
      <c r="AF207"/>
      <c r="AG207"/>
      <c r="AH207"/>
      <c r="AI207"/>
      <c r="AJ207"/>
      <c r="AK207"/>
    </row>
    <row r="208" spans="1:37" x14ac:dyDescent="0.25">
      <c r="A208"/>
      <c r="B208"/>
      <c r="C208"/>
      <c r="D208" s="177"/>
      <c r="E208"/>
      <c r="F208"/>
      <c r="G208"/>
      <c r="H208"/>
      <c r="I208" s="177"/>
      <c r="J208"/>
      <c r="K208"/>
      <c r="L208"/>
      <c r="M208"/>
      <c r="N208"/>
      <c r="O208"/>
      <c r="P208"/>
      <c r="Q208"/>
      <c r="R208"/>
      <c r="S208"/>
      <c r="T208"/>
      <c r="U208"/>
      <c r="V208"/>
      <c r="W208"/>
      <c r="X208"/>
      <c r="Y208"/>
      <c r="Z208"/>
      <c r="AA208"/>
      <c r="AB208"/>
      <c r="AC208"/>
      <c r="AD208"/>
      <c r="AE208"/>
      <c r="AF208"/>
      <c r="AG208"/>
      <c r="AH208"/>
      <c r="AI208"/>
      <c r="AJ208"/>
      <c r="AK208"/>
    </row>
    <row r="209" spans="1:37" x14ac:dyDescent="0.25">
      <c r="A209"/>
      <c r="B209"/>
      <c r="C209"/>
      <c r="D209" s="177"/>
      <c r="E209"/>
      <c r="F209"/>
      <c r="G209"/>
      <c r="H209"/>
      <c r="I209" s="177"/>
      <c r="J209"/>
      <c r="K209"/>
      <c r="L209"/>
      <c r="M209"/>
      <c r="N209"/>
      <c r="O209"/>
      <c r="P209"/>
      <c r="Q209"/>
      <c r="R209"/>
      <c r="S209"/>
      <c r="T209"/>
      <c r="U209"/>
      <c r="V209"/>
      <c r="W209"/>
      <c r="X209"/>
      <c r="Y209"/>
      <c r="Z209"/>
      <c r="AA209"/>
      <c r="AB209"/>
      <c r="AC209"/>
      <c r="AD209"/>
      <c r="AE209"/>
      <c r="AF209"/>
      <c r="AG209"/>
      <c r="AH209"/>
      <c r="AI209"/>
      <c r="AJ209"/>
      <c r="AK209"/>
    </row>
    <row r="210" spans="1:37" x14ac:dyDescent="0.25">
      <c r="A210"/>
      <c r="B210"/>
      <c r="C210"/>
      <c r="D210" s="177"/>
      <c r="E210"/>
      <c r="F210"/>
      <c r="G210"/>
      <c r="H210"/>
      <c r="I210" s="177"/>
      <c r="J210"/>
      <c r="K210"/>
      <c r="L210"/>
      <c r="M210"/>
      <c r="N210"/>
      <c r="O210"/>
      <c r="P210"/>
      <c r="Q210"/>
      <c r="R210"/>
      <c r="S210"/>
      <c r="T210"/>
      <c r="U210"/>
      <c r="V210"/>
      <c r="W210"/>
      <c r="X210"/>
      <c r="Y210"/>
      <c r="Z210"/>
      <c r="AA210"/>
      <c r="AB210"/>
      <c r="AC210"/>
      <c r="AD210"/>
      <c r="AE210"/>
      <c r="AF210"/>
      <c r="AG210"/>
      <c r="AH210"/>
      <c r="AI210"/>
      <c r="AJ210"/>
      <c r="AK210"/>
    </row>
    <row r="211" spans="1:37" x14ac:dyDescent="0.25">
      <c r="A211"/>
      <c r="B211"/>
      <c r="C211"/>
      <c r="D211" s="177"/>
      <c r="E211"/>
      <c r="F211"/>
      <c r="G211"/>
      <c r="H211"/>
      <c r="I211" s="177"/>
      <c r="J211"/>
      <c r="K211"/>
      <c r="L211"/>
      <c r="M211"/>
      <c r="N211"/>
      <c r="O211"/>
      <c r="P211"/>
      <c r="Q211"/>
      <c r="R211"/>
      <c r="S211"/>
      <c r="T211"/>
      <c r="U211"/>
      <c r="V211"/>
      <c r="W211"/>
      <c r="X211"/>
      <c r="Y211"/>
      <c r="Z211"/>
      <c r="AA211"/>
      <c r="AB211"/>
      <c r="AC211"/>
      <c r="AD211"/>
      <c r="AE211"/>
      <c r="AF211"/>
      <c r="AG211"/>
      <c r="AH211"/>
      <c r="AI211"/>
      <c r="AJ211"/>
      <c r="AK211"/>
    </row>
    <row r="212" spans="1:37" x14ac:dyDescent="0.25">
      <c r="A212"/>
      <c r="B212"/>
      <c r="C212"/>
      <c r="D212" s="177"/>
      <c r="E212"/>
      <c r="F212"/>
      <c r="G212"/>
      <c r="H212"/>
      <c r="I212" s="177"/>
      <c r="J212"/>
      <c r="K212"/>
      <c r="L212"/>
      <c r="M212"/>
      <c r="N212"/>
      <c r="O212"/>
      <c r="P212"/>
      <c r="Q212"/>
      <c r="R212"/>
      <c r="S212"/>
      <c r="T212"/>
      <c r="U212"/>
      <c r="V212"/>
      <c r="W212"/>
      <c r="X212"/>
      <c r="Y212"/>
      <c r="Z212"/>
      <c r="AA212"/>
      <c r="AB212"/>
      <c r="AC212"/>
      <c r="AD212"/>
      <c r="AE212"/>
      <c r="AF212"/>
      <c r="AG212"/>
      <c r="AH212"/>
      <c r="AI212"/>
      <c r="AJ212"/>
      <c r="AK212"/>
    </row>
    <row r="213" spans="1:37" x14ac:dyDescent="0.25">
      <c r="A213"/>
      <c r="B213"/>
      <c r="C213"/>
      <c r="D213" s="177"/>
      <c r="E213"/>
      <c r="F213"/>
      <c r="G213"/>
      <c r="H213"/>
      <c r="I213" s="177"/>
      <c r="J213"/>
      <c r="K213"/>
      <c r="L213"/>
      <c r="M213"/>
      <c r="N213"/>
      <c r="O213"/>
      <c r="P213"/>
      <c r="Q213"/>
      <c r="R213"/>
      <c r="S213"/>
      <c r="T213"/>
      <c r="U213"/>
      <c r="V213"/>
      <c r="W213"/>
      <c r="X213"/>
      <c r="Y213"/>
      <c r="Z213"/>
      <c r="AA213"/>
      <c r="AB213"/>
      <c r="AC213"/>
      <c r="AD213"/>
      <c r="AE213"/>
      <c r="AF213"/>
      <c r="AG213"/>
      <c r="AH213"/>
      <c r="AI213"/>
      <c r="AJ213"/>
      <c r="AK213"/>
    </row>
    <row r="214" spans="1:37" x14ac:dyDescent="0.25">
      <c r="A214"/>
      <c r="B214"/>
      <c r="C214"/>
      <c r="D214" s="177"/>
      <c r="E214"/>
      <c r="F214"/>
      <c r="G214"/>
      <c r="H214"/>
      <c r="I214" s="177"/>
      <c r="J214"/>
      <c r="K214"/>
      <c r="L214"/>
      <c r="M214"/>
      <c r="N214"/>
      <c r="O214"/>
      <c r="P214"/>
      <c r="Q214"/>
      <c r="R214"/>
      <c r="S214"/>
      <c r="T214"/>
      <c r="U214"/>
      <c r="V214"/>
      <c r="W214"/>
      <c r="X214"/>
      <c r="Y214"/>
      <c r="Z214"/>
      <c r="AA214"/>
      <c r="AB214"/>
      <c r="AC214"/>
      <c r="AD214"/>
      <c r="AE214"/>
      <c r="AF214"/>
      <c r="AG214"/>
      <c r="AH214"/>
      <c r="AI214"/>
      <c r="AJ214"/>
      <c r="AK214"/>
    </row>
    <row r="215" spans="1:37" x14ac:dyDescent="0.25">
      <c r="A215"/>
      <c r="B215"/>
      <c r="C215"/>
      <c r="D215" s="177"/>
      <c r="E215"/>
      <c r="F215"/>
      <c r="G215"/>
      <c r="H215"/>
      <c r="I215" s="177"/>
      <c r="J215"/>
      <c r="K215"/>
      <c r="L215"/>
      <c r="M215"/>
      <c r="N215"/>
      <c r="O215"/>
      <c r="P215"/>
      <c r="Q215"/>
      <c r="R215"/>
      <c r="S215"/>
      <c r="T215"/>
      <c r="U215"/>
      <c r="V215"/>
      <c r="W215"/>
      <c r="X215"/>
      <c r="Y215"/>
      <c r="Z215"/>
      <c r="AA215"/>
      <c r="AB215"/>
      <c r="AC215"/>
      <c r="AD215"/>
      <c r="AE215"/>
      <c r="AF215"/>
      <c r="AG215"/>
      <c r="AH215"/>
      <c r="AI215"/>
      <c r="AJ215"/>
      <c r="AK215"/>
    </row>
    <row r="216" spans="1:37" x14ac:dyDescent="0.25">
      <c r="A216"/>
      <c r="B216"/>
      <c r="C216"/>
      <c r="D216" s="177"/>
      <c r="E216"/>
      <c r="F216"/>
      <c r="G216"/>
      <c r="H216"/>
      <c r="I216" s="177"/>
      <c r="J216"/>
      <c r="K216"/>
      <c r="L216"/>
      <c r="M216"/>
      <c r="N216"/>
      <c r="O216"/>
      <c r="P216"/>
      <c r="Q216"/>
      <c r="R216"/>
      <c r="S216"/>
      <c r="T216"/>
      <c r="U216"/>
      <c r="V216"/>
      <c r="W216"/>
      <c r="X216"/>
      <c r="Y216"/>
      <c r="Z216"/>
      <c r="AA216"/>
      <c r="AB216"/>
      <c r="AC216"/>
      <c r="AD216"/>
      <c r="AE216"/>
      <c r="AF216"/>
      <c r="AG216"/>
      <c r="AH216"/>
      <c r="AI216"/>
      <c r="AJ216"/>
      <c r="AK216"/>
    </row>
    <row r="217" spans="1:37" x14ac:dyDescent="0.25">
      <c r="A217"/>
      <c r="B217"/>
      <c r="C217"/>
      <c r="D217" s="177"/>
      <c r="E217"/>
      <c r="F217"/>
      <c r="G217"/>
      <c r="H217"/>
      <c r="I217" s="177"/>
      <c r="J217"/>
      <c r="K217"/>
      <c r="L217"/>
      <c r="M217"/>
      <c r="N217"/>
      <c r="O217"/>
      <c r="P217"/>
      <c r="Q217"/>
      <c r="R217"/>
      <c r="S217"/>
      <c r="T217"/>
      <c r="U217"/>
      <c r="V217"/>
      <c r="W217"/>
      <c r="X217"/>
      <c r="Y217"/>
      <c r="Z217"/>
      <c r="AA217"/>
      <c r="AB217"/>
      <c r="AC217"/>
      <c r="AD217"/>
      <c r="AE217"/>
      <c r="AF217"/>
      <c r="AG217"/>
      <c r="AH217"/>
      <c r="AI217"/>
      <c r="AJ217"/>
      <c r="AK217"/>
    </row>
    <row r="218" spans="1:37" x14ac:dyDescent="0.25">
      <c r="A218"/>
      <c r="B218"/>
      <c r="C218"/>
      <c r="D218" s="177"/>
      <c r="E218"/>
      <c r="F218"/>
      <c r="G218"/>
      <c r="H218"/>
      <c r="I218" s="177"/>
      <c r="J218"/>
      <c r="K218"/>
      <c r="L218"/>
      <c r="M218"/>
      <c r="N218"/>
      <c r="O218"/>
      <c r="P218"/>
      <c r="Q218"/>
      <c r="R218"/>
      <c r="S218"/>
      <c r="T218"/>
      <c r="U218"/>
      <c r="V218"/>
      <c r="W218"/>
      <c r="X218"/>
      <c r="Y218"/>
      <c r="Z218"/>
      <c r="AA218"/>
      <c r="AB218"/>
      <c r="AC218"/>
      <c r="AD218"/>
      <c r="AE218"/>
      <c r="AF218"/>
      <c r="AG218"/>
      <c r="AH218"/>
      <c r="AI218"/>
      <c r="AJ218"/>
      <c r="AK218"/>
    </row>
    <row r="219" spans="1:37" x14ac:dyDescent="0.25">
      <c r="A219"/>
      <c r="B219"/>
      <c r="C219"/>
      <c r="D219" s="177"/>
      <c r="E219"/>
      <c r="F219"/>
      <c r="G219"/>
      <c r="H219"/>
      <c r="I219" s="177"/>
      <c r="J219"/>
      <c r="K219"/>
      <c r="L219"/>
      <c r="M219"/>
      <c r="N219"/>
      <c r="O219"/>
      <c r="P219"/>
      <c r="Q219"/>
      <c r="R219"/>
      <c r="S219"/>
      <c r="T219"/>
      <c r="U219"/>
      <c r="V219"/>
      <c r="W219"/>
      <c r="X219"/>
      <c r="Y219"/>
      <c r="Z219"/>
      <c r="AA219"/>
      <c r="AB219"/>
      <c r="AC219"/>
      <c r="AD219"/>
      <c r="AE219"/>
      <c r="AF219"/>
      <c r="AG219"/>
      <c r="AH219"/>
      <c r="AI219"/>
      <c r="AJ219"/>
      <c r="AK219"/>
    </row>
    <row r="220" spans="1:37" x14ac:dyDescent="0.25">
      <c r="A220"/>
      <c r="B220"/>
      <c r="C220"/>
      <c r="D220" s="177"/>
      <c r="E220"/>
      <c r="F220"/>
      <c r="G220"/>
      <c r="H220"/>
      <c r="I220" s="177"/>
      <c r="J220"/>
      <c r="K220"/>
      <c r="L220"/>
      <c r="M220"/>
      <c r="N220"/>
      <c r="O220"/>
      <c r="P220"/>
      <c r="Q220"/>
      <c r="R220"/>
      <c r="S220"/>
      <c r="T220"/>
      <c r="U220"/>
      <c r="V220"/>
      <c r="W220"/>
      <c r="X220"/>
      <c r="Y220"/>
      <c r="Z220"/>
      <c r="AA220"/>
      <c r="AB220"/>
      <c r="AC220"/>
      <c r="AD220"/>
      <c r="AE220"/>
      <c r="AF220"/>
      <c r="AG220"/>
      <c r="AH220"/>
      <c r="AI220"/>
      <c r="AJ220"/>
      <c r="AK220"/>
    </row>
    <row r="221" spans="1:37"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row>
    <row r="222" spans="1:37"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row>
    <row r="223" spans="1:37"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row>
    <row r="224" spans="1:37"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row>
    <row r="225" spans="1:37"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row>
    <row r="226" spans="1:37"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row>
    <row r="227" spans="1:37"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row>
    <row r="228" spans="1:37"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row>
    <row r="229" spans="1:37"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row>
    <row r="230" spans="1:37"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row>
    <row r="231" spans="1:37"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row>
    <row r="232" spans="1:37"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row>
    <row r="233" spans="1:37"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row>
    <row r="234" spans="1:37"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row>
    <row r="235" spans="1:37"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row>
    <row r="236" spans="1:37"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row>
    <row r="237" spans="1:37"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row>
    <row r="238" spans="1:37"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row>
    <row r="239" spans="1:37"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row>
  </sheetData>
  <mergeCells count="2">
    <mergeCell ref="A2:C2"/>
    <mergeCell ref="L2:U2"/>
  </mergeCells>
  <pageMargins left="0.7" right="0.7" top="0.75" bottom="0.75" header="0.3" footer="0.3"/>
  <pageSetup orientation="portrait" horizontalDpi="1200" verticalDpi="120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5327D-9C40-4F93-82C1-1FC07E461D85}">
  <sheetPr>
    <tabColor theme="1" tint="0.249977111117893"/>
  </sheetPr>
  <dimension ref="A1"/>
  <sheetViews>
    <sheetView workbookViewId="0">
      <selection activeCell="A2" sqref="A2"/>
    </sheetView>
  </sheetViews>
  <sheetFormatPr defaultRowHeight="15" x14ac:dyDescent="0.25"/>
  <cols>
    <col min="1" max="16384" width="9.140625" style="134"/>
  </cols>
  <sheetData>
    <row r="1" spans="1:1" ht="18.75" x14ac:dyDescent="0.3">
      <c r="A1" s="135" t="s">
        <v>2126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C5563-C5EE-4199-BDD8-830BAAC5FAA6}">
  <sheetPr>
    <tabColor theme="1" tint="0.499984740745262"/>
  </sheetPr>
  <dimension ref="A1:K1716"/>
  <sheetViews>
    <sheetView workbookViewId="0">
      <selection activeCell="J342" sqref="J342"/>
    </sheetView>
  </sheetViews>
  <sheetFormatPr defaultRowHeight="15" x14ac:dyDescent="0.25"/>
  <cols>
    <col min="1" max="1" width="26.85546875" customWidth="1"/>
    <col min="2" max="2" width="7.5703125" bestFit="1" customWidth="1"/>
    <col min="3" max="3" width="23.140625" style="54" customWidth="1"/>
    <col min="4" max="4" width="15" bestFit="1" customWidth="1"/>
    <col min="5" max="5" width="14.85546875" bestFit="1" customWidth="1"/>
    <col min="6" max="7" width="10.28515625" customWidth="1"/>
    <col min="8" max="8" width="12" bestFit="1" customWidth="1"/>
    <col min="10" max="10" width="34.85546875" customWidth="1"/>
    <col min="11" max="11" width="19.42578125" customWidth="1"/>
    <col min="14" max="14" width="16.140625" customWidth="1"/>
  </cols>
  <sheetData>
    <row r="1" spans="1:11" ht="21" x14ac:dyDescent="0.25">
      <c r="A1" s="237" t="s">
        <v>1865</v>
      </c>
      <c r="B1" s="237"/>
      <c r="C1" s="237"/>
      <c r="D1" s="237"/>
      <c r="E1" s="237"/>
      <c r="F1" s="237"/>
      <c r="G1" s="237"/>
      <c r="H1" s="237"/>
    </row>
    <row r="2" spans="1:11" x14ac:dyDescent="0.25">
      <c r="A2" s="74" t="s">
        <v>36</v>
      </c>
      <c r="B2" s="74" t="s">
        <v>1</v>
      </c>
      <c r="C2" s="74" t="s">
        <v>1461</v>
      </c>
      <c r="D2" s="78" t="s">
        <v>1509</v>
      </c>
      <c r="E2" s="78" t="s">
        <v>5</v>
      </c>
      <c r="F2" s="74" t="s">
        <v>1844</v>
      </c>
      <c r="G2" s="74" t="s">
        <v>1451</v>
      </c>
      <c r="H2" s="74" t="s">
        <v>142</v>
      </c>
      <c r="J2" s="84" t="s">
        <v>1845</v>
      </c>
      <c r="K2" s="84" t="s">
        <v>1846</v>
      </c>
    </row>
    <row r="3" spans="1:11" x14ac:dyDescent="0.25">
      <c r="A3" t="s">
        <v>1766</v>
      </c>
      <c r="B3" t="s">
        <v>8</v>
      </c>
      <c r="C3" t="s">
        <v>443</v>
      </c>
      <c r="D3">
        <v>3</v>
      </c>
      <c r="E3" t="s">
        <v>1539</v>
      </c>
      <c r="F3" s="83" t="e">
        <v>#N/A</v>
      </c>
      <c r="G3" s="82" t="e">
        <v>#N/A</v>
      </c>
      <c r="H3" t="s">
        <v>143</v>
      </c>
      <c r="J3" s="84"/>
      <c r="K3" s="84" t="s">
        <v>1847</v>
      </c>
    </row>
    <row r="4" spans="1:11" x14ac:dyDescent="0.25">
      <c r="A4" t="s">
        <v>1543</v>
      </c>
      <c r="B4" t="s">
        <v>8</v>
      </c>
      <c r="C4" t="s">
        <v>443</v>
      </c>
      <c r="D4">
        <v>3</v>
      </c>
      <c r="E4" t="s">
        <v>1539</v>
      </c>
      <c r="F4" s="83" t="e">
        <v>#N/A</v>
      </c>
      <c r="G4" s="82" t="e">
        <v>#N/A</v>
      </c>
      <c r="H4" t="s">
        <v>143</v>
      </c>
      <c r="J4" s="84" t="s">
        <v>1848</v>
      </c>
      <c r="K4" s="84" t="s">
        <v>1849</v>
      </c>
    </row>
    <row r="5" spans="1:11" x14ac:dyDescent="0.25">
      <c r="A5" t="s">
        <v>1571</v>
      </c>
      <c r="B5" t="s">
        <v>8</v>
      </c>
      <c r="C5" t="s">
        <v>443</v>
      </c>
      <c r="D5">
        <v>3</v>
      </c>
      <c r="E5" t="s">
        <v>1552</v>
      </c>
      <c r="F5" s="83" t="e">
        <v>#N/A</v>
      </c>
      <c r="G5" s="82" t="e">
        <v>#N/A</v>
      </c>
      <c r="H5" t="s">
        <v>143</v>
      </c>
      <c r="J5" s="84" t="s">
        <v>1850</v>
      </c>
      <c r="K5" s="84" t="s">
        <v>1851</v>
      </c>
    </row>
    <row r="6" spans="1:11" x14ac:dyDescent="0.25">
      <c r="A6" t="s">
        <v>1578</v>
      </c>
      <c r="B6" t="s">
        <v>8</v>
      </c>
      <c r="C6" t="s">
        <v>443</v>
      </c>
      <c r="D6">
        <v>3</v>
      </c>
      <c r="E6" t="s">
        <v>1529</v>
      </c>
      <c r="F6" s="83" t="e">
        <v>#N/A</v>
      </c>
      <c r="G6" s="82" t="e">
        <v>#N/A</v>
      </c>
      <c r="H6" t="s">
        <v>143</v>
      </c>
      <c r="J6" s="84" t="s">
        <v>1854</v>
      </c>
      <c r="K6" s="84" t="s">
        <v>1855</v>
      </c>
    </row>
    <row r="7" spans="1:11" x14ac:dyDescent="0.25">
      <c r="A7" t="s">
        <v>1579</v>
      </c>
      <c r="B7" t="s">
        <v>8</v>
      </c>
      <c r="C7" t="s">
        <v>443</v>
      </c>
      <c r="D7">
        <v>3</v>
      </c>
      <c r="E7" t="s">
        <v>1454</v>
      </c>
      <c r="F7" s="83" t="e">
        <v>#N/A</v>
      </c>
      <c r="G7" s="82" t="e">
        <v>#N/A</v>
      </c>
      <c r="H7" t="s">
        <v>143</v>
      </c>
      <c r="J7" s="84" t="s">
        <v>1861</v>
      </c>
      <c r="K7" s="116" t="s">
        <v>1920</v>
      </c>
    </row>
    <row r="8" spans="1:11" x14ac:dyDescent="0.25">
      <c r="A8" t="s">
        <v>1580</v>
      </c>
      <c r="B8" t="s">
        <v>8</v>
      </c>
      <c r="C8" t="s">
        <v>443</v>
      </c>
      <c r="D8">
        <v>3</v>
      </c>
      <c r="E8" t="s">
        <v>1552</v>
      </c>
      <c r="F8" s="83" t="e">
        <v>#N/A</v>
      </c>
      <c r="G8" s="82" t="e">
        <v>#N/A</v>
      </c>
      <c r="H8" t="s">
        <v>143</v>
      </c>
      <c r="J8" s="84" t="s">
        <v>1860</v>
      </c>
      <c r="K8" s="116" t="s">
        <v>1921</v>
      </c>
    </row>
    <row r="9" spans="1:11" x14ac:dyDescent="0.25">
      <c r="A9" t="s">
        <v>1774</v>
      </c>
      <c r="B9" t="s">
        <v>8</v>
      </c>
      <c r="C9" t="s">
        <v>443</v>
      </c>
      <c r="D9">
        <v>3</v>
      </c>
      <c r="E9" t="s">
        <v>1454</v>
      </c>
      <c r="F9" s="83" t="e">
        <v>#N/A</v>
      </c>
      <c r="G9" s="82" t="e">
        <v>#N/A</v>
      </c>
      <c r="H9" t="s">
        <v>143</v>
      </c>
      <c r="K9" s="84"/>
    </row>
    <row r="10" spans="1:11" x14ac:dyDescent="0.25">
      <c r="A10" t="s">
        <v>1759</v>
      </c>
      <c r="B10" t="s">
        <v>8</v>
      </c>
      <c r="C10" t="s">
        <v>443</v>
      </c>
      <c r="D10">
        <v>3</v>
      </c>
      <c r="E10" t="s">
        <v>1539</v>
      </c>
      <c r="F10" s="83" t="e">
        <v>#N/A</v>
      </c>
      <c r="G10" s="82" t="e">
        <v>#N/A</v>
      </c>
      <c r="H10" t="s">
        <v>143</v>
      </c>
      <c r="K10" s="84"/>
    </row>
    <row r="11" spans="1:11" x14ac:dyDescent="0.25">
      <c r="A11" t="s">
        <v>1625</v>
      </c>
      <c r="B11" t="s">
        <v>8</v>
      </c>
      <c r="C11" t="s">
        <v>443</v>
      </c>
      <c r="D11">
        <v>3</v>
      </c>
      <c r="E11" t="s">
        <v>1526</v>
      </c>
      <c r="F11" s="83" t="e">
        <v>#N/A</v>
      </c>
      <c r="G11" s="82" t="e">
        <v>#N/A</v>
      </c>
      <c r="H11" t="s">
        <v>143</v>
      </c>
    </row>
    <row r="12" spans="1:11" x14ac:dyDescent="0.25">
      <c r="A12" t="s">
        <v>1626</v>
      </c>
      <c r="B12" t="s">
        <v>8</v>
      </c>
      <c r="C12" t="s">
        <v>443</v>
      </c>
      <c r="D12">
        <v>3</v>
      </c>
      <c r="E12" t="s">
        <v>1552</v>
      </c>
      <c r="F12" s="83" t="e">
        <v>#N/A</v>
      </c>
      <c r="G12" s="82" t="e">
        <v>#N/A</v>
      </c>
      <c r="H12" t="s">
        <v>143</v>
      </c>
    </row>
    <row r="13" spans="1:11" x14ac:dyDescent="0.25">
      <c r="A13" t="s">
        <v>1627</v>
      </c>
      <c r="B13" t="s">
        <v>8</v>
      </c>
      <c r="C13" t="s">
        <v>443</v>
      </c>
      <c r="D13">
        <v>3</v>
      </c>
      <c r="E13" t="s">
        <v>1454</v>
      </c>
      <c r="F13" s="83" t="e">
        <v>#N/A</v>
      </c>
      <c r="G13" s="82" t="e">
        <v>#N/A</v>
      </c>
      <c r="H13" t="s">
        <v>1460</v>
      </c>
    </row>
    <row r="14" spans="1:11" x14ac:dyDescent="0.25">
      <c r="A14" t="s">
        <v>1628</v>
      </c>
      <c r="B14" t="s">
        <v>8</v>
      </c>
      <c r="C14" t="s">
        <v>443</v>
      </c>
      <c r="D14">
        <v>3</v>
      </c>
      <c r="E14" t="s">
        <v>1454</v>
      </c>
      <c r="F14" s="83" t="e">
        <v>#N/A</v>
      </c>
      <c r="G14" s="82" t="e">
        <v>#N/A</v>
      </c>
      <c r="H14" t="s">
        <v>143</v>
      </c>
    </row>
    <row r="15" spans="1:11" x14ac:dyDescent="0.25">
      <c r="A15" t="s">
        <v>1782</v>
      </c>
      <c r="B15" t="s">
        <v>8</v>
      </c>
      <c r="C15" t="s">
        <v>443</v>
      </c>
      <c r="D15">
        <v>3</v>
      </c>
      <c r="E15" t="s">
        <v>1539</v>
      </c>
      <c r="F15" s="83" t="e">
        <v>#N/A</v>
      </c>
      <c r="G15" s="82" t="e">
        <v>#N/A</v>
      </c>
      <c r="H15" t="s">
        <v>143</v>
      </c>
    </row>
    <row r="16" spans="1:11" x14ac:dyDescent="0.25">
      <c r="A16" t="s">
        <v>1630</v>
      </c>
      <c r="B16" t="s">
        <v>8</v>
      </c>
      <c r="C16" t="s">
        <v>443</v>
      </c>
      <c r="D16">
        <v>3</v>
      </c>
      <c r="E16" t="s">
        <v>1552</v>
      </c>
      <c r="F16" s="83" t="e">
        <v>#N/A</v>
      </c>
      <c r="G16" s="82" t="e">
        <v>#N/A</v>
      </c>
      <c r="H16" t="s">
        <v>143</v>
      </c>
    </row>
    <row r="17" spans="1:8" x14ac:dyDescent="0.25">
      <c r="A17" t="s">
        <v>1638</v>
      </c>
      <c r="B17" t="s">
        <v>8</v>
      </c>
      <c r="C17" t="s">
        <v>443</v>
      </c>
      <c r="D17">
        <v>3</v>
      </c>
      <c r="E17" t="s">
        <v>1538</v>
      </c>
      <c r="F17" s="83" t="e">
        <v>#N/A</v>
      </c>
      <c r="G17" s="82" t="e">
        <v>#N/A</v>
      </c>
      <c r="H17" t="s">
        <v>143</v>
      </c>
    </row>
    <row r="18" spans="1:8" x14ac:dyDescent="0.25">
      <c r="A18" t="s">
        <v>1785</v>
      </c>
      <c r="B18" t="s">
        <v>8</v>
      </c>
      <c r="C18" t="s">
        <v>443</v>
      </c>
      <c r="D18">
        <v>3</v>
      </c>
      <c r="E18" t="s">
        <v>1454</v>
      </c>
      <c r="F18" s="83" t="e">
        <v>#N/A</v>
      </c>
      <c r="G18" s="82" t="e">
        <v>#N/A</v>
      </c>
      <c r="H18" t="s">
        <v>143</v>
      </c>
    </row>
    <row r="19" spans="1:8" x14ac:dyDescent="0.25">
      <c r="A19" t="s">
        <v>1661</v>
      </c>
      <c r="B19" t="s">
        <v>8</v>
      </c>
      <c r="C19" t="s">
        <v>443</v>
      </c>
      <c r="D19">
        <v>3</v>
      </c>
      <c r="E19" t="s">
        <v>1552</v>
      </c>
      <c r="F19" s="83" t="e">
        <v>#N/A</v>
      </c>
      <c r="G19" s="82" t="e">
        <v>#N/A</v>
      </c>
      <c r="H19" t="s">
        <v>143</v>
      </c>
    </row>
    <row r="20" spans="1:8" x14ac:dyDescent="0.25">
      <c r="A20" t="s">
        <v>1667</v>
      </c>
      <c r="B20" t="s">
        <v>8</v>
      </c>
      <c r="C20" t="s">
        <v>443</v>
      </c>
      <c r="D20">
        <v>3</v>
      </c>
      <c r="E20" t="s">
        <v>1454</v>
      </c>
      <c r="F20" s="83" t="e">
        <v>#N/A</v>
      </c>
      <c r="G20" s="82" t="e">
        <v>#N/A</v>
      </c>
      <c r="H20" t="s">
        <v>143</v>
      </c>
    </row>
    <row r="21" spans="1:8" x14ac:dyDescent="0.25">
      <c r="A21" t="s">
        <v>1454</v>
      </c>
      <c r="B21" t="s">
        <v>8</v>
      </c>
      <c r="C21" t="s">
        <v>443</v>
      </c>
      <c r="D21">
        <v>3</v>
      </c>
      <c r="F21" s="83" t="e">
        <v>#N/A</v>
      </c>
      <c r="G21" s="82" t="e">
        <v>#N/A</v>
      </c>
      <c r="H21" t="s">
        <v>143</v>
      </c>
    </row>
    <row r="22" spans="1:8" x14ac:dyDescent="0.25">
      <c r="A22" t="s">
        <v>1793</v>
      </c>
      <c r="B22" t="s">
        <v>8</v>
      </c>
      <c r="C22" t="s">
        <v>443</v>
      </c>
      <c r="D22">
        <v>3</v>
      </c>
      <c r="E22" t="s">
        <v>1526</v>
      </c>
      <c r="F22" s="83" t="e">
        <v>#N/A</v>
      </c>
      <c r="G22" s="82" t="e">
        <v>#N/A</v>
      </c>
      <c r="H22" t="s">
        <v>143</v>
      </c>
    </row>
    <row r="23" spans="1:8" x14ac:dyDescent="0.25">
      <c r="A23" t="s">
        <v>1794</v>
      </c>
      <c r="B23" t="s">
        <v>8</v>
      </c>
      <c r="C23" t="s">
        <v>443</v>
      </c>
      <c r="D23">
        <v>3</v>
      </c>
      <c r="F23" s="83" t="e">
        <v>#N/A</v>
      </c>
      <c r="G23" s="82" t="e">
        <v>#N/A</v>
      </c>
      <c r="H23" t="s">
        <v>143</v>
      </c>
    </row>
    <row r="24" spans="1:8" x14ac:dyDescent="0.25">
      <c r="A24" t="s">
        <v>1799</v>
      </c>
      <c r="B24" t="s">
        <v>8</v>
      </c>
      <c r="C24" t="s">
        <v>443</v>
      </c>
      <c r="D24">
        <v>3</v>
      </c>
      <c r="E24" t="s">
        <v>1454</v>
      </c>
      <c r="F24" s="83" t="e">
        <v>#N/A</v>
      </c>
      <c r="G24" s="82" t="e">
        <v>#N/A</v>
      </c>
      <c r="H24" t="s">
        <v>143</v>
      </c>
    </row>
    <row r="25" spans="1:8" x14ac:dyDescent="0.25">
      <c r="A25" t="s">
        <v>1802</v>
      </c>
      <c r="B25" t="s">
        <v>8</v>
      </c>
      <c r="C25" t="s">
        <v>443</v>
      </c>
      <c r="D25">
        <v>3</v>
      </c>
      <c r="E25" t="s">
        <v>1539</v>
      </c>
      <c r="F25" s="83" t="e">
        <v>#N/A</v>
      </c>
      <c r="G25" s="82" t="e">
        <v>#N/A</v>
      </c>
      <c r="H25" t="s">
        <v>143</v>
      </c>
    </row>
    <row r="26" spans="1:8" x14ac:dyDescent="0.25">
      <c r="A26" t="s">
        <v>7</v>
      </c>
      <c r="B26" t="s">
        <v>8</v>
      </c>
      <c r="C26" t="s">
        <v>443</v>
      </c>
      <c r="D26">
        <v>3</v>
      </c>
      <c r="E26" t="s">
        <v>1454</v>
      </c>
      <c r="F26" s="83">
        <v>156259</v>
      </c>
      <c r="G26" s="82">
        <v>23.6</v>
      </c>
      <c r="H26" t="s">
        <v>144</v>
      </c>
    </row>
    <row r="27" spans="1:8" x14ac:dyDescent="0.25">
      <c r="A27" t="s">
        <v>1814</v>
      </c>
      <c r="B27" t="s">
        <v>8</v>
      </c>
      <c r="C27" t="s">
        <v>443</v>
      </c>
      <c r="D27">
        <v>3</v>
      </c>
      <c r="E27" t="s">
        <v>1538</v>
      </c>
      <c r="F27" s="83" t="e">
        <v>#N/A</v>
      </c>
      <c r="G27" s="82" t="e">
        <v>#N/A</v>
      </c>
      <c r="H27" t="s">
        <v>1460</v>
      </c>
    </row>
    <row r="28" spans="1:8" x14ac:dyDescent="0.25">
      <c r="A28" t="s">
        <v>1539</v>
      </c>
      <c r="B28" t="s">
        <v>8</v>
      </c>
      <c r="C28" t="s">
        <v>443</v>
      </c>
      <c r="D28">
        <v>3</v>
      </c>
      <c r="E28" t="s">
        <v>1539</v>
      </c>
      <c r="F28" s="83" t="e">
        <v>#N/A</v>
      </c>
      <c r="G28" s="82" t="e">
        <v>#N/A</v>
      </c>
      <c r="H28" t="s">
        <v>143</v>
      </c>
    </row>
    <row r="29" spans="1:8" x14ac:dyDescent="0.25">
      <c r="A29" t="s">
        <v>1819</v>
      </c>
      <c r="B29" t="s">
        <v>8</v>
      </c>
      <c r="C29" t="s">
        <v>443</v>
      </c>
      <c r="D29">
        <v>3</v>
      </c>
      <c r="E29" t="s">
        <v>1454</v>
      </c>
      <c r="F29" s="83" t="e">
        <v>#N/A</v>
      </c>
      <c r="G29" s="82" t="e">
        <v>#N/A</v>
      </c>
      <c r="H29" t="s">
        <v>143</v>
      </c>
    </row>
    <row r="30" spans="1:8" x14ac:dyDescent="0.25">
      <c r="A30" t="s">
        <v>1552</v>
      </c>
      <c r="B30" t="s">
        <v>8</v>
      </c>
      <c r="C30" t="s">
        <v>443</v>
      </c>
      <c r="D30">
        <v>3</v>
      </c>
      <c r="E30" t="s">
        <v>1552</v>
      </c>
      <c r="F30" s="83" t="e">
        <v>#N/A</v>
      </c>
      <c r="G30" s="82" t="e">
        <v>#N/A</v>
      </c>
      <c r="H30" t="s">
        <v>143</v>
      </c>
    </row>
    <row r="31" spans="1:8" x14ac:dyDescent="0.25">
      <c r="A31" t="s">
        <v>1529</v>
      </c>
      <c r="B31" t="s">
        <v>8</v>
      </c>
      <c r="C31" t="s">
        <v>443</v>
      </c>
      <c r="D31">
        <v>3</v>
      </c>
      <c r="E31" t="s">
        <v>1529</v>
      </c>
      <c r="F31" s="83" t="e">
        <v>#N/A</v>
      </c>
      <c r="G31" s="82" t="e">
        <v>#N/A</v>
      </c>
      <c r="H31" t="s">
        <v>143</v>
      </c>
    </row>
    <row r="32" spans="1:8" x14ac:dyDescent="0.25">
      <c r="A32" t="s">
        <v>1821</v>
      </c>
      <c r="B32" t="s">
        <v>8</v>
      </c>
      <c r="C32" t="s">
        <v>443</v>
      </c>
      <c r="D32">
        <v>3</v>
      </c>
      <c r="E32" t="s">
        <v>1552</v>
      </c>
      <c r="F32" s="83" t="e">
        <v>#N/A</v>
      </c>
      <c r="G32" s="82" t="e">
        <v>#N/A</v>
      </c>
      <c r="H32" t="s">
        <v>143</v>
      </c>
    </row>
    <row r="33" spans="1:8" x14ac:dyDescent="0.25">
      <c r="A33" t="s">
        <v>1822</v>
      </c>
      <c r="B33" t="s">
        <v>8</v>
      </c>
      <c r="C33" t="s">
        <v>443</v>
      </c>
      <c r="D33">
        <v>3</v>
      </c>
      <c r="E33" t="s">
        <v>1529</v>
      </c>
      <c r="F33" s="83" t="e">
        <v>#N/A</v>
      </c>
      <c r="G33" s="82" t="e">
        <v>#N/A</v>
      </c>
      <c r="H33" t="s">
        <v>143</v>
      </c>
    </row>
    <row r="34" spans="1:8" x14ac:dyDescent="0.25">
      <c r="A34" t="s">
        <v>1717</v>
      </c>
      <c r="B34" t="s">
        <v>8</v>
      </c>
      <c r="C34" t="s">
        <v>443</v>
      </c>
      <c r="D34">
        <v>3</v>
      </c>
      <c r="E34" t="s">
        <v>1454</v>
      </c>
      <c r="F34" s="83" t="e">
        <v>#N/A</v>
      </c>
      <c r="G34" s="82" t="e">
        <v>#N/A</v>
      </c>
      <c r="H34" t="s">
        <v>143</v>
      </c>
    </row>
    <row r="35" spans="1:8" x14ac:dyDescent="0.25">
      <c r="A35" t="s">
        <v>1721</v>
      </c>
      <c r="B35" t="s">
        <v>8</v>
      </c>
      <c r="C35" t="s">
        <v>443</v>
      </c>
      <c r="D35">
        <v>3</v>
      </c>
      <c r="E35" t="s">
        <v>1454</v>
      </c>
      <c r="F35" s="83" t="e">
        <v>#N/A</v>
      </c>
      <c r="G35" s="82" t="e">
        <v>#N/A</v>
      </c>
      <c r="H35" t="s">
        <v>143</v>
      </c>
    </row>
    <row r="36" spans="1:8" x14ac:dyDescent="0.25">
      <c r="A36" t="s">
        <v>1722</v>
      </c>
      <c r="B36" t="s">
        <v>8</v>
      </c>
      <c r="C36" t="s">
        <v>443</v>
      </c>
      <c r="D36">
        <v>3</v>
      </c>
      <c r="E36" t="s">
        <v>1552</v>
      </c>
      <c r="F36" s="83" t="e">
        <v>#N/A</v>
      </c>
      <c r="G36" s="82" t="e">
        <v>#N/A</v>
      </c>
      <c r="H36" t="s">
        <v>143</v>
      </c>
    </row>
    <row r="37" spans="1:8" x14ac:dyDescent="0.25">
      <c r="A37" t="s">
        <v>1742</v>
      </c>
      <c r="B37" t="s">
        <v>8</v>
      </c>
      <c r="C37" t="s">
        <v>443</v>
      </c>
      <c r="D37">
        <v>3</v>
      </c>
      <c r="E37" t="s">
        <v>1529</v>
      </c>
      <c r="F37" s="83" t="e">
        <v>#N/A</v>
      </c>
      <c r="G37" s="82" t="e">
        <v>#N/A</v>
      </c>
      <c r="H37" t="s">
        <v>143</v>
      </c>
    </row>
    <row r="38" spans="1:8" x14ac:dyDescent="0.25">
      <c r="A38" t="s">
        <v>1502</v>
      </c>
      <c r="B38" t="s">
        <v>5</v>
      </c>
      <c r="C38" t="s">
        <v>443</v>
      </c>
      <c r="D38" s="13">
        <v>3</v>
      </c>
      <c r="E38" s="13" t="s">
        <v>1454</v>
      </c>
      <c r="F38" s="83" t="e">
        <v>#N/A</v>
      </c>
      <c r="G38" s="82" t="e">
        <v>#N/A</v>
      </c>
      <c r="H38" t="s">
        <v>143</v>
      </c>
    </row>
    <row r="39" spans="1:8" x14ac:dyDescent="0.25">
      <c r="A39" t="s">
        <v>1503</v>
      </c>
      <c r="B39" t="s">
        <v>5</v>
      </c>
      <c r="C39" t="s">
        <v>443</v>
      </c>
      <c r="D39" s="13">
        <v>3</v>
      </c>
      <c r="E39" s="13" t="s">
        <v>1538</v>
      </c>
      <c r="F39" s="83" t="e">
        <v>#N/A</v>
      </c>
      <c r="G39" s="82" t="e">
        <v>#N/A</v>
      </c>
      <c r="H39" t="s">
        <v>1460</v>
      </c>
    </row>
    <row r="40" spans="1:8" x14ac:dyDescent="0.25">
      <c r="A40" t="s">
        <v>1506</v>
      </c>
      <c r="B40" t="s">
        <v>5</v>
      </c>
      <c r="C40" t="s">
        <v>443</v>
      </c>
      <c r="D40" s="13">
        <v>3</v>
      </c>
      <c r="E40" s="13" t="s">
        <v>1539</v>
      </c>
      <c r="F40" s="83" t="e">
        <v>#N/A</v>
      </c>
      <c r="G40" s="82" t="e">
        <v>#N/A</v>
      </c>
      <c r="H40" t="s">
        <v>143</v>
      </c>
    </row>
    <row r="41" spans="1:8" x14ac:dyDescent="0.25">
      <c r="A41" t="s">
        <v>1507</v>
      </c>
      <c r="B41" t="s">
        <v>5</v>
      </c>
      <c r="C41" t="s">
        <v>443</v>
      </c>
      <c r="D41" s="13">
        <v>3</v>
      </c>
      <c r="E41" s="13" t="s">
        <v>1552</v>
      </c>
      <c r="F41" s="83" t="e">
        <v>#N/A</v>
      </c>
      <c r="G41" s="82" t="e">
        <v>#N/A</v>
      </c>
      <c r="H41" t="s">
        <v>143</v>
      </c>
    </row>
    <row r="42" spans="1:8" x14ac:dyDescent="0.25">
      <c r="A42" t="s">
        <v>1501</v>
      </c>
      <c r="B42" t="s">
        <v>5</v>
      </c>
      <c r="C42" t="s">
        <v>443</v>
      </c>
      <c r="D42" s="13">
        <v>3</v>
      </c>
      <c r="E42" s="13" t="s">
        <v>1529</v>
      </c>
      <c r="F42" s="83" t="e">
        <v>#N/A</v>
      </c>
      <c r="G42" s="82" t="e">
        <v>#N/A</v>
      </c>
      <c r="H42" t="s">
        <v>143</v>
      </c>
    </row>
    <row r="43" spans="1:8" x14ac:dyDescent="0.25">
      <c r="A43" t="s">
        <v>1525</v>
      </c>
      <c r="B43" t="s">
        <v>8</v>
      </c>
      <c r="C43" t="s">
        <v>445</v>
      </c>
      <c r="D43">
        <v>5</v>
      </c>
      <c r="E43" t="s">
        <v>1511</v>
      </c>
      <c r="F43" s="83" t="e">
        <v>#N/A</v>
      </c>
      <c r="G43" s="82" t="e">
        <v>#N/A</v>
      </c>
      <c r="H43" t="s">
        <v>1460</v>
      </c>
    </row>
    <row r="44" spans="1:8" x14ac:dyDescent="0.25">
      <c r="A44" t="s">
        <v>1763</v>
      </c>
      <c r="B44" t="s">
        <v>8</v>
      </c>
      <c r="C44" t="s">
        <v>445</v>
      </c>
      <c r="D44">
        <v>5</v>
      </c>
      <c r="E44" t="s">
        <v>1527</v>
      </c>
      <c r="F44" s="83" t="e">
        <v>#N/A</v>
      </c>
      <c r="G44" s="82" t="e">
        <v>#N/A</v>
      </c>
      <c r="H44" t="s">
        <v>1460</v>
      </c>
    </row>
    <row r="45" spans="1:8" x14ac:dyDescent="0.25">
      <c r="A45" t="s">
        <v>1530</v>
      </c>
      <c r="B45" t="s">
        <v>8</v>
      </c>
      <c r="C45" t="s">
        <v>445</v>
      </c>
      <c r="D45">
        <v>5</v>
      </c>
      <c r="E45" t="s">
        <v>1531</v>
      </c>
      <c r="F45" s="83" t="e">
        <v>#N/A</v>
      </c>
      <c r="G45" s="82" t="e">
        <v>#N/A</v>
      </c>
      <c r="H45" t="s">
        <v>143</v>
      </c>
    </row>
    <row r="46" spans="1:8" x14ac:dyDescent="0.25">
      <c r="A46" t="s">
        <v>1532</v>
      </c>
      <c r="B46" t="s">
        <v>8</v>
      </c>
      <c r="C46" t="s">
        <v>445</v>
      </c>
      <c r="D46">
        <v>5</v>
      </c>
      <c r="E46" t="s">
        <v>1533</v>
      </c>
      <c r="F46" s="83" t="e">
        <v>#N/A</v>
      </c>
      <c r="G46" s="82" t="e">
        <v>#N/A</v>
      </c>
      <c r="H46" t="s">
        <v>1460</v>
      </c>
    </row>
    <row r="47" spans="1:8" x14ac:dyDescent="0.25">
      <c r="A47" t="s">
        <v>1541</v>
      </c>
      <c r="B47" t="s">
        <v>8</v>
      </c>
      <c r="C47" t="s">
        <v>445</v>
      </c>
      <c r="D47">
        <v>5</v>
      </c>
      <c r="E47" t="s">
        <v>14</v>
      </c>
      <c r="F47" s="83" t="e">
        <v>#N/A</v>
      </c>
      <c r="G47" s="82" t="e">
        <v>#N/A</v>
      </c>
      <c r="H47" t="s">
        <v>1460</v>
      </c>
    </row>
    <row r="48" spans="1:8" x14ac:dyDescent="0.25">
      <c r="A48" t="s">
        <v>1546</v>
      </c>
      <c r="B48" t="s">
        <v>8</v>
      </c>
      <c r="C48" t="s">
        <v>445</v>
      </c>
      <c r="D48">
        <v>5</v>
      </c>
      <c r="E48" t="s">
        <v>1547</v>
      </c>
      <c r="F48" s="83" t="e">
        <v>#N/A</v>
      </c>
      <c r="G48" s="82" t="e">
        <v>#N/A</v>
      </c>
      <c r="H48" t="s">
        <v>143</v>
      </c>
    </row>
    <row r="49" spans="1:8" x14ac:dyDescent="0.25">
      <c r="A49" t="s">
        <v>1548</v>
      </c>
      <c r="B49" t="s">
        <v>8</v>
      </c>
      <c r="C49" t="s">
        <v>445</v>
      </c>
      <c r="D49">
        <v>5</v>
      </c>
      <c r="E49" t="s">
        <v>1522</v>
      </c>
      <c r="F49" s="83" t="e">
        <v>#N/A</v>
      </c>
      <c r="G49" s="82" t="e">
        <v>#N/A</v>
      </c>
      <c r="H49" t="s">
        <v>143</v>
      </c>
    </row>
    <row r="50" spans="1:8" x14ac:dyDescent="0.25">
      <c r="A50" t="s">
        <v>1551</v>
      </c>
      <c r="B50" t="s">
        <v>8</v>
      </c>
      <c r="C50" t="s">
        <v>445</v>
      </c>
      <c r="D50">
        <v>5</v>
      </c>
      <c r="E50" t="s">
        <v>1537</v>
      </c>
      <c r="F50" s="83" t="e">
        <v>#N/A</v>
      </c>
      <c r="G50" s="82" t="e">
        <v>#N/A</v>
      </c>
      <c r="H50" t="s">
        <v>1460</v>
      </c>
    </row>
    <row r="51" spans="1:8" x14ac:dyDescent="0.25">
      <c r="A51" t="s">
        <v>15</v>
      </c>
      <c r="B51" t="s">
        <v>8</v>
      </c>
      <c r="C51" t="s">
        <v>445</v>
      </c>
      <c r="D51">
        <v>5</v>
      </c>
      <c r="E51" t="s">
        <v>14</v>
      </c>
      <c r="F51" s="83">
        <v>383579</v>
      </c>
      <c r="G51" s="82">
        <v>148.80000000000001</v>
      </c>
      <c r="H51" t="s">
        <v>144</v>
      </c>
    </row>
    <row r="52" spans="1:8" x14ac:dyDescent="0.25">
      <c r="A52" t="s">
        <v>1565</v>
      </c>
      <c r="B52" t="s">
        <v>8</v>
      </c>
      <c r="C52" t="s">
        <v>445</v>
      </c>
      <c r="D52">
        <v>5</v>
      </c>
      <c r="E52" t="s">
        <v>1553</v>
      </c>
      <c r="F52" s="83" t="e">
        <v>#N/A</v>
      </c>
      <c r="G52" s="82" t="e">
        <v>#N/A</v>
      </c>
      <c r="H52" t="s">
        <v>1460</v>
      </c>
    </row>
    <row r="53" spans="1:8" x14ac:dyDescent="0.25">
      <c r="A53" t="s">
        <v>1583</v>
      </c>
      <c r="B53" t="s">
        <v>8</v>
      </c>
      <c r="C53" t="s">
        <v>445</v>
      </c>
      <c r="D53">
        <v>5</v>
      </c>
      <c r="E53" t="s">
        <v>1513</v>
      </c>
      <c r="F53" s="83" t="e">
        <v>#N/A</v>
      </c>
      <c r="G53" s="82" t="e">
        <v>#N/A</v>
      </c>
      <c r="H53" t="s">
        <v>143</v>
      </c>
    </row>
    <row r="54" spans="1:8" x14ac:dyDescent="0.25">
      <c r="A54" t="s">
        <v>1584</v>
      </c>
      <c r="B54" t="s">
        <v>8</v>
      </c>
      <c r="C54" t="s">
        <v>445</v>
      </c>
      <c r="D54">
        <v>5</v>
      </c>
      <c r="E54" t="s">
        <v>1553</v>
      </c>
      <c r="F54" s="83" t="e">
        <v>#N/A</v>
      </c>
      <c r="G54" s="82" t="e">
        <v>#N/A</v>
      </c>
      <c r="H54" t="s">
        <v>143</v>
      </c>
    </row>
    <row r="55" spans="1:8" x14ac:dyDescent="0.25">
      <c r="A55" t="s">
        <v>1585</v>
      </c>
      <c r="B55" t="s">
        <v>8</v>
      </c>
      <c r="C55" t="s">
        <v>445</v>
      </c>
      <c r="D55">
        <v>5</v>
      </c>
      <c r="E55" t="s">
        <v>1512</v>
      </c>
      <c r="F55" s="83" t="e">
        <v>#N/A</v>
      </c>
      <c r="G55" s="82" t="e">
        <v>#N/A</v>
      </c>
      <c r="H55" t="s">
        <v>143</v>
      </c>
    </row>
    <row r="56" spans="1:8" x14ac:dyDescent="0.25">
      <c r="A56" t="s">
        <v>138</v>
      </c>
      <c r="B56" t="s">
        <v>8</v>
      </c>
      <c r="C56" t="s">
        <v>445</v>
      </c>
      <c r="D56">
        <v>5</v>
      </c>
      <c r="E56" t="s">
        <v>124</v>
      </c>
      <c r="F56" s="83">
        <v>87910</v>
      </c>
      <c r="G56" s="82">
        <v>14.2</v>
      </c>
      <c r="H56" t="s">
        <v>144</v>
      </c>
    </row>
    <row r="57" spans="1:8" x14ac:dyDescent="0.25">
      <c r="A57" t="s">
        <v>1588</v>
      </c>
      <c r="B57" t="s">
        <v>8</v>
      </c>
      <c r="C57" t="s">
        <v>445</v>
      </c>
      <c r="D57">
        <v>5</v>
      </c>
      <c r="E57" t="s">
        <v>1589</v>
      </c>
      <c r="F57" s="83" t="e">
        <v>#N/A</v>
      </c>
      <c r="G57" s="82" t="e">
        <v>#N/A</v>
      </c>
      <c r="H57" t="s">
        <v>143</v>
      </c>
    </row>
    <row r="58" spans="1:8" x14ac:dyDescent="0.25">
      <c r="A58" t="s">
        <v>123</v>
      </c>
      <c r="B58" t="s">
        <v>8</v>
      </c>
      <c r="C58" t="s">
        <v>445</v>
      </c>
      <c r="D58">
        <v>5</v>
      </c>
      <c r="E58" t="s">
        <v>121</v>
      </c>
      <c r="F58" s="83">
        <v>112022</v>
      </c>
      <c r="G58" s="82">
        <v>24.2</v>
      </c>
      <c r="H58" t="s">
        <v>144</v>
      </c>
    </row>
    <row r="59" spans="1:8" x14ac:dyDescent="0.25">
      <c r="A59" t="s">
        <v>1592</v>
      </c>
      <c r="B59" t="s">
        <v>8</v>
      </c>
      <c r="C59" t="s">
        <v>445</v>
      </c>
      <c r="D59">
        <v>5</v>
      </c>
      <c r="E59" t="s">
        <v>121</v>
      </c>
      <c r="F59" s="83" t="e">
        <v>#N/A</v>
      </c>
      <c r="G59" s="82" t="e">
        <v>#N/A</v>
      </c>
      <c r="H59" t="s">
        <v>143</v>
      </c>
    </row>
    <row r="60" spans="1:8" x14ac:dyDescent="0.25">
      <c r="A60" t="s">
        <v>1593</v>
      </c>
      <c r="B60" t="s">
        <v>8</v>
      </c>
      <c r="C60" t="s">
        <v>445</v>
      </c>
      <c r="D60">
        <v>5</v>
      </c>
      <c r="E60" t="s">
        <v>1522</v>
      </c>
      <c r="F60" s="83" t="e">
        <v>#N/A</v>
      </c>
      <c r="G60" s="82" t="e">
        <v>#N/A</v>
      </c>
      <c r="H60" t="s">
        <v>1460</v>
      </c>
    </row>
    <row r="61" spans="1:8" x14ac:dyDescent="0.25">
      <c r="A61" t="s">
        <v>1535</v>
      </c>
      <c r="B61" t="s">
        <v>8</v>
      </c>
      <c r="C61" t="s">
        <v>445</v>
      </c>
      <c r="D61">
        <v>5</v>
      </c>
      <c r="E61" t="s">
        <v>1535</v>
      </c>
      <c r="F61" s="83" t="e">
        <v>#N/A</v>
      </c>
      <c r="G61" s="82" t="e">
        <v>#N/A</v>
      </c>
      <c r="H61" t="s">
        <v>1460</v>
      </c>
    </row>
    <row r="62" spans="1:8" x14ac:dyDescent="0.25">
      <c r="A62" t="s">
        <v>1597</v>
      </c>
      <c r="B62" t="s">
        <v>8</v>
      </c>
      <c r="C62" t="s">
        <v>445</v>
      </c>
      <c r="D62">
        <v>5</v>
      </c>
      <c r="E62" t="s">
        <v>1537</v>
      </c>
      <c r="F62" s="83" t="e">
        <v>#N/A</v>
      </c>
      <c r="G62" s="82" t="e">
        <v>#N/A</v>
      </c>
      <c r="H62" t="s">
        <v>1460</v>
      </c>
    </row>
    <row r="63" spans="1:8" x14ac:dyDescent="0.25">
      <c r="A63" t="s">
        <v>1598</v>
      </c>
      <c r="B63" t="s">
        <v>8</v>
      </c>
      <c r="C63" t="s">
        <v>445</v>
      </c>
      <c r="D63">
        <v>5</v>
      </c>
      <c r="E63" t="s">
        <v>1560</v>
      </c>
      <c r="F63" s="83" t="e">
        <v>#N/A</v>
      </c>
      <c r="G63" s="82" t="e">
        <v>#N/A</v>
      </c>
      <c r="H63" t="s">
        <v>1460</v>
      </c>
    </row>
    <row r="64" spans="1:8" x14ac:dyDescent="0.25">
      <c r="A64" t="s">
        <v>1603</v>
      </c>
      <c r="B64" t="s">
        <v>8</v>
      </c>
      <c r="C64" t="s">
        <v>445</v>
      </c>
      <c r="D64">
        <v>5</v>
      </c>
      <c r="E64" t="s">
        <v>1586</v>
      </c>
      <c r="F64" s="83" t="e">
        <v>#N/A</v>
      </c>
      <c r="G64" s="82" t="e">
        <v>#N/A</v>
      </c>
      <c r="H64" t="s">
        <v>143</v>
      </c>
    </row>
    <row r="65" spans="1:8" x14ac:dyDescent="0.25">
      <c r="A65" t="s">
        <v>1604</v>
      </c>
      <c r="B65" t="s">
        <v>8</v>
      </c>
      <c r="C65" t="s">
        <v>445</v>
      </c>
      <c r="D65">
        <v>5</v>
      </c>
      <c r="E65" t="s">
        <v>14</v>
      </c>
      <c r="F65" s="83" t="e">
        <v>#N/A</v>
      </c>
      <c r="G65" s="82" t="e">
        <v>#N/A</v>
      </c>
      <c r="H65" t="s">
        <v>143</v>
      </c>
    </row>
    <row r="66" spans="1:8" x14ac:dyDescent="0.25">
      <c r="A66" t="s">
        <v>1605</v>
      </c>
      <c r="B66" t="s">
        <v>8</v>
      </c>
      <c r="C66" t="s">
        <v>445</v>
      </c>
      <c r="D66">
        <v>5</v>
      </c>
      <c r="E66" t="s">
        <v>1519</v>
      </c>
      <c r="F66" s="83" t="e">
        <v>#N/A</v>
      </c>
      <c r="G66" s="82" t="e">
        <v>#N/A</v>
      </c>
      <c r="H66" t="s">
        <v>143</v>
      </c>
    </row>
    <row r="67" spans="1:8" x14ac:dyDescent="0.25">
      <c r="A67" t="s">
        <v>1606</v>
      </c>
      <c r="B67" t="s">
        <v>8</v>
      </c>
      <c r="C67" t="s">
        <v>445</v>
      </c>
      <c r="D67">
        <v>5</v>
      </c>
      <c r="E67" t="s">
        <v>1518</v>
      </c>
      <c r="F67" s="83" t="e">
        <v>#N/A</v>
      </c>
      <c r="G67" s="82" t="e">
        <v>#N/A</v>
      </c>
      <c r="H67" t="s">
        <v>143</v>
      </c>
    </row>
    <row r="68" spans="1:8" x14ac:dyDescent="0.25">
      <c r="A68" t="s">
        <v>1776</v>
      </c>
      <c r="B68" t="s">
        <v>8</v>
      </c>
      <c r="C68" t="s">
        <v>445</v>
      </c>
      <c r="D68">
        <v>5</v>
      </c>
      <c r="E68" t="s">
        <v>1547</v>
      </c>
      <c r="F68" s="83" t="e">
        <v>#N/A</v>
      </c>
      <c r="G68" s="82" t="e">
        <v>#N/A</v>
      </c>
      <c r="H68" t="s">
        <v>1460</v>
      </c>
    </row>
    <row r="69" spans="1:8" x14ac:dyDescent="0.25">
      <c r="A69" t="s">
        <v>1609</v>
      </c>
      <c r="B69" t="s">
        <v>8</v>
      </c>
      <c r="C69" t="s">
        <v>445</v>
      </c>
      <c r="D69">
        <v>5</v>
      </c>
      <c r="E69" t="s">
        <v>1581</v>
      </c>
      <c r="F69" s="83" t="e">
        <v>#N/A</v>
      </c>
      <c r="G69" s="82" t="e">
        <v>#N/A</v>
      </c>
      <c r="H69" t="s">
        <v>1460</v>
      </c>
    </row>
    <row r="70" spans="1:8" x14ac:dyDescent="0.25">
      <c r="A70" t="s">
        <v>125</v>
      </c>
      <c r="B70" t="s">
        <v>8</v>
      </c>
      <c r="C70" t="s">
        <v>445</v>
      </c>
      <c r="D70">
        <v>5</v>
      </c>
      <c r="E70" t="s">
        <v>124</v>
      </c>
      <c r="F70" s="83">
        <v>172886</v>
      </c>
      <c r="G70" s="82">
        <v>42.2</v>
      </c>
      <c r="H70" t="s">
        <v>144</v>
      </c>
    </row>
    <row r="71" spans="1:8" x14ac:dyDescent="0.25">
      <c r="A71" t="s">
        <v>1613</v>
      </c>
      <c r="B71" t="s">
        <v>8</v>
      </c>
      <c r="C71" t="s">
        <v>445</v>
      </c>
      <c r="D71">
        <v>5</v>
      </c>
      <c r="E71" t="s">
        <v>417</v>
      </c>
      <c r="F71" s="83" t="e">
        <v>#N/A</v>
      </c>
      <c r="G71" s="82" t="e">
        <v>#N/A</v>
      </c>
      <c r="H71" t="s">
        <v>143</v>
      </c>
    </row>
    <row r="72" spans="1:8" x14ac:dyDescent="0.25">
      <c r="A72" t="s">
        <v>1616</v>
      </c>
      <c r="B72" t="s">
        <v>8</v>
      </c>
      <c r="C72" t="s">
        <v>445</v>
      </c>
      <c r="D72">
        <v>5</v>
      </c>
      <c r="E72" t="s">
        <v>1519</v>
      </c>
      <c r="F72" s="83" t="e">
        <v>#N/A</v>
      </c>
      <c r="G72" s="82" t="e">
        <v>#N/A</v>
      </c>
      <c r="H72" t="s">
        <v>143</v>
      </c>
    </row>
    <row r="73" spans="1:8" x14ac:dyDescent="0.25">
      <c r="A73" t="s">
        <v>1619</v>
      </c>
      <c r="B73" t="s">
        <v>8</v>
      </c>
      <c r="C73" t="s">
        <v>445</v>
      </c>
      <c r="D73">
        <v>5</v>
      </c>
      <c r="E73" t="s">
        <v>1519</v>
      </c>
      <c r="F73" s="83" t="e">
        <v>#N/A</v>
      </c>
      <c r="G73" s="82" t="e">
        <v>#N/A</v>
      </c>
      <c r="H73" t="s">
        <v>143</v>
      </c>
    </row>
    <row r="74" spans="1:8" x14ac:dyDescent="0.25">
      <c r="A74" t="s">
        <v>1621</v>
      </c>
      <c r="B74" t="s">
        <v>8</v>
      </c>
      <c r="C74" t="s">
        <v>445</v>
      </c>
      <c r="D74">
        <v>5</v>
      </c>
      <c r="E74" t="s">
        <v>121</v>
      </c>
      <c r="F74" s="83" t="e">
        <v>#N/A</v>
      </c>
      <c r="G74" s="82" t="e">
        <v>#N/A</v>
      </c>
      <c r="H74" t="s">
        <v>1460</v>
      </c>
    </row>
    <row r="75" spans="1:8" x14ac:dyDescent="0.25">
      <c r="A75" t="s">
        <v>126</v>
      </c>
      <c r="B75" t="s">
        <v>8</v>
      </c>
      <c r="C75" t="s">
        <v>445</v>
      </c>
      <c r="D75">
        <v>5</v>
      </c>
      <c r="E75" t="s">
        <v>124</v>
      </c>
      <c r="F75" s="83">
        <v>79022</v>
      </c>
      <c r="G75" s="82">
        <v>27.7</v>
      </c>
      <c r="H75" t="s">
        <v>144</v>
      </c>
    </row>
    <row r="76" spans="1:8" x14ac:dyDescent="0.25">
      <c r="A76" t="s">
        <v>1623</v>
      </c>
      <c r="B76" t="s">
        <v>8</v>
      </c>
      <c r="C76" t="s">
        <v>445</v>
      </c>
      <c r="D76">
        <v>5</v>
      </c>
      <c r="E76" t="s">
        <v>121</v>
      </c>
      <c r="F76" s="83" t="e">
        <v>#N/A</v>
      </c>
      <c r="G76" s="82" t="e">
        <v>#N/A</v>
      </c>
      <c r="H76" t="s">
        <v>1460</v>
      </c>
    </row>
    <row r="77" spans="1:8" x14ac:dyDescent="0.25">
      <c r="A77" t="s">
        <v>121</v>
      </c>
      <c r="B77" t="s">
        <v>8</v>
      </c>
      <c r="C77" t="s">
        <v>445</v>
      </c>
      <c r="D77">
        <v>5</v>
      </c>
      <c r="E77" t="s">
        <v>121</v>
      </c>
      <c r="F77" s="83">
        <v>530093</v>
      </c>
      <c r="G77" s="82">
        <v>114.4</v>
      </c>
      <c r="H77" t="s">
        <v>144</v>
      </c>
    </row>
    <row r="78" spans="1:8" x14ac:dyDescent="0.25">
      <c r="A78" t="s">
        <v>139</v>
      </c>
      <c r="B78" t="s">
        <v>8</v>
      </c>
      <c r="C78" t="s">
        <v>445</v>
      </c>
      <c r="D78">
        <v>5</v>
      </c>
      <c r="E78" t="s">
        <v>124</v>
      </c>
      <c r="F78" s="83">
        <v>26440</v>
      </c>
      <c r="G78" s="82">
        <v>6</v>
      </c>
      <c r="H78" t="s">
        <v>144</v>
      </c>
    </row>
    <row r="79" spans="1:8" x14ac:dyDescent="0.25">
      <c r="A79" t="s">
        <v>1781</v>
      </c>
      <c r="B79" t="s">
        <v>8</v>
      </c>
      <c r="C79" t="s">
        <v>445</v>
      </c>
      <c r="D79">
        <v>5</v>
      </c>
      <c r="E79" t="s">
        <v>1523</v>
      </c>
      <c r="F79" s="83" t="e">
        <v>#N/A</v>
      </c>
      <c r="G79" s="82" t="e">
        <v>#N/A</v>
      </c>
      <c r="H79" t="s">
        <v>143</v>
      </c>
    </row>
    <row r="80" spans="1:8" x14ac:dyDescent="0.25">
      <c r="A80" t="s">
        <v>1629</v>
      </c>
      <c r="B80" t="s">
        <v>8</v>
      </c>
      <c r="C80" t="s">
        <v>445</v>
      </c>
      <c r="D80">
        <v>5</v>
      </c>
      <c r="E80" t="s">
        <v>1553</v>
      </c>
      <c r="F80" s="83" t="e">
        <v>#N/A</v>
      </c>
      <c r="G80" s="82" t="e">
        <v>#N/A</v>
      </c>
      <c r="H80" t="s">
        <v>1460</v>
      </c>
    </row>
    <row r="81" spans="1:8" x14ac:dyDescent="0.25">
      <c r="A81" t="s">
        <v>1631</v>
      </c>
      <c r="B81" t="s">
        <v>8</v>
      </c>
      <c r="C81" t="s">
        <v>445</v>
      </c>
      <c r="D81">
        <v>5</v>
      </c>
      <c r="E81" t="s">
        <v>1547</v>
      </c>
      <c r="F81" s="83" t="e">
        <v>#N/A</v>
      </c>
      <c r="G81" s="82" t="e">
        <v>#N/A</v>
      </c>
      <c r="H81" t="s">
        <v>1460</v>
      </c>
    </row>
    <row r="82" spans="1:8" x14ac:dyDescent="0.25">
      <c r="A82" t="s">
        <v>1632</v>
      </c>
      <c r="B82" t="s">
        <v>8</v>
      </c>
      <c r="C82" t="s">
        <v>445</v>
      </c>
      <c r="D82">
        <v>5</v>
      </c>
      <c r="E82" t="s">
        <v>1537</v>
      </c>
      <c r="F82" s="83" t="e">
        <v>#N/A</v>
      </c>
      <c r="G82" s="82" t="e">
        <v>#N/A</v>
      </c>
      <c r="H82" t="s">
        <v>143</v>
      </c>
    </row>
    <row r="83" spans="1:8" x14ac:dyDescent="0.25">
      <c r="A83" t="s">
        <v>1640</v>
      </c>
      <c r="B83" t="s">
        <v>8</v>
      </c>
      <c r="C83" t="s">
        <v>445</v>
      </c>
      <c r="D83">
        <v>5</v>
      </c>
      <c r="E83" t="s">
        <v>1513</v>
      </c>
      <c r="F83" s="83" t="e">
        <v>#N/A</v>
      </c>
      <c r="G83" s="82" t="e">
        <v>#N/A</v>
      </c>
      <c r="H83" t="s">
        <v>143</v>
      </c>
    </row>
    <row r="84" spans="1:8" x14ac:dyDescent="0.25">
      <c r="A84" t="s">
        <v>1641</v>
      </c>
      <c r="B84" t="s">
        <v>8</v>
      </c>
      <c r="C84" t="s">
        <v>445</v>
      </c>
      <c r="D84">
        <v>5</v>
      </c>
      <c r="E84" t="s">
        <v>121</v>
      </c>
      <c r="F84" s="83" t="e">
        <v>#N/A</v>
      </c>
      <c r="G84" s="82" t="e">
        <v>#N/A</v>
      </c>
      <c r="H84" t="s">
        <v>1460</v>
      </c>
    </row>
    <row r="85" spans="1:8" x14ac:dyDescent="0.25">
      <c r="A85" t="s">
        <v>1643</v>
      </c>
      <c r="B85" t="s">
        <v>8</v>
      </c>
      <c r="C85" t="s">
        <v>445</v>
      </c>
      <c r="D85">
        <v>5</v>
      </c>
      <c r="E85" t="s">
        <v>1527</v>
      </c>
      <c r="F85" s="83" t="e">
        <v>#N/A</v>
      </c>
      <c r="G85" s="82" t="e">
        <v>#N/A</v>
      </c>
      <c r="H85" t="s">
        <v>1460</v>
      </c>
    </row>
    <row r="86" spans="1:8" x14ac:dyDescent="0.25">
      <c r="A86" t="s">
        <v>1644</v>
      </c>
      <c r="B86" t="s">
        <v>8</v>
      </c>
      <c r="C86" t="s">
        <v>445</v>
      </c>
      <c r="D86">
        <v>5</v>
      </c>
      <c r="E86" t="s">
        <v>124</v>
      </c>
      <c r="F86" s="83" t="e">
        <v>#N/A</v>
      </c>
      <c r="G86" s="82" t="e">
        <v>#N/A</v>
      </c>
      <c r="H86" t="s">
        <v>1460</v>
      </c>
    </row>
    <row r="87" spans="1:8" x14ac:dyDescent="0.25">
      <c r="A87" t="s">
        <v>1645</v>
      </c>
      <c r="B87" t="s">
        <v>8</v>
      </c>
      <c r="C87" t="s">
        <v>445</v>
      </c>
      <c r="D87">
        <v>5</v>
      </c>
      <c r="E87" t="s">
        <v>1527</v>
      </c>
      <c r="F87" s="83" t="e">
        <v>#N/A</v>
      </c>
      <c r="G87" s="82" t="e">
        <v>#N/A</v>
      </c>
      <c r="H87" t="s">
        <v>1460</v>
      </c>
    </row>
    <row r="88" spans="1:8" x14ac:dyDescent="0.25">
      <c r="A88" t="s">
        <v>1646</v>
      </c>
      <c r="B88" t="s">
        <v>8</v>
      </c>
      <c r="C88" t="s">
        <v>445</v>
      </c>
      <c r="D88">
        <v>5</v>
      </c>
      <c r="E88" t="s">
        <v>121</v>
      </c>
      <c r="F88" s="83" t="e">
        <v>#N/A</v>
      </c>
      <c r="G88" s="82" t="e">
        <v>#N/A</v>
      </c>
      <c r="H88" t="s">
        <v>1460</v>
      </c>
    </row>
    <row r="89" spans="1:8" x14ac:dyDescent="0.25">
      <c r="A89" t="s">
        <v>1647</v>
      </c>
      <c r="B89" t="s">
        <v>8</v>
      </c>
      <c r="C89" t="s">
        <v>445</v>
      </c>
      <c r="D89">
        <v>5</v>
      </c>
      <c r="E89" t="s">
        <v>121</v>
      </c>
      <c r="F89" s="83" t="e">
        <v>#N/A</v>
      </c>
      <c r="G89" s="82" t="e">
        <v>#N/A</v>
      </c>
      <c r="H89" t="s">
        <v>143</v>
      </c>
    </row>
    <row r="90" spans="1:8" x14ac:dyDescent="0.25">
      <c r="A90" t="s">
        <v>1650</v>
      </c>
      <c r="B90" t="s">
        <v>8</v>
      </c>
      <c r="C90" t="s">
        <v>445</v>
      </c>
      <c r="D90">
        <v>5</v>
      </c>
      <c r="E90" t="s">
        <v>1589</v>
      </c>
      <c r="F90" s="83" t="e">
        <v>#N/A</v>
      </c>
      <c r="G90" s="82" t="e">
        <v>#N/A</v>
      </c>
      <c r="H90" t="s">
        <v>143</v>
      </c>
    </row>
    <row r="91" spans="1:8" x14ac:dyDescent="0.25">
      <c r="A91" t="s">
        <v>1653</v>
      </c>
      <c r="B91" t="s">
        <v>8</v>
      </c>
      <c r="C91" t="s">
        <v>445</v>
      </c>
      <c r="D91">
        <v>5</v>
      </c>
      <c r="E91" t="s">
        <v>417</v>
      </c>
      <c r="F91" s="83" t="e">
        <v>#N/A</v>
      </c>
      <c r="G91" s="82" t="e">
        <v>#N/A</v>
      </c>
      <c r="H91" t="s">
        <v>143</v>
      </c>
    </row>
    <row r="92" spans="1:8" x14ac:dyDescent="0.25">
      <c r="A92" t="s">
        <v>1654</v>
      </c>
      <c r="B92" t="s">
        <v>8</v>
      </c>
      <c r="C92" t="s">
        <v>445</v>
      </c>
      <c r="D92">
        <v>5</v>
      </c>
      <c r="E92" t="s">
        <v>1537</v>
      </c>
      <c r="F92" s="83" t="e">
        <v>#N/A</v>
      </c>
      <c r="G92" s="82" t="e">
        <v>#N/A</v>
      </c>
      <c r="H92" t="s">
        <v>143</v>
      </c>
    </row>
    <row r="93" spans="1:8" x14ac:dyDescent="0.25">
      <c r="A93" t="s">
        <v>1655</v>
      </c>
      <c r="B93" t="s">
        <v>8</v>
      </c>
      <c r="C93" t="s">
        <v>445</v>
      </c>
      <c r="D93">
        <v>5</v>
      </c>
      <c r="E93" t="s">
        <v>1522</v>
      </c>
      <c r="F93" s="83" t="e">
        <v>#N/A</v>
      </c>
      <c r="G93" s="82" t="e">
        <v>#N/A</v>
      </c>
      <c r="H93" t="s">
        <v>143</v>
      </c>
    </row>
    <row r="94" spans="1:8" x14ac:dyDescent="0.25">
      <c r="A94" t="s">
        <v>1656</v>
      </c>
      <c r="B94" t="s">
        <v>8</v>
      </c>
      <c r="C94" t="s">
        <v>445</v>
      </c>
      <c r="D94">
        <v>5</v>
      </c>
      <c r="E94" t="s">
        <v>1519</v>
      </c>
      <c r="F94" s="83" t="e">
        <v>#N/A</v>
      </c>
      <c r="G94" s="82" t="e">
        <v>#N/A</v>
      </c>
      <c r="H94" t="s">
        <v>1460</v>
      </c>
    </row>
    <row r="95" spans="1:8" x14ac:dyDescent="0.25">
      <c r="A95" t="s">
        <v>1657</v>
      </c>
      <c r="B95" t="s">
        <v>8</v>
      </c>
      <c r="C95" t="s">
        <v>445</v>
      </c>
      <c r="D95">
        <v>5</v>
      </c>
      <c r="E95" t="s">
        <v>1610</v>
      </c>
      <c r="F95" s="83" t="e">
        <v>#N/A</v>
      </c>
      <c r="G95" s="82" t="e">
        <v>#N/A</v>
      </c>
      <c r="H95" t="s">
        <v>143</v>
      </c>
    </row>
    <row r="96" spans="1:8" x14ac:dyDescent="0.25">
      <c r="A96" t="s">
        <v>1659</v>
      </c>
      <c r="B96" t="s">
        <v>8</v>
      </c>
      <c r="C96" t="s">
        <v>445</v>
      </c>
      <c r="D96">
        <v>5</v>
      </c>
      <c r="E96" t="s">
        <v>1547</v>
      </c>
      <c r="F96" s="83" t="e">
        <v>#N/A</v>
      </c>
      <c r="G96" s="82" t="e">
        <v>#N/A</v>
      </c>
      <c r="H96" t="s">
        <v>143</v>
      </c>
    </row>
    <row r="97" spans="1:8" x14ac:dyDescent="0.25">
      <c r="A97" t="s">
        <v>1660</v>
      </c>
      <c r="B97" t="s">
        <v>8</v>
      </c>
      <c r="C97" t="s">
        <v>445</v>
      </c>
      <c r="D97">
        <v>5</v>
      </c>
      <c r="E97" t="s">
        <v>417</v>
      </c>
      <c r="F97" s="83" t="e">
        <v>#N/A</v>
      </c>
      <c r="G97" s="82" t="e">
        <v>#N/A</v>
      </c>
      <c r="H97" t="s">
        <v>143</v>
      </c>
    </row>
    <row r="98" spans="1:8" x14ac:dyDescent="0.25">
      <c r="A98" t="s">
        <v>1662</v>
      </c>
      <c r="B98" t="s">
        <v>8</v>
      </c>
      <c r="C98" t="s">
        <v>445</v>
      </c>
      <c r="D98">
        <v>5</v>
      </c>
      <c r="E98" t="s">
        <v>1522</v>
      </c>
      <c r="F98" s="83" t="e">
        <v>#N/A</v>
      </c>
      <c r="G98" s="82" t="e">
        <v>#N/A</v>
      </c>
      <c r="H98" t="s">
        <v>1460</v>
      </c>
    </row>
    <row r="99" spans="1:8" x14ac:dyDescent="0.25">
      <c r="A99" t="s">
        <v>1787</v>
      </c>
      <c r="B99" t="s">
        <v>8</v>
      </c>
      <c r="C99" t="s">
        <v>445</v>
      </c>
      <c r="D99">
        <v>5</v>
      </c>
      <c r="E99" t="s">
        <v>1547</v>
      </c>
      <c r="F99" s="83" t="e">
        <v>#N/A</v>
      </c>
      <c r="G99" s="82" t="e">
        <v>#N/A</v>
      </c>
      <c r="H99" t="s">
        <v>143</v>
      </c>
    </row>
    <row r="100" spans="1:8" x14ac:dyDescent="0.25">
      <c r="A100" t="s">
        <v>1663</v>
      </c>
      <c r="B100" t="s">
        <v>8</v>
      </c>
      <c r="C100" t="s">
        <v>445</v>
      </c>
      <c r="D100">
        <v>5</v>
      </c>
      <c r="E100" t="s">
        <v>1517</v>
      </c>
      <c r="F100" s="83" t="e">
        <v>#N/A</v>
      </c>
      <c r="G100" s="82" t="e">
        <v>#N/A</v>
      </c>
      <c r="H100" t="s">
        <v>1460</v>
      </c>
    </row>
    <row r="101" spans="1:8" x14ac:dyDescent="0.25">
      <c r="A101" t="s">
        <v>1512</v>
      </c>
      <c r="B101" t="s">
        <v>8</v>
      </c>
      <c r="C101" t="s">
        <v>445</v>
      </c>
      <c r="D101">
        <v>5</v>
      </c>
      <c r="E101" t="s">
        <v>1512</v>
      </c>
      <c r="F101" s="83" t="e">
        <v>#N/A</v>
      </c>
      <c r="G101" s="82" t="e">
        <v>#N/A</v>
      </c>
      <c r="H101" t="s">
        <v>143</v>
      </c>
    </row>
    <row r="102" spans="1:8" x14ac:dyDescent="0.25">
      <c r="A102" t="s">
        <v>1665</v>
      </c>
      <c r="B102" t="s">
        <v>8</v>
      </c>
      <c r="C102" t="s">
        <v>445</v>
      </c>
      <c r="D102">
        <v>5</v>
      </c>
      <c r="E102" t="s">
        <v>417</v>
      </c>
      <c r="F102" s="83" t="e">
        <v>#N/A</v>
      </c>
      <c r="G102" s="82" t="e">
        <v>#N/A</v>
      </c>
      <c r="H102" t="s">
        <v>143</v>
      </c>
    </row>
    <row r="103" spans="1:8" x14ac:dyDescent="0.25">
      <c r="A103" t="s">
        <v>1666</v>
      </c>
      <c r="B103" t="s">
        <v>8</v>
      </c>
      <c r="C103" t="s">
        <v>445</v>
      </c>
      <c r="D103">
        <v>5</v>
      </c>
      <c r="E103" t="s">
        <v>14</v>
      </c>
      <c r="F103" s="83" t="e">
        <v>#N/A</v>
      </c>
      <c r="G103" s="82" t="e">
        <v>#N/A</v>
      </c>
      <c r="H103" t="s">
        <v>1460</v>
      </c>
    </row>
    <row r="104" spans="1:8" x14ac:dyDescent="0.25">
      <c r="A104" t="s">
        <v>1669</v>
      </c>
      <c r="B104" t="s">
        <v>8</v>
      </c>
      <c r="C104" t="s">
        <v>445</v>
      </c>
      <c r="D104">
        <v>5</v>
      </c>
      <c r="E104" t="s">
        <v>1556</v>
      </c>
      <c r="F104" s="83" t="e">
        <v>#N/A</v>
      </c>
      <c r="G104" s="82" t="e">
        <v>#N/A</v>
      </c>
      <c r="H104" t="s">
        <v>143</v>
      </c>
    </row>
    <row r="105" spans="1:8" x14ac:dyDescent="0.25">
      <c r="A105" t="s">
        <v>1671</v>
      </c>
      <c r="B105" t="s">
        <v>8</v>
      </c>
      <c r="C105" t="s">
        <v>445</v>
      </c>
      <c r="D105">
        <v>5</v>
      </c>
      <c r="E105" t="s">
        <v>14</v>
      </c>
      <c r="F105" s="83" t="e">
        <v>#N/A</v>
      </c>
      <c r="G105" s="82" t="e">
        <v>#N/A</v>
      </c>
      <c r="H105" t="s">
        <v>1460</v>
      </c>
    </row>
    <row r="106" spans="1:8" x14ac:dyDescent="0.25">
      <c r="A106" t="s">
        <v>1672</v>
      </c>
      <c r="B106" t="s">
        <v>8</v>
      </c>
      <c r="C106" t="s">
        <v>445</v>
      </c>
      <c r="D106">
        <v>5</v>
      </c>
      <c r="E106" t="s">
        <v>121</v>
      </c>
      <c r="F106" s="83" t="e">
        <v>#N/A</v>
      </c>
      <c r="G106" s="82" t="e">
        <v>#N/A</v>
      </c>
      <c r="H106" t="s">
        <v>143</v>
      </c>
    </row>
    <row r="107" spans="1:8" x14ac:dyDescent="0.25">
      <c r="A107" t="s">
        <v>1547</v>
      </c>
      <c r="B107" t="s">
        <v>8</v>
      </c>
      <c r="C107" t="s">
        <v>445</v>
      </c>
      <c r="D107">
        <v>5</v>
      </c>
      <c r="E107" t="s">
        <v>1547</v>
      </c>
      <c r="F107" s="83" t="e">
        <v>#N/A</v>
      </c>
      <c r="G107" s="82" t="e">
        <v>#N/A</v>
      </c>
      <c r="H107" t="s">
        <v>143</v>
      </c>
    </row>
    <row r="108" spans="1:8" x14ac:dyDescent="0.25">
      <c r="A108" t="s">
        <v>1675</v>
      </c>
      <c r="B108" t="s">
        <v>8</v>
      </c>
      <c r="C108" t="s">
        <v>445</v>
      </c>
      <c r="D108">
        <v>5</v>
      </c>
      <c r="E108" t="s">
        <v>1513</v>
      </c>
      <c r="F108" s="83" t="e">
        <v>#N/A</v>
      </c>
      <c r="G108" s="82" t="e">
        <v>#N/A</v>
      </c>
      <c r="H108" t="s">
        <v>144</v>
      </c>
    </row>
    <row r="109" spans="1:8" x14ac:dyDescent="0.25">
      <c r="A109" t="s">
        <v>1795</v>
      </c>
      <c r="B109" t="s">
        <v>8</v>
      </c>
      <c r="C109" t="s">
        <v>445</v>
      </c>
      <c r="D109">
        <v>5</v>
      </c>
      <c r="E109" t="s">
        <v>1581</v>
      </c>
      <c r="F109" s="83" t="e">
        <v>#N/A</v>
      </c>
      <c r="G109" s="82" t="e">
        <v>#N/A</v>
      </c>
      <c r="H109" t="s">
        <v>1460</v>
      </c>
    </row>
    <row r="110" spans="1:8" x14ac:dyDescent="0.25">
      <c r="A110" t="s">
        <v>1797</v>
      </c>
      <c r="B110" t="s">
        <v>8</v>
      </c>
      <c r="C110" t="s">
        <v>445</v>
      </c>
      <c r="D110">
        <v>5</v>
      </c>
      <c r="E110" t="s">
        <v>1523</v>
      </c>
      <c r="F110" s="83" t="e">
        <v>#N/A</v>
      </c>
      <c r="G110" s="82" t="e">
        <v>#N/A</v>
      </c>
      <c r="H110" t="s">
        <v>1460</v>
      </c>
    </row>
    <row r="111" spans="1:8" x14ac:dyDescent="0.25">
      <c r="A111" t="s">
        <v>1680</v>
      </c>
      <c r="B111" t="s">
        <v>8</v>
      </c>
      <c r="C111" t="s">
        <v>445</v>
      </c>
      <c r="D111">
        <v>5</v>
      </c>
      <c r="E111" t="s">
        <v>1513</v>
      </c>
      <c r="F111" s="83" t="e">
        <v>#N/A</v>
      </c>
      <c r="G111" s="82" t="e">
        <v>#N/A</v>
      </c>
      <c r="H111" t="s">
        <v>143</v>
      </c>
    </row>
    <row r="112" spans="1:8" x14ac:dyDescent="0.25">
      <c r="A112" t="s">
        <v>1682</v>
      </c>
      <c r="B112" t="s">
        <v>8</v>
      </c>
      <c r="C112" t="s">
        <v>445</v>
      </c>
      <c r="D112">
        <v>5</v>
      </c>
      <c r="E112" t="s">
        <v>1513</v>
      </c>
      <c r="F112" s="83" t="e">
        <v>#N/A</v>
      </c>
      <c r="G112" s="82" t="e">
        <v>#N/A</v>
      </c>
      <c r="H112" t="s">
        <v>143</v>
      </c>
    </row>
    <row r="113" spans="1:8" x14ac:dyDescent="0.25">
      <c r="A113" t="s">
        <v>1684</v>
      </c>
      <c r="B113" t="s">
        <v>8</v>
      </c>
      <c r="C113" t="s">
        <v>445</v>
      </c>
      <c r="D113">
        <v>5</v>
      </c>
      <c r="E113" t="s">
        <v>6</v>
      </c>
      <c r="F113" s="83" t="e">
        <v>#N/A</v>
      </c>
      <c r="G113" s="82" t="e">
        <v>#N/A</v>
      </c>
      <c r="H113" t="s">
        <v>144</v>
      </c>
    </row>
    <row r="114" spans="1:8" x14ac:dyDescent="0.25">
      <c r="A114" t="s">
        <v>1798</v>
      </c>
      <c r="B114" t="s">
        <v>8</v>
      </c>
      <c r="C114" t="s">
        <v>445</v>
      </c>
      <c r="D114">
        <v>5</v>
      </c>
      <c r="E114" t="s">
        <v>121</v>
      </c>
      <c r="F114" s="83" t="e">
        <v>#N/A</v>
      </c>
      <c r="G114" s="82" t="e">
        <v>#N/A</v>
      </c>
      <c r="H114" t="s">
        <v>1460</v>
      </c>
    </row>
    <row r="115" spans="1:8" x14ac:dyDescent="0.25">
      <c r="A115" t="s">
        <v>1686</v>
      </c>
      <c r="B115" t="s">
        <v>8</v>
      </c>
      <c r="C115" t="s">
        <v>445</v>
      </c>
      <c r="D115">
        <v>5</v>
      </c>
      <c r="E115" t="s">
        <v>1540</v>
      </c>
      <c r="F115" s="83" t="e">
        <v>#N/A</v>
      </c>
      <c r="G115" s="82" t="e">
        <v>#N/A</v>
      </c>
      <c r="H115" t="s">
        <v>1460</v>
      </c>
    </row>
    <row r="116" spans="1:8" x14ac:dyDescent="0.25">
      <c r="A116" t="s">
        <v>1687</v>
      </c>
      <c r="B116" t="s">
        <v>8</v>
      </c>
      <c r="C116" t="s">
        <v>445</v>
      </c>
      <c r="D116">
        <v>5</v>
      </c>
      <c r="E116" t="s">
        <v>1553</v>
      </c>
      <c r="F116" s="83" t="e">
        <v>#N/A</v>
      </c>
      <c r="G116" s="82" t="e">
        <v>#N/A</v>
      </c>
      <c r="H116" t="s">
        <v>143</v>
      </c>
    </row>
    <row r="117" spans="1:8" x14ac:dyDescent="0.25">
      <c r="A117" t="s">
        <v>1690</v>
      </c>
      <c r="B117" t="s">
        <v>8</v>
      </c>
      <c r="C117" t="s">
        <v>445</v>
      </c>
      <c r="D117">
        <v>5</v>
      </c>
      <c r="E117" t="s">
        <v>1553</v>
      </c>
      <c r="F117" s="83" t="e">
        <v>#N/A</v>
      </c>
      <c r="G117" s="82" t="e">
        <v>#N/A</v>
      </c>
      <c r="H117" t="s">
        <v>1460</v>
      </c>
    </row>
    <row r="118" spans="1:8" x14ac:dyDescent="0.25">
      <c r="A118" t="s">
        <v>1691</v>
      </c>
      <c r="B118" t="s">
        <v>8</v>
      </c>
      <c r="C118" t="s">
        <v>445</v>
      </c>
      <c r="D118">
        <v>5</v>
      </c>
      <c r="E118" t="s">
        <v>121</v>
      </c>
      <c r="F118" s="83" t="e">
        <v>#N/A</v>
      </c>
      <c r="G118" s="82" t="e">
        <v>#N/A</v>
      </c>
      <c r="H118" t="s">
        <v>143</v>
      </c>
    </row>
    <row r="119" spans="1:8" x14ac:dyDescent="0.25">
      <c r="A119" t="s">
        <v>1692</v>
      </c>
      <c r="B119" t="s">
        <v>8</v>
      </c>
      <c r="C119" t="s">
        <v>445</v>
      </c>
      <c r="D119">
        <v>5</v>
      </c>
      <c r="E119" t="s">
        <v>1513</v>
      </c>
      <c r="F119" s="83" t="e">
        <v>#N/A</v>
      </c>
      <c r="G119" s="82" t="e">
        <v>#N/A</v>
      </c>
      <c r="H119" t="s">
        <v>143</v>
      </c>
    </row>
    <row r="120" spans="1:8" x14ac:dyDescent="0.25">
      <c r="A120" t="s">
        <v>1697</v>
      </c>
      <c r="B120" t="s">
        <v>8</v>
      </c>
      <c r="C120" t="s">
        <v>445</v>
      </c>
      <c r="D120">
        <v>5</v>
      </c>
      <c r="E120" t="s">
        <v>1549</v>
      </c>
      <c r="F120" s="83" t="e">
        <v>#N/A</v>
      </c>
      <c r="G120" s="82" t="e">
        <v>#N/A</v>
      </c>
      <c r="H120" t="s">
        <v>143</v>
      </c>
    </row>
    <row r="121" spans="1:8" x14ac:dyDescent="0.25">
      <c r="A121" t="s">
        <v>1699</v>
      </c>
      <c r="B121" t="s">
        <v>8</v>
      </c>
      <c r="C121" t="s">
        <v>445</v>
      </c>
      <c r="D121">
        <v>5</v>
      </c>
      <c r="E121" t="s">
        <v>1527</v>
      </c>
      <c r="F121" s="83" t="e">
        <v>#N/A</v>
      </c>
      <c r="G121" s="82" t="e">
        <v>#N/A</v>
      </c>
      <c r="H121" t="s">
        <v>1460</v>
      </c>
    </row>
    <row r="122" spans="1:8" x14ac:dyDescent="0.25">
      <c r="A122" t="s">
        <v>1700</v>
      </c>
      <c r="B122" t="s">
        <v>8</v>
      </c>
      <c r="C122" t="s">
        <v>445</v>
      </c>
      <c r="D122">
        <v>5</v>
      </c>
      <c r="E122" t="s">
        <v>1519</v>
      </c>
      <c r="F122" s="83" t="e">
        <v>#N/A</v>
      </c>
      <c r="G122" s="82" t="e">
        <v>#N/A</v>
      </c>
      <c r="H122" t="s">
        <v>143</v>
      </c>
    </row>
    <row r="123" spans="1:8" x14ac:dyDescent="0.25">
      <c r="A123" t="s">
        <v>1701</v>
      </c>
      <c r="B123" t="s">
        <v>8</v>
      </c>
      <c r="C123" t="s">
        <v>445</v>
      </c>
      <c r="D123">
        <v>5</v>
      </c>
      <c r="E123" t="s">
        <v>1520</v>
      </c>
      <c r="F123" s="83" t="e">
        <v>#N/A</v>
      </c>
      <c r="G123" s="82" t="e">
        <v>#N/A</v>
      </c>
      <c r="H123" t="s">
        <v>1460</v>
      </c>
    </row>
    <row r="124" spans="1:8" x14ac:dyDescent="0.25">
      <c r="A124" t="s">
        <v>140</v>
      </c>
      <c r="B124" t="s">
        <v>8</v>
      </c>
      <c r="C124" t="s">
        <v>445</v>
      </c>
      <c r="D124">
        <v>5</v>
      </c>
      <c r="E124" t="s">
        <v>124</v>
      </c>
      <c r="F124" s="83">
        <v>74585</v>
      </c>
      <c r="G124" s="82">
        <v>34.9</v>
      </c>
      <c r="H124" t="s">
        <v>144</v>
      </c>
    </row>
    <row r="125" spans="1:8" x14ac:dyDescent="0.25">
      <c r="A125" t="s">
        <v>1807</v>
      </c>
      <c r="B125" t="s">
        <v>8</v>
      </c>
      <c r="C125" t="s">
        <v>445</v>
      </c>
      <c r="D125">
        <v>5</v>
      </c>
      <c r="E125" t="s">
        <v>1560</v>
      </c>
      <c r="F125" s="83" t="e">
        <v>#N/A</v>
      </c>
      <c r="G125" s="82" t="e">
        <v>#N/A</v>
      </c>
      <c r="H125" t="s">
        <v>143</v>
      </c>
    </row>
    <row r="126" spans="1:8" x14ac:dyDescent="0.25">
      <c r="A126" t="s">
        <v>1702</v>
      </c>
      <c r="B126" t="s">
        <v>8</v>
      </c>
      <c r="C126" t="s">
        <v>445</v>
      </c>
      <c r="D126">
        <v>5</v>
      </c>
      <c r="E126" t="s">
        <v>1531</v>
      </c>
      <c r="F126" s="83" t="e">
        <v>#N/A</v>
      </c>
      <c r="G126" s="82" t="e">
        <v>#N/A</v>
      </c>
      <c r="H126" t="s">
        <v>143</v>
      </c>
    </row>
    <row r="127" spans="1:8" x14ac:dyDescent="0.25">
      <c r="A127" t="s">
        <v>1703</v>
      </c>
      <c r="B127" t="s">
        <v>8</v>
      </c>
      <c r="C127" t="s">
        <v>445</v>
      </c>
      <c r="D127">
        <v>5</v>
      </c>
      <c r="E127" t="s">
        <v>121</v>
      </c>
      <c r="F127" s="83" t="e">
        <v>#N/A</v>
      </c>
      <c r="G127" s="82" t="e">
        <v>#N/A</v>
      </c>
      <c r="H127" t="s">
        <v>143</v>
      </c>
    </row>
    <row r="128" spans="1:8" x14ac:dyDescent="0.25">
      <c r="A128" t="s">
        <v>1809</v>
      </c>
      <c r="B128" t="s">
        <v>8</v>
      </c>
      <c r="C128" t="s">
        <v>445</v>
      </c>
      <c r="D128">
        <v>5</v>
      </c>
      <c r="E128" t="s">
        <v>1518</v>
      </c>
      <c r="F128" s="83" t="e">
        <v>#N/A</v>
      </c>
      <c r="G128" s="82" t="e">
        <v>#N/A</v>
      </c>
      <c r="H128" t="s">
        <v>143</v>
      </c>
    </row>
    <row r="129" spans="1:8" x14ac:dyDescent="0.25">
      <c r="A129" t="s">
        <v>1707</v>
      </c>
      <c r="B129" t="s">
        <v>8</v>
      </c>
      <c r="C129" t="s">
        <v>445</v>
      </c>
      <c r="D129">
        <v>5</v>
      </c>
      <c r="E129" t="s">
        <v>417</v>
      </c>
      <c r="F129" s="83" t="e">
        <v>#N/A</v>
      </c>
      <c r="G129" s="82" t="e">
        <v>#N/A</v>
      </c>
      <c r="H129" t="s">
        <v>143</v>
      </c>
    </row>
    <row r="130" spans="1:8" x14ac:dyDescent="0.25">
      <c r="A130" t="s">
        <v>1708</v>
      </c>
      <c r="B130" t="s">
        <v>8</v>
      </c>
      <c r="C130" t="s">
        <v>445</v>
      </c>
      <c r="D130">
        <v>5</v>
      </c>
      <c r="E130" t="s">
        <v>1513</v>
      </c>
      <c r="F130" s="83" t="e">
        <v>#N/A</v>
      </c>
      <c r="G130" s="82" t="e">
        <v>#N/A</v>
      </c>
      <c r="H130" t="s">
        <v>143</v>
      </c>
    </row>
    <row r="131" spans="1:8" x14ac:dyDescent="0.25">
      <c r="A131" t="s">
        <v>1709</v>
      </c>
      <c r="B131" t="s">
        <v>8</v>
      </c>
      <c r="C131" t="s">
        <v>445</v>
      </c>
      <c r="D131">
        <v>5</v>
      </c>
      <c r="E131" t="s">
        <v>1522</v>
      </c>
      <c r="F131" s="83" t="e">
        <v>#N/A</v>
      </c>
      <c r="G131" s="82" t="e">
        <v>#N/A</v>
      </c>
      <c r="H131" t="s">
        <v>143</v>
      </c>
    </row>
    <row r="132" spans="1:8" x14ac:dyDescent="0.25">
      <c r="A132" t="s">
        <v>1710</v>
      </c>
      <c r="B132" t="s">
        <v>8</v>
      </c>
      <c r="C132" t="s">
        <v>445</v>
      </c>
      <c r="D132">
        <v>5</v>
      </c>
      <c r="E132" t="s">
        <v>1522</v>
      </c>
      <c r="F132" s="83" t="e">
        <v>#N/A</v>
      </c>
      <c r="G132" s="82" t="e">
        <v>#N/A</v>
      </c>
      <c r="H132" t="s">
        <v>143</v>
      </c>
    </row>
    <row r="133" spans="1:8" x14ac:dyDescent="0.25">
      <c r="A133" t="s">
        <v>124</v>
      </c>
      <c r="B133" t="s">
        <v>8</v>
      </c>
      <c r="C133" t="s">
        <v>445</v>
      </c>
      <c r="D133">
        <v>5</v>
      </c>
      <c r="E133" t="s">
        <v>124</v>
      </c>
      <c r="F133" s="83">
        <v>508529</v>
      </c>
      <c r="G133" s="82">
        <v>97.9</v>
      </c>
      <c r="H133" t="s">
        <v>144</v>
      </c>
    </row>
    <row r="134" spans="1:8" x14ac:dyDescent="0.25">
      <c r="A134" t="s">
        <v>417</v>
      </c>
      <c r="B134" t="s">
        <v>8</v>
      </c>
      <c r="C134" t="s">
        <v>445</v>
      </c>
      <c r="D134">
        <v>5</v>
      </c>
      <c r="E134" t="s">
        <v>121</v>
      </c>
      <c r="F134" s="83">
        <v>4032</v>
      </c>
      <c r="G134" s="82">
        <v>1.2</v>
      </c>
      <c r="H134" t="s">
        <v>144</v>
      </c>
    </row>
    <row r="135" spans="1:8" x14ac:dyDescent="0.25">
      <c r="A135" t="s">
        <v>1714</v>
      </c>
      <c r="B135" t="s">
        <v>8</v>
      </c>
      <c r="C135" t="s">
        <v>445</v>
      </c>
      <c r="D135">
        <v>5</v>
      </c>
      <c r="E135" t="s">
        <v>121</v>
      </c>
      <c r="F135" s="83" t="e">
        <v>#N/A</v>
      </c>
      <c r="G135" s="82" t="e">
        <v>#N/A</v>
      </c>
      <c r="H135" t="s">
        <v>143</v>
      </c>
    </row>
    <row r="136" spans="1:8" x14ac:dyDescent="0.25">
      <c r="A136" t="s">
        <v>1719</v>
      </c>
      <c r="B136" t="s">
        <v>8</v>
      </c>
      <c r="C136" t="s">
        <v>445</v>
      </c>
      <c r="D136">
        <v>5</v>
      </c>
      <c r="E136" t="s">
        <v>121</v>
      </c>
      <c r="F136" s="83" t="e">
        <v>#N/A</v>
      </c>
      <c r="G136" s="82" t="e">
        <v>#N/A</v>
      </c>
      <c r="H136" t="s">
        <v>143</v>
      </c>
    </row>
    <row r="137" spans="1:8" x14ac:dyDescent="0.25">
      <c r="A137" t="s">
        <v>1720</v>
      </c>
      <c r="B137" t="s">
        <v>8</v>
      </c>
      <c r="C137" t="s">
        <v>445</v>
      </c>
      <c r="D137">
        <v>5</v>
      </c>
      <c r="E137" t="s">
        <v>14</v>
      </c>
      <c r="F137" s="83" t="e">
        <v>#N/A</v>
      </c>
      <c r="G137" s="82" t="e">
        <v>#N/A</v>
      </c>
      <c r="H137" t="s">
        <v>1460</v>
      </c>
    </row>
    <row r="138" spans="1:8" x14ac:dyDescent="0.25">
      <c r="A138" t="s">
        <v>1823</v>
      </c>
      <c r="B138" t="s">
        <v>8</v>
      </c>
      <c r="C138" t="s">
        <v>445</v>
      </c>
      <c r="D138">
        <v>5</v>
      </c>
      <c r="E138" t="s">
        <v>1531</v>
      </c>
      <c r="F138" s="83" t="e">
        <v>#N/A</v>
      </c>
      <c r="G138" s="82" t="e">
        <v>#N/A</v>
      </c>
      <c r="H138" t="s">
        <v>143</v>
      </c>
    </row>
    <row r="139" spans="1:8" x14ac:dyDescent="0.25">
      <c r="A139" t="s">
        <v>1723</v>
      </c>
      <c r="B139" t="s">
        <v>8</v>
      </c>
      <c r="C139" t="s">
        <v>445</v>
      </c>
      <c r="D139">
        <v>5</v>
      </c>
      <c r="E139" t="s">
        <v>1582</v>
      </c>
      <c r="F139" s="83" t="e">
        <v>#N/A</v>
      </c>
      <c r="G139" s="82" t="e">
        <v>#N/A</v>
      </c>
      <c r="H139" t="s">
        <v>1460</v>
      </c>
    </row>
    <row r="140" spans="1:8" x14ac:dyDescent="0.25">
      <c r="A140" t="s">
        <v>416</v>
      </c>
      <c r="B140" t="s">
        <v>8</v>
      </c>
      <c r="C140" t="s">
        <v>445</v>
      </c>
      <c r="D140">
        <v>5</v>
      </c>
      <c r="E140" t="s">
        <v>417</v>
      </c>
      <c r="F140" s="83">
        <v>311178</v>
      </c>
      <c r="G140" s="82">
        <v>61.7</v>
      </c>
      <c r="H140" t="s">
        <v>144</v>
      </c>
    </row>
    <row r="141" spans="1:8" x14ac:dyDescent="0.25">
      <c r="A141" t="s">
        <v>1829</v>
      </c>
      <c r="B141" t="s">
        <v>8</v>
      </c>
      <c r="C141" t="s">
        <v>445</v>
      </c>
      <c r="D141">
        <v>5</v>
      </c>
      <c r="E141" t="s">
        <v>1527</v>
      </c>
      <c r="F141" s="83" t="e">
        <v>#N/A</v>
      </c>
      <c r="G141" s="82" t="e">
        <v>#N/A</v>
      </c>
      <c r="H141" t="s">
        <v>1460</v>
      </c>
    </row>
    <row r="142" spans="1:8" x14ac:dyDescent="0.25">
      <c r="A142" t="s">
        <v>1726</v>
      </c>
      <c r="B142" t="s">
        <v>8</v>
      </c>
      <c r="C142" t="s">
        <v>445</v>
      </c>
      <c r="D142">
        <v>5</v>
      </c>
      <c r="E142" t="s">
        <v>14</v>
      </c>
      <c r="F142" s="83" t="e">
        <v>#N/A</v>
      </c>
      <c r="G142" s="82" t="e">
        <v>#N/A</v>
      </c>
      <c r="H142" t="s">
        <v>1460</v>
      </c>
    </row>
    <row r="143" spans="1:8" x14ac:dyDescent="0.25">
      <c r="A143" t="s">
        <v>1727</v>
      </c>
      <c r="B143" t="s">
        <v>8</v>
      </c>
      <c r="C143" t="s">
        <v>445</v>
      </c>
      <c r="D143">
        <v>5</v>
      </c>
      <c r="E143" t="s">
        <v>14</v>
      </c>
      <c r="F143" s="83" t="e">
        <v>#N/A</v>
      </c>
      <c r="G143" s="82" t="e">
        <v>#N/A</v>
      </c>
      <c r="H143" t="s">
        <v>143</v>
      </c>
    </row>
    <row r="144" spans="1:8" x14ac:dyDescent="0.25">
      <c r="A144" t="s">
        <v>1560</v>
      </c>
      <c r="B144" t="s">
        <v>8</v>
      </c>
      <c r="C144" t="s">
        <v>445</v>
      </c>
      <c r="D144">
        <v>5</v>
      </c>
      <c r="E144" t="s">
        <v>1560</v>
      </c>
      <c r="F144" s="83" t="e">
        <v>#N/A</v>
      </c>
      <c r="G144" s="82" t="e">
        <v>#N/A</v>
      </c>
      <c r="H144" t="s">
        <v>1460</v>
      </c>
    </row>
    <row r="145" spans="1:8" x14ac:dyDescent="0.25">
      <c r="A145" t="s">
        <v>1729</v>
      </c>
      <c r="B145" t="s">
        <v>8</v>
      </c>
      <c r="C145" t="s">
        <v>445</v>
      </c>
      <c r="D145">
        <v>5</v>
      </c>
      <c r="E145" t="s">
        <v>417</v>
      </c>
      <c r="F145" s="83" t="e">
        <v>#N/A</v>
      </c>
      <c r="G145" s="82" t="e">
        <v>#N/A</v>
      </c>
      <c r="H145" t="s">
        <v>143</v>
      </c>
    </row>
    <row r="146" spans="1:8" x14ac:dyDescent="0.25">
      <c r="A146" t="s">
        <v>1519</v>
      </c>
      <c r="B146" t="s">
        <v>8</v>
      </c>
      <c r="C146" t="s">
        <v>445</v>
      </c>
      <c r="D146">
        <v>5</v>
      </c>
      <c r="E146" t="s">
        <v>1519</v>
      </c>
      <c r="F146" s="83" t="e">
        <v>#N/A</v>
      </c>
      <c r="G146" s="82" t="e">
        <v>#N/A</v>
      </c>
      <c r="H146" t="s">
        <v>143</v>
      </c>
    </row>
    <row r="147" spans="1:8" x14ac:dyDescent="0.25">
      <c r="A147" t="s">
        <v>1733</v>
      </c>
      <c r="B147" t="s">
        <v>8</v>
      </c>
      <c r="C147" t="s">
        <v>445</v>
      </c>
      <c r="D147">
        <v>5</v>
      </c>
      <c r="E147" t="s">
        <v>1513</v>
      </c>
      <c r="F147" s="83" t="e">
        <v>#N/A</v>
      </c>
      <c r="G147" s="82" t="e">
        <v>#N/A</v>
      </c>
      <c r="H147" t="s">
        <v>143</v>
      </c>
    </row>
    <row r="148" spans="1:8" x14ac:dyDescent="0.25">
      <c r="A148" t="s">
        <v>1735</v>
      </c>
      <c r="B148" t="s">
        <v>8</v>
      </c>
      <c r="C148" t="s">
        <v>445</v>
      </c>
      <c r="D148">
        <v>5</v>
      </c>
      <c r="E148" t="s">
        <v>1518</v>
      </c>
      <c r="F148" s="83" t="e">
        <v>#N/A</v>
      </c>
      <c r="G148" s="82" t="e">
        <v>#N/A</v>
      </c>
      <c r="H148" t="s">
        <v>143</v>
      </c>
    </row>
    <row r="149" spans="1:8" x14ac:dyDescent="0.25">
      <c r="A149" t="s">
        <v>1739</v>
      </c>
      <c r="B149" t="s">
        <v>8</v>
      </c>
      <c r="C149" t="s">
        <v>445</v>
      </c>
      <c r="D149">
        <v>5</v>
      </c>
      <c r="E149" t="s">
        <v>1519</v>
      </c>
      <c r="F149" s="83" t="e">
        <v>#N/A</v>
      </c>
      <c r="G149" s="82" t="e">
        <v>#N/A</v>
      </c>
      <c r="H149" t="s">
        <v>143</v>
      </c>
    </row>
    <row r="150" spans="1:8" x14ac:dyDescent="0.25">
      <c r="A150" t="s">
        <v>1740</v>
      </c>
      <c r="B150" t="s">
        <v>8</v>
      </c>
      <c r="C150" t="s">
        <v>445</v>
      </c>
      <c r="D150">
        <v>5</v>
      </c>
      <c r="E150" t="s">
        <v>14</v>
      </c>
      <c r="F150" s="83" t="e">
        <v>#N/A</v>
      </c>
      <c r="G150" s="82" t="e">
        <v>#N/A</v>
      </c>
      <c r="H150" t="s">
        <v>143</v>
      </c>
    </row>
    <row r="151" spans="1:8" x14ac:dyDescent="0.25">
      <c r="A151" t="s">
        <v>1741</v>
      </c>
      <c r="B151" t="s">
        <v>8</v>
      </c>
      <c r="C151" t="s">
        <v>445</v>
      </c>
      <c r="D151">
        <v>5</v>
      </c>
      <c r="E151" t="s">
        <v>1513</v>
      </c>
      <c r="F151" s="83" t="e">
        <v>#N/A</v>
      </c>
      <c r="G151" s="82" t="e">
        <v>#N/A</v>
      </c>
      <c r="H151" t="s">
        <v>1460</v>
      </c>
    </row>
    <row r="152" spans="1:8" x14ac:dyDescent="0.25">
      <c r="A152" t="s">
        <v>1834</v>
      </c>
      <c r="B152" t="s">
        <v>8</v>
      </c>
      <c r="C152" t="s">
        <v>445</v>
      </c>
      <c r="D152">
        <v>5</v>
      </c>
      <c r="E152" t="s">
        <v>1586</v>
      </c>
      <c r="F152" s="83" t="e">
        <v>#N/A</v>
      </c>
      <c r="G152" s="82" t="e">
        <v>#N/A</v>
      </c>
      <c r="H152" t="s">
        <v>143</v>
      </c>
    </row>
    <row r="153" spans="1:8" x14ac:dyDescent="0.25">
      <c r="A153" t="s">
        <v>1745</v>
      </c>
      <c r="B153" t="s">
        <v>8</v>
      </c>
      <c r="C153" t="s">
        <v>445</v>
      </c>
      <c r="D153">
        <v>5</v>
      </c>
      <c r="E153" t="s">
        <v>1556</v>
      </c>
      <c r="F153" s="83" t="e">
        <v>#N/A</v>
      </c>
      <c r="G153" s="82" t="e">
        <v>#N/A</v>
      </c>
      <c r="H153" t="s">
        <v>1460</v>
      </c>
    </row>
    <row r="154" spans="1:8" x14ac:dyDescent="0.25">
      <c r="A154" t="s">
        <v>1746</v>
      </c>
      <c r="B154" t="s">
        <v>8</v>
      </c>
      <c r="C154" t="s">
        <v>445</v>
      </c>
      <c r="D154">
        <v>5</v>
      </c>
      <c r="E154" t="s">
        <v>1535</v>
      </c>
      <c r="F154" s="83" t="e">
        <v>#N/A</v>
      </c>
      <c r="G154" s="82" t="e">
        <v>#N/A</v>
      </c>
      <c r="H154" t="s">
        <v>1460</v>
      </c>
    </row>
    <row r="155" spans="1:8" x14ac:dyDescent="0.25">
      <c r="A155" t="s">
        <v>1748</v>
      </c>
      <c r="B155" t="s">
        <v>8</v>
      </c>
      <c r="C155" t="s">
        <v>445</v>
      </c>
      <c r="D155">
        <v>5</v>
      </c>
      <c r="E155" t="s">
        <v>1540</v>
      </c>
      <c r="F155" s="83" t="e">
        <v>#N/A</v>
      </c>
      <c r="G155" s="82" t="e">
        <v>#N/A</v>
      </c>
      <c r="H155" t="s">
        <v>1460</v>
      </c>
    </row>
    <row r="156" spans="1:8" x14ac:dyDescent="0.25">
      <c r="A156" t="s">
        <v>1750</v>
      </c>
      <c r="B156" t="s">
        <v>8</v>
      </c>
      <c r="C156" t="s">
        <v>445</v>
      </c>
      <c r="D156">
        <v>5</v>
      </c>
      <c r="E156" t="s">
        <v>1586</v>
      </c>
      <c r="F156" s="83" t="e">
        <v>#N/A</v>
      </c>
      <c r="G156" s="82" t="e">
        <v>#N/A</v>
      </c>
      <c r="H156" t="s">
        <v>1460</v>
      </c>
    </row>
    <row r="157" spans="1:8" x14ac:dyDescent="0.25">
      <c r="A157" t="s">
        <v>1751</v>
      </c>
      <c r="B157" t="s">
        <v>8</v>
      </c>
      <c r="C157" t="s">
        <v>445</v>
      </c>
      <c r="D157">
        <v>5</v>
      </c>
      <c r="E157" t="s">
        <v>1519</v>
      </c>
      <c r="F157" s="83" t="e">
        <v>#N/A</v>
      </c>
      <c r="G157" s="82" t="e">
        <v>#N/A</v>
      </c>
      <c r="H157" t="s">
        <v>1460</v>
      </c>
    </row>
    <row r="158" spans="1:8" x14ac:dyDescent="0.25">
      <c r="A158" t="s">
        <v>1752</v>
      </c>
      <c r="B158" t="s">
        <v>8</v>
      </c>
      <c r="C158" t="s">
        <v>445</v>
      </c>
      <c r="D158">
        <v>5</v>
      </c>
      <c r="E158" t="s">
        <v>1586</v>
      </c>
      <c r="F158" s="83" t="e">
        <v>#N/A</v>
      </c>
      <c r="G158" s="82" t="e">
        <v>#N/A</v>
      </c>
      <c r="H158" t="s">
        <v>143</v>
      </c>
    </row>
    <row r="159" spans="1:8" x14ac:dyDescent="0.25">
      <c r="A159" t="s">
        <v>1835</v>
      </c>
      <c r="B159" t="s">
        <v>8</v>
      </c>
      <c r="C159" t="s">
        <v>445</v>
      </c>
      <c r="D159">
        <v>5</v>
      </c>
      <c r="E159" t="s">
        <v>1610</v>
      </c>
      <c r="F159" s="83" t="e">
        <v>#N/A</v>
      </c>
      <c r="G159" s="82" t="e">
        <v>#N/A</v>
      </c>
      <c r="H159" t="s">
        <v>143</v>
      </c>
    </row>
    <row r="160" spans="1:8" x14ac:dyDescent="0.25">
      <c r="A160" t="s">
        <v>1485</v>
      </c>
      <c r="B160" t="s">
        <v>5</v>
      </c>
      <c r="C160" t="s">
        <v>445</v>
      </c>
      <c r="D160" s="13">
        <v>5</v>
      </c>
      <c r="E160" s="13" t="s">
        <v>1527</v>
      </c>
      <c r="F160" s="83" t="e">
        <v>#N/A</v>
      </c>
      <c r="G160" s="82" t="e">
        <v>#N/A</v>
      </c>
      <c r="H160" t="s">
        <v>143</v>
      </c>
    </row>
    <row r="161" spans="1:8" x14ac:dyDescent="0.25">
      <c r="A161" t="s">
        <v>1475</v>
      </c>
      <c r="B161" t="s">
        <v>5</v>
      </c>
      <c r="C161" t="s">
        <v>445</v>
      </c>
      <c r="D161" s="13">
        <v>5</v>
      </c>
      <c r="E161" s="13" t="s">
        <v>1553</v>
      </c>
      <c r="F161" s="83" t="e">
        <v>#N/A</v>
      </c>
      <c r="G161" s="82" t="e">
        <v>#N/A</v>
      </c>
      <c r="H161" t="s">
        <v>143</v>
      </c>
    </row>
    <row r="162" spans="1:8" x14ac:dyDescent="0.25">
      <c r="A162" t="s">
        <v>1487</v>
      </c>
      <c r="B162" t="s">
        <v>5</v>
      </c>
      <c r="C162" t="s">
        <v>445</v>
      </c>
      <c r="D162" s="13">
        <v>5</v>
      </c>
      <c r="E162" s="13" t="s">
        <v>1533</v>
      </c>
      <c r="F162" s="83" t="e">
        <v>#N/A</v>
      </c>
      <c r="G162" s="82" t="e">
        <v>#N/A</v>
      </c>
      <c r="H162" t="s">
        <v>143</v>
      </c>
    </row>
    <row r="163" spans="1:8" x14ac:dyDescent="0.25">
      <c r="A163" t="s">
        <v>1474</v>
      </c>
      <c r="B163" t="s">
        <v>5</v>
      </c>
      <c r="C163" t="s">
        <v>445</v>
      </c>
      <c r="D163" s="13">
        <v>5</v>
      </c>
      <c r="E163" s="13" t="s">
        <v>1535</v>
      </c>
      <c r="F163" s="83" t="e">
        <v>#N/A</v>
      </c>
      <c r="G163" s="82" t="e">
        <v>#N/A</v>
      </c>
      <c r="H163" t="s">
        <v>143</v>
      </c>
    </row>
    <row r="164" spans="1:8" x14ac:dyDescent="0.25">
      <c r="A164" t="s">
        <v>1484</v>
      </c>
      <c r="B164" t="s">
        <v>5</v>
      </c>
      <c r="C164" t="s">
        <v>445</v>
      </c>
      <c r="D164" s="13">
        <v>5</v>
      </c>
      <c r="E164" s="13" t="s">
        <v>1549</v>
      </c>
      <c r="F164" s="83" t="e">
        <v>#N/A</v>
      </c>
      <c r="G164" s="82" t="e">
        <v>#N/A</v>
      </c>
      <c r="H164" t="s">
        <v>144</v>
      </c>
    </row>
    <row r="165" spans="1:8" x14ac:dyDescent="0.25">
      <c r="A165" t="s">
        <v>1499</v>
      </c>
      <c r="B165" t="s">
        <v>5</v>
      </c>
      <c r="C165" t="s">
        <v>445</v>
      </c>
      <c r="D165" s="13">
        <v>5</v>
      </c>
      <c r="E165" s="13" t="s">
        <v>121</v>
      </c>
      <c r="F165" s="83" t="e">
        <v>#N/A</v>
      </c>
      <c r="G165" s="82" t="e">
        <v>#N/A</v>
      </c>
      <c r="H165" t="s">
        <v>144</v>
      </c>
    </row>
    <row r="166" spans="1:8" x14ac:dyDescent="0.25">
      <c r="A166" t="s">
        <v>1472</v>
      </c>
      <c r="B166" t="s">
        <v>5</v>
      </c>
      <c r="C166" t="s">
        <v>445</v>
      </c>
      <c r="D166" s="13">
        <v>5</v>
      </c>
      <c r="E166" s="13" t="s">
        <v>1540</v>
      </c>
      <c r="F166" s="83" t="e">
        <v>#N/A</v>
      </c>
      <c r="G166" s="82" t="e">
        <v>#N/A</v>
      </c>
      <c r="H166" t="s">
        <v>1460</v>
      </c>
    </row>
    <row r="167" spans="1:8" x14ac:dyDescent="0.25">
      <c r="A167" t="s">
        <v>1445</v>
      </c>
      <c r="B167" t="s">
        <v>5</v>
      </c>
      <c r="C167" t="s">
        <v>445</v>
      </c>
      <c r="D167" s="13">
        <v>5</v>
      </c>
      <c r="E167" s="13" t="s">
        <v>14</v>
      </c>
      <c r="F167" s="83" t="e">
        <v>#N/A</v>
      </c>
      <c r="G167" s="82" t="e">
        <v>#N/A</v>
      </c>
      <c r="H167" t="s">
        <v>144</v>
      </c>
    </row>
    <row r="168" spans="1:8" x14ac:dyDescent="0.25">
      <c r="A168" t="s">
        <v>1505</v>
      </c>
      <c r="B168" t="s">
        <v>5</v>
      </c>
      <c r="C168" t="s">
        <v>445</v>
      </c>
      <c r="D168" s="13">
        <v>5</v>
      </c>
      <c r="E168" s="13" t="s">
        <v>1537</v>
      </c>
      <c r="F168" s="83" t="e">
        <v>#N/A</v>
      </c>
      <c r="G168" s="82" t="e">
        <v>#N/A</v>
      </c>
      <c r="H168" t="s">
        <v>143</v>
      </c>
    </row>
    <row r="169" spans="1:8" x14ac:dyDescent="0.25">
      <c r="A169" t="s">
        <v>1473</v>
      </c>
      <c r="B169" t="s">
        <v>5</v>
      </c>
      <c r="C169" t="s">
        <v>445</v>
      </c>
      <c r="D169" s="13">
        <v>5</v>
      </c>
      <c r="E169" s="13" t="s">
        <v>1589</v>
      </c>
      <c r="F169" s="83" t="e">
        <v>#N/A</v>
      </c>
      <c r="G169" s="82" t="e">
        <v>#N/A</v>
      </c>
      <c r="H169" t="s">
        <v>143</v>
      </c>
    </row>
    <row r="170" spans="1:8" x14ac:dyDescent="0.25">
      <c r="A170" t="s">
        <v>1498</v>
      </c>
      <c r="B170" t="s">
        <v>5</v>
      </c>
      <c r="C170" t="s">
        <v>445</v>
      </c>
      <c r="D170" s="13">
        <v>5</v>
      </c>
      <c r="E170" s="13" t="s">
        <v>1512</v>
      </c>
      <c r="F170" s="83" t="e">
        <v>#N/A</v>
      </c>
      <c r="G170" s="82" t="e">
        <v>#N/A</v>
      </c>
      <c r="H170" t="s">
        <v>143</v>
      </c>
    </row>
    <row r="171" spans="1:8" x14ac:dyDescent="0.25">
      <c r="A171" t="s">
        <v>1497</v>
      </c>
      <c r="B171" t="s">
        <v>5</v>
      </c>
      <c r="C171" t="s">
        <v>445</v>
      </c>
      <c r="D171" s="13">
        <v>5</v>
      </c>
      <c r="E171" s="13" t="s">
        <v>1557</v>
      </c>
      <c r="F171" s="83" t="e">
        <v>#N/A</v>
      </c>
      <c r="G171" s="82" t="e">
        <v>#N/A</v>
      </c>
      <c r="H171" t="s">
        <v>1460</v>
      </c>
    </row>
    <row r="172" spans="1:8" x14ac:dyDescent="0.25">
      <c r="A172" t="s">
        <v>1496</v>
      </c>
      <c r="B172" t="s">
        <v>5</v>
      </c>
      <c r="C172" t="s">
        <v>445</v>
      </c>
      <c r="D172" s="13">
        <v>5</v>
      </c>
      <c r="E172" s="13" t="s">
        <v>1547</v>
      </c>
      <c r="F172" s="83" t="e">
        <v>#N/A</v>
      </c>
      <c r="G172" s="82" t="e">
        <v>#N/A</v>
      </c>
      <c r="H172" t="s">
        <v>143</v>
      </c>
    </row>
    <row r="173" spans="1:8" x14ac:dyDescent="0.25">
      <c r="A173" t="s">
        <v>1467</v>
      </c>
      <c r="B173" t="s">
        <v>5</v>
      </c>
      <c r="C173" t="s">
        <v>445</v>
      </c>
      <c r="D173" s="13">
        <v>5</v>
      </c>
      <c r="E173" s="13" t="s">
        <v>1511</v>
      </c>
      <c r="F173" s="83" t="e">
        <v>#N/A</v>
      </c>
      <c r="G173" s="82" t="e">
        <v>#N/A</v>
      </c>
      <c r="H173" t="s">
        <v>1460</v>
      </c>
    </row>
    <row r="174" spans="1:8" x14ac:dyDescent="0.25">
      <c r="A174" t="s">
        <v>1479</v>
      </c>
      <c r="B174" t="s">
        <v>5</v>
      </c>
      <c r="C174" t="s">
        <v>445</v>
      </c>
      <c r="D174" s="13">
        <v>5</v>
      </c>
      <c r="E174" s="13" t="s">
        <v>1523</v>
      </c>
      <c r="F174" s="83" t="e">
        <v>#N/A</v>
      </c>
      <c r="G174" s="82" t="e">
        <v>#N/A</v>
      </c>
      <c r="H174" t="s">
        <v>1460</v>
      </c>
    </row>
    <row r="175" spans="1:8" x14ac:dyDescent="0.25">
      <c r="A175" t="s">
        <v>1480</v>
      </c>
      <c r="B175" t="s">
        <v>5</v>
      </c>
      <c r="C175" t="s">
        <v>445</v>
      </c>
      <c r="D175" s="13">
        <v>5</v>
      </c>
      <c r="E175" s="13" t="s">
        <v>1522</v>
      </c>
      <c r="F175" s="83" t="e">
        <v>#N/A</v>
      </c>
      <c r="G175" s="82" t="e">
        <v>#N/A</v>
      </c>
      <c r="H175" t="s">
        <v>144</v>
      </c>
    </row>
    <row r="176" spans="1:8" x14ac:dyDescent="0.25">
      <c r="A176" t="s">
        <v>1470</v>
      </c>
      <c r="B176" t="s">
        <v>5</v>
      </c>
      <c r="C176" t="s">
        <v>445</v>
      </c>
      <c r="D176" s="13">
        <v>5</v>
      </c>
      <c r="E176" s="13" t="s">
        <v>1520</v>
      </c>
      <c r="F176" s="83" t="e">
        <v>#N/A</v>
      </c>
      <c r="G176" s="82" t="e">
        <v>#N/A</v>
      </c>
      <c r="H176" t="s">
        <v>1460</v>
      </c>
    </row>
    <row r="177" spans="1:8" x14ac:dyDescent="0.25">
      <c r="A177" t="s">
        <v>1443</v>
      </c>
      <c r="B177" t="s">
        <v>5</v>
      </c>
      <c r="C177" t="s">
        <v>445</v>
      </c>
      <c r="D177" s="13">
        <v>5</v>
      </c>
      <c r="E177" s="13" t="s">
        <v>124</v>
      </c>
      <c r="F177" s="83" t="e">
        <v>#N/A</v>
      </c>
      <c r="G177" s="82" t="e">
        <v>#N/A</v>
      </c>
      <c r="H177" t="s">
        <v>144</v>
      </c>
    </row>
    <row r="178" spans="1:8" x14ac:dyDescent="0.25">
      <c r="A178" t="s">
        <v>1450</v>
      </c>
      <c r="B178" t="s">
        <v>5</v>
      </c>
      <c r="C178" t="s">
        <v>445</v>
      </c>
      <c r="D178" s="13">
        <v>5</v>
      </c>
      <c r="E178" s="13" t="s">
        <v>417</v>
      </c>
      <c r="F178" s="83" t="e">
        <v>#N/A</v>
      </c>
      <c r="G178" s="82" t="e">
        <v>#N/A</v>
      </c>
      <c r="H178" t="s">
        <v>144</v>
      </c>
    </row>
    <row r="179" spans="1:8" x14ac:dyDescent="0.25">
      <c r="A179" t="s">
        <v>1466</v>
      </c>
      <c r="B179" t="s">
        <v>5</v>
      </c>
      <c r="C179" t="s">
        <v>445</v>
      </c>
      <c r="D179" s="13">
        <v>5</v>
      </c>
      <c r="E179" s="13" t="s">
        <v>1531</v>
      </c>
      <c r="F179" s="83" t="e">
        <v>#N/A</v>
      </c>
      <c r="G179" s="82" t="e">
        <v>#N/A</v>
      </c>
      <c r="H179" t="s">
        <v>143</v>
      </c>
    </row>
    <row r="180" spans="1:8" x14ac:dyDescent="0.25">
      <c r="A180" t="s">
        <v>1477</v>
      </c>
      <c r="B180" t="s">
        <v>5</v>
      </c>
      <c r="C180" t="s">
        <v>445</v>
      </c>
      <c r="D180" s="13">
        <v>5</v>
      </c>
      <c r="E180" s="13" t="s">
        <v>1517</v>
      </c>
      <c r="F180" s="83" t="e">
        <v>#N/A</v>
      </c>
      <c r="G180" s="82" t="e">
        <v>#N/A</v>
      </c>
      <c r="H180" t="s">
        <v>1460</v>
      </c>
    </row>
    <row r="181" spans="1:8" x14ac:dyDescent="0.25">
      <c r="A181" t="s">
        <v>1495</v>
      </c>
      <c r="B181" t="s">
        <v>5</v>
      </c>
      <c r="C181" t="s">
        <v>445</v>
      </c>
      <c r="D181" s="13">
        <v>5</v>
      </c>
      <c r="E181" s="13" t="s">
        <v>1513</v>
      </c>
      <c r="F181" s="83" t="e">
        <v>#N/A</v>
      </c>
      <c r="G181" s="82" t="e">
        <v>#N/A</v>
      </c>
      <c r="H181" t="s">
        <v>143</v>
      </c>
    </row>
    <row r="182" spans="1:8" x14ac:dyDescent="0.25">
      <c r="A182" t="s">
        <v>1476</v>
      </c>
      <c r="B182" t="s">
        <v>5</v>
      </c>
      <c r="C182" t="s">
        <v>445</v>
      </c>
      <c r="D182" s="13">
        <v>5</v>
      </c>
      <c r="E182" s="13" t="s">
        <v>1610</v>
      </c>
      <c r="F182" s="83" t="e">
        <v>#N/A</v>
      </c>
      <c r="G182" s="82" t="e">
        <v>#N/A</v>
      </c>
      <c r="H182" t="s">
        <v>143</v>
      </c>
    </row>
    <row r="183" spans="1:8" x14ac:dyDescent="0.25">
      <c r="A183" t="s">
        <v>1469</v>
      </c>
      <c r="B183" t="s">
        <v>5</v>
      </c>
      <c r="C183" t="s">
        <v>445</v>
      </c>
      <c r="D183" s="13">
        <v>5</v>
      </c>
      <c r="E183" s="13" t="s">
        <v>1560</v>
      </c>
      <c r="F183" s="83" t="e">
        <v>#N/A</v>
      </c>
      <c r="G183" s="82" t="e">
        <v>#N/A</v>
      </c>
      <c r="H183" t="s">
        <v>1460</v>
      </c>
    </row>
    <row r="184" spans="1:8" x14ac:dyDescent="0.25">
      <c r="A184" t="s">
        <v>1504</v>
      </c>
      <c r="B184" t="s">
        <v>5</v>
      </c>
      <c r="C184" t="s">
        <v>445</v>
      </c>
      <c r="D184" s="13">
        <v>5</v>
      </c>
      <c r="E184" s="13" t="s">
        <v>1519</v>
      </c>
      <c r="F184" s="83" t="e">
        <v>#N/A</v>
      </c>
      <c r="G184" s="82" t="e">
        <v>#N/A</v>
      </c>
      <c r="H184" t="s">
        <v>143</v>
      </c>
    </row>
    <row r="185" spans="1:8" x14ac:dyDescent="0.25">
      <c r="A185" t="s">
        <v>1488</v>
      </c>
      <c r="B185" t="s">
        <v>5</v>
      </c>
      <c r="C185" t="s">
        <v>445</v>
      </c>
      <c r="D185" s="13">
        <v>5</v>
      </c>
      <c r="E185" s="13" t="s">
        <v>1582</v>
      </c>
      <c r="F185" s="83" t="e">
        <v>#N/A</v>
      </c>
      <c r="G185" s="82" t="e">
        <v>#N/A</v>
      </c>
      <c r="H185" t="s">
        <v>1460</v>
      </c>
    </row>
    <row r="186" spans="1:8" x14ac:dyDescent="0.25">
      <c r="A186" t="s">
        <v>1482</v>
      </c>
      <c r="B186" t="s">
        <v>5</v>
      </c>
      <c r="C186" t="s">
        <v>445</v>
      </c>
      <c r="D186" s="13">
        <v>5</v>
      </c>
      <c r="E186" s="13" t="s">
        <v>1586</v>
      </c>
      <c r="F186" s="83" t="e">
        <v>#N/A</v>
      </c>
      <c r="G186" s="82" t="e">
        <v>#N/A</v>
      </c>
      <c r="H186" t="s">
        <v>143</v>
      </c>
    </row>
    <row r="187" spans="1:8" x14ac:dyDescent="0.25">
      <c r="A187" t="s">
        <v>1478</v>
      </c>
      <c r="B187" t="s">
        <v>5</v>
      </c>
      <c r="C187" t="s">
        <v>445</v>
      </c>
      <c r="D187" s="13">
        <v>5</v>
      </c>
      <c r="E187" s="13" t="s">
        <v>1556</v>
      </c>
      <c r="F187" s="83" t="e">
        <v>#N/A</v>
      </c>
      <c r="G187" s="82" t="e">
        <v>#N/A</v>
      </c>
      <c r="H187" t="s">
        <v>143</v>
      </c>
    </row>
    <row r="188" spans="1:8" x14ac:dyDescent="0.25">
      <c r="A188" s="44" t="s">
        <v>1439</v>
      </c>
      <c r="B188" t="s">
        <v>122</v>
      </c>
      <c r="C188" t="s">
        <v>445</v>
      </c>
      <c r="D188">
        <v>5</v>
      </c>
      <c r="E188" t="s">
        <v>121</v>
      </c>
      <c r="F188" s="83" t="e">
        <v>#N/A</v>
      </c>
      <c r="G188" s="82" t="e">
        <v>#N/A</v>
      </c>
      <c r="H188" t="s">
        <v>144</v>
      </c>
    </row>
    <row r="189" spans="1:8" x14ac:dyDescent="0.25">
      <c r="A189" t="s">
        <v>1554</v>
      </c>
      <c r="B189" t="s">
        <v>8</v>
      </c>
      <c r="C189" t="s">
        <v>1459</v>
      </c>
      <c r="D189">
        <v>7</v>
      </c>
      <c r="E189" t="s">
        <v>19</v>
      </c>
      <c r="F189" s="83" t="e">
        <v>#N/A</v>
      </c>
      <c r="G189" s="82" t="e">
        <v>#N/A</v>
      </c>
      <c r="H189" t="s">
        <v>144</v>
      </c>
    </row>
    <row r="190" spans="1:8" x14ac:dyDescent="0.25">
      <c r="A190" t="s">
        <v>1567</v>
      </c>
      <c r="B190" t="s">
        <v>8</v>
      </c>
      <c r="C190" t="s">
        <v>1459</v>
      </c>
      <c r="D190">
        <v>7</v>
      </c>
      <c r="E190" t="s">
        <v>19</v>
      </c>
      <c r="F190" s="83" t="e">
        <v>#N/A</v>
      </c>
      <c r="G190" s="82" t="e">
        <v>#N/A</v>
      </c>
      <c r="H190" t="s">
        <v>144</v>
      </c>
    </row>
    <row r="191" spans="1:8" x14ac:dyDescent="0.25">
      <c r="A191" t="s">
        <v>1568</v>
      </c>
      <c r="B191" t="s">
        <v>8</v>
      </c>
      <c r="C191" t="s">
        <v>1459</v>
      </c>
      <c r="D191">
        <v>7</v>
      </c>
      <c r="E191" t="s">
        <v>1455</v>
      </c>
      <c r="F191" s="83" t="e">
        <v>#N/A</v>
      </c>
      <c r="G191" s="82" t="e">
        <v>#N/A</v>
      </c>
      <c r="H191" t="s">
        <v>143</v>
      </c>
    </row>
    <row r="192" spans="1:8" x14ac:dyDescent="0.25">
      <c r="A192" t="s">
        <v>1574</v>
      </c>
      <c r="B192" t="s">
        <v>8</v>
      </c>
      <c r="C192" t="s">
        <v>1459</v>
      </c>
      <c r="D192">
        <v>7</v>
      </c>
      <c r="E192" t="s">
        <v>1455</v>
      </c>
      <c r="F192" s="83" t="e">
        <v>#N/A</v>
      </c>
      <c r="G192" s="82" t="e">
        <v>#N/A</v>
      </c>
      <c r="H192" t="s">
        <v>143</v>
      </c>
    </row>
    <row r="193" spans="1:8" x14ac:dyDescent="0.25">
      <c r="A193" t="s">
        <v>1575</v>
      </c>
      <c r="B193" t="s">
        <v>8</v>
      </c>
      <c r="C193" t="s">
        <v>1459</v>
      </c>
      <c r="D193">
        <v>7</v>
      </c>
      <c r="E193" t="s">
        <v>1455</v>
      </c>
      <c r="F193" s="83" t="e">
        <v>#N/A</v>
      </c>
      <c r="G193" s="82" t="e">
        <v>#N/A</v>
      </c>
      <c r="H193" t="s">
        <v>1460</v>
      </c>
    </row>
    <row r="194" spans="1:8" x14ac:dyDescent="0.25">
      <c r="A194" t="s">
        <v>1770</v>
      </c>
      <c r="B194" t="s">
        <v>8</v>
      </c>
      <c r="C194" t="s">
        <v>1459</v>
      </c>
      <c r="D194">
        <v>7</v>
      </c>
      <c r="E194" t="s">
        <v>19</v>
      </c>
      <c r="F194" s="83" t="e">
        <v>#N/A</v>
      </c>
      <c r="G194" s="82" t="e">
        <v>#N/A</v>
      </c>
      <c r="H194" t="s">
        <v>144</v>
      </c>
    </row>
    <row r="195" spans="1:8" x14ac:dyDescent="0.25">
      <c r="A195" t="s">
        <v>1591</v>
      </c>
      <c r="B195" t="s">
        <v>8</v>
      </c>
      <c r="C195" t="s">
        <v>1459</v>
      </c>
      <c r="D195">
        <v>7</v>
      </c>
      <c r="E195" t="s">
        <v>19</v>
      </c>
      <c r="F195" s="83" t="e">
        <v>#N/A</v>
      </c>
      <c r="G195" s="82" t="e">
        <v>#N/A</v>
      </c>
      <c r="H195" t="s">
        <v>144</v>
      </c>
    </row>
    <row r="196" spans="1:8" x14ac:dyDescent="0.25">
      <c r="A196" t="s">
        <v>1775</v>
      </c>
      <c r="B196" t="s">
        <v>8</v>
      </c>
      <c r="C196" t="s">
        <v>1459</v>
      </c>
      <c r="D196">
        <v>7</v>
      </c>
      <c r="E196" t="s">
        <v>19</v>
      </c>
      <c r="F196" s="83" t="e">
        <v>#N/A</v>
      </c>
      <c r="G196" s="82" t="e">
        <v>#N/A</v>
      </c>
      <c r="H196" t="s">
        <v>144</v>
      </c>
    </row>
    <row r="197" spans="1:8" x14ac:dyDescent="0.25">
      <c r="A197" t="s">
        <v>16</v>
      </c>
      <c r="B197" t="s">
        <v>8</v>
      </c>
      <c r="C197" t="s">
        <v>1459</v>
      </c>
      <c r="D197">
        <v>7</v>
      </c>
      <c r="E197" t="s">
        <v>1455</v>
      </c>
      <c r="F197" s="83">
        <v>44120</v>
      </c>
      <c r="G197" s="82">
        <v>11.2</v>
      </c>
      <c r="H197" t="s">
        <v>143</v>
      </c>
    </row>
    <row r="198" spans="1:8" x14ac:dyDescent="0.25">
      <c r="A198" t="s">
        <v>1639</v>
      </c>
      <c r="B198" t="s">
        <v>8</v>
      </c>
      <c r="C198" t="s">
        <v>1459</v>
      </c>
      <c r="D198">
        <v>7</v>
      </c>
      <c r="E198" t="s">
        <v>1455</v>
      </c>
      <c r="F198" s="83" t="e">
        <v>#N/A</v>
      </c>
      <c r="G198" s="82" t="e">
        <v>#N/A</v>
      </c>
      <c r="H198" t="s">
        <v>1460</v>
      </c>
    </row>
    <row r="199" spans="1:8" x14ac:dyDescent="0.25">
      <c r="A199" t="s">
        <v>1455</v>
      </c>
      <c r="B199" t="s">
        <v>8</v>
      </c>
      <c r="C199" t="s">
        <v>1459</v>
      </c>
      <c r="D199">
        <v>7</v>
      </c>
      <c r="E199" t="s">
        <v>1455</v>
      </c>
      <c r="F199" s="83" t="e">
        <v>#N/A</v>
      </c>
      <c r="G199" s="82" t="e">
        <v>#N/A</v>
      </c>
      <c r="H199" t="s">
        <v>143</v>
      </c>
    </row>
    <row r="200" spans="1:8" x14ac:dyDescent="0.25">
      <c r="A200" t="s">
        <v>1784</v>
      </c>
      <c r="B200" t="s">
        <v>8</v>
      </c>
      <c r="C200" t="s">
        <v>1459</v>
      </c>
      <c r="D200">
        <v>7</v>
      </c>
      <c r="E200" t="s">
        <v>19</v>
      </c>
      <c r="F200" s="83" t="e">
        <v>#N/A</v>
      </c>
      <c r="G200" s="82" t="e">
        <v>#N/A</v>
      </c>
      <c r="H200" t="s">
        <v>144</v>
      </c>
    </row>
    <row r="201" spans="1:8" x14ac:dyDescent="0.25">
      <c r="A201" t="s">
        <v>1642</v>
      </c>
      <c r="B201" t="s">
        <v>8</v>
      </c>
      <c r="C201" t="s">
        <v>1459</v>
      </c>
      <c r="D201">
        <v>7</v>
      </c>
      <c r="E201" t="s">
        <v>19</v>
      </c>
      <c r="F201" s="83" t="e">
        <v>#N/A</v>
      </c>
      <c r="G201" s="82" t="e">
        <v>#N/A</v>
      </c>
      <c r="H201" t="s">
        <v>144</v>
      </c>
    </row>
    <row r="202" spans="1:8" x14ac:dyDescent="0.25">
      <c r="A202" t="s">
        <v>1648</v>
      </c>
      <c r="B202" t="s">
        <v>8</v>
      </c>
      <c r="C202" t="s">
        <v>1459</v>
      </c>
      <c r="D202">
        <v>7</v>
      </c>
      <c r="E202" t="s">
        <v>19</v>
      </c>
      <c r="F202" s="83" t="e">
        <v>#N/A</v>
      </c>
      <c r="G202" s="82" t="e">
        <v>#N/A</v>
      </c>
      <c r="H202" t="s">
        <v>144</v>
      </c>
    </row>
    <row r="203" spans="1:8" x14ac:dyDescent="0.25">
      <c r="A203" t="s">
        <v>1678</v>
      </c>
      <c r="B203" t="s">
        <v>8</v>
      </c>
      <c r="C203" t="s">
        <v>1459</v>
      </c>
      <c r="D203">
        <v>7</v>
      </c>
      <c r="E203" t="s">
        <v>20</v>
      </c>
      <c r="F203" s="83" t="e">
        <v>#N/A</v>
      </c>
      <c r="G203" s="82" t="e">
        <v>#N/A</v>
      </c>
      <c r="H203" t="s">
        <v>1460</v>
      </c>
    </row>
    <row r="204" spans="1:8" x14ac:dyDescent="0.25">
      <c r="A204" t="s">
        <v>1800</v>
      </c>
      <c r="B204" t="s">
        <v>8</v>
      </c>
      <c r="C204" t="s">
        <v>1459</v>
      </c>
      <c r="D204">
        <v>7</v>
      </c>
      <c r="E204" t="s">
        <v>19</v>
      </c>
      <c r="F204" s="83" t="e">
        <v>#N/A</v>
      </c>
      <c r="G204" s="82" t="e">
        <v>#N/A</v>
      </c>
      <c r="H204" t="s">
        <v>144</v>
      </c>
    </row>
    <row r="205" spans="1:8" x14ac:dyDescent="0.25">
      <c r="A205" t="s">
        <v>1801</v>
      </c>
      <c r="B205" t="s">
        <v>8</v>
      </c>
      <c r="C205" t="s">
        <v>1459</v>
      </c>
      <c r="D205">
        <v>7</v>
      </c>
      <c r="E205" t="s">
        <v>19</v>
      </c>
      <c r="F205" s="83" t="e">
        <v>#N/A</v>
      </c>
      <c r="G205" s="82" t="e">
        <v>#N/A</v>
      </c>
      <c r="H205" t="s">
        <v>144</v>
      </c>
    </row>
    <row r="206" spans="1:8" x14ac:dyDescent="0.25">
      <c r="A206" t="s">
        <v>1806</v>
      </c>
      <c r="B206" t="s">
        <v>8</v>
      </c>
      <c r="C206" t="s">
        <v>1459</v>
      </c>
      <c r="D206">
        <v>7</v>
      </c>
      <c r="E206" t="s">
        <v>19</v>
      </c>
      <c r="F206" s="83" t="e">
        <v>#N/A</v>
      </c>
      <c r="G206" s="82" t="e">
        <v>#N/A</v>
      </c>
      <c r="H206" t="s">
        <v>144</v>
      </c>
    </row>
    <row r="207" spans="1:8" x14ac:dyDescent="0.25">
      <c r="A207" t="s">
        <v>1830</v>
      </c>
      <c r="B207" t="s">
        <v>8</v>
      </c>
      <c r="C207" t="s">
        <v>1459</v>
      </c>
      <c r="D207">
        <v>7</v>
      </c>
      <c r="E207" t="s">
        <v>20</v>
      </c>
      <c r="F207" s="83" t="e">
        <v>#N/A</v>
      </c>
      <c r="G207" s="82" t="e">
        <v>#N/A</v>
      </c>
      <c r="H207" t="s">
        <v>1460</v>
      </c>
    </row>
    <row r="208" spans="1:8" x14ac:dyDescent="0.25">
      <c r="A208" t="s">
        <v>1744</v>
      </c>
      <c r="B208" t="s">
        <v>8</v>
      </c>
      <c r="C208" t="s">
        <v>1459</v>
      </c>
      <c r="D208">
        <v>7</v>
      </c>
      <c r="E208" t="s">
        <v>1455</v>
      </c>
      <c r="F208" s="83" t="e">
        <v>#N/A</v>
      </c>
      <c r="G208" s="82" t="e">
        <v>#N/A</v>
      </c>
      <c r="H208" t="s">
        <v>1460</v>
      </c>
    </row>
    <row r="209" spans="1:8" x14ac:dyDescent="0.25">
      <c r="A209" t="s">
        <v>1762</v>
      </c>
      <c r="B209" t="s">
        <v>8</v>
      </c>
      <c r="C209" t="s">
        <v>1459</v>
      </c>
      <c r="D209">
        <v>7</v>
      </c>
      <c r="E209" t="s">
        <v>20</v>
      </c>
      <c r="F209" s="83" t="e">
        <v>#N/A</v>
      </c>
      <c r="G209" s="82" t="e">
        <v>#N/A</v>
      </c>
      <c r="H209" t="s">
        <v>1460</v>
      </c>
    </row>
    <row r="210" spans="1:8" x14ac:dyDescent="0.25">
      <c r="A210" t="s">
        <v>1508</v>
      </c>
      <c r="B210" t="s">
        <v>5</v>
      </c>
      <c r="C210" t="s">
        <v>1459</v>
      </c>
      <c r="D210" s="13">
        <v>7</v>
      </c>
      <c r="E210" s="13" t="s">
        <v>1455</v>
      </c>
      <c r="F210" s="83" t="e">
        <v>#N/A</v>
      </c>
      <c r="G210" s="82" t="e">
        <v>#N/A</v>
      </c>
      <c r="H210" t="s">
        <v>143</v>
      </c>
    </row>
    <row r="211" spans="1:8" x14ac:dyDescent="0.25">
      <c r="A211" t="s">
        <v>1510</v>
      </c>
      <c r="B211" t="s">
        <v>8</v>
      </c>
      <c r="C211" t="s">
        <v>1458</v>
      </c>
      <c r="D211">
        <v>6</v>
      </c>
      <c r="E211" t="s">
        <v>20</v>
      </c>
      <c r="F211" s="83" t="e">
        <v>#N/A</v>
      </c>
      <c r="G211" s="82" t="e">
        <v>#N/A</v>
      </c>
      <c r="H211" t="s">
        <v>1460</v>
      </c>
    </row>
    <row r="212" spans="1:8" x14ac:dyDescent="0.25">
      <c r="A212" t="s">
        <v>1765</v>
      </c>
      <c r="B212" t="s">
        <v>8</v>
      </c>
      <c r="C212" t="s">
        <v>1458</v>
      </c>
      <c r="D212">
        <v>6</v>
      </c>
      <c r="E212" t="s">
        <v>20</v>
      </c>
      <c r="F212" s="83" t="e">
        <v>#N/A</v>
      </c>
      <c r="G212" s="82" t="e">
        <v>#N/A</v>
      </c>
      <c r="H212" t="s">
        <v>1460</v>
      </c>
    </row>
    <row r="213" spans="1:8" x14ac:dyDescent="0.25">
      <c r="A213" t="s">
        <v>1555</v>
      </c>
      <c r="B213" t="s">
        <v>8</v>
      </c>
      <c r="C213" t="s">
        <v>1458</v>
      </c>
      <c r="D213">
        <v>6</v>
      </c>
      <c r="E213" t="s">
        <v>20</v>
      </c>
      <c r="F213" s="83" t="e">
        <v>#N/A</v>
      </c>
      <c r="G213" s="82" t="e">
        <v>#N/A</v>
      </c>
      <c r="H213" t="s">
        <v>143</v>
      </c>
    </row>
    <row r="214" spans="1:8" x14ac:dyDescent="0.25">
      <c r="A214" t="s">
        <v>1566</v>
      </c>
      <c r="B214" t="s">
        <v>8</v>
      </c>
      <c r="C214" t="s">
        <v>1458</v>
      </c>
      <c r="D214">
        <v>6</v>
      </c>
      <c r="E214" t="s">
        <v>1564</v>
      </c>
      <c r="F214" s="83" t="e">
        <v>#N/A</v>
      </c>
      <c r="G214" s="82" t="e">
        <v>#N/A</v>
      </c>
      <c r="H214" t="s">
        <v>1460</v>
      </c>
    </row>
    <row r="215" spans="1:8" x14ac:dyDescent="0.25">
      <c r="A215" t="s">
        <v>1769</v>
      </c>
      <c r="B215" t="s">
        <v>8</v>
      </c>
      <c r="C215" t="s">
        <v>1458</v>
      </c>
      <c r="D215">
        <v>6</v>
      </c>
      <c r="E215" t="s">
        <v>14</v>
      </c>
      <c r="F215" s="83" t="e">
        <v>#N/A</v>
      </c>
      <c r="G215" s="82" t="e">
        <v>#N/A</v>
      </c>
      <c r="H215" t="s">
        <v>1460</v>
      </c>
    </row>
    <row r="216" spans="1:8" x14ac:dyDescent="0.25">
      <c r="A216" t="s">
        <v>1636</v>
      </c>
      <c r="B216" t="s">
        <v>8</v>
      </c>
      <c r="C216" t="s">
        <v>1458</v>
      </c>
      <c r="D216">
        <v>6</v>
      </c>
      <c r="E216" t="s">
        <v>20</v>
      </c>
      <c r="F216" s="83" t="e">
        <v>#N/A</v>
      </c>
      <c r="G216" s="82" t="e">
        <v>#N/A</v>
      </c>
      <c r="H216" t="s">
        <v>143</v>
      </c>
    </row>
    <row r="217" spans="1:8" x14ac:dyDescent="0.25">
      <c r="A217" t="s">
        <v>1651</v>
      </c>
      <c r="B217" t="s">
        <v>8</v>
      </c>
      <c r="C217" t="s">
        <v>1458</v>
      </c>
      <c r="D217">
        <v>6</v>
      </c>
      <c r="E217" t="s">
        <v>12</v>
      </c>
      <c r="F217" s="83" t="e">
        <v>#N/A</v>
      </c>
      <c r="G217" s="82" t="e">
        <v>#N/A</v>
      </c>
      <c r="H217" t="s">
        <v>1460</v>
      </c>
    </row>
    <row r="218" spans="1:8" x14ac:dyDescent="0.25">
      <c r="A218" t="s">
        <v>1789</v>
      </c>
      <c r="B218" t="s">
        <v>8</v>
      </c>
      <c r="C218" t="s">
        <v>1458</v>
      </c>
      <c r="D218">
        <v>6</v>
      </c>
      <c r="E218" t="s">
        <v>1542</v>
      </c>
      <c r="F218" s="83" t="e">
        <v>#N/A</v>
      </c>
      <c r="G218" s="82" t="e">
        <v>#N/A</v>
      </c>
      <c r="H218" t="s">
        <v>1460</v>
      </c>
    </row>
    <row r="219" spans="1:8" x14ac:dyDescent="0.25">
      <c r="A219" t="s">
        <v>1689</v>
      </c>
      <c r="B219" t="s">
        <v>8</v>
      </c>
      <c r="C219" t="s">
        <v>1458</v>
      </c>
      <c r="D219">
        <v>6</v>
      </c>
      <c r="E219" t="s">
        <v>12</v>
      </c>
      <c r="F219" s="83" t="e">
        <v>#N/A</v>
      </c>
      <c r="G219" s="82" t="e">
        <v>#N/A</v>
      </c>
      <c r="H219" t="s">
        <v>1460</v>
      </c>
    </row>
    <row r="220" spans="1:8" x14ac:dyDescent="0.25">
      <c r="A220" t="s">
        <v>1705</v>
      </c>
      <c r="B220" t="s">
        <v>8</v>
      </c>
      <c r="C220" t="s">
        <v>1458</v>
      </c>
      <c r="D220">
        <v>6</v>
      </c>
      <c r="E220" t="s">
        <v>14</v>
      </c>
      <c r="F220" s="83" t="e">
        <v>#N/A</v>
      </c>
      <c r="G220" s="82" t="e">
        <v>#N/A</v>
      </c>
      <c r="H220" t="s">
        <v>1460</v>
      </c>
    </row>
    <row r="221" spans="1:8" x14ac:dyDescent="0.25">
      <c r="A221" t="s">
        <v>1825</v>
      </c>
      <c r="B221" t="s">
        <v>8</v>
      </c>
      <c r="C221" t="s">
        <v>1458</v>
      </c>
      <c r="D221">
        <v>6</v>
      </c>
      <c r="E221" t="s">
        <v>1549</v>
      </c>
      <c r="F221" s="83" t="e">
        <v>#N/A</v>
      </c>
      <c r="G221" s="82" t="e">
        <v>#N/A</v>
      </c>
      <c r="H221" t="s">
        <v>144</v>
      </c>
    </row>
    <row r="222" spans="1:8" x14ac:dyDescent="0.25">
      <c r="A222" t="s">
        <v>1725</v>
      </c>
      <c r="B222" t="s">
        <v>8</v>
      </c>
      <c r="C222" t="s">
        <v>1458</v>
      </c>
      <c r="D222">
        <v>6</v>
      </c>
      <c r="E222" t="s">
        <v>1563</v>
      </c>
      <c r="F222" s="83" t="e">
        <v>#N/A</v>
      </c>
      <c r="G222" s="82" t="e">
        <v>#N/A</v>
      </c>
      <c r="H222" t="s">
        <v>143</v>
      </c>
    </row>
    <row r="223" spans="1:8" x14ac:dyDescent="0.25">
      <c r="A223" t="s">
        <v>1731</v>
      </c>
      <c r="B223" t="s">
        <v>8</v>
      </c>
      <c r="C223" t="s">
        <v>1458</v>
      </c>
      <c r="D223">
        <v>6</v>
      </c>
      <c r="E223" t="s">
        <v>1523</v>
      </c>
      <c r="F223" s="83" t="e">
        <v>#N/A</v>
      </c>
      <c r="G223" s="82" t="e">
        <v>#N/A</v>
      </c>
      <c r="H223" t="s">
        <v>1460</v>
      </c>
    </row>
    <row r="224" spans="1:8" x14ac:dyDescent="0.25">
      <c r="A224" t="s">
        <v>1738</v>
      </c>
      <c r="B224" t="s">
        <v>8</v>
      </c>
      <c r="C224" t="s">
        <v>1458</v>
      </c>
      <c r="D224">
        <v>6</v>
      </c>
      <c r="E224" t="s">
        <v>20</v>
      </c>
      <c r="F224" s="83" t="e">
        <v>#N/A</v>
      </c>
      <c r="G224" s="82" t="e">
        <v>#N/A</v>
      </c>
      <c r="H224" t="s">
        <v>143</v>
      </c>
    </row>
    <row r="225" spans="1:8" x14ac:dyDescent="0.25">
      <c r="A225" t="s">
        <v>1486</v>
      </c>
      <c r="B225" t="s">
        <v>5</v>
      </c>
      <c r="C225" t="s">
        <v>1458</v>
      </c>
      <c r="D225" s="13">
        <v>6</v>
      </c>
      <c r="E225" s="13" t="s">
        <v>1521</v>
      </c>
      <c r="F225" s="83" t="e">
        <v>#N/A</v>
      </c>
      <c r="G225" s="82" t="e">
        <v>#N/A</v>
      </c>
      <c r="H225" t="s">
        <v>1460</v>
      </c>
    </row>
    <row r="226" spans="1:8" x14ac:dyDescent="0.25">
      <c r="A226" t="s">
        <v>1500</v>
      </c>
      <c r="B226" t="s">
        <v>5</v>
      </c>
      <c r="C226" t="s">
        <v>1458</v>
      </c>
      <c r="D226" s="13">
        <v>6</v>
      </c>
      <c r="E226" s="13" t="s">
        <v>1564</v>
      </c>
      <c r="F226" s="83" t="e">
        <v>#N/A</v>
      </c>
      <c r="G226" s="82" t="e">
        <v>#N/A</v>
      </c>
      <c r="H226" t="s">
        <v>1460</v>
      </c>
    </row>
    <row r="227" spans="1:8" x14ac:dyDescent="0.25">
      <c r="A227" t="s">
        <v>1468</v>
      </c>
      <c r="B227" t="s">
        <v>5</v>
      </c>
      <c r="C227" t="s">
        <v>1458</v>
      </c>
      <c r="D227" s="13">
        <v>6</v>
      </c>
      <c r="E227" s="13" t="s">
        <v>1563</v>
      </c>
      <c r="F227" s="83" t="e">
        <v>#N/A</v>
      </c>
      <c r="G227" s="82" t="e">
        <v>#N/A</v>
      </c>
      <c r="H227" t="s">
        <v>1460</v>
      </c>
    </row>
    <row r="228" spans="1:8" x14ac:dyDescent="0.25">
      <c r="A228" t="s">
        <v>1489</v>
      </c>
      <c r="B228" t="s">
        <v>5</v>
      </c>
      <c r="C228" t="s">
        <v>1458</v>
      </c>
      <c r="D228" s="13">
        <v>6</v>
      </c>
      <c r="E228" s="13" t="s">
        <v>1542</v>
      </c>
      <c r="F228" s="83" t="e">
        <v>#N/A</v>
      </c>
      <c r="G228" s="82" t="e">
        <v>#N/A</v>
      </c>
      <c r="H228" t="s">
        <v>1460</v>
      </c>
    </row>
    <row r="229" spans="1:8" x14ac:dyDescent="0.25">
      <c r="A229" t="s">
        <v>145</v>
      </c>
      <c r="B229" t="s">
        <v>8</v>
      </c>
      <c r="C229" t="s">
        <v>12</v>
      </c>
      <c r="D229">
        <v>4</v>
      </c>
      <c r="E229" t="s">
        <v>12</v>
      </c>
      <c r="F229" s="83">
        <v>20472</v>
      </c>
      <c r="G229" s="82">
        <v>7.8</v>
      </c>
      <c r="H229" t="s">
        <v>144</v>
      </c>
    </row>
    <row r="230" spans="1:8" x14ac:dyDescent="0.25">
      <c r="A230" t="s">
        <v>187</v>
      </c>
      <c r="B230" t="s">
        <v>8</v>
      </c>
      <c r="C230" t="s">
        <v>12</v>
      </c>
      <c r="D230">
        <v>4</v>
      </c>
      <c r="E230" t="s">
        <v>12</v>
      </c>
      <c r="F230" s="83">
        <v>84649</v>
      </c>
      <c r="G230" s="82">
        <v>7.6</v>
      </c>
      <c r="H230" t="s">
        <v>144</v>
      </c>
    </row>
    <row r="231" spans="1:8" x14ac:dyDescent="0.25">
      <c r="A231" t="s">
        <v>179</v>
      </c>
      <c r="B231" t="s">
        <v>8</v>
      </c>
      <c r="C231" t="s">
        <v>12</v>
      </c>
      <c r="D231">
        <v>4</v>
      </c>
      <c r="E231" t="s">
        <v>12</v>
      </c>
      <c r="F231" s="83">
        <v>58610</v>
      </c>
      <c r="G231" s="82">
        <v>10.9</v>
      </c>
      <c r="H231" t="s">
        <v>144</v>
      </c>
    </row>
    <row r="232" spans="1:8" x14ac:dyDescent="0.25">
      <c r="A232" t="s">
        <v>166</v>
      </c>
      <c r="B232" t="s">
        <v>8</v>
      </c>
      <c r="C232" t="s">
        <v>12</v>
      </c>
      <c r="D232">
        <v>4</v>
      </c>
      <c r="E232" t="s">
        <v>12</v>
      </c>
      <c r="F232" s="83">
        <v>16750</v>
      </c>
      <c r="G232" s="82">
        <v>1.6</v>
      </c>
      <c r="H232" t="s">
        <v>144</v>
      </c>
    </row>
    <row r="233" spans="1:8" x14ac:dyDescent="0.25">
      <c r="A233" t="s">
        <v>1550</v>
      </c>
      <c r="B233" t="s">
        <v>8</v>
      </c>
      <c r="C233" t="s">
        <v>12</v>
      </c>
      <c r="D233">
        <v>4</v>
      </c>
      <c r="E233" t="s">
        <v>12</v>
      </c>
      <c r="F233" s="83" t="e">
        <v>#N/A</v>
      </c>
      <c r="G233" s="82" t="e">
        <v>#N/A</v>
      </c>
      <c r="H233" t="s">
        <v>143</v>
      </c>
    </row>
    <row r="234" spans="1:8" x14ac:dyDescent="0.25">
      <c r="A234" t="s">
        <v>180</v>
      </c>
      <c r="B234" t="s">
        <v>8</v>
      </c>
      <c r="C234" t="s">
        <v>12</v>
      </c>
      <c r="D234">
        <v>4</v>
      </c>
      <c r="E234" t="s">
        <v>12</v>
      </c>
      <c r="F234" s="83">
        <v>49958</v>
      </c>
      <c r="G234" s="82">
        <v>9.6999999999999993</v>
      </c>
      <c r="H234" t="s">
        <v>144</v>
      </c>
    </row>
    <row r="235" spans="1:8" x14ac:dyDescent="0.25">
      <c r="A235" t="s">
        <v>200</v>
      </c>
      <c r="B235" t="s">
        <v>8</v>
      </c>
      <c r="C235" t="s">
        <v>12</v>
      </c>
      <c r="D235">
        <v>4</v>
      </c>
      <c r="E235" t="s">
        <v>12</v>
      </c>
      <c r="F235" s="83">
        <v>75813</v>
      </c>
      <c r="G235" s="82">
        <v>6.6</v>
      </c>
      <c r="H235" t="s">
        <v>144</v>
      </c>
    </row>
    <row r="236" spans="1:8" x14ac:dyDescent="0.25">
      <c r="A236" t="s">
        <v>159</v>
      </c>
      <c r="B236" t="s">
        <v>8</v>
      </c>
      <c r="C236" t="s">
        <v>12</v>
      </c>
      <c r="D236">
        <v>4</v>
      </c>
      <c r="E236" t="s">
        <v>12</v>
      </c>
      <c r="F236" s="83">
        <v>35728</v>
      </c>
      <c r="G236" s="82">
        <v>2.5</v>
      </c>
      <c r="H236" t="s">
        <v>144</v>
      </c>
    </row>
    <row r="237" spans="1:8" x14ac:dyDescent="0.25">
      <c r="A237" t="s">
        <v>1767</v>
      </c>
      <c r="B237" t="s">
        <v>8</v>
      </c>
      <c r="C237" t="s">
        <v>12</v>
      </c>
      <c r="D237">
        <v>4</v>
      </c>
      <c r="E237" t="s">
        <v>12</v>
      </c>
      <c r="F237" s="83" t="e">
        <v>#N/A</v>
      </c>
      <c r="G237" s="82" t="e">
        <v>#N/A</v>
      </c>
      <c r="H237" t="s">
        <v>144</v>
      </c>
    </row>
    <row r="238" spans="1:8" x14ac:dyDescent="0.25">
      <c r="A238" t="s">
        <v>160</v>
      </c>
      <c r="B238" t="s">
        <v>8</v>
      </c>
      <c r="C238" t="s">
        <v>12</v>
      </c>
      <c r="D238">
        <v>4</v>
      </c>
      <c r="E238" t="s">
        <v>12</v>
      </c>
      <c r="F238" s="83">
        <v>77131</v>
      </c>
      <c r="G238" s="82">
        <v>6.1</v>
      </c>
      <c r="H238" t="s">
        <v>144</v>
      </c>
    </row>
    <row r="239" spans="1:8" x14ac:dyDescent="0.25">
      <c r="A239" t="s">
        <v>218</v>
      </c>
      <c r="B239" t="s">
        <v>8</v>
      </c>
      <c r="C239" t="s">
        <v>12</v>
      </c>
      <c r="D239">
        <v>4</v>
      </c>
      <c r="E239" t="s">
        <v>12</v>
      </c>
      <c r="F239" s="83">
        <v>34183</v>
      </c>
      <c r="G239" s="82">
        <v>5.7</v>
      </c>
      <c r="H239" t="s">
        <v>144</v>
      </c>
    </row>
    <row r="240" spans="1:8" x14ac:dyDescent="0.25">
      <c r="A240" t="s">
        <v>181</v>
      </c>
      <c r="B240" t="s">
        <v>8</v>
      </c>
      <c r="C240" t="s">
        <v>12</v>
      </c>
      <c r="D240">
        <v>4</v>
      </c>
      <c r="E240" t="s">
        <v>12</v>
      </c>
      <c r="F240" s="83">
        <v>1084</v>
      </c>
      <c r="G240" s="82">
        <v>2</v>
      </c>
      <c r="H240" t="s">
        <v>144</v>
      </c>
    </row>
    <row r="241" spans="1:8" x14ac:dyDescent="0.25">
      <c r="A241" t="s">
        <v>188</v>
      </c>
      <c r="B241" t="s">
        <v>8</v>
      </c>
      <c r="C241" t="s">
        <v>12</v>
      </c>
      <c r="D241">
        <v>4</v>
      </c>
      <c r="E241" t="s">
        <v>12</v>
      </c>
      <c r="F241" s="83">
        <v>103695</v>
      </c>
      <c r="G241" s="82">
        <v>17.399999999999999</v>
      </c>
      <c r="H241" t="s">
        <v>144</v>
      </c>
    </row>
    <row r="242" spans="1:8" x14ac:dyDescent="0.25">
      <c r="A242" t="s">
        <v>172</v>
      </c>
      <c r="B242" t="s">
        <v>8</v>
      </c>
      <c r="C242" t="s">
        <v>12</v>
      </c>
      <c r="D242">
        <v>4</v>
      </c>
      <c r="E242" t="s">
        <v>12</v>
      </c>
      <c r="F242" s="83">
        <v>23954</v>
      </c>
      <c r="G242" s="82">
        <v>13.7</v>
      </c>
      <c r="H242" t="s">
        <v>144</v>
      </c>
    </row>
    <row r="243" spans="1:8" x14ac:dyDescent="0.25">
      <c r="A243" t="s">
        <v>253</v>
      </c>
      <c r="B243" t="s">
        <v>8</v>
      </c>
      <c r="C243" t="s">
        <v>12</v>
      </c>
      <c r="D243">
        <v>4</v>
      </c>
      <c r="E243" t="s">
        <v>13</v>
      </c>
      <c r="F243" s="83">
        <v>69127</v>
      </c>
      <c r="G243" s="82">
        <v>19.7</v>
      </c>
      <c r="H243" t="s">
        <v>144</v>
      </c>
    </row>
    <row r="244" spans="1:8" x14ac:dyDescent="0.25">
      <c r="A244" t="s">
        <v>221</v>
      </c>
      <c r="B244" t="s">
        <v>8</v>
      </c>
      <c r="C244" t="s">
        <v>12</v>
      </c>
      <c r="D244">
        <v>4</v>
      </c>
      <c r="E244" t="s">
        <v>12</v>
      </c>
      <c r="F244" s="83">
        <v>91909</v>
      </c>
      <c r="G244" s="82">
        <v>18.7</v>
      </c>
      <c r="H244" t="s">
        <v>144</v>
      </c>
    </row>
    <row r="245" spans="1:8" x14ac:dyDescent="0.25">
      <c r="A245" t="s">
        <v>161</v>
      </c>
      <c r="B245" t="s">
        <v>8</v>
      </c>
      <c r="C245" t="s">
        <v>12</v>
      </c>
      <c r="D245">
        <v>4</v>
      </c>
      <c r="E245" t="s">
        <v>12</v>
      </c>
      <c r="F245" s="83">
        <v>50462</v>
      </c>
      <c r="G245" s="82">
        <v>8.6999999999999993</v>
      </c>
      <c r="H245" t="s">
        <v>144</v>
      </c>
    </row>
    <row r="246" spans="1:8" x14ac:dyDescent="0.25">
      <c r="A246" t="s">
        <v>152</v>
      </c>
      <c r="B246" t="s">
        <v>8</v>
      </c>
      <c r="C246" t="s">
        <v>12</v>
      </c>
      <c r="D246">
        <v>4</v>
      </c>
      <c r="E246" t="s">
        <v>12</v>
      </c>
      <c r="F246" s="83">
        <v>36478</v>
      </c>
      <c r="G246" s="82">
        <v>13.4</v>
      </c>
      <c r="H246" t="s">
        <v>144</v>
      </c>
    </row>
    <row r="247" spans="1:8" x14ac:dyDescent="0.25">
      <c r="A247" t="s">
        <v>1595</v>
      </c>
      <c r="B247" t="s">
        <v>8</v>
      </c>
      <c r="C247" t="s">
        <v>12</v>
      </c>
      <c r="D247">
        <v>4</v>
      </c>
      <c r="E247" t="s">
        <v>12</v>
      </c>
      <c r="F247" s="83" t="e">
        <v>#N/A</v>
      </c>
      <c r="G247" s="82" t="e">
        <v>#N/A</v>
      </c>
      <c r="H247" t="s">
        <v>144</v>
      </c>
    </row>
    <row r="248" spans="1:8" x14ac:dyDescent="0.25">
      <c r="A248" t="s">
        <v>150</v>
      </c>
      <c r="B248" t="s">
        <v>8</v>
      </c>
      <c r="C248" t="s">
        <v>12</v>
      </c>
      <c r="D248">
        <v>4</v>
      </c>
      <c r="E248" t="s">
        <v>12</v>
      </c>
      <c r="F248" s="83">
        <v>96617</v>
      </c>
      <c r="G248" s="82">
        <v>10</v>
      </c>
      <c r="H248" t="s">
        <v>144</v>
      </c>
    </row>
    <row r="249" spans="1:8" x14ac:dyDescent="0.25">
      <c r="A249" t="s">
        <v>201</v>
      </c>
      <c r="B249" t="s">
        <v>8</v>
      </c>
      <c r="C249" t="s">
        <v>12</v>
      </c>
      <c r="D249">
        <v>4</v>
      </c>
      <c r="E249" t="s">
        <v>12</v>
      </c>
      <c r="F249" s="83">
        <v>47963</v>
      </c>
      <c r="G249" s="82">
        <v>7</v>
      </c>
      <c r="H249" t="s">
        <v>144</v>
      </c>
    </row>
    <row r="250" spans="1:8" x14ac:dyDescent="0.25">
      <c r="A250" t="s">
        <v>1600</v>
      </c>
      <c r="B250" t="s">
        <v>8</v>
      </c>
      <c r="C250" t="s">
        <v>12</v>
      </c>
      <c r="D250">
        <v>4</v>
      </c>
      <c r="E250" t="s">
        <v>12</v>
      </c>
      <c r="F250" s="83" t="e">
        <v>#N/A</v>
      </c>
      <c r="G250" s="82" t="e">
        <v>#N/A</v>
      </c>
      <c r="H250" t="s">
        <v>144</v>
      </c>
    </row>
    <row r="251" spans="1:8" x14ac:dyDescent="0.25">
      <c r="A251" t="s">
        <v>430</v>
      </c>
      <c r="B251" t="s">
        <v>8</v>
      </c>
      <c r="C251" t="s">
        <v>12</v>
      </c>
      <c r="D251">
        <v>4</v>
      </c>
      <c r="E251" t="s">
        <v>12</v>
      </c>
      <c r="F251" s="83">
        <v>39214</v>
      </c>
      <c r="G251" s="82">
        <v>5.0999999999999996</v>
      </c>
      <c r="H251" t="s">
        <v>144</v>
      </c>
    </row>
    <row r="252" spans="1:8" x14ac:dyDescent="0.25">
      <c r="A252" t="s">
        <v>167</v>
      </c>
      <c r="B252" t="s">
        <v>8</v>
      </c>
      <c r="C252" t="s">
        <v>12</v>
      </c>
      <c r="D252">
        <v>4</v>
      </c>
      <c r="E252" t="s">
        <v>12</v>
      </c>
      <c r="F252" s="83">
        <v>56275</v>
      </c>
      <c r="G252" s="82">
        <v>14.9</v>
      </c>
      <c r="H252" t="s">
        <v>144</v>
      </c>
    </row>
    <row r="253" spans="1:8" x14ac:dyDescent="0.25">
      <c r="A253" t="s">
        <v>162</v>
      </c>
      <c r="B253" t="s">
        <v>8</v>
      </c>
      <c r="C253" t="s">
        <v>12</v>
      </c>
      <c r="D253">
        <v>4</v>
      </c>
      <c r="E253" t="s">
        <v>12</v>
      </c>
      <c r="F253" s="83">
        <v>112269</v>
      </c>
      <c r="G253" s="82">
        <v>12.4</v>
      </c>
      <c r="H253" t="s">
        <v>144</v>
      </c>
    </row>
    <row r="254" spans="1:8" x14ac:dyDescent="0.25">
      <c r="A254" t="s">
        <v>182</v>
      </c>
      <c r="B254" t="s">
        <v>8</v>
      </c>
      <c r="C254" t="s">
        <v>12</v>
      </c>
      <c r="D254">
        <v>4</v>
      </c>
      <c r="E254" t="s">
        <v>12</v>
      </c>
      <c r="F254" s="83">
        <v>21527</v>
      </c>
      <c r="G254" s="82">
        <v>6.7</v>
      </c>
      <c r="H254" t="s">
        <v>144</v>
      </c>
    </row>
    <row r="255" spans="1:8" x14ac:dyDescent="0.25">
      <c r="A255" t="s">
        <v>9</v>
      </c>
      <c r="B255" t="s">
        <v>8</v>
      </c>
      <c r="C255" t="s">
        <v>12</v>
      </c>
      <c r="D255">
        <v>4</v>
      </c>
      <c r="E255" t="s">
        <v>12</v>
      </c>
      <c r="F255" s="83">
        <v>115586</v>
      </c>
      <c r="G255" s="82">
        <v>9.6</v>
      </c>
      <c r="H255" t="s">
        <v>144</v>
      </c>
    </row>
    <row r="256" spans="1:8" x14ac:dyDescent="0.25">
      <c r="A256" t="s">
        <v>10</v>
      </c>
      <c r="B256" t="s">
        <v>8</v>
      </c>
      <c r="C256" t="s">
        <v>12</v>
      </c>
      <c r="D256">
        <v>4</v>
      </c>
      <c r="E256" t="s">
        <v>12</v>
      </c>
      <c r="F256" s="83">
        <v>16719</v>
      </c>
      <c r="G256" s="82">
        <v>5.5</v>
      </c>
      <c r="H256" t="s">
        <v>144</v>
      </c>
    </row>
    <row r="257" spans="1:8" x14ac:dyDescent="0.25">
      <c r="A257" t="s">
        <v>254</v>
      </c>
      <c r="B257" t="s">
        <v>8</v>
      </c>
      <c r="C257" t="s">
        <v>12</v>
      </c>
      <c r="D257">
        <v>4</v>
      </c>
      <c r="E257" t="s">
        <v>13</v>
      </c>
      <c r="F257" s="83">
        <v>15809</v>
      </c>
      <c r="G257" s="82">
        <v>3.4</v>
      </c>
      <c r="H257" t="s">
        <v>144</v>
      </c>
    </row>
    <row r="258" spans="1:8" x14ac:dyDescent="0.25">
      <c r="A258" t="s">
        <v>155</v>
      </c>
      <c r="B258" t="s">
        <v>8</v>
      </c>
      <c r="C258" t="s">
        <v>12</v>
      </c>
      <c r="D258">
        <v>4</v>
      </c>
      <c r="E258" t="s">
        <v>12</v>
      </c>
      <c r="F258" s="83">
        <v>59721</v>
      </c>
      <c r="G258" s="82">
        <v>5.8</v>
      </c>
      <c r="H258" t="s">
        <v>144</v>
      </c>
    </row>
    <row r="259" spans="1:8" x14ac:dyDescent="0.25">
      <c r="A259" t="s">
        <v>189</v>
      </c>
      <c r="B259" t="s">
        <v>8</v>
      </c>
      <c r="C259" t="s">
        <v>12</v>
      </c>
      <c r="D259">
        <v>4</v>
      </c>
      <c r="E259" t="s">
        <v>12</v>
      </c>
      <c r="F259" s="83">
        <v>201361</v>
      </c>
      <c r="G259" s="82">
        <v>30.4</v>
      </c>
      <c r="H259" t="s">
        <v>144</v>
      </c>
    </row>
    <row r="260" spans="1:8" x14ac:dyDescent="0.25">
      <c r="A260" t="s">
        <v>202</v>
      </c>
      <c r="B260" t="s">
        <v>8</v>
      </c>
      <c r="C260" t="s">
        <v>12</v>
      </c>
      <c r="D260">
        <v>4</v>
      </c>
      <c r="E260" t="s">
        <v>12</v>
      </c>
      <c r="F260" s="83">
        <v>52002</v>
      </c>
      <c r="G260" s="82">
        <v>19.399999999999999</v>
      </c>
      <c r="H260" t="s">
        <v>144</v>
      </c>
    </row>
    <row r="261" spans="1:8" x14ac:dyDescent="0.25">
      <c r="A261" t="s">
        <v>168</v>
      </c>
      <c r="B261" t="s">
        <v>8</v>
      </c>
      <c r="C261" t="s">
        <v>12</v>
      </c>
      <c r="D261">
        <v>4</v>
      </c>
      <c r="E261" t="s">
        <v>12</v>
      </c>
      <c r="F261" s="83">
        <v>14315</v>
      </c>
      <c r="G261" s="82">
        <v>0.9</v>
      </c>
      <c r="H261" t="s">
        <v>144</v>
      </c>
    </row>
    <row r="262" spans="1:8" x14ac:dyDescent="0.25">
      <c r="A262" t="s">
        <v>222</v>
      </c>
      <c r="B262" t="s">
        <v>8</v>
      </c>
      <c r="C262" t="s">
        <v>12</v>
      </c>
      <c r="D262">
        <v>4</v>
      </c>
      <c r="E262" t="s">
        <v>12</v>
      </c>
      <c r="F262" s="83">
        <v>86965</v>
      </c>
      <c r="G262" s="82">
        <v>6.1</v>
      </c>
      <c r="H262" t="s">
        <v>144</v>
      </c>
    </row>
    <row r="263" spans="1:8" x14ac:dyDescent="0.25">
      <c r="A263" t="s">
        <v>146</v>
      </c>
      <c r="B263" t="s">
        <v>8</v>
      </c>
      <c r="C263" t="s">
        <v>12</v>
      </c>
      <c r="D263">
        <v>4</v>
      </c>
      <c r="E263" t="s">
        <v>12</v>
      </c>
      <c r="F263" s="83">
        <v>19465</v>
      </c>
      <c r="G263" s="82">
        <v>1.4</v>
      </c>
      <c r="H263" t="s">
        <v>144</v>
      </c>
    </row>
    <row r="264" spans="1:8" x14ac:dyDescent="0.25">
      <c r="A264" t="s">
        <v>173</v>
      </c>
      <c r="B264" t="s">
        <v>8</v>
      </c>
      <c r="C264" t="s">
        <v>12</v>
      </c>
      <c r="D264">
        <v>4</v>
      </c>
      <c r="E264" t="s">
        <v>12</v>
      </c>
      <c r="F264" s="83">
        <v>1898</v>
      </c>
      <c r="G264" s="82">
        <v>1.7</v>
      </c>
      <c r="H264" t="s">
        <v>144</v>
      </c>
    </row>
    <row r="265" spans="1:8" x14ac:dyDescent="0.25">
      <c r="A265" t="s">
        <v>1783</v>
      </c>
      <c r="B265" t="s">
        <v>8</v>
      </c>
      <c r="C265" t="s">
        <v>12</v>
      </c>
      <c r="D265">
        <v>4</v>
      </c>
      <c r="E265" t="s">
        <v>12</v>
      </c>
      <c r="F265" s="83" t="e">
        <v>#N/A</v>
      </c>
      <c r="G265" s="82" t="e">
        <v>#N/A</v>
      </c>
      <c r="H265" t="s">
        <v>144</v>
      </c>
    </row>
    <row r="266" spans="1:8" x14ac:dyDescent="0.25">
      <c r="A266" t="s">
        <v>203</v>
      </c>
      <c r="B266" t="s">
        <v>8</v>
      </c>
      <c r="C266" t="s">
        <v>12</v>
      </c>
      <c r="D266">
        <v>4</v>
      </c>
      <c r="E266" t="s">
        <v>12</v>
      </c>
      <c r="F266" s="83">
        <v>202</v>
      </c>
      <c r="G266" s="82">
        <v>11.8</v>
      </c>
      <c r="H266" t="s">
        <v>144</v>
      </c>
    </row>
    <row r="267" spans="1:8" x14ac:dyDescent="0.25">
      <c r="A267" t="s">
        <v>223</v>
      </c>
      <c r="B267" t="s">
        <v>8</v>
      </c>
      <c r="C267" t="s">
        <v>12</v>
      </c>
      <c r="D267">
        <v>4</v>
      </c>
      <c r="E267" t="s">
        <v>12</v>
      </c>
      <c r="F267" s="83">
        <v>109419</v>
      </c>
      <c r="G267" s="82">
        <v>9.1</v>
      </c>
      <c r="H267" t="s">
        <v>144</v>
      </c>
    </row>
    <row r="268" spans="1:8" x14ac:dyDescent="0.25">
      <c r="A268" t="s">
        <v>156</v>
      </c>
      <c r="B268" t="s">
        <v>8</v>
      </c>
      <c r="C268" t="s">
        <v>12</v>
      </c>
      <c r="D268">
        <v>4</v>
      </c>
      <c r="E268" t="s">
        <v>12</v>
      </c>
      <c r="F268" s="83">
        <v>1463</v>
      </c>
      <c r="G268" s="82">
        <v>8.8000000000000007</v>
      </c>
      <c r="H268" t="s">
        <v>144</v>
      </c>
    </row>
    <row r="269" spans="1:8" x14ac:dyDescent="0.25">
      <c r="A269" t="s">
        <v>190</v>
      </c>
      <c r="B269" t="s">
        <v>8</v>
      </c>
      <c r="C269" t="s">
        <v>12</v>
      </c>
      <c r="D269">
        <v>4</v>
      </c>
      <c r="E269" t="s">
        <v>12</v>
      </c>
      <c r="F269" s="83">
        <v>20227</v>
      </c>
      <c r="G269" s="82">
        <v>8.6</v>
      </c>
      <c r="H269" t="s">
        <v>144</v>
      </c>
    </row>
    <row r="270" spans="1:8" x14ac:dyDescent="0.25">
      <c r="A270" t="s">
        <v>157</v>
      </c>
      <c r="B270" t="s">
        <v>8</v>
      </c>
      <c r="C270" t="s">
        <v>12</v>
      </c>
      <c r="D270">
        <v>4</v>
      </c>
      <c r="E270" t="s">
        <v>12</v>
      </c>
      <c r="F270" s="83">
        <v>5353</v>
      </c>
      <c r="G270" s="82">
        <v>6.2</v>
      </c>
      <c r="H270" t="s">
        <v>144</v>
      </c>
    </row>
    <row r="271" spans="1:8" x14ac:dyDescent="0.25">
      <c r="A271" t="s">
        <v>165</v>
      </c>
      <c r="B271" t="s">
        <v>8</v>
      </c>
      <c r="C271" t="s">
        <v>12</v>
      </c>
      <c r="D271">
        <v>4</v>
      </c>
      <c r="E271" t="s">
        <v>12</v>
      </c>
      <c r="F271" s="83">
        <v>48683</v>
      </c>
      <c r="G271" s="82">
        <v>7.8</v>
      </c>
      <c r="H271" t="s">
        <v>144</v>
      </c>
    </row>
    <row r="272" spans="1:8" x14ac:dyDescent="0.25">
      <c r="A272" t="s">
        <v>204</v>
      </c>
      <c r="B272" t="s">
        <v>8</v>
      </c>
      <c r="C272" t="s">
        <v>12</v>
      </c>
      <c r="D272">
        <v>4</v>
      </c>
      <c r="E272" t="s">
        <v>12</v>
      </c>
      <c r="F272" s="83">
        <v>39908</v>
      </c>
      <c r="G272" s="82">
        <v>3.5</v>
      </c>
      <c r="H272" t="s">
        <v>144</v>
      </c>
    </row>
    <row r="273" spans="1:8" x14ac:dyDescent="0.25">
      <c r="A273" t="s">
        <v>151</v>
      </c>
      <c r="B273" t="s">
        <v>8</v>
      </c>
      <c r="C273" t="s">
        <v>12</v>
      </c>
      <c r="D273">
        <v>4</v>
      </c>
      <c r="E273" t="s">
        <v>12</v>
      </c>
      <c r="F273" s="83">
        <v>32206</v>
      </c>
      <c r="G273" s="82">
        <v>8.4</v>
      </c>
      <c r="H273" t="s">
        <v>144</v>
      </c>
    </row>
    <row r="274" spans="1:8" x14ac:dyDescent="0.25">
      <c r="A274" t="s">
        <v>163</v>
      </c>
      <c r="B274" t="s">
        <v>8</v>
      </c>
      <c r="C274" t="s">
        <v>12</v>
      </c>
      <c r="D274">
        <v>4</v>
      </c>
      <c r="E274" t="s">
        <v>12</v>
      </c>
      <c r="F274" s="83">
        <v>80140</v>
      </c>
      <c r="G274" s="82">
        <v>9.4</v>
      </c>
      <c r="H274" t="s">
        <v>144</v>
      </c>
    </row>
    <row r="275" spans="1:8" x14ac:dyDescent="0.25">
      <c r="A275" t="s">
        <v>224</v>
      </c>
      <c r="B275" t="s">
        <v>8</v>
      </c>
      <c r="C275" t="s">
        <v>12</v>
      </c>
      <c r="D275">
        <v>4</v>
      </c>
      <c r="E275" t="s">
        <v>12</v>
      </c>
      <c r="F275" s="83">
        <v>32754</v>
      </c>
      <c r="G275" s="82">
        <v>2</v>
      </c>
      <c r="H275" t="s">
        <v>144</v>
      </c>
    </row>
    <row r="276" spans="1:8" x14ac:dyDescent="0.25">
      <c r="A276" t="s">
        <v>225</v>
      </c>
      <c r="B276" t="s">
        <v>8</v>
      </c>
      <c r="C276" t="s">
        <v>12</v>
      </c>
      <c r="D276">
        <v>4</v>
      </c>
      <c r="E276" t="s">
        <v>12</v>
      </c>
      <c r="F276" s="83">
        <v>20521</v>
      </c>
      <c r="G276" s="82">
        <v>1.9</v>
      </c>
      <c r="H276" t="s">
        <v>144</v>
      </c>
    </row>
    <row r="277" spans="1:8" x14ac:dyDescent="0.25">
      <c r="A277" t="s">
        <v>158</v>
      </c>
      <c r="B277" t="s">
        <v>8</v>
      </c>
      <c r="C277" t="s">
        <v>12</v>
      </c>
      <c r="D277">
        <v>4</v>
      </c>
      <c r="E277" t="s">
        <v>12</v>
      </c>
      <c r="F277" s="83">
        <v>467354</v>
      </c>
      <c r="G277" s="82">
        <v>50.3</v>
      </c>
      <c r="H277" t="s">
        <v>144</v>
      </c>
    </row>
    <row r="278" spans="1:8" x14ac:dyDescent="0.25">
      <c r="A278" t="s">
        <v>12</v>
      </c>
      <c r="B278" t="s">
        <v>8</v>
      </c>
      <c r="C278" t="s">
        <v>12</v>
      </c>
      <c r="D278">
        <v>4</v>
      </c>
      <c r="E278" t="s">
        <v>12</v>
      </c>
      <c r="F278" s="83">
        <v>3990456</v>
      </c>
      <c r="G278" s="82">
        <v>468.7</v>
      </c>
      <c r="H278" t="s">
        <v>144</v>
      </c>
    </row>
    <row r="279" spans="1:8" x14ac:dyDescent="0.25">
      <c r="A279" t="s">
        <v>1664</v>
      </c>
      <c r="B279" t="s">
        <v>8</v>
      </c>
      <c r="C279" t="s">
        <v>12</v>
      </c>
      <c r="D279">
        <v>4</v>
      </c>
      <c r="E279" t="s">
        <v>12</v>
      </c>
      <c r="F279" s="83" t="e">
        <v>#N/A</v>
      </c>
      <c r="G279" s="82" t="e">
        <v>#N/A</v>
      </c>
      <c r="H279" t="s">
        <v>144</v>
      </c>
    </row>
    <row r="280" spans="1:8" x14ac:dyDescent="0.25">
      <c r="A280" t="s">
        <v>175</v>
      </c>
      <c r="B280" t="s">
        <v>8</v>
      </c>
      <c r="C280" t="s">
        <v>12</v>
      </c>
      <c r="D280">
        <v>4</v>
      </c>
      <c r="E280" t="s">
        <v>12</v>
      </c>
      <c r="F280" s="83">
        <v>12777</v>
      </c>
      <c r="G280" s="82">
        <v>19.8</v>
      </c>
      <c r="H280" t="s">
        <v>144</v>
      </c>
    </row>
    <row r="281" spans="1:8" x14ac:dyDescent="0.25">
      <c r="A281" t="s">
        <v>147</v>
      </c>
      <c r="B281" t="s">
        <v>8</v>
      </c>
      <c r="C281" t="s">
        <v>12</v>
      </c>
      <c r="D281">
        <v>4</v>
      </c>
      <c r="E281" t="s">
        <v>12</v>
      </c>
      <c r="F281" s="83">
        <v>35532</v>
      </c>
      <c r="G281" s="82">
        <v>3.9</v>
      </c>
      <c r="H281" t="s">
        <v>144</v>
      </c>
    </row>
    <row r="282" spans="1:8" x14ac:dyDescent="0.25">
      <c r="A282" t="s">
        <v>1670</v>
      </c>
      <c r="B282" t="s">
        <v>8</v>
      </c>
      <c r="C282" t="s">
        <v>12</v>
      </c>
      <c r="D282">
        <v>4</v>
      </c>
      <c r="E282" t="s">
        <v>12</v>
      </c>
      <c r="F282" s="83" t="e">
        <v>#N/A</v>
      </c>
      <c r="G282" s="82" t="e">
        <v>#N/A</v>
      </c>
      <c r="H282" t="s">
        <v>144</v>
      </c>
    </row>
    <row r="283" spans="1:8" x14ac:dyDescent="0.25">
      <c r="A283" t="s">
        <v>183</v>
      </c>
      <c r="B283" t="s">
        <v>8</v>
      </c>
      <c r="C283" t="s">
        <v>12</v>
      </c>
      <c r="D283">
        <v>4</v>
      </c>
      <c r="E283" t="s">
        <v>12</v>
      </c>
      <c r="F283" s="83">
        <v>36715</v>
      </c>
      <c r="G283" s="82">
        <v>13.6</v>
      </c>
      <c r="H283" t="s">
        <v>144</v>
      </c>
    </row>
    <row r="284" spans="1:8" x14ac:dyDescent="0.25">
      <c r="A284" t="s">
        <v>191</v>
      </c>
      <c r="B284" t="s">
        <v>8</v>
      </c>
      <c r="C284" t="s">
        <v>12</v>
      </c>
      <c r="D284">
        <v>4</v>
      </c>
      <c r="E284" t="s">
        <v>12</v>
      </c>
      <c r="F284" s="83">
        <v>62632</v>
      </c>
      <c r="G284" s="82">
        <v>8.3000000000000007</v>
      </c>
      <c r="H284" t="s">
        <v>144</v>
      </c>
    </row>
    <row r="285" spans="1:8" x14ac:dyDescent="0.25">
      <c r="A285" t="s">
        <v>192</v>
      </c>
      <c r="B285" t="s">
        <v>8</v>
      </c>
      <c r="C285" t="s">
        <v>12</v>
      </c>
      <c r="D285">
        <v>4</v>
      </c>
      <c r="E285" t="s">
        <v>12</v>
      </c>
      <c r="F285" s="83">
        <v>60401</v>
      </c>
      <c r="G285" s="82">
        <v>7.7</v>
      </c>
      <c r="H285" t="s">
        <v>144</v>
      </c>
    </row>
    <row r="286" spans="1:8" x14ac:dyDescent="0.25">
      <c r="A286" t="s">
        <v>255</v>
      </c>
      <c r="B286" t="s">
        <v>8</v>
      </c>
      <c r="C286" t="s">
        <v>12</v>
      </c>
      <c r="D286">
        <v>4</v>
      </c>
      <c r="E286" t="s">
        <v>13</v>
      </c>
      <c r="F286" s="83">
        <v>36576</v>
      </c>
      <c r="G286" s="82">
        <v>12.6</v>
      </c>
      <c r="H286" t="s">
        <v>144</v>
      </c>
    </row>
    <row r="287" spans="1:8" x14ac:dyDescent="0.25">
      <c r="A287" t="s">
        <v>169</v>
      </c>
      <c r="B287" t="s">
        <v>8</v>
      </c>
      <c r="C287" t="s">
        <v>12</v>
      </c>
      <c r="D287">
        <v>4</v>
      </c>
      <c r="E287" t="s">
        <v>12</v>
      </c>
      <c r="F287" s="83">
        <v>105120</v>
      </c>
      <c r="G287" s="82">
        <v>9.6999999999999993</v>
      </c>
      <c r="H287" t="s">
        <v>144</v>
      </c>
    </row>
    <row r="288" spans="1:8" x14ac:dyDescent="0.25">
      <c r="A288" t="s">
        <v>256</v>
      </c>
      <c r="B288" t="s">
        <v>8</v>
      </c>
      <c r="C288" t="s">
        <v>12</v>
      </c>
      <c r="D288">
        <v>4</v>
      </c>
      <c r="E288" t="s">
        <v>13</v>
      </c>
      <c r="F288" s="83">
        <v>7496</v>
      </c>
      <c r="G288" s="82">
        <v>4.3</v>
      </c>
      <c r="H288" t="s">
        <v>144</v>
      </c>
    </row>
    <row r="289" spans="1:8" x14ac:dyDescent="0.25">
      <c r="A289" t="s">
        <v>257</v>
      </c>
      <c r="B289" t="s">
        <v>8</v>
      </c>
      <c r="C289" t="s">
        <v>12</v>
      </c>
      <c r="D289">
        <v>4</v>
      </c>
      <c r="E289" t="s">
        <v>13</v>
      </c>
      <c r="F289" s="83">
        <v>209877</v>
      </c>
      <c r="G289" s="82">
        <v>26.9</v>
      </c>
      <c r="H289" t="s">
        <v>144</v>
      </c>
    </row>
    <row r="290" spans="1:8" x14ac:dyDescent="0.25">
      <c r="A290" t="s">
        <v>176</v>
      </c>
      <c r="B290" t="s">
        <v>8</v>
      </c>
      <c r="C290" t="s">
        <v>12</v>
      </c>
      <c r="D290">
        <v>4</v>
      </c>
      <c r="E290" t="s">
        <v>12</v>
      </c>
      <c r="F290" s="83">
        <v>13404</v>
      </c>
      <c r="G290" s="82">
        <v>4.8</v>
      </c>
      <c r="H290" t="s">
        <v>144</v>
      </c>
    </row>
    <row r="291" spans="1:8" x14ac:dyDescent="0.25">
      <c r="A291" t="s">
        <v>212</v>
      </c>
      <c r="B291" t="s">
        <v>8</v>
      </c>
      <c r="C291" t="s">
        <v>12</v>
      </c>
      <c r="D291">
        <v>4</v>
      </c>
      <c r="E291" t="s">
        <v>12</v>
      </c>
      <c r="F291" s="83">
        <v>53682</v>
      </c>
      <c r="G291" s="82">
        <v>4.7</v>
      </c>
      <c r="H291" t="s">
        <v>144</v>
      </c>
    </row>
    <row r="292" spans="1:8" x14ac:dyDescent="0.25">
      <c r="A292" t="s">
        <v>193</v>
      </c>
      <c r="B292" t="s">
        <v>8</v>
      </c>
      <c r="C292" t="s">
        <v>12</v>
      </c>
      <c r="D292">
        <v>4</v>
      </c>
      <c r="E292" t="s">
        <v>12</v>
      </c>
      <c r="F292" s="83">
        <v>141371</v>
      </c>
      <c r="G292" s="82">
        <v>23</v>
      </c>
      <c r="H292" t="s">
        <v>144</v>
      </c>
    </row>
    <row r="293" spans="1:8" x14ac:dyDescent="0.25">
      <c r="A293" t="s">
        <v>170</v>
      </c>
      <c r="B293" t="s">
        <v>8</v>
      </c>
      <c r="C293" t="s">
        <v>12</v>
      </c>
      <c r="D293">
        <v>4</v>
      </c>
      <c r="E293" t="s">
        <v>12</v>
      </c>
      <c r="F293" s="83">
        <v>62888</v>
      </c>
      <c r="G293" s="82">
        <v>8.3000000000000007</v>
      </c>
      <c r="H293" t="s">
        <v>144</v>
      </c>
    </row>
    <row r="294" spans="1:8" x14ac:dyDescent="0.25">
      <c r="A294" t="s">
        <v>153</v>
      </c>
      <c r="B294" t="s">
        <v>8</v>
      </c>
      <c r="C294" t="s">
        <v>12</v>
      </c>
      <c r="D294">
        <v>4</v>
      </c>
      <c r="E294" t="s">
        <v>12</v>
      </c>
      <c r="F294" s="83">
        <v>152361</v>
      </c>
      <c r="G294" s="82">
        <v>23</v>
      </c>
      <c r="H294" t="s">
        <v>144</v>
      </c>
    </row>
    <row r="295" spans="1:8" x14ac:dyDescent="0.25">
      <c r="A295" t="s">
        <v>258</v>
      </c>
      <c r="B295" t="s">
        <v>8</v>
      </c>
      <c r="C295" t="s">
        <v>12</v>
      </c>
      <c r="D295">
        <v>4</v>
      </c>
      <c r="E295" t="s">
        <v>13</v>
      </c>
      <c r="F295" s="83">
        <v>22173</v>
      </c>
      <c r="G295" s="82">
        <v>4.5</v>
      </c>
      <c r="H295" t="s">
        <v>144</v>
      </c>
    </row>
    <row r="296" spans="1:8" x14ac:dyDescent="0.25">
      <c r="A296" t="s">
        <v>178</v>
      </c>
      <c r="B296" t="s">
        <v>8</v>
      </c>
      <c r="C296" t="s">
        <v>12</v>
      </c>
      <c r="D296">
        <v>4</v>
      </c>
      <c r="E296" t="s">
        <v>12</v>
      </c>
      <c r="F296" s="83">
        <v>41928</v>
      </c>
      <c r="G296" s="82">
        <v>13.5</v>
      </c>
      <c r="H296" t="s">
        <v>144</v>
      </c>
    </row>
    <row r="297" spans="1:8" x14ac:dyDescent="0.25">
      <c r="A297" t="s">
        <v>148</v>
      </c>
      <c r="B297" t="s">
        <v>8</v>
      </c>
      <c r="C297" t="s">
        <v>12</v>
      </c>
      <c r="D297">
        <v>4</v>
      </c>
      <c r="E297" t="s">
        <v>12</v>
      </c>
      <c r="F297" s="83">
        <v>67412</v>
      </c>
      <c r="G297" s="82">
        <v>6.2</v>
      </c>
      <c r="H297" t="s">
        <v>144</v>
      </c>
    </row>
    <row r="298" spans="1:8" x14ac:dyDescent="0.25">
      <c r="A298" t="s">
        <v>185</v>
      </c>
      <c r="B298" t="s">
        <v>8</v>
      </c>
      <c r="C298" t="s">
        <v>12</v>
      </c>
      <c r="D298">
        <v>4</v>
      </c>
      <c r="E298" t="s">
        <v>12</v>
      </c>
      <c r="F298" s="83">
        <v>1867</v>
      </c>
      <c r="G298" s="82">
        <v>3</v>
      </c>
      <c r="H298" t="s">
        <v>144</v>
      </c>
    </row>
    <row r="299" spans="1:8" x14ac:dyDescent="0.25">
      <c r="A299" t="s">
        <v>177</v>
      </c>
      <c r="B299" t="s">
        <v>8</v>
      </c>
      <c r="C299" t="s">
        <v>12</v>
      </c>
      <c r="D299">
        <v>4</v>
      </c>
      <c r="E299" t="s">
        <v>12</v>
      </c>
      <c r="F299" s="83">
        <v>8141</v>
      </c>
      <c r="G299" s="82">
        <v>3.6</v>
      </c>
      <c r="H299" t="s">
        <v>144</v>
      </c>
    </row>
    <row r="300" spans="1:8" x14ac:dyDescent="0.25">
      <c r="A300" t="s">
        <v>194</v>
      </c>
      <c r="B300" t="s">
        <v>8</v>
      </c>
      <c r="C300" t="s">
        <v>12</v>
      </c>
      <c r="D300">
        <v>4</v>
      </c>
      <c r="E300" t="s">
        <v>12</v>
      </c>
      <c r="F300" s="83">
        <v>54412</v>
      </c>
      <c r="G300" s="82">
        <v>5.2</v>
      </c>
      <c r="H300" t="s">
        <v>144</v>
      </c>
    </row>
    <row r="301" spans="1:8" x14ac:dyDescent="0.25">
      <c r="A301" t="s">
        <v>1761</v>
      </c>
      <c r="B301" t="s">
        <v>8</v>
      </c>
      <c r="C301" t="s">
        <v>12</v>
      </c>
      <c r="D301">
        <v>4</v>
      </c>
      <c r="E301" t="s">
        <v>13</v>
      </c>
      <c r="F301" s="83">
        <v>111128</v>
      </c>
      <c r="G301" s="82">
        <v>21.8</v>
      </c>
      <c r="H301" t="s">
        <v>144</v>
      </c>
    </row>
    <row r="302" spans="1:8" x14ac:dyDescent="0.25">
      <c r="A302" t="s">
        <v>154</v>
      </c>
      <c r="B302" t="s">
        <v>8</v>
      </c>
      <c r="C302" t="s">
        <v>12</v>
      </c>
      <c r="D302">
        <v>4</v>
      </c>
      <c r="E302" t="s">
        <v>12</v>
      </c>
      <c r="F302" s="83">
        <v>33982</v>
      </c>
      <c r="G302" s="82">
        <v>15</v>
      </c>
      <c r="H302" t="s">
        <v>144</v>
      </c>
    </row>
    <row r="303" spans="1:8" x14ac:dyDescent="0.25">
      <c r="A303" t="s">
        <v>195</v>
      </c>
      <c r="B303" t="s">
        <v>8</v>
      </c>
      <c r="C303" t="s">
        <v>12</v>
      </c>
      <c r="D303">
        <v>4</v>
      </c>
      <c r="E303" t="s">
        <v>12</v>
      </c>
      <c r="F303" s="83">
        <v>24510</v>
      </c>
      <c r="G303" s="82">
        <v>2.4</v>
      </c>
      <c r="H303" t="s">
        <v>144</v>
      </c>
    </row>
    <row r="304" spans="1:8" x14ac:dyDescent="0.25">
      <c r="A304" t="s">
        <v>196</v>
      </c>
      <c r="B304" t="s">
        <v>8</v>
      </c>
      <c r="C304" t="s">
        <v>12</v>
      </c>
      <c r="D304">
        <v>4</v>
      </c>
      <c r="E304" t="s">
        <v>12</v>
      </c>
      <c r="F304" s="83">
        <v>40335</v>
      </c>
      <c r="G304" s="82">
        <v>4.0999999999999996</v>
      </c>
      <c r="H304" t="s">
        <v>144</v>
      </c>
    </row>
    <row r="305" spans="1:8" x14ac:dyDescent="0.25">
      <c r="A305" t="s">
        <v>197</v>
      </c>
      <c r="B305" t="s">
        <v>8</v>
      </c>
      <c r="C305" t="s">
        <v>12</v>
      </c>
      <c r="D305">
        <v>4</v>
      </c>
      <c r="E305" t="s">
        <v>12</v>
      </c>
      <c r="F305" s="83">
        <v>13186</v>
      </c>
      <c r="G305" s="82">
        <v>3.8</v>
      </c>
      <c r="H305" t="s">
        <v>144</v>
      </c>
    </row>
    <row r="306" spans="1:8" x14ac:dyDescent="0.25">
      <c r="A306" t="s">
        <v>206</v>
      </c>
      <c r="B306" t="s">
        <v>8</v>
      </c>
      <c r="C306" t="s">
        <v>12</v>
      </c>
      <c r="D306">
        <v>4</v>
      </c>
      <c r="E306" t="s">
        <v>12</v>
      </c>
      <c r="F306" s="83">
        <v>210089</v>
      </c>
      <c r="G306" s="82">
        <v>52.8</v>
      </c>
      <c r="H306" t="s">
        <v>144</v>
      </c>
    </row>
    <row r="307" spans="1:8" x14ac:dyDescent="0.25">
      <c r="A307" t="s">
        <v>1820</v>
      </c>
      <c r="B307" t="s">
        <v>8</v>
      </c>
      <c r="C307" t="s">
        <v>12</v>
      </c>
      <c r="D307">
        <v>4</v>
      </c>
      <c r="E307" t="s">
        <v>12</v>
      </c>
      <c r="F307" s="83" t="e">
        <v>#N/A</v>
      </c>
      <c r="G307" s="82" t="e">
        <v>#N/A</v>
      </c>
      <c r="H307" t="s">
        <v>144</v>
      </c>
    </row>
    <row r="308" spans="1:8" x14ac:dyDescent="0.25">
      <c r="A308" t="s">
        <v>186</v>
      </c>
      <c r="B308" t="s">
        <v>8</v>
      </c>
      <c r="C308" t="s">
        <v>12</v>
      </c>
      <c r="D308">
        <v>4</v>
      </c>
      <c r="E308" t="s">
        <v>12</v>
      </c>
      <c r="F308" s="83">
        <v>91411</v>
      </c>
      <c r="G308" s="82">
        <v>8.4</v>
      </c>
      <c r="H308" t="s">
        <v>144</v>
      </c>
    </row>
    <row r="309" spans="1:8" x14ac:dyDescent="0.25">
      <c r="A309" t="s">
        <v>259</v>
      </c>
      <c r="B309" t="s">
        <v>8</v>
      </c>
      <c r="C309" t="s">
        <v>12</v>
      </c>
      <c r="D309">
        <v>4</v>
      </c>
      <c r="E309" t="s">
        <v>13</v>
      </c>
      <c r="F309" s="83">
        <v>30011</v>
      </c>
      <c r="G309" s="82">
        <v>4.5999999999999996</v>
      </c>
      <c r="H309" t="s">
        <v>144</v>
      </c>
    </row>
    <row r="310" spans="1:8" x14ac:dyDescent="0.25">
      <c r="A310" t="s">
        <v>184</v>
      </c>
      <c r="B310" t="s">
        <v>8</v>
      </c>
      <c r="C310" t="s">
        <v>12</v>
      </c>
      <c r="D310">
        <v>4</v>
      </c>
      <c r="E310" t="s">
        <v>12</v>
      </c>
      <c r="F310" s="83">
        <v>10917</v>
      </c>
      <c r="G310" s="82">
        <v>3</v>
      </c>
      <c r="H310" t="s">
        <v>144</v>
      </c>
    </row>
    <row r="311" spans="1:8" x14ac:dyDescent="0.25">
      <c r="A311" t="s">
        <v>164</v>
      </c>
      <c r="B311" t="s">
        <v>8</v>
      </c>
      <c r="C311" t="s">
        <v>12</v>
      </c>
      <c r="D311">
        <v>4</v>
      </c>
      <c r="E311" t="s">
        <v>12</v>
      </c>
      <c r="F311" s="83">
        <v>11555</v>
      </c>
      <c r="G311" s="82">
        <v>2.2000000000000002</v>
      </c>
      <c r="H311" t="s">
        <v>144</v>
      </c>
    </row>
    <row r="312" spans="1:8" x14ac:dyDescent="0.25">
      <c r="A312" t="s">
        <v>260</v>
      </c>
      <c r="B312" t="s">
        <v>8</v>
      </c>
      <c r="C312" t="s">
        <v>12</v>
      </c>
      <c r="D312">
        <v>4</v>
      </c>
      <c r="E312" t="s">
        <v>13</v>
      </c>
      <c r="F312" s="83">
        <v>125851</v>
      </c>
      <c r="G312" s="82">
        <v>41.5</v>
      </c>
      <c r="H312" t="s">
        <v>144</v>
      </c>
    </row>
    <row r="313" spans="1:8" x14ac:dyDescent="0.25">
      <c r="A313" t="s">
        <v>11</v>
      </c>
      <c r="B313" t="s">
        <v>8</v>
      </c>
      <c r="C313" t="s">
        <v>12</v>
      </c>
      <c r="D313">
        <v>4</v>
      </c>
      <c r="E313" t="s">
        <v>12</v>
      </c>
      <c r="F313" s="83">
        <v>20767</v>
      </c>
      <c r="G313" s="82">
        <v>2.8</v>
      </c>
      <c r="H313" t="s">
        <v>144</v>
      </c>
    </row>
    <row r="314" spans="1:8" x14ac:dyDescent="0.25">
      <c r="A314" t="s">
        <v>1824</v>
      </c>
      <c r="B314" t="s">
        <v>8</v>
      </c>
      <c r="C314" t="s">
        <v>12</v>
      </c>
      <c r="D314">
        <v>4</v>
      </c>
      <c r="E314" t="s">
        <v>12</v>
      </c>
      <c r="F314" s="83" t="e">
        <v>#N/A</v>
      </c>
      <c r="G314" s="82" t="e">
        <v>#N/A</v>
      </c>
      <c r="H314" t="s">
        <v>144</v>
      </c>
    </row>
    <row r="315" spans="1:8" x14ac:dyDescent="0.25">
      <c r="A315" t="s">
        <v>198</v>
      </c>
      <c r="B315" t="s">
        <v>8</v>
      </c>
      <c r="C315" t="s">
        <v>12</v>
      </c>
      <c r="D315">
        <v>4</v>
      </c>
      <c r="E315" t="s">
        <v>12</v>
      </c>
      <c r="F315" s="83">
        <v>25611</v>
      </c>
      <c r="G315" s="82">
        <v>3.4</v>
      </c>
      <c r="H315" t="s">
        <v>144</v>
      </c>
    </row>
    <row r="316" spans="1:8" x14ac:dyDescent="0.25">
      <c r="A316" t="s">
        <v>199</v>
      </c>
      <c r="B316" t="s">
        <v>8</v>
      </c>
      <c r="C316" t="s">
        <v>12</v>
      </c>
      <c r="D316">
        <v>4</v>
      </c>
      <c r="E316" t="s">
        <v>12</v>
      </c>
      <c r="F316" s="83">
        <v>36120</v>
      </c>
      <c r="G316" s="82">
        <v>4</v>
      </c>
      <c r="H316" t="s">
        <v>144</v>
      </c>
    </row>
    <row r="317" spans="1:8" x14ac:dyDescent="0.25">
      <c r="A317" t="s">
        <v>261</v>
      </c>
      <c r="B317" t="s">
        <v>8</v>
      </c>
      <c r="C317" t="s">
        <v>12</v>
      </c>
      <c r="D317">
        <v>4</v>
      </c>
      <c r="E317" t="s">
        <v>13</v>
      </c>
      <c r="F317" s="83">
        <v>127690</v>
      </c>
      <c r="G317" s="82">
        <v>55.2</v>
      </c>
      <c r="H317" t="s">
        <v>144</v>
      </c>
    </row>
    <row r="318" spans="1:8" x14ac:dyDescent="0.25">
      <c r="A318" t="s">
        <v>149</v>
      </c>
      <c r="B318" t="s">
        <v>8</v>
      </c>
      <c r="C318" t="s">
        <v>12</v>
      </c>
      <c r="D318">
        <v>4</v>
      </c>
      <c r="E318" t="s">
        <v>12</v>
      </c>
      <c r="F318" s="83">
        <v>145182</v>
      </c>
      <c r="G318" s="82">
        <v>20.5</v>
      </c>
      <c r="H318" t="s">
        <v>144</v>
      </c>
    </row>
    <row r="319" spans="1:8" x14ac:dyDescent="0.25">
      <c r="A319" t="s">
        <v>1737</v>
      </c>
      <c r="B319" t="s">
        <v>8</v>
      </c>
      <c r="C319" t="s">
        <v>12</v>
      </c>
      <c r="D319">
        <v>4</v>
      </c>
      <c r="E319" t="s">
        <v>12</v>
      </c>
      <c r="F319" s="83" t="e">
        <v>#N/A</v>
      </c>
      <c r="G319" s="82" t="e">
        <v>#N/A</v>
      </c>
      <c r="H319" t="s">
        <v>144</v>
      </c>
    </row>
    <row r="320" spans="1:8" x14ac:dyDescent="0.25">
      <c r="A320" t="s">
        <v>207</v>
      </c>
      <c r="B320" t="s">
        <v>8</v>
      </c>
      <c r="C320" t="s">
        <v>12</v>
      </c>
      <c r="D320">
        <v>4</v>
      </c>
      <c r="E320" t="s">
        <v>12</v>
      </c>
      <c r="F320" s="83">
        <v>30006</v>
      </c>
      <c r="G320" s="82">
        <v>9</v>
      </c>
      <c r="H320" t="s">
        <v>144</v>
      </c>
    </row>
    <row r="321" spans="1:8" x14ac:dyDescent="0.25">
      <c r="A321" t="s">
        <v>205</v>
      </c>
      <c r="B321" t="s">
        <v>8</v>
      </c>
      <c r="C321" t="s">
        <v>12</v>
      </c>
      <c r="D321">
        <v>4</v>
      </c>
      <c r="E321" t="s">
        <v>12</v>
      </c>
      <c r="F321" s="83">
        <v>106311</v>
      </c>
      <c r="G321" s="82">
        <v>16</v>
      </c>
      <c r="H321" t="s">
        <v>144</v>
      </c>
    </row>
    <row r="322" spans="1:8" x14ac:dyDescent="0.25">
      <c r="A322" t="s">
        <v>1833</v>
      </c>
      <c r="B322" t="s">
        <v>8</v>
      </c>
      <c r="C322" t="s">
        <v>12</v>
      </c>
      <c r="D322">
        <v>4</v>
      </c>
      <c r="E322" t="s">
        <v>12</v>
      </c>
      <c r="F322" s="83" t="e">
        <v>#N/A</v>
      </c>
      <c r="G322" s="82" t="e">
        <v>#N/A</v>
      </c>
      <c r="H322" t="s">
        <v>144</v>
      </c>
    </row>
    <row r="323" spans="1:8" x14ac:dyDescent="0.25">
      <c r="A323" t="s">
        <v>174</v>
      </c>
      <c r="B323" t="s">
        <v>8</v>
      </c>
      <c r="C323" t="s">
        <v>12</v>
      </c>
      <c r="D323">
        <v>4</v>
      </c>
      <c r="E323" t="s">
        <v>12</v>
      </c>
      <c r="F323" s="83">
        <v>8352</v>
      </c>
      <c r="G323" s="82">
        <v>5.2</v>
      </c>
      <c r="H323" t="s">
        <v>144</v>
      </c>
    </row>
    <row r="324" spans="1:8" x14ac:dyDescent="0.25">
      <c r="A324" t="s">
        <v>171</v>
      </c>
      <c r="B324" t="s">
        <v>8</v>
      </c>
      <c r="C324" t="s">
        <v>12</v>
      </c>
      <c r="D324">
        <v>4</v>
      </c>
      <c r="E324" t="s">
        <v>12</v>
      </c>
      <c r="F324" s="83">
        <v>86064</v>
      </c>
      <c r="G324" s="82">
        <v>14.6</v>
      </c>
      <c r="H324" t="s">
        <v>144</v>
      </c>
    </row>
    <row r="325" spans="1:8" x14ac:dyDescent="0.25">
      <c r="A325" t="s">
        <v>1435</v>
      </c>
      <c r="B325" t="s">
        <v>5</v>
      </c>
      <c r="C325" t="s">
        <v>12</v>
      </c>
      <c r="D325" s="13">
        <v>4</v>
      </c>
      <c r="E325" s="13" t="s">
        <v>12</v>
      </c>
      <c r="F325" s="83" t="e">
        <v>#N/A</v>
      </c>
      <c r="G325" s="82" t="e">
        <v>#N/A</v>
      </c>
      <c r="H325" t="s">
        <v>144</v>
      </c>
    </row>
    <row r="326" spans="1:8" x14ac:dyDescent="0.25">
      <c r="A326" t="s">
        <v>1447</v>
      </c>
      <c r="B326" t="s">
        <v>5</v>
      </c>
      <c r="C326" t="s">
        <v>12</v>
      </c>
      <c r="D326" s="13">
        <v>4</v>
      </c>
      <c r="E326" s="13" t="s">
        <v>13</v>
      </c>
      <c r="F326" s="83" t="e">
        <v>#N/A</v>
      </c>
      <c r="G326" s="82" t="e">
        <v>#N/A</v>
      </c>
      <c r="H326" t="s">
        <v>144</v>
      </c>
    </row>
    <row r="327" spans="1:8" x14ac:dyDescent="0.25">
      <c r="A327" s="81" t="s">
        <v>1436</v>
      </c>
      <c r="B327" t="s">
        <v>122</v>
      </c>
      <c r="C327" t="s">
        <v>12</v>
      </c>
      <c r="D327">
        <v>4</v>
      </c>
      <c r="E327" t="s">
        <v>12</v>
      </c>
      <c r="F327" s="83" t="e">
        <v>#N/A</v>
      </c>
      <c r="G327" s="82" t="e">
        <v>#N/A</v>
      </c>
      <c r="H327" t="s">
        <v>144</v>
      </c>
    </row>
    <row r="328" spans="1:8" x14ac:dyDescent="0.25">
      <c r="A328" s="19" t="s">
        <v>1453</v>
      </c>
      <c r="B328" t="s">
        <v>122</v>
      </c>
      <c r="C328" t="s">
        <v>12</v>
      </c>
      <c r="D328">
        <v>4</v>
      </c>
      <c r="E328" s="10" t="s">
        <v>13</v>
      </c>
      <c r="F328" s="83" t="e">
        <v>#N/A</v>
      </c>
      <c r="G328" s="82" t="e">
        <v>#N/A</v>
      </c>
      <c r="H328" t="s">
        <v>144</v>
      </c>
    </row>
    <row r="329" spans="1:8" x14ac:dyDescent="0.25">
      <c r="A329" s="6" t="s">
        <v>424</v>
      </c>
      <c r="B329" t="s">
        <v>122</v>
      </c>
      <c r="C329" t="s">
        <v>12</v>
      </c>
      <c r="D329">
        <v>4</v>
      </c>
      <c r="E329" s="10" t="s">
        <v>13</v>
      </c>
      <c r="F329" s="83" t="e">
        <v>#N/A</v>
      </c>
      <c r="G329" s="82" t="e">
        <v>#N/A</v>
      </c>
      <c r="H329" t="s">
        <v>144</v>
      </c>
    </row>
    <row r="330" spans="1:8" x14ac:dyDescent="0.25">
      <c r="A330" t="s">
        <v>1536</v>
      </c>
      <c r="B330" t="s">
        <v>8</v>
      </c>
      <c r="C330" t="s">
        <v>442</v>
      </c>
      <c r="D330">
        <v>1</v>
      </c>
      <c r="E330" t="s">
        <v>1516</v>
      </c>
      <c r="F330" s="83" t="e">
        <v>#N/A</v>
      </c>
      <c r="G330" s="82" t="e">
        <v>#N/A</v>
      </c>
      <c r="H330" t="s">
        <v>143</v>
      </c>
    </row>
    <row r="331" spans="1:8" x14ac:dyDescent="0.25">
      <c r="A331" t="s">
        <v>1768</v>
      </c>
      <c r="B331" t="s">
        <v>8</v>
      </c>
      <c r="C331" t="s">
        <v>442</v>
      </c>
      <c r="D331">
        <v>1</v>
      </c>
      <c r="E331" t="s">
        <v>1516</v>
      </c>
      <c r="F331" s="83" t="e">
        <v>#N/A</v>
      </c>
      <c r="G331" s="82" t="e">
        <v>#N/A</v>
      </c>
      <c r="H331" t="s">
        <v>1460</v>
      </c>
    </row>
    <row r="332" spans="1:8" x14ac:dyDescent="0.25">
      <c r="A332" t="s">
        <v>1590</v>
      </c>
      <c r="B332" t="s">
        <v>8</v>
      </c>
      <c r="C332" t="s">
        <v>442</v>
      </c>
      <c r="D332">
        <v>1</v>
      </c>
      <c r="E332" t="s">
        <v>4</v>
      </c>
      <c r="F332" s="83" t="e">
        <v>#N/A</v>
      </c>
      <c r="G332" s="82" t="e">
        <v>#N/A</v>
      </c>
      <c r="H332" t="s">
        <v>143</v>
      </c>
    </row>
    <row r="333" spans="1:8" x14ac:dyDescent="0.25">
      <c r="A333" t="s">
        <v>1599</v>
      </c>
      <c r="B333" t="s">
        <v>8</v>
      </c>
      <c r="C333" t="s">
        <v>442</v>
      </c>
      <c r="D333">
        <v>1</v>
      </c>
      <c r="E333" t="s">
        <v>4</v>
      </c>
      <c r="F333" s="83" t="e">
        <v>#N/A</v>
      </c>
      <c r="G333" s="82" t="e">
        <v>#N/A</v>
      </c>
      <c r="H333" t="s">
        <v>143</v>
      </c>
    </row>
    <row r="334" spans="1:8" x14ac:dyDescent="0.25">
      <c r="A334" t="s">
        <v>1772</v>
      </c>
      <c r="B334" t="s">
        <v>8</v>
      </c>
      <c r="C334" t="s">
        <v>442</v>
      </c>
      <c r="D334">
        <v>1</v>
      </c>
      <c r="E334" t="s">
        <v>1562</v>
      </c>
      <c r="F334" s="83" t="e">
        <v>#N/A</v>
      </c>
      <c r="G334" s="82" t="e">
        <v>#N/A</v>
      </c>
      <c r="H334" t="s">
        <v>143</v>
      </c>
    </row>
    <row r="335" spans="1:8" x14ac:dyDescent="0.25">
      <c r="A335" t="s">
        <v>1607</v>
      </c>
      <c r="B335" t="s">
        <v>8</v>
      </c>
      <c r="C335" t="s">
        <v>442</v>
      </c>
      <c r="D335">
        <v>1</v>
      </c>
      <c r="E335" t="s">
        <v>1581</v>
      </c>
      <c r="F335" s="83" t="e">
        <v>#N/A</v>
      </c>
      <c r="G335" s="82" t="e">
        <v>#N/A</v>
      </c>
      <c r="H335" t="s">
        <v>1460</v>
      </c>
    </row>
    <row r="336" spans="1:8" x14ac:dyDescent="0.25">
      <c r="A336" t="s">
        <v>1614</v>
      </c>
      <c r="B336" t="s">
        <v>8</v>
      </c>
      <c r="C336" t="s">
        <v>442</v>
      </c>
      <c r="D336">
        <v>1</v>
      </c>
      <c r="E336" t="s">
        <v>1581</v>
      </c>
      <c r="F336" s="83" t="e">
        <v>#N/A</v>
      </c>
      <c r="G336" s="82" t="e">
        <v>#N/A</v>
      </c>
      <c r="H336" t="s">
        <v>1460</v>
      </c>
    </row>
    <row r="337" spans="1:8" x14ac:dyDescent="0.25">
      <c r="A337" t="s">
        <v>1615</v>
      </c>
      <c r="B337" t="s">
        <v>8</v>
      </c>
      <c r="C337" t="s">
        <v>442</v>
      </c>
      <c r="D337">
        <v>1</v>
      </c>
      <c r="E337" t="s">
        <v>1516</v>
      </c>
      <c r="F337" s="83" t="e">
        <v>#N/A</v>
      </c>
      <c r="G337" s="82" t="e">
        <v>#N/A</v>
      </c>
      <c r="H337" t="s">
        <v>143</v>
      </c>
    </row>
    <row r="338" spans="1:8" x14ac:dyDescent="0.25">
      <c r="A338" t="s">
        <v>1620</v>
      </c>
      <c r="B338" t="s">
        <v>8</v>
      </c>
      <c r="C338" t="s">
        <v>442</v>
      </c>
      <c r="D338">
        <v>1</v>
      </c>
      <c r="E338" t="s">
        <v>1516</v>
      </c>
      <c r="F338" s="83" t="e">
        <v>#N/A</v>
      </c>
      <c r="G338" s="82" t="e">
        <v>#N/A</v>
      </c>
      <c r="H338" t="s">
        <v>1460</v>
      </c>
    </row>
    <row r="339" spans="1:8" x14ac:dyDescent="0.25">
      <c r="A339" t="s">
        <v>1778</v>
      </c>
      <c r="B339" t="s">
        <v>8</v>
      </c>
      <c r="C339" t="s">
        <v>442</v>
      </c>
      <c r="D339">
        <v>1</v>
      </c>
      <c r="E339" t="s">
        <v>1515</v>
      </c>
      <c r="F339" s="83" t="e">
        <v>#N/A</v>
      </c>
      <c r="G339" s="82" t="e">
        <v>#N/A</v>
      </c>
      <c r="H339" t="s">
        <v>143</v>
      </c>
    </row>
    <row r="340" spans="1:8" x14ac:dyDescent="0.25">
      <c r="A340" t="s">
        <v>1779</v>
      </c>
      <c r="B340" t="s">
        <v>8</v>
      </c>
      <c r="C340" t="s">
        <v>442</v>
      </c>
      <c r="D340">
        <v>1</v>
      </c>
      <c r="E340" t="s">
        <v>1581</v>
      </c>
      <c r="F340" s="83" t="e">
        <v>#N/A</v>
      </c>
      <c r="G340" s="82" t="e">
        <v>#N/A</v>
      </c>
      <c r="H340" t="s">
        <v>1460</v>
      </c>
    </row>
    <row r="341" spans="1:8" x14ac:dyDescent="0.25">
      <c r="A341" t="s">
        <v>1622</v>
      </c>
      <c r="B341" t="s">
        <v>8</v>
      </c>
      <c r="C341" t="s">
        <v>442</v>
      </c>
      <c r="D341">
        <v>1</v>
      </c>
      <c r="E341" t="s">
        <v>1516</v>
      </c>
      <c r="F341" s="83" t="e">
        <v>#N/A</v>
      </c>
      <c r="G341" s="82" t="e">
        <v>#N/A</v>
      </c>
      <c r="H341" t="s">
        <v>143</v>
      </c>
    </row>
    <row r="342" spans="1:8" x14ac:dyDescent="0.25">
      <c r="A342" t="s">
        <v>1634</v>
      </c>
      <c r="B342" t="s">
        <v>8</v>
      </c>
      <c r="C342" t="s">
        <v>442</v>
      </c>
      <c r="D342">
        <v>1</v>
      </c>
      <c r="E342" t="s">
        <v>4</v>
      </c>
      <c r="F342" s="83" t="e">
        <v>#N/A</v>
      </c>
      <c r="G342" s="82" t="e">
        <v>#N/A</v>
      </c>
      <c r="H342" t="s">
        <v>144</v>
      </c>
    </row>
    <row r="343" spans="1:8" x14ac:dyDescent="0.25">
      <c r="A343" t="s">
        <v>1676</v>
      </c>
      <c r="B343" t="s">
        <v>8</v>
      </c>
      <c r="C343" t="s">
        <v>442</v>
      </c>
      <c r="D343">
        <v>1</v>
      </c>
      <c r="E343" t="s">
        <v>1581</v>
      </c>
      <c r="F343" s="83" t="e">
        <v>#N/A</v>
      </c>
      <c r="G343" s="82" t="e">
        <v>#N/A</v>
      </c>
      <c r="H343" t="s">
        <v>1460</v>
      </c>
    </row>
    <row r="344" spans="1:8" x14ac:dyDescent="0.25">
      <c r="A344" t="s">
        <v>1804</v>
      </c>
      <c r="B344" t="s">
        <v>8</v>
      </c>
      <c r="C344" t="s">
        <v>442</v>
      </c>
      <c r="D344">
        <v>1</v>
      </c>
      <c r="E344" t="s">
        <v>1515</v>
      </c>
      <c r="F344" s="83" t="e">
        <v>#N/A</v>
      </c>
      <c r="G344" s="82" t="e">
        <v>#N/A</v>
      </c>
      <c r="H344" t="s">
        <v>1460</v>
      </c>
    </row>
    <row r="345" spans="1:8" x14ac:dyDescent="0.25">
      <c r="A345" t="s">
        <v>1706</v>
      </c>
      <c r="B345" t="s">
        <v>8</v>
      </c>
      <c r="C345" t="s">
        <v>442</v>
      </c>
      <c r="D345">
        <v>1</v>
      </c>
      <c r="E345" t="s">
        <v>1516</v>
      </c>
      <c r="F345" s="83" t="e">
        <v>#N/A</v>
      </c>
      <c r="G345" s="82" t="e">
        <v>#N/A</v>
      </c>
      <c r="H345" t="s">
        <v>1460</v>
      </c>
    </row>
    <row r="346" spans="1:8" x14ac:dyDescent="0.25">
      <c r="A346" t="s">
        <v>1810</v>
      </c>
      <c r="B346" t="s">
        <v>8</v>
      </c>
      <c r="C346" t="s">
        <v>442</v>
      </c>
      <c r="D346">
        <v>1</v>
      </c>
      <c r="E346" t="s">
        <v>4</v>
      </c>
      <c r="F346" s="83" t="e">
        <v>#N/A</v>
      </c>
      <c r="G346" s="82" t="e">
        <v>#N/A</v>
      </c>
      <c r="H346" t="s">
        <v>143</v>
      </c>
    </row>
    <row r="347" spans="1:8" x14ac:dyDescent="0.25">
      <c r="A347" t="s">
        <v>1757</v>
      </c>
      <c r="B347" t="s">
        <v>8</v>
      </c>
      <c r="C347" t="s">
        <v>442</v>
      </c>
      <c r="D347">
        <v>1</v>
      </c>
      <c r="E347" t="s">
        <v>4</v>
      </c>
      <c r="F347" s="83" t="e">
        <v>#N/A</v>
      </c>
      <c r="G347" s="82" t="e">
        <v>#N/A</v>
      </c>
      <c r="H347" t="s">
        <v>144</v>
      </c>
    </row>
    <row r="348" spans="1:8" x14ac:dyDescent="0.25">
      <c r="A348" t="s">
        <v>1718</v>
      </c>
      <c r="B348" t="s">
        <v>8</v>
      </c>
      <c r="C348" t="s">
        <v>442</v>
      </c>
      <c r="D348">
        <v>1</v>
      </c>
      <c r="E348" t="s">
        <v>4</v>
      </c>
      <c r="F348" s="83" t="e">
        <v>#N/A</v>
      </c>
      <c r="G348" s="82" t="e">
        <v>#N/A</v>
      </c>
      <c r="H348" t="s">
        <v>144</v>
      </c>
    </row>
    <row r="349" spans="1:8" x14ac:dyDescent="0.25">
      <c r="A349" t="s">
        <v>1730</v>
      </c>
      <c r="B349" t="s">
        <v>8</v>
      </c>
      <c r="C349" t="s">
        <v>442</v>
      </c>
      <c r="D349">
        <v>1</v>
      </c>
      <c r="E349" t="s">
        <v>1516</v>
      </c>
      <c r="F349" s="83" t="e">
        <v>#N/A</v>
      </c>
      <c r="G349" s="82" t="e">
        <v>#N/A</v>
      </c>
      <c r="H349" t="s">
        <v>143</v>
      </c>
    </row>
    <row r="350" spans="1:8" x14ac:dyDescent="0.25">
      <c r="A350" t="s">
        <v>1732</v>
      </c>
      <c r="B350" t="s">
        <v>8</v>
      </c>
      <c r="C350" t="s">
        <v>442</v>
      </c>
      <c r="D350">
        <v>1</v>
      </c>
      <c r="E350" t="s">
        <v>1581</v>
      </c>
      <c r="F350" s="83" t="e">
        <v>#N/A</v>
      </c>
      <c r="G350" s="82" t="e">
        <v>#N/A</v>
      </c>
      <c r="H350" t="s">
        <v>1460</v>
      </c>
    </row>
    <row r="351" spans="1:8" x14ac:dyDescent="0.25">
      <c r="A351" t="s">
        <v>1734</v>
      </c>
      <c r="B351" t="s">
        <v>8</v>
      </c>
      <c r="C351" t="s">
        <v>442</v>
      </c>
      <c r="D351">
        <v>1</v>
      </c>
      <c r="E351" t="s">
        <v>1515</v>
      </c>
      <c r="F351" s="83" t="e">
        <v>#N/A</v>
      </c>
      <c r="G351" s="82" t="e">
        <v>#N/A</v>
      </c>
      <c r="H351" t="s">
        <v>143</v>
      </c>
    </row>
    <row r="352" spans="1:8" x14ac:dyDescent="0.25">
      <c r="A352" t="s">
        <v>1743</v>
      </c>
      <c r="B352" t="s">
        <v>8</v>
      </c>
      <c r="C352" t="s">
        <v>442</v>
      </c>
      <c r="D352">
        <v>1</v>
      </c>
      <c r="E352" t="s">
        <v>1581</v>
      </c>
      <c r="F352" s="83" t="e">
        <v>#N/A</v>
      </c>
      <c r="G352" s="82" t="e">
        <v>#N/A</v>
      </c>
      <c r="H352" t="s">
        <v>1460</v>
      </c>
    </row>
    <row r="353" spans="1:8" x14ac:dyDescent="0.25">
      <c r="A353" t="s">
        <v>1747</v>
      </c>
      <c r="B353" t="s">
        <v>8</v>
      </c>
      <c r="C353" t="s">
        <v>442</v>
      </c>
      <c r="D353">
        <v>1</v>
      </c>
      <c r="E353" t="s">
        <v>1515</v>
      </c>
      <c r="F353" s="83" t="e">
        <v>#N/A</v>
      </c>
      <c r="G353" s="82" t="e">
        <v>#N/A</v>
      </c>
      <c r="H353" t="s">
        <v>1460</v>
      </c>
    </row>
    <row r="354" spans="1:8" x14ac:dyDescent="0.25">
      <c r="A354" t="s">
        <v>1749</v>
      </c>
      <c r="B354" t="s">
        <v>8</v>
      </c>
      <c r="C354" t="s">
        <v>442</v>
      </c>
      <c r="D354">
        <v>1</v>
      </c>
      <c r="E354" t="s">
        <v>4</v>
      </c>
      <c r="F354" s="83" t="e">
        <v>#N/A</v>
      </c>
      <c r="G354" s="82" t="e">
        <v>#N/A</v>
      </c>
      <c r="H354" t="s">
        <v>143</v>
      </c>
    </row>
    <row r="355" spans="1:8" x14ac:dyDescent="0.25">
      <c r="A355" t="s">
        <v>1755</v>
      </c>
      <c r="B355" t="s">
        <v>8</v>
      </c>
      <c r="C355" t="s">
        <v>442</v>
      </c>
      <c r="D355">
        <v>1</v>
      </c>
      <c r="E355" t="s">
        <v>1581</v>
      </c>
      <c r="F355" s="83" t="e">
        <v>#N/A</v>
      </c>
      <c r="G355" s="82" t="e">
        <v>#N/A</v>
      </c>
      <c r="H355" t="s">
        <v>143</v>
      </c>
    </row>
    <row r="356" spans="1:8" x14ac:dyDescent="0.25">
      <c r="A356" t="s">
        <v>1462</v>
      </c>
      <c r="B356" t="s">
        <v>5</v>
      </c>
      <c r="C356" t="s">
        <v>442</v>
      </c>
      <c r="D356" s="13">
        <v>1</v>
      </c>
      <c r="E356" s="13" t="s">
        <v>1562</v>
      </c>
      <c r="F356" s="83" t="e">
        <v>#N/A</v>
      </c>
      <c r="G356" s="82" t="e">
        <v>#N/A</v>
      </c>
      <c r="H356" t="s">
        <v>1460</v>
      </c>
    </row>
    <row r="357" spans="1:8" x14ac:dyDescent="0.25">
      <c r="A357" t="s">
        <v>1464</v>
      </c>
      <c r="B357" t="s">
        <v>5</v>
      </c>
      <c r="C357" t="s">
        <v>442</v>
      </c>
      <c r="D357" s="13">
        <v>1</v>
      </c>
      <c r="E357" s="13" t="s">
        <v>1516</v>
      </c>
      <c r="F357" s="83" t="e">
        <v>#N/A</v>
      </c>
      <c r="G357" s="82" t="e">
        <v>#N/A</v>
      </c>
      <c r="H357" t="s">
        <v>143</v>
      </c>
    </row>
    <row r="358" spans="1:8" x14ac:dyDescent="0.25">
      <c r="A358" t="s">
        <v>1471</v>
      </c>
      <c r="B358" t="s">
        <v>5</v>
      </c>
      <c r="C358" t="s">
        <v>442</v>
      </c>
      <c r="D358" s="13">
        <v>1</v>
      </c>
      <c r="E358" s="13" t="s">
        <v>1515</v>
      </c>
      <c r="F358" s="83" t="e">
        <v>#N/A</v>
      </c>
      <c r="G358" s="82" t="e">
        <v>#N/A</v>
      </c>
      <c r="H358" t="s">
        <v>143</v>
      </c>
    </row>
    <row r="359" spans="1:8" x14ac:dyDescent="0.25">
      <c r="A359" t="s">
        <v>1463</v>
      </c>
      <c r="B359" t="s">
        <v>5</v>
      </c>
      <c r="C359" t="s">
        <v>442</v>
      </c>
      <c r="D359" s="13">
        <v>1</v>
      </c>
      <c r="E359" s="13" t="s">
        <v>1581</v>
      </c>
      <c r="F359" s="83" t="e">
        <v>#N/A</v>
      </c>
      <c r="G359" s="82" t="e">
        <v>#N/A</v>
      </c>
      <c r="H359" t="s">
        <v>1460</v>
      </c>
    </row>
    <row r="360" spans="1:8" x14ac:dyDescent="0.25">
      <c r="A360" t="s">
        <v>1448</v>
      </c>
      <c r="B360" t="s">
        <v>5</v>
      </c>
      <c r="C360" t="s">
        <v>442</v>
      </c>
      <c r="D360" s="13">
        <v>1</v>
      </c>
      <c r="E360" s="13" t="s">
        <v>4</v>
      </c>
      <c r="F360" s="83" t="e">
        <v>#N/A</v>
      </c>
      <c r="G360" s="82" t="e">
        <v>#N/A</v>
      </c>
      <c r="H360" t="s">
        <v>144</v>
      </c>
    </row>
    <row r="361" spans="1:8" x14ac:dyDescent="0.25">
      <c r="A361" t="s">
        <v>1465</v>
      </c>
      <c r="B361" t="s">
        <v>5</v>
      </c>
      <c r="C361" t="s">
        <v>442</v>
      </c>
      <c r="D361" s="13">
        <v>1</v>
      </c>
      <c r="E361" s="13" t="s">
        <v>1573</v>
      </c>
      <c r="F361" s="83" t="e">
        <v>#N/A</v>
      </c>
      <c r="G361" s="82" t="e">
        <v>#N/A</v>
      </c>
      <c r="H361" t="s">
        <v>1460</v>
      </c>
    </row>
    <row r="362" spans="1:8" x14ac:dyDescent="0.25">
      <c r="A362" t="s">
        <v>263</v>
      </c>
      <c r="B362" t="s">
        <v>8</v>
      </c>
      <c r="C362" t="s">
        <v>21</v>
      </c>
      <c r="D362">
        <v>9</v>
      </c>
      <c r="E362" t="s">
        <v>262</v>
      </c>
      <c r="F362" s="83">
        <v>51783</v>
      </c>
      <c r="G362" s="82">
        <v>6.9</v>
      </c>
      <c r="H362" t="s">
        <v>144</v>
      </c>
    </row>
    <row r="363" spans="1:8" x14ac:dyDescent="0.25">
      <c r="A363" t="s">
        <v>302</v>
      </c>
      <c r="B363" t="s">
        <v>8</v>
      </c>
      <c r="C363" t="s">
        <v>21</v>
      </c>
      <c r="D363">
        <v>9</v>
      </c>
      <c r="E363" t="s">
        <v>21</v>
      </c>
      <c r="F363" s="83">
        <v>115877</v>
      </c>
      <c r="G363" s="82">
        <v>37.700000000000003</v>
      </c>
      <c r="H363" t="s">
        <v>144</v>
      </c>
    </row>
    <row r="364" spans="1:8" x14ac:dyDescent="0.25">
      <c r="A364" t="s">
        <v>310</v>
      </c>
      <c r="B364" t="s">
        <v>8</v>
      </c>
      <c r="C364" t="s">
        <v>21</v>
      </c>
      <c r="D364">
        <v>9</v>
      </c>
      <c r="E364" t="s">
        <v>21</v>
      </c>
      <c r="F364" s="83">
        <v>271651</v>
      </c>
      <c r="G364" s="82">
        <v>49.6</v>
      </c>
      <c r="H364" t="s">
        <v>144</v>
      </c>
    </row>
    <row r="365" spans="1:8" x14ac:dyDescent="0.25">
      <c r="A365" t="s">
        <v>311</v>
      </c>
      <c r="B365" t="s">
        <v>8</v>
      </c>
      <c r="C365" t="s">
        <v>21</v>
      </c>
      <c r="D365">
        <v>9</v>
      </c>
      <c r="E365" t="s">
        <v>21</v>
      </c>
      <c r="F365" s="83">
        <v>21390</v>
      </c>
      <c r="G365" s="82">
        <v>7.9</v>
      </c>
      <c r="H365" t="s">
        <v>144</v>
      </c>
    </row>
    <row r="366" spans="1:8" x14ac:dyDescent="0.25">
      <c r="A366" t="s">
        <v>270</v>
      </c>
      <c r="B366" t="s">
        <v>8</v>
      </c>
      <c r="C366" t="s">
        <v>21</v>
      </c>
      <c r="D366">
        <v>9</v>
      </c>
      <c r="E366" t="s">
        <v>262</v>
      </c>
      <c r="F366" s="83">
        <v>33730</v>
      </c>
      <c r="G366" s="82">
        <v>6.5</v>
      </c>
      <c r="H366" t="s">
        <v>144</v>
      </c>
    </row>
    <row r="367" spans="1:8" x14ac:dyDescent="0.25">
      <c r="A367" t="s">
        <v>308</v>
      </c>
      <c r="B367" t="s">
        <v>8</v>
      </c>
      <c r="C367" t="s">
        <v>21</v>
      </c>
      <c r="D367">
        <v>9</v>
      </c>
      <c r="E367" t="s">
        <v>21</v>
      </c>
      <c r="F367" s="83">
        <v>4347</v>
      </c>
      <c r="G367" s="82">
        <v>1.7</v>
      </c>
      <c r="H367" t="s">
        <v>144</v>
      </c>
    </row>
    <row r="368" spans="1:8" x14ac:dyDescent="0.25">
      <c r="A368" t="s">
        <v>317</v>
      </c>
      <c r="B368" t="s">
        <v>8</v>
      </c>
      <c r="C368" t="s">
        <v>21</v>
      </c>
      <c r="D368">
        <v>9</v>
      </c>
      <c r="E368" t="s">
        <v>21</v>
      </c>
      <c r="F368" s="83">
        <v>103241</v>
      </c>
      <c r="G368" s="82">
        <v>14.5</v>
      </c>
      <c r="H368" t="s">
        <v>144</v>
      </c>
    </row>
    <row r="369" spans="1:8" x14ac:dyDescent="0.25">
      <c r="A369" t="s">
        <v>303</v>
      </c>
      <c r="B369" t="s">
        <v>8</v>
      </c>
      <c r="C369" t="s">
        <v>21</v>
      </c>
      <c r="D369">
        <v>9</v>
      </c>
      <c r="E369" t="s">
        <v>21</v>
      </c>
      <c r="F369" s="83">
        <v>62904</v>
      </c>
      <c r="G369" s="82">
        <v>18.8</v>
      </c>
      <c r="H369" t="s">
        <v>144</v>
      </c>
    </row>
    <row r="370" spans="1:8" x14ac:dyDescent="0.25">
      <c r="A370" t="s">
        <v>304</v>
      </c>
      <c r="B370" t="s">
        <v>8</v>
      </c>
      <c r="C370" t="s">
        <v>21</v>
      </c>
      <c r="D370">
        <v>9</v>
      </c>
      <c r="E370" t="s">
        <v>21</v>
      </c>
      <c r="F370" s="83">
        <v>152213</v>
      </c>
      <c r="G370" s="82">
        <v>37.1</v>
      </c>
      <c r="H370" t="s">
        <v>144</v>
      </c>
    </row>
    <row r="371" spans="1:8" x14ac:dyDescent="0.25">
      <c r="A371" t="s">
        <v>312</v>
      </c>
      <c r="B371" t="s">
        <v>8</v>
      </c>
      <c r="C371" t="s">
        <v>21</v>
      </c>
      <c r="D371">
        <v>9</v>
      </c>
      <c r="E371" t="s">
        <v>21</v>
      </c>
      <c r="F371" s="83">
        <v>27447</v>
      </c>
      <c r="G371" s="82">
        <v>4.2</v>
      </c>
      <c r="H371" t="s">
        <v>144</v>
      </c>
    </row>
    <row r="372" spans="1:8" x14ac:dyDescent="0.25">
      <c r="A372" t="s">
        <v>313</v>
      </c>
      <c r="B372" t="s">
        <v>8</v>
      </c>
      <c r="C372" t="s">
        <v>21</v>
      </c>
      <c r="D372">
        <v>9</v>
      </c>
      <c r="E372" t="s">
        <v>21</v>
      </c>
      <c r="F372" s="83">
        <v>59556</v>
      </c>
      <c r="G372" s="82">
        <v>9.1</v>
      </c>
      <c r="H372" t="s">
        <v>144</v>
      </c>
    </row>
    <row r="373" spans="1:8" x14ac:dyDescent="0.25">
      <c r="A373" t="s">
        <v>278</v>
      </c>
      <c r="B373" t="s">
        <v>8</v>
      </c>
      <c r="C373" t="s">
        <v>21</v>
      </c>
      <c r="D373">
        <v>9</v>
      </c>
      <c r="E373" t="s">
        <v>262</v>
      </c>
      <c r="F373" s="83">
        <v>22991</v>
      </c>
      <c r="G373" s="82">
        <v>8.9</v>
      </c>
      <c r="H373" t="s">
        <v>144</v>
      </c>
    </row>
    <row r="374" spans="1:8" x14ac:dyDescent="0.25">
      <c r="A374" t="s">
        <v>279</v>
      </c>
      <c r="B374" t="s">
        <v>8</v>
      </c>
      <c r="C374" t="s">
        <v>21</v>
      </c>
      <c r="D374">
        <v>9</v>
      </c>
      <c r="E374" t="s">
        <v>262</v>
      </c>
      <c r="F374" s="83">
        <v>31024</v>
      </c>
      <c r="G374" s="82">
        <v>6.6</v>
      </c>
      <c r="H374" t="s">
        <v>144</v>
      </c>
    </row>
    <row r="375" spans="1:8" x14ac:dyDescent="0.25">
      <c r="A375" t="s">
        <v>280</v>
      </c>
      <c r="B375" t="s">
        <v>8</v>
      </c>
      <c r="C375" t="s">
        <v>21</v>
      </c>
      <c r="D375">
        <v>9</v>
      </c>
      <c r="E375" t="s">
        <v>262</v>
      </c>
      <c r="F375" s="83">
        <v>66266</v>
      </c>
      <c r="G375" s="82">
        <v>14.7</v>
      </c>
      <c r="H375" t="s">
        <v>144</v>
      </c>
    </row>
    <row r="376" spans="1:8" x14ac:dyDescent="0.25">
      <c r="A376" t="s">
        <v>314</v>
      </c>
      <c r="B376" t="s">
        <v>8</v>
      </c>
      <c r="C376" t="s">
        <v>21</v>
      </c>
      <c r="D376">
        <v>9</v>
      </c>
      <c r="E376" t="s">
        <v>21</v>
      </c>
      <c r="F376" s="83">
        <v>26969</v>
      </c>
      <c r="G376" s="82">
        <v>3.9</v>
      </c>
      <c r="H376" t="s">
        <v>144</v>
      </c>
    </row>
    <row r="377" spans="1:8" x14ac:dyDescent="0.25">
      <c r="A377" t="s">
        <v>284</v>
      </c>
      <c r="B377" t="s">
        <v>8</v>
      </c>
      <c r="C377" t="s">
        <v>21</v>
      </c>
      <c r="D377">
        <v>9</v>
      </c>
      <c r="E377" t="s">
        <v>262</v>
      </c>
      <c r="F377" s="83">
        <v>95202</v>
      </c>
      <c r="G377" s="82">
        <v>17.7</v>
      </c>
      <c r="H377" t="s">
        <v>144</v>
      </c>
    </row>
    <row r="378" spans="1:8" x14ac:dyDescent="0.25">
      <c r="A378" t="s">
        <v>297</v>
      </c>
      <c r="B378" t="s">
        <v>8</v>
      </c>
      <c r="C378" t="s">
        <v>21</v>
      </c>
      <c r="D378">
        <v>9</v>
      </c>
      <c r="E378" t="s">
        <v>19</v>
      </c>
      <c r="F378" s="83">
        <v>114985</v>
      </c>
      <c r="G378" s="82">
        <v>33.6</v>
      </c>
      <c r="H378" t="s">
        <v>144</v>
      </c>
    </row>
    <row r="379" spans="1:8" x14ac:dyDescent="0.25">
      <c r="A379" t="s">
        <v>315</v>
      </c>
      <c r="B379" t="s">
        <v>8</v>
      </c>
      <c r="C379" t="s">
        <v>21</v>
      </c>
      <c r="D379">
        <v>9</v>
      </c>
      <c r="E379" t="s">
        <v>21</v>
      </c>
      <c r="F379" s="83">
        <v>61431</v>
      </c>
      <c r="G379" s="82">
        <v>7.3</v>
      </c>
      <c r="H379" t="s">
        <v>144</v>
      </c>
    </row>
    <row r="380" spans="1:8" x14ac:dyDescent="0.25">
      <c r="A380" t="s">
        <v>305</v>
      </c>
      <c r="B380" t="s">
        <v>8</v>
      </c>
      <c r="C380" t="s">
        <v>21</v>
      </c>
      <c r="D380">
        <v>9</v>
      </c>
      <c r="E380" t="s">
        <v>21</v>
      </c>
      <c r="F380" s="83">
        <v>176080</v>
      </c>
      <c r="G380" s="82">
        <v>41.3</v>
      </c>
      <c r="H380" t="s">
        <v>144</v>
      </c>
    </row>
    <row r="381" spans="1:8" x14ac:dyDescent="0.25">
      <c r="A381" t="s">
        <v>309</v>
      </c>
      <c r="B381" t="s">
        <v>8</v>
      </c>
      <c r="C381" t="s">
        <v>21</v>
      </c>
      <c r="D381">
        <v>9</v>
      </c>
      <c r="E381" t="s">
        <v>21</v>
      </c>
      <c r="F381" s="83">
        <v>49704</v>
      </c>
      <c r="G381" s="82">
        <v>39.1</v>
      </c>
      <c r="H381" t="s">
        <v>144</v>
      </c>
    </row>
    <row r="382" spans="1:8" x14ac:dyDescent="0.25">
      <c r="A382" t="s">
        <v>287</v>
      </c>
      <c r="B382" t="s">
        <v>8</v>
      </c>
      <c r="C382" t="s">
        <v>21</v>
      </c>
      <c r="D382">
        <v>9</v>
      </c>
      <c r="E382" t="s">
        <v>262</v>
      </c>
      <c r="F382" s="83">
        <v>48325</v>
      </c>
      <c r="G382" s="82">
        <v>12.9</v>
      </c>
      <c r="H382" t="s">
        <v>144</v>
      </c>
    </row>
    <row r="383" spans="1:8" x14ac:dyDescent="0.25">
      <c r="A383" t="s">
        <v>288</v>
      </c>
      <c r="B383" t="s">
        <v>8</v>
      </c>
      <c r="C383" t="s">
        <v>21</v>
      </c>
      <c r="D383">
        <v>9</v>
      </c>
      <c r="E383" t="s">
        <v>262</v>
      </c>
      <c r="F383" s="83">
        <v>64857</v>
      </c>
      <c r="G383" s="82">
        <v>18.399999999999999</v>
      </c>
      <c r="H383" t="s">
        <v>144</v>
      </c>
    </row>
    <row r="384" spans="1:8" x14ac:dyDescent="0.25">
      <c r="A384" t="s">
        <v>21</v>
      </c>
      <c r="B384" t="s">
        <v>8</v>
      </c>
      <c r="C384" t="s">
        <v>21</v>
      </c>
      <c r="D384">
        <v>9</v>
      </c>
      <c r="E384" t="s">
        <v>21</v>
      </c>
      <c r="F384" s="83">
        <v>1425976</v>
      </c>
      <c r="G384" s="82">
        <v>325.2</v>
      </c>
      <c r="H384" t="s">
        <v>144</v>
      </c>
    </row>
    <row r="385" spans="1:8" x14ac:dyDescent="0.25">
      <c r="A385" t="s">
        <v>289</v>
      </c>
      <c r="B385" t="s">
        <v>8</v>
      </c>
      <c r="C385" t="s">
        <v>21</v>
      </c>
      <c r="D385">
        <v>9</v>
      </c>
      <c r="E385" t="s">
        <v>262</v>
      </c>
      <c r="F385" s="83">
        <v>36013</v>
      </c>
      <c r="G385" s="82">
        <v>14.2</v>
      </c>
      <c r="H385" t="s">
        <v>144</v>
      </c>
    </row>
    <row r="386" spans="1:8" x14ac:dyDescent="0.25">
      <c r="A386" t="s">
        <v>22</v>
      </c>
      <c r="B386" t="s">
        <v>8</v>
      </c>
      <c r="C386" t="s">
        <v>21</v>
      </c>
      <c r="D386">
        <v>9</v>
      </c>
      <c r="E386" t="s">
        <v>21</v>
      </c>
      <c r="F386" s="83">
        <v>96847</v>
      </c>
      <c r="G386" s="82">
        <v>24.4</v>
      </c>
      <c r="H386" t="s">
        <v>144</v>
      </c>
    </row>
    <row r="387" spans="1:8" x14ac:dyDescent="0.25">
      <c r="A387" t="s">
        <v>316</v>
      </c>
      <c r="B387" t="s">
        <v>8</v>
      </c>
      <c r="C387" t="s">
        <v>21</v>
      </c>
      <c r="D387">
        <v>9</v>
      </c>
      <c r="E387" t="s">
        <v>21</v>
      </c>
      <c r="F387" s="83">
        <v>58115</v>
      </c>
      <c r="G387" s="82">
        <v>16.2</v>
      </c>
      <c r="H387" t="s">
        <v>144</v>
      </c>
    </row>
    <row r="388" spans="1:8" x14ac:dyDescent="0.25">
      <c r="A388" t="s">
        <v>306</v>
      </c>
      <c r="B388" t="s">
        <v>8</v>
      </c>
      <c r="C388" t="s">
        <v>21</v>
      </c>
      <c r="D388">
        <v>9</v>
      </c>
      <c r="E388" t="s">
        <v>21</v>
      </c>
      <c r="F388" s="83">
        <v>13379</v>
      </c>
      <c r="G388" s="82">
        <v>3.5</v>
      </c>
      <c r="H388" t="s">
        <v>144</v>
      </c>
    </row>
    <row r="389" spans="1:8" x14ac:dyDescent="0.25">
      <c r="A389" t="s">
        <v>298</v>
      </c>
      <c r="B389" t="s">
        <v>8</v>
      </c>
      <c r="C389" t="s">
        <v>21</v>
      </c>
      <c r="D389">
        <v>9</v>
      </c>
      <c r="E389" t="s">
        <v>19</v>
      </c>
      <c r="F389" s="83">
        <v>114742</v>
      </c>
      <c r="G389" s="82">
        <v>37.299999999999997</v>
      </c>
      <c r="H389" t="s">
        <v>144</v>
      </c>
    </row>
    <row r="390" spans="1:8" x14ac:dyDescent="0.25">
      <c r="A390" t="s">
        <v>307</v>
      </c>
      <c r="B390" t="s">
        <v>8</v>
      </c>
      <c r="C390" t="s">
        <v>21</v>
      </c>
      <c r="D390">
        <v>9</v>
      </c>
      <c r="E390" t="s">
        <v>21</v>
      </c>
      <c r="F390" s="83">
        <v>101224</v>
      </c>
      <c r="G390" s="82">
        <v>18.7</v>
      </c>
      <c r="H390" t="s">
        <v>144</v>
      </c>
    </row>
    <row r="391" spans="1:8" x14ac:dyDescent="0.25">
      <c r="A391" t="s">
        <v>299</v>
      </c>
      <c r="B391" t="s">
        <v>8</v>
      </c>
      <c r="C391" t="s">
        <v>21</v>
      </c>
      <c r="D391">
        <v>9</v>
      </c>
      <c r="E391" t="s">
        <v>19</v>
      </c>
      <c r="F391" s="83">
        <v>37280</v>
      </c>
      <c r="G391" s="82">
        <v>23.7</v>
      </c>
      <c r="H391" t="s">
        <v>144</v>
      </c>
    </row>
    <row r="392" spans="1:8" x14ac:dyDescent="0.25">
      <c r="A392" t="s">
        <v>1428</v>
      </c>
      <c r="B392" t="s">
        <v>5</v>
      </c>
      <c r="C392" t="s">
        <v>21</v>
      </c>
      <c r="D392" s="13">
        <v>9</v>
      </c>
      <c r="E392" s="13" t="s">
        <v>21</v>
      </c>
      <c r="F392" s="83">
        <v>0</v>
      </c>
      <c r="G392" s="82" t="e">
        <v>#N/A</v>
      </c>
      <c r="H392" t="s">
        <v>144</v>
      </c>
    </row>
    <row r="393" spans="1:8" x14ac:dyDescent="0.25">
      <c r="A393" s="44" t="s">
        <v>301</v>
      </c>
      <c r="B393" t="s">
        <v>67</v>
      </c>
      <c r="C393" t="s">
        <v>21</v>
      </c>
      <c r="D393">
        <v>9</v>
      </c>
      <c r="E393" t="s">
        <v>21</v>
      </c>
      <c r="F393" s="83" t="e">
        <v>#N/A</v>
      </c>
      <c r="G393" s="82" t="e">
        <v>#N/A</v>
      </c>
      <c r="H393" t="s">
        <v>144</v>
      </c>
    </row>
    <row r="394" spans="1:8" x14ac:dyDescent="0.25">
      <c r="A394" s="44" t="s">
        <v>300</v>
      </c>
      <c r="B394" t="s">
        <v>67</v>
      </c>
      <c r="C394" t="s">
        <v>21</v>
      </c>
      <c r="D394">
        <v>9</v>
      </c>
      <c r="E394" t="s">
        <v>21</v>
      </c>
      <c r="F394" s="83" t="e">
        <v>#N/A</v>
      </c>
      <c r="G394" s="82" t="e">
        <v>#N/A</v>
      </c>
      <c r="H394" t="s">
        <v>144</v>
      </c>
    </row>
    <row r="395" spans="1:8" x14ac:dyDescent="0.25">
      <c r="A395" t="s">
        <v>1452</v>
      </c>
      <c r="B395" t="s">
        <v>8</v>
      </c>
      <c r="C395" t="s">
        <v>1457</v>
      </c>
      <c r="D395">
        <v>2</v>
      </c>
      <c r="E395" t="s">
        <v>1452</v>
      </c>
      <c r="F395" s="83" t="e">
        <v>#N/A</v>
      </c>
      <c r="G395" s="82" t="e">
        <v>#N/A</v>
      </c>
      <c r="H395" t="s">
        <v>144</v>
      </c>
    </row>
    <row r="396" spans="1:8" x14ac:dyDescent="0.25">
      <c r="A396" t="s">
        <v>1514</v>
      </c>
      <c r="B396" t="s">
        <v>8</v>
      </c>
      <c r="C396" t="s">
        <v>1457</v>
      </c>
      <c r="D396">
        <v>2</v>
      </c>
      <c r="E396" t="s">
        <v>1452</v>
      </c>
      <c r="F396" s="83" t="e">
        <v>#N/A</v>
      </c>
      <c r="G396" s="82" t="e">
        <v>#N/A</v>
      </c>
      <c r="H396" t="s">
        <v>144</v>
      </c>
    </row>
    <row r="397" spans="1:8" x14ac:dyDescent="0.25">
      <c r="A397" t="s">
        <v>1764</v>
      </c>
      <c r="B397" t="s">
        <v>8</v>
      </c>
      <c r="C397" t="s">
        <v>1457</v>
      </c>
      <c r="D397">
        <v>2</v>
      </c>
      <c r="E397" t="s">
        <v>1528</v>
      </c>
      <c r="F397" s="83" t="e">
        <v>#N/A</v>
      </c>
      <c r="G397" s="82" t="e">
        <v>#N/A</v>
      </c>
      <c r="H397" t="s">
        <v>143</v>
      </c>
    </row>
    <row r="398" spans="1:8" x14ac:dyDescent="0.25">
      <c r="A398" t="s">
        <v>1534</v>
      </c>
      <c r="B398" t="s">
        <v>8</v>
      </c>
      <c r="C398" t="s">
        <v>1457</v>
      </c>
      <c r="D398">
        <v>2</v>
      </c>
      <c r="E398" t="s">
        <v>6</v>
      </c>
      <c r="F398" s="83" t="e">
        <v>#N/A</v>
      </c>
      <c r="G398" s="82" t="e">
        <v>#N/A</v>
      </c>
      <c r="H398" t="s">
        <v>144</v>
      </c>
    </row>
    <row r="399" spans="1:8" x14ac:dyDescent="0.25">
      <c r="A399" t="s">
        <v>1544</v>
      </c>
      <c r="B399" t="s">
        <v>8</v>
      </c>
      <c r="C399" t="s">
        <v>1457</v>
      </c>
      <c r="D399">
        <v>2</v>
      </c>
      <c r="E399" t="s">
        <v>1545</v>
      </c>
      <c r="F399" s="83" t="e">
        <v>#N/A</v>
      </c>
      <c r="G399" s="82" t="e">
        <v>#N/A</v>
      </c>
      <c r="H399" t="s">
        <v>144</v>
      </c>
    </row>
    <row r="400" spans="1:8" x14ac:dyDescent="0.25">
      <c r="A400" t="s">
        <v>1558</v>
      </c>
      <c r="B400" t="s">
        <v>8</v>
      </c>
      <c r="C400" t="s">
        <v>1457</v>
      </c>
      <c r="D400">
        <v>2</v>
      </c>
      <c r="E400" t="s">
        <v>1545</v>
      </c>
      <c r="F400" s="83" t="e">
        <v>#N/A</v>
      </c>
      <c r="G400" s="82" t="e">
        <v>#N/A</v>
      </c>
      <c r="H400" t="s">
        <v>144</v>
      </c>
    </row>
    <row r="401" spans="1:8" x14ac:dyDescent="0.25">
      <c r="A401" t="s">
        <v>1559</v>
      </c>
      <c r="B401" t="s">
        <v>8</v>
      </c>
      <c r="C401" t="s">
        <v>1457</v>
      </c>
      <c r="D401">
        <v>2</v>
      </c>
      <c r="E401" t="s">
        <v>1524</v>
      </c>
      <c r="F401" s="83" t="e">
        <v>#N/A</v>
      </c>
      <c r="G401" s="82" t="e">
        <v>#N/A</v>
      </c>
      <c r="H401" t="s">
        <v>143</v>
      </c>
    </row>
    <row r="402" spans="1:8" x14ac:dyDescent="0.25">
      <c r="A402" t="s">
        <v>1561</v>
      </c>
      <c r="B402" t="s">
        <v>8</v>
      </c>
      <c r="C402" t="s">
        <v>1457</v>
      </c>
      <c r="D402">
        <v>2</v>
      </c>
      <c r="E402" t="s">
        <v>1518</v>
      </c>
      <c r="F402" s="83" t="e">
        <v>#N/A</v>
      </c>
      <c r="G402" s="82" t="e">
        <v>#N/A</v>
      </c>
      <c r="H402" t="s">
        <v>143</v>
      </c>
    </row>
    <row r="403" spans="1:8" x14ac:dyDescent="0.25">
      <c r="A403" t="s">
        <v>428</v>
      </c>
      <c r="B403" t="s">
        <v>8</v>
      </c>
      <c r="C403" t="s">
        <v>1457</v>
      </c>
      <c r="D403">
        <v>2</v>
      </c>
      <c r="E403" t="s">
        <v>1452</v>
      </c>
      <c r="F403" s="83">
        <v>121643</v>
      </c>
      <c r="G403" s="82">
        <v>10.5</v>
      </c>
      <c r="H403" t="s">
        <v>144</v>
      </c>
    </row>
    <row r="404" spans="1:8" x14ac:dyDescent="0.25">
      <c r="A404" t="s">
        <v>1569</v>
      </c>
      <c r="B404" t="s">
        <v>8</v>
      </c>
      <c r="C404" t="s">
        <v>1457</v>
      </c>
      <c r="D404">
        <v>2</v>
      </c>
      <c r="E404" t="s">
        <v>6</v>
      </c>
      <c r="F404" s="83" t="e">
        <v>#N/A</v>
      </c>
      <c r="G404" s="82" t="e">
        <v>#N/A</v>
      </c>
      <c r="H404" t="s">
        <v>144</v>
      </c>
    </row>
    <row r="405" spans="1:8" x14ac:dyDescent="0.25">
      <c r="A405" t="s">
        <v>1570</v>
      </c>
      <c r="B405" t="s">
        <v>8</v>
      </c>
      <c r="C405" t="s">
        <v>1457</v>
      </c>
      <c r="D405">
        <v>2</v>
      </c>
      <c r="E405" t="s">
        <v>1545</v>
      </c>
      <c r="F405" s="83" t="e">
        <v>#N/A</v>
      </c>
      <c r="G405" s="82" t="e">
        <v>#N/A</v>
      </c>
      <c r="H405" t="s">
        <v>144</v>
      </c>
    </row>
    <row r="406" spans="1:8" x14ac:dyDescent="0.25">
      <c r="A406" t="s">
        <v>1572</v>
      </c>
      <c r="B406" t="s">
        <v>8</v>
      </c>
      <c r="C406" t="s">
        <v>1457</v>
      </c>
      <c r="D406">
        <v>2</v>
      </c>
      <c r="E406" t="s">
        <v>1545</v>
      </c>
      <c r="F406" s="83" t="e">
        <v>#N/A</v>
      </c>
      <c r="G406" s="82" t="e">
        <v>#N/A</v>
      </c>
      <c r="H406" t="s">
        <v>144</v>
      </c>
    </row>
    <row r="407" spans="1:8" x14ac:dyDescent="0.25">
      <c r="A407" t="s">
        <v>1576</v>
      </c>
      <c r="B407" t="s">
        <v>8</v>
      </c>
      <c r="C407" t="s">
        <v>1457</v>
      </c>
      <c r="D407">
        <v>2</v>
      </c>
      <c r="E407" t="s">
        <v>1528</v>
      </c>
      <c r="F407" s="83" t="e">
        <v>#N/A</v>
      </c>
      <c r="G407" s="82" t="e">
        <v>#N/A</v>
      </c>
      <c r="H407" t="s">
        <v>143</v>
      </c>
    </row>
    <row r="408" spans="1:8" x14ac:dyDescent="0.25">
      <c r="A408" t="s">
        <v>1577</v>
      </c>
      <c r="B408" t="s">
        <v>8</v>
      </c>
      <c r="C408" t="s">
        <v>1457</v>
      </c>
      <c r="D408">
        <v>2</v>
      </c>
      <c r="E408" t="s">
        <v>1526</v>
      </c>
      <c r="F408" s="83" t="e">
        <v>#N/A</v>
      </c>
      <c r="G408" s="82" t="e">
        <v>#N/A</v>
      </c>
      <c r="H408" t="s">
        <v>144</v>
      </c>
    </row>
    <row r="409" spans="1:8" x14ac:dyDescent="0.25">
      <c r="A409" t="s">
        <v>1587</v>
      </c>
      <c r="B409" t="s">
        <v>8</v>
      </c>
      <c r="C409" t="s">
        <v>1457</v>
      </c>
      <c r="D409">
        <v>2</v>
      </c>
      <c r="E409" t="s">
        <v>6</v>
      </c>
      <c r="F409" s="83" t="e">
        <v>#N/A</v>
      </c>
      <c r="G409" s="82" t="e">
        <v>#N/A</v>
      </c>
      <c r="H409" t="s">
        <v>144</v>
      </c>
    </row>
    <row r="410" spans="1:8" x14ac:dyDescent="0.25">
      <c r="A410" t="s">
        <v>1594</v>
      </c>
      <c r="B410" t="s">
        <v>8</v>
      </c>
      <c r="C410" t="s">
        <v>1457</v>
      </c>
      <c r="D410">
        <v>2</v>
      </c>
      <c r="E410" t="s">
        <v>1545</v>
      </c>
      <c r="F410" s="83" t="e">
        <v>#N/A</v>
      </c>
      <c r="G410" s="82" t="e">
        <v>#N/A</v>
      </c>
      <c r="H410" t="s">
        <v>144</v>
      </c>
    </row>
    <row r="411" spans="1:8" x14ac:dyDescent="0.25">
      <c r="A411" t="s">
        <v>1596</v>
      </c>
      <c r="B411" t="s">
        <v>8</v>
      </c>
      <c r="C411" t="s">
        <v>1457</v>
      </c>
      <c r="D411">
        <v>2</v>
      </c>
      <c r="E411" t="s">
        <v>6</v>
      </c>
      <c r="F411" s="83" t="e">
        <v>#N/A</v>
      </c>
      <c r="G411" s="82" t="e">
        <v>#N/A</v>
      </c>
      <c r="H411" t="s">
        <v>144</v>
      </c>
    </row>
    <row r="412" spans="1:8" x14ac:dyDescent="0.25">
      <c r="A412" t="s">
        <v>1771</v>
      </c>
      <c r="B412" t="s">
        <v>8</v>
      </c>
      <c r="C412" t="s">
        <v>1457</v>
      </c>
      <c r="D412">
        <v>2</v>
      </c>
      <c r="E412" t="s">
        <v>1524</v>
      </c>
      <c r="F412" s="83" t="e">
        <v>#N/A</v>
      </c>
      <c r="G412" s="82" t="e">
        <v>#N/A</v>
      </c>
      <c r="H412" t="s">
        <v>1460</v>
      </c>
    </row>
    <row r="413" spans="1:8" x14ac:dyDescent="0.25">
      <c r="A413" t="s">
        <v>1601</v>
      </c>
      <c r="B413" t="s">
        <v>8</v>
      </c>
      <c r="C413" t="s">
        <v>1457</v>
      </c>
      <c r="D413">
        <v>2</v>
      </c>
      <c r="E413" t="s">
        <v>1526</v>
      </c>
      <c r="F413" s="83" t="e">
        <v>#N/A</v>
      </c>
      <c r="G413" s="82" t="e">
        <v>#N/A</v>
      </c>
      <c r="H413" t="s">
        <v>144</v>
      </c>
    </row>
    <row r="414" spans="1:8" x14ac:dyDescent="0.25">
      <c r="A414" t="s">
        <v>1773</v>
      </c>
      <c r="B414" t="s">
        <v>8</v>
      </c>
      <c r="C414" t="s">
        <v>1457</v>
      </c>
      <c r="D414">
        <v>2</v>
      </c>
      <c r="E414" t="s">
        <v>1545</v>
      </c>
      <c r="F414" s="83" t="e">
        <v>#N/A</v>
      </c>
      <c r="G414" s="82" t="e">
        <v>#N/A</v>
      </c>
      <c r="H414" t="s">
        <v>144</v>
      </c>
    </row>
    <row r="415" spans="1:8" x14ac:dyDescent="0.25">
      <c r="A415" t="s">
        <v>1602</v>
      </c>
      <c r="B415" t="s">
        <v>8</v>
      </c>
      <c r="C415" t="s">
        <v>1457</v>
      </c>
      <c r="D415">
        <v>2</v>
      </c>
      <c r="E415" t="s">
        <v>6</v>
      </c>
      <c r="F415" s="83" t="e">
        <v>#N/A</v>
      </c>
      <c r="G415" s="82" t="e">
        <v>#N/A</v>
      </c>
      <c r="H415" t="s">
        <v>144</v>
      </c>
    </row>
    <row r="416" spans="1:8" x14ac:dyDescent="0.25">
      <c r="A416" t="s">
        <v>1608</v>
      </c>
      <c r="B416" t="s">
        <v>8</v>
      </c>
      <c r="C416" t="s">
        <v>1457</v>
      </c>
      <c r="D416">
        <v>2</v>
      </c>
      <c r="E416" t="s">
        <v>1452</v>
      </c>
      <c r="F416" s="83" t="e">
        <v>#N/A</v>
      </c>
      <c r="G416" s="82" t="e">
        <v>#N/A</v>
      </c>
      <c r="H416" t="s">
        <v>144</v>
      </c>
    </row>
    <row r="417" spans="1:8" x14ac:dyDescent="0.25">
      <c r="A417" t="s">
        <v>1777</v>
      </c>
      <c r="B417" t="s">
        <v>8</v>
      </c>
      <c r="C417" t="s">
        <v>1457</v>
      </c>
      <c r="D417">
        <v>2</v>
      </c>
      <c r="E417" t="s">
        <v>1545</v>
      </c>
      <c r="F417" s="83" t="e">
        <v>#N/A</v>
      </c>
      <c r="G417" s="82" t="e">
        <v>#N/A</v>
      </c>
      <c r="H417" t="s">
        <v>144</v>
      </c>
    </row>
    <row r="418" spans="1:8" x14ac:dyDescent="0.25">
      <c r="A418" t="s">
        <v>1611</v>
      </c>
      <c r="B418" t="s">
        <v>8</v>
      </c>
      <c r="C418" t="s">
        <v>1457</v>
      </c>
      <c r="D418">
        <v>2</v>
      </c>
      <c r="E418" t="s">
        <v>6</v>
      </c>
      <c r="F418" s="83" t="e">
        <v>#N/A</v>
      </c>
      <c r="G418" s="82" t="e">
        <v>#N/A</v>
      </c>
      <c r="H418" t="s">
        <v>144</v>
      </c>
    </row>
    <row r="419" spans="1:8" x14ac:dyDescent="0.25">
      <c r="A419" t="s">
        <v>1612</v>
      </c>
      <c r="B419" t="s">
        <v>8</v>
      </c>
      <c r="C419" t="s">
        <v>1457</v>
      </c>
      <c r="D419">
        <v>2</v>
      </c>
      <c r="E419" t="s">
        <v>1452</v>
      </c>
      <c r="F419" s="83" t="e">
        <v>#N/A</v>
      </c>
      <c r="G419" s="82" t="e">
        <v>#N/A</v>
      </c>
      <c r="H419" t="s">
        <v>144</v>
      </c>
    </row>
    <row r="420" spans="1:8" x14ac:dyDescent="0.25">
      <c r="A420" t="s">
        <v>1617</v>
      </c>
      <c r="B420" t="s">
        <v>8</v>
      </c>
      <c r="C420" t="s">
        <v>1457</v>
      </c>
      <c r="D420">
        <v>2</v>
      </c>
      <c r="E420" t="s">
        <v>1524</v>
      </c>
      <c r="F420" s="83" t="e">
        <v>#N/A</v>
      </c>
      <c r="G420" s="82" t="e">
        <v>#N/A</v>
      </c>
      <c r="H420" t="s">
        <v>1460</v>
      </c>
    </row>
    <row r="421" spans="1:8" x14ac:dyDescent="0.25">
      <c r="A421" t="s">
        <v>1618</v>
      </c>
      <c r="B421" t="s">
        <v>8</v>
      </c>
      <c r="C421" t="s">
        <v>1457</v>
      </c>
      <c r="D421">
        <v>2</v>
      </c>
      <c r="E421" t="s">
        <v>1518</v>
      </c>
      <c r="F421" s="83" t="e">
        <v>#N/A</v>
      </c>
      <c r="G421" s="82" t="e">
        <v>#N/A</v>
      </c>
      <c r="H421" t="s">
        <v>1460</v>
      </c>
    </row>
    <row r="422" spans="1:8" x14ac:dyDescent="0.25">
      <c r="A422" t="s">
        <v>1780</v>
      </c>
      <c r="B422" t="s">
        <v>8</v>
      </c>
      <c r="C422" t="s">
        <v>1457</v>
      </c>
      <c r="D422">
        <v>2</v>
      </c>
      <c r="E422" t="s">
        <v>1545</v>
      </c>
      <c r="F422" s="83" t="e">
        <v>#N/A</v>
      </c>
      <c r="G422" s="82" t="e">
        <v>#N/A</v>
      </c>
      <c r="H422" t="s">
        <v>144</v>
      </c>
    </row>
    <row r="423" spans="1:8" x14ac:dyDescent="0.25">
      <c r="A423" t="s">
        <v>1624</v>
      </c>
      <c r="B423" t="s">
        <v>8</v>
      </c>
      <c r="C423" t="s">
        <v>1457</v>
      </c>
      <c r="D423">
        <v>2</v>
      </c>
      <c r="E423" t="s">
        <v>1452</v>
      </c>
      <c r="F423" s="83" t="e">
        <v>#N/A</v>
      </c>
      <c r="G423" s="82" t="e">
        <v>#N/A</v>
      </c>
      <c r="H423" t="s">
        <v>144</v>
      </c>
    </row>
    <row r="424" spans="1:8" x14ac:dyDescent="0.25">
      <c r="A424" t="s">
        <v>1760</v>
      </c>
      <c r="B424" t="s">
        <v>8</v>
      </c>
      <c r="C424" t="s">
        <v>1457</v>
      </c>
      <c r="D424">
        <v>2</v>
      </c>
      <c r="E424" t="s">
        <v>1545</v>
      </c>
      <c r="F424" s="83" t="e">
        <v>#N/A</v>
      </c>
      <c r="G424" s="82" t="e">
        <v>#N/A</v>
      </c>
      <c r="H424" t="s">
        <v>144</v>
      </c>
    </row>
    <row r="425" spans="1:8" x14ac:dyDescent="0.25">
      <c r="A425" t="s">
        <v>1633</v>
      </c>
      <c r="B425" t="s">
        <v>8</v>
      </c>
      <c r="C425" t="s">
        <v>1457</v>
      </c>
      <c r="D425">
        <v>2</v>
      </c>
      <c r="E425" t="s">
        <v>1452</v>
      </c>
      <c r="F425" s="83" t="e">
        <v>#N/A</v>
      </c>
      <c r="G425" s="82" t="e">
        <v>#N/A</v>
      </c>
      <c r="H425" t="s">
        <v>144</v>
      </c>
    </row>
    <row r="426" spans="1:8" x14ac:dyDescent="0.25">
      <c r="A426" t="s">
        <v>1635</v>
      </c>
      <c r="B426" t="s">
        <v>8</v>
      </c>
      <c r="C426" t="s">
        <v>1457</v>
      </c>
      <c r="D426">
        <v>2</v>
      </c>
      <c r="E426" t="s">
        <v>6</v>
      </c>
      <c r="F426" s="83" t="e">
        <v>#N/A</v>
      </c>
      <c r="G426" s="82" t="e">
        <v>#N/A</v>
      </c>
      <c r="H426" t="s">
        <v>144</v>
      </c>
    </row>
    <row r="427" spans="1:8" x14ac:dyDescent="0.25">
      <c r="A427" t="s">
        <v>1637</v>
      </c>
      <c r="B427" t="s">
        <v>8</v>
      </c>
      <c r="C427" t="s">
        <v>1457</v>
      </c>
      <c r="D427">
        <v>2</v>
      </c>
      <c r="E427" t="s">
        <v>1545</v>
      </c>
      <c r="F427" s="83" t="e">
        <v>#N/A</v>
      </c>
      <c r="G427" s="82" t="e">
        <v>#N/A</v>
      </c>
      <c r="H427" t="s">
        <v>144</v>
      </c>
    </row>
    <row r="428" spans="1:8" x14ac:dyDescent="0.25">
      <c r="A428" t="s">
        <v>1649</v>
      </c>
      <c r="B428" t="s">
        <v>8</v>
      </c>
      <c r="C428" t="s">
        <v>1457</v>
      </c>
      <c r="D428">
        <v>2</v>
      </c>
      <c r="E428" t="s">
        <v>6</v>
      </c>
      <c r="F428" s="83" t="e">
        <v>#N/A</v>
      </c>
      <c r="G428" s="82" t="e">
        <v>#N/A</v>
      </c>
      <c r="H428" t="s">
        <v>144</v>
      </c>
    </row>
    <row r="429" spans="1:8" x14ac:dyDescent="0.25">
      <c r="A429" t="s">
        <v>1652</v>
      </c>
      <c r="B429" t="s">
        <v>8</v>
      </c>
      <c r="C429" t="s">
        <v>1457</v>
      </c>
      <c r="D429">
        <v>2</v>
      </c>
      <c r="E429" t="s">
        <v>1524</v>
      </c>
      <c r="F429" s="83" t="e">
        <v>#N/A</v>
      </c>
      <c r="G429" s="82" t="e">
        <v>#N/A</v>
      </c>
      <c r="H429" t="s">
        <v>143</v>
      </c>
    </row>
    <row r="430" spans="1:8" x14ac:dyDescent="0.25">
      <c r="A430" t="s">
        <v>1658</v>
      </c>
      <c r="B430" t="s">
        <v>8</v>
      </c>
      <c r="C430" t="s">
        <v>1457</v>
      </c>
      <c r="D430">
        <v>2</v>
      </c>
      <c r="E430" t="s">
        <v>1452</v>
      </c>
      <c r="F430" s="83" t="e">
        <v>#N/A</v>
      </c>
      <c r="G430" s="82" t="e">
        <v>#N/A</v>
      </c>
      <c r="H430" t="s">
        <v>144</v>
      </c>
    </row>
    <row r="431" spans="1:8" x14ac:dyDescent="0.25">
      <c r="A431" t="s">
        <v>1756</v>
      </c>
      <c r="B431" t="s">
        <v>8</v>
      </c>
      <c r="C431" t="s">
        <v>1457</v>
      </c>
      <c r="D431">
        <v>2</v>
      </c>
      <c r="E431" t="s">
        <v>1526</v>
      </c>
      <c r="F431" s="83" t="e">
        <v>#N/A</v>
      </c>
      <c r="G431" s="82" t="e">
        <v>#N/A</v>
      </c>
      <c r="H431" t="s">
        <v>144</v>
      </c>
    </row>
    <row r="432" spans="1:8" x14ac:dyDescent="0.25">
      <c r="A432" t="s">
        <v>1786</v>
      </c>
      <c r="B432" t="s">
        <v>8</v>
      </c>
      <c r="C432" t="s">
        <v>1457</v>
      </c>
      <c r="D432">
        <v>2</v>
      </c>
      <c r="E432" t="s">
        <v>1526</v>
      </c>
      <c r="F432" s="83" t="e">
        <v>#N/A</v>
      </c>
      <c r="G432" s="82" t="e">
        <v>#N/A</v>
      </c>
      <c r="H432" t="s">
        <v>144</v>
      </c>
    </row>
    <row r="433" spans="1:8" x14ac:dyDescent="0.25">
      <c r="A433" t="s">
        <v>1788</v>
      </c>
      <c r="B433" t="s">
        <v>8</v>
      </c>
      <c r="C433" t="s">
        <v>1457</v>
      </c>
      <c r="D433">
        <v>2</v>
      </c>
      <c r="E433" t="s">
        <v>1526</v>
      </c>
      <c r="F433" s="83" t="e">
        <v>#N/A</v>
      </c>
      <c r="G433" s="82" t="e">
        <v>#N/A</v>
      </c>
      <c r="H433" t="s">
        <v>144</v>
      </c>
    </row>
    <row r="434" spans="1:8" x14ac:dyDescent="0.25">
      <c r="A434" t="s">
        <v>1668</v>
      </c>
      <c r="B434" t="s">
        <v>8</v>
      </c>
      <c r="C434" t="s">
        <v>1457</v>
      </c>
      <c r="D434">
        <v>2</v>
      </c>
      <c r="E434" t="s">
        <v>6</v>
      </c>
      <c r="F434" s="83" t="e">
        <v>#N/A</v>
      </c>
      <c r="G434" s="82" t="e">
        <v>#N/A</v>
      </c>
      <c r="H434" t="s">
        <v>144</v>
      </c>
    </row>
    <row r="435" spans="1:8" x14ac:dyDescent="0.25">
      <c r="A435" t="s">
        <v>1790</v>
      </c>
      <c r="B435" t="s">
        <v>8</v>
      </c>
      <c r="C435" t="s">
        <v>1457</v>
      </c>
      <c r="D435">
        <v>2</v>
      </c>
      <c r="E435" t="s">
        <v>1545</v>
      </c>
      <c r="F435" s="83" t="e">
        <v>#N/A</v>
      </c>
      <c r="G435" s="82" t="e">
        <v>#N/A</v>
      </c>
      <c r="H435" t="s">
        <v>144</v>
      </c>
    </row>
    <row r="436" spans="1:8" x14ac:dyDescent="0.25">
      <c r="A436" t="s">
        <v>1791</v>
      </c>
      <c r="B436" t="s">
        <v>8</v>
      </c>
      <c r="C436" t="s">
        <v>1457</v>
      </c>
      <c r="D436">
        <v>2</v>
      </c>
      <c r="E436" t="s">
        <v>1524</v>
      </c>
      <c r="F436" s="83" t="e">
        <v>#N/A</v>
      </c>
      <c r="G436" s="82" t="e">
        <v>#N/A</v>
      </c>
      <c r="H436" t="s">
        <v>143</v>
      </c>
    </row>
    <row r="437" spans="1:8" x14ac:dyDescent="0.25">
      <c r="A437" t="s">
        <v>1673</v>
      </c>
      <c r="B437" t="s">
        <v>8</v>
      </c>
      <c r="C437" t="s">
        <v>1457</v>
      </c>
      <c r="D437">
        <v>2</v>
      </c>
      <c r="E437" t="s">
        <v>1545</v>
      </c>
      <c r="F437" s="83" t="e">
        <v>#N/A</v>
      </c>
      <c r="G437" s="82" t="e">
        <v>#N/A</v>
      </c>
      <c r="H437" t="s">
        <v>144</v>
      </c>
    </row>
    <row r="438" spans="1:8" x14ac:dyDescent="0.25">
      <c r="A438" t="s">
        <v>1674</v>
      </c>
      <c r="B438" t="s">
        <v>8</v>
      </c>
      <c r="C438" t="s">
        <v>1457</v>
      </c>
      <c r="D438">
        <v>2</v>
      </c>
      <c r="E438" t="s">
        <v>1526</v>
      </c>
      <c r="F438" s="83" t="e">
        <v>#N/A</v>
      </c>
      <c r="G438" s="82" t="e">
        <v>#N/A</v>
      </c>
      <c r="H438" t="s">
        <v>144</v>
      </c>
    </row>
    <row r="439" spans="1:8" x14ac:dyDescent="0.25">
      <c r="A439" t="s">
        <v>1792</v>
      </c>
      <c r="B439" t="s">
        <v>8</v>
      </c>
      <c r="C439" t="s">
        <v>1457</v>
      </c>
      <c r="D439">
        <v>2</v>
      </c>
      <c r="E439" t="s">
        <v>1526</v>
      </c>
      <c r="F439" s="83" t="e">
        <v>#N/A</v>
      </c>
      <c r="G439" s="82" t="e">
        <v>#N/A</v>
      </c>
      <c r="H439" t="s">
        <v>144</v>
      </c>
    </row>
    <row r="440" spans="1:8" x14ac:dyDescent="0.25">
      <c r="A440" t="s">
        <v>1677</v>
      </c>
      <c r="B440" t="s">
        <v>8</v>
      </c>
      <c r="C440" t="s">
        <v>1457</v>
      </c>
      <c r="D440">
        <v>2</v>
      </c>
      <c r="E440" t="s">
        <v>6</v>
      </c>
      <c r="F440" s="83" t="e">
        <v>#N/A</v>
      </c>
      <c r="G440" s="82" t="e">
        <v>#N/A</v>
      </c>
      <c r="H440" t="s">
        <v>144</v>
      </c>
    </row>
    <row r="441" spans="1:8" x14ac:dyDescent="0.25">
      <c r="A441" t="s">
        <v>1796</v>
      </c>
      <c r="B441" t="s">
        <v>8</v>
      </c>
      <c r="C441" t="s">
        <v>1457</v>
      </c>
      <c r="D441">
        <v>2</v>
      </c>
      <c r="E441" t="s">
        <v>1526</v>
      </c>
      <c r="F441" s="83" t="e">
        <v>#N/A</v>
      </c>
      <c r="G441" s="82" t="e">
        <v>#N/A</v>
      </c>
      <c r="H441" t="s">
        <v>144</v>
      </c>
    </row>
    <row r="442" spans="1:8" x14ac:dyDescent="0.25">
      <c r="A442" t="s">
        <v>1528</v>
      </c>
      <c r="B442" t="s">
        <v>8</v>
      </c>
      <c r="C442" t="s">
        <v>1457</v>
      </c>
      <c r="D442">
        <v>2</v>
      </c>
      <c r="E442" t="s">
        <v>1528</v>
      </c>
      <c r="F442" s="83" t="e">
        <v>#N/A</v>
      </c>
      <c r="G442" s="82" t="e">
        <v>#N/A</v>
      </c>
      <c r="H442" t="s">
        <v>143</v>
      </c>
    </row>
    <row r="443" spans="1:8" x14ac:dyDescent="0.25">
      <c r="A443" t="s">
        <v>1679</v>
      </c>
      <c r="B443" t="s">
        <v>8</v>
      </c>
      <c r="C443" t="s">
        <v>1457</v>
      </c>
      <c r="D443">
        <v>2</v>
      </c>
      <c r="E443" t="s">
        <v>1452</v>
      </c>
      <c r="F443" s="83" t="e">
        <v>#N/A</v>
      </c>
      <c r="G443" s="82" t="e">
        <v>#N/A</v>
      </c>
      <c r="H443" t="s">
        <v>144</v>
      </c>
    </row>
    <row r="444" spans="1:8" x14ac:dyDescent="0.25">
      <c r="A444" t="s">
        <v>1681</v>
      </c>
      <c r="B444" t="s">
        <v>8</v>
      </c>
      <c r="C444" t="s">
        <v>1457</v>
      </c>
      <c r="D444">
        <v>2</v>
      </c>
      <c r="E444" t="s">
        <v>1524</v>
      </c>
      <c r="F444" s="83" t="e">
        <v>#N/A</v>
      </c>
      <c r="G444" s="82" t="e">
        <v>#N/A</v>
      </c>
      <c r="H444" t="s">
        <v>143</v>
      </c>
    </row>
    <row r="445" spans="1:8" x14ac:dyDescent="0.25">
      <c r="A445" t="s">
        <v>1683</v>
      </c>
      <c r="B445" t="s">
        <v>8</v>
      </c>
      <c r="C445" t="s">
        <v>1457</v>
      </c>
      <c r="D445">
        <v>2</v>
      </c>
      <c r="E445" t="s">
        <v>1452</v>
      </c>
      <c r="F445" s="83" t="e">
        <v>#N/A</v>
      </c>
      <c r="G445" s="82" t="e">
        <v>#N/A</v>
      </c>
      <c r="H445" t="s">
        <v>144</v>
      </c>
    </row>
    <row r="446" spans="1:8" x14ac:dyDescent="0.25">
      <c r="A446" t="s">
        <v>1685</v>
      </c>
      <c r="B446" t="s">
        <v>8</v>
      </c>
      <c r="C446" t="s">
        <v>1457</v>
      </c>
      <c r="D446">
        <v>2</v>
      </c>
      <c r="E446" t="s">
        <v>6</v>
      </c>
      <c r="F446" s="83" t="e">
        <v>#N/A</v>
      </c>
      <c r="G446" s="82" t="e">
        <v>#N/A</v>
      </c>
      <c r="H446" t="s">
        <v>144</v>
      </c>
    </row>
    <row r="447" spans="1:8" x14ac:dyDescent="0.25">
      <c r="A447" t="s">
        <v>1688</v>
      </c>
      <c r="B447" t="s">
        <v>8</v>
      </c>
      <c r="C447" t="s">
        <v>1457</v>
      </c>
      <c r="D447">
        <v>2</v>
      </c>
      <c r="E447" t="s">
        <v>1545</v>
      </c>
      <c r="F447" s="83" t="e">
        <v>#N/A</v>
      </c>
      <c r="G447" s="82" t="e">
        <v>#N/A</v>
      </c>
      <c r="H447" t="s">
        <v>144</v>
      </c>
    </row>
    <row r="448" spans="1:8" x14ac:dyDescent="0.25">
      <c r="A448" t="s">
        <v>1758</v>
      </c>
      <c r="B448" t="s">
        <v>8</v>
      </c>
      <c r="C448" t="s">
        <v>1457</v>
      </c>
      <c r="D448">
        <v>2</v>
      </c>
      <c r="E448" t="s">
        <v>1526</v>
      </c>
      <c r="F448" s="83" t="e">
        <v>#N/A</v>
      </c>
      <c r="G448" s="82" t="e">
        <v>#N/A</v>
      </c>
      <c r="H448" t="s">
        <v>144</v>
      </c>
    </row>
    <row r="449" spans="1:8" x14ac:dyDescent="0.25">
      <c r="A449" t="s">
        <v>1693</v>
      </c>
      <c r="B449" t="s">
        <v>8</v>
      </c>
      <c r="C449" t="s">
        <v>1457</v>
      </c>
      <c r="D449">
        <v>2</v>
      </c>
      <c r="E449" t="s">
        <v>4</v>
      </c>
      <c r="F449" s="83" t="e">
        <v>#N/A</v>
      </c>
      <c r="G449" s="82" t="e">
        <v>#N/A</v>
      </c>
      <c r="H449" t="s">
        <v>143</v>
      </c>
    </row>
    <row r="450" spans="1:8" x14ac:dyDescent="0.25">
      <c r="A450" t="s">
        <v>1694</v>
      </c>
      <c r="B450" t="s">
        <v>8</v>
      </c>
      <c r="C450" t="s">
        <v>1457</v>
      </c>
      <c r="D450">
        <v>2</v>
      </c>
      <c r="E450" t="s">
        <v>1452</v>
      </c>
      <c r="F450" s="83" t="e">
        <v>#N/A</v>
      </c>
      <c r="G450" s="82" t="e">
        <v>#N/A</v>
      </c>
      <c r="H450" t="s">
        <v>144</v>
      </c>
    </row>
    <row r="451" spans="1:8" x14ac:dyDescent="0.25">
      <c r="A451" t="s">
        <v>1695</v>
      </c>
      <c r="B451" t="s">
        <v>8</v>
      </c>
      <c r="C451" t="s">
        <v>1457</v>
      </c>
      <c r="D451">
        <v>2</v>
      </c>
      <c r="E451" t="s">
        <v>6</v>
      </c>
      <c r="F451" s="83" t="e">
        <v>#N/A</v>
      </c>
      <c r="G451" s="82" t="e">
        <v>#N/A</v>
      </c>
      <c r="H451" t="s">
        <v>144</v>
      </c>
    </row>
    <row r="452" spans="1:8" x14ac:dyDescent="0.25">
      <c r="A452" t="s">
        <v>1696</v>
      </c>
      <c r="B452" t="s">
        <v>8</v>
      </c>
      <c r="C452" t="s">
        <v>1457</v>
      </c>
      <c r="D452">
        <v>2</v>
      </c>
      <c r="E452" t="s">
        <v>6</v>
      </c>
      <c r="F452" s="83" t="e">
        <v>#N/A</v>
      </c>
      <c r="G452" s="82" t="e">
        <v>#N/A</v>
      </c>
      <c r="H452" t="s">
        <v>144</v>
      </c>
    </row>
    <row r="453" spans="1:8" x14ac:dyDescent="0.25">
      <c r="A453" t="s">
        <v>1803</v>
      </c>
      <c r="B453" t="s">
        <v>8</v>
      </c>
      <c r="C453" t="s">
        <v>1457</v>
      </c>
      <c r="D453">
        <v>2</v>
      </c>
      <c r="E453" t="s">
        <v>6</v>
      </c>
      <c r="F453" s="83" t="e">
        <v>#N/A</v>
      </c>
      <c r="G453" s="82" t="e">
        <v>#N/A</v>
      </c>
      <c r="H453" t="s">
        <v>144</v>
      </c>
    </row>
    <row r="454" spans="1:8" x14ac:dyDescent="0.25">
      <c r="A454" t="s">
        <v>1698</v>
      </c>
      <c r="B454" t="s">
        <v>8</v>
      </c>
      <c r="C454" t="s">
        <v>1457</v>
      </c>
      <c r="D454">
        <v>2</v>
      </c>
      <c r="E454" t="s">
        <v>1452</v>
      </c>
      <c r="F454" s="83" t="e">
        <v>#N/A</v>
      </c>
      <c r="G454" s="82" t="e">
        <v>#N/A</v>
      </c>
      <c r="H454" t="s">
        <v>144</v>
      </c>
    </row>
    <row r="455" spans="1:8" x14ac:dyDescent="0.25">
      <c r="A455" t="s">
        <v>1805</v>
      </c>
      <c r="B455" t="s">
        <v>8</v>
      </c>
      <c r="C455" t="s">
        <v>1457</v>
      </c>
      <c r="D455">
        <v>2</v>
      </c>
      <c r="E455" t="s">
        <v>1545</v>
      </c>
      <c r="F455" s="83" t="e">
        <v>#N/A</v>
      </c>
      <c r="G455" s="82" t="e">
        <v>#N/A</v>
      </c>
      <c r="H455" t="s">
        <v>144</v>
      </c>
    </row>
    <row r="456" spans="1:8" x14ac:dyDescent="0.25">
      <c r="A456" t="s">
        <v>1808</v>
      </c>
      <c r="B456" t="s">
        <v>8</v>
      </c>
      <c r="C456" t="s">
        <v>1457</v>
      </c>
      <c r="D456">
        <v>2</v>
      </c>
      <c r="E456" t="s">
        <v>1545</v>
      </c>
      <c r="F456" s="83" t="e">
        <v>#N/A</v>
      </c>
      <c r="G456" s="82" t="e">
        <v>#N/A</v>
      </c>
      <c r="H456" t="s">
        <v>144</v>
      </c>
    </row>
    <row r="457" spans="1:8" x14ac:dyDescent="0.25">
      <c r="A457" t="s">
        <v>1704</v>
      </c>
      <c r="B457" t="s">
        <v>8</v>
      </c>
      <c r="C457" t="s">
        <v>1457</v>
      </c>
      <c r="D457">
        <v>2</v>
      </c>
      <c r="E457" t="s">
        <v>6</v>
      </c>
      <c r="F457" s="83" t="e">
        <v>#N/A</v>
      </c>
      <c r="G457" s="82" t="e">
        <v>#N/A</v>
      </c>
      <c r="H457" t="s">
        <v>144</v>
      </c>
    </row>
    <row r="458" spans="1:8" x14ac:dyDescent="0.25">
      <c r="A458" t="s">
        <v>1711</v>
      </c>
      <c r="B458" t="s">
        <v>8</v>
      </c>
      <c r="C458" t="s">
        <v>1457</v>
      </c>
      <c r="D458">
        <v>2</v>
      </c>
      <c r="E458" t="s">
        <v>1524</v>
      </c>
      <c r="F458" s="83" t="e">
        <v>#N/A</v>
      </c>
      <c r="G458" s="82" t="e">
        <v>#N/A</v>
      </c>
      <c r="H458" t="s">
        <v>1460</v>
      </c>
    </row>
    <row r="459" spans="1:8" x14ac:dyDescent="0.25">
      <c r="A459" t="s">
        <v>1811</v>
      </c>
      <c r="B459" t="s">
        <v>8</v>
      </c>
      <c r="C459" t="s">
        <v>1457</v>
      </c>
      <c r="D459">
        <v>2</v>
      </c>
      <c r="E459" t="s">
        <v>1524</v>
      </c>
      <c r="F459" s="83" t="e">
        <v>#N/A</v>
      </c>
      <c r="G459" s="82" t="e">
        <v>#N/A</v>
      </c>
      <c r="H459" t="s">
        <v>1460</v>
      </c>
    </row>
    <row r="460" spans="1:8" x14ac:dyDescent="0.25">
      <c r="A460" t="s">
        <v>1812</v>
      </c>
      <c r="B460" t="s">
        <v>8</v>
      </c>
      <c r="C460" t="s">
        <v>1457</v>
      </c>
      <c r="D460">
        <v>2</v>
      </c>
      <c r="E460" t="s">
        <v>1545</v>
      </c>
      <c r="F460" s="83" t="e">
        <v>#N/A</v>
      </c>
      <c r="G460" s="82" t="e">
        <v>#N/A</v>
      </c>
      <c r="H460" t="s">
        <v>144</v>
      </c>
    </row>
    <row r="461" spans="1:8" x14ac:dyDescent="0.25">
      <c r="A461" t="s">
        <v>1813</v>
      </c>
      <c r="B461" t="s">
        <v>8</v>
      </c>
      <c r="C461" t="s">
        <v>1457</v>
      </c>
      <c r="D461">
        <v>2</v>
      </c>
      <c r="E461" t="s">
        <v>1545</v>
      </c>
      <c r="F461" s="83" t="e">
        <v>#N/A</v>
      </c>
      <c r="G461" s="82" t="e">
        <v>#N/A</v>
      </c>
      <c r="H461" t="s">
        <v>144</v>
      </c>
    </row>
    <row r="462" spans="1:8" x14ac:dyDescent="0.25">
      <c r="A462" t="s">
        <v>1713</v>
      </c>
      <c r="B462" t="s">
        <v>8</v>
      </c>
      <c r="C462" t="s">
        <v>1457</v>
      </c>
      <c r="D462">
        <v>2</v>
      </c>
      <c r="E462" t="s">
        <v>1524</v>
      </c>
      <c r="F462" s="83" t="e">
        <v>#N/A</v>
      </c>
      <c r="G462" s="82" t="e">
        <v>#N/A</v>
      </c>
      <c r="H462" t="s">
        <v>1460</v>
      </c>
    </row>
    <row r="463" spans="1:8" x14ac:dyDescent="0.25">
      <c r="A463" t="s">
        <v>1712</v>
      </c>
      <c r="B463" t="s">
        <v>8</v>
      </c>
      <c r="C463" t="s">
        <v>1457</v>
      </c>
      <c r="D463">
        <v>2</v>
      </c>
      <c r="E463" t="s">
        <v>1526</v>
      </c>
      <c r="F463" s="83" t="e">
        <v>#N/A</v>
      </c>
      <c r="G463" s="82" t="e">
        <v>#N/A</v>
      </c>
      <c r="H463" t="s">
        <v>144</v>
      </c>
    </row>
    <row r="464" spans="1:8" x14ac:dyDescent="0.25">
      <c r="A464" t="s">
        <v>1815</v>
      </c>
      <c r="B464" t="s">
        <v>8</v>
      </c>
      <c r="C464" t="s">
        <v>1457</v>
      </c>
      <c r="D464">
        <v>2</v>
      </c>
      <c r="E464" t="s">
        <v>1452</v>
      </c>
      <c r="F464" s="83" t="e">
        <v>#N/A</v>
      </c>
      <c r="G464" s="82" t="e">
        <v>#N/A</v>
      </c>
      <c r="H464" t="s">
        <v>144</v>
      </c>
    </row>
    <row r="465" spans="1:8" x14ac:dyDescent="0.25">
      <c r="A465" t="s">
        <v>1545</v>
      </c>
      <c r="B465" t="s">
        <v>8</v>
      </c>
      <c r="C465" t="s">
        <v>1457</v>
      </c>
      <c r="D465">
        <v>2</v>
      </c>
      <c r="E465" t="s">
        <v>1545</v>
      </c>
      <c r="F465" s="83" t="e">
        <v>#N/A</v>
      </c>
      <c r="G465" s="82" t="e">
        <v>#N/A</v>
      </c>
      <c r="H465" t="s">
        <v>144</v>
      </c>
    </row>
    <row r="466" spans="1:8" x14ac:dyDescent="0.25">
      <c r="A466" t="s">
        <v>1816</v>
      </c>
      <c r="B466" t="s">
        <v>8</v>
      </c>
      <c r="C466" t="s">
        <v>1457</v>
      </c>
      <c r="D466">
        <v>2</v>
      </c>
      <c r="E466" t="s">
        <v>6</v>
      </c>
      <c r="F466" s="83" t="e">
        <v>#N/A</v>
      </c>
      <c r="G466" s="82" t="e">
        <v>#N/A</v>
      </c>
      <c r="H466" t="s">
        <v>144</v>
      </c>
    </row>
    <row r="467" spans="1:8" x14ac:dyDescent="0.25">
      <c r="A467" t="s">
        <v>1817</v>
      </c>
      <c r="B467" t="s">
        <v>8</v>
      </c>
      <c r="C467" t="s">
        <v>1457</v>
      </c>
      <c r="D467">
        <v>2</v>
      </c>
      <c r="E467" t="s">
        <v>1524</v>
      </c>
      <c r="F467" s="83" t="e">
        <v>#N/A</v>
      </c>
      <c r="G467" s="82" t="e">
        <v>#N/A</v>
      </c>
      <c r="H467" t="s">
        <v>143</v>
      </c>
    </row>
    <row r="468" spans="1:8" x14ac:dyDescent="0.25">
      <c r="A468" t="s">
        <v>1818</v>
      </c>
      <c r="B468" t="s">
        <v>8</v>
      </c>
      <c r="C468" t="s">
        <v>1457</v>
      </c>
      <c r="D468">
        <v>2</v>
      </c>
      <c r="E468" t="s">
        <v>6</v>
      </c>
      <c r="F468" s="83" t="e">
        <v>#N/A</v>
      </c>
      <c r="G468" s="82" t="e">
        <v>#N/A</v>
      </c>
      <c r="H468" t="s">
        <v>144</v>
      </c>
    </row>
    <row r="469" spans="1:8" x14ac:dyDescent="0.25">
      <c r="A469" t="s">
        <v>1526</v>
      </c>
      <c r="B469" t="s">
        <v>8</v>
      </c>
      <c r="C469" t="s">
        <v>1457</v>
      </c>
      <c r="D469">
        <v>2</v>
      </c>
      <c r="E469" t="s">
        <v>1526</v>
      </c>
      <c r="F469" s="83" t="e">
        <v>#N/A</v>
      </c>
      <c r="G469" s="82" t="e">
        <v>#N/A</v>
      </c>
      <c r="H469" t="s">
        <v>144</v>
      </c>
    </row>
    <row r="470" spans="1:8" x14ac:dyDescent="0.25">
      <c r="A470" t="s">
        <v>1715</v>
      </c>
      <c r="B470" t="s">
        <v>8</v>
      </c>
      <c r="C470" t="s">
        <v>1457</v>
      </c>
      <c r="D470">
        <v>2</v>
      </c>
      <c r="E470" t="s">
        <v>1526</v>
      </c>
      <c r="F470" s="83" t="e">
        <v>#N/A</v>
      </c>
      <c r="G470" s="82" t="e">
        <v>#N/A</v>
      </c>
      <c r="H470" t="s">
        <v>144</v>
      </c>
    </row>
    <row r="471" spans="1:8" x14ac:dyDescent="0.25">
      <c r="A471" t="s">
        <v>1716</v>
      </c>
      <c r="B471" t="s">
        <v>8</v>
      </c>
      <c r="C471" t="s">
        <v>1457</v>
      </c>
      <c r="D471">
        <v>2</v>
      </c>
      <c r="E471" t="s">
        <v>1524</v>
      </c>
      <c r="F471" s="83" t="e">
        <v>#N/A</v>
      </c>
      <c r="G471" s="82" t="e">
        <v>#N/A</v>
      </c>
      <c r="H471" t="s">
        <v>143</v>
      </c>
    </row>
    <row r="472" spans="1:8" x14ac:dyDescent="0.25">
      <c r="A472" t="s">
        <v>4</v>
      </c>
      <c r="B472" t="s">
        <v>8</v>
      </c>
      <c r="C472" t="s">
        <v>1457</v>
      </c>
      <c r="D472">
        <v>2</v>
      </c>
      <c r="E472" t="s">
        <v>4</v>
      </c>
      <c r="F472" s="83">
        <v>11248</v>
      </c>
      <c r="G472" s="82">
        <v>2.7</v>
      </c>
      <c r="H472" t="s">
        <v>143</v>
      </c>
    </row>
    <row r="473" spans="1:8" x14ac:dyDescent="0.25">
      <c r="A473" t="s">
        <v>1826</v>
      </c>
      <c r="B473" t="s">
        <v>8</v>
      </c>
      <c r="C473" t="s">
        <v>1457</v>
      </c>
      <c r="D473">
        <v>2</v>
      </c>
      <c r="E473" t="s">
        <v>1545</v>
      </c>
      <c r="F473" s="83" t="e">
        <v>#N/A</v>
      </c>
      <c r="G473" s="82" t="e">
        <v>#N/A</v>
      </c>
      <c r="H473" t="s">
        <v>144</v>
      </c>
    </row>
    <row r="474" spans="1:8" x14ac:dyDescent="0.25">
      <c r="A474" t="s">
        <v>1827</v>
      </c>
      <c r="B474" t="s">
        <v>8</v>
      </c>
      <c r="C474" t="s">
        <v>1457</v>
      </c>
      <c r="D474">
        <v>2</v>
      </c>
      <c r="E474" t="s">
        <v>1528</v>
      </c>
      <c r="F474" s="83" t="e">
        <v>#N/A</v>
      </c>
      <c r="G474" s="82" t="e">
        <v>#N/A</v>
      </c>
      <c r="H474" t="s">
        <v>143</v>
      </c>
    </row>
    <row r="475" spans="1:8" x14ac:dyDescent="0.25">
      <c r="A475" t="s">
        <v>1828</v>
      </c>
      <c r="B475" t="s">
        <v>8</v>
      </c>
      <c r="C475" t="s">
        <v>1457</v>
      </c>
      <c r="D475">
        <v>2</v>
      </c>
      <c r="E475" t="s">
        <v>1518</v>
      </c>
      <c r="F475" s="83" t="e">
        <v>#N/A</v>
      </c>
      <c r="G475" s="82" t="e">
        <v>#N/A</v>
      </c>
      <c r="H475" t="s">
        <v>144</v>
      </c>
    </row>
    <row r="476" spans="1:8" x14ac:dyDescent="0.25">
      <c r="A476" t="s">
        <v>1724</v>
      </c>
      <c r="B476" t="s">
        <v>8</v>
      </c>
      <c r="C476" t="s">
        <v>1457</v>
      </c>
      <c r="D476">
        <v>2</v>
      </c>
      <c r="E476" t="s">
        <v>1526</v>
      </c>
      <c r="F476" s="83" t="e">
        <v>#N/A</v>
      </c>
      <c r="G476" s="82" t="e">
        <v>#N/A</v>
      </c>
      <c r="H476" t="s">
        <v>144</v>
      </c>
    </row>
    <row r="477" spans="1:8" x14ac:dyDescent="0.25">
      <c r="A477" t="s">
        <v>1728</v>
      </c>
      <c r="B477" t="s">
        <v>8</v>
      </c>
      <c r="C477" t="s">
        <v>1457</v>
      </c>
      <c r="D477">
        <v>2</v>
      </c>
      <c r="E477" t="s">
        <v>1524</v>
      </c>
      <c r="F477" s="83" t="e">
        <v>#N/A</v>
      </c>
      <c r="G477" s="82" t="e">
        <v>#N/A</v>
      </c>
      <c r="H477" t="s">
        <v>1460</v>
      </c>
    </row>
    <row r="478" spans="1:8" x14ac:dyDescent="0.25">
      <c r="A478" t="s">
        <v>1831</v>
      </c>
      <c r="B478" t="s">
        <v>8</v>
      </c>
      <c r="C478" t="s">
        <v>1457</v>
      </c>
      <c r="D478">
        <v>2</v>
      </c>
      <c r="E478" t="s">
        <v>1452</v>
      </c>
      <c r="F478" s="83" t="e">
        <v>#N/A</v>
      </c>
      <c r="G478" s="82" t="e">
        <v>#N/A</v>
      </c>
      <c r="H478" t="s">
        <v>144</v>
      </c>
    </row>
    <row r="479" spans="1:8" x14ac:dyDescent="0.25">
      <c r="A479" t="s">
        <v>1736</v>
      </c>
      <c r="B479" t="s">
        <v>8</v>
      </c>
      <c r="C479" t="s">
        <v>1457</v>
      </c>
      <c r="D479">
        <v>2</v>
      </c>
      <c r="E479" t="s">
        <v>1518</v>
      </c>
      <c r="F479" s="83" t="e">
        <v>#N/A</v>
      </c>
      <c r="G479" s="82" t="e">
        <v>#N/A</v>
      </c>
      <c r="H479" t="s">
        <v>144</v>
      </c>
    </row>
    <row r="480" spans="1:8" x14ac:dyDescent="0.25">
      <c r="A480" t="s">
        <v>1832</v>
      </c>
      <c r="B480" t="s">
        <v>8</v>
      </c>
      <c r="C480" t="s">
        <v>1457</v>
      </c>
      <c r="D480">
        <v>2</v>
      </c>
      <c r="E480" t="s">
        <v>6</v>
      </c>
      <c r="F480" s="83" t="e">
        <v>#N/A</v>
      </c>
      <c r="G480" s="82" t="e">
        <v>#N/A</v>
      </c>
      <c r="H480" t="s">
        <v>144</v>
      </c>
    </row>
    <row r="481" spans="1:8" x14ac:dyDescent="0.25">
      <c r="A481" t="s">
        <v>1753</v>
      </c>
      <c r="B481" t="s">
        <v>8</v>
      </c>
      <c r="C481" t="s">
        <v>1457</v>
      </c>
      <c r="D481">
        <v>2</v>
      </c>
      <c r="E481" t="s">
        <v>1545</v>
      </c>
      <c r="F481" s="83" t="e">
        <v>#N/A</v>
      </c>
      <c r="G481" s="82" t="e">
        <v>#N/A</v>
      </c>
      <c r="H481" t="s">
        <v>144</v>
      </c>
    </row>
    <row r="482" spans="1:8" x14ac:dyDescent="0.25">
      <c r="A482" t="s">
        <v>1754</v>
      </c>
      <c r="B482" t="s">
        <v>8</v>
      </c>
      <c r="C482" t="s">
        <v>1457</v>
      </c>
      <c r="D482">
        <v>2</v>
      </c>
      <c r="E482" t="s">
        <v>1528</v>
      </c>
      <c r="F482" s="83" t="e">
        <v>#N/A</v>
      </c>
      <c r="G482" s="82" t="e">
        <v>#N/A</v>
      </c>
      <c r="H482" t="s">
        <v>143</v>
      </c>
    </row>
    <row r="483" spans="1:8" x14ac:dyDescent="0.25">
      <c r="A483" t="s">
        <v>1492</v>
      </c>
      <c r="B483" t="s">
        <v>5</v>
      </c>
      <c r="C483" t="s">
        <v>1457</v>
      </c>
      <c r="D483" s="13">
        <v>2</v>
      </c>
      <c r="E483" s="13" t="s">
        <v>1452</v>
      </c>
      <c r="F483" s="83" t="e">
        <v>#N/A</v>
      </c>
      <c r="G483" s="82" t="e">
        <v>#N/A</v>
      </c>
      <c r="H483" t="s">
        <v>144</v>
      </c>
    </row>
    <row r="484" spans="1:8" x14ac:dyDescent="0.25">
      <c r="A484" t="s">
        <v>1449</v>
      </c>
      <c r="B484" t="s">
        <v>5</v>
      </c>
      <c r="C484" t="s">
        <v>1457</v>
      </c>
      <c r="D484" s="13">
        <v>2</v>
      </c>
      <c r="E484" s="13" t="s">
        <v>6</v>
      </c>
      <c r="F484" s="83" t="e">
        <v>#N/A</v>
      </c>
      <c r="G484" s="82" t="e">
        <v>#N/A</v>
      </c>
      <c r="H484" t="s">
        <v>144</v>
      </c>
    </row>
    <row r="485" spans="1:8" x14ac:dyDescent="0.25">
      <c r="A485" t="s">
        <v>1490</v>
      </c>
      <c r="B485" t="s">
        <v>5</v>
      </c>
      <c r="C485" t="s">
        <v>1457</v>
      </c>
      <c r="D485" s="13">
        <v>2</v>
      </c>
      <c r="E485" s="13" t="s">
        <v>1524</v>
      </c>
      <c r="F485" s="83" t="e">
        <v>#N/A</v>
      </c>
      <c r="G485" s="82" t="e">
        <v>#N/A</v>
      </c>
      <c r="H485" t="s">
        <v>143</v>
      </c>
    </row>
    <row r="486" spans="1:8" x14ac:dyDescent="0.25">
      <c r="A486" t="s">
        <v>1481</v>
      </c>
      <c r="B486" t="s">
        <v>5</v>
      </c>
      <c r="C486" t="s">
        <v>1457</v>
      </c>
      <c r="D486" s="13">
        <v>2</v>
      </c>
      <c r="E486" s="13" t="s">
        <v>1528</v>
      </c>
      <c r="F486" s="83" t="e">
        <v>#N/A</v>
      </c>
      <c r="G486" s="82" t="e">
        <v>#N/A</v>
      </c>
      <c r="H486" t="s">
        <v>143</v>
      </c>
    </row>
    <row r="487" spans="1:8" x14ac:dyDescent="0.25">
      <c r="A487" t="s">
        <v>1491</v>
      </c>
      <c r="B487" t="s">
        <v>5</v>
      </c>
      <c r="C487" t="s">
        <v>1457</v>
      </c>
      <c r="D487" s="13">
        <v>2</v>
      </c>
      <c r="E487" s="13" t="s">
        <v>1713</v>
      </c>
      <c r="F487" s="83" t="e">
        <v>#N/A</v>
      </c>
      <c r="G487" s="82" t="e">
        <v>#N/A</v>
      </c>
      <c r="H487" t="s">
        <v>1460</v>
      </c>
    </row>
    <row r="488" spans="1:8" x14ac:dyDescent="0.25">
      <c r="A488" t="s">
        <v>1493</v>
      </c>
      <c r="B488" t="s">
        <v>5</v>
      </c>
      <c r="C488" t="s">
        <v>1457</v>
      </c>
      <c r="D488" s="13">
        <v>2</v>
      </c>
      <c r="E488" s="13" t="s">
        <v>1545</v>
      </c>
      <c r="F488" s="83" t="e">
        <v>#N/A</v>
      </c>
      <c r="G488" s="82" t="e">
        <v>#N/A</v>
      </c>
      <c r="H488" t="s">
        <v>144</v>
      </c>
    </row>
    <row r="489" spans="1:8" x14ac:dyDescent="0.25">
      <c r="A489" t="s">
        <v>1494</v>
      </c>
      <c r="B489" t="s">
        <v>5</v>
      </c>
      <c r="C489" t="s">
        <v>1457</v>
      </c>
      <c r="D489" s="13">
        <v>2</v>
      </c>
      <c r="E489" s="13" t="s">
        <v>1526</v>
      </c>
      <c r="F489" s="83" t="e">
        <v>#N/A</v>
      </c>
      <c r="G489" s="82" t="e">
        <v>#N/A</v>
      </c>
      <c r="H489" t="s">
        <v>144</v>
      </c>
    </row>
    <row r="490" spans="1:8" x14ac:dyDescent="0.25">
      <c r="A490" t="s">
        <v>1483</v>
      </c>
      <c r="B490" t="s">
        <v>5</v>
      </c>
      <c r="C490" t="s">
        <v>1457</v>
      </c>
      <c r="D490" s="13">
        <v>2</v>
      </c>
      <c r="E490" s="13" t="s">
        <v>1518</v>
      </c>
      <c r="F490" s="83" t="e">
        <v>#N/A</v>
      </c>
      <c r="G490" s="82" t="e">
        <v>#N/A</v>
      </c>
      <c r="H490" t="s">
        <v>1460</v>
      </c>
    </row>
    <row r="491" spans="1:8" x14ac:dyDescent="0.25">
      <c r="A491" t="s">
        <v>265</v>
      </c>
      <c r="B491" t="s">
        <v>8</v>
      </c>
      <c r="C491" t="s">
        <v>290</v>
      </c>
      <c r="D491">
        <v>8</v>
      </c>
      <c r="E491" t="s">
        <v>262</v>
      </c>
      <c r="F491" s="83">
        <v>352005</v>
      </c>
      <c r="G491" s="82">
        <v>50</v>
      </c>
      <c r="H491" t="s">
        <v>144</v>
      </c>
    </row>
    <row r="492" spans="1:8" x14ac:dyDescent="0.25">
      <c r="A492" t="s">
        <v>227</v>
      </c>
      <c r="B492" t="s">
        <v>8</v>
      </c>
      <c r="C492" t="s">
        <v>290</v>
      </c>
      <c r="D492">
        <v>8</v>
      </c>
      <c r="E492" t="s">
        <v>19</v>
      </c>
      <c r="F492" s="83">
        <v>49241</v>
      </c>
      <c r="G492" s="82">
        <v>30.7</v>
      </c>
      <c r="H492" t="s">
        <v>144</v>
      </c>
    </row>
    <row r="493" spans="1:8" x14ac:dyDescent="0.25">
      <c r="A493" t="s">
        <v>240</v>
      </c>
      <c r="B493" t="s">
        <v>8</v>
      </c>
      <c r="C493" t="s">
        <v>290</v>
      </c>
      <c r="D493">
        <v>8</v>
      </c>
      <c r="E493" t="s">
        <v>20</v>
      </c>
      <c r="F493" s="83">
        <v>5281</v>
      </c>
      <c r="G493" s="82">
        <v>6.3</v>
      </c>
      <c r="H493" t="s">
        <v>144</v>
      </c>
    </row>
    <row r="494" spans="1:8" x14ac:dyDescent="0.25">
      <c r="A494" t="s">
        <v>266</v>
      </c>
      <c r="B494" t="s">
        <v>8</v>
      </c>
      <c r="C494" t="s">
        <v>290</v>
      </c>
      <c r="D494">
        <v>8</v>
      </c>
      <c r="E494" t="s">
        <v>262</v>
      </c>
      <c r="F494" s="83">
        <v>43601</v>
      </c>
      <c r="G494" s="82">
        <v>12.2</v>
      </c>
      <c r="H494" t="s">
        <v>144</v>
      </c>
    </row>
    <row r="495" spans="1:8" x14ac:dyDescent="0.25">
      <c r="A495" t="s">
        <v>267</v>
      </c>
      <c r="B495" t="s">
        <v>8</v>
      </c>
      <c r="C495" t="s">
        <v>290</v>
      </c>
      <c r="D495">
        <v>8</v>
      </c>
      <c r="E495" t="s">
        <v>262</v>
      </c>
      <c r="F495" s="83">
        <v>82421</v>
      </c>
      <c r="G495" s="82">
        <v>10.5</v>
      </c>
      <c r="H495" t="s">
        <v>144</v>
      </c>
    </row>
    <row r="496" spans="1:8" x14ac:dyDescent="0.25">
      <c r="A496" t="s">
        <v>228</v>
      </c>
      <c r="B496" t="s">
        <v>8</v>
      </c>
      <c r="C496" t="s">
        <v>290</v>
      </c>
      <c r="D496">
        <v>8</v>
      </c>
      <c r="E496" t="s">
        <v>19</v>
      </c>
      <c r="F496" s="83">
        <v>8937</v>
      </c>
      <c r="G496" s="82">
        <v>14.9</v>
      </c>
      <c r="H496" t="s">
        <v>144</v>
      </c>
    </row>
    <row r="497" spans="1:8" x14ac:dyDescent="0.25">
      <c r="A497" t="s">
        <v>229</v>
      </c>
      <c r="B497" t="s">
        <v>8</v>
      </c>
      <c r="C497" t="s">
        <v>290</v>
      </c>
      <c r="D497">
        <v>8</v>
      </c>
      <c r="E497" t="s">
        <v>19</v>
      </c>
      <c r="F497" s="83">
        <v>11267</v>
      </c>
      <c r="G497" s="82">
        <v>3.9</v>
      </c>
      <c r="H497" t="s">
        <v>144</v>
      </c>
    </row>
    <row r="498" spans="1:8" x14ac:dyDescent="0.25">
      <c r="A498" t="s">
        <v>241</v>
      </c>
      <c r="B498" t="s">
        <v>8</v>
      </c>
      <c r="C498" t="s">
        <v>290</v>
      </c>
      <c r="D498">
        <v>8</v>
      </c>
      <c r="E498" t="s">
        <v>20</v>
      </c>
      <c r="F498" s="83">
        <v>91583</v>
      </c>
      <c r="G498" s="82">
        <v>29.7</v>
      </c>
      <c r="H498" t="s">
        <v>144</v>
      </c>
    </row>
    <row r="499" spans="1:8" x14ac:dyDescent="0.25">
      <c r="A499" t="s">
        <v>242</v>
      </c>
      <c r="B499" t="s">
        <v>8</v>
      </c>
      <c r="C499" t="s">
        <v>290</v>
      </c>
      <c r="D499">
        <v>8</v>
      </c>
      <c r="E499" t="s">
        <v>20</v>
      </c>
      <c r="F499" s="83">
        <v>83447</v>
      </c>
      <c r="G499" s="82">
        <v>44.7</v>
      </c>
      <c r="H499" t="s">
        <v>144</v>
      </c>
    </row>
    <row r="500" spans="1:8" x14ac:dyDescent="0.25">
      <c r="A500" t="s">
        <v>243</v>
      </c>
      <c r="B500" t="s">
        <v>8</v>
      </c>
      <c r="C500" t="s">
        <v>290</v>
      </c>
      <c r="D500">
        <v>8</v>
      </c>
      <c r="E500" t="s">
        <v>20</v>
      </c>
      <c r="F500" s="83">
        <v>54741</v>
      </c>
      <c r="G500" s="82">
        <v>15.3</v>
      </c>
      <c r="H500" t="s">
        <v>144</v>
      </c>
    </row>
    <row r="501" spans="1:8" x14ac:dyDescent="0.25">
      <c r="A501" t="s">
        <v>230</v>
      </c>
      <c r="B501" t="s">
        <v>8</v>
      </c>
      <c r="C501" t="s">
        <v>290</v>
      </c>
      <c r="D501">
        <v>8</v>
      </c>
      <c r="E501" t="s">
        <v>19</v>
      </c>
      <c r="F501" s="83">
        <v>168819</v>
      </c>
      <c r="G501" s="82">
        <v>39.5</v>
      </c>
      <c r="H501" t="s">
        <v>144</v>
      </c>
    </row>
    <row r="502" spans="1:8" x14ac:dyDescent="0.25">
      <c r="A502" t="s">
        <v>268</v>
      </c>
      <c r="B502" t="s">
        <v>8</v>
      </c>
      <c r="C502" t="s">
        <v>290</v>
      </c>
      <c r="D502">
        <v>8</v>
      </c>
      <c r="E502" t="s">
        <v>262</v>
      </c>
      <c r="F502" s="83">
        <v>113615</v>
      </c>
      <c r="G502" s="82">
        <v>15.7</v>
      </c>
      <c r="H502" t="s">
        <v>144</v>
      </c>
    </row>
    <row r="503" spans="1:8" x14ac:dyDescent="0.25">
      <c r="A503" t="s">
        <v>269</v>
      </c>
      <c r="B503" t="s">
        <v>8</v>
      </c>
      <c r="C503" t="s">
        <v>290</v>
      </c>
      <c r="D503">
        <v>8</v>
      </c>
      <c r="E503" t="s">
        <v>262</v>
      </c>
      <c r="F503" s="83">
        <v>48958</v>
      </c>
      <c r="G503" s="82">
        <v>6.6</v>
      </c>
      <c r="H503" t="s">
        <v>144</v>
      </c>
    </row>
    <row r="504" spans="1:8" x14ac:dyDescent="0.25">
      <c r="A504" t="s">
        <v>231</v>
      </c>
      <c r="B504" t="s">
        <v>8</v>
      </c>
      <c r="C504" t="s">
        <v>290</v>
      </c>
      <c r="D504">
        <v>8</v>
      </c>
      <c r="E504" t="s">
        <v>19</v>
      </c>
      <c r="F504" s="83">
        <v>64822</v>
      </c>
      <c r="G504" s="82">
        <v>12.7</v>
      </c>
      <c r="H504" t="s">
        <v>144</v>
      </c>
    </row>
    <row r="505" spans="1:8" x14ac:dyDescent="0.25">
      <c r="A505" t="s">
        <v>244</v>
      </c>
      <c r="B505" t="s">
        <v>8</v>
      </c>
      <c r="C505" t="s">
        <v>290</v>
      </c>
      <c r="D505">
        <v>8</v>
      </c>
      <c r="E505" t="s">
        <v>20</v>
      </c>
      <c r="F505" s="83">
        <v>213739</v>
      </c>
      <c r="G505" s="82">
        <v>43</v>
      </c>
      <c r="H505" t="s">
        <v>144</v>
      </c>
    </row>
    <row r="506" spans="1:8" x14ac:dyDescent="0.25">
      <c r="A506" t="s">
        <v>271</v>
      </c>
      <c r="B506" t="s">
        <v>8</v>
      </c>
      <c r="C506" t="s">
        <v>290</v>
      </c>
      <c r="D506">
        <v>8</v>
      </c>
      <c r="E506" t="s">
        <v>262</v>
      </c>
      <c r="F506" s="83">
        <v>55814</v>
      </c>
      <c r="G506" s="82">
        <v>9.1</v>
      </c>
      <c r="H506" t="s">
        <v>144</v>
      </c>
    </row>
    <row r="507" spans="1:8" x14ac:dyDescent="0.25">
      <c r="A507" t="s">
        <v>272</v>
      </c>
      <c r="B507" t="s">
        <v>8</v>
      </c>
      <c r="C507" t="s">
        <v>290</v>
      </c>
      <c r="D507">
        <v>8</v>
      </c>
      <c r="E507" t="s">
        <v>262</v>
      </c>
      <c r="F507" s="83">
        <v>139640</v>
      </c>
      <c r="G507" s="82">
        <v>22.4</v>
      </c>
      <c r="H507" t="s">
        <v>144</v>
      </c>
    </row>
    <row r="508" spans="1:8" x14ac:dyDescent="0.25">
      <c r="A508" t="s">
        <v>273</v>
      </c>
      <c r="B508" t="s">
        <v>8</v>
      </c>
      <c r="C508" t="s">
        <v>290</v>
      </c>
      <c r="D508">
        <v>8</v>
      </c>
      <c r="E508" t="s">
        <v>262</v>
      </c>
      <c r="F508" s="83">
        <v>172646</v>
      </c>
      <c r="G508" s="82">
        <v>18</v>
      </c>
      <c r="H508" t="s">
        <v>144</v>
      </c>
    </row>
    <row r="509" spans="1:8" x14ac:dyDescent="0.25">
      <c r="A509" t="s">
        <v>17</v>
      </c>
      <c r="B509" t="s">
        <v>8</v>
      </c>
      <c r="C509" t="s">
        <v>290</v>
      </c>
      <c r="D509">
        <v>8</v>
      </c>
      <c r="E509" t="s">
        <v>20</v>
      </c>
      <c r="F509" s="83">
        <v>12584</v>
      </c>
      <c r="G509" s="82">
        <v>3.5</v>
      </c>
      <c r="H509" t="s">
        <v>144</v>
      </c>
    </row>
    <row r="510" spans="1:8" x14ac:dyDescent="0.25">
      <c r="A510" t="s">
        <v>232</v>
      </c>
      <c r="B510" t="s">
        <v>8</v>
      </c>
      <c r="C510" t="s">
        <v>290</v>
      </c>
      <c r="D510">
        <v>8</v>
      </c>
      <c r="E510" t="s">
        <v>19</v>
      </c>
      <c r="F510" s="83">
        <v>85275</v>
      </c>
      <c r="G510" s="82">
        <v>27.7</v>
      </c>
      <c r="H510" t="s">
        <v>144</v>
      </c>
    </row>
    <row r="511" spans="1:8" x14ac:dyDescent="0.25">
      <c r="A511" t="s">
        <v>245</v>
      </c>
      <c r="B511" t="s">
        <v>8</v>
      </c>
      <c r="C511" t="s">
        <v>290</v>
      </c>
      <c r="D511">
        <v>8</v>
      </c>
      <c r="E511" t="s">
        <v>20</v>
      </c>
      <c r="F511" s="83">
        <v>55406</v>
      </c>
      <c r="G511" s="82">
        <v>18.8</v>
      </c>
      <c r="H511" t="s">
        <v>144</v>
      </c>
    </row>
    <row r="512" spans="1:8" x14ac:dyDescent="0.25">
      <c r="A512" t="s">
        <v>274</v>
      </c>
      <c r="B512" t="s">
        <v>8</v>
      </c>
      <c r="C512" t="s">
        <v>290</v>
      </c>
      <c r="D512">
        <v>8</v>
      </c>
      <c r="E512" t="s">
        <v>262</v>
      </c>
      <c r="F512" s="83">
        <v>200641</v>
      </c>
      <c r="G512" s="82">
        <v>26.9</v>
      </c>
      <c r="H512" t="s">
        <v>144</v>
      </c>
    </row>
    <row r="513" spans="1:8" x14ac:dyDescent="0.25">
      <c r="A513" t="s">
        <v>275</v>
      </c>
      <c r="B513" t="s">
        <v>8</v>
      </c>
      <c r="C513" t="s">
        <v>290</v>
      </c>
      <c r="D513">
        <v>8</v>
      </c>
      <c r="E513" t="s">
        <v>262</v>
      </c>
      <c r="F513" s="83">
        <v>282572</v>
      </c>
      <c r="G513" s="82">
        <v>65.599999999999994</v>
      </c>
      <c r="H513" t="s">
        <v>144</v>
      </c>
    </row>
    <row r="514" spans="1:8" x14ac:dyDescent="0.25">
      <c r="A514" t="s">
        <v>233</v>
      </c>
      <c r="B514" t="s">
        <v>8</v>
      </c>
      <c r="C514" t="s">
        <v>290</v>
      </c>
      <c r="D514">
        <v>8</v>
      </c>
      <c r="E514" t="s">
        <v>19</v>
      </c>
      <c r="F514" s="83">
        <v>108393</v>
      </c>
      <c r="G514" s="82">
        <v>42.9</v>
      </c>
      <c r="H514" t="s">
        <v>144</v>
      </c>
    </row>
    <row r="515" spans="1:8" x14ac:dyDescent="0.25">
      <c r="A515" t="s">
        <v>276</v>
      </c>
      <c r="B515" t="s">
        <v>8</v>
      </c>
      <c r="C515" t="s">
        <v>290</v>
      </c>
      <c r="D515">
        <v>8</v>
      </c>
      <c r="E515" t="s">
        <v>262</v>
      </c>
      <c r="F515" s="83">
        <v>62183</v>
      </c>
      <c r="G515" s="82">
        <v>7.4</v>
      </c>
      <c r="H515" t="s">
        <v>144</v>
      </c>
    </row>
    <row r="516" spans="1:8" x14ac:dyDescent="0.25">
      <c r="A516" t="s">
        <v>277</v>
      </c>
      <c r="B516" t="s">
        <v>8</v>
      </c>
      <c r="C516" t="s">
        <v>290</v>
      </c>
      <c r="D516">
        <v>8</v>
      </c>
      <c r="E516" t="s">
        <v>262</v>
      </c>
      <c r="F516" s="83">
        <v>15568</v>
      </c>
      <c r="G516" s="82">
        <v>1.8</v>
      </c>
      <c r="H516" t="s">
        <v>144</v>
      </c>
    </row>
    <row r="517" spans="1:8" x14ac:dyDescent="0.25">
      <c r="A517" t="s">
        <v>281</v>
      </c>
      <c r="B517" t="s">
        <v>8</v>
      </c>
      <c r="C517" t="s">
        <v>290</v>
      </c>
      <c r="D517">
        <v>8</v>
      </c>
      <c r="E517" t="s">
        <v>262</v>
      </c>
      <c r="F517" s="83">
        <v>16046</v>
      </c>
      <c r="G517" s="82">
        <v>3.3</v>
      </c>
      <c r="H517" t="s">
        <v>144</v>
      </c>
    </row>
    <row r="518" spans="1:8" x14ac:dyDescent="0.25">
      <c r="A518" t="s">
        <v>234</v>
      </c>
      <c r="B518" t="s">
        <v>8</v>
      </c>
      <c r="C518" t="s">
        <v>290</v>
      </c>
      <c r="D518">
        <v>8</v>
      </c>
      <c r="E518" t="s">
        <v>19</v>
      </c>
      <c r="F518" s="83">
        <v>68183</v>
      </c>
      <c r="G518" s="82">
        <v>38</v>
      </c>
      <c r="H518" t="s">
        <v>144</v>
      </c>
    </row>
    <row r="519" spans="1:8" x14ac:dyDescent="0.25">
      <c r="A519" t="s">
        <v>282</v>
      </c>
      <c r="B519" t="s">
        <v>8</v>
      </c>
      <c r="C519" t="s">
        <v>290</v>
      </c>
      <c r="D519">
        <v>8</v>
      </c>
      <c r="E519" t="s">
        <v>262</v>
      </c>
      <c r="F519" s="83">
        <v>85623</v>
      </c>
      <c r="G519" s="82">
        <v>16.600000000000001</v>
      </c>
      <c r="H519" t="s">
        <v>144</v>
      </c>
    </row>
    <row r="520" spans="1:8" x14ac:dyDescent="0.25">
      <c r="A520" t="s">
        <v>246</v>
      </c>
      <c r="B520" t="s">
        <v>8</v>
      </c>
      <c r="C520" t="s">
        <v>290</v>
      </c>
      <c r="D520">
        <v>8</v>
      </c>
      <c r="E520" t="s">
        <v>20</v>
      </c>
      <c r="F520" s="83">
        <v>24382</v>
      </c>
      <c r="G520" s="82">
        <v>7.5</v>
      </c>
      <c r="H520" t="s">
        <v>144</v>
      </c>
    </row>
    <row r="521" spans="1:8" x14ac:dyDescent="0.25">
      <c r="A521" t="s">
        <v>283</v>
      </c>
      <c r="B521" t="s">
        <v>8</v>
      </c>
      <c r="C521" t="s">
        <v>290</v>
      </c>
      <c r="D521">
        <v>8</v>
      </c>
      <c r="E521" t="s">
        <v>262</v>
      </c>
      <c r="F521" s="83">
        <v>11529</v>
      </c>
      <c r="G521" s="82">
        <v>4</v>
      </c>
      <c r="H521" t="s">
        <v>144</v>
      </c>
    </row>
    <row r="522" spans="1:8" x14ac:dyDescent="0.25">
      <c r="A522" t="s">
        <v>235</v>
      </c>
      <c r="B522" t="s">
        <v>8</v>
      </c>
      <c r="C522" t="s">
        <v>290</v>
      </c>
      <c r="D522">
        <v>8</v>
      </c>
      <c r="E522" t="s">
        <v>19</v>
      </c>
      <c r="F522" s="83">
        <v>92595</v>
      </c>
      <c r="G522" s="82">
        <v>46.5</v>
      </c>
      <c r="H522" t="s">
        <v>144</v>
      </c>
    </row>
    <row r="523" spans="1:8" x14ac:dyDescent="0.25">
      <c r="A523" t="s">
        <v>247</v>
      </c>
      <c r="B523" t="s">
        <v>8</v>
      </c>
      <c r="C523" t="s">
        <v>290</v>
      </c>
      <c r="D523">
        <v>8</v>
      </c>
      <c r="E523" t="s">
        <v>20</v>
      </c>
      <c r="F523" s="83">
        <v>39437</v>
      </c>
      <c r="G523" s="82">
        <v>5.5</v>
      </c>
      <c r="H523" t="s">
        <v>144</v>
      </c>
    </row>
    <row r="524" spans="1:8" x14ac:dyDescent="0.25">
      <c r="A524" t="s">
        <v>236</v>
      </c>
      <c r="B524" t="s">
        <v>8</v>
      </c>
      <c r="C524" t="s">
        <v>290</v>
      </c>
      <c r="D524">
        <v>8</v>
      </c>
      <c r="E524" t="s">
        <v>19</v>
      </c>
      <c r="F524" s="83">
        <v>209050</v>
      </c>
      <c r="G524" s="82">
        <v>51.3</v>
      </c>
      <c r="H524" t="s">
        <v>144</v>
      </c>
    </row>
    <row r="525" spans="1:8" x14ac:dyDescent="0.25">
      <c r="A525" t="s">
        <v>285</v>
      </c>
      <c r="B525" t="s">
        <v>8</v>
      </c>
      <c r="C525" t="s">
        <v>290</v>
      </c>
      <c r="D525">
        <v>8</v>
      </c>
      <c r="E525" t="s">
        <v>262</v>
      </c>
      <c r="F525" s="83">
        <v>85326</v>
      </c>
      <c r="G525" s="82">
        <v>23.8</v>
      </c>
      <c r="H525" t="s">
        <v>144</v>
      </c>
    </row>
    <row r="526" spans="1:8" x14ac:dyDescent="0.25">
      <c r="A526" t="s">
        <v>237</v>
      </c>
      <c r="B526" t="s">
        <v>8</v>
      </c>
      <c r="C526" t="s">
        <v>290</v>
      </c>
      <c r="D526">
        <v>8</v>
      </c>
      <c r="E526" t="s">
        <v>19</v>
      </c>
      <c r="F526" s="83">
        <v>26610</v>
      </c>
      <c r="G526" s="82">
        <v>13.8</v>
      </c>
      <c r="H526" t="s">
        <v>144</v>
      </c>
    </row>
    <row r="527" spans="1:8" x14ac:dyDescent="0.25">
      <c r="A527" t="s">
        <v>18</v>
      </c>
      <c r="B527" t="s">
        <v>8</v>
      </c>
      <c r="C527" t="s">
        <v>290</v>
      </c>
      <c r="D527">
        <v>8</v>
      </c>
      <c r="E527" t="s">
        <v>20</v>
      </c>
      <c r="F527" s="83">
        <v>181107</v>
      </c>
      <c r="G527" s="82">
        <v>49.9</v>
      </c>
      <c r="H527" t="s">
        <v>144</v>
      </c>
    </row>
    <row r="528" spans="1:8" x14ac:dyDescent="0.25">
      <c r="A528" t="s">
        <v>262</v>
      </c>
      <c r="B528" t="s">
        <v>8</v>
      </c>
      <c r="C528" t="s">
        <v>290</v>
      </c>
      <c r="D528">
        <v>8</v>
      </c>
      <c r="E528" t="s">
        <v>262</v>
      </c>
      <c r="F528" s="83">
        <v>139484</v>
      </c>
      <c r="G528" s="82">
        <v>25.4</v>
      </c>
      <c r="H528" t="s">
        <v>144</v>
      </c>
    </row>
    <row r="529" spans="1:8" x14ac:dyDescent="0.25">
      <c r="A529" t="s">
        <v>238</v>
      </c>
      <c r="B529" t="s">
        <v>8</v>
      </c>
      <c r="C529" t="s">
        <v>290</v>
      </c>
      <c r="D529">
        <v>8</v>
      </c>
      <c r="E529" t="s">
        <v>19</v>
      </c>
      <c r="F529" s="83">
        <v>79133</v>
      </c>
      <c r="G529" s="82">
        <v>31.6</v>
      </c>
      <c r="H529" t="s">
        <v>144</v>
      </c>
    </row>
    <row r="530" spans="1:8" x14ac:dyDescent="0.25">
      <c r="A530" t="s">
        <v>286</v>
      </c>
      <c r="B530" t="s">
        <v>8</v>
      </c>
      <c r="C530" t="s">
        <v>290</v>
      </c>
      <c r="D530">
        <v>8</v>
      </c>
      <c r="E530" t="s">
        <v>262</v>
      </c>
      <c r="F530" s="83">
        <v>51671</v>
      </c>
      <c r="G530" s="82">
        <v>6.6</v>
      </c>
      <c r="H530" t="s">
        <v>144</v>
      </c>
    </row>
    <row r="531" spans="1:8" x14ac:dyDescent="0.25">
      <c r="A531" t="s">
        <v>248</v>
      </c>
      <c r="B531" t="s">
        <v>8</v>
      </c>
      <c r="C531" t="s">
        <v>290</v>
      </c>
      <c r="D531">
        <v>8</v>
      </c>
      <c r="E531" t="s">
        <v>20</v>
      </c>
      <c r="F531" s="83">
        <v>177751</v>
      </c>
      <c r="G531" s="82">
        <v>40</v>
      </c>
      <c r="H531" t="s">
        <v>144</v>
      </c>
    </row>
    <row r="532" spans="1:8" x14ac:dyDescent="0.25">
      <c r="A532" t="s">
        <v>249</v>
      </c>
      <c r="B532" t="s">
        <v>8</v>
      </c>
      <c r="C532" t="s">
        <v>290</v>
      </c>
      <c r="D532">
        <v>8</v>
      </c>
      <c r="E532" t="s">
        <v>20</v>
      </c>
      <c r="F532" s="83">
        <v>71586</v>
      </c>
      <c r="G532" s="82">
        <v>36</v>
      </c>
      <c r="H532" t="s">
        <v>144</v>
      </c>
    </row>
    <row r="533" spans="1:8" x14ac:dyDescent="0.25">
      <c r="A533" t="s">
        <v>250</v>
      </c>
      <c r="B533" t="s">
        <v>8</v>
      </c>
      <c r="C533" t="s">
        <v>290</v>
      </c>
      <c r="D533">
        <v>8</v>
      </c>
      <c r="E533" t="s">
        <v>20</v>
      </c>
      <c r="F533" s="83">
        <v>103440</v>
      </c>
      <c r="G533" s="82">
        <v>22.3</v>
      </c>
      <c r="H533" t="s">
        <v>144</v>
      </c>
    </row>
    <row r="534" spans="1:8" x14ac:dyDescent="0.25">
      <c r="A534" t="s">
        <v>19</v>
      </c>
      <c r="B534" t="s">
        <v>8</v>
      </c>
      <c r="C534" t="s">
        <v>290</v>
      </c>
      <c r="D534">
        <v>8</v>
      </c>
      <c r="E534" t="s">
        <v>19</v>
      </c>
      <c r="F534" s="83">
        <v>330063</v>
      </c>
      <c r="G534" s="82">
        <v>81.2</v>
      </c>
      <c r="H534" t="s">
        <v>144</v>
      </c>
    </row>
    <row r="535" spans="1:8" x14ac:dyDescent="0.25">
      <c r="A535" t="s">
        <v>20</v>
      </c>
      <c r="B535" t="s">
        <v>8</v>
      </c>
      <c r="C535" t="s">
        <v>290</v>
      </c>
      <c r="D535">
        <v>8</v>
      </c>
      <c r="E535" t="s">
        <v>20</v>
      </c>
      <c r="F535" s="83">
        <v>215941</v>
      </c>
      <c r="G535" s="82">
        <v>61.5</v>
      </c>
      <c r="H535" t="s">
        <v>144</v>
      </c>
    </row>
    <row r="536" spans="1:8" x14ac:dyDescent="0.25">
      <c r="A536" t="s">
        <v>239</v>
      </c>
      <c r="B536" t="s">
        <v>8</v>
      </c>
      <c r="C536" t="s">
        <v>290</v>
      </c>
      <c r="D536">
        <v>8</v>
      </c>
      <c r="E536" t="s">
        <v>19</v>
      </c>
      <c r="F536" s="83">
        <v>48867</v>
      </c>
      <c r="G536" s="82">
        <v>25.7</v>
      </c>
      <c r="H536" t="s">
        <v>144</v>
      </c>
    </row>
    <row r="537" spans="1:8" x14ac:dyDescent="0.25">
      <c r="A537" t="s">
        <v>290</v>
      </c>
      <c r="B537" t="s">
        <v>8</v>
      </c>
      <c r="C537" t="s">
        <v>290</v>
      </c>
      <c r="D537">
        <v>8</v>
      </c>
      <c r="E537" t="s">
        <v>262</v>
      </c>
      <c r="F537" s="83">
        <v>332725</v>
      </c>
      <c r="G537" s="82">
        <v>27.1</v>
      </c>
      <c r="H537" t="s">
        <v>144</v>
      </c>
    </row>
    <row r="538" spans="1:8" x14ac:dyDescent="0.25">
      <c r="A538" t="s">
        <v>291</v>
      </c>
      <c r="B538" t="s">
        <v>8</v>
      </c>
      <c r="C538" t="s">
        <v>290</v>
      </c>
      <c r="D538">
        <v>8</v>
      </c>
      <c r="E538" t="s">
        <v>262</v>
      </c>
      <c r="F538" s="83">
        <v>24119</v>
      </c>
      <c r="G538" s="82">
        <v>11.3</v>
      </c>
      <c r="H538" t="s">
        <v>144</v>
      </c>
    </row>
    <row r="539" spans="1:8" x14ac:dyDescent="0.25">
      <c r="A539" t="s">
        <v>292</v>
      </c>
      <c r="B539" t="s">
        <v>8</v>
      </c>
      <c r="C539" t="s">
        <v>290</v>
      </c>
      <c r="D539">
        <v>8</v>
      </c>
      <c r="E539" t="s">
        <v>262</v>
      </c>
      <c r="F539" s="83">
        <v>38234</v>
      </c>
      <c r="G539" s="82">
        <v>3.1</v>
      </c>
      <c r="H539" t="s">
        <v>144</v>
      </c>
    </row>
    <row r="540" spans="1:8" x14ac:dyDescent="0.25">
      <c r="A540" t="s">
        <v>293</v>
      </c>
      <c r="B540" t="s">
        <v>8</v>
      </c>
      <c r="C540" t="s">
        <v>290</v>
      </c>
      <c r="D540">
        <v>8</v>
      </c>
      <c r="E540" t="s">
        <v>262</v>
      </c>
      <c r="F540" s="83">
        <v>79795</v>
      </c>
      <c r="G540" s="82">
        <v>11.1</v>
      </c>
      <c r="H540" t="s">
        <v>144</v>
      </c>
    </row>
    <row r="541" spans="1:8" x14ac:dyDescent="0.25">
      <c r="A541" t="s">
        <v>252</v>
      </c>
      <c r="B541" t="s">
        <v>8</v>
      </c>
      <c r="C541" t="s">
        <v>290</v>
      </c>
      <c r="D541">
        <v>8</v>
      </c>
      <c r="E541" t="s">
        <v>20</v>
      </c>
      <c r="F541" s="83">
        <v>77000</v>
      </c>
      <c r="G541" s="82">
        <v>15.6</v>
      </c>
      <c r="H541" t="s">
        <v>144</v>
      </c>
    </row>
    <row r="542" spans="1:8" x14ac:dyDescent="0.25">
      <c r="A542" t="s">
        <v>294</v>
      </c>
      <c r="B542" t="s">
        <v>8</v>
      </c>
      <c r="C542" t="s">
        <v>290</v>
      </c>
      <c r="D542">
        <v>8</v>
      </c>
      <c r="E542" t="s">
        <v>262</v>
      </c>
      <c r="F542" s="83">
        <v>5839</v>
      </c>
      <c r="G542" s="82">
        <v>2.1</v>
      </c>
      <c r="H542" t="s">
        <v>144</v>
      </c>
    </row>
    <row r="543" spans="1:8" x14ac:dyDescent="0.25">
      <c r="A543" t="s">
        <v>295</v>
      </c>
      <c r="B543" t="s">
        <v>8</v>
      </c>
      <c r="C543" t="s">
        <v>290</v>
      </c>
      <c r="D543">
        <v>8</v>
      </c>
      <c r="E543" t="s">
        <v>262</v>
      </c>
      <c r="F543" s="83">
        <v>90938</v>
      </c>
      <c r="G543" s="82">
        <v>10</v>
      </c>
      <c r="H543" t="s">
        <v>144</v>
      </c>
    </row>
    <row r="544" spans="1:8" x14ac:dyDescent="0.25">
      <c r="A544" t="s">
        <v>296</v>
      </c>
      <c r="B544" t="s">
        <v>8</v>
      </c>
      <c r="C544" t="s">
        <v>290</v>
      </c>
      <c r="D544">
        <v>8</v>
      </c>
      <c r="E544" t="s">
        <v>262</v>
      </c>
      <c r="F544" s="83">
        <v>67787</v>
      </c>
      <c r="G544" s="82">
        <v>19.3</v>
      </c>
      <c r="H544" t="s">
        <v>144</v>
      </c>
    </row>
    <row r="545" spans="1:8" x14ac:dyDescent="0.25">
      <c r="A545" t="s">
        <v>251</v>
      </c>
      <c r="B545" t="s">
        <v>8</v>
      </c>
      <c r="C545" t="s">
        <v>290</v>
      </c>
      <c r="D545">
        <v>8</v>
      </c>
      <c r="E545" t="s">
        <v>20</v>
      </c>
      <c r="F545" s="83">
        <v>53682</v>
      </c>
      <c r="G545" s="82">
        <v>28.4</v>
      </c>
      <c r="H545" t="s">
        <v>144</v>
      </c>
    </row>
    <row r="546" spans="1:8" x14ac:dyDescent="0.25">
      <c r="A546" t="s">
        <v>1444</v>
      </c>
      <c r="B546" t="s">
        <v>5</v>
      </c>
      <c r="C546" t="s">
        <v>290</v>
      </c>
      <c r="D546" s="13">
        <v>8</v>
      </c>
      <c r="E546" s="13" t="s">
        <v>262</v>
      </c>
      <c r="F546" s="83" t="e">
        <v>#N/A</v>
      </c>
      <c r="G546" s="82" t="e">
        <v>#N/A</v>
      </c>
      <c r="H546" t="s">
        <v>144</v>
      </c>
    </row>
    <row r="547" spans="1:8" x14ac:dyDescent="0.25">
      <c r="A547" t="s">
        <v>1446</v>
      </c>
      <c r="B547" t="s">
        <v>5</v>
      </c>
      <c r="C547" t="s">
        <v>290</v>
      </c>
      <c r="D547" s="13">
        <v>8</v>
      </c>
      <c r="E547" s="13" t="s">
        <v>19</v>
      </c>
      <c r="F547" s="83" t="e">
        <v>#N/A</v>
      </c>
      <c r="G547" s="82" t="e">
        <v>#N/A</v>
      </c>
      <c r="H547" t="s">
        <v>144</v>
      </c>
    </row>
    <row r="548" spans="1:8" x14ac:dyDescent="0.25">
      <c r="A548" t="s">
        <v>1440</v>
      </c>
      <c r="B548" t="s">
        <v>5</v>
      </c>
      <c r="C548" t="s">
        <v>290</v>
      </c>
      <c r="D548" s="13">
        <v>8</v>
      </c>
      <c r="E548" s="13" t="s">
        <v>20</v>
      </c>
      <c r="F548" s="83" t="e">
        <v>#N/A</v>
      </c>
      <c r="G548" s="82" t="e">
        <v>#N/A</v>
      </c>
      <c r="H548" t="s">
        <v>144</v>
      </c>
    </row>
    <row r="549" spans="1:8" x14ac:dyDescent="0.25">
      <c r="A549" s="44" t="s">
        <v>1438</v>
      </c>
      <c r="B549" t="s">
        <v>122</v>
      </c>
      <c r="C549" t="s">
        <v>290</v>
      </c>
      <c r="D549">
        <v>8</v>
      </c>
      <c r="E549" t="s">
        <v>19</v>
      </c>
      <c r="F549" s="83" t="e">
        <v>#N/A</v>
      </c>
      <c r="G549" s="82" t="e">
        <v>#N/A</v>
      </c>
      <c r="H549" t="s">
        <v>144</v>
      </c>
    </row>
    <row r="550" spans="1:8" x14ac:dyDescent="0.25">
      <c r="A550" s="44" t="s">
        <v>1441</v>
      </c>
      <c r="B550" t="s">
        <v>122</v>
      </c>
      <c r="C550" t="s">
        <v>290</v>
      </c>
      <c r="D550">
        <v>8</v>
      </c>
      <c r="E550" t="s">
        <v>20</v>
      </c>
      <c r="F550" s="83" t="e">
        <v>#N/A</v>
      </c>
      <c r="G550" s="82" t="e">
        <v>#N/A</v>
      </c>
      <c r="H550" t="s">
        <v>144</v>
      </c>
    </row>
    <row r="551" spans="1:8" x14ac:dyDescent="0.25">
      <c r="C551"/>
    </row>
    <row r="552" spans="1:8" x14ac:dyDescent="0.25">
      <c r="C552"/>
    </row>
    <row r="553" spans="1:8" x14ac:dyDescent="0.25">
      <c r="C553"/>
    </row>
    <row r="554" spans="1:8" x14ac:dyDescent="0.25">
      <c r="C554"/>
    </row>
    <row r="555" spans="1:8" x14ac:dyDescent="0.25">
      <c r="C555"/>
    </row>
    <row r="556" spans="1:8" x14ac:dyDescent="0.25">
      <c r="C556"/>
    </row>
    <row r="557" spans="1:8" x14ac:dyDescent="0.25">
      <c r="C557"/>
    </row>
    <row r="558" spans="1:8" x14ac:dyDescent="0.25">
      <c r="C558"/>
    </row>
    <row r="559" spans="1:8" x14ac:dyDescent="0.25">
      <c r="C559"/>
    </row>
    <row r="560" spans="1:8" x14ac:dyDescent="0.25">
      <c r="C560"/>
    </row>
    <row r="561" spans="3:3" x14ac:dyDescent="0.25">
      <c r="C561"/>
    </row>
    <row r="562" spans="3:3" x14ac:dyDescent="0.25">
      <c r="C562"/>
    </row>
    <row r="563" spans="3:3" x14ac:dyDescent="0.25">
      <c r="C563"/>
    </row>
    <row r="564" spans="3:3" x14ac:dyDescent="0.25">
      <c r="C564"/>
    </row>
    <row r="565" spans="3:3" x14ac:dyDescent="0.25">
      <c r="C565"/>
    </row>
    <row r="566" spans="3:3" x14ac:dyDescent="0.25">
      <c r="C566"/>
    </row>
    <row r="567" spans="3:3" x14ac:dyDescent="0.25">
      <c r="C567"/>
    </row>
    <row r="568" spans="3:3" x14ac:dyDescent="0.25">
      <c r="C568"/>
    </row>
    <row r="569" spans="3:3" x14ac:dyDescent="0.25">
      <c r="C569"/>
    </row>
    <row r="570" spans="3:3" x14ac:dyDescent="0.25">
      <c r="C570"/>
    </row>
    <row r="571" spans="3:3" x14ac:dyDescent="0.25">
      <c r="C571"/>
    </row>
    <row r="572" spans="3:3" x14ac:dyDescent="0.25">
      <c r="C572"/>
    </row>
    <row r="573" spans="3:3" x14ac:dyDescent="0.25">
      <c r="C573"/>
    </row>
    <row r="574" spans="3:3" x14ac:dyDescent="0.25">
      <c r="C574"/>
    </row>
    <row r="575" spans="3:3" x14ac:dyDescent="0.25">
      <c r="C575"/>
    </row>
    <row r="576" spans="3:3" x14ac:dyDescent="0.25">
      <c r="C576"/>
    </row>
    <row r="577" spans="3:3" x14ac:dyDescent="0.25">
      <c r="C577"/>
    </row>
    <row r="578" spans="3:3" x14ac:dyDescent="0.25">
      <c r="C578"/>
    </row>
    <row r="579" spans="3:3" x14ac:dyDescent="0.25">
      <c r="C579"/>
    </row>
    <row r="580" spans="3:3" x14ac:dyDescent="0.25">
      <c r="C580"/>
    </row>
    <row r="581" spans="3:3" x14ac:dyDescent="0.25">
      <c r="C581"/>
    </row>
    <row r="582" spans="3:3" x14ac:dyDescent="0.25">
      <c r="C582"/>
    </row>
    <row r="583" spans="3:3" x14ac:dyDescent="0.25">
      <c r="C583"/>
    </row>
    <row r="584" spans="3:3" x14ac:dyDescent="0.25">
      <c r="C584"/>
    </row>
    <row r="585" spans="3:3" x14ac:dyDescent="0.25">
      <c r="C585"/>
    </row>
    <row r="586" spans="3:3" x14ac:dyDescent="0.25">
      <c r="C586"/>
    </row>
    <row r="587" spans="3:3" x14ac:dyDescent="0.25">
      <c r="C587"/>
    </row>
    <row r="588" spans="3:3" x14ac:dyDescent="0.25">
      <c r="C588"/>
    </row>
    <row r="589" spans="3:3" x14ac:dyDescent="0.25">
      <c r="C589"/>
    </row>
    <row r="590" spans="3:3" x14ac:dyDescent="0.25">
      <c r="C590"/>
    </row>
    <row r="591" spans="3:3" x14ac:dyDescent="0.25">
      <c r="C591"/>
    </row>
    <row r="592" spans="3:3" x14ac:dyDescent="0.25">
      <c r="C592"/>
    </row>
    <row r="593" spans="3:3" x14ac:dyDescent="0.25">
      <c r="C593"/>
    </row>
    <row r="594" spans="3:3" x14ac:dyDescent="0.25">
      <c r="C594"/>
    </row>
    <row r="595" spans="3:3" x14ac:dyDescent="0.25">
      <c r="C595"/>
    </row>
    <row r="596" spans="3:3" x14ac:dyDescent="0.25">
      <c r="C596"/>
    </row>
    <row r="597" spans="3:3" x14ac:dyDescent="0.25">
      <c r="C597"/>
    </row>
    <row r="598" spans="3:3" x14ac:dyDescent="0.25">
      <c r="C598"/>
    </row>
    <row r="599" spans="3:3" x14ac:dyDescent="0.25">
      <c r="C599"/>
    </row>
    <row r="600" spans="3:3" x14ac:dyDescent="0.25">
      <c r="C600"/>
    </row>
    <row r="601" spans="3:3" x14ac:dyDescent="0.25">
      <c r="C601"/>
    </row>
    <row r="602" spans="3:3" x14ac:dyDescent="0.25">
      <c r="C602"/>
    </row>
    <row r="603" spans="3:3" x14ac:dyDescent="0.25">
      <c r="C603"/>
    </row>
    <row r="604" spans="3:3" x14ac:dyDescent="0.25">
      <c r="C604"/>
    </row>
    <row r="605" spans="3:3" x14ac:dyDescent="0.25">
      <c r="C605"/>
    </row>
    <row r="606" spans="3:3" x14ac:dyDescent="0.25">
      <c r="C606"/>
    </row>
    <row r="607" spans="3:3" x14ac:dyDescent="0.25">
      <c r="C607"/>
    </row>
    <row r="608" spans="3:3" x14ac:dyDescent="0.25">
      <c r="C608"/>
    </row>
    <row r="609" spans="3:3" x14ac:dyDescent="0.25">
      <c r="C609"/>
    </row>
    <row r="610" spans="3:3" x14ac:dyDescent="0.25">
      <c r="C610"/>
    </row>
    <row r="611" spans="3:3" x14ac:dyDescent="0.25">
      <c r="C611"/>
    </row>
    <row r="612" spans="3:3" x14ac:dyDescent="0.25">
      <c r="C612"/>
    </row>
    <row r="613" spans="3:3" x14ac:dyDescent="0.25">
      <c r="C613"/>
    </row>
    <row r="614" spans="3:3" x14ac:dyDescent="0.25">
      <c r="C614"/>
    </row>
    <row r="615" spans="3:3" x14ac:dyDescent="0.25">
      <c r="C615"/>
    </row>
    <row r="616" spans="3:3" x14ac:dyDescent="0.25">
      <c r="C616"/>
    </row>
    <row r="617" spans="3:3" x14ac:dyDescent="0.25">
      <c r="C617"/>
    </row>
    <row r="618" spans="3:3" x14ac:dyDescent="0.25">
      <c r="C618"/>
    </row>
    <row r="619" spans="3:3" x14ac:dyDescent="0.25">
      <c r="C619"/>
    </row>
    <row r="620" spans="3:3" x14ac:dyDescent="0.25">
      <c r="C620"/>
    </row>
    <row r="621" spans="3:3" x14ac:dyDescent="0.25">
      <c r="C621"/>
    </row>
    <row r="622" spans="3:3" x14ac:dyDescent="0.25">
      <c r="C622"/>
    </row>
    <row r="623" spans="3:3" x14ac:dyDescent="0.25">
      <c r="C623"/>
    </row>
    <row r="624" spans="3:3" x14ac:dyDescent="0.25">
      <c r="C624"/>
    </row>
    <row r="625" spans="3:3" x14ac:dyDescent="0.25">
      <c r="C625"/>
    </row>
    <row r="626" spans="3:3" x14ac:dyDescent="0.25">
      <c r="C626"/>
    </row>
    <row r="627" spans="3:3" x14ac:dyDescent="0.25">
      <c r="C627"/>
    </row>
    <row r="628" spans="3:3" x14ac:dyDescent="0.25">
      <c r="C628"/>
    </row>
    <row r="629" spans="3:3" x14ac:dyDescent="0.25">
      <c r="C629"/>
    </row>
    <row r="630" spans="3:3" x14ac:dyDescent="0.25">
      <c r="C630"/>
    </row>
    <row r="631" spans="3:3" x14ac:dyDescent="0.25">
      <c r="C631"/>
    </row>
    <row r="632" spans="3:3" x14ac:dyDescent="0.25">
      <c r="C632"/>
    </row>
    <row r="633" spans="3:3" x14ac:dyDescent="0.25">
      <c r="C633"/>
    </row>
    <row r="634" spans="3:3" x14ac:dyDescent="0.25">
      <c r="C634"/>
    </row>
    <row r="635" spans="3:3" x14ac:dyDescent="0.25">
      <c r="C635"/>
    </row>
    <row r="636" spans="3:3" x14ac:dyDescent="0.25">
      <c r="C636"/>
    </row>
    <row r="637" spans="3:3" x14ac:dyDescent="0.25">
      <c r="C637"/>
    </row>
    <row r="638" spans="3:3" x14ac:dyDescent="0.25">
      <c r="C638"/>
    </row>
    <row r="639" spans="3:3" x14ac:dyDescent="0.25">
      <c r="C639"/>
    </row>
    <row r="640" spans="3:3" x14ac:dyDescent="0.25">
      <c r="C640"/>
    </row>
    <row r="641" spans="3:3" x14ac:dyDescent="0.25">
      <c r="C641"/>
    </row>
    <row r="642" spans="3:3" x14ac:dyDescent="0.25">
      <c r="C642"/>
    </row>
    <row r="643" spans="3:3" x14ac:dyDescent="0.25">
      <c r="C643"/>
    </row>
    <row r="644" spans="3:3" x14ac:dyDescent="0.25">
      <c r="C644"/>
    </row>
    <row r="645" spans="3:3" x14ac:dyDescent="0.25">
      <c r="C645"/>
    </row>
    <row r="646" spans="3:3" x14ac:dyDescent="0.25">
      <c r="C646"/>
    </row>
    <row r="647" spans="3:3" x14ac:dyDescent="0.25">
      <c r="C647"/>
    </row>
    <row r="648" spans="3:3" x14ac:dyDescent="0.25">
      <c r="C648"/>
    </row>
    <row r="649" spans="3:3" x14ac:dyDescent="0.25">
      <c r="C649"/>
    </row>
    <row r="650" spans="3:3" x14ac:dyDescent="0.25">
      <c r="C650"/>
    </row>
    <row r="651" spans="3:3" x14ac:dyDescent="0.25">
      <c r="C651"/>
    </row>
    <row r="652" spans="3:3" x14ac:dyDescent="0.25">
      <c r="C652"/>
    </row>
    <row r="653" spans="3:3" x14ac:dyDescent="0.25">
      <c r="C653"/>
    </row>
    <row r="654" spans="3:3" x14ac:dyDescent="0.25">
      <c r="C654"/>
    </row>
    <row r="655" spans="3:3" x14ac:dyDescent="0.25">
      <c r="C655"/>
    </row>
    <row r="656" spans="3:3" x14ac:dyDescent="0.25">
      <c r="C656"/>
    </row>
    <row r="657" spans="3:3" x14ac:dyDescent="0.25">
      <c r="C657"/>
    </row>
    <row r="658" spans="3:3" x14ac:dyDescent="0.25">
      <c r="C658"/>
    </row>
    <row r="659" spans="3:3" x14ac:dyDescent="0.25">
      <c r="C659"/>
    </row>
    <row r="660" spans="3:3" x14ac:dyDescent="0.25">
      <c r="C660"/>
    </row>
    <row r="661" spans="3:3" x14ac:dyDescent="0.25">
      <c r="C661"/>
    </row>
    <row r="662" spans="3:3" x14ac:dyDescent="0.25">
      <c r="C662"/>
    </row>
    <row r="663" spans="3:3" x14ac:dyDescent="0.25">
      <c r="C663"/>
    </row>
    <row r="664" spans="3:3" x14ac:dyDescent="0.25">
      <c r="C664"/>
    </row>
    <row r="665" spans="3:3" x14ac:dyDescent="0.25">
      <c r="C665"/>
    </row>
    <row r="666" spans="3:3" x14ac:dyDescent="0.25">
      <c r="C666"/>
    </row>
    <row r="667" spans="3:3" x14ac:dyDescent="0.25">
      <c r="C667"/>
    </row>
    <row r="668" spans="3:3" x14ac:dyDescent="0.25">
      <c r="C668"/>
    </row>
    <row r="669" spans="3:3" x14ac:dyDescent="0.25">
      <c r="C669"/>
    </row>
    <row r="670" spans="3:3" x14ac:dyDescent="0.25">
      <c r="C670"/>
    </row>
    <row r="671" spans="3:3" x14ac:dyDescent="0.25">
      <c r="C671"/>
    </row>
    <row r="672" spans="3:3" x14ac:dyDescent="0.25">
      <c r="C672"/>
    </row>
    <row r="673" spans="3:3" x14ac:dyDescent="0.25">
      <c r="C673"/>
    </row>
    <row r="674" spans="3:3" x14ac:dyDescent="0.25">
      <c r="C674"/>
    </row>
    <row r="675" spans="3:3" x14ac:dyDescent="0.25">
      <c r="C675"/>
    </row>
    <row r="676" spans="3:3" x14ac:dyDescent="0.25">
      <c r="C676"/>
    </row>
    <row r="677" spans="3:3" x14ac:dyDescent="0.25">
      <c r="C677"/>
    </row>
    <row r="678" spans="3:3" x14ac:dyDescent="0.25">
      <c r="C678"/>
    </row>
    <row r="679" spans="3:3" x14ac:dyDescent="0.25">
      <c r="C679"/>
    </row>
    <row r="680" spans="3:3" x14ac:dyDescent="0.25">
      <c r="C680"/>
    </row>
    <row r="681" spans="3:3" x14ac:dyDescent="0.25">
      <c r="C681"/>
    </row>
    <row r="682" spans="3:3" x14ac:dyDescent="0.25">
      <c r="C682"/>
    </row>
    <row r="683" spans="3:3" x14ac:dyDescent="0.25">
      <c r="C683"/>
    </row>
    <row r="684" spans="3:3" x14ac:dyDescent="0.25">
      <c r="C684"/>
    </row>
    <row r="685" spans="3:3" x14ac:dyDescent="0.25">
      <c r="C685"/>
    </row>
    <row r="686" spans="3:3" x14ac:dyDescent="0.25">
      <c r="C686"/>
    </row>
    <row r="687" spans="3:3" x14ac:dyDescent="0.25">
      <c r="C687"/>
    </row>
    <row r="688" spans="3:3" x14ac:dyDescent="0.25">
      <c r="C688"/>
    </row>
    <row r="689" spans="3:3" x14ac:dyDescent="0.25">
      <c r="C689"/>
    </row>
    <row r="690" spans="3:3" x14ac:dyDescent="0.25">
      <c r="C690"/>
    </row>
    <row r="691" spans="3:3" x14ac:dyDescent="0.25">
      <c r="C691"/>
    </row>
    <row r="692" spans="3:3" x14ac:dyDescent="0.25">
      <c r="C692"/>
    </row>
    <row r="693" spans="3:3" x14ac:dyDescent="0.25">
      <c r="C693"/>
    </row>
    <row r="694" spans="3:3" x14ac:dyDescent="0.25">
      <c r="C694"/>
    </row>
    <row r="695" spans="3:3" x14ac:dyDescent="0.25">
      <c r="C695"/>
    </row>
    <row r="696" spans="3:3" x14ac:dyDescent="0.25">
      <c r="C696"/>
    </row>
    <row r="697" spans="3:3" x14ac:dyDescent="0.25">
      <c r="C697"/>
    </row>
    <row r="698" spans="3:3" x14ac:dyDescent="0.25">
      <c r="C698"/>
    </row>
    <row r="699" spans="3:3" x14ac:dyDescent="0.25">
      <c r="C699"/>
    </row>
    <row r="700" spans="3:3" x14ac:dyDescent="0.25">
      <c r="C700"/>
    </row>
    <row r="701" spans="3:3" x14ac:dyDescent="0.25">
      <c r="C701"/>
    </row>
    <row r="702" spans="3:3" x14ac:dyDescent="0.25">
      <c r="C702"/>
    </row>
    <row r="703" spans="3:3" x14ac:dyDescent="0.25">
      <c r="C703"/>
    </row>
    <row r="704" spans="3:3" x14ac:dyDescent="0.25">
      <c r="C704"/>
    </row>
    <row r="705" spans="3:3" x14ac:dyDescent="0.25">
      <c r="C705"/>
    </row>
    <row r="706" spans="3:3" x14ac:dyDescent="0.25">
      <c r="C706"/>
    </row>
    <row r="707" spans="3:3" x14ac:dyDescent="0.25">
      <c r="C707"/>
    </row>
    <row r="708" spans="3:3" x14ac:dyDescent="0.25">
      <c r="C708"/>
    </row>
    <row r="709" spans="3:3" x14ac:dyDescent="0.25">
      <c r="C709"/>
    </row>
    <row r="710" spans="3:3" x14ac:dyDescent="0.25">
      <c r="C710"/>
    </row>
    <row r="711" spans="3:3" x14ac:dyDescent="0.25">
      <c r="C711"/>
    </row>
    <row r="712" spans="3:3" x14ac:dyDescent="0.25">
      <c r="C712"/>
    </row>
    <row r="713" spans="3:3" x14ac:dyDescent="0.25">
      <c r="C713"/>
    </row>
    <row r="714" spans="3:3" x14ac:dyDescent="0.25">
      <c r="C714"/>
    </row>
    <row r="715" spans="3:3" x14ac:dyDescent="0.25">
      <c r="C715"/>
    </row>
    <row r="716" spans="3:3" x14ac:dyDescent="0.25">
      <c r="C716"/>
    </row>
    <row r="717" spans="3:3" x14ac:dyDescent="0.25">
      <c r="C717"/>
    </row>
    <row r="718" spans="3:3" x14ac:dyDescent="0.25">
      <c r="C718"/>
    </row>
    <row r="719" spans="3:3" x14ac:dyDescent="0.25">
      <c r="C719"/>
    </row>
    <row r="720" spans="3:3" x14ac:dyDescent="0.25">
      <c r="C720"/>
    </row>
    <row r="721" spans="3:3" x14ac:dyDescent="0.25">
      <c r="C721"/>
    </row>
    <row r="722" spans="3:3" x14ac:dyDescent="0.25">
      <c r="C722"/>
    </row>
    <row r="723" spans="3:3" x14ac:dyDescent="0.25">
      <c r="C723"/>
    </row>
    <row r="724" spans="3:3" x14ac:dyDescent="0.25">
      <c r="C724"/>
    </row>
    <row r="725" spans="3:3" x14ac:dyDescent="0.25">
      <c r="C725"/>
    </row>
    <row r="726" spans="3:3" x14ac:dyDescent="0.25">
      <c r="C726"/>
    </row>
    <row r="727" spans="3:3" x14ac:dyDescent="0.25">
      <c r="C727"/>
    </row>
    <row r="728" spans="3:3" x14ac:dyDescent="0.25">
      <c r="C728"/>
    </row>
    <row r="729" spans="3:3" x14ac:dyDescent="0.25">
      <c r="C729"/>
    </row>
    <row r="730" spans="3:3" x14ac:dyDescent="0.25">
      <c r="C730"/>
    </row>
    <row r="731" spans="3:3" x14ac:dyDescent="0.25">
      <c r="C731"/>
    </row>
    <row r="732" spans="3:3" x14ac:dyDescent="0.25">
      <c r="C732"/>
    </row>
    <row r="733" spans="3:3" x14ac:dyDescent="0.25">
      <c r="C733"/>
    </row>
    <row r="734" spans="3:3" x14ac:dyDescent="0.25">
      <c r="C734"/>
    </row>
    <row r="735" spans="3:3" x14ac:dyDescent="0.25">
      <c r="C735"/>
    </row>
    <row r="736" spans="3:3" x14ac:dyDescent="0.25">
      <c r="C736"/>
    </row>
    <row r="737" spans="3:3" x14ac:dyDescent="0.25">
      <c r="C737"/>
    </row>
    <row r="738" spans="3:3" x14ac:dyDescent="0.25">
      <c r="C738"/>
    </row>
    <row r="739" spans="3:3" x14ac:dyDescent="0.25">
      <c r="C739"/>
    </row>
    <row r="740" spans="3:3" x14ac:dyDescent="0.25">
      <c r="C740"/>
    </row>
    <row r="741" spans="3:3" x14ac:dyDescent="0.25">
      <c r="C741"/>
    </row>
    <row r="742" spans="3:3" x14ac:dyDescent="0.25">
      <c r="C742"/>
    </row>
    <row r="743" spans="3:3" x14ac:dyDescent="0.25">
      <c r="C743"/>
    </row>
    <row r="744" spans="3:3" x14ac:dyDescent="0.25">
      <c r="C744"/>
    </row>
    <row r="745" spans="3:3" x14ac:dyDescent="0.25">
      <c r="C745"/>
    </row>
    <row r="746" spans="3:3" x14ac:dyDescent="0.25">
      <c r="C746"/>
    </row>
    <row r="747" spans="3:3" x14ac:dyDescent="0.25">
      <c r="C747"/>
    </row>
    <row r="748" spans="3:3" x14ac:dyDescent="0.25">
      <c r="C748"/>
    </row>
    <row r="749" spans="3:3" x14ac:dyDescent="0.25">
      <c r="C749"/>
    </row>
    <row r="750" spans="3:3" x14ac:dyDescent="0.25">
      <c r="C750"/>
    </row>
    <row r="751" spans="3:3" x14ac:dyDescent="0.25">
      <c r="C751"/>
    </row>
    <row r="752" spans="3:3" x14ac:dyDescent="0.25">
      <c r="C752"/>
    </row>
    <row r="753" spans="3:3" x14ac:dyDescent="0.25">
      <c r="C753"/>
    </row>
    <row r="754" spans="3:3" x14ac:dyDescent="0.25">
      <c r="C754"/>
    </row>
    <row r="755" spans="3:3" x14ac:dyDescent="0.25">
      <c r="C755"/>
    </row>
    <row r="756" spans="3:3" x14ac:dyDescent="0.25">
      <c r="C756"/>
    </row>
    <row r="757" spans="3:3" x14ac:dyDescent="0.25">
      <c r="C757"/>
    </row>
    <row r="758" spans="3:3" x14ac:dyDescent="0.25">
      <c r="C758"/>
    </row>
    <row r="759" spans="3:3" x14ac:dyDescent="0.25">
      <c r="C759"/>
    </row>
    <row r="760" spans="3:3" x14ac:dyDescent="0.25">
      <c r="C760"/>
    </row>
    <row r="761" spans="3:3" x14ac:dyDescent="0.25">
      <c r="C761"/>
    </row>
    <row r="762" spans="3:3" x14ac:dyDescent="0.25">
      <c r="C762"/>
    </row>
    <row r="763" spans="3:3" x14ac:dyDescent="0.25">
      <c r="C763"/>
    </row>
    <row r="764" spans="3:3" x14ac:dyDescent="0.25">
      <c r="C764"/>
    </row>
    <row r="765" spans="3:3" x14ac:dyDescent="0.25">
      <c r="C765"/>
    </row>
    <row r="766" spans="3:3" x14ac:dyDescent="0.25">
      <c r="C766"/>
    </row>
    <row r="767" spans="3:3" x14ac:dyDescent="0.25">
      <c r="C767"/>
    </row>
    <row r="768" spans="3:3" x14ac:dyDescent="0.25">
      <c r="C768"/>
    </row>
    <row r="769" spans="3:3" x14ac:dyDescent="0.25">
      <c r="C769"/>
    </row>
    <row r="770" spans="3:3" x14ac:dyDescent="0.25">
      <c r="C770"/>
    </row>
    <row r="771" spans="3:3" x14ac:dyDescent="0.25">
      <c r="C771"/>
    </row>
    <row r="772" spans="3:3" x14ac:dyDescent="0.25">
      <c r="C772"/>
    </row>
    <row r="773" spans="3:3" x14ac:dyDescent="0.25">
      <c r="C773"/>
    </row>
    <row r="774" spans="3:3" x14ac:dyDescent="0.25">
      <c r="C774"/>
    </row>
    <row r="775" spans="3:3" x14ac:dyDescent="0.25">
      <c r="C775"/>
    </row>
    <row r="776" spans="3:3" x14ac:dyDescent="0.25">
      <c r="C776"/>
    </row>
    <row r="777" spans="3:3" x14ac:dyDescent="0.25">
      <c r="C777"/>
    </row>
    <row r="778" spans="3:3" x14ac:dyDescent="0.25">
      <c r="C778"/>
    </row>
    <row r="779" spans="3:3" x14ac:dyDescent="0.25">
      <c r="C779"/>
    </row>
    <row r="780" spans="3:3" x14ac:dyDescent="0.25">
      <c r="C780"/>
    </row>
    <row r="781" spans="3:3" x14ac:dyDescent="0.25">
      <c r="C781"/>
    </row>
    <row r="782" spans="3:3" x14ac:dyDescent="0.25">
      <c r="C782"/>
    </row>
    <row r="783" spans="3:3" x14ac:dyDescent="0.25">
      <c r="C783"/>
    </row>
    <row r="784" spans="3:3" x14ac:dyDescent="0.25">
      <c r="C784"/>
    </row>
    <row r="785" spans="3:3" x14ac:dyDescent="0.25">
      <c r="C785"/>
    </row>
    <row r="786" spans="3:3" x14ac:dyDescent="0.25">
      <c r="C786"/>
    </row>
    <row r="787" spans="3:3" x14ac:dyDescent="0.25">
      <c r="C787"/>
    </row>
    <row r="788" spans="3:3" x14ac:dyDescent="0.25">
      <c r="C788"/>
    </row>
    <row r="789" spans="3:3" x14ac:dyDescent="0.25">
      <c r="C789"/>
    </row>
    <row r="790" spans="3:3" x14ac:dyDescent="0.25">
      <c r="C790"/>
    </row>
    <row r="791" spans="3:3" x14ac:dyDescent="0.25">
      <c r="C791"/>
    </row>
    <row r="792" spans="3:3" x14ac:dyDescent="0.25">
      <c r="C792"/>
    </row>
    <row r="793" spans="3:3" x14ac:dyDescent="0.25">
      <c r="C793"/>
    </row>
    <row r="794" spans="3:3" x14ac:dyDescent="0.25">
      <c r="C794"/>
    </row>
    <row r="795" spans="3:3" x14ac:dyDescent="0.25">
      <c r="C795"/>
    </row>
    <row r="796" spans="3:3" x14ac:dyDescent="0.25">
      <c r="C796"/>
    </row>
    <row r="797" spans="3:3" x14ac:dyDescent="0.25">
      <c r="C797"/>
    </row>
    <row r="798" spans="3:3" x14ac:dyDescent="0.25">
      <c r="C798"/>
    </row>
    <row r="799" spans="3:3" x14ac:dyDescent="0.25">
      <c r="C799"/>
    </row>
    <row r="800" spans="3:3" x14ac:dyDescent="0.25">
      <c r="C800"/>
    </row>
    <row r="801" spans="3:3" x14ac:dyDescent="0.25">
      <c r="C801"/>
    </row>
    <row r="802" spans="3:3" x14ac:dyDescent="0.25">
      <c r="C802"/>
    </row>
    <row r="803" spans="3:3" x14ac:dyDescent="0.25">
      <c r="C803"/>
    </row>
    <row r="804" spans="3:3" x14ac:dyDescent="0.25">
      <c r="C804"/>
    </row>
    <row r="805" spans="3:3" x14ac:dyDescent="0.25">
      <c r="C805"/>
    </row>
    <row r="806" spans="3:3" x14ac:dyDescent="0.25">
      <c r="C806"/>
    </row>
    <row r="807" spans="3:3" x14ac:dyDescent="0.25">
      <c r="C807"/>
    </row>
    <row r="808" spans="3:3" x14ac:dyDescent="0.25">
      <c r="C808"/>
    </row>
    <row r="809" spans="3:3" x14ac:dyDescent="0.25">
      <c r="C809"/>
    </row>
    <row r="810" spans="3:3" x14ac:dyDescent="0.25">
      <c r="C810"/>
    </row>
    <row r="811" spans="3:3" x14ac:dyDescent="0.25">
      <c r="C811"/>
    </row>
    <row r="812" spans="3:3" x14ac:dyDescent="0.25">
      <c r="C812"/>
    </row>
    <row r="813" spans="3:3" x14ac:dyDescent="0.25">
      <c r="C813"/>
    </row>
    <row r="814" spans="3:3" x14ac:dyDescent="0.25">
      <c r="C814"/>
    </row>
    <row r="815" spans="3:3" x14ac:dyDescent="0.25">
      <c r="C815"/>
    </row>
    <row r="816" spans="3:3" x14ac:dyDescent="0.25">
      <c r="C816"/>
    </row>
    <row r="817" spans="3:3" x14ac:dyDescent="0.25">
      <c r="C817"/>
    </row>
    <row r="818" spans="3:3" x14ac:dyDescent="0.25">
      <c r="C818"/>
    </row>
    <row r="819" spans="3:3" x14ac:dyDescent="0.25">
      <c r="C819"/>
    </row>
    <row r="820" spans="3:3" x14ac:dyDescent="0.25">
      <c r="C820"/>
    </row>
    <row r="821" spans="3:3" x14ac:dyDescent="0.25">
      <c r="C821"/>
    </row>
    <row r="822" spans="3:3" x14ac:dyDescent="0.25">
      <c r="C822"/>
    </row>
    <row r="823" spans="3:3" x14ac:dyDescent="0.25">
      <c r="C823"/>
    </row>
    <row r="824" spans="3:3" x14ac:dyDescent="0.25">
      <c r="C824"/>
    </row>
    <row r="825" spans="3:3" x14ac:dyDescent="0.25">
      <c r="C825"/>
    </row>
    <row r="826" spans="3:3" x14ac:dyDescent="0.25">
      <c r="C826"/>
    </row>
    <row r="827" spans="3:3" x14ac:dyDescent="0.25">
      <c r="C827"/>
    </row>
    <row r="828" spans="3:3" x14ac:dyDescent="0.25">
      <c r="C828"/>
    </row>
    <row r="829" spans="3:3" x14ac:dyDescent="0.25">
      <c r="C829"/>
    </row>
    <row r="830" spans="3:3" x14ac:dyDescent="0.25">
      <c r="C830"/>
    </row>
    <row r="831" spans="3:3" x14ac:dyDescent="0.25">
      <c r="C831"/>
    </row>
    <row r="832" spans="3:3" x14ac:dyDescent="0.25">
      <c r="C832"/>
    </row>
    <row r="833" spans="3:3" x14ac:dyDescent="0.25">
      <c r="C833"/>
    </row>
    <row r="834" spans="3:3" x14ac:dyDescent="0.25">
      <c r="C834"/>
    </row>
    <row r="835" spans="3:3" x14ac:dyDescent="0.25">
      <c r="C835"/>
    </row>
    <row r="836" spans="3:3" x14ac:dyDescent="0.25">
      <c r="C836"/>
    </row>
    <row r="837" spans="3:3" x14ac:dyDescent="0.25">
      <c r="C837"/>
    </row>
    <row r="838" spans="3:3" x14ac:dyDescent="0.25">
      <c r="C838"/>
    </row>
    <row r="839" spans="3:3" x14ac:dyDescent="0.25">
      <c r="C839"/>
    </row>
    <row r="840" spans="3:3" x14ac:dyDescent="0.25">
      <c r="C840"/>
    </row>
    <row r="841" spans="3:3" x14ac:dyDescent="0.25">
      <c r="C841"/>
    </row>
    <row r="842" spans="3:3" x14ac:dyDescent="0.25">
      <c r="C842"/>
    </row>
    <row r="843" spans="3:3" x14ac:dyDescent="0.25">
      <c r="C843"/>
    </row>
    <row r="844" spans="3:3" x14ac:dyDescent="0.25">
      <c r="C844"/>
    </row>
    <row r="845" spans="3:3" x14ac:dyDescent="0.25">
      <c r="C845"/>
    </row>
    <row r="846" spans="3:3" x14ac:dyDescent="0.25">
      <c r="C846"/>
    </row>
    <row r="847" spans="3:3" x14ac:dyDescent="0.25">
      <c r="C847"/>
    </row>
    <row r="848" spans="3:3" x14ac:dyDescent="0.25">
      <c r="C848"/>
    </row>
    <row r="849" spans="3:3" x14ac:dyDescent="0.25">
      <c r="C849"/>
    </row>
    <row r="850" spans="3:3" x14ac:dyDescent="0.25">
      <c r="C850"/>
    </row>
    <row r="851" spans="3:3" x14ac:dyDescent="0.25">
      <c r="C851"/>
    </row>
    <row r="852" spans="3:3" x14ac:dyDescent="0.25">
      <c r="C852"/>
    </row>
    <row r="853" spans="3:3" x14ac:dyDescent="0.25">
      <c r="C853"/>
    </row>
    <row r="854" spans="3:3" x14ac:dyDescent="0.25">
      <c r="C854"/>
    </row>
    <row r="855" spans="3:3" x14ac:dyDescent="0.25">
      <c r="C855"/>
    </row>
    <row r="856" spans="3:3" x14ac:dyDescent="0.25">
      <c r="C856"/>
    </row>
    <row r="857" spans="3:3" x14ac:dyDescent="0.25">
      <c r="C857"/>
    </row>
    <row r="858" spans="3:3" x14ac:dyDescent="0.25">
      <c r="C858"/>
    </row>
    <row r="859" spans="3:3" x14ac:dyDescent="0.25">
      <c r="C859"/>
    </row>
    <row r="860" spans="3:3" x14ac:dyDescent="0.25">
      <c r="C860"/>
    </row>
    <row r="861" spans="3:3" x14ac:dyDescent="0.25">
      <c r="C861"/>
    </row>
    <row r="862" spans="3:3" x14ac:dyDescent="0.25">
      <c r="C862"/>
    </row>
    <row r="863" spans="3:3" x14ac:dyDescent="0.25">
      <c r="C863"/>
    </row>
    <row r="864" spans="3:3" x14ac:dyDescent="0.25">
      <c r="C864"/>
    </row>
    <row r="865" spans="3:3" x14ac:dyDescent="0.25">
      <c r="C865"/>
    </row>
    <row r="866" spans="3:3" x14ac:dyDescent="0.25">
      <c r="C866"/>
    </row>
    <row r="867" spans="3:3" x14ac:dyDescent="0.25">
      <c r="C867"/>
    </row>
    <row r="868" spans="3:3" x14ac:dyDescent="0.25">
      <c r="C868"/>
    </row>
    <row r="869" spans="3:3" x14ac:dyDescent="0.25">
      <c r="C869"/>
    </row>
    <row r="870" spans="3:3" x14ac:dyDescent="0.25">
      <c r="C870"/>
    </row>
    <row r="871" spans="3:3" x14ac:dyDescent="0.25">
      <c r="C871"/>
    </row>
    <row r="872" spans="3:3" x14ac:dyDescent="0.25">
      <c r="C872"/>
    </row>
    <row r="873" spans="3:3" x14ac:dyDescent="0.25">
      <c r="C873"/>
    </row>
    <row r="874" spans="3:3" x14ac:dyDescent="0.25">
      <c r="C874"/>
    </row>
    <row r="875" spans="3:3" x14ac:dyDescent="0.25">
      <c r="C875"/>
    </row>
    <row r="876" spans="3:3" x14ac:dyDescent="0.25">
      <c r="C876"/>
    </row>
    <row r="877" spans="3:3" x14ac:dyDescent="0.25">
      <c r="C877"/>
    </row>
    <row r="878" spans="3:3" x14ac:dyDescent="0.25">
      <c r="C878"/>
    </row>
    <row r="879" spans="3:3" x14ac:dyDescent="0.25">
      <c r="C879"/>
    </row>
    <row r="880" spans="3:3" x14ac:dyDescent="0.25">
      <c r="C880"/>
    </row>
    <row r="881" spans="3:3" x14ac:dyDescent="0.25">
      <c r="C881"/>
    </row>
    <row r="882" spans="3:3" x14ac:dyDescent="0.25">
      <c r="C882"/>
    </row>
    <row r="883" spans="3:3" x14ac:dyDescent="0.25">
      <c r="C883"/>
    </row>
    <row r="884" spans="3:3" x14ac:dyDescent="0.25">
      <c r="C884"/>
    </row>
    <row r="885" spans="3:3" x14ac:dyDescent="0.25">
      <c r="C885"/>
    </row>
    <row r="886" spans="3:3" x14ac:dyDescent="0.25">
      <c r="C886"/>
    </row>
    <row r="887" spans="3:3" x14ac:dyDescent="0.25">
      <c r="C887"/>
    </row>
    <row r="888" spans="3:3" x14ac:dyDescent="0.25">
      <c r="C888"/>
    </row>
    <row r="889" spans="3:3" x14ac:dyDescent="0.25">
      <c r="C889"/>
    </row>
    <row r="890" spans="3:3" x14ac:dyDescent="0.25">
      <c r="C890"/>
    </row>
    <row r="891" spans="3:3" x14ac:dyDescent="0.25">
      <c r="C891"/>
    </row>
    <row r="892" spans="3:3" x14ac:dyDescent="0.25">
      <c r="C892"/>
    </row>
    <row r="893" spans="3:3" x14ac:dyDescent="0.25">
      <c r="C893"/>
    </row>
    <row r="894" spans="3:3" x14ac:dyDescent="0.25">
      <c r="C894"/>
    </row>
    <row r="895" spans="3:3" x14ac:dyDescent="0.25">
      <c r="C895"/>
    </row>
    <row r="896" spans="3:3" x14ac:dyDescent="0.25">
      <c r="C896"/>
    </row>
    <row r="897" spans="3:3" x14ac:dyDescent="0.25">
      <c r="C897"/>
    </row>
    <row r="898" spans="3:3" x14ac:dyDescent="0.25">
      <c r="C898"/>
    </row>
    <row r="899" spans="3:3" x14ac:dyDescent="0.25">
      <c r="C899"/>
    </row>
    <row r="900" spans="3:3" x14ac:dyDescent="0.25">
      <c r="C900"/>
    </row>
    <row r="901" spans="3:3" x14ac:dyDescent="0.25">
      <c r="C901"/>
    </row>
    <row r="902" spans="3:3" x14ac:dyDescent="0.25">
      <c r="C902"/>
    </row>
    <row r="903" spans="3:3" x14ac:dyDescent="0.25">
      <c r="C903"/>
    </row>
    <row r="904" spans="3:3" x14ac:dyDescent="0.25">
      <c r="C904"/>
    </row>
    <row r="905" spans="3:3" x14ac:dyDescent="0.25">
      <c r="C905"/>
    </row>
    <row r="906" spans="3:3" x14ac:dyDescent="0.25">
      <c r="C906"/>
    </row>
    <row r="907" spans="3:3" x14ac:dyDescent="0.25">
      <c r="C907"/>
    </row>
    <row r="908" spans="3:3" x14ac:dyDescent="0.25">
      <c r="C908"/>
    </row>
    <row r="909" spans="3:3" x14ac:dyDescent="0.25">
      <c r="C909"/>
    </row>
    <row r="910" spans="3:3" x14ac:dyDescent="0.25">
      <c r="C910"/>
    </row>
    <row r="911" spans="3:3" x14ac:dyDescent="0.25">
      <c r="C911"/>
    </row>
    <row r="912" spans="3:3" x14ac:dyDescent="0.25">
      <c r="C912"/>
    </row>
    <row r="913" spans="3:3" x14ac:dyDescent="0.25">
      <c r="C913"/>
    </row>
    <row r="914" spans="3:3" x14ac:dyDescent="0.25">
      <c r="C914"/>
    </row>
    <row r="915" spans="3:3" x14ac:dyDescent="0.25">
      <c r="C915"/>
    </row>
    <row r="916" spans="3:3" x14ac:dyDescent="0.25">
      <c r="C916"/>
    </row>
    <row r="917" spans="3:3" x14ac:dyDescent="0.25">
      <c r="C917"/>
    </row>
    <row r="918" spans="3:3" x14ac:dyDescent="0.25">
      <c r="C918"/>
    </row>
    <row r="919" spans="3:3" x14ac:dyDescent="0.25">
      <c r="C919"/>
    </row>
    <row r="920" spans="3:3" x14ac:dyDescent="0.25">
      <c r="C920"/>
    </row>
    <row r="921" spans="3:3" x14ac:dyDescent="0.25">
      <c r="C921"/>
    </row>
    <row r="922" spans="3:3" x14ac:dyDescent="0.25">
      <c r="C922"/>
    </row>
    <row r="923" spans="3:3" x14ac:dyDescent="0.25">
      <c r="C923"/>
    </row>
    <row r="924" spans="3:3" x14ac:dyDescent="0.25">
      <c r="C924"/>
    </row>
    <row r="925" spans="3:3" x14ac:dyDescent="0.25">
      <c r="C925"/>
    </row>
    <row r="926" spans="3:3" x14ac:dyDescent="0.25">
      <c r="C926"/>
    </row>
    <row r="927" spans="3:3" x14ac:dyDescent="0.25">
      <c r="C927"/>
    </row>
    <row r="928" spans="3:3" x14ac:dyDescent="0.25">
      <c r="C928"/>
    </row>
    <row r="929" spans="3:3" x14ac:dyDescent="0.25">
      <c r="C929"/>
    </row>
    <row r="930" spans="3:3" x14ac:dyDescent="0.25">
      <c r="C930"/>
    </row>
    <row r="931" spans="3:3" x14ac:dyDescent="0.25">
      <c r="C931"/>
    </row>
    <row r="932" spans="3:3" x14ac:dyDescent="0.25">
      <c r="C932"/>
    </row>
    <row r="933" spans="3:3" x14ac:dyDescent="0.25">
      <c r="C933"/>
    </row>
    <row r="934" spans="3:3" x14ac:dyDescent="0.25">
      <c r="C934"/>
    </row>
    <row r="935" spans="3:3" x14ac:dyDescent="0.25">
      <c r="C935"/>
    </row>
    <row r="936" spans="3:3" x14ac:dyDescent="0.25">
      <c r="C936"/>
    </row>
    <row r="937" spans="3:3" x14ac:dyDescent="0.25">
      <c r="C937"/>
    </row>
    <row r="938" spans="3:3" x14ac:dyDescent="0.25">
      <c r="C938"/>
    </row>
    <row r="939" spans="3:3" x14ac:dyDescent="0.25">
      <c r="C939"/>
    </row>
    <row r="940" spans="3:3" x14ac:dyDescent="0.25">
      <c r="C940"/>
    </row>
    <row r="941" spans="3:3" x14ac:dyDescent="0.25">
      <c r="C941"/>
    </row>
    <row r="942" spans="3:3" x14ac:dyDescent="0.25">
      <c r="C942"/>
    </row>
    <row r="943" spans="3:3" x14ac:dyDescent="0.25">
      <c r="C943"/>
    </row>
    <row r="944" spans="3:3" x14ac:dyDescent="0.25">
      <c r="C944"/>
    </row>
    <row r="945" spans="3:3" x14ac:dyDescent="0.25">
      <c r="C945"/>
    </row>
    <row r="946" spans="3:3" x14ac:dyDescent="0.25">
      <c r="C946"/>
    </row>
    <row r="947" spans="3:3" x14ac:dyDescent="0.25">
      <c r="C947"/>
    </row>
    <row r="948" spans="3:3" x14ac:dyDescent="0.25">
      <c r="C948"/>
    </row>
    <row r="949" spans="3:3" x14ac:dyDescent="0.25">
      <c r="C949"/>
    </row>
    <row r="950" spans="3:3" x14ac:dyDescent="0.25">
      <c r="C950"/>
    </row>
    <row r="951" spans="3:3" x14ac:dyDescent="0.25">
      <c r="C951"/>
    </row>
    <row r="952" spans="3:3" x14ac:dyDescent="0.25">
      <c r="C952"/>
    </row>
    <row r="953" spans="3:3" x14ac:dyDescent="0.25">
      <c r="C953"/>
    </row>
    <row r="954" spans="3:3" x14ac:dyDescent="0.25">
      <c r="C954"/>
    </row>
    <row r="955" spans="3:3" x14ac:dyDescent="0.25">
      <c r="C955"/>
    </row>
    <row r="956" spans="3:3" x14ac:dyDescent="0.25">
      <c r="C956"/>
    </row>
    <row r="957" spans="3:3" x14ac:dyDescent="0.25">
      <c r="C957"/>
    </row>
    <row r="958" spans="3:3" x14ac:dyDescent="0.25">
      <c r="C958"/>
    </row>
    <row r="959" spans="3:3" x14ac:dyDescent="0.25">
      <c r="C959"/>
    </row>
    <row r="960" spans="3:3" x14ac:dyDescent="0.25">
      <c r="C960"/>
    </row>
    <row r="961" spans="3:3" x14ac:dyDescent="0.25">
      <c r="C961"/>
    </row>
    <row r="962" spans="3:3" x14ac:dyDescent="0.25">
      <c r="C962"/>
    </row>
    <row r="963" spans="3:3" x14ac:dyDescent="0.25">
      <c r="C963"/>
    </row>
    <row r="964" spans="3:3" x14ac:dyDescent="0.25">
      <c r="C964"/>
    </row>
    <row r="965" spans="3:3" x14ac:dyDescent="0.25">
      <c r="C965"/>
    </row>
    <row r="966" spans="3:3" x14ac:dyDescent="0.25">
      <c r="C966"/>
    </row>
    <row r="967" spans="3:3" x14ac:dyDescent="0.25">
      <c r="C967"/>
    </row>
    <row r="968" spans="3:3" x14ac:dyDescent="0.25">
      <c r="C968"/>
    </row>
    <row r="969" spans="3:3" x14ac:dyDescent="0.25">
      <c r="C969"/>
    </row>
    <row r="970" spans="3:3" x14ac:dyDescent="0.25">
      <c r="C970"/>
    </row>
    <row r="971" spans="3:3" x14ac:dyDescent="0.25">
      <c r="C971"/>
    </row>
    <row r="972" spans="3:3" x14ac:dyDescent="0.25">
      <c r="C972"/>
    </row>
    <row r="973" spans="3:3" x14ac:dyDescent="0.25">
      <c r="C973"/>
    </row>
    <row r="974" spans="3:3" x14ac:dyDescent="0.25">
      <c r="C974"/>
    </row>
    <row r="975" spans="3:3" x14ac:dyDescent="0.25">
      <c r="C975"/>
    </row>
    <row r="976" spans="3:3" x14ac:dyDescent="0.25">
      <c r="C976"/>
    </row>
    <row r="977" spans="3:3" x14ac:dyDescent="0.25">
      <c r="C977"/>
    </row>
    <row r="978" spans="3:3" x14ac:dyDescent="0.25">
      <c r="C978"/>
    </row>
    <row r="979" spans="3:3" x14ac:dyDescent="0.25">
      <c r="C979"/>
    </row>
    <row r="980" spans="3:3" x14ac:dyDescent="0.25">
      <c r="C980"/>
    </row>
    <row r="981" spans="3:3" x14ac:dyDescent="0.25">
      <c r="C981"/>
    </row>
    <row r="982" spans="3:3" x14ac:dyDescent="0.25">
      <c r="C982"/>
    </row>
    <row r="983" spans="3:3" x14ac:dyDescent="0.25">
      <c r="C983"/>
    </row>
    <row r="984" spans="3:3" x14ac:dyDescent="0.25">
      <c r="C984"/>
    </row>
    <row r="985" spans="3:3" x14ac:dyDescent="0.25">
      <c r="C985"/>
    </row>
    <row r="986" spans="3:3" x14ac:dyDescent="0.25">
      <c r="C986"/>
    </row>
    <row r="987" spans="3:3" x14ac:dyDescent="0.25">
      <c r="C987"/>
    </row>
    <row r="988" spans="3:3" x14ac:dyDescent="0.25">
      <c r="C988"/>
    </row>
    <row r="989" spans="3:3" x14ac:dyDescent="0.25">
      <c r="C989"/>
    </row>
    <row r="990" spans="3:3" x14ac:dyDescent="0.25">
      <c r="C990"/>
    </row>
    <row r="991" spans="3:3" x14ac:dyDescent="0.25">
      <c r="C991"/>
    </row>
    <row r="992" spans="3:3" x14ac:dyDescent="0.25">
      <c r="C992"/>
    </row>
    <row r="993" spans="3:3" x14ac:dyDescent="0.25">
      <c r="C993"/>
    </row>
    <row r="994" spans="3:3" x14ac:dyDescent="0.25">
      <c r="C994"/>
    </row>
    <row r="995" spans="3:3" x14ac:dyDescent="0.25">
      <c r="C995"/>
    </row>
    <row r="996" spans="3:3" x14ac:dyDescent="0.25">
      <c r="C996"/>
    </row>
    <row r="997" spans="3:3" x14ac:dyDescent="0.25">
      <c r="C997"/>
    </row>
    <row r="998" spans="3:3" x14ac:dyDescent="0.25">
      <c r="C998"/>
    </row>
    <row r="999" spans="3:3" x14ac:dyDescent="0.25">
      <c r="C999"/>
    </row>
    <row r="1000" spans="3:3" x14ac:dyDescent="0.25">
      <c r="C1000"/>
    </row>
    <row r="1001" spans="3:3" x14ac:dyDescent="0.25">
      <c r="C1001"/>
    </row>
    <row r="1002" spans="3:3" x14ac:dyDescent="0.25">
      <c r="C1002"/>
    </row>
    <row r="1003" spans="3:3" x14ac:dyDescent="0.25">
      <c r="C1003"/>
    </row>
    <row r="1004" spans="3:3" x14ac:dyDescent="0.25">
      <c r="C1004"/>
    </row>
    <row r="1005" spans="3:3" x14ac:dyDescent="0.25">
      <c r="C1005"/>
    </row>
    <row r="1006" spans="3:3" x14ac:dyDescent="0.25">
      <c r="C1006"/>
    </row>
    <row r="1007" spans="3:3" x14ac:dyDescent="0.25">
      <c r="C1007"/>
    </row>
    <row r="1008" spans="3:3" x14ac:dyDescent="0.25">
      <c r="C1008"/>
    </row>
    <row r="1009" spans="3:3" x14ac:dyDescent="0.25">
      <c r="C1009"/>
    </row>
    <row r="1010" spans="3:3" x14ac:dyDescent="0.25">
      <c r="C1010"/>
    </row>
    <row r="1011" spans="3:3" x14ac:dyDescent="0.25">
      <c r="C1011"/>
    </row>
    <row r="1012" spans="3:3" x14ac:dyDescent="0.25">
      <c r="C1012"/>
    </row>
    <row r="1013" spans="3:3" x14ac:dyDescent="0.25">
      <c r="C1013"/>
    </row>
    <row r="1014" spans="3:3" x14ac:dyDescent="0.25">
      <c r="C1014"/>
    </row>
    <row r="1015" spans="3:3" x14ac:dyDescent="0.25">
      <c r="C1015"/>
    </row>
    <row r="1016" spans="3:3" x14ac:dyDescent="0.25">
      <c r="C1016"/>
    </row>
    <row r="1017" spans="3:3" x14ac:dyDescent="0.25">
      <c r="C1017"/>
    </row>
    <row r="1018" spans="3:3" x14ac:dyDescent="0.25">
      <c r="C1018"/>
    </row>
    <row r="1019" spans="3:3" x14ac:dyDescent="0.25">
      <c r="C1019"/>
    </row>
    <row r="1020" spans="3:3" x14ac:dyDescent="0.25">
      <c r="C1020"/>
    </row>
    <row r="1021" spans="3:3" x14ac:dyDescent="0.25">
      <c r="C1021"/>
    </row>
    <row r="1022" spans="3:3" x14ac:dyDescent="0.25">
      <c r="C1022"/>
    </row>
    <row r="1023" spans="3:3" x14ac:dyDescent="0.25">
      <c r="C1023"/>
    </row>
    <row r="1024" spans="3:3" x14ac:dyDescent="0.25">
      <c r="C1024"/>
    </row>
    <row r="1025" spans="3:3" x14ac:dyDescent="0.25">
      <c r="C1025"/>
    </row>
    <row r="1026" spans="3:3" x14ac:dyDescent="0.25">
      <c r="C1026"/>
    </row>
    <row r="1027" spans="3:3" x14ac:dyDescent="0.25">
      <c r="C1027"/>
    </row>
    <row r="1028" spans="3:3" x14ac:dyDescent="0.25">
      <c r="C1028"/>
    </row>
    <row r="1029" spans="3:3" x14ac:dyDescent="0.25">
      <c r="C1029"/>
    </row>
    <row r="1030" spans="3:3" x14ac:dyDescent="0.25">
      <c r="C1030"/>
    </row>
    <row r="1031" spans="3:3" x14ac:dyDescent="0.25">
      <c r="C1031"/>
    </row>
    <row r="1032" spans="3:3" x14ac:dyDescent="0.25">
      <c r="C1032"/>
    </row>
    <row r="1033" spans="3:3" x14ac:dyDescent="0.25">
      <c r="C1033"/>
    </row>
    <row r="1034" spans="3:3" x14ac:dyDescent="0.25">
      <c r="C1034"/>
    </row>
    <row r="1035" spans="3:3" x14ac:dyDescent="0.25">
      <c r="C1035"/>
    </row>
    <row r="1036" spans="3:3" x14ac:dyDescent="0.25">
      <c r="C1036"/>
    </row>
    <row r="1037" spans="3:3" x14ac:dyDescent="0.25">
      <c r="C1037"/>
    </row>
    <row r="1038" spans="3:3" x14ac:dyDescent="0.25">
      <c r="C1038"/>
    </row>
    <row r="1039" spans="3:3" x14ac:dyDescent="0.25">
      <c r="C1039"/>
    </row>
    <row r="1040" spans="3:3" x14ac:dyDescent="0.25">
      <c r="C1040"/>
    </row>
    <row r="1041" spans="3:3" x14ac:dyDescent="0.25">
      <c r="C1041"/>
    </row>
    <row r="1042" spans="3:3" x14ac:dyDescent="0.25">
      <c r="C1042"/>
    </row>
    <row r="1043" spans="3:3" x14ac:dyDescent="0.25">
      <c r="C1043"/>
    </row>
    <row r="1044" spans="3:3" x14ac:dyDescent="0.25">
      <c r="C1044"/>
    </row>
    <row r="1045" spans="3:3" x14ac:dyDescent="0.25">
      <c r="C1045"/>
    </row>
    <row r="1046" spans="3:3" x14ac:dyDescent="0.25">
      <c r="C1046"/>
    </row>
    <row r="1047" spans="3:3" x14ac:dyDescent="0.25">
      <c r="C1047"/>
    </row>
    <row r="1048" spans="3:3" x14ac:dyDescent="0.25">
      <c r="C1048"/>
    </row>
    <row r="1049" spans="3:3" x14ac:dyDescent="0.25">
      <c r="C1049"/>
    </row>
    <row r="1050" spans="3:3" x14ac:dyDescent="0.25">
      <c r="C1050"/>
    </row>
    <row r="1051" spans="3:3" x14ac:dyDescent="0.25">
      <c r="C1051"/>
    </row>
    <row r="1052" spans="3:3" x14ac:dyDescent="0.25">
      <c r="C1052"/>
    </row>
    <row r="1053" spans="3:3" x14ac:dyDescent="0.25">
      <c r="C1053"/>
    </row>
    <row r="1054" spans="3:3" x14ac:dyDescent="0.25">
      <c r="C1054"/>
    </row>
    <row r="1055" spans="3:3" x14ac:dyDescent="0.25">
      <c r="C1055"/>
    </row>
    <row r="1056" spans="3:3" x14ac:dyDescent="0.25">
      <c r="C1056"/>
    </row>
    <row r="1057" spans="3:3" x14ac:dyDescent="0.25">
      <c r="C1057"/>
    </row>
    <row r="1058" spans="3:3" x14ac:dyDescent="0.25">
      <c r="C1058"/>
    </row>
    <row r="1059" spans="3:3" x14ac:dyDescent="0.25">
      <c r="C1059"/>
    </row>
    <row r="1060" spans="3:3" x14ac:dyDescent="0.25">
      <c r="C1060"/>
    </row>
    <row r="1061" spans="3:3" x14ac:dyDescent="0.25">
      <c r="C1061"/>
    </row>
    <row r="1062" spans="3:3" x14ac:dyDescent="0.25">
      <c r="C1062"/>
    </row>
    <row r="1063" spans="3:3" x14ac:dyDescent="0.25">
      <c r="C1063"/>
    </row>
    <row r="1064" spans="3:3" x14ac:dyDescent="0.25">
      <c r="C1064"/>
    </row>
    <row r="1065" spans="3:3" x14ac:dyDescent="0.25">
      <c r="C1065"/>
    </row>
    <row r="1066" spans="3:3" x14ac:dyDescent="0.25">
      <c r="C1066"/>
    </row>
    <row r="1067" spans="3:3" x14ac:dyDescent="0.25">
      <c r="C1067"/>
    </row>
    <row r="1068" spans="3:3" x14ac:dyDescent="0.25">
      <c r="C1068"/>
    </row>
    <row r="1069" spans="3:3" x14ac:dyDescent="0.25">
      <c r="C1069"/>
    </row>
    <row r="1070" spans="3:3" x14ac:dyDescent="0.25">
      <c r="C1070"/>
    </row>
    <row r="1071" spans="3:3" x14ac:dyDescent="0.25">
      <c r="C1071"/>
    </row>
    <row r="1072" spans="3:3" x14ac:dyDescent="0.25">
      <c r="C1072"/>
    </row>
    <row r="1073" spans="3:3" x14ac:dyDescent="0.25">
      <c r="C1073"/>
    </row>
    <row r="1074" spans="3:3" x14ac:dyDescent="0.25">
      <c r="C1074"/>
    </row>
    <row r="1075" spans="3:3" x14ac:dyDescent="0.25">
      <c r="C1075"/>
    </row>
    <row r="1076" spans="3:3" x14ac:dyDescent="0.25">
      <c r="C1076"/>
    </row>
    <row r="1077" spans="3:3" x14ac:dyDescent="0.25">
      <c r="C1077"/>
    </row>
    <row r="1078" spans="3:3" x14ac:dyDescent="0.25">
      <c r="C1078"/>
    </row>
    <row r="1079" spans="3:3" x14ac:dyDescent="0.25">
      <c r="C1079"/>
    </row>
    <row r="1080" spans="3:3" x14ac:dyDescent="0.25">
      <c r="C1080"/>
    </row>
    <row r="1081" spans="3:3" x14ac:dyDescent="0.25">
      <c r="C1081"/>
    </row>
    <row r="1082" spans="3:3" x14ac:dyDescent="0.25">
      <c r="C1082"/>
    </row>
    <row r="1083" spans="3:3" x14ac:dyDescent="0.25">
      <c r="C1083"/>
    </row>
    <row r="1084" spans="3:3" x14ac:dyDescent="0.25">
      <c r="C1084"/>
    </row>
    <row r="1085" spans="3:3" x14ac:dyDescent="0.25">
      <c r="C1085"/>
    </row>
    <row r="1086" spans="3:3" x14ac:dyDescent="0.25">
      <c r="C1086"/>
    </row>
    <row r="1087" spans="3:3" x14ac:dyDescent="0.25">
      <c r="C1087"/>
    </row>
    <row r="1088" spans="3:3" x14ac:dyDescent="0.25">
      <c r="C1088"/>
    </row>
    <row r="1089" spans="3:3" x14ac:dyDescent="0.25">
      <c r="C1089"/>
    </row>
    <row r="1090" spans="3:3" x14ac:dyDescent="0.25">
      <c r="C1090"/>
    </row>
    <row r="1091" spans="3:3" x14ac:dyDescent="0.25">
      <c r="C1091"/>
    </row>
    <row r="1092" spans="3:3" x14ac:dyDescent="0.25">
      <c r="C1092"/>
    </row>
    <row r="1093" spans="3:3" x14ac:dyDescent="0.25">
      <c r="C1093"/>
    </row>
    <row r="1094" spans="3:3" x14ac:dyDescent="0.25">
      <c r="C1094"/>
    </row>
    <row r="1095" spans="3:3" x14ac:dyDescent="0.25">
      <c r="C1095"/>
    </row>
    <row r="1096" spans="3:3" x14ac:dyDescent="0.25">
      <c r="C1096"/>
    </row>
    <row r="1097" spans="3:3" x14ac:dyDescent="0.25">
      <c r="C1097"/>
    </row>
    <row r="1098" spans="3:3" x14ac:dyDescent="0.25">
      <c r="C1098"/>
    </row>
    <row r="1099" spans="3:3" x14ac:dyDescent="0.25">
      <c r="C1099"/>
    </row>
    <row r="1100" spans="3:3" x14ac:dyDescent="0.25">
      <c r="C1100"/>
    </row>
    <row r="1101" spans="3:3" x14ac:dyDescent="0.25">
      <c r="C1101"/>
    </row>
    <row r="1102" spans="3:3" x14ac:dyDescent="0.25">
      <c r="C1102"/>
    </row>
    <row r="1103" spans="3:3" x14ac:dyDescent="0.25">
      <c r="C1103"/>
    </row>
    <row r="1104" spans="3:3" x14ac:dyDescent="0.25">
      <c r="C1104"/>
    </row>
    <row r="1105" spans="3:3" x14ac:dyDescent="0.25">
      <c r="C1105"/>
    </row>
    <row r="1106" spans="3:3" x14ac:dyDescent="0.25">
      <c r="C1106"/>
    </row>
    <row r="1107" spans="3:3" x14ac:dyDescent="0.25">
      <c r="C1107"/>
    </row>
    <row r="1108" spans="3:3" x14ac:dyDescent="0.25">
      <c r="C1108"/>
    </row>
    <row r="1109" spans="3:3" x14ac:dyDescent="0.25">
      <c r="C1109"/>
    </row>
    <row r="1110" spans="3:3" x14ac:dyDescent="0.25">
      <c r="C1110"/>
    </row>
    <row r="1111" spans="3:3" x14ac:dyDescent="0.25">
      <c r="C1111"/>
    </row>
    <row r="1112" spans="3:3" x14ac:dyDescent="0.25">
      <c r="C1112"/>
    </row>
    <row r="1113" spans="3:3" x14ac:dyDescent="0.25">
      <c r="C1113"/>
    </row>
    <row r="1114" spans="3:3" x14ac:dyDescent="0.25">
      <c r="C1114"/>
    </row>
    <row r="1115" spans="3:3" x14ac:dyDescent="0.25">
      <c r="C1115"/>
    </row>
    <row r="1116" spans="3:3" x14ac:dyDescent="0.25">
      <c r="C1116"/>
    </row>
    <row r="1117" spans="3:3" x14ac:dyDescent="0.25">
      <c r="C1117"/>
    </row>
    <row r="1118" spans="3:3" x14ac:dyDescent="0.25">
      <c r="C1118"/>
    </row>
    <row r="1119" spans="3:3" x14ac:dyDescent="0.25">
      <c r="C1119"/>
    </row>
    <row r="1120" spans="3:3" x14ac:dyDescent="0.25">
      <c r="C1120"/>
    </row>
    <row r="1121" spans="3:3" x14ac:dyDescent="0.25">
      <c r="C1121"/>
    </row>
    <row r="1122" spans="3:3" x14ac:dyDescent="0.25">
      <c r="C1122"/>
    </row>
    <row r="1123" spans="3:3" x14ac:dyDescent="0.25">
      <c r="C1123"/>
    </row>
    <row r="1124" spans="3:3" x14ac:dyDescent="0.25">
      <c r="C1124"/>
    </row>
    <row r="1125" spans="3:3" x14ac:dyDescent="0.25">
      <c r="C1125"/>
    </row>
    <row r="1126" spans="3:3" x14ac:dyDescent="0.25">
      <c r="C1126"/>
    </row>
    <row r="1127" spans="3:3" x14ac:dyDescent="0.25">
      <c r="C1127"/>
    </row>
    <row r="1128" spans="3:3" x14ac:dyDescent="0.25">
      <c r="C1128"/>
    </row>
    <row r="1129" spans="3:3" x14ac:dyDescent="0.25">
      <c r="C1129"/>
    </row>
    <row r="1130" spans="3:3" x14ac:dyDescent="0.25">
      <c r="C1130"/>
    </row>
    <row r="1131" spans="3:3" x14ac:dyDescent="0.25">
      <c r="C1131"/>
    </row>
    <row r="1132" spans="3:3" x14ac:dyDescent="0.25">
      <c r="C1132"/>
    </row>
    <row r="1133" spans="3:3" x14ac:dyDescent="0.25">
      <c r="C1133"/>
    </row>
    <row r="1134" spans="3:3" x14ac:dyDescent="0.25">
      <c r="C1134"/>
    </row>
    <row r="1135" spans="3:3" x14ac:dyDescent="0.25">
      <c r="C1135"/>
    </row>
    <row r="1136" spans="3:3" x14ac:dyDescent="0.25">
      <c r="C1136"/>
    </row>
    <row r="1137" spans="3:3" x14ac:dyDescent="0.25">
      <c r="C1137"/>
    </row>
    <row r="1138" spans="3:3" x14ac:dyDescent="0.25">
      <c r="C1138"/>
    </row>
    <row r="1139" spans="3:3" x14ac:dyDescent="0.25">
      <c r="C1139"/>
    </row>
    <row r="1140" spans="3:3" x14ac:dyDescent="0.25">
      <c r="C1140"/>
    </row>
    <row r="1141" spans="3:3" x14ac:dyDescent="0.25">
      <c r="C1141"/>
    </row>
    <row r="1142" spans="3:3" x14ac:dyDescent="0.25">
      <c r="C1142"/>
    </row>
    <row r="1143" spans="3:3" x14ac:dyDescent="0.25">
      <c r="C1143"/>
    </row>
    <row r="1144" spans="3:3" x14ac:dyDescent="0.25">
      <c r="C1144"/>
    </row>
    <row r="1145" spans="3:3" x14ac:dyDescent="0.25">
      <c r="C1145"/>
    </row>
    <row r="1146" spans="3:3" x14ac:dyDescent="0.25">
      <c r="C1146"/>
    </row>
    <row r="1147" spans="3:3" x14ac:dyDescent="0.25">
      <c r="C1147"/>
    </row>
    <row r="1148" spans="3:3" x14ac:dyDescent="0.25">
      <c r="C1148"/>
    </row>
    <row r="1149" spans="3:3" x14ac:dyDescent="0.25">
      <c r="C1149"/>
    </row>
    <row r="1150" spans="3:3" x14ac:dyDescent="0.25">
      <c r="C1150"/>
    </row>
    <row r="1151" spans="3:3" x14ac:dyDescent="0.25">
      <c r="C1151"/>
    </row>
    <row r="1152" spans="3:3" x14ac:dyDescent="0.25">
      <c r="C1152"/>
    </row>
    <row r="1153" spans="3:3" x14ac:dyDescent="0.25">
      <c r="C1153"/>
    </row>
    <row r="1154" spans="3:3" x14ac:dyDescent="0.25">
      <c r="C1154"/>
    </row>
    <row r="1155" spans="3:3" x14ac:dyDescent="0.25">
      <c r="C1155"/>
    </row>
    <row r="1156" spans="3:3" x14ac:dyDescent="0.25">
      <c r="C1156"/>
    </row>
    <row r="1157" spans="3:3" x14ac:dyDescent="0.25">
      <c r="C1157"/>
    </row>
    <row r="1158" spans="3:3" x14ac:dyDescent="0.25">
      <c r="C1158"/>
    </row>
    <row r="1159" spans="3:3" x14ac:dyDescent="0.25">
      <c r="C1159"/>
    </row>
    <row r="1160" spans="3:3" x14ac:dyDescent="0.25">
      <c r="C1160"/>
    </row>
    <row r="1161" spans="3:3" x14ac:dyDescent="0.25">
      <c r="C1161"/>
    </row>
    <row r="1162" spans="3:3" x14ac:dyDescent="0.25">
      <c r="C1162"/>
    </row>
    <row r="1163" spans="3:3" x14ac:dyDescent="0.25">
      <c r="C1163"/>
    </row>
    <row r="1164" spans="3:3" x14ac:dyDescent="0.25">
      <c r="C1164"/>
    </row>
    <row r="1165" spans="3:3" x14ac:dyDescent="0.25">
      <c r="C1165"/>
    </row>
    <row r="1166" spans="3:3" x14ac:dyDescent="0.25">
      <c r="C1166"/>
    </row>
    <row r="1167" spans="3:3" x14ac:dyDescent="0.25">
      <c r="C1167"/>
    </row>
    <row r="1168" spans="3:3" x14ac:dyDescent="0.25">
      <c r="C1168"/>
    </row>
    <row r="1169" spans="3:3" x14ac:dyDescent="0.25">
      <c r="C1169"/>
    </row>
    <row r="1170" spans="3:3" x14ac:dyDescent="0.25">
      <c r="C1170"/>
    </row>
    <row r="1171" spans="3:3" x14ac:dyDescent="0.25">
      <c r="C1171"/>
    </row>
    <row r="1172" spans="3:3" x14ac:dyDescent="0.25">
      <c r="C1172"/>
    </row>
    <row r="1173" spans="3:3" x14ac:dyDescent="0.25">
      <c r="C1173"/>
    </row>
    <row r="1174" spans="3:3" x14ac:dyDescent="0.25">
      <c r="C1174"/>
    </row>
    <row r="1175" spans="3:3" x14ac:dyDescent="0.25">
      <c r="C1175"/>
    </row>
    <row r="1176" spans="3:3" x14ac:dyDescent="0.25">
      <c r="C1176"/>
    </row>
    <row r="1177" spans="3:3" x14ac:dyDescent="0.25">
      <c r="C1177"/>
    </row>
    <row r="1178" spans="3:3" x14ac:dyDescent="0.25">
      <c r="C1178"/>
    </row>
    <row r="1179" spans="3:3" x14ac:dyDescent="0.25">
      <c r="C1179"/>
    </row>
    <row r="1180" spans="3:3" x14ac:dyDescent="0.25">
      <c r="C1180"/>
    </row>
    <row r="1181" spans="3:3" x14ac:dyDescent="0.25">
      <c r="C1181"/>
    </row>
    <row r="1182" spans="3:3" x14ac:dyDescent="0.25">
      <c r="C1182"/>
    </row>
    <row r="1183" spans="3:3" x14ac:dyDescent="0.25">
      <c r="C1183"/>
    </row>
    <row r="1184" spans="3:3" x14ac:dyDescent="0.25">
      <c r="C1184"/>
    </row>
    <row r="1185" spans="3:3" x14ac:dyDescent="0.25">
      <c r="C1185"/>
    </row>
    <row r="1186" spans="3:3" x14ac:dyDescent="0.25">
      <c r="C1186"/>
    </row>
    <row r="1187" spans="3:3" x14ac:dyDescent="0.25">
      <c r="C1187"/>
    </row>
    <row r="1188" spans="3:3" x14ac:dyDescent="0.25">
      <c r="C1188"/>
    </row>
    <row r="1189" spans="3:3" x14ac:dyDescent="0.25">
      <c r="C1189"/>
    </row>
    <row r="1190" spans="3:3" x14ac:dyDescent="0.25">
      <c r="C1190"/>
    </row>
    <row r="1191" spans="3:3" x14ac:dyDescent="0.25">
      <c r="C1191"/>
    </row>
    <row r="1192" spans="3:3" x14ac:dyDescent="0.25">
      <c r="C1192"/>
    </row>
    <row r="1193" spans="3:3" x14ac:dyDescent="0.25">
      <c r="C1193"/>
    </row>
    <row r="1194" spans="3:3" x14ac:dyDescent="0.25">
      <c r="C1194"/>
    </row>
    <row r="1195" spans="3:3" x14ac:dyDescent="0.25">
      <c r="C1195"/>
    </row>
    <row r="1196" spans="3:3" x14ac:dyDescent="0.25">
      <c r="C1196"/>
    </row>
    <row r="1197" spans="3:3" x14ac:dyDescent="0.25">
      <c r="C1197"/>
    </row>
    <row r="1198" spans="3:3" x14ac:dyDescent="0.25">
      <c r="C1198"/>
    </row>
    <row r="1199" spans="3:3" x14ac:dyDescent="0.25">
      <c r="C1199"/>
    </row>
    <row r="1200" spans="3:3" x14ac:dyDescent="0.25">
      <c r="C1200"/>
    </row>
    <row r="1201" spans="3:3" x14ac:dyDescent="0.25">
      <c r="C1201"/>
    </row>
    <row r="1202" spans="3:3" x14ac:dyDescent="0.25">
      <c r="C1202"/>
    </row>
    <row r="1203" spans="3:3" x14ac:dyDescent="0.25">
      <c r="C1203"/>
    </row>
    <row r="1204" spans="3:3" x14ac:dyDescent="0.25">
      <c r="C1204"/>
    </row>
    <row r="1205" spans="3:3" x14ac:dyDescent="0.25">
      <c r="C1205"/>
    </row>
    <row r="1206" spans="3:3" x14ac:dyDescent="0.25">
      <c r="C1206"/>
    </row>
    <row r="1207" spans="3:3" x14ac:dyDescent="0.25">
      <c r="C1207"/>
    </row>
    <row r="1208" spans="3:3" x14ac:dyDescent="0.25">
      <c r="C1208"/>
    </row>
    <row r="1209" spans="3:3" x14ac:dyDescent="0.25">
      <c r="C1209"/>
    </row>
    <row r="1210" spans="3:3" x14ac:dyDescent="0.25">
      <c r="C1210"/>
    </row>
    <row r="1211" spans="3:3" x14ac:dyDescent="0.25">
      <c r="C1211"/>
    </row>
    <row r="1212" spans="3:3" x14ac:dyDescent="0.25">
      <c r="C1212"/>
    </row>
    <row r="1213" spans="3:3" x14ac:dyDescent="0.25">
      <c r="C1213"/>
    </row>
    <row r="1214" spans="3:3" x14ac:dyDescent="0.25">
      <c r="C1214"/>
    </row>
    <row r="1215" spans="3:3" x14ac:dyDescent="0.25">
      <c r="C1215"/>
    </row>
    <row r="1216" spans="3:3" x14ac:dyDescent="0.25">
      <c r="C1216"/>
    </row>
    <row r="1217" spans="3:3" x14ac:dyDescent="0.25">
      <c r="C1217"/>
    </row>
    <row r="1218" spans="3:3" x14ac:dyDescent="0.25">
      <c r="C1218"/>
    </row>
    <row r="1219" spans="3:3" x14ac:dyDescent="0.25">
      <c r="C1219"/>
    </row>
    <row r="1220" spans="3:3" x14ac:dyDescent="0.25">
      <c r="C1220"/>
    </row>
    <row r="1221" spans="3:3" x14ac:dyDescent="0.25">
      <c r="C1221"/>
    </row>
    <row r="1222" spans="3:3" x14ac:dyDescent="0.25">
      <c r="C1222"/>
    </row>
    <row r="1223" spans="3:3" x14ac:dyDescent="0.25">
      <c r="C1223"/>
    </row>
    <row r="1224" spans="3:3" x14ac:dyDescent="0.25">
      <c r="C1224"/>
    </row>
    <row r="1225" spans="3:3" x14ac:dyDescent="0.25">
      <c r="C1225"/>
    </row>
    <row r="1226" spans="3:3" x14ac:dyDescent="0.25">
      <c r="C1226"/>
    </row>
    <row r="1227" spans="3:3" x14ac:dyDescent="0.25">
      <c r="C1227"/>
    </row>
    <row r="1228" spans="3:3" x14ac:dyDescent="0.25">
      <c r="C1228"/>
    </row>
    <row r="1229" spans="3:3" x14ac:dyDescent="0.25">
      <c r="C1229"/>
    </row>
    <row r="1230" spans="3:3" x14ac:dyDescent="0.25">
      <c r="C1230"/>
    </row>
    <row r="1231" spans="3:3" x14ac:dyDescent="0.25">
      <c r="C1231"/>
    </row>
    <row r="1232" spans="3:3" x14ac:dyDescent="0.25">
      <c r="C1232"/>
    </row>
    <row r="1233" spans="3:3" x14ac:dyDescent="0.25">
      <c r="C1233"/>
    </row>
    <row r="1234" spans="3:3" x14ac:dyDescent="0.25">
      <c r="C1234"/>
    </row>
    <row r="1235" spans="3:3" x14ac:dyDescent="0.25">
      <c r="C1235"/>
    </row>
    <row r="1236" spans="3:3" x14ac:dyDescent="0.25">
      <c r="C1236"/>
    </row>
    <row r="1237" spans="3:3" x14ac:dyDescent="0.25">
      <c r="C1237"/>
    </row>
    <row r="1238" spans="3:3" x14ac:dyDescent="0.25">
      <c r="C1238"/>
    </row>
    <row r="1239" spans="3:3" x14ac:dyDescent="0.25">
      <c r="C1239"/>
    </row>
    <row r="1240" spans="3:3" x14ac:dyDescent="0.25">
      <c r="C1240"/>
    </row>
    <row r="1241" spans="3:3" x14ac:dyDescent="0.25">
      <c r="C1241"/>
    </row>
    <row r="1242" spans="3:3" x14ac:dyDescent="0.25">
      <c r="C1242"/>
    </row>
    <row r="1243" spans="3:3" x14ac:dyDescent="0.25">
      <c r="C1243"/>
    </row>
    <row r="1244" spans="3:3" x14ac:dyDescent="0.25">
      <c r="C1244"/>
    </row>
    <row r="1245" spans="3:3" x14ac:dyDescent="0.25">
      <c r="C1245"/>
    </row>
    <row r="1246" spans="3:3" x14ac:dyDescent="0.25">
      <c r="C1246"/>
    </row>
    <row r="1247" spans="3:3" x14ac:dyDescent="0.25">
      <c r="C1247"/>
    </row>
    <row r="1248" spans="3:3" x14ac:dyDescent="0.25">
      <c r="C1248"/>
    </row>
    <row r="1249" spans="3:3" x14ac:dyDescent="0.25">
      <c r="C1249"/>
    </row>
    <row r="1250" spans="3:3" x14ac:dyDescent="0.25">
      <c r="C1250"/>
    </row>
    <row r="1251" spans="3:3" x14ac:dyDescent="0.25">
      <c r="C1251"/>
    </row>
    <row r="1252" spans="3:3" x14ac:dyDescent="0.25">
      <c r="C1252"/>
    </row>
    <row r="1253" spans="3:3" x14ac:dyDescent="0.25">
      <c r="C1253"/>
    </row>
    <row r="1254" spans="3:3" x14ac:dyDescent="0.25">
      <c r="C1254"/>
    </row>
    <row r="1255" spans="3:3" x14ac:dyDescent="0.25">
      <c r="C1255"/>
    </row>
    <row r="1256" spans="3:3" x14ac:dyDescent="0.25">
      <c r="C1256"/>
    </row>
    <row r="1257" spans="3:3" x14ac:dyDescent="0.25">
      <c r="C1257"/>
    </row>
    <row r="1258" spans="3:3" x14ac:dyDescent="0.25">
      <c r="C1258"/>
    </row>
    <row r="1259" spans="3:3" x14ac:dyDescent="0.25">
      <c r="C1259"/>
    </row>
    <row r="1260" spans="3:3" x14ac:dyDescent="0.25">
      <c r="C1260"/>
    </row>
    <row r="1261" spans="3:3" x14ac:dyDescent="0.25">
      <c r="C1261"/>
    </row>
    <row r="1262" spans="3:3" x14ac:dyDescent="0.25">
      <c r="C1262"/>
    </row>
    <row r="1263" spans="3:3" x14ac:dyDescent="0.25">
      <c r="C1263"/>
    </row>
    <row r="1264" spans="3:3" x14ac:dyDescent="0.25">
      <c r="C1264"/>
    </row>
    <row r="1265" spans="3:3" x14ac:dyDescent="0.25">
      <c r="C1265"/>
    </row>
    <row r="1266" spans="3:3" x14ac:dyDescent="0.25">
      <c r="C1266"/>
    </row>
    <row r="1267" spans="3:3" x14ac:dyDescent="0.25">
      <c r="C1267"/>
    </row>
    <row r="1268" spans="3:3" x14ac:dyDescent="0.25">
      <c r="C1268"/>
    </row>
    <row r="1269" spans="3:3" x14ac:dyDescent="0.25">
      <c r="C1269"/>
    </row>
    <row r="1270" spans="3:3" x14ac:dyDescent="0.25">
      <c r="C1270"/>
    </row>
    <row r="1271" spans="3:3" x14ac:dyDescent="0.25">
      <c r="C1271"/>
    </row>
    <row r="1272" spans="3:3" x14ac:dyDescent="0.25">
      <c r="C1272"/>
    </row>
    <row r="1273" spans="3:3" x14ac:dyDescent="0.25">
      <c r="C1273"/>
    </row>
    <row r="1274" spans="3:3" x14ac:dyDescent="0.25">
      <c r="C1274"/>
    </row>
    <row r="1275" spans="3:3" x14ac:dyDescent="0.25">
      <c r="C1275"/>
    </row>
    <row r="1276" spans="3:3" x14ac:dyDescent="0.25">
      <c r="C1276"/>
    </row>
    <row r="1277" spans="3:3" x14ac:dyDescent="0.25">
      <c r="C1277"/>
    </row>
    <row r="1278" spans="3:3" x14ac:dyDescent="0.25">
      <c r="C1278"/>
    </row>
    <row r="1279" spans="3:3" x14ac:dyDescent="0.25">
      <c r="C1279"/>
    </row>
    <row r="1280" spans="3:3" x14ac:dyDescent="0.25">
      <c r="C1280"/>
    </row>
    <row r="1281" spans="3:3" x14ac:dyDescent="0.25">
      <c r="C1281"/>
    </row>
    <row r="1282" spans="3:3" x14ac:dyDescent="0.25">
      <c r="C1282"/>
    </row>
    <row r="1283" spans="3:3" x14ac:dyDescent="0.25">
      <c r="C1283"/>
    </row>
    <row r="1284" spans="3:3" x14ac:dyDescent="0.25">
      <c r="C1284"/>
    </row>
    <row r="1285" spans="3:3" x14ac:dyDescent="0.25">
      <c r="C1285"/>
    </row>
    <row r="1286" spans="3:3" x14ac:dyDescent="0.25">
      <c r="C1286"/>
    </row>
    <row r="1287" spans="3:3" x14ac:dyDescent="0.25">
      <c r="C1287"/>
    </row>
    <row r="1288" spans="3:3" x14ac:dyDescent="0.25">
      <c r="C1288"/>
    </row>
    <row r="1289" spans="3:3" x14ac:dyDescent="0.25">
      <c r="C1289"/>
    </row>
    <row r="1290" spans="3:3" x14ac:dyDescent="0.25">
      <c r="C1290"/>
    </row>
    <row r="1291" spans="3:3" x14ac:dyDescent="0.25">
      <c r="C1291"/>
    </row>
    <row r="1292" spans="3:3" x14ac:dyDescent="0.25">
      <c r="C1292"/>
    </row>
    <row r="1293" spans="3:3" x14ac:dyDescent="0.25">
      <c r="C1293"/>
    </row>
    <row r="1294" spans="3:3" x14ac:dyDescent="0.25">
      <c r="C1294"/>
    </row>
    <row r="1295" spans="3:3" x14ac:dyDescent="0.25">
      <c r="C1295"/>
    </row>
    <row r="1296" spans="3:3" x14ac:dyDescent="0.25">
      <c r="C1296"/>
    </row>
    <row r="1297" spans="3:3" x14ac:dyDescent="0.25">
      <c r="C1297"/>
    </row>
    <row r="1298" spans="3:3" x14ac:dyDescent="0.25">
      <c r="C1298"/>
    </row>
    <row r="1299" spans="3:3" x14ac:dyDescent="0.25">
      <c r="C1299"/>
    </row>
    <row r="1300" spans="3:3" x14ac:dyDescent="0.25">
      <c r="C1300"/>
    </row>
    <row r="1301" spans="3:3" x14ac:dyDescent="0.25">
      <c r="C1301"/>
    </row>
    <row r="1302" spans="3:3" x14ac:dyDescent="0.25">
      <c r="C1302"/>
    </row>
    <row r="1303" spans="3:3" x14ac:dyDescent="0.25">
      <c r="C1303"/>
    </row>
    <row r="1304" spans="3:3" x14ac:dyDescent="0.25">
      <c r="C1304"/>
    </row>
    <row r="1305" spans="3:3" x14ac:dyDescent="0.25">
      <c r="C1305"/>
    </row>
    <row r="1306" spans="3:3" x14ac:dyDescent="0.25">
      <c r="C1306"/>
    </row>
    <row r="1307" spans="3:3" x14ac:dyDescent="0.25">
      <c r="C1307"/>
    </row>
    <row r="1308" spans="3:3" x14ac:dyDescent="0.25">
      <c r="C1308"/>
    </row>
    <row r="1309" spans="3:3" x14ac:dyDescent="0.25">
      <c r="C1309"/>
    </row>
    <row r="1310" spans="3:3" x14ac:dyDescent="0.25">
      <c r="C1310"/>
    </row>
    <row r="1311" spans="3:3" x14ac:dyDescent="0.25">
      <c r="C1311"/>
    </row>
    <row r="1312" spans="3:3" x14ac:dyDescent="0.25">
      <c r="C1312"/>
    </row>
    <row r="1313" spans="3:3" x14ac:dyDescent="0.25">
      <c r="C1313"/>
    </row>
    <row r="1314" spans="3:3" x14ac:dyDescent="0.25">
      <c r="C1314"/>
    </row>
    <row r="1315" spans="3:3" x14ac:dyDescent="0.25">
      <c r="C1315"/>
    </row>
    <row r="1316" spans="3:3" x14ac:dyDescent="0.25">
      <c r="C1316"/>
    </row>
    <row r="1317" spans="3:3" x14ac:dyDescent="0.25">
      <c r="C1317"/>
    </row>
    <row r="1318" spans="3:3" x14ac:dyDescent="0.25">
      <c r="C1318"/>
    </row>
    <row r="1319" spans="3:3" x14ac:dyDescent="0.25">
      <c r="C1319"/>
    </row>
    <row r="1320" spans="3:3" x14ac:dyDescent="0.25">
      <c r="C1320"/>
    </row>
    <row r="1321" spans="3:3" x14ac:dyDescent="0.25">
      <c r="C1321"/>
    </row>
    <row r="1322" spans="3:3" x14ac:dyDescent="0.25">
      <c r="C1322"/>
    </row>
    <row r="1323" spans="3:3" x14ac:dyDescent="0.25">
      <c r="C1323"/>
    </row>
    <row r="1324" spans="3:3" x14ac:dyDescent="0.25">
      <c r="C1324"/>
    </row>
    <row r="1325" spans="3:3" x14ac:dyDescent="0.25">
      <c r="C1325"/>
    </row>
    <row r="1326" spans="3:3" x14ac:dyDescent="0.25">
      <c r="C1326"/>
    </row>
    <row r="1327" spans="3:3" x14ac:dyDescent="0.25">
      <c r="C1327"/>
    </row>
    <row r="1328" spans="3:3" x14ac:dyDescent="0.25">
      <c r="C1328"/>
    </row>
    <row r="1329" spans="3:3" x14ac:dyDescent="0.25">
      <c r="C1329"/>
    </row>
    <row r="1330" spans="3:3" x14ac:dyDescent="0.25">
      <c r="C1330"/>
    </row>
    <row r="1331" spans="3:3" x14ac:dyDescent="0.25">
      <c r="C1331"/>
    </row>
    <row r="1332" spans="3:3" x14ac:dyDescent="0.25">
      <c r="C1332"/>
    </row>
    <row r="1333" spans="3:3" x14ac:dyDescent="0.25">
      <c r="C1333"/>
    </row>
    <row r="1334" spans="3:3" x14ac:dyDescent="0.25">
      <c r="C1334"/>
    </row>
    <row r="1335" spans="3:3" x14ac:dyDescent="0.25">
      <c r="C1335"/>
    </row>
    <row r="1336" spans="3:3" x14ac:dyDescent="0.25">
      <c r="C1336"/>
    </row>
    <row r="1337" spans="3:3" x14ac:dyDescent="0.25">
      <c r="C1337"/>
    </row>
    <row r="1338" spans="3:3" x14ac:dyDescent="0.25">
      <c r="C1338"/>
    </row>
    <row r="1339" spans="3:3" x14ac:dyDescent="0.25">
      <c r="C1339"/>
    </row>
    <row r="1340" spans="3:3" x14ac:dyDescent="0.25">
      <c r="C1340"/>
    </row>
    <row r="1341" spans="3:3" x14ac:dyDescent="0.25">
      <c r="C1341"/>
    </row>
    <row r="1342" spans="3:3" x14ac:dyDescent="0.25">
      <c r="C1342"/>
    </row>
    <row r="1343" spans="3:3" x14ac:dyDescent="0.25">
      <c r="C1343"/>
    </row>
    <row r="1344" spans="3:3" x14ac:dyDescent="0.25">
      <c r="C1344"/>
    </row>
    <row r="1345" spans="3:3" x14ac:dyDescent="0.25">
      <c r="C1345"/>
    </row>
    <row r="1346" spans="3:3" x14ac:dyDescent="0.25">
      <c r="C1346"/>
    </row>
    <row r="1347" spans="3:3" x14ac:dyDescent="0.25">
      <c r="C1347"/>
    </row>
    <row r="1348" spans="3:3" x14ac:dyDescent="0.25">
      <c r="C1348"/>
    </row>
    <row r="1349" spans="3:3" x14ac:dyDescent="0.25">
      <c r="C1349"/>
    </row>
    <row r="1350" spans="3:3" x14ac:dyDescent="0.25">
      <c r="C1350"/>
    </row>
    <row r="1351" spans="3:3" x14ac:dyDescent="0.25">
      <c r="C1351"/>
    </row>
    <row r="1352" spans="3:3" x14ac:dyDescent="0.25">
      <c r="C1352"/>
    </row>
    <row r="1353" spans="3:3" x14ac:dyDescent="0.25">
      <c r="C1353"/>
    </row>
    <row r="1354" spans="3:3" x14ac:dyDescent="0.25">
      <c r="C1354"/>
    </row>
    <row r="1355" spans="3:3" x14ac:dyDescent="0.25">
      <c r="C1355"/>
    </row>
    <row r="1356" spans="3:3" x14ac:dyDescent="0.25">
      <c r="C1356"/>
    </row>
    <row r="1357" spans="3:3" x14ac:dyDescent="0.25">
      <c r="C1357"/>
    </row>
    <row r="1358" spans="3:3" x14ac:dyDescent="0.25">
      <c r="C1358"/>
    </row>
    <row r="1359" spans="3:3" x14ac:dyDescent="0.25">
      <c r="C1359"/>
    </row>
    <row r="1360" spans="3:3" x14ac:dyDescent="0.25">
      <c r="C1360"/>
    </row>
    <row r="1361" spans="3:3" x14ac:dyDescent="0.25">
      <c r="C1361"/>
    </row>
    <row r="1362" spans="3:3" x14ac:dyDescent="0.25">
      <c r="C1362"/>
    </row>
    <row r="1363" spans="3:3" x14ac:dyDescent="0.25">
      <c r="C1363"/>
    </row>
    <row r="1364" spans="3:3" x14ac:dyDescent="0.25">
      <c r="C1364"/>
    </row>
    <row r="1365" spans="3:3" x14ac:dyDescent="0.25">
      <c r="C1365"/>
    </row>
    <row r="1366" spans="3:3" x14ac:dyDescent="0.25">
      <c r="C1366"/>
    </row>
    <row r="1367" spans="3:3" x14ac:dyDescent="0.25">
      <c r="C1367"/>
    </row>
    <row r="1368" spans="3:3" x14ac:dyDescent="0.25">
      <c r="C1368"/>
    </row>
    <row r="1369" spans="3:3" x14ac:dyDescent="0.25">
      <c r="C1369"/>
    </row>
    <row r="1370" spans="3:3" x14ac:dyDescent="0.25">
      <c r="C1370"/>
    </row>
    <row r="1371" spans="3:3" x14ac:dyDescent="0.25">
      <c r="C1371"/>
    </row>
    <row r="1372" spans="3:3" x14ac:dyDescent="0.25">
      <c r="C1372"/>
    </row>
    <row r="1373" spans="3:3" x14ac:dyDescent="0.25">
      <c r="C1373"/>
    </row>
    <row r="1374" spans="3:3" x14ac:dyDescent="0.25">
      <c r="C1374"/>
    </row>
    <row r="1375" spans="3:3" x14ac:dyDescent="0.25">
      <c r="C1375"/>
    </row>
    <row r="1376" spans="3:3" x14ac:dyDescent="0.25">
      <c r="C1376"/>
    </row>
    <row r="1377" spans="3:3" x14ac:dyDescent="0.25">
      <c r="C1377"/>
    </row>
    <row r="1378" spans="3:3" x14ac:dyDescent="0.25">
      <c r="C1378"/>
    </row>
    <row r="1379" spans="3:3" x14ac:dyDescent="0.25">
      <c r="C1379"/>
    </row>
    <row r="1380" spans="3:3" x14ac:dyDescent="0.25">
      <c r="C1380"/>
    </row>
    <row r="1381" spans="3:3" x14ac:dyDescent="0.25">
      <c r="C1381"/>
    </row>
    <row r="1382" spans="3:3" x14ac:dyDescent="0.25">
      <c r="C1382"/>
    </row>
    <row r="1383" spans="3:3" x14ac:dyDescent="0.25">
      <c r="C1383"/>
    </row>
    <row r="1384" spans="3:3" x14ac:dyDescent="0.25">
      <c r="C1384"/>
    </row>
    <row r="1385" spans="3:3" x14ac:dyDescent="0.25">
      <c r="C1385"/>
    </row>
    <row r="1386" spans="3:3" x14ac:dyDescent="0.25">
      <c r="C1386"/>
    </row>
    <row r="1387" spans="3:3" x14ac:dyDescent="0.25">
      <c r="C1387"/>
    </row>
    <row r="1388" spans="3:3" x14ac:dyDescent="0.25">
      <c r="C1388"/>
    </row>
    <row r="1389" spans="3:3" x14ac:dyDescent="0.25">
      <c r="C1389"/>
    </row>
    <row r="1390" spans="3:3" x14ac:dyDescent="0.25">
      <c r="C1390"/>
    </row>
    <row r="1391" spans="3:3" x14ac:dyDescent="0.25">
      <c r="C1391"/>
    </row>
    <row r="1392" spans="3:3" x14ac:dyDescent="0.25">
      <c r="C1392"/>
    </row>
    <row r="1393" spans="3:3" x14ac:dyDescent="0.25">
      <c r="C1393"/>
    </row>
    <row r="1394" spans="3:3" x14ac:dyDescent="0.25">
      <c r="C1394"/>
    </row>
    <row r="1395" spans="3:3" x14ac:dyDescent="0.25">
      <c r="C1395"/>
    </row>
    <row r="1396" spans="3:3" x14ac:dyDescent="0.25">
      <c r="C1396"/>
    </row>
    <row r="1397" spans="3:3" x14ac:dyDescent="0.25">
      <c r="C1397"/>
    </row>
    <row r="1398" spans="3:3" x14ac:dyDescent="0.25">
      <c r="C1398"/>
    </row>
    <row r="1399" spans="3:3" x14ac:dyDescent="0.25">
      <c r="C1399"/>
    </row>
    <row r="1400" spans="3:3" x14ac:dyDescent="0.25">
      <c r="C1400"/>
    </row>
    <row r="1401" spans="3:3" x14ac:dyDescent="0.25">
      <c r="C1401"/>
    </row>
    <row r="1402" spans="3:3" x14ac:dyDescent="0.25">
      <c r="C1402"/>
    </row>
    <row r="1403" spans="3:3" x14ac:dyDescent="0.25">
      <c r="C1403"/>
    </row>
    <row r="1404" spans="3:3" x14ac:dyDescent="0.25">
      <c r="C1404"/>
    </row>
    <row r="1405" spans="3:3" x14ac:dyDescent="0.25">
      <c r="C1405"/>
    </row>
    <row r="1406" spans="3:3" x14ac:dyDescent="0.25">
      <c r="C1406"/>
    </row>
    <row r="1407" spans="3:3" x14ac:dyDescent="0.25">
      <c r="C1407"/>
    </row>
    <row r="1408" spans="3:3" x14ac:dyDescent="0.25">
      <c r="C1408"/>
    </row>
    <row r="1409" spans="3:3" x14ac:dyDescent="0.25">
      <c r="C1409"/>
    </row>
    <row r="1410" spans="3:3" x14ac:dyDescent="0.25">
      <c r="C1410"/>
    </row>
    <row r="1411" spans="3:3" x14ac:dyDescent="0.25">
      <c r="C1411"/>
    </row>
    <row r="1412" spans="3:3" x14ac:dyDescent="0.25">
      <c r="C1412"/>
    </row>
    <row r="1413" spans="3:3" x14ac:dyDescent="0.25">
      <c r="C1413"/>
    </row>
    <row r="1414" spans="3:3" x14ac:dyDescent="0.25">
      <c r="C1414"/>
    </row>
    <row r="1415" spans="3:3" x14ac:dyDescent="0.25">
      <c r="C1415"/>
    </row>
    <row r="1416" spans="3:3" x14ac:dyDescent="0.25">
      <c r="C1416"/>
    </row>
    <row r="1417" spans="3:3" x14ac:dyDescent="0.25">
      <c r="C1417"/>
    </row>
    <row r="1418" spans="3:3" x14ac:dyDescent="0.25">
      <c r="C1418"/>
    </row>
    <row r="1419" spans="3:3" x14ac:dyDescent="0.25">
      <c r="C1419"/>
    </row>
    <row r="1420" spans="3:3" x14ac:dyDescent="0.25">
      <c r="C1420"/>
    </row>
    <row r="1421" spans="3:3" x14ac:dyDescent="0.25">
      <c r="C1421"/>
    </row>
    <row r="1422" spans="3:3" x14ac:dyDescent="0.25">
      <c r="C1422"/>
    </row>
    <row r="1423" spans="3:3" x14ac:dyDescent="0.25">
      <c r="C1423"/>
    </row>
    <row r="1424" spans="3:3" x14ac:dyDescent="0.25">
      <c r="C1424"/>
    </row>
    <row r="1425" spans="3:3" x14ac:dyDescent="0.25">
      <c r="C1425"/>
    </row>
    <row r="1426" spans="3:3" x14ac:dyDescent="0.25">
      <c r="C1426"/>
    </row>
    <row r="1427" spans="3:3" x14ac:dyDescent="0.25">
      <c r="C1427"/>
    </row>
    <row r="1428" spans="3:3" x14ac:dyDescent="0.25">
      <c r="C1428"/>
    </row>
    <row r="1429" spans="3:3" x14ac:dyDescent="0.25">
      <c r="C1429"/>
    </row>
    <row r="1430" spans="3:3" x14ac:dyDescent="0.25">
      <c r="C1430"/>
    </row>
    <row r="1431" spans="3:3" x14ac:dyDescent="0.25">
      <c r="C1431"/>
    </row>
    <row r="1432" spans="3:3" x14ac:dyDescent="0.25">
      <c r="C1432"/>
    </row>
    <row r="1433" spans="3:3" x14ac:dyDescent="0.25">
      <c r="C1433"/>
    </row>
    <row r="1434" spans="3:3" x14ac:dyDescent="0.25">
      <c r="C1434"/>
    </row>
    <row r="1435" spans="3:3" x14ac:dyDescent="0.25">
      <c r="C1435"/>
    </row>
    <row r="1436" spans="3:3" x14ac:dyDescent="0.25">
      <c r="C1436"/>
    </row>
    <row r="1437" spans="3:3" x14ac:dyDescent="0.25">
      <c r="C1437"/>
    </row>
    <row r="1438" spans="3:3" x14ac:dyDescent="0.25">
      <c r="C1438"/>
    </row>
    <row r="1439" spans="3:3" x14ac:dyDescent="0.25">
      <c r="C1439"/>
    </row>
    <row r="1440" spans="3:3" x14ac:dyDescent="0.25">
      <c r="C1440"/>
    </row>
    <row r="1441" spans="3:3" x14ac:dyDescent="0.25">
      <c r="C1441"/>
    </row>
    <row r="1442" spans="3:3" x14ac:dyDescent="0.25">
      <c r="C1442"/>
    </row>
    <row r="1443" spans="3:3" x14ac:dyDescent="0.25">
      <c r="C1443"/>
    </row>
    <row r="1444" spans="3:3" x14ac:dyDescent="0.25">
      <c r="C1444"/>
    </row>
    <row r="1445" spans="3:3" x14ac:dyDescent="0.25">
      <c r="C1445"/>
    </row>
    <row r="1446" spans="3:3" x14ac:dyDescent="0.25">
      <c r="C1446"/>
    </row>
    <row r="1447" spans="3:3" x14ac:dyDescent="0.25">
      <c r="C1447"/>
    </row>
    <row r="1448" spans="3:3" x14ac:dyDescent="0.25">
      <c r="C1448"/>
    </row>
    <row r="1449" spans="3:3" x14ac:dyDescent="0.25">
      <c r="C1449"/>
    </row>
    <row r="1450" spans="3:3" x14ac:dyDescent="0.25">
      <c r="C1450"/>
    </row>
    <row r="1451" spans="3:3" x14ac:dyDescent="0.25">
      <c r="C1451"/>
    </row>
    <row r="1452" spans="3:3" x14ac:dyDescent="0.25">
      <c r="C1452"/>
    </row>
    <row r="1453" spans="3:3" x14ac:dyDescent="0.25">
      <c r="C1453"/>
    </row>
    <row r="1454" spans="3:3" x14ac:dyDescent="0.25">
      <c r="C1454"/>
    </row>
    <row r="1455" spans="3:3" x14ac:dyDescent="0.25">
      <c r="C1455"/>
    </row>
    <row r="1456" spans="3:3" x14ac:dyDescent="0.25">
      <c r="C1456"/>
    </row>
    <row r="1457" spans="3:3" x14ac:dyDescent="0.25">
      <c r="C1457"/>
    </row>
    <row r="1458" spans="3:3" x14ac:dyDescent="0.25">
      <c r="C1458"/>
    </row>
    <row r="1459" spans="3:3" x14ac:dyDescent="0.25">
      <c r="C1459"/>
    </row>
    <row r="1460" spans="3:3" x14ac:dyDescent="0.25">
      <c r="C1460"/>
    </row>
    <row r="1461" spans="3:3" x14ac:dyDescent="0.25">
      <c r="C1461"/>
    </row>
    <row r="1462" spans="3:3" x14ac:dyDescent="0.25">
      <c r="C1462"/>
    </row>
    <row r="1463" spans="3:3" x14ac:dyDescent="0.25">
      <c r="C1463"/>
    </row>
    <row r="1464" spans="3:3" x14ac:dyDescent="0.25">
      <c r="C1464"/>
    </row>
    <row r="1465" spans="3:3" x14ac:dyDescent="0.25">
      <c r="C1465"/>
    </row>
    <row r="1466" spans="3:3" x14ac:dyDescent="0.25">
      <c r="C1466"/>
    </row>
    <row r="1467" spans="3:3" x14ac:dyDescent="0.25">
      <c r="C1467"/>
    </row>
    <row r="1468" spans="3:3" x14ac:dyDescent="0.25">
      <c r="C1468"/>
    </row>
    <row r="1469" spans="3:3" x14ac:dyDescent="0.25">
      <c r="C1469"/>
    </row>
    <row r="1470" spans="3:3" x14ac:dyDescent="0.25">
      <c r="C1470"/>
    </row>
    <row r="1471" spans="3:3" x14ac:dyDescent="0.25">
      <c r="C1471"/>
    </row>
    <row r="1472" spans="3:3" x14ac:dyDescent="0.25">
      <c r="C1472"/>
    </row>
    <row r="1473" spans="3:3" x14ac:dyDescent="0.25">
      <c r="C1473"/>
    </row>
    <row r="1474" spans="3:3" x14ac:dyDescent="0.25">
      <c r="C1474"/>
    </row>
    <row r="1475" spans="3:3" x14ac:dyDescent="0.25">
      <c r="C1475"/>
    </row>
    <row r="1476" spans="3:3" x14ac:dyDescent="0.25">
      <c r="C1476"/>
    </row>
    <row r="1477" spans="3:3" x14ac:dyDescent="0.25">
      <c r="C1477"/>
    </row>
    <row r="1478" spans="3:3" x14ac:dyDescent="0.25">
      <c r="C1478"/>
    </row>
    <row r="1479" spans="3:3" x14ac:dyDescent="0.25">
      <c r="C1479"/>
    </row>
    <row r="1480" spans="3:3" x14ac:dyDescent="0.25">
      <c r="C1480"/>
    </row>
    <row r="1481" spans="3:3" x14ac:dyDescent="0.25">
      <c r="C1481"/>
    </row>
    <row r="1482" spans="3:3" x14ac:dyDescent="0.25">
      <c r="C1482"/>
    </row>
    <row r="1483" spans="3:3" x14ac:dyDescent="0.25">
      <c r="C1483"/>
    </row>
    <row r="1484" spans="3:3" x14ac:dyDescent="0.25">
      <c r="C1484"/>
    </row>
    <row r="1485" spans="3:3" x14ac:dyDescent="0.25">
      <c r="C1485"/>
    </row>
    <row r="1486" spans="3:3" x14ac:dyDescent="0.25">
      <c r="C1486"/>
    </row>
    <row r="1487" spans="3:3" x14ac:dyDescent="0.25">
      <c r="C1487"/>
    </row>
    <row r="1488" spans="3:3" x14ac:dyDescent="0.25">
      <c r="C1488"/>
    </row>
    <row r="1489" spans="3:3" x14ac:dyDescent="0.25">
      <c r="C1489"/>
    </row>
    <row r="1490" spans="3:3" x14ac:dyDescent="0.25">
      <c r="C1490"/>
    </row>
    <row r="1491" spans="3:3" x14ac:dyDescent="0.25">
      <c r="C1491"/>
    </row>
    <row r="1492" spans="3:3" x14ac:dyDescent="0.25">
      <c r="C1492"/>
    </row>
    <row r="1493" spans="3:3" x14ac:dyDescent="0.25">
      <c r="C1493"/>
    </row>
    <row r="1494" spans="3:3" x14ac:dyDescent="0.25">
      <c r="C1494"/>
    </row>
    <row r="1495" spans="3:3" x14ac:dyDescent="0.25">
      <c r="C1495"/>
    </row>
    <row r="1496" spans="3:3" x14ac:dyDescent="0.25">
      <c r="C1496"/>
    </row>
    <row r="1497" spans="3:3" x14ac:dyDescent="0.25">
      <c r="C1497"/>
    </row>
    <row r="1498" spans="3:3" x14ac:dyDescent="0.25">
      <c r="C1498"/>
    </row>
    <row r="1499" spans="3:3" x14ac:dyDescent="0.25">
      <c r="C1499"/>
    </row>
    <row r="1500" spans="3:3" x14ac:dyDescent="0.25">
      <c r="C1500"/>
    </row>
    <row r="1501" spans="3:3" x14ac:dyDescent="0.25">
      <c r="C1501"/>
    </row>
    <row r="1502" spans="3:3" x14ac:dyDescent="0.25">
      <c r="C1502"/>
    </row>
    <row r="1503" spans="3:3" x14ac:dyDescent="0.25">
      <c r="C1503"/>
    </row>
    <row r="1504" spans="3:3" x14ac:dyDescent="0.25">
      <c r="C1504"/>
    </row>
    <row r="1505" spans="3:3" x14ac:dyDescent="0.25">
      <c r="C1505"/>
    </row>
    <row r="1506" spans="3:3" x14ac:dyDescent="0.25">
      <c r="C1506"/>
    </row>
    <row r="1507" spans="3:3" x14ac:dyDescent="0.25">
      <c r="C1507"/>
    </row>
    <row r="1508" spans="3:3" x14ac:dyDescent="0.25">
      <c r="C1508"/>
    </row>
    <row r="1509" spans="3:3" x14ac:dyDescent="0.25">
      <c r="C1509"/>
    </row>
    <row r="1510" spans="3:3" x14ac:dyDescent="0.25">
      <c r="C1510"/>
    </row>
    <row r="1511" spans="3:3" x14ac:dyDescent="0.25">
      <c r="C1511"/>
    </row>
    <row r="1512" spans="3:3" x14ac:dyDescent="0.25">
      <c r="C1512"/>
    </row>
    <row r="1513" spans="3:3" x14ac:dyDescent="0.25">
      <c r="C1513"/>
    </row>
    <row r="1514" spans="3:3" x14ac:dyDescent="0.25">
      <c r="C1514"/>
    </row>
    <row r="1515" spans="3:3" x14ac:dyDescent="0.25">
      <c r="C1515"/>
    </row>
    <row r="1516" spans="3:3" x14ac:dyDescent="0.25">
      <c r="C1516"/>
    </row>
    <row r="1517" spans="3:3" x14ac:dyDescent="0.25">
      <c r="C1517"/>
    </row>
    <row r="1518" spans="3:3" x14ac:dyDescent="0.25">
      <c r="C1518"/>
    </row>
    <row r="1519" spans="3:3" x14ac:dyDescent="0.25">
      <c r="C1519"/>
    </row>
    <row r="1520" spans="3:3" x14ac:dyDescent="0.25">
      <c r="C1520"/>
    </row>
    <row r="1521" spans="3:3" x14ac:dyDescent="0.25">
      <c r="C1521"/>
    </row>
    <row r="1522" spans="3:3" x14ac:dyDescent="0.25">
      <c r="C1522"/>
    </row>
    <row r="1523" spans="3:3" x14ac:dyDescent="0.25">
      <c r="C1523"/>
    </row>
    <row r="1524" spans="3:3" x14ac:dyDescent="0.25">
      <c r="C1524"/>
    </row>
    <row r="1525" spans="3:3" x14ac:dyDescent="0.25">
      <c r="C1525"/>
    </row>
    <row r="1526" spans="3:3" x14ac:dyDescent="0.25">
      <c r="C1526"/>
    </row>
    <row r="1527" spans="3:3" x14ac:dyDescent="0.25">
      <c r="C1527"/>
    </row>
    <row r="1528" spans="3:3" x14ac:dyDescent="0.25">
      <c r="C1528"/>
    </row>
    <row r="1529" spans="3:3" x14ac:dyDescent="0.25">
      <c r="C1529"/>
    </row>
    <row r="1530" spans="3:3" x14ac:dyDescent="0.25">
      <c r="C1530"/>
    </row>
    <row r="1531" spans="3:3" x14ac:dyDescent="0.25">
      <c r="C1531"/>
    </row>
    <row r="1532" spans="3:3" x14ac:dyDescent="0.25">
      <c r="C1532"/>
    </row>
    <row r="1533" spans="3:3" x14ac:dyDescent="0.25">
      <c r="C1533"/>
    </row>
    <row r="1534" spans="3:3" x14ac:dyDescent="0.25">
      <c r="C1534"/>
    </row>
    <row r="1535" spans="3:3" x14ac:dyDescent="0.25">
      <c r="C1535"/>
    </row>
    <row r="1536" spans="3:3" x14ac:dyDescent="0.25">
      <c r="C1536"/>
    </row>
    <row r="1537" spans="3:3" x14ac:dyDescent="0.25">
      <c r="C1537"/>
    </row>
    <row r="1538" spans="3:3" x14ac:dyDescent="0.25">
      <c r="C1538"/>
    </row>
    <row r="1539" spans="3:3" x14ac:dyDescent="0.25">
      <c r="C1539"/>
    </row>
    <row r="1540" spans="3:3" x14ac:dyDescent="0.25">
      <c r="C1540"/>
    </row>
    <row r="1541" spans="3:3" x14ac:dyDescent="0.25">
      <c r="C1541"/>
    </row>
    <row r="1542" spans="3:3" x14ac:dyDescent="0.25">
      <c r="C1542"/>
    </row>
    <row r="1543" spans="3:3" x14ac:dyDescent="0.25">
      <c r="C1543"/>
    </row>
    <row r="1544" spans="3:3" x14ac:dyDescent="0.25">
      <c r="C1544"/>
    </row>
    <row r="1545" spans="3:3" x14ac:dyDescent="0.25">
      <c r="C1545"/>
    </row>
    <row r="1546" spans="3:3" x14ac:dyDescent="0.25">
      <c r="C1546"/>
    </row>
    <row r="1547" spans="3:3" x14ac:dyDescent="0.25">
      <c r="C1547"/>
    </row>
    <row r="1548" spans="3:3" x14ac:dyDescent="0.25">
      <c r="C1548"/>
    </row>
    <row r="1549" spans="3:3" x14ac:dyDescent="0.25">
      <c r="C1549"/>
    </row>
    <row r="1550" spans="3:3" x14ac:dyDescent="0.25">
      <c r="C1550"/>
    </row>
    <row r="1551" spans="3:3" x14ac:dyDescent="0.25">
      <c r="C1551"/>
    </row>
    <row r="1552" spans="3:3" x14ac:dyDescent="0.25">
      <c r="C1552"/>
    </row>
    <row r="1553" spans="3:3" x14ac:dyDescent="0.25">
      <c r="C1553"/>
    </row>
    <row r="1554" spans="3:3" x14ac:dyDescent="0.25">
      <c r="C1554"/>
    </row>
    <row r="1555" spans="3:3" x14ac:dyDescent="0.25">
      <c r="C1555"/>
    </row>
    <row r="1556" spans="3:3" x14ac:dyDescent="0.25">
      <c r="C1556"/>
    </row>
    <row r="1557" spans="3:3" x14ac:dyDescent="0.25">
      <c r="C1557"/>
    </row>
    <row r="1558" spans="3:3" x14ac:dyDescent="0.25">
      <c r="C1558"/>
    </row>
    <row r="1559" spans="3:3" x14ac:dyDescent="0.25">
      <c r="C1559"/>
    </row>
    <row r="1560" spans="3:3" x14ac:dyDescent="0.25">
      <c r="C1560"/>
    </row>
    <row r="1561" spans="3:3" x14ac:dyDescent="0.25">
      <c r="C1561"/>
    </row>
    <row r="1562" spans="3:3" x14ac:dyDescent="0.25">
      <c r="C1562"/>
    </row>
    <row r="1563" spans="3:3" x14ac:dyDescent="0.25">
      <c r="C1563"/>
    </row>
    <row r="1564" spans="3:3" x14ac:dyDescent="0.25">
      <c r="C1564"/>
    </row>
    <row r="1565" spans="3:3" x14ac:dyDescent="0.25">
      <c r="C1565"/>
    </row>
    <row r="1566" spans="3:3" x14ac:dyDescent="0.25">
      <c r="C1566"/>
    </row>
    <row r="1567" spans="3:3" x14ac:dyDescent="0.25">
      <c r="C1567"/>
    </row>
    <row r="1568" spans="3:3" x14ac:dyDescent="0.25">
      <c r="C1568"/>
    </row>
    <row r="1569" spans="3:3" x14ac:dyDescent="0.25">
      <c r="C1569"/>
    </row>
    <row r="1570" spans="3:3" x14ac:dyDescent="0.25">
      <c r="C1570"/>
    </row>
    <row r="1571" spans="3:3" x14ac:dyDescent="0.25">
      <c r="C1571"/>
    </row>
    <row r="1572" spans="3:3" x14ac:dyDescent="0.25">
      <c r="C1572"/>
    </row>
    <row r="1573" spans="3:3" x14ac:dyDescent="0.25">
      <c r="C1573"/>
    </row>
    <row r="1574" spans="3:3" x14ac:dyDescent="0.25">
      <c r="C1574"/>
    </row>
    <row r="1575" spans="3:3" x14ac:dyDescent="0.25">
      <c r="C1575"/>
    </row>
    <row r="1576" spans="3:3" x14ac:dyDescent="0.25">
      <c r="C1576"/>
    </row>
    <row r="1577" spans="3:3" x14ac:dyDescent="0.25">
      <c r="C1577"/>
    </row>
    <row r="1578" spans="3:3" x14ac:dyDescent="0.25">
      <c r="C1578"/>
    </row>
    <row r="1579" spans="3:3" x14ac:dyDescent="0.25">
      <c r="C1579"/>
    </row>
    <row r="1580" spans="3:3" x14ac:dyDescent="0.25">
      <c r="C1580"/>
    </row>
    <row r="1581" spans="3:3" x14ac:dyDescent="0.25">
      <c r="C1581"/>
    </row>
    <row r="1582" spans="3:3" x14ac:dyDescent="0.25">
      <c r="C1582"/>
    </row>
    <row r="1583" spans="3:3" x14ac:dyDescent="0.25">
      <c r="C1583"/>
    </row>
    <row r="1584" spans="3:3" x14ac:dyDescent="0.25">
      <c r="C1584"/>
    </row>
    <row r="1585" spans="3:3" x14ac:dyDescent="0.25">
      <c r="C1585"/>
    </row>
    <row r="1586" spans="3:3" x14ac:dyDescent="0.25">
      <c r="C1586"/>
    </row>
    <row r="1587" spans="3:3" x14ac:dyDescent="0.25">
      <c r="C1587"/>
    </row>
    <row r="1588" spans="3:3" x14ac:dyDescent="0.25">
      <c r="C1588"/>
    </row>
    <row r="1589" spans="3:3" x14ac:dyDescent="0.25">
      <c r="C1589"/>
    </row>
    <row r="1590" spans="3:3" x14ac:dyDescent="0.25">
      <c r="C1590"/>
    </row>
    <row r="1591" spans="3:3" x14ac:dyDescent="0.25">
      <c r="C1591"/>
    </row>
    <row r="1592" spans="3:3" x14ac:dyDescent="0.25">
      <c r="C1592"/>
    </row>
    <row r="1593" spans="3:3" x14ac:dyDescent="0.25">
      <c r="C1593"/>
    </row>
    <row r="1594" spans="3:3" x14ac:dyDescent="0.25">
      <c r="C1594"/>
    </row>
    <row r="1595" spans="3:3" x14ac:dyDescent="0.25">
      <c r="C1595"/>
    </row>
    <row r="1596" spans="3:3" x14ac:dyDescent="0.25">
      <c r="C1596"/>
    </row>
    <row r="1597" spans="3:3" x14ac:dyDescent="0.25">
      <c r="C1597"/>
    </row>
    <row r="1598" spans="3:3" x14ac:dyDescent="0.25">
      <c r="C1598"/>
    </row>
    <row r="1599" spans="3:3" x14ac:dyDescent="0.25">
      <c r="C1599"/>
    </row>
    <row r="1600" spans="3:3" x14ac:dyDescent="0.25">
      <c r="C1600"/>
    </row>
    <row r="1601" spans="3:3" x14ac:dyDescent="0.25">
      <c r="C1601"/>
    </row>
    <row r="1602" spans="3:3" x14ac:dyDescent="0.25">
      <c r="C1602"/>
    </row>
    <row r="1603" spans="3:3" x14ac:dyDescent="0.25">
      <c r="C1603"/>
    </row>
    <row r="1604" spans="3:3" x14ac:dyDescent="0.25">
      <c r="C1604"/>
    </row>
    <row r="1605" spans="3:3" x14ac:dyDescent="0.25">
      <c r="C1605"/>
    </row>
    <row r="1606" spans="3:3" x14ac:dyDescent="0.25">
      <c r="C1606"/>
    </row>
    <row r="1607" spans="3:3" x14ac:dyDescent="0.25">
      <c r="C1607"/>
    </row>
    <row r="1608" spans="3:3" x14ac:dyDescent="0.25">
      <c r="C1608"/>
    </row>
    <row r="1609" spans="3:3" x14ac:dyDescent="0.25">
      <c r="C1609"/>
    </row>
    <row r="1610" spans="3:3" x14ac:dyDescent="0.25">
      <c r="C1610"/>
    </row>
    <row r="1611" spans="3:3" x14ac:dyDescent="0.25">
      <c r="C1611"/>
    </row>
    <row r="1612" spans="3:3" x14ac:dyDescent="0.25">
      <c r="C1612"/>
    </row>
    <row r="1613" spans="3:3" x14ac:dyDescent="0.25">
      <c r="C1613"/>
    </row>
    <row r="1614" spans="3:3" x14ac:dyDescent="0.25">
      <c r="C1614"/>
    </row>
    <row r="1615" spans="3:3" x14ac:dyDescent="0.25">
      <c r="C1615"/>
    </row>
    <row r="1616" spans="3:3" x14ac:dyDescent="0.25">
      <c r="C1616"/>
    </row>
    <row r="1617" spans="3:3" x14ac:dyDescent="0.25">
      <c r="C1617"/>
    </row>
    <row r="1618" spans="3:3" x14ac:dyDescent="0.25">
      <c r="C1618"/>
    </row>
    <row r="1619" spans="3:3" x14ac:dyDescent="0.25">
      <c r="C1619"/>
    </row>
    <row r="1620" spans="3:3" x14ac:dyDescent="0.25">
      <c r="C1620"/>
    </row>
    <row r="1621" spans="3:3" x14ac:dyDescent="0.25">
      <c r="C1621"/>
    </row>
    <row r="1622" spans="3:3" x14ac:dyDescent="0.25">
      <c r="C1622"/>
    </row>
    <row r="1623" spans="3:3" x14ac:dyDescent="0.25">
      <c r="C1623"/>
    </row>
    <row r="1624" spans="3:3" x14ac:dyDescent="0.25">
      <c r="C1624"/>
    </row>
    <row r="1625" spans="3:3" x14ac:dyDescent="0.25">
      <c r="C1625"/>
    </row>
    <row r="1626" spans="3:3" x14ac:dyDescent="0.25">
      <c r="C1626"/>
    </row>
    <row r="1627" spans="3:3" x14ac:dyDescent="0.25">
      <c r="C1627"/>
    </row>
    <row r="1628" spans="3:3" x14ac:dyDescent="0.25">
      <c r="C1628"/>
    </row>
    <row r="1629" spans="3:3" x14ac:dyDescent="0.25">
      <c r="C1629"/>
    </row>
    <row r="1630" spans="3:3" x14ac:dyDescent="0.25">
      <c r="C1630"/>
    </row>
    <row r="1631" spans="3:3" x14ac:dyDescent="0.25">
      <c r="C1631"/>
    </row>
    <row r="1632" spans="3:3" x14ac:dyDescent="0.25">
      <c r="C1632"/>
    </row>
    <row r="1633" spans="3:3" x14ac:dyDescent="0.25">
      <c r="C1633"/>
    </row>
    <row r="1634" spans="3:3" x14ac:dyDescent="0.25">
      <c r="C1634"/>
    </row>
    <row r="1635" spans="3:3" x14ac:dyDescent="0.25">
      <c r="C1635"/>
    </row>
    <row r="1636" spans="3:3" x14ac:dyDescent="0.25">
      <c r="C1636"/>
    </row>
    <row r="1637" spans="3:3" x14ac:dyDescent="0.25">
      <c r="C1637"/>
    </row>
    <row r="1638" spans="3:3" x14ac:dyDescent="0.25">
      <c r="C1638"/>
    </row>
    <row r="1639" spans="3:3" x14ac:dyDescent="0.25">
      <c r="C1639"/>
    </row>
    <row r="1640" spans="3:3" x14ac:dyDescent="0.25">
      <c r="C1640"/>
    </row>
    <row r="1641" spans="3:3" x14ac:dyDescent="0.25">
      <c r="C1641"/>
    </row>
    <row r="1642" spans="3:3" x14ac:dyDescent="0.25">
      <c r="C1642"/>
    </row>
    <row r="1643" spans="3:3" x14ac:dyDescent="0.25">
      <c r="C1643"/>
    </row>
    <row r="1644" spans="3:3" x14ac:dyDescent="0.25">
      <c r="C1644"/>
    </row>
    <row r="1645" spans="3:3" x14ac:dyDescent="0.25">
      <c r="C1645"/>
    </row>
    <row r="1646" spans="3:3" x14ac:dyDescent="0.25">
      <c r="C1646"/>
    </row>
    <row r="1647" spans="3:3" x14ac:dyDescent="0.25">
      <c r="C1647"/>
    </row>
    <row r="1648" spans="3:3" x14ac:dyDescent="0.25">
      <c r="C1648"/>
    </row>
    <row r="1649" spans="3:3" x14ac:dyDescent="0.25">
      <c r="C1649"/>
    </row>
    <row r="1650" spans="3:3" x14ac:dyDescent="0.25">
      <c r="C1650"/>
    </row>
    <row r="1651" spans="3:3" x14ac:dyDescent="0.25">
      <c r="C1651"/>
    </row>
    <row r="1652" spans="3:3" x14ac:dyDescent="0.25">
      <c r="C1652"/>
    </row>
    <row r="1653" spans="3:3" x14ac:dyDescent="0.25">
      <c r="C1653"/>
    </row>
    <row r="1654" spans="3:3" x14ac:dyDescent="0.25">
      <c r="C1654"/>
    </row>
    <row r="1655" spans="3:3" x14ac:dyDescent="0.25">
      <c r="C1655"/>
    </row>
    <row r="1656" spans="3:3" x14ac:dyDescent="0.25">
      <c r="C1656"/>
    </row>
    <row r="1657" spans="3:3" x14ac:dyDescent="0.25">
      <c r="C1657"/>
    </row>
    <row r="1658" spans="3:3" x14ac:dyDescent="0.25">
      <c r="C1658"/>
    </row>
    <row r="1659" spans="3:3" x14ac:dyDescent="0.25">
      <c r="C1659"/>
    </row>
    <row r="1660" spans="3:3" x14ac:dyDescent="0.25">
      <c r="C1660"/>
    </row>
    <row r="1661" spans="3:3" x14ac:dyDescent="0.25">
      <c r="C1661"/>
    </row>
    <row r="1662" spans="3:3" x14ac:dyDescent="0.25">
      <c r="C1662"/>
    </row>
    <row r="1663" spans="3:3" x14ac:dyDescent="0.25">
      <c r="C1663"/>
    </row>
    <row r="1664" spans="3:3" x14ac:dyDescent="0.25">
      <c r="C1664"/>
    </row>
    <row r="1665" spans="3:3" x14ac:dyDescent="0.25">
      <c r="C1665"/>
    </row>
    <row r="1666" spans="3:3" x14ac:dyDescent="0.25">
      <c r="C1666"/>
    </row>
    <row r="1667" spans="3:3" x14ac:dyDescent="0.25">
      <c r="C1667"/>
    </row>
    <row r="1668" spans="3:3" x14ac:dyDescent="0.25">
      <c r="C1668"/>
    </row>
    <row r="1669" spans="3:3" x14ac:dyDescent="0.25">
      <c r="C1669"/>
    </row>
    <row r="1670" spans="3:3" x14ac:dyDescent="0.25">
      <c r="C1670"/>
    </row>
    <row r="1671" spans="3:3" x14ac:dyDescent="0.25">
      <c r="C1671"/>
    </row>
    <row r="1672" spans="3:3" x14ac:dyDescent="0.25">
      <c r="C1672"/>
    </row>
    <row r="1673" spans="3:3" x14ac:dyDescent="0.25">
      <c r="C1673"/>
    </row>
    <row r="1674" spans="3:3" x14ac:dyDescent="0.25">
      <c r="C1674"/>
    </row>
    <row r="1675" spans="3:3" x14ac:dyDescent="0.25">
      <c r="C1675"/>
    </row>
    <row r="1676" spans="3:3" x14ac:dyDescent="0.25">
      <c r="C1676"/>
    </row>
    <row r="1677" spans="3:3" x14ac:dyDescent="0.25">
      <c r="C1677"/>
    </row>
    <row r="1678" spans="3:3" x14ac:dyDescent="0.25">
      <c r="C1678"/>
    </row>
    <row r="1679" spans="3:3" x14ac:dyDescent="0.25">
      <c r="C1679"/>
    </row>
    <row r="1680" spans="3:3" x14ac:dyDescent="0.25">
      <c r="C1680"/>
    </row>
    <row r="1681" spans="3:3" x14ac:dyDescent="0.25">
      <c r="C1681"/>
    </row>
    <row r="1682" spans="3:3" x14ac:dyDescent="0.25">
      <c r="C1682"/>
    </row>
    <row r="1683" spans="3:3" x14ac:dyDescent="0.25">
      <c r="C1683"/>
    </row>
    <row r="1684" spans="3:3" x14ac:dyDescent="0.25">
      <c r="C1684"/>
    </row>
    <row r="1685" spans="3:3" x14ac:dyDescent="0.25">
      <c r="C1685"/>
    </row>
    <row r="1686" spans="3:3" x14ac:dyDescent="0.25">
      <c r="C1686"/>
    </row>
    <row r="1687" spans="3:3" x14ac:dyDescent="0.25">
      <c r="C1687"/>
    </row>
    <row r="1688" spans="3:3" x14ac:dyDescent="0.25">
      <c r="C1688"/>
    </row>
    <row r="1689" spans="3:3" x14ac:dyDescent="0.25">
      <c r="C1689"/>
    </row>
    <row r="1690" spans="3:3" x14ac:dyDescent="0.25">
      <c r="C1690"/>
    </row>
    <row r="1691" spans="3:3" x14ac:dyDescent="0.25">
      <c r="C1691"/>
    </row>
    <row r="1692" spans="3:3" x14ac:dyDescent="0.25">
      <c r="C1692"/>
    </row>
    <row r="1693" spans="3:3" x14ac:dyDescent="0.25">
      <c r="C1693"/>
    </row>
    <row r="1694" spans="3:3" x14ac:dyDescent="0.25">
      <c r="C1694"/>
    </row>
    <row r="1695" spans="3:3" x14ac:dyDescent="0.25">
      <c r="C1695"/>
    </row>
    <row r="1696" spans="3:3" x14ac:dyDescent="0.25">
      <c r="C1696"/>
    </row>
    <row r="1697" spans="3:3" x14ac:dyDescent="0.25">
      <c r="C1697"/>
    </row>
    <row r="1698" spans="3:3" x14ac:dyDescent="0.25">
      <c r="C1698"/>
    </row>
    <row r="1699" spans="3:3" x14ac:dyDescent="0.25">
      <c r="C1699"/>
    </row>
    <row r="1700" spans="3:3" x14ac:dyDescent="0.25">
      <c r="C1700"/>
    </row>
    <row r="1701" spans="3:3" x14ac:dyDescent="0.25">
      <c r="C1701"/>
    </row>
    <row r="1702" spans="3:3" x14ac:dyDescent="0.25">
      <c r="C1702"/>
    </row>
    <row r="1703" spans="3:3" x14ac:dyDescent="0.25">
      <c r="C1703"/>
    </row>
    <row r="1704" spans="3:3" x14ac:dyDescent="0.25">
      <c r="C1704"/>
    </row>
    <row r="1705" spans="3:3" x14ac:dyDescent="0.25">
      <c r="C1705"/>
    </row>
    <row r="1706" spans="3:3" x14ac:dyDescent="0.25">
      <c r="C1706"/>
    </row>
    <row r="1707" spans="3:3" x14ac:dyDescent="0.25">
      <c r="C1707"/>
    </row>
    <row r="1708" spans="3:3" x14ac:dyDescent="0.25">
      <c r="C1708"/>
    </row>
    <row r="1709" spans="3:3" x14ac:dyDescent="0.25">
      <c r="C1709"/>
    </row>
    <row r="1710" spans="3:3" x14ac:dyDescent="0.25">
      <c r="C1710"/>
    </row>
    <row r="1711" spans="3:3" x14ac:dyDescent="0.25">
      <c r="C1711"/>
    </row>
    <row r="1712" spans="3:3" x14ac:dyDescent="0.25">
      <c r="C1712"/>
    </row>
    <row r="1713" spans="3:3" x14ac:dyDescent="0.25">
      <c r="C1713"/>
    </row>
    <row r="1714" spans="3:3" x14ac:dyDescent="0.25">
      <c r="C1714"/>
    </row>
    <row r="1715" spans="3:3" x14ac:dyDescent="0.25">
      <c r="C1715"/>
    </row>
    <row r="1716" spans="3:3" x14ac:dyDescent="0.25">
      <c r="C1716"/>
    </row>
  </sheetData>
  <sortState ref="J61:K1716">
    <sortCondition ref="J61:J1716"/>
  </sortState>
  <mergeCells count="1">
    <mergeCell ref="A1:H1"/>
  </mergeCells>
  <conditionalFormatting sqref="A3:A550">
    <cfRule type="duplicateValues" dxfId="53" priority="49"/>
  </conditionalFormatting>
  <hyperlinks>
    <hyperlink ref="K4" r:id="rId1" xr:uid="{5B23405B-5420-4542-818D-19E59274B45A}"/>
  </hyperlinks>
  <pageMargins left="0.7" right="0.7" top="0.75" bottom="0.75" header="0.3" footer="0.3"/>
  <pageSetup orientation="portrait" horizontalDpi="1200" verticalDpi="1200"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042E-5F5E-47C3-8677-75E4A8B3DC0C}">
  <sheetPr>
    <tabColor theme="1" tint="0.499984740745262"/>
  </sheetPr>
  <dimension ref="A1:E30"/>
  <sheetViews>
    <sheetView workbookViewId="0">
      <selection activeCell="A2" sqref="A2"/>
    </sheetView>
  </sheetViews>
  <sheetFormatPr defaultColWidth="28.42578125" defaultRowHeight="15" x14ac:dyDescent="0.25"/>
  <sheetData>
    <row r="1" spans="1:3" ht="21" x14ac:dyDescent="0.25">
      <c r="A1" s="237" t="s">
        <v>117</v>
      </c>
      <c r="B1" s="237"/>
      <c r="C1" s="237"/>
    </row>
    <row r="2" spans="1:3" x14ac:dyDescent="0.25">
      <c r="A2" t="s">
        <v>3</v>
      </c>
      <c r="B2" t="s">
        <v>118</v>
      </c>
      <c r="C2" t="s">
        <v>119</v>
      </c>
    </row>
    <row r="3" spans="1:3" x14ac:dyDescent="0.25">
      <c r="A3">
        <v>2018</v>
      </c>
      <c r="B3">
        <v>251.631</v>
      </c>
      <c r="C3" s="103"/>
    </row>
    <row r="4" spans="1:3" x14ac:dyDescent="0.25">
      <c r="A4">
        <v>2017</v>
      </c>
      <c r="B4">
        <v>245.1</v>
      </c>
      <c r="C4">
        <f t="shared" ref="C4:C25" si="0">($B$3/B4)-1</f>
        <v>2.6646266829865484E-2</v>
      </c>
    </row>
    <row r="5" spans="1:3" x14ac:dyDescent="0.25">
      <c r="A5">
        <v>2016</v>
      </c>
      <c r="B5">
        <v>240</v>
      </c>
      <c r="C5">
        <f t="shared" si="0"/>
        <v>4.8462500000000075E-2</v>
      </c>
    </row>
    <row r="6" spans="1:3" x14ac:dyDescent="0.25">
      <c r="A6">
        <v>2015</v>
      </c>
      <c r="B6">
        <v>237</v>
      </c>
      <c r="C6">
        <f t="shared" si="0"/>
        <v>6.1734177215189812E-2</v>
      </c>
    </row>
    <row r="7" spans="1:3" x14ac:dyDescent="0.25">
      <c r="A7">
        <v>2014</v>
      </c>
      <c r="B7">
        <v>236.7</v>
      </c>
      <c r="C7">
        <f t="shared" si="0"/>
        <v>6.3079847908745323E-2</v>
      </c>
    </row>
    <row r="8" spans="1:3" x14ac:dyDescent="0.25">
      <c r="A8">
        <v>2013</v>
      </c>
      <c r="B8">
        <v>233</v>
      </c>
      <c r="C8">
        <f t="shared" si="0"/>
        <v>7.9961373390557977E-2</v>
      </c>
    </row>
    <row r="9" spans="1:3" x14ac:dyDescent="0.25">
      <c r="A9">
        <v>2012</v>
      </c>
      <c r="B9">
        <v>229.6</v>
      </c>
      <c r="C9">
        <f t="shared" si="0"/>
        <v>9.5953832752613266E-2</v>
      </c>
    </row>
    <row r="10" spans="1:3" x14ac:dyDescent="0.25">
      <c r="A10">
        <v>2011</v>
      </c>
      <c r="B10">
        <v>224.9</v>
      </c>
      <c r="C10">
        <f t="shared" si="0"/>
        <v>0.11885726989773238</v>
      </c>
    </row>
    <row r="11" spans="1:3" x14ac:dyDescent="0.25">
      <c r="A11">
        <v>2010</v>
      </c>
      <c r="B11">
        <v>218.1</v>
      </c>
      <c r="C11">
        <f t="shared" si="0"/>
        <v>0.15374140302613482</v>
      </c>
    </row>
    <row r="12" spans="1:3" x14ac:dyDescent="0.25">
      <c r="A12">
        <v>2009</v>
      </c>
      <c r="B12">
        <v>214.5</v>
      </c>
      <c r="C12">
        <f t="shared" si="0"/>
        <v>0.17310489510489502</v>
      </c>
    </row>
    <row r="13" spans="1:3" x14ac:dyDescent="0.25">
      <c r="A13">
        <v>2008</v>
      </c>
      <c r="B13">
        <v>215.3</v>
      </c>
      <c r="C13">
        <f t="shared" si="0"/>
        <v>0.16874593590339049</v>
      </c>
    </row>
    <row r="14" spans="1:3" x14ac:dyDescent="0.25">
      <c r="A14">
        <v>2007</v>
      </c>
      <c r="B14">
        <v>207.3</v>
      </c>
      <c r="C14">
        <f t="shared" si="0"/>
        <v>0.21384949348769888</v>
      </c>
    </row>
    <row r="15" spans="1:3" x14ac:dyDescent="0.25">
      <c r="A15">
        <v>2006</v>
      </c>
      <c r="B15">
        <v>201.6</v>
      </c>
      <c r="C15">
        <f t="shared" si="0"/>
        <v>0.24816964285714294</v>
      </c>
    </row>
    <row r="16" spans="1:3" x14ac:dyDescent="0.25">
      <c r="A16">
        <v>2005</v>
      </c>
      <c r="B16">
        <v>195.3</v>
      </c>
      <c r="C16">
        <f t="shared" si="0"/>
        <v>0.28843317972350224</v>
      </c>
    </row>
    <row r="17" spans="1:5" x14ac:dyDescent="0.25">
      <c r="A17">
        <v>2004</v>
      </c>
      <c r="B17">
        <v>188.9</v>
      </c>
      <c r="C17">
        <f t="shared" si="0"/>
        <v>0.33208575966119636</v>
      </c>
    </row>
    <row r="18" spans="1:5" x14ac:dyDescent="0.25">
      <c r="A18">
        <v>2003</v>
      </c>
      <c r="B18">
        <v>184</v>
      </c>
      <c r="C18">
        <f t="shared" si="0"/>
        <v>0.3675597826086956</v>
      </c>
    </row>
    <row r="19" spans="1:5" x14ac:dyDescent="0.25">
      <c r="A19">
        <v>2002</v>
      </c>
      <c r="B19">
        <v>179.9</v>
      </c>
      <c r="C19">
        <f t="shared" si="0"/>
        <v>0.39872707059477475</v>
      </c>
    </row>
    <row r="20" spans="1:5" x14ac:dyDescent="0.25">
      <c r="A20">
        <v>2001</v>
      </c>
      <c r="B20">
        <v>177.1</v>
      </c>
      <c r="C20">
        <f t="shared" si="0"/>
        <v>0.42084133258046297</v>
      </c>
    </row>
    <row r="21" spans="1:5" x14ac:dyDescent="0.25">
      <c r="A21">
        <v>2000</v>
      </c>
      <c r="B21">
        <v>172.2</v>
      </c>
      <c r="C21">
        <f t="shared" si="0"/>
        <v>0.46127177700348443</v>
      </c>
    </row>
    <row r="22" spans="1:5" x14ac:dyDescent="0.25">
      <c r="A22">
        <v>1999</v>
      </c>
      <c r="B22">
        <v>166.6</v>
      </c>
      <c r="C22">
        <f t="shared" si="0"/>
        <v>0.5103901560624251</v>
      </c>
    </row>
    <row r="23" spans="1:5" x14ac:dyDescent="0.25">
      <c r="A23">
        <v>1998</v>
      </c>
      <c r="B23">
        <v>163</v>
      </c>
      <c r="C23">
        <f t="shared" si="0"/>
        <v>0.54374846625766882</v>
      </c>
    </row>
    <row r="24" spans="1:5" x14ac:dyDescent="0.25">
      <c r="A24">
        <v>1997</v>
      </c>
      <c r="B24">
        <v>160.5</v>
      </c>
      <c r="C24">
        <f t="shared" si="0"/>
        <v>0.56779439252336439</v>
      </c>
    </row>
    <row r="25" spans="1:5" x14ac:dyDescent="0.25">
      <c r="A25">
        <v>1996</v>
      </c>
      <c r="B25">
        <v>156.9</v>
      </c>
      <c r="C25">
        <f t="shared" si="0"/>
        <v>0.60376673040152951</v>
      </c>
    </row>
    <row r="27" spans="1:5" x14ac:dyDescent="0.25">
      <c r="A27" s="84" t="s">
        <v>116</v>
      </c>
      <c r="B27" s="84"/>
      <c r="C27" s="84"/>
      <c r="D27" s="84"/>
      <c r="E27" s="84"/>
    </row>
    <row r="28" spans="1:5" x14ac:dyDescent="0.25">
      <c r="A28" s="84"/>
      <c r="B28" s="84"/>
      <c r="C28" s="84"/>
      <c r="D28" s="84"/>
      <c r="E28" s="84"/>
    </row>
    <row r="29" spans="1:5" x14ac:dyDescent="0.25">
      <c r="A29" s="84" t="s">
        <v>120</v>
      </c>
      <c r="B29" s="84"/>
      <c r="C29" s="84"/>
      <c r="D29" s="84"/>
      <c r="E29" s="84"/>
    </row>
    <row r="30" spans="1:5" x14ac:dyDescent="0.25">
      <c r="A30" s="84" t="s">
        <v>141</v>
      </c>
      <c r="B30" s="84"/>
      <c r="C30" s="84"/>
      <c r="D30" s="84"/>
      <c r="E30" s="84"/>
    </row>
  </sheetData>
  <mergeCells count="1">
    <mergeCell ref="A1:C1"/>
  </mergeCell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D8008-7238-4186-83CC-0882296704F9}">
  <dimension ref="A1:M78"/>
  <sheetViews>
    <sheetView workbookViewId="0"/>
  </sheetViews>
  <sheetFormatPr defaultRowHeight="15" x14ac:dyDescent="0.25"/>
  <cols>
    <col min="1" max="1" width="9.28515625" customWidth="1"/>
    <col min="4" max="4" width="9.42578125" customWidth="1"/>
    <col min="5" max="5" width="13.7109375" customWidth="1"/>
    <col min="6" max="6" width="13.140625" customWidth="1"/>
    <col min="8" max="8" width="12.42578125" customWidth="1"/>
    <col min="9" max="9" width="16.7109375" customWidth="1"/>
    <col min="10" max="10" width="14.140625" customWidth="1"/>
    <col min="11" max="11" width="16.85546875" customWidth="1"/>
    <col min="12" max="12" width="17.85546875" customWidth="1"/>
    <col min="13" max="13" width="11.42578125" customWidth="1"/>
  </cols>
  <sheetData>
    <row r="1" spans="1:13" x14ac:dyDescent="0.25">
      <c r="A1" t="s">
        <v>31</v>
      </c>
      <c r="B1" t="s">
        <v>0</v>
      </c>
      <c r="C1" t="s">
        <v>1</v>
      </c>
      <c r="D1" t="s">
        <v>5</v>
      </c>
      <c r="E1" t="s">
        <v>441</v>
      </c>
      <c r="F1" t="s">
        <v>1429</v>
      </c>
      <c r="G1" t="s">
        <v>2</v>
      </c>
      <c r="H1" t="s">
        <v>114</v>
      </c>
      <c r="I1" t="s">
        <v>115</v>
      </c>
      <c r="J1" t="s">
        <v>440</v>
      </c>
      <c r="K1" t="s">
        <v>1432</v>
      </c>
      <c r="L1" t="s">
        <v>1433</v>
      </c>
      <c r="M1" t="s">
        <v>27</v>
      </c>
    </row>
    <row r="2" spans="1:13" x14ac:dyDescent="0.25">
      <c r="A2">
        <v>4</v>
      </c>
      <c r="B2" t="s">
        <v>212</v>
      </c>
      <c r="C2" t="s">
        <v>8</v>
      </c>
      <c r="D2" t="s">
        <v>12</v>
      </c>
      <c r="E2" t="s">
        <v>444</v>
      </c>
      <c r="F2" t="s">
        <v>144</v>
      </c>
      <c r="G2">
        <v>3520100</v>
      </c>
      <c r="H2" t="s">
        <v>29</v>
      </c>
      <c r="I2">
        <v>2015</v>
      </c>
      <c r="J2">
        <v>3737410.4772151895</v>
      </c>
      <c r="K2">
        <v>69.62129721722718</v>
      </c>
      <c r="L2">
        <v>795193.71855642332</v>
      </c>
    </row>
    <row r="3" spans="1:13" x14ac:dyDescent="0.25">
      <c r="A3">
        <v>4</v>
      </c>
      <c r="B3" t="s">
        <v>225</v>
      </c>
      <c r="C3" t="s">
        <v>8</v>
      </c>
      <c r="D3" t="s">
        <v>12</v>
      </c>
      <c r="E3" t="s">
        <v>444</v>
      </c>
      <c r="F3" t="s">
        <v>144</v>
      </c>
      <c r="G3">
        <v>201000</v>
      </c>
      <c r="H3" t="s">
        <v>29</v>
      </c>
      <c r="I3">
        <v>2015</v>
      </c>
      <c r="J3">
        <v>213408.56962025314</v>
      </c>
      <c r="K3">
        <v>10.399520960004539</v>
      </c>
      <c r="L3">
        <v>112320.29980013323</v>
      </c>
      <c r="M3">
        <v>79</v>
      </c>
    </row>
    <row r="4" spans="1:13" x14ac:dyDescent="0.25">
      <c r="A4">
        <v>4</v>
      </c>
      <c r="B4" t="s">
        <v>224</v>
      </c>
      <c r="C4" t="s">
        <v>8</v>
      </c>
      <c r="D4" t="s">
        <v>12</v>
      </c>
      <c r="E4" t="s">
        <v>444</v>
      </c>
      <c r="F4" t="s">
        <v>144</v>
      </c>
      <c r="G4">
        <v>85316</v>
      </c>
      <c r="H4" t="s">
        <v>29</v>
      </c>
      <c r="I4">
        <v>2015</v>
      </c>
      <c r="J4">
        <v>90582.91306329114</v>
      </c>
      <c r="K4">
        <v>2.7655526977862595</v>
      </c>
      <c r="L4">
        <v>45291.45653164557</v>
      </c>
      <c r="M4">
        <v>78</v>
      </c>
    </row>
    <row r="5" spans="1:13" x14ac:dyDescent="0.25">
      <c r="A5">
        <v>4</v>
      </c>
      <c r="B5" t="s">
        <v>145</v>
      </c>
      <c r="C5" t="s">
        <v>8</v>
      </c>
      <c r="D5" t="s">
        <v>12</v>
      </c>
      <c r="E5" t="s">
        <v>444</v>
      </c>
      <c r="F5" t="s">
        <v>144</v>
      </c>
      <c r="G5">
        <v>2606122</v>
      </c>
      <c r="H5" t="s">
        <v>29</v>
      </c>
      <c r="I5">
        <v>2015</v>
      </c>
      <c r="J5">
        <v>2767008.7973924051</v>
      </c>
      <c r="K5">
        <v>135.16064856352116</v>
      </c>
      <c r="L5">
        <v>354744.71761441091</v>
      </c>
      <c r="M5">
        <v>4</v>
      </c>
    </row>
    <row r="6" spans="1:13" x14ac:dyDescent="0.25">
      <c r="A6">
        <v>4</v>
      </c>
      <c r="B6" t="s">
        <v>9</v>
      </c>
      <c r="C6" t="s">
        <v>8</v>
      </c>
      <c r="D6" t="s">
        <v>12</v>
      </c>
      <c r="E6" t="s">
        <v>444</v>
      </c>
      <c r="F6" t="s">
        <v>144</v>
      </c>
      <c r="G6">
        <v>1402076</v>
      </c>
      <c r="H6" t="s">
        <v>29</v>
      </c>
      <c r="I6">
        <v>2015</v>
      </c>
      <c r="J6">
        <v>1488632.0082531644</v>
      </c>
      <c r="K6">
        <v>12.878999258155524</v>
      </c>
      <c r="L6">
        <v>155065.83419303797</v>
      </c>
      <c r="M6">
        <v>5</v>
      </c>
    </row>
    <row r="7" spans="1:13" x14ac:dyDescent="0.25">
      <c r="A7">
        <v>4</v>
      </c>
      <c r="B7" t="s">
        <v>10</v>
      </c>
      <c r="C7" t="s">
        <v>8</v>
      </c>
      <c r="D7" t="s">
        <v>12</v>
      </c>
      <c r="E7" t="s">
        <v>444</v>
      </c>
      <c r="F7" t="s">
        <v>144</v>
      </c>
      <c r="G7">
        <v>2284600</v>
      </c>
      <c r="H7" t="s">
        <v>29</v>
      </c>
      <c r="I7">
        <v>2015</v>
      </c>
      <c r="J7">
        <v>2425637.9012658228</v>
      </c>
      <c r="K7">
        <v>145.08271435288131</v>
      </c>
      <c r="L7">
        <v>441025.07295742235</v>
      </c>
      <c r="M7">
        <v>6</v>
      </c>
    </row>
    <row r="8" spans="1:13" x14ac:dyDescent="0.25">
      <c r="A8">
        <v>4</v>
      </c>
      <c r="B8" t="s">
        <v>11</v>
      </c>
      <c r="C8" t="s">
        <v>8</v>
      </c>
      <c r="D8" t="s">
        <v>12</v>
      </c>
      <c r="E8" t="s">
        <v>444</v>
      </c>
      <c r="F8" t="s">
        <v>144</v>
      </c>
      <c r="G8">
        <v>283429.92</v>
      </c>
      <c r="H8" t="s">
        <v>29</v>
      </c>
      <c r="I8">
        <v>2015</v>
      </c>
      <c r="J8">
        <v>300927.23290936707</v>
      </c>
      <c r="K8">
        <v>14.490645394585981</v>
      </c>
      <c r="L8">
        <v>107474.01175334539</v>
      </c>
      <c r="M8">
        <v>7</v>
      </c>
    </row>
    <row r="9" spans="1:13" x14ac:dyDescent="0.25">
      <c r="A9">
        <v>4</v>
      </c>
      <c r="B9" t="s">
        <v>1435</v>
      </c>
      <c r="C9" t="s">
        <v>5</v>
      </c>
      <c r="D9" t="s">
        <v>1435</v>
      </c>
      <c r="E9" t="s">
        <v>444</v>
      </c>
      <c r="F9" t="e">
        <v>#N/A</v>
      </c>
      <c r="G9">
        <v>48148000</v>
      </c>
      <c r="H9" t="s">
        <v>29</v>
      </c>
      <c r="I9">
        <v>2015</v>
      </c>
      <c r="J9">
        <v>51120377.164556958</v>
      </c>
      <c r="M9">
        <v>8</v>
      </c>
    </row>
    <row r="10" spans="1:13" x14ac:dyDescent="0.25">
      <c r="A10">
        <v>4</v>
      </c>
      <c r="B10" t="s">
        <v>1436</v>
      </c>
      <c r="C10" t="s">
        <v>122</v>
      </c>
      <c r="D10" t="s">
        <v>1436</v>
      </c>
      <c r="E10" t="s">
        <v>444</v>
      </c>
      <c r="F10" t="e">
        <v>#N/A</v>
      </c>
      <c r="G10">
        <v>21725000</v>
      </c>
      <c r="H10" t="s">
        <v>29</v>
      </c>
      <c r="I10">
        <v>2015</v>
      </c>
      <c r="J10">
        <v>23066175</v>
      </c>
      <c r="M10">
        <v>9</v>
      </c>
    </row>
    <row r="11" spans="1:13" x14ac:dyDescent="0.25">
      <c r="A11">
        <v>4</v>
      </c>
      <c r="B11" t="s">
        <v>218</v>
      </c>
      <c r="C11" t="s">
        <v>8</v>
      </c>
      <c r="D11" t="s">
        <v>12</v>
      </c>
      <c r="E11" t="s">
        <v>444</v>
      </c>
      <c r="F11" t="s">
        <v>144</v>
      </c>
      <c r="G11">
        <v>3224245.98</v>
      </c>
      <c r="H11" t="s">
        <v>29</v>
      </c>
      <c r="I11">
        <v>2015</v>
      </c>
      <c r="J11">
        <v>3423292.1527146832</v>
      </c>
      <c r="K11">
        <v>100.14604197158479</v>
      </c>
      <c r="L11">
        <v>600577.57065169874</v>
      </c>
      <c r="M11">
        <v>10</v>
      </c>
    </row>
    <row r="12" spans="1:13" x14ac:dyDescent="0.25">
      <c r="A12">
        <v>4</v>
      </c>
      <c r="B12" t="s">
        <v>146</v>
      </c>
      <c r="C12" t="s">
        <v>8</v>
      </c>
      <c r="D12" t="s">
        <v>12</v>
      </c>
      <c r="E12" t="s">
        <v>444</v>
      </c>
      <c r="F12" t="s">
        <v>144</v>
      </c>
      <c r="G12">
        <v>710364</v>
      </c>
      <c r="H12" t="s">
        <v>29</v>
      </c>
      <c r="I12">
        <v>2015</v>
      </c>
      <c r="J12">
        <v>754217.73706329113</v>
      </c>
      <c r="K12">
        <v>38.747379248049889</v>
      </c>
      <c r="L12">
        <v>538726.95504520799</v>
      </c>
      <c r="M12">
        <v>11</v>
      </c>
    </row>
    <row r="13" spans="1:13" x14ac:dyDescent="0.25">
      <c r="A13">
        <v>4</v>
      </c>
      <c r="B13" t="s">
        <v>147</v>
      </c>
      <c r="C13" t="s">
        <v>8</v>
      </c>
      <c r="D13" t="s">
        <v>12</v>
      </c>
      <c r="E13" t="s">
        <v>444</v>
      </c>
      <c r="F13" t="s">
        <v>144</v>
      </c>
      <c r="G13">
        <v>4707109.2300000004</v>
      </c>
      <c r="H13" t="s">
        <v>29</v>
      </c>
      <c r="I13">
        <v>2015</v>
      </c>
      <c r="J13">
        <v>4997698.7453760765</v>
      </c>
      <c r="K13">
        <v>140.65346013103897</v>
      </c>
      <c r="L13">
        <v>1281461.2167630966</v>
      </c>
      <c r="M13">
        <v>12</v>
      </c>
    </row>
    <row r="14" spans="1:13" x14ac:dyDescent="0.25">
      <c r="A14">
        <v>4</v>
      </c>
      <c r="B14" t="s">
        <v>148</v>
      </c>
      <c r="C14" t="s">
        <v>8</v>
      </c>
      <c r="D14" t="s">
        <v>12</v>
      </c>
      <c r="E14" t="s">
        <v>444</v>
      </c>
      <c r="F14" t="s">
        <v>144</v>
      </c>
      <c r="G14">
        <v>2426000</v>
      </c>
      <c r="H14" t="s">
        <v>29</v>
      </c>
      <c r="I14">
        <v>2015</v>
      </c>
      <c r="J14">
        <v>2575767.1139240507</v>
      </c>
      <c r="K14">
        <v>38.209326439269724</v>
      </c>
      <c r="L14">
        <v>415446.30869742751</v>
      </c>
      <c r="M14">
        <v>13</v>
      </c>
    </row>
    <row r="15" spans="1:13" x14ac:dyDescent="0.25">
      <c r="A15">
        <v>4</v>
      </c>
      <c r="B15" t="s">
        <v>149</v>
      </c>
      <c r="C15" t="s">
        <v>8</v>
      </c>
      <c r="D15" t="s">
        <v>12</v>
      </c>
      <c r="E15" t="s">
        <v>444</v>
      </c>
      <c r="F15" t="s">
        <v>144</v>
      </c>
      <c r="G15">
        <v>1986170.13</v>
      </c>
      <c r="H15" t="s">
        <v>29</v>
      </c>
      <c r="I15">
        <v>2015</v>
      </c>
      <c r="J15">
        <v>2108784.7087849365</v>
      </c>
      <c r="K15">
        <v>14.52511130019518</v>
      </c>
      <c r="L15">
        <v>102867.5467699969</v>
      </c>
      <c r="M15">
        <v>14</v>
      </c>
    </row>
    <row r="16" spans="1:13" x14ac:dyDescent="0.25">
      <c r="A16">
        <v>4</v>
      </c>
      <c r="B16" t="s">
        <v>150</v>
      </c>
      <c r="C16" t="s">
        <v>8</v>
      </c>
      <c r="D16" t="s">
        <v>12</v>
      </c>
      <c r="E16" t="s">
        <v>444</v>
      </c>
      <c r="F16" t="s">
        <v>144</v>
      </c>
      <c r="G16">
        <v>463000</v>
      </c>
      <c r="H16" t="s">
        <v>29</v>
      </c>
      <c r="I16">
        <v>2015</v>
      </c>
      <c r="J16">
        <v>491582.92405063286</v>
      </c>
      <c r="K16">
        <v>5.0879547496882829</v>
      </c>
      <c r="L16">
        <v>49158.292405063286</v>
      </c>
      <c r="M16">
        <v>15</v>
      </c>
    </row>
    <row r="17" spans="1:13" x14ac:dyDescent="0.25">
      <c r="A17">
        <v>4</v>
      </c>
      <c r="B17" t="s">
        <v>151</v>
      </c>
      <c r="C17" t="s">
        <v>8</v>
      </c>
      <c r="D17" t="s">
        <v>12</v>
      </c>
      <c r="E17" t="s">
        <v>444</v>
      </c>
      <c r="F17" t="s">
        <v>144</v>
      </c>
      <c r="G17">
        <v>4773607.2</v>
      </c>
      <c r="H17" t="s">
        <v>29</v>
      </c>
      <c r="I17">
        <v>2015</v>
      </c>
      <c r="J17">
        <v>5068301.9128405061</v>
      </c>
      <c r="K17">
        <v>157.37135666771738</v>
      </c>
      <c r="L17">
        <v>603369.27533815545</v>
      </c>
      <c r="M17">
        <v>16</v>
      </c>
    </row>
    <row r="18" spans="1:13" x14ac:dyDescent="0.25">
      <c r="A18">
        <v>4</v>
      </c>
      <c r="B18" t="s">
        <v>152</v>
      </c>
      <c r="C18" t="s">
        <v>8</v>
      </c>
      <c r="D18" t="s">
        <v>12</v>
      </c>
      <c r="E18" t="s">
        <v>444</v>
      </c>
      <c r="F18" t="s">
        <v>144</v>
      </c>
      <c r="G18">
        <v>6548132</v>
      </c>
      <c r="H18" t="s">
        <v>29</v>
      </c>
      <c r="I18">
        <v>2015</v>
      </c>
      <c r="J18">
        <v>6952375.5413164552</v>
      </c>
      <c r="K18">
        <v>190.59091894611697</v>
      </c>
      <c r="L18">
        <v>518833.99562063097</v>
      </c>
      <c r="M18">
        <v>17</v>
      </c>
    </row>
    <row r="19" spans="1:13" x14ac:dyDescent="0.25">
      <c r="A19">
        <v>4</v>
      </c>
      <c r="B19" t="s">
        <v>153</v>
      </c>
      <c r="C19" t="s">
        <v>8</v>
      </c>
      <c r="D19" t="s">
        <v>12</v>
      </c>
      <c r="E19" t="s">
        <v>444</v>
      </c>
      <c r="F19" t="s">
        <v>144</v>
      </c>
      <c r="G19">
        <v>3425326</v>
      </c>
      <c r="H19" t="s">
        <v>29</v>
      </c>
      <c r="I19">
        <v>2015</v>
      </c>
      <c r="J19">
        <v>3636785.6823037975</v>
      </c>
      <c r="K19">
        <v>23.869531456893807</v>
      </c>
      <c r="L19">
        <v>158121.11662190425</v>
      </c>
      <c r="M19">
        <v>18</v>
      </c>
    </row>
    <row r="20" spans="1:13" x14ac:dyDescent="0.25">
      <c r="A20">
        <v>4</v>
      </c>
      <c r="B20" t="s">
        <v>154</v>
      </c>
      <c r="C20" t="s">
        <v>8</v>
      </c>
      <c r="D20" t="s">
        <v>12</v>
      </c>
      <c r="E20" t="s">
        <v>444</v>
      </c>
      <c r="F20" t="s">
        <v>144</v>
      </c>
      <c r="G20">
        <v>580000</v>
      </c>
      <c r="H20" t="s">
        <v>29</v>
      </c>
      <c r="I20">
        <v>2015</v>
      </c>
      <c r="J20">
        <v>615805.82278481009</v>
      </c>
      <c r="K20">
        <v>18.121529715284858</v>
      </c>
      <c r="L20">
        <v>41053.721518987339</v>
      </c>
      <c r="M20">
        <v>19</v>
      </c>
    </row>
    <row r="21" spans="1:13" x14ac:dyDescent="0.25">
      <c r="A21">
        <v>4</v>
      </c>
      <c r="B21" t="s">
        <v>155</v>
      </c>
      <c r="C21" t="s">
        <v>8</v>
      </c>
      <c r="D21" t="s">
        <v>12</v>
      </c>
      <c r="E21" t="s">
        <v>444</v>
      </c>
      <c r="F21" t="s">
        <v>144</v>
      </c>
      <c r="G21">
        <v>798442</v>
      </c>
      <c r="H21" t="s">
        <v>29</v>
      </c>
      <c r="I21">
        <v>2015</v>
      </c>
      <c r="J21">
        <v>847733.15992405056</v>
      </c>
      <c r="K21">
        <v>14.194892247685916</v>
      </c>
      <c r="L21">
        <v>146160.88964207767</v>
      </c>
      <c r="M21">
        <v>20</v>
      </c>
    </row>
    <row r="22" spans="1:13" x14ac:dyDescent="0.25">
      <c r="A22">
        <v>4</v>
      </c>
      <c r="B22" t="s">
        <v>156</v>
      </c>
      <c r="C22" t="s">
        <v>8</v>
      </c>
      <c r="D22" t="s">
        <v>12</v>
      </c>
      <c r="E22" t="s">
        <v>444</v>
      </c>
      <c r="F22" t="s">
        <v>144</v>
      </c>
      <c r="G22">
        <v>500092.65</v>
      </c>
      <c r="H22" t="s">
        <v>29</v>
      </c>
      <c r="I22">
        <v>2015</v>
      </c>
      <c r="J22">
        <v>530965.45827911387</v>
      </c>
      <c r="K22">
        <v>362.92922643821862</v>
      </c>
      <c r="L22">
        <v>60336.983895353842</v>
      </c>
      <c r="M22">
        <v>21</v>
      </c>
    </row>
    <row r="23" spans="1:13" x14ac:dyDescent="0.25">
      <c r="A23">
        <v>4</v>
      </c>
      <c r="B23" t="s">
        <v>157</v>
      </c>
      <c r="C23" t="s">
        <v>8</v>
      </c>
      <c r="D23" t="s">
        <v>12</v>
      </c>
      <c r="E23" t="s">
        <v>444</v>
      </c>
      <c r="F23" t="s">
        <v>144</v>
      </c>
      <c r="G23">
        <v>44894</v>
      </c>
      <c r="H23" t="s">
        <v>29</v>
      </c>
      <c r="I23">
        <v>2015</v>
      </c>
      <c r="J23">
        <v>47665.494151898733</v>
      </c>
      <c r="K23">
        <v>8.9044450124974279</v>
      </c>
      <c r="L23">
        <v>7687.9829277256022</v>
      </c>
      <c r="M23">
        <v>22</v>
      </c>
    </row>
    <row r="24" spans="1:13" x14ac:dyDescent="0.25">
      <c r="A24">
        <v>4</v>
      </c>
      <c r="B24" t="s">
        <v>158</v>
      </c>
      <c r="C24" t="s">
        <v>8</v>
      </c>
      <c r="D24" t="s">
        <v>12</v>
      </c>
      <c r="E24" t="s">
        <v>444</v>
      </c>
      <c r="F24" t="s">
        <v>144</v>
      </c>
      <c r="G24">
        <v>2128163.38</v>
      </c>
      <c r="H24" t="s">
        <v>29</v>
      </c>
      <c r="I24">
        <v>2015</v>
      </c>
      <c r="J24">
        <v>2259543.7952437974</v>
      </c>
      <c r="K24">
        <v>4.8347586524214989</v>
      </c>
      <c r="L24">
        <v>44921.347817968141</v>
      </c>
      <c r="M24">
        <v>23</v>
      </c>
    </row>
    <row r="25" spans="1:13" x14ac:dyDescent="0.25">
      <c r="A25">
        <v>4</v>
      </c>
      <c r="B25" t="s">
        <v>159</v>
      </c>
      <c r="C25" t="s">
        <v>8</v>
      </c>
      <c r="D25" t="s">
        <v>12</v>
      </c>
      <c r="E25" t="s">
        <v>444</v>
      </c>
      <c r="F25" t="s">
        <v>144</v>
      </c>
      <c r="G25">
        <v>273000</v>
      </c>
      <c r="H25" t="s">
        <v>29</v>
      </c>
      <c r="I25">
        <v>2015</v>
      </c>
      <c r="J25">
        <v>289853.43037974683</v>
      </c>
      <c r="K25">
        <v>8.112780742827665</v>
      </c>
      <c r="L25">
        <v>115941.37215189873</v>
      </c>
      <c r="M25">
        <v>24</v>
      </c>
    </row>
    <row r="26" spans="1:13" x14ac:dyDescent="0.25">
      <c r="A26">
        <v>4</v>
      </c>
      <c r="B26" t="s">
        <v>160</v>
      </c>
      <c r="C26" t="s">
        <v>8</v>
      </c>
      <c r="D26" t="s">
        <v>12</v>
      </c>
      <c r="E26" t="s">
        <v>444</v>
      </c>
      <c r="F26" t="s">
        <v>144</v>
      </c>
      <c r="G26">
        <v>326959</v>
      </c>
      <c r="H26" t="s">
        <v>29</v>
      </c>
      <c r="I26">
        <v>2015</v>
      </c>
      <c r="J26">
        <v>347143.54484810127</v>
      </c>
      <c r="K26">
        <v>4.5007006890627794</v>
      </c>
      <c r="L26">
        <v>56908.777843951029</v>
      </c>
      <c r="M26">
        <v>25</v>
      </c>
    </row>
    <row r="27" spans="1:13" x14ac:dyDescent="0.25">
      <c r="A27">
        <v>4</v>
      </c>
      <c r="B27" t="s">
        <v>161</v>
      </c>
      <c r="C27" t="s">
        <v>8</v>
      </c>
      <c r="D27" t="s">
        <v>12</v>
      </c>
      <c r="E27" t="s">
        <v>444</v>
      </c>
      <c r="F27" t="s">
        <v>144</v>
      </c>
      <c r="G27">
        <v>840385</v>
      </c>
      <c r="H27" t="s">
        <v>29</v>
      </c>
      <c r="I27">
        <v>2015</v>
      </c>
      <c r="J27">
        <v>892265.47651898733</v>
      </c>
      <c r="K27">
        <v>17.681928510938672</v>
      </c>
      <c r="L27">
        <v>102559.25017459625</v>
      </c>
      <c r="M27">
        <v>26</v>
      </c>
    </row>
    <row r="28" spans="1:13" x14ac:dyDescent="0.25">
      <c r="A28">
        <v>4</v>
      </c>
      <c r="B28" t="s">
        <v>162</v>
      </c>
      <c r="C28" t="s">
        <v>8</v>
      </c>
      <c r="D28" t="s">
        <v>12</v>
      </c>
      <c r="E28" t="s">
        <v>444</v>
      </c>
      <c r="F28" t="s">
        <v>144</v>
      </c>
      <c r="G28">
        <v>1272337</v>
      </c>
      <c r="H28" t="s">
        <v>29</v>
      </c>
      <c r="I28">
        <v>2015</v>
      </c>
      <c r="J28">
        <v>1350883.6778354431</v>
      </c>
      <c r="K28">
        <v>12.032561774269327</v>
      </c>
      <c r="L28">
        <v>108942.23208350346</v>
      </c>
      <c r="M28">
        <v>27</v>
      </c>
    </row>
    <row r="29" spans="1:13" x14ac:dyDescent="0.25">
      <c r="A29">
        <v>4</v>
      </c>
      <c r="B29" t="s">
        <v>163</v>
      </c>
      <c r="C29" t="s">
        <v>8</v>
      </c>
      <c r="D29" t="s">
        <v>12</v>
      </c>
      <c r="E29" t="s">
        <v>444</v>
      </c>
      <c r="F29" t="s">
        <v>144</v>
      </c>
      <c r="G29">
        <v>6852818</v>
      </c>
      <c r="H29" t="s">
        <v>29</v>
      </c>
      <c r="I29">
        <v>2015</v>
      </c>
      <c r="J29">
        <v>7275871.080835443</v>
      </c>
      <c r="K29">
        <v>90.789506873414567</v>
      </c>
      <c r="L29">
        <v>774028.83838674927</v>
      </c>
      <c r="M29">
        <v>28</v>
      </c>
    </row>
    <row r="30" spans="1:13" x14ac:dyDescent="0.25">
      <c r="A30">
        <v>4</v>
      </c>
      <c r="B30" t="s">
        <v>164</v>
      </c>
      <c r="C30" t="s">
        <v>8</v>
      </c>
      <c r="D30" t="s">
        <v>12</v>
      </c>
      <c r="E30" t="s">
        <v>444</v>
      </c>
      <c r="F30" t="s">
        <v>144</v>
      </c>
      <c r="G30">
        <v>518000</v>
      </c>
      <c r="H30" t="s">
        <v>29</v>
      </c>
      <c r="I30">
        <v>2015</v>
      </c>
      <c r="J30">
        <v>549978.30379746831</v>
      </c>
      <c r="K30">
        <v>47.596564586539877</v>
      </c>
      <c r="L30">
        <v>249990.13808975831</v>
      </c>
      <c r="M30">
        <v>29</v>
      </c>
    </row>
    <row r="31" spans="1:13" x14ac:dyDescent="0.25">
      <c r="A31">
        <v>4</v>
      </c>
      <c r="B31" t="s">
        <v>165</v>
      </c>
      <c r="C31" t="s">
        <v>8</v>
      </c>
      <c r="D31" t="s">
        <v>12</v>
      </c>
      <c r="E31" t="s">
        <v>444</v>
      </c>
      <c r="F31" t="s">
        <v>144</v>
      </c>
      <c r="G31">
        <v>1254208</v>
      </c>
      <c r="H31" t="s">
        <v>29</v>
      </c>
      <c r="I31">
        <v>2015</v>
      </c>
      <c r="J31">
        <v>1331635.4989367088</v>
      </c>
      <c r="K31">
        <v>27.353193084582067</v>
      </c>
      <c r="L31">
        <v>170722.49986368063</v>
      </c>
      <c r="M31">
        <v>30</v>
      </c>
    </row>
    <row r="32" spans="1:13" x14ac:dyDescent="0.25">
      <c r="A32">
        <v>4</v>
      </c>
      <c r="B32" t="s">
        <v>166</v>
      </c>
      <c r="C32" t="s">
        <v>8</v>
      </c>
      <c r="D32" t="s">
        <v>12</v>
      </c>
      <c r="E32" t="s">
        <v>444</v>
      </c>
      <c r="F32" t="s">
        <v>144</v>
      </c>
      <c r="G32">
        <v>165000</v>
      </c>
      <c r="H32" t="s">
        <v>29</v>
      </c>
      <c r="I32">
        <v>2015</v>
      </c>
      <c r="J32">
        <v>175186.13924050631</v>
      </c>
      <c r="K32">
        <v>10.458873984507839</v>
      </c>
      <c r="L32">
        <v>109491.33702531643</v>
      </c>
      <c r="M32">
        <v>31</v>
      </c>
    </row>
    <row r="33" spans="1:13" x14ac:dyDescent="0.25">
      <c r="A33">
        <v>4</v>
      </c>
      <c r="B33" t="s">
        <v>167</v>
      </c>
      <c r="C33" t="s">
        <v>8</v>
      </c>
      <c r="D33" t="s">
        <v>12</v>
      </c>
      <c r="E33" t="s">
        <v>444</v>
      </c>
      <c r="F33" t="s">
        <v>144</v>
      </c>
      <c r="G33">
        <v>394000</v>
      </c>
      <c r="H33" t="s">
        <v>29</v>
      </c>
      <c r="I33">
        <v>2015</v>
      </c>
      <c r="J33">
        <v>418323.2658227848</v>
      </c>
      <c r="K33">
        <v>7.43355425717965</v>
      </c>
      <c r="L33">
        <v>28075.386967972132</v>
      </c>
      <c r="M33">
        <v>32</v>
      </c>
    </row>
    <row r="34" spans="1:13" x14ac:dyDescent="0.25">
      <c r="A34">
        <v>4</v>
      </c>
      <c r="B34" t="s">
        <v>168</v>
      </c>
      <c r="C34" t="s">
        <v>8</v>
      </c>
      <c r="D34" t="s">
        <v>12</v>
      </c>
      <c r="E34" t="s">
        <v>444</v>
      </c>
      <c r="F34" t="e">
        <v>#N/A</v>
      </c>
      <c r="G34">
        <v>63000</v>
      </c>
      <c r="H34" t="s">
        <v>29</v>
      </c>
      <c r="I34">
        <v>2015</v>
      </c>
      <c r="J34">
        <v>66889.253164556954</v>
      </c>
      <c r="K34">
        <v>4.6726687505802973</v>
      </c>
      <c r="L34">
        <v>74321.392405063278</v>
      </c>
      <c r="M34">
        <v>33</v>
      </c>
    </row>
    <row r="35" spans="1:13" x14ac:dyDescent="0.25">
      <c r="A35">
        <v>4</v>
      </c>
      <c r="B35" t="s">
        <v>169</v>
      </c>
      <c r="C35" t="s">
        <v>8</v>
      </c>
      <c r="D35" t="s">
        <v>12</v>
      </c>
      <c r="E35" t="s">
        <v>444</v>
      </c>
      <c r="F35" t="s">
        <v>144</v>
      </c>
      <c r="G35">
        <v>1040265.6</v>
      </c>
      <c r="H35" t="s">
        <v>29</v>
      </c>
      <c r="I35">
        <v>2015</v>
      </c>
      <c r="J35">
        <v>1104485.5409012658</v>
      </c>
      <c r="K35">
        <v>10.506902025316455</v>
      </c>
      <c r="L35">
        <v>113864.48875270782</v>
      </c>
      <c r="M35">
        <v>34</v>
      </c>
    </row>
    <row r="36" spans="1:13" x14ac:dyDescent="0.25">
      <c r="A36">
        <v>4</v>
      </c>
      <c r="B36" t="s">
        <v>170</v>
      </c>
      <c r="C36" t="s">
        <v>8</v>
      </c>
      <c r="D36" t="s">
        <v>12</v>
      </c>
      <c r="E36" t="s">
        <v>444</v>
      </c>
      <c r="F36" t="s">
        <v>144</v>
      </c>
      <c r="G36">
        <v>960050</v>
      </c>
      <c r="H36" t="s">
        <v>29</v>
      </c>
      <c r="I36">
        <v>2015</v>
      </c>
      <c r="J36">
        <v>1019317.896835443</v>
      </c>
      <c r="K36">
        <v>16.208464203591195</v>
      </c>
      <c r="L36">
        <v>122809.38516089674</v>
      </c>
      <c r="M36">
        <v>35</v>
      </c>
    </row>
    <row r="37" spans="1:13" x14ac:dyDescent="0.25">
      <c r="A37">
        <v>4</v>
      </c>
      <c r="B37" t="s">
        <v>171</v>
      </c>
      <c r="C37" t="s">
        <v>8</v>
      </c>
      <c r="D37" t="s">
        <v>12</v>
      </c>
      <c r="E37" t="s">
        <v>444</v>
      </c>
      <c r="F37" t="s">
        <v>144</v>
      </c>
      <c r="G37">
        <v>610000</v>
      </c>
      <c r="H37" t="s">
        <v>29</v>
      </c>
      <c r="I37">
        <v>2015</v>
      </c>
      <c r="J37">
        <v>647657.84810126573</v>
      </c>
      <c r="K37">
        <v>7.5253049835153574</v>
      </c>
      <c r="L37">
        <v>44360.126582278477</v>
      </c>
      <c r="M37">
        <v>36</v>
      </c>
    </row>
    <row r="38" spans="1:13" x14ac:dyDescent="0.25">
      <c r="A38">
        <v>4</v>
      </c>
      <c r="B38" t="s">
        <v>172</v>
      </c>
      <c r="C38" t="s">
        <v>8</v>
      </c>
      <c r="D38" t="s">
        <v>12</v>
      </c>
      <c r="E38" t="s">
        <v>444</v>
      </c>
      <c r="F38" t="s">
        <v>144</v>
      </c>
      <c r="G38">
        <v>1078000</v>
      </c>
      <c r="H38" t="s">
        <v>29</v>
      </c>
      <c r="I38">
        <v>2015</v>
      </c>
      <c r="J38">
        <v>1144549.4430379746</v>
      </c>
      <c r="K38">
        <v>47.781140646154071</v>
      </c>
      <c r="L38">
        <v>83543.754966275519</v>
      </c>
      <c r="M38">
        <v>37</v>
      </c>
    </row>
    <row r="39" spans="1:13" x14ac:dyDescent="0.25">
      <c r="A39">
        <v>4</v>
      </c>
      <c r="B39" t="s">
        <v>173</v>
      </c>
      <c r="C39" t="s">
        <v>8</v>
      </c>
      <c r="D39" t="s">
        <v>12</v>
      </c>
      <c r="E39" t="s">
        <v>444</v>
      </c>
      <c r="F39" t="s">
        <v>144</v>
      </c>
      <c r="G39">
        <v>112581</v>
      </c>
      <c r="H39" t="s">
        <v>29</v>
      </c>
      <c r="I39">
        <v>2015</v>
      </c>
      <c r="J39">
        <v>119531.09540506329</v>
      </c>
      <c r="K39">
        <v>62.977394839337876</v>
      </c>
      <c r="L39">
        <v>70312.40906180194</v>
      </c>
      <c r="M39">
        <v>38</v>
      </c>
    </row>
    <row r="40" spans="1:13" x14ac:dyDescent="0.25">
      <c r="A40">
        <v>4</v>
      </c>
      <c r="B40" t="s">
        <v>174</v>
      </c>
      <c r="C40" t="s">
        <v>8</v>
      </c>
      <c r="D40" t="s">
        <v>12</v>
      </c>
      <c r="E40" t="s">
        <v>444</v>
      </c>
      <c r="F40" t="s">
        <v>144</v>
      </c>
      <c r="G40">
        <v>168046</v>
      </c>
      <c r="H40" t="s">
        <v>29</v>
      </c>
      <c r="I40">
        <v>2015</v>
      </c>
      <c r="J40">
        <v>178420.18154430378</v>
      </c>
      <c r="K40">
        <v>21.362569629346716</v>
      </c>
      <c r="L40">
        <v>34311.573373904568</v>
      </c>
      <c r="M40">
        <v>39</v>
      </c>
    </row>
    <row r="41" spans="1:13" x14ac:dyDescent="0.25">
      <c r="A41">
        <v>4</v>
      </c>
      <c r="B41" t="s">
        <v>12</v>
      </c>
      <c r="C41" t="s">
        <v>8</v>
      </c>
      <c r="D41" t="s">
        <v>12</v>
      </c>
      <c r="E41" t="s">
        <v>444</v>
      </c>
      <c r="F41" t="s">
        <v>144</v>
      </c>
      <c r="G41">
        <v>83264551.590000004</v>
      </c>
      <c r="H41" t="s">
        <v>29</v>
      </c>
      <c r="I41">
        <v>2015</v>
      </c>
      <c r="J41">
        <v>88404820.173600376</v>
      </c>
      <c r="K41">
        <v>22.154064641635035</v>
      </c>
      <c r="L41">
        <v>188617.0688576923</v>
      </c>
      <c r="M41">
        <v>40</v>
      </c>
    </row>
    <row r="42" spans="1:13" x14ac:dyDescent="0.25">
      <c r="A42">
        <v>4</v>
      </c>
      <c r="B42" t="s">
        <v>430</v>
      </c>
      <c r="C42" t="s">
        <v>8</v>
      </c>
      <c r="D42" t="s">
        <v>12</v>
      </c>
      <c r="E42" t="s">
        <v>444</v>
      </c>
      <c r="F42" t="s">
        <v>144</v>
      </c>
      <c r="G42">
        <v>915611</v>
      </c>
      <c r="H42" t="s">
        <v>29</v>
      </c>
      <c r="I42">
        <v>2015</v>
      </c>
      <c r="J42">
        <v>972135.49173417711</v>
      </c>
      <c r="K42">
        <v>24.790521031625875</v>
      </c>
      <c r="L42">
        <v>190614.80230081905</v>
      </c>
      <c r="M42">
        <v>41</v>
      </c>
    </row>
    <row r="43" spans="1:13" x14ac:dyDescent="0.25">
      <c r="A43">
        <v>4</v>
      </c>
      <c r="B43" t="s">
        <v>175</v>
      </c>
      <c r="C43" t="s">
        <v>8</v>
      </c>
      <c r="D43" t="s">
        <v>12</v>
      </c>
      <c r="E43" t="s">
        <v>444</v>
      </c>
      <c r="F43" t="s">
        <v>144</v>
      </c>
      <c r="G43">
        <v>1416440</v>
      </c>
      <c r="H43" t="s">
        <v>29</v>
      </c>
      <c r="I43">
        <v>2015</v>
      </c>
      <c r="J43">
        <v>1503882.7579746835</v>
      </c>
      <c r="K43">
        <v>117.70233685330544</v>
      </c>
      <c r="L43">
        <v>75953.674645186038</v>
      </c>
      <c r="M43">
        <v>42</v>
      </c>
    </row>
    <row r="44" spans="1:13" x14ac:dyDescent="0.25">
      <c r="A44">
        <v>4</v>
      </c>
      <c r="B44" t="s">
        <v>176</v>
      </c>
      <c r="C44" t="s">
        <v>8</v>
      </c>
      <c r="D44" t="s">
        <v>12</v>
      </c>
      <c r="E44" t="s">
        <v>444</v>
      </c>
      <c r="F44" t="s">
        <v>144</v>
      </c>
      <c r="G44">
        <v>99938.5</v>
      </c>
      <c r="H44" t="s">
        <v>29</v>
      </c>
      <c r="I44">
        <v>2015</v>
      </c>
      <c r="J44">
        <v>106108.12106962025</v>
      </c>
      <c r="K44">
        <v>7.916153466847228</v>
      </c>
      <c r="L44">
        <v>22105.858556170886</v>
      </c>
      <c r="M44">
        <v>43</v>
      </c>
    </row>
    <row r="45" spans="1:13" x14ac:dyDescent="0.25">
      <c r="A45">
        <v>4</v>
      </c>
      <c r="B45" t="s">
        <v>177</v>
      </c>
      <c r="C45" t="s">
        <v>8</v>
      </c>
      <c r="D45" t="s">
        <v>12</v>
      </c>
      <c r="E45" t="s">
        <v>444</v>
      </c>
      <c r="F45" t="s">
        <v>144</v>
      </c>
      <c r="G45">
        <v>349356.04</v>
      </c>
      <c r="H45" t="s">
        <v>29</v>
      </c>
      <c r="I45">
        <v>2015</v>
      </c>
      <c r="J45">
        <v>370923.24768455693</v>
      </c>
      <c r="K45">
        <v>45.56236920336039</v>
      </c>
      <c r="L45">
        <v>103034.23546793248</v>
      </c>
      <c r="M45">
        <v>44</v>
      </c>
    </row>
    <row r="46" spans="1:13" x14ac:dyDescent="0.25">
      <c r="A46">
        <v>4</v>
      </c>
      <c r="B46" t="s">
        <v>178</v>
      </c>
      <c r="C46" t="s">
        <v>8</v>
      </c>
      <c r="D46" t="s">
        <v>12</v>
      </c>
      <c r="E46" t="s">
        <v>444</v>
      </c>
      <c r="F46" t="s">
        <v>144</v>
      </c>
      <c r="G46">
        <v>419420</v>
      </c>
      <c r="H46" t="s">
        <v>29</v>
      </c>
      <c r="I46">
        <v>2015</v>
      </c>
      <c r="J46">
        <v>445312.54860759492</v>
      </c>
      <c r="K46">
        <v>10.620886963546912</v>
      </c>
      <c r="L46">
        <v>32986.114711673697</v>
      </c>
      <c r="M46">
        <v>45</v>
      </c>
    </row>
    <row r="47" spans="1:13" x14ac:dyDescent="0.25">
      <c r="A47">
        <v>4</v>
      </c>
      <c r="B47" t="s">
        <v>179</v>
      </c>
      <c r="C47" t="s">
        <v>8</v>
      </c>
      <c r="D47" t="s">
        <v>12</v>
      </c>
      <c r="E47" t="s">
        <v>444</v>
      </c>
      <c r="F47" t="s">
        <v>144</v>
      </c>
      <c r="G47">
        <v>687900</v>
      </c>
      <c r="H47" t="s">
        <v>29</v>
      </c>
      <c r="I47">
        <v>2015</v>
      </c>
      <c r="J47">
        <v>730366.94050632906</v>
      </c>
      <c r="K47">
        <v>12.461473136091607</v>
      </c>
      <c r="L47">
        <v>67006.141330855869</v>
      </c>
      <c r="M47">
        <v>46</v>
      </c>
    </row>
    <row r="48" spans="1:13" x14ac:dyDescent="0.25">
      <c r="A48">
        <v>4</v>
      </c>
      <c r="B48" t="s">
        <v>180</v>
      </c>
      <c r="C48" t="s">
        <v>8</v>
      </c>
      <c r="D48" t="s">
        <v>12</v>
      </c>
      <c r="E48" t="s">
        <v>444</v>
      </c>
      <c r="F48" t="s">
        <v>144</v>
      </c>
      <c r="G48">
        <v>542500</v>
      </c>
      <c r="H48" t="s">
        <v>29</v>
      </c>
      <c r="I48">
        <v>2015</v>
      </c>
      <c r="J48">
        <v>575990.79113924049</v>
      </c>
      <c r="K48">
        <v>11.529500603291575</v>
      </c>
      <c r="L48">
        <v>59380.493931880468</v>
      </c>
      <c r="M48">
        <v>47</v>
      </c>
    </row>
    <row r="49" spans="1:13" x14ac:dyDescent="0.25">
      <c r="A49">
        <v>4</v>
      </c>
      <c r="B49" t="s">
        <v>181</v>
      </c>
      <c r="C49" t="s">
        <v>8</v>
      </c>
      <c r="D49" t="s">
        <v>12</v>
      </c>
      <c r="E49" t="s">
        <v>444</v>
      </c>
      <c r="F49" t="s">
        <v>144</v>
      </c>
      <c r="G49">
        <v>333000</v>
      </c>
      <c r="H49" t="s">
        <v>29</v>
      </c>
      <c r="I49">
        <v>2015</v>
      </c>
      <c r="J49">
        <v>353557.48101265822</v>
      </c>
      <c r="K49">
        <v>326.16003783455557</v>
      </c>
      <c r="L49">
        <v>176778.74050632911</v>
      </c>
      <c r="M49">
        <v>48</v>
      </c>
    </row>
    <row r="50" spans="1:13" x14ac:dyDescent="0.25">
      <c r="A50">
        <v>4</v>
      </c>
      <c r="B50" t="s">
        <v>182</v>
      </c>
      <c r="C50" t="s">
        <v>8</v>
      </c>
      <c r="D50" t="s">
        <v>12</v>
      </c>
      <c r="E50" t="s">
        <v>444</v>
      </c>
      <c r="F50" t="s">
        <v>144</v>
      </c>
      <c r="G50">
        <v>737900</v>
      </c>
      <c r="H50" t="s">
        <v>29</v>
      </c>
      <c r="I50">
        <v>2015</v>
      </c>
      <c r="J50">
        <v>783453.64936708857</v>
      </c>
      <c r="K50">
        <v>36.394000528038674</v>
      </c>
      <c r="L50">
        <v>116933.38050255053</v>
      </c>
      <c r="M50">
        <v>49</v>
      </c>
    </row>
    <row r="51" spans="1:13" x14ac:dyDescent="0.25">
      <c r="A51">
        <v>4</v>
      </c>
      <c r="B51" t="s">
        <v>183</v>
      </c>
      <c r="C51" t="s">
        <v>8</v>
      </c>
      <c r="D51" t="s">
        <v>12</v>
      </c>
      <c r="E51" t="s">
        <v>444</v>
      </c>
      <c r="F51" t="s">
        <v>144</v>
      </c>
      <c r="G51">
        <v>713900</v>
      </c>
      <c r="H51" t="s">
        <v>29</v>
      </c>
      <c r="I51">
        <v>2015</v>
      </c>
      <c r="J51">
        <v>757972.02911392401</v>
      </c>
      <c r="K51">
        <v>20.64475089510892</v>
      </c>
      <c r="L51">
        <v>55733.237434847353</v>
      </c>
      <c r="M51">
        <v>50</v>
      </c>
    </row>
    <row r="52" spans="1:13" x14ac:dyDescent="0.25">
      <c r="A52">
        <v>4</v>
      </c>
      <c r="B52" t="s">
        <v>184</v>
      </c>
      <c r="C52" t="s">
        <v>8</v>
      </c>
      <c r="D52" t="s">
        <v>12</v>
      </c>
      <c r="E52" t="s">
        <v>444</v>
      </c>
      <c r="F52" t="s">
        <v>144</v>
      </c>
      <c r="G52">
        <v>331402</v>
      </c>
      <c r="H52" t="s">
        <v>29</v>
      </c>
      <c r="I52">
        <v>2015</v>
      </c>
      <c r="J52">
        <v>351860.82979746832</v>
      </c>
      <c r="K52">
        <v>32.230542254966416</v>
      </c>
      <c r="L52">
        <v>117286.94326582277</v>
      </c>
      <c r="M52">
        <v>51</v>
      </c>
    </row>
    <row r="53" spans="1:13" x14ac:dyDescent="0.25">
      <c r="A53">
        <v>4</v>
      </c>
      <c r="B53" t="s">
        <v>185</v>
      </c>
      <c r="C53" t="s">
        <v>8</v>
      </c>
      <c r="D53" t="s">
        <v>12</v>
      </c>
      <c r="E53" t="s">
        <v>444</v>
      </c>
      <c r="F53" t="s">
        <v>144</v>
      </c>
      <c r="G53">
        <v>72893.33</v>
      </c>
      <c r="H53" t="s">
        <v>29</v>
      </c>
      <c r="I53">
        <v>2015</v>
      </c>
      <c r="J53">
        <v>77393.33975202532</v>
      </c>
      <c r="K53">
        <v>41.453315346558824</v>
      </c>
      <c r="L53">
        <v>25797.779917341773</v>
      </c>
      <c r="M53">
        <v>52</v>
      </c>
    </row>
    <row r="54" spans="1:13" x14ac:dyDescent="0.25">
      <c r="A54">
        <v>4</v>
      </c>
      <c r="B54" t="s">
        <v>186</v>
      </c>
      <c r="C54" t="s">
        <v>8</v>
      </c>
      <c r="D54" t="s">
        <v>12</v>
      </c>
      <c r="E54" t="s">
        <v>444</v>
      </c>
      <c r="F54" t="s">
        <v>144</v>
      </c>
      <c r="G54">
        <v>10617957</v>
      </c>
      <c r="H54" t="s">
        <v>29</v>
      </c>
      <c r="I54">
        <v>2015</v>
      </c>
      <c r="J54">
        <v>11273447.839101264</v>
      </c>
      <c r="K54">
        <v>123.32703765521944</v>
      </c>
      <c r="L54">
        <v>1342077.1237025314</v>
      </c>
      <c r="M54">
        <v>53</v>
      </c>
    </row>
    <row r="55" spans="1:13" x14ac:dyDescent="0.25">
      <c r="A55">
        <v>4</v>
      </c>
      <c r="B55" t="s">
        <v>187</v>
      </c>
      <c r="C55" t="s">
        <v>8</v>
      </c>
      <c r="D55" t="s">
        <v>12</v>
      </c>
      <c r="E55" t="s">
        <v>444</v>
      </c>
      <c r="F55" t="s">
        <v>144</v>
      </c>
      <c r="G55">
        <v>721185</v>
      </c>
      <c r="H55" t="s">
        <v>29</v>
      </c>
      <c r="I55">
        <v>2015</v>
      </c>
      <c r="J55">
        <v>765706.76259493665</v>
      </c>
      <c r="K55">
        <v>9.0456681425053649</v>
      </c>
      <c r="L55">
        <v>100750.88981512324</v>
      </c>
      <c r="M55">
        <v>54</v>
      </c>
    </row>
    <row r="56" spans="1:13" x14ac:dyDescent="0.25">
      <c r="A56">
        <v>4</v>
      </c>
      <c r="B56" t="s">
        <v>188</v>
      </c>
      <c r="C56" t="s">
        <v>8</v>
      </c>
      <c r="D56" t="s">
        <v>12</v>
      </c>
      <c r="E56" t="s">
        <v>444</v>
      </c>
      <c r="F56" t="s">
        <v>144</v>
      </c>
      <c r="G56">
        <v>3610852</v>
      </c>
      <c r="H56" t="s">
        <v>29</v>
      </c>
      <c r="I56">
        <v>2015</v>
      </c>
      <c r="J56">
        <v>3833764.9772658227</v>
      </c>
      <c r="K56">
        <v>36.971550964519238</v>
      </c>
      <c r="L56">
        <v>220331.32053251856</v>
      </c>
      <c r="M56">
        <v>55</v>
      </c>
    </row>
    <row r="57" spans="1:13" x14ac:dyDescent="0.25">
      <c r="A57">
        <v>4</v>
      </c>
      <c r="B57" t="s">
        <v>189</v>
      </c>
      <c r="C57" t="s">
        <v>8</v>
      </c>
      <c r="D57" t="s">
        <v>12</v>
      </c>
      <c r="E57" t="s">
        <v>444</v>
      </c>
      <c r="F57" t="e">
        <v>#N/A</v>
      </c>
      <c r="G57">
        <v>723000</v>
      </c>
      <c r="H57" t="s">
        <v>29</v>
      </c>
      <c r="I57">
        <v>2015</v>
      </c>
      <c r="J57">
        <v>767633.81012658228</v>
      </c>
      <c r="K57">
        <v>3.8122268469394882</v>
      </c>
      <c r="L57">
        <v>25251.112175216524</v>
      </c>
      <c r="M57">
        <v>56</v>
      </c>
    </row>
    <row r="58" spans="1:13" x14ac:dyDescent="0.25">
      <c r="A58">
        <v>4</v>
      </c>
      <c r="B58" t="s">
        <v>190</v>
      </c>
      <c r="C58" t="s">
        <v>8</v>
      </c>
      <c r="D58" t="s">
        <v>12</v>
      </c>
      <c r="E58" t="s">
        <v>444</v>
      </c>
      <c r="F58" t="s">
        <v>144</v>
      </c>
      <c r="G58">
        <v>504336</v>
      </c>
      <c r="H58" t="s">
        <v>29</v>
      </c>
      <c r="I58">
        <v>2015</v>
      </c>
      <c r="J58">
        <v>535470.76799999992</v>
      </c>
      <c r="K58">
        <v>26.473069066099765</v>
      </c>
      <c r="L58">
        <v>62264.042790697669</v>
      </c>
      <c r="M58">
        <v>57</v>
      </c>
    </row>
    <row r="59" spans="1:13" x14ac:dyDescent="0.25">
      <c r="A59">
        <v>4</v>
      </c>
      <c r="B59" t="s">
        <v>191</v>
      </c>
      <c r="C59" t="s">
        <v>8</v>
      </c>
      <c r="D59" t="s">
        <v>12</v>
      </c>
      <c r="E59" t="s">
        <v>444</v>
      </c>
      <c r="F59" t="s">
        <v>144</v>
      </c>
      <c r="G59">
        <v>3977533</v>
      </c>
      <c r="H59" t="s">
        <v>29</v>
      </c>
      <c r="I59">
        <v>2015</v>
      </c>
      <c r="J59">
        <v>4223082.7271012655</v>
      </c>
      <c r="K59">
        <v>67.426917982840493</v>
      </c>
      <c r="L59">
        <v>508805.14784352592</v>
      </c>
      <c r="M59">
        <v>58</v>
      </c>
    </row>
    <row r="60" spans="1:13" x14ac:dyDescent="0.25">
      <c r="A60">
        <v>4</v>
      </c>
      <c r="B60" t="s">
        <v>192</v>
      </c>
      <c r="C60" t="s">
        <v>8</v>
      </c>
      <c r="D60" t="s">
        <v>12</v>
      </c>
      <c r="E60" t="s">
        <v>444</v>
      </c>
      <c r="F60" t="s">
        <v>144</v>
      </c>
      <c r="G60">
        <v>742073</v>
      </c>
      <c r="H60" t="s">
        <v>29</v>
      </c>
      <c r="I60">
        <v>2015</v>
      </c>
      <c r="J60">
        <v>787884.2660886076</v>
      </c>
      <c r="K60">
        <v>13.044225527534438</v>
      </c>
      <c r="L60">
        <v>102322.63195955943</v>
      </c>
      <c r="M60">
        <v>59</v>
      </c>
    </row>
    <row r="61" spans="1:13" x14ac:dyDescent="0.25">
      <c r="A61">
        <v>4</v>
      </c>
      <c r="B61" t="s">
        <v>193</v>
      </c>
      <c r="C61" t="s">
        <v>8</v>
      </c>
      <c r="D61" t="s">
        <v>12</v>
      </c>
      <c r="E61" t="s">
        <v>444</v>
      </c>
      <c r="F61" t="s">
        <v>144</v>
      </c>
      <c r="G61">
        <v>16705000</v>
      </c>
      <c r="H61" t="s">
        <v>29</v>
      </c>
      <c r="I61">
        <v>2015</v>
      </c>
      <c r="J61">
        <v>17736269.430379745</v>
      </c>
      <c r="K61">
        <v>125.45903636799446</v>
      </c>
      <c r="L61">
        <v>771142.14914694545</v>
      </c>
      <c r="M61">
        <v>60</v>
      </c>
    </row>
    <row r="62" spans="1:13" x14ac:dyDescent="0.25">
      <c r="A62">
        <v>4</v>
      </c>
      <c r="B62" t="s">
        <v>194</v>
      </c>
      <c r="C62" t="s">
        <v>8</v>
      </c>
      <c r="D62" t="s">
        <v>12</v>
      </c>
      <c r="E62" t="s">
        <v>444</v>
      </c>
      <c r="F62" t="s">
        <v>144</v>
      </c>
      <c r="G62">
        <v>394452</v>
      </c>
      <c r="H62" t="s">
        <v>29</v>
      </c>
      <c r="I62">
        <v>2015</v>
      </c>
      <c r="J62">
        <v>418803.16967088607</v>
      </c>
      <c r="K62">
        <v>7.6968898344278109</v>
      </c>
      <c r="L62">
        <v>80539.071090555008</v>
      </c>
      <c r="M62">
        <v>61</v>
      </c>
    </row>
    <row r="63" spans="1:13" x14ac:dyDescent="0.25">
      <c r="A63">
        <v>4</v>
      </c>
      <c r="B63" t="s">
        <v>195</v>
      </c>
      <c r="C63" t="s">
        <v>8</v>
      </c>
      <c r="D63" t="s">
        <v>12</v>
      </c>
      <c r="E63" t="s">
        <v>444</v>
      </c>
      <c r="F63" t="s">
        <v>144</v>
      </c>
      <c r="G63">
        <v>384500</v>
      </c>
      <c r="H63" t="s">
        <v>29</v>
      </c>
      <c r="I63">
        <v>2015</v>
      </c>
      <c r="J63">
        <v>408236.79113924049</v>
      </c>
      <c r="K63">
        <v>16.655927831058364</v>
      </c>
      <c r="L63">
        <v>170098.66297468354</v>
      </c>
      <c r="M63">
        <v>62</v>
      </c>
    </row>
    <row r="64" spans="1:13" x14ac:dyDescent="0.25">
      <c r="A64">
        <v>4</v>
      </c>
      <c r="B64" t="s">
        <v>196</v>
      </c>
      <c r="C64" t="s">
        <v>8</v>
      </c>
      <c r="D64" t="s">
        <v>12</v>
      </c>
      <c r="E64" t="s">
        <v>444</v>
      </c>
      <c r="F64" t="s">
        <v>144</v>
      </c>
      <c r="G64">
        <v>408832.3</v>
      </c>
      <c r="H64" t="s">
        <v>29</v>
      </c>
      <c r="I64">
        <v>2015</v>
      </c>
      <c r="J64">
        <v>434071.22565949365</v>
      </c>
      <c r="K64">
        <v>10.761651807598701</v>
      </c>
      <c r="L64">
        <v>105871.03064865699</v>
      </c>
      <c r="M64">
        <v>63</v>
      </c>
    </row>
    <row r="65" spans="1:13" x14ac:dyDescent="0.25">
      <c r="A65">
        <v>4</v>
      </c>
      <c r="B65" t="s">
        <v>197</v>
      </c>
      <c r="C65" t="s">
        <v>8</v>
      </c>
      <c r="D65" t="s">
        <v>12</v>
      </c>
      <c r="E65" t="s">
        <v>444</v>
      </c>
      <c r="F65" t="s">
        <v>144</v>
      </c>
      <c r="G65">
        <v>534221</v>
      </c>
      <c r="H65" t="s">
        <v>29</v>
      </c>
      <c r="I65">
        <v>2015</v>
      </c>
      <c r="J65">
        <v>567200.69388607587</v>
      </c>
      <c r="K65">
        <v>43.015371900961313</v>
      </c>
      <c r="L65">
        <v>149263.34049633576</v>
      </c>
      <c r="M65">
        <v>64</v>
      </c>
    </row>
    <row r="66" spans="1:13" x14ac:dyDescent="0.25">
      <c r="A66">
        <v>4</v>
      </c>
      <c r="B66" t="s">
        <v>198</v>
      </c>
      <c r="C66" t="s">
        <v>8</v>
      </c>
      <c r="D66" t="s">
        <v>12</v>
      </c>
      <c r="E66" t="s">
        <v>444</v>
      </c>
      <c r="F66" t="s">
        <v>144</v>
      </c>
      <c r="G66">
        <v>207000</v>
      </c>
      <c r="H66" t="s">
        <v>29</v>
      </c>
      <c r="I66">
        <v>2015</v>
      </c>
      <c r="J66">
        <v>219778.97468354428</v>
      </c>
      <c r="K66">
        <v>8.5814288658601487</v>
      </c>
      <c r="L66">
        <v>64640.874906924786</v>
      </c>
      <c r="M66">
        <v>65</v>
      </c>
    </row>
    <row r="67" spans="1:13" x14ac:dyDescent="0.25">
      <c r="A67">
        <v>4</v>
      </c>
      <c r="B67" t="s">
        <v>199</v>
      </c>
      <c r="C67" t="s">
        <v>8</v>
      </c>
      <c r="D67" t="s">
        <v>12</v>
      </c>
      <c r="E67" t="s">
        <v>444</v>
      </c>
      <c r="F67" t="s">
        <v>144</v>
      </c>
      <c r="G67">
        <v>329000</v>
      </c>
      <c r="H67" t="s">
        <v>29</v>
      </c>
      <c r="I67">
        <v>2015</v>
      </c>
      <c r="J67">
        <v>349310.54430379748</v>
      </c>
      <c r="K67">
        <v>9.6708345599057992</v>
      </c>
      <c r="L67">
        <v>87327.636075949369</v>
      </c>
      <c r="M67">
        <v>66</v>
      </c>
    </row>
    <row r="68" spans="1:13" x14ac:dyDescent="0.25">
      <c r="A68">
        <v>4</v>
      </c>
      <c r="B68" t="s">
        <v>200</v>
      </c>
      <c r="C68" t="s">
        <v>8</v>
      </c>
      <c r="D68" t="s">
        <v>12</v>
      </c>
      <c r="E68" t="s">
        <v>444</v>
      </c>
      <c r="F68" t="s">
        <v>144</v>
      </c>
      <c r="G68">
        <v>4027000</v>
      </c>
      <c r="H68" t="s">
        <v>29</v>
      </c>
      <c r="I68">
        <v>2015</v>
      </c>
      <c r="J68">
        <v>4275603.531645569</v>
      </c>
      <c r="K68">
        <v>56.396706787036116</v>
      </c>
      <c r="L68">
        <v>647818.71691599535</v>
      </c>
      <c r="M68">
        <v>67</v>
      </c>
    </row>
    <row r="69" spans="1:13" x14ac:dyDescent="0.25">
      <c r="A69">
        <v>4</v>
      </c>
      <c r="B69" t="s">
        <v>201</v>
      </c>
      <c r="C69" t="s">
        <v>8</v>
      </c>
      <c r="D69" t="s">
        <v>12</v>
      </c>
      <c r="E69" t="s">
        <v>444</v>
      </c>
      <c r="F69" t="s">
        <v>144</v>
      </c>
      <c r="G69">
        <v>741131</v>
      </c>
      <c r="H69" t="s">
        <v>29</v>
      </c>
      <c r="I69">
        <v>2015</v>
      </c>
      <c r="J69">
        <v>786884.11249367089</v>
      </c>
      <c r="K69">
        <v>16.406065352327229</v>
      </c>
      <c r="L69">
        <v>112412.01607052442</v>
      </c>
      <c r="M69">
        <v>68</v>
      </c>
    </row>
    <row r="70" spans="1:13" x14ac:dyDescent="0.25">
      <c r="A70">
        <v>4</v>
      </c>
      <c r="B70" t="s">
        <v>202</v>
      </c>
      <c r="C70" t="s">
        <v>8</v>
      </c>
      <c r="D70" t="s">
        <v>12</v>
      </c>
      <c r="E70" t="s">
        <v>444</v>
      </c>
      <c r="F70" t="s">
        <v>144</v>
      </c>
      <c r="G70">
        <v>469500</v>
      </c>
      <c r="H70" t="s">
        <v>29</v>
      </c>
      <c r="I70">
        <v>2015</v>
      </c>
      <c r="J70">
        <v>498484.19620253163</v>
      </c>
      <c r="K70">
        <v>9.5858658552081</v>
      </c>
      <c r="L70">
        <v>25695.061659924311</v>
      </c>
      <c r="M70">
        <v>69</v>
      </c>
    </row>
    <row r="71" spans="1:13" x14ac:dyDescent="0.25">
      <c r="A71">
        <v>4</v>
      </c>
      <c r="B71" t="s">
        <v>203</v>
      </c>
      <c r="C71" t="s">
        <v>8</v>
      </c>
      <c r="D71" t="s">
        <v>12</v>
      </c>
      <c r="E71" t="s">
        <v>444</v>
      </c>
      <c r="F71" t="s">
        <v>144</v>
      </c>
      <c r="G71">
        <v>4987515</v>
      </c>
      <c r="H71" t="s">
        <v>29</v>
      </c>
      <c r="I71">
        <v>2015</v>
      </c>
      <c r="J71">
        <v>5295415.1348734172</v>
      </c>
      <c r="K71">
        <v>26214.926410264441</v>
      </c>
      <c r="L71">
        <v>448763.99448079802</v>
      </c>
      <c r="M71">
        <v>70</v>
      </c>
    </row>
    <row r="72" spans="1:13" x14ac:dyDescent="0.25">
      <c r="A72">
        <v>4</v>
      </c>
      <c r="B72" t="s">
        <v>204</v>
      </c>
      <c r="C72" t="s">
        <v>8</v>
      </c>
      <c r="D72" t="s">
        <v>12</v>
      </c>
      <c r="E72" t="s">
        <v>444</v>
      </c>
      <c r="F72" t="s">
        <v>144</v>
      </c>
      <c r="G72">
        <v>50086</v>
      </c>
      <c r="H72" t="s">
        <v>29</v>
      </c>
      <c r="I72">
        <v>2015</v>
      </c>
      <c r="J72">
        <v>53178.017999999996</v>
      </c>
      <c r="K72">
        <v>1.3325152350405933</v>
      </c>
      <c r="L72">
        <v>15193.719428571427</v>
      </c>
      <c r="M72">
        <v>71</v>
      </c>
    </row>
    <row r="73" spans="1:13" x14ac:dyDescent="0.25">
      <c r="A73">
        <v>4</v>
      </c>
      <c r="B73" t="s">
        <v>205</v>
      </c>
      <c r="C73" t="s">
        <v>8</v>
      </c>
      <c r="D73" t="s">
        <v>12</v>
      </c>
      <c r="E73" t="s">
        <v>444</v>
      </c>
      <c r="F73" t="s">
        <v>144</v>
      </c>
      <c r="G73">
        <v>1031024.85</v>
      </c>
      <c r="H73" t="s">
        <v>29</v>
      </c>
      <c r="I73">
        <v>2015</v>
      </c>
      <c r="J73">
        <v>1094674.3208031645</v>
      </c>
      <c r="K73">
        <v>10.296905501812272</v>
      </c>
      <c r="L73">
        <v>68417.145050197782</v>
      </c>
      <c r="M73">
        <v>72</v>
      </c>
    </row>
    <row r="74" spans="1:13" x14ac:dyDescent="0.25">
      <c r="A74">
        <v>4</v>
      </c>
      <c r="B74" t="s">
        <v>206</v>
      </c>
      <c r="C74" t="s">
        <v>8</v>
      </c>
      <c r="D74" t="s">
        <v>12</v>
      </c>
      <c r="E74" t="s">
        <v>444</v>
      </c>
      <c r="F74" t="s">
        <v>144</v>
      </c>
      <c r="G74">
        <v>2971755</v>
      </c>
      <c r="H74" t="s">
        <v>29</v>
      </c>
      <c r="I74">
        <v>2015</v>
      </c>
      <c r="J74">
        <v>3155213.8498101262</v>
      </c>
      <c r="K74">
        <v>15.018462888633513</v>
      </c>
      <c r="L74">
        <v>59757.838064585725</v>
      </c>
      <c r="M74">
        <v>73</v>
      </c>
    </row>
    <row r="75" spans="1:13" x14ac:dyDescent="0.25">
      <c r="A75">
        <v>4</v>
      </c>
      <c r="B75" t="s">
        <v>207</v>
      </c>
      <c r="C75" t="s">
        <v>8</v>
      </c>
      <c r="D75" t="s">
        <v>12</v>
      </c>
      <c r="E75" t="s">
        <v>444</v>
      </c>
      <c r="F75" t="s">
        <v>144</v>
      </c>
      <c r="G75">
        <v>181400</v>
      </c>
      <c r="H75" t="s">
        <v>29</v>
      </c>
      <c r="I75">
        <v>2015</v>
      </c>
      <c r="J75">
        <v>192598.57974683543</v>
      </c>
      <c r="K75">
        <v>6.4186689244429589</v>
      </c>
      <c r="L75">
        <v>21399.842194092824</v>
      </c>
      <c r="M75">
        <v>74</v>
      </c>
    </row>
    <row r="76" spans="1:13" x14ac:dyDescent="0.25">
      <c r="A76">
        <v>4</v>
      </c>
      <c r="B76" t="s">
        <v>221</v>
      </c>
      <c r="C76" t="s">
        <v>8</v>
      </c>
      <c r="D76" t="s">
        <v>12</v>
      </c>
      <c r="E76" t="s">
        <v>444</v>
      </c>
      <c r="F76" t="s">
        <v>144</v>
      </c>
      <c r="G76">
        <v>1242150</v>
      </c>
      <c r="H76" t="s">
        <v>29</v>
      </c>
      <c r="I76">
        <v>2015</v>
      </c>
      <c r="J76">
        <v>1318833.1082278481</v>
      </c>
      <c r="K76">
        <v>14.349335845541221</v>
      </c>
      <c r="L76">
        <v>70525.834664590802</v>
      </c>
      <c r="M76">
        <v>75</v>
      </c>
    </row>
    <row r="77" spans="1:13" x14ac:dyDescent="0.25">
      <c r="A77">
        <v>4</v>
      </c>
      <c r="B77" t="s">
        <v>222</v>
      </c>
      <c r="C77" t="s">
        <v>8</v>
      </c>
      <c r="D77" t="s">
        <v>12</v>
      </c>
      <c r="E77" t="s">
        <v>444</v>
      </c>
      <c r="F77" t="s">
        <v>144</v>
      </c>
      <c r="G77">
        <v>1142000</v>
      </c>
      <c r="H77" t="s">
        <v>29</v>
      </c>
      <c r="I77">
        <v>2015</v>
      </c>
      <c r="J77">
        <v>1212500.4303797467</v>
      </c>
      <c r="K77">
        <v>13.942395565799421</v>
      </c>
      <c r="L77">
        <v>198770.56235733553</v>
      </c>
      <c r="M77">
        <v>76</v>
      </c>
    </row>
    <row r="78" spans="1:13" x14ac:dyDescent="0.25">
      <c r="A78">
        <v>4</v>
      </c>
      <c r="B78" t="s">
        <v>223</v>
      </c>
      <c r="C78" t="s">
        <v>8</v>
      </c>
      <c r="D78" t="s">
        <v>12</v>
      </c>
      <c r="E78" t="s">
        <v>444</v>
      </c>
      <c r="F78" t="s">
        <v>144</v>
      </c>
      <c r="G78">
        <v>2497550</v>
      </c>
      <c r="H78" t="s">
        <v>29</v>
      </c>
      <c r="I78">
        <v>2015</v>
      </c>
      <c r="J78">
        <v>2651734.1943037971</v>
      </c>
      <c r="K78">
        <v>24.234677654738181</v>
      </c>
      <c r="L78">
        <v>291399.36201140628</v>
      </c>
      <c r="M78">
        <v>77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D500-DD3C-434D-BD77-4E72DDF8653A}">
  <sheetPr codeName="Sheet6">
    <tabColor theme="5" tint="-0.499984740745262"/>
  </sheetPr>
  <dimension ref="A1:AH3246"/>
  <sheetViews>
    <sheetView workbookViewId="0">
      <selection sqref="A1:O1"/>
    </sheetView>
  </sheetViews>
  <sheetFormatPr defaultRowHeight="15" x14ac:dyDescent="0.25"/>
  <cols>
    <col min="1" max="1" width="18.85546875" style="3" bestFit="1" customWidth="1"/>
    <col min="2" max="2" width="34" style="3" customWidth="1"/>
    <col min="3" max="3" width="18.85546875" style="3" bestFit="1" customWidth="1"/>
    <col min="4" max="4" width="24.5703125" style="3" bestFit="1" customWidth="1"/>
    <col min="5" max="5" width="21.42578125" style="3" bestFit="1" customWidth="1"/>
    <col min="6" max="6" width="10.85546875" style="3" customWidth="1"/>
    <col min="7" max="7" width="90" style="3" customWidth="1"/>
    <col min="8" max="8" width="26" style="3" customWidth="1"/>
    <col min="9" max="9" width="25.5703125" style="3" customWidth="1"/>
    <col min="10" max="10" width="41.85546875" style="3" customWidth="1"/>
    <col min="11" max="11" width="19.140625" style="38" customWidth="1"/>
    <col min="12" max="12" width="19.42578125" style="3" customWidth="1"/>
    <col min="13" max="13" width="24.5703125" style="11" customWidth="1"/>
    <col min="14" max="14" width="21.7109375" style="42" customWidth="1"/>
    <col min="15" max="15" width="16.42578125" style="3" customWidth="1"/>
    <col min="16" max="16" width="13.140625" bestFit="1" customWidth="1"/>
    <col min="17" max="18" width="12.140625" bestFit="1" customWidth="1"/>
    <col min="28" max="28" width="26.85546875" customWidth="1"/>
    <col min="31" max="31" width="21" customWidth="1"/>
    <col min="32" max="32" width="11.7109375" bestFit="1" customWidth="1"/>
    <col min="33" max="33" width="20.42578125" bestFit="1" customWidth="1"/>
    <col min="34" max="34" width="14.85546875" bestFit="1" customWidth="1"/>
  </cols>
  <sheetData>
    <row r="1" spans="1:34" ht="21" x14ac:dyDescent="0.25">
      <c r="A1" s="237" t="s">
        <v>35</v>
      </c>
      <c r="B1" s="237"/>
      <c r="C1" s="237"/>
      <c r="D1" s="237"/>
      <c r="E1" s="237"/>
      <c r="F1" s="237"/>
      <c r="G1" s="237"/>
      <c r="H1" s="237"/>
      <c r="I1" s="237"/>
      <c r="J1" s="237"/>
      <c r="K1" s="237"/>
      <c r="L1" s="237"/>
      <c r="M1" s="237"/>
      <c r="N1" s="237"/>
      <c r="O1" s="237"/>
    </row>
    <row r="2" spans="1:34" x14ac:dyDescent="0.25">
      <c r="A2" s="3" t="s">
        <v>31</v>
      </c>
      <c r="B2" s="3" t="s">
        <v>36</v>
      </c>
      <c r="C2" s="3" t="s">
        <v>5</v>
      </c>
      <c r="D2" s="3" t="s">
        <v>441</v>
      </c>
      <c r="E2" s="3" t="s">
        <v>142</v>
      </c>
      <c r="F2" s="3" t="s">
        <v>1</v>
      </c>
      <c r="G2" s="3" t="s">
        <v>37</v>
      </c>
      <c r="H2" s="3" t="s">
        <v>456</v>
      </c>
      <c r="I2" s="3" t="s">
        <v>457</v>
      </c>
      <c r="J2" s="3" t="s">
        <v>103</v>
      </c>
      <c r="K2" s="37" t="s">
        <v>2</v>
      </c>
      <c r="L2" s="23" t="s">
        <v>114</v>
      </c>
      <c r="M2" s="26" t="s">
        <v>115</v>
      </c>
      <c r="N2" s="37" t="s">
        <v>440</v>
      </c>
      <c r="O2" s="3" t="s">
        <v>34</v>
      </c>
    </row>
    <row r="3" spans="1:34" x14ac:dyDescent="0.25">
      <c r="A3" s="3">
        <v>1</v>
      </c>
      <c r="B3" s="3" t="s">
        <v>4</v>
      </c>
      <c r="C3" s="1" t="s">
        <v>4</v>
      </c>
      <c r="D3" s="1" t="s">
        <v>442</v>
      </c>
      <c r="E3" s="3" t="s">
        <v>143</v>
      </c>
      <c r="F3" s="3" t="s">
        <v>5</v>
      </c>
      <c r="G3" s="48" t="s">
        <v>38</v>
      </c>
      <c r="H3" s="8"/>
      <c r="I3" s="9"/>
      <c r="J3" s="6" t="s">
        <v>110</v>
      </c>
      <c r="K3" s="38">
        <v>153193</v>
      </c>
      <c r="L3" s="11" t="s">
        <v>23</v>
      </c>
      <c r="M3" s="11">
        <f>_xlfn.NUMBERVALUE(LEFT(Table613612[[#This Row],[Fiscal Year]], 4))</f>
        <v>2013</v>
      </c>
      <c r="N3" s="42">
        <f>K3*(1+VLOOKUP(M3,$AF$8:$AH$31,3,0))</f>
        <v>165442.52267381974</v>
      </c>
      <c r="O3" s="3">
        <v>1</v>
      </c>
      <c r="R3" t="s">
        <v>104</v>
      </c>
    </row>
    <row r="4" spans="1:34" x14ac:dyDescent="0.25">
      <c r="A4" s="3">
        <v>1</v>
      </c>
      <c r="B4" s="3" t="s">
        <v>4</v>
      </c>
      <c r="C4" s="1" t="s">
        <v>4</v>
      </c>
      <c r="D4" s="1" t="s">
        <v>442</v>
      </c>
      <c r="E4" s="3" t="s">
        <v>143</v>
      </c>
      <c r="F4" s="3" t="s">
        <v>5</v>
      </c>
      <c r="G4" s="48" t="s">
        <v>39</v>
      </c>
      <c r="H4" s="8"/>
      <c r="I4" s="8"/>
      <c r="J4" s="6" t="s">
        <v>107</v>
      </c>
      <c r="K4" s="38">
        <v>36000</v>
      </c>
      <c r="L4" s="11" t="s">
        <v>23</v>
      </c>
      <c r="M4" s="11">
        <f>_xlfn.NUMBERVALUE(LEFT(Table613612[[#This Row],[Fiscal Year]], 4))</f>
        <v>2013</v>
      </c>
      <c r="N4" s="42">
        <f t="shared" ref="N4:N17" si="0">K4*(1+VLOOKUP(M4,$AF$8:$AH$31,3,0))</f>
        <v>38878.609442060086</v>
      </c>
      <c r="O4" s="3">
        <v>2</v>
      </c>
      <c r="R4" s="7">
        <v>1</v>
      </c>
      <c r="S4" t="s">
        <v>76</v>
      </c>
      <c r="AB4" t="s">
        <v>448</v>
      </c>
    </row>
    <row r="5" spans="1:34" x14ac:dyDescent="0.25">
      <c r="A5" s="3">
        <v>1</v>
      </c>
      <c r="B5" s="3" t="s">
        <v>4</v>
      </c>
      <c r="C5" s="1" t="s">
        <v>4</v>
      </c>
      <c r="D5" s="1" t="s">
        <v>442</v>
      </c>
      <c r="E5" s="3" t="s">
        <v>143</v>
      </c>
      <c r="F5" s="3" t="s">
        <v>5</v>
      </c>
      <c r="G5" s="48" t="s">
        <v>40</v>
      </c>
      <c r="H5" s="8"/>
      <c r="I5" s="8"/>
      <c r="J5" s="6" t="s">
        <v>109</v>
      </c>
      <c r="K5" s="38">
        <v>42538</v>
      </c>
      <c r="L5" s="11" t="s">
        <v>23</v>
      </c>
      <c r="M5" s="11">
        <f>_xlfn.NUMBERVALUE(LEFT(Table613612[[#This Row],[Fiscal Year]], 4))</f>
        <v>2013</v>
      </c>
      <c r="N5" s="42">
        <f t="shared" si="0"/>
        <v>45939.396901287553</v>
      </c>
      <c r="O5" s="3">
        <v>3</v>
      </c>
      <c r="R5" s="7">
        <v>2</v>
      </c>
      <c r="S5" t="s">
        <v>107</v>
      </c>
    </row>
    <row r="6" spans="1:34" ht="15.75" thickBot="1" x14ac:dyDescent="0.3">
      <c r="A6" s="3">
        <v>1</v>
      </c>
      <c r="B6" s="3" t="s">
        <v>4</v>
      </c>
      <c r="C6" s="1" t="s">
        <v>4</v>
      </c>
      <c r="D6" s="1" t="s">
        <v>442</v>
      </c>
      <c r="E6" s="3" t="s">
        <v>143</v>
      </c>
      <c r="F6" s="3" t="s">
        <v>5</v>
      </c>
      <c r="G6" s="48" t="s">
        <v>127</v>
      </c>
      <c r="H6" s="8"/>
      <c r="I6" s="8"/>
      <c r="J6" s="6" t="s">
        <v>108</v>
      </c>
      <c r="K6" s="38">
        <v>458457</v>
      </c>
      <c r="L6" s="11" t="s">
        <v>23</v>
      </c>
      <c r="M6" s="11">
        <f>_xlfn.NUMBERVALUE(LEFT(Table613612[[#This Row],[Fiscal Year]], 4))</f>
        <v>2013</v>
      </c>
      <c r="N6" s="42">
        <f t="shared" si="0"/>
        <v>495115.85136051505</v>
      </c>
      <c r="O6" s="3">
        <v>4</v>
      </c>
      <c r="R6" s="7">
        <v>3</v>
      </c>
      <c r="S6" t="s">
        <v>106</v>
      </c>
    </row>
    <row r="7" spans="1:34" ht="16.5" thickBot="1" x14ac:dyDescent="0.3">
      <c r="A7" s="3">
        <v>1</v>
      </c>
      <c r="B7" s="3" t="s">
        <v>4</v>
      </c>
      <c r="C7" s="1" t="s">
        <v>4</v>
      </c>
      <c r="D7" s="1" t="s">
        <v>442</v>
      </c>
      <c r="E7" s="3" t="s">
        <v>143</v>
      </c>
      <c r="F7" s="3" t="s">
        <v>5</v>
      </c>
      <c r="G7" s="66" t="s">
        <v>41</v>
      </c>
      <c r="H7" s="8"/>
      <c r="I7" s="8"/>
      <c r="J7" s="6" t="s">
        <v>106</v>
      </c>
      <c r="K7" s="38">
        <v>37846</v>
      </c>
      <c r="L7" s="11" t="s">
        <v>23</v>
      </c>
      <c r="M7" s="11">
        <f>_xlfn.NUMBERVALUE(LEFT(Table613612[[#This Row],[Fiscal Year]], 4))</f>
        <v>2013</v>
      </c>
      <c r="N7" s="42">
        <f t="shared" si="0"/>
        <v>40872.218137339056</v>
      </c>
      <c r="O7" s="3">
        <v>5</v>
      </c>
      <c r="R7" s="7">
        <v>4</v>
      </c>
      <c r="S7" t="s">
        <v>109</v>
      </c>
      <c r="AF7" s="238" t="s">
        <v>117</v>
      </c>
      <c r="AG7" s="239"/>
      <c r="AH7" s="240"/>
    </row>
    <row r="8" spans="1:34" ht="16.5" thickBot="1" x14ac:dyDescent="0.3">
      <c r="A8" s="3">
        <v>1</v>
      </c>
      <c r="B8" s="3" t="s">
        <v>4</v>
      </c>
      <c r="C8" s="1" t="s">
        <v>4</v>
      </c>
      <c r="D8" s="1" t="s">
        <v>442</v>
      </c>
      <c r="E8" s="3" t="s">
        <v>143</v>
      </c>
      <c r="F8" s="3" t="s">
        <v>5</v>
      </c>
      <c r="G8" s="66" t="s">
        <v>42</v>
      </c>
      <c r="H8" s="8"/>
      <c r="I8" s="8"/>
      <c r="J8" s="6" t="s">
        <v>42</v>
      </c>
      <c r="K8" s="38">
        <v>32915</v>
      </c>
      <c r="L8" s="11" t="s">
        <v>23</v>
      </c>
      <c r="M8" s="11">
        <f>_xlfn.NUMBERVALUE(LEFT(Table613612[[#This Row],[Fiscal Year]], 4))</f>
        <v>2013</v>
      </c>
      <c r="N8" s="42">
        <f t="shared" si="0"/>
        <v>35546.928605150213</v>
      </c>
      <c r="O8" s="3">
        <v>6</v>
      </c>
      <c r="R8" s="7">
        <v>5</v>
      </c>
      <c r="S8" s="12" t="s">
        <v>110</v>
      </c>
      <c r="T8" s="12"/>
      <c r="U8" s="12"/>
      <c r="V8" s="12"/>
      <c r="W8" s="12"/>
      <c r="X8" s="12"/>
      <c r="Y8" s="12"/>
      <c r="Z8" s="12"/>
      <c r="AB8" t="s">
        <v>450</v>
      </c>
      <c r="AF8" s="15" t="s">
        <v>3</v>
      </c>
      <c r="AG8" s="16" t="s">
        <v>118</v>
      </c>
      <c r="AH8" s="17" t="s">
        <v>119</v>
      </c>
    </row>
    <row r="9" spans="1:34" ht="15.75" thickBot="1" x14ac:dyDescent="0.3">
      <c r="A9" s="3">
        <v>1</v>
      </c>
      <c r="B9" s="3" t="s">
        <v>4</v>
      </c>
      <c r="C9" s="1" t="s">
        <v>4</v>
      </c>
      <c r="D9" s="1" t="s">
        <v>442</v>
      </c>
      <c r="E9" s="3" t="s">
        <v>143</v>
      </c>
      <c r="F9" s="3" t="s">
        <v>5</v>
      </c>
      <c r="G9" s="61" t="s">
        <v>43</v>
      </c>
      <c r="H9" s="45" t="s">
        <v>459</v>
      </c>
      <c r="I9" s="8" t="s">
        <v>458</v>
      </c>
      <c r="J9" s="8" t="s">
        <v>111</v>
      </c>
      <c r="K9" s="38">
        <v>2000</v>
      </c>
      <c r="L9" s="11" t="s">
        <v>23</v>
      </c>
      <c r="M9" s="11">
        <f>_xlfn.NUMBERVALUE(LEFT(Table613612[[#This Row],[Fiscal Year]], 4))</f>
        <v>2013</v>
      </c>
      <c r="N9" s="42">
        <f t="shared" si="0"/>
        <v>2159.9227467811161</v>
      </c>
      <c r="O9" s="3">
        <v>7</v>
      </c>
      <c r="R9" s="7">
        <v>6</v>
      </c>
      <c r="S9" s="12" t="s">
        <v>108</v>
      </c>
      <c r="T9" s="12"/>
      <c r="U9" s="12"/>
      <c r="V9" s="12"/>
      <c r="W9" s="12"/>
      <c r="X9" s="12"/>
      <c r="Y9" s="12"/>
      <c r="Z9" s="12"/>
      <c r="AF9" s="30">
        <v>2018</v>
      </c>
      <c r="AG9" s="34">
        <v>251.631</v>
      </c>
      <c r="AH9" s="31"/>
    </row>
    <row r="10" spans="1:34" x14ac:dyDescent="0.25">
      <c r="A10" s="3">
        <v>1</v>
      </c>
      <c r="B10" s="3" t="s">
        <v>4</v>
      </c>
      <c r="C10" s="1" t="s">
        <v>4</v>
      </c>
      <c r="D10" s="1" t="s">
        <v>442</v>
      </c>
      <c r="E10" s="3" t="s">
        <v>143</v>
      </c>
      <c r="F10" s="3" t="s">
        <v>5</v>
      </c>
      <c r="G10" s="66" t="s">
        <v>33</v>
      </c>
      <c r="H10" s="8"/>
      <c r="I10" s="8"/>
      <c r="J10" s="6" t="s">
        <v>47</v>
      </c>
      <c r="K10" s="38">
        <v>3000</v>
      </c>
      <c r="L10" s="11" t="s">
        <v>23</v>
      </c>
      <c r="M10" s="11">
        <f>_xlfn.NUMBERVALUE(LEFT(Table613612[[#This Row],[Fiscal Year]], 4))</f>
        <v>2013</v>
      </c>
      <c r="N10" s="42">
        <f t="shared" si="0"/>
        <v>3239.8841201716741</v>
      </c>
      <c r="O10" s="3">
        <v>8</v>
      </c>
      <c r="R10" s="7">
        <v>7</v>
      </c>
      <c r="S10" s="12" t="s">
        <v>111</v>
      </c>
      <c r="T10" s="12"/>
      <c r="U10" s="12"/>
      <c r="V10" s="12"/>
      <c r="W10" s="12"/>
      <c r="X10" s="12"/>
      <c r="Y10" s="12"/>
      <c r="Z10" s="12"/>
      <c r="AB10" t="s">
        <v>449</v>
      </c>
      <c r="AF10" s="32">
        <v>2017</v>
      </c>
      <c r="AG10" s="35">
        <v>245.1</v>
      </c>
      <c r="AH10" s="32">
        <f t="shared" ref="AH10:AH31" si="1">($AG$9/AG10)-1</f>
        <v>2.6646266829865484E-2</v>
      </c>
    </row>
    <row r="11" spans="1:34" x14ac:dyDescent="0.25">
      <c r="A11" s="3">
        <v>1</v>
      </c>
      <c r="B11" s="3" t="s">
        <v>4</v>
      </c>
      <c r="C11" s="1" t="s">
        <v>4</v>
      </c>
      <c r="D11" s="1" t="s">
        <v>442</v>
      </c>
      <c r="E11" s="3" t="s">
        <v>143</v>
      </c>
      <c r="F11" s="3" t="s">
        <v>5</v>
      </c>
      <c r="G11" s="48" t="s">
        <v>44</v>
      </c>
      <c r="H11" s="8"/>
      <c r="I11" s="8"/>
      <c r="J11" s="8" t="s">
        <v>110</v>
      </c>
      <c r="K11" s="38">
        <v>10000</v>
      </c>
      <c r="L11" s="11" t="s">
        <v>23</v>
      </c>
      <c r="M11" s="11">
        <f>_xlfn.NUMBERVALUE(LEFT(Table613612[[#This Row],[Fiscal Year]], 4))</f>
        <v>2013</v>
      </c>
      <c r="N11" s="42">
        <f t="shared" si="0"/>
        <v>10799.61373390558</v>
      </c>
      <c r="O11" s="3">
        <v>9</v>
      </c>
      <c r="R11" s="7">
        <v>8</v>
      </c>
      <c r="S11" s="12" t="s">
        <v>42</v>
      </c>
      <c r="T11" s="12"/>
      <c r="U11" s="12"/>
      <c r="V11" s="12"/>
      <c r="W11" s="12"/>
      <c r="X11" s="12"/>
      <c r="Y11" s="12"/>
      <c r="Z11" s="12"/>
      <c r="AF11" s="32">
        <v>2016</v>
      </c>
      <c r="AG11" s="35">
        <v>240</v>
      </c>
      <c r="AH11" s="32">
        <f t="shared" si="1"/>
        <v>4.8462500000000075E-2</v>
      </c>
    </row>
    <row r="12" spans="1:34" x14ac:dyDescent="0.25">
      <c r="C12" s="1"/>
      <c r="D12" s="1"/>
      <c r="G12" s="66"/>
      <c r="H12" s="8"/>
      <c r="I12" s="8"/>
      <c r="J12" s="6"/>
      <c r="L12" s="4"/>
      <c r="O12" s="3">
        <v>10</v>
      </c>
      <c r="R12" s="7">
        <v>9</v>
      </c>
      <c r="S12" s="12" t="s">
        <v>105</v>
      </c>
      <c r="T12" s="12"/>
      <c r="U12" s="12"/>
      <c r="V12" s="12"/>
      <c r="W12" s="12"/>
      <c r="X12" s="12"/>
      <c r="Y12" s="12"/>
      <c r="Z12" s="12"/>
      <c r="AF12" s="32">
        <v>2015</v>
      </c>
      <c r="AG12" s="35">
        <v>237</v>
      </c>
      <c r="AH12" s="32">
        <f t="shared" si="1"/>
        <v>6.1734177215189812E-2</v>
      </c>
    </row>
    <row r="13" spans="1:34" x14ac:dyDescent="0.25">
      <c r="A13" s="9">
        <v>2</v>
      </c>
      <c r="B13" s="9" t="s">
        <v>428</v>
      </c>
      <c r="C13" s="1" t="s">
        <v>1452</v>
      </c>
      <c r="D13" s="1" t="s">
        <v>443</v>
      </c>
      <c r="E13" s="9" t="s">
        <v>144</v>
      </c>
      <c r="F13" s="9" t="s">
        <v>8</v>
      </c>
      <c r="G13" s="61" t="s">
        <v>705</v>
      </c>
      <c r="H13" s="50" t="s">
        <v>735</v>
      </c>
      <c r="I13" s="8" t="s">
        <v>429</v>
      </c>
      <c r="J13" s="6" t="s">
        <v>110</v>
      </c>
      <c r="K13" s="38">
        <f>160025*3</f>
        <v>480075</v>
      </c>
      <c r="L13" s="4" t="s">
        <v>25</v>
      </c>
      <c r="M13" s="11">
        <f>_xlfn.NUMBERVALUE(LEFT(Table613612[[#This Row],[Fiscal Year]], 4))</f>
        <v>2017</v>
      </c>
      <c r="N13" s="42">
        <f t="shared" si="0"/>
        <v>492867.20654834766</v>
      </c>
      <c r="O13" s="3">
        <v>11</v>
      </c>
      <c r="R13" s="7">
        <v>10</v>
      </c>
      <c r="S13" s="12" t="s">
        <v>453</v>
      </c>
      <c r="T13" s="12"/>
      <c r="U13" s="12"/>
      <c r="V13" s="12"/>
      <c r="W13" s="12"/>
      <c r="X13" s="12"/>
      <c r="Y13" s="12"/>
      <c r="Z13" s="12"/>
      <c r="AF13" s="32">
        <v>2014</v>
      </c>
      <c r="AG13" s="35">
        <v>236.7</v>
      </c>
      <c r="AH13" s="32">
        <f t="shared" si="1"/>
        <v>6.3079847908745323E-2</v>
      </c>
    </row>
    <row r="14" spans="1:34" x14ac:dyDescent="0.25">
      <c r="A14" s="9">
        <v>2</v>
      </c>
      <c r="B14" s="9" t="s">
        <v>428</v>
      </c>
      <c r="C14" s="1" t="s">
        <v>1452</v>
      </c>
      <c r="D14" s="1" t="s">
        <v>443</v>
      </c>
      <c r="E14" s="9" t="s">
        <v>144</v>
      </c>
      <c r="F14" s="9" t="s">
        <v>8</v>
      </c>
      <c r="G14" s="48" t="s">
        <v>706</v>
      </c>
      <c r="H14" s="8" t="s">
        <v>620</v>
      </c>
      <c r="I14" s="8" t="s">
        <v>429</v>
      </c>
      <c r="J14" s="6" t="s">
        <v>455</v>
      </c>
      <c r="K14" s="38">
        <v>149531</v>
      </c>
      <c r="L14" s="4" t="s">
        <v>25</v>
      </c>
      <c r="M14" s="11">
        <f>_xlfn.NUMBERVALUE(LEFT(Table613612[[#This Row],[Fiscal Year]], 4))</f>
        <v>2017</v>
      </c>
      <c r="N14" s="42">
        <f t="shared" si="0"/>
        <v>153515.44292533663</v>
      </c>
      <c r="O14" s="3">
        <v>12</v>
      </c>
      <c r="R14" s="7">
        <v>11</v>
      </c>
      <c r="S14" s="12" t="s">
        <v>47</v>
      </c>
      <c r="T14" s="12"/>
      <c r="U14" s="12"/>
      <c r="V14" s="12"/>
      <c r="W14" s="12"/>
      <c r="X14" s="12"/>
      <c r="Y14" s="12"/>
      <c r="Z14" s="12"/>
      <c r="AB14" t="s">
        <v>447</v>
      </c>
      <c r="AF14" s="32">
        <v>2013</v>
      </c>
      <c r="AG14" s="35">
        <v>233</v>
      </c>
      <c r="AH14" s="32">
        <f>($AG$9/AG14)-1</f>
        <v>7.9961373390557977E-2</v>
      </c>
    </row>
    <row r="15" spans="1:34" x14ac:dyDescent="0.25">
      <c r="A15" s="9">
        <v>2</v>
      </c>
      <c r="B15" s="9" t="s">
        <v>428</v>
      </c>
      <c r="C15" s="1" t="s">
        <v>1452</v>
      </c>
      <c r="D15" s="1" t="s">
        <v>443</v>
      </c>
      <c r="E15" s="9" t="s">
        <v>144</v>
      </c>
      <c r="F15" s="9" t="s">
        <v>8</v>
      </c>
      <c r="G15" s="48" t="s">
        <v>707</v>
      </c>
      <c r="H15" s="8" t="s">
        <v>619</v>
      </c>
      <c r="I15" s="8" t="s">
        <v>429</v>
      </c>
      <c r="J15" s="6" t="s">
        <v>455</v>
      </c>
      <c r="K15" s="38">
        <v>569607</v>
      </c>
      <c r="L15" s="4" t="s">
        <v>25</v>
      </c>
      <c r="M15" s="11">
        <f>_xlfn.NUMBERVALUE(LEFT(Table613612[[#This Row],[Fiscal Year]], 4))</f>
        <v>2017</v>
      </c>
      <c r="N15" s="42">
        <f t="shared" si="0"/>
        <v>584784.90011015919</v>
      </c>
      <c r="O15" s="3">
        <v>13</v>
      </c>
      <c r="R15" s="7">
        <v>12</v>
      </c>
      <c r="S15" s="12" t="s">
        <v>605</v>
      </c>
      <c r="T15" s="12"/>
      <c r="U15" s="12"/>
      <c r="V15" s="12"/>
      <c r="W15" s="12"/>
      <c r="X15" s="12"/>
      <c r="Y15" s="12"/>
      <c r="Z15" s="12"/>
      <c r="AF15" s="32">
        <v>2012</v>
      </c>
      <c r="AG15" s="35">
        <v>229.6</v>
      </c>
      <c r="AH15" s="32">
        <f t="shared" si="1"/>
        <v>9.5953832752613266E-2</v>
      </c>
    </row>
    <row r="16" spans="1:34" x14ac:dyDescent="0.25">
      <c r="A16" s="9">
        <v>2</v>
      </c>
      <c r="B16" s="9" t="s">
        <v>428</v>
      </c>
      <c r="C16" s="1" t="s">
        <v>1452</v>
      </c>
      <c r="D16" s="1" t="s">
        <v>443</v>
      </c>
      <c r="E16" s="9" t="s">
        <v>144</v>
      </c>
      <c r="F16" s="9" t="s">
        <v>8</v>
      </c>
      <c r="G16" s="48" t="s">
        <v>708</v>
      </c>
      <c r="H16" s="8"/>
      <c r="I16" s="8"/>
      <c r="J16" s="6" t="s">
        <v>108</v>
      </c>
      <c r="K16" s="38">
        <v>141928</v>
      </c>
      <c r="L16" s="4" t="s">
        <v>25</v>
      </c>
      <c r="M16" s="11">
        <f>_xlfn.NUMBERVALUE(LEFT(Table613612[[#This Row],[Fiscal Year]], 4))</f>
        <v>2017</v>
      </c>
      <c r="N16" s="42">
        <f t="shared" si="0"/>
        <v>145709.85135862915</v>
      </c>
      <c r="O16" s="3">
        <v>14</v>
      </c>
      <c r="R16" s="7">
        <v>13</v>
      </c>
      <c r="S16" s="12" t="s">
        <v>455</v>
      </c>
      <c r="T16" s="12"/>
      <c r="U16" s="12"/>
      <c r="V16" s="12"/>
      <c r="W16" s="12"/>
      <c r="X16" s="12"/>
      <c r="Y16" s="12"/>
      <c r="Z16" s="12"/>
      <c r="AB16" s="22" t="s">
        <v>451</v>
      </c>
      <c r="AF16" s="32">
        <v>2011</v>
      </c>
      <c r="AG16" s="35">
        <v>224.9</v>
      </c>
      <c r="AH16" s="32">
        <f t="shared" si="1"/>
        <v>0.11885726989773238</v>
      </c>
    </row>
    <row r="17" spans="1:34" x14ac:dyDescent="0.25">
      <c r="A17" s="9">
        <v>2</v>
      </c>
      <c r="B17" s="9" t="s">
        <v>428</v>
      </c>
      <c r="C17" s="1" t="s">
        <v>1452</v>
      </c>
      <c r="D17" s="1" t="s">
        <v>443</v>
      </c>
      <c r="E17" s="9" t="s">
        <v>144</v>
      </c>
      <c r="F17" s="9" t="s">
        <v>8</v>
      </c>
      <c r="G17" s="48" t="s">
        <v>709</v>
      </c>
      <c r="H17" s="8"/>
      <c r="I17" s="8"/>
      <c r="J17" s="6" t="s">
        <v>110</v>
      </c>
      <c r="K17" s="38">
        <v>30992</v>
      </c>
      <c r="L17" s="4" t="s">
        <v>25</v>
      </c>
      <c r="M17" s="11">
        <f>_xlfn.NUMBERVALUE(LEFT(Table613612[[#This Row],[Fiscal Year]], 4))</f>
        <v>2017</v>
      </c>
      <c r="N17" s="42">
        <f t="shared" si="0"/>
        <v>31817.821101591191</v>
      </c>
      <c r="O17" s="3">
        <v>15</v>
      </c>
      <c r="R17" s="7"/>
      <c r="S17" s="12"/>
      <c r="T17" s="12"/>
      <c r="U17" s="12"/>
      <c r="V17" s="12"/>
      <c r="W17" s="12"/>
      <c r="X17" s="12"/>
      <c r="Y17" s="12"/>
      <c r="Z17" s="12"/>
      <c r="AF17" s="32">
        <v>2010</v>
      </c>
      <c r="AG17" s="35">
        <v>218.1</v>
      </c>
      <c r="AH17" s="32">
        <f t="shared" si="1"/>
        <v>0.15374140302613482</v>
      </c>
    </row>
    <row r="18" spans="1:34" x14ac:dyDescent="0.25">
      <c r="A18" s="9">
        <v>2</v>
      </c>
      <c r="B18" s="9" t="s">
        <v>428</v>
      </c>
      <c r="C18" s="1" t="s">
        <v>1452</v>
      </c>
      <c r="D18" s="1" t="s">
        <v>443</v>
      </c>
      <c r="E18" s="9" t="s">
        <v>144</v>
      </c>
      <c r="F18" s="9" t="s">
        <v>8</v>
      </c>
      <c r="G18" s="48" t="s">
        <v>710</v>
      </c>
      <c r="H18" s="8"/>
      <c r="I18" s="8"/>
      <c r="J18" s="6" t="s">
        <v>110</v>
      </c>
      <c r="K18" s="38">
        <v>0</v>
      </c>
      <c r="L18" s="4" t="s">
        <v>25</v>
      </c>
      <c r="M18" s="11">
        <f>_xlfn.NUMBERVALUE(LEFT(Table613612[[#This Row],[Fiscal Year]], 4))</f>
        <v>2017</v>
      </c>
      <c r="N18" s="43">
        <f>K18*(1+VLOOKUP(M18,$AF$8:$AH$31,3,0))</f>
        <v>0</v>
      </c>
      <c r="O18" s="3">
        <v>16</v>
      </c>
      <c r="AF18" s="32">
        <v>2009</v>
      </c>
      <c r="AG18" s="35">
        <v>214.5</v>
      </c>
      <c r="AH18" s="32">
        <f t="shared" si="1"/>
        <v>0.17310489510489502</v>
      </c>
    </row>
    <row r="19" spans="1:34" x14ac:dyDescent="0.25">
      <c r="A19" s="9">
        <v>2</v>
      </c>
      <c r="B19" s="9" t="s">
        <v>428</v>
      </c>
      <c r="C19" s="1" t="s">
        <v>1452</v>
      </c>
      <c r="D19" s="1" t="s">
        <v>443</v>
      </c>
      <c r="E19" s="9" t="s">
        <v>144</v>
      </c>
      <c r="F19" s="9" t="s">
        <v>8</v>
      </c>
      <c r="G19" s="48" t="s">
        <v>711</v>
      </c>
      <c r="H19" s="8"/>
      <c r="I19" s="8"/>
      <c r="J19" s="75"/>
      <c r="K19" s="38">
        <v>0</v>
      </c>
      <c r="L19" s="4" t="s">
        <v>25</v>
      </c>
      <c r="M19" s="11">
        <f>_xlfn.NUMBERVALUE(LEFT(Table613612[[#This Row],[Fiscal Year]], 4))</f>
        <v>2017</v>
      </c>
      <c r="N19" s="43">
        <f>K19*(1+VLOOKUP(M19,$AF$8:$AH$31,3,0))</f>
        <v>0</v>
      </c>
      <c r="O19" s="3">
        <v>17</v>
      </c>
      <c r="AF19" s="32">
        <v>2008</v>
      </c>
      <c r="AG19" s="35">
        <v>215.3</v>
      </c>
      <c r="AH19" s="32">
        <f t="shared" si="1"/>
        <v>0.16874593590339049</v>
      </c>
    </row>
    <row r="20" spans="1:34" x14ac:dyDescent="0.25">
      <c r="A20" s="9">
        <v>2</v>
      </c>
      <c r="B20" s="9" t="s">
        <v>428</v>
      </c>
      <c r="C20" s="1" t="s">
        <v>1452</v>
      </c>
      <c r="D20" s="1" t="s">
        <v>443</v>
      </c>
      <c r="E20" s="9" t="s">
        <v>144</v>
      </c>
      <c r="F20" s="9" t="s">
        <v>8</v>
      </c>
      <c r="G20" s="48" t="s">
        <v>712</v>
      </c>
      <c r="H20" s="8"/>
      <c r="I20" s="8"/>
      <c r="J20" s="75"/>
      <c r="K20" s="38">
        <v>0</v>
      </c>
      <c r="L20" s="4" t="s">
        <v>25</v>
      </c>
      <c r="M20" s="11">
        <f>_xlfn.NUMBERVALUE(LEFT(Table613612[[#This Row],[Fiscal Year]], 4))</f>
        <v>2017</v>
      </c>
      <c r="N20" s="43">
        <f>K20*(1+VLOOKUP(M20,$AF$8:$AH$31,3,0))</f>
        <v>0</v>
      </c>
      <c r="O20" s="3">
        <v>18</v>
      </c>
      <c r="AF20" s="32">
        <v>2007</v>
      </c>
      <c r="AG20" s="35">
        <v>207.3</v>
      </c>
      <c r="AH20" s="32">
        <f t="shared" si="1"/>
        <v>0.21384949348769888</v>
      </c>
    </row>
    <row r="21" spans="1:34" x14ac:dyDescent="0.25">
      <c r="A21" s="9">
        <v>2</v>
      </c>
      <c r="B21" s="9" t="s">
        <v>428</v>
      </c>
      <c r="C21" s="1" t="s">
        <v>1452</v>
      </c>
      <c r="D21" s="1" t="s">
        <v>443</v>
      </c>
      <c r="E21" s="9" t="s">
        <v>144</v>
      </c>
      <c r="F21" s="9" t="s">
        <v>8</v>
      </c>
      <c r="G21" s="48" t="s">
        <v>713</v>
      </c>
      <c r="H21" s="8"/>
      <c r="I21" s="8"/>
      <c r="J21" s="75"/>
      <c r="K21" s="38">
        <v>0</v>
      </c>
      <c r="L21" s="4" t="s">
        <v>25</v>
      </c>
      <c r="M21" s="11">
        <f>_xlfn.NUMBERVALUE(LEFT(Table613612[[#This Row],[Fiscal Year]], 4))</f>
        <v>2017</v>
      </c>
      <c r="N21" s="43">
        <f>K21*(1+VLOOKUP(M21,$AF$8:$AH$31,3,0))</f>
        <v>0</v>
      </c>
      <c r="O21" s="3">
        <v>19</v>
      </c>
      <c r="AF21" s="32">
        <v>2006</v>
      </c>
      <c r="AG21" s="35">
        <v>201.6</v>
      </c>
      <c r="AH21" s="32">
        <f t="shared" si="1"/>
        <v>0.24816964285714294</v>
      </c>
    </row>
    <row r="22" spans="1:34" x14ac:dyDescent="0.25">
      <c r="A22" s="9">
        <v>2</v>
      </c>
      <c r="B22" s="9" t="s">
        <v>428</v>
      </c>
      <c r="C22" s="1" t="s">
        <v>1452</v>
      </c>
      <c r="D22" s="1" t="s">
        <v>443</v>
      </c>
      <c r="E22" s="9" t="s">
        <v>144</v>
      </c>
      <c r="F22" s="9" t="s">
        <v>8</v>
      </c>
      <c r="G22" s="56" t="s">
        <v>714</v>
      </c>
      <c r="H22" s="50" t="s">
        <v>645</v>
      </c>
      <c r="I22" s="50" t="s">
        <v>429</v>
      </c>
      <c r="J22" s="75" t="s">
        <v>76</v>
      </c>
      <c r="K22" s="38">
        <v>1959543</v>
      </c>
      <c r="L22" s="4" t="s">
        <v>25</v>
      </c>
      <c r="M22" s="11">
        <f>_xlfn.NUMBERVALUE(LEFT(Table613612[[#This Row],[Fiscal Year]], 4))</f>
        <v>2017</v>
      </c>
      <c r="N22" s="42">
        <f t="shared" ref="N22:N38" si="2">K22*(1+VLOOKUP(M22,$AF$8:$AH$31,3,0))</f>
        <v>2011757.505642595</v>
      </c>
      <c r="O22" s="3">
        <v>20</v>
      </c>
      <c r="S22" s="53" t="s">
        <v>824</v>
      </c>
      <c r="T22" s="53"/>
      <c r="AF22" s="32">
        <v>2005</v>
      </c>
      <c r="AG22" s="35">
        <v>195.3</v>
      </c>
      <c r="AH22" s="32">
        <f t="shared" si="1"/>
        <v>0.28843317972350224</v>
      </c>
    </row>
    <row r="23" spans="1:34" x14ac:dyDescent="0.25">
      <c r="A23" s="9">
        <v>2</v>
      </c>
      <c r="B23" s="9" t="s">
        <v>428</v>
      </c>
      <c r="C23" s="1" t="s">
        <v>1452</v>
      </c>
      <c r="D23" s="1" t="s">
        <v>443</v>
      </c>
      <c r="E23" s="9" t="s">
        <v>144</v>
      </c>
      <c r="F23" s="9" t="s">
        <v>8</v>
      </c>
      <c r="G23" s="56" t="s">
        <v>715</v>
      </c>
      <c r="H23" s="8"/>
      <c r="I23" s="8"/>
      <c r="J23" s="6" t="s">
        <v>76</v>
      </c>
      <c r="K23" s="38">
        <v>1300000</v>
      </c>
      <c r="L23" s="4" t="s">
        <v>25</v>
      </c>
      <c r="M23" s="11">
        <f>_xlfn.NUMBERVALUE(LEFT(Table613612[[#This Row],[Fiscal Year]], 4))</f>
        <v>2017</v>
      </c>
      <c r="N23" s="42">
        <f t="shared" si="2"/>
        <v>1334640.146878825</v>
      </c>
      <c r="O23" s="3">
        <v>21</v>
      </c>
      <c r="S23" s="55" t="s">
        <v>825</v>
      </c>
      <c r="T23" t="s">
        <v>826</v>
      </c>
      <c r="AF23" s="32">
        <v>2004</v>
      </c>
      <c r="AG23" s="35">
        <v>188.9</v>
      </c>
      <c r="AH23" s="32">
        <f t="shared" si="1"/>
        <v>0.33208575966119636</v>
      </c>
    </row>
    <row r="24" spans="1:34" x14ac:dyDescent="0.25">
      <c r="A24" s="9">
        <v>2</v>
      </c>
      <c r="B24" s="9" t="s">
        <v>428</v>
      </c>
      <c r="C24" s="1" t="s">
        <v>1452</v>
      </c>
      <c r="D24" s="1" t="s">
        <v>443</v>
      </c>
      <c r="E24" s="9" t="s">
        <v>144</v>
      </c>
      <c r="F24" s="9" t="s">
        <v>8</v>
      </c>
      <c r="G24" s="56" t="s">
        <v>716</v>
      </c>
      <c r="H24" s="8"/>
      <c r="I24" s="8"/>
      <c r="J24" s="6" t="s">
        <v>76</v>
      </c>
      <c r="K24" s="38">
        <v>0</v>
      </c>
      <c r="L24" s="4" t="s">
        <v>25</v>
      </c>
      <c r="M24" s="11">
        <f>_xlfn.NUMBERVALUE(LEFT(Table613612[[#This Row],[Fiscal Year]], 4))</f>
        <v>2017</v>
      </c>
      <c r="N24" s="43">
        <f t="shared" si="2"/>
        <v>0</v>
      </c>
      <c r="O24" s="3">
        <v>22</v>
      </c>
      <c r="S24" s="59" t="s">
        <v>262</v>
      </c>
      <c r="T24" s="60" t="s">
        <v>923</v>
      </c>
      <c r="AF24" s="32">
        <v>2003</v>
      </c>
      <c r="AG24" s="35">
        <v>184</v>
      </c>
      <c r="AH24" s="32">
        <f t="shared" si="1"/>
        <v>0.3675597826086956</v>
      </c>
    </row>
    <row r="25" spans="1:34" x14ac:dyDescent="0.25">
      <c r="A25" s="9">
        <v>2</v>
      </c>
      <c r="B25" s="9" t="s">
        <v>428</v>
      </c>
      <c r="C25" s="1" t="s">
        <v>1452</v>
      </c>
      <c r="D25" s="1" t="s">
        <v>443</v>
      </c>
      <c r="E25" s="9" t="s">
        <v>144</v>
      </c>
      <c r="F25" s="9" t="s">
        <v>8</v>
      </c>
      <c r="G25" s="56" t="s">
        <v>717</v>
      </c>
      <c r="H25" s="8"/>
      <c r="I25" s="8"/>
      <c r="J25" s="6" t="s">
        <v>76</v>
      </c>
      <c r="K25" s="38">
        <v>164000</v>
      </c>
      <c r="L25" s="4" t="s">
        <v>25</v>
      </c>
      <c r="M25" s="11">
        <f>_xlfn.NUMBERVALUE(LEFT(Table613612[[#This Row],[Fiscal Year]], 4))</f>
        <v>2017</v>
      </c>
      <c r="N25" s="42">
        <f t="shared" si="2"/>
        <v>168369.98776009795</v>
      </c>
      <c r="O25" s="3">
        <v>23</v>
      </c>
      <c r="S25" s="76" t="s">
        <v>1430</v>
      </c>
      <c r="T25" s="77" t="s">
        <v>1431</v>
      </c>
      <c r="AF25" s="32">
        <v>2002</v>
      </c>
      <c r="AG25" s="35">
        <v>179.9</v>
      </c>
      <c r="AH25" s="32">
        <f t="shared" si="1"/>
        <v>0.39872707059477475</v>
      </c>
    </row>
    <row r="26" spans="1:34" x14ac:dyDescent="0.25">
      <c r="A26" s="9">
        <v>2</v>
      </c>
      <c r="B26" s="9" t="s">
        <v>428</v>
      </c>
      <c r="C26" s="1" t="s">
        <v>1452</v>
      </c>
      <c r="D26" s="1" t="s">
        <v>443</v>
      </c>
      <c r="E26" s="9" t="s">
        <v>144</v>
      </c>
      <c r="F26" s="9" t="s">
        <v>8</v>
      </c>
      <c r="G26" s="56" t="s">
        <v>718</v>
      </c>
      <c r="H26" s="6"/>
      <c r="I26" s="52"/>
      <c r="J26" s="75" t="s">
        <v>76</v>
      </c>
      <c r="K26" s="38">
        <v>10000</v>
      </c>
      <c r="L26" s="4" t="s">
        <v>25</v>
      </c>
      <c r="M26" s="11">
        <f>_xlfn.NUMBERVALUE(LEFT(Table613612[[#This Row],[Fiscal Year]], 4))</f>
        <v>2017</v>
      </c>
      <c r="N26" s="42">
        <f t="shared" si="2"/>
        <v>10266.462668298655</v>
      </c>
      <c r="O26" s="3">
        <v>24</v>
      </c>
      <c r="S26" s="54"/>
      <c r="AF26" s="32">
        <v>2001</v>
      </c>
      <c r="AG26" s="35">
        <v>177.1</v>
      </c>
      <c r="AH26" s="32">
        <f t="shared" si="1"/>
        <v>0.42084133258046297</v>
      </c>
    </row>
    <row r="27" spans="1:34" x14ac:dyDescent="0.25">
      <c r="A27" s="9">
        <v>2</v>
      </c>
      <c r="B27" s="9" t="s">
        <v>428</v>
      </c>
      <c r="C27" s="1" t="s">
        <v>1452</v>
      </c>
      <c r="D27" s="1" t="s">
        <v>443</v>
      </c>
      <c r="E27" s="9" t="s">
        <v>144</v>
      </c>
      <c r="F27" s="9" t="s">
        <v>8</v>
      </c>
      <c r="G27" s="56" t="s">
        <v>719</v>
      </c>
      <c r="H27" s="8"/>
      <c r="I27" s="8"/>
      <c r="J27" s="6" t="s">
        <v>76</v>
      </c>
      <c r="K27" s="38">
        <v>164000</v>
      </c>
      <c r="L27" s="4" t="s">
        <v>25</v>
      </c>
      <c r="M27" s="11">
        <f>_xlfn.NUMBERVALUE(LEFT(Table613612[[#This Row],[Fiscal Year]], 4))</f>
        <v>2017</v>
      </c>
      <c r="N27" s="42">
        <f t="shared" si="2"/>
        <v>168369.98776009795</v>
      </c>
      <c r="O27" s="3">
        <v>25</v>
      </c>
      <c r="S27" s="54"/>
      <c r="AF27" s="32">
        <v>2000</v>
      </c>
      <c r="AG27" s="35">
        <v>172.2</v>
      </c>
      <c r="AH27" s="32">
        <f t="shared" si="1"/>
        <v>0.46127177700348443</v>
      </c>
    </row>
    <row r="28" spans="1:34" x14ac:dyDescent="0.25">
      <c r="A28" s="9">
        <v>2</v>
      </c>
      <c r="B28" s="9" t="s">
        <v>428</v>
      </c>
      <c r="C28" s="1" t="s">
        <v>1452</v>
      </c>
      <c r="D28" s="1" t="s">
        <v>443</v>
      </c>
      <c r="E28" s="9" t="s">
        <v>144</v>
      </c>
      <c r="F28" s="9" t="s">
        <v>8</v>
      </c>
      <c r="G28" s="56" t="s">
        <v>720</v>
      </c>
      <c r="H28" s="8"/>
      <c r="I28" s="8"/>
      <c r="J28" s="6" t="s">
        <v>76</v>
      </c>
      <c r="K28" s="38">
        <v>326000</v>
      </c>
      <c r="L28" s="4" t="s">
        <v>25</v>
      </c>
      <c r="M28" s="11">
        <f>_xlfn.NUMBERVALUE(LEFT(Table613612[[#This Row],[Fiscal Year]], 4))</f>
        <v>2017</v>
      </c>
      <c r="N28" s="42">
        <f t="shared" si="2"/>
        <v>334686.68298653612</v>
      </c>
      <c r="O28" s="3">
        <v>26</v>
      </c>
      <c r="S28" s="54"/>
      <c r="AF28" s="32">
        <v>1999</v>
      </c>
      <c r="AG28" s="35">
        <v>166.6</v>
      </c>
      <c r="AH28" s="32">
        <f t="shared" si="1"/>
        <v>0.5103901560624251</v>
      </c>
    </row>
    <row r="29" spans="1:34" x14ac:dyDescent="0.25">
      <c r="A29" s="9">
        <v>2</v>
      </c>
      <c r="B29" s="9" t="s">
        <v>428</v>
      </c>
      <c r="C29" s="1" t="s">
        <v>1452</v>
      </c>
      <c r="D29" s="1" t="s">
        <v>443</v>
      </c>
      <c r="E29" s="9" t="s">
        <v>144</v>
      </c>
      <c r="F29" s="9" t="s">
        <v>8</v>
      </c>
      <c r="G29" s="56" t="s">
        <v>721</v>
      </c>
      <c r="H29" s="8"/>
      <c r="I29" s="8"/>
      <c r="J29" s="6" t="s">
        <v>76</v>
      </c>
      <c r="K29" s="38">
        <v>30000</v>
      </c>
      <c r="L29" s="4" t="s">
        <v>25</v>
      </c>
      <c r="M29" s="11">
        <f>_xlfn.NUMBERVALUE(LEFT(Table613612[[#This Row],[Fiscal Year]], 4))</f>
        <v>2017</v>
      </c>
      <c r="N29" s="42">
        <f t="shared" si="2"/>
        <v>30799.388004895965</v>
      </c>
      <c r="O29" s="3">
        <v>27</v>
      </c>
      <c r="AF29" s="32">
        <v>1998</v>
      </c>
      <c r="AG29" s="35">
        <v>163</v>
      </c>
      <c r="AH29" s="32">
        <f t="shared" si="1"/>
        <v>0.54374846625766882</v>
      </c>
    </row>
    <row r="30" spans="1:34" x14ac:dyDescent="0.25">
      <c r="A30" s="9">
        <v>2</v>
      </c>
      <c r="B30" s="9" t="s">
        <v>428</v>
      </c>
      <c r="C30" s="1" t="s">
        <v>1452</v>
      </c>
      <c r="D30" s="1" t="s">
        <v>443</v>
      </c>
      <c r="E30" s="9" t="s">
        <v>144</v>
      </c>
      <c r="F30" s="9" t="s">
        <v>8</v>
      </c>
      <c r="G30" s="56" t="s">
        <v>722</v>
      </c>
      <c r="H30" s="8"/>
      <c r="I30" s="8"/>
      <c r="J30" s="6" t="s">
        <v>110</v>
      </c>
      <c r="K30" s="38">
        <v>0</v>
      </c>
      <c r="L30" s="4" t="s">
        <v>25</v>
      </c>
      <c r="M30" s="11">
        <f>_xlfn.NUMBERVALUE(LEFT(Table613612[[#This Row],[Fiscal Year]], 4))</f>
        <v>2017</v>
      </c>
      <c r="N30" s="43">
        <f t="shared" si="2"/>
        <v>0</v>
      </c>
      <c r="O30" s="3">
        <v>28</v>
      </c>
      <c r="AF30" s="32">
        <v>1997</v>
      </c>
      <c r="AG30" s="35">
        <v>160.5</v>
      </c>
      <c r="AH30" s="32">
        <f t="shared" si="1"/>
        <v>0.56779439252336439</v>
      </c>
    </row>
    <row r="31" spans="1:34" ht="15.75" thickBot="1" x14ac:dyDescent="0.3">
      <c r="A31" s="9">
        <v>2</v>
      </c>
      <c r="B31" s="9" t="s">
        <v>428</v>
      </c>
      <c r="C31" s="1" t="s">
        <v>1452</v>
      </c>
      <c r="D31" s="1" t="s">
        <v>443</v>
      </c>
      <c r="E31" s="9" t="s">
        <v>144</v>
      </c>
      <c r="F31" s="9" t="s">
        <v>8</v>
      </c>
      <c r="G31" s="56" t="s">
        <v>723</v>
      </c>
      <c r="H31" s="8"/>
      <c r="I31" s="8"/>
      <c r="J31" s="6" t="s">
        <v>455</v>
      </c>
      <c r="K31" s="38">
        <v>0</v>
      </c>
      <c r="L31" s="4" t="s">
        <v>25</v>
      </c>
      <c r="M31" s="11">
        <f>_xlfn.NUMBERVALUE(LEFT(Table613612[[#This Row],[Fiscal Year]], 4))</f>
        <v>2017</v>
      </c>
      <c r="N31" s="43">
        <f t="shared" si="2"/>
        <v>0</v>
      </c>
      <c r="O31" s="3">
        <v>29</v>
      </c>
      <c r="AF31" s="33">
        <v>1996</v>
      </c>
      <c r="AG31" s="36">
        <v>156.9</v>
      </c>
      <c r="AH31" s="33">
        <f t="shared" si="1"/>
        <v>0.60376673040152951</v>
      </c>
    </row>
    <row r="32" spans="1:34" x14ac:dyDescent="0.25">
      <c r="A32" s="9">
        <v>2</v>
      </c>
      <c r="B32" s="9" t="s">
        <v>428</v>
      </c>
      <c r="C32" s="1" t="s">
        <v>1452</v>
      </c>
      <c r="D32" s="1" t="s">
        <v>443</v>
      </c>
      <c r="E32" s="9" t="s">
        <v>144</v>
      </c>
      <c r="F32" s="9" t="s">
        <v>8</v>
      </c>
      <c r="G32" s="48" t="s">
        <v>724</v>
      </c>
      <c r="H32" s="8" t="s">
        <v>460</v>
      </c>
      <c r="I32" s="8" t="s">
        <v>429</v>
      </c>
      <c r="J32" s="6" t="s">
        <v>108</v>
      </c>
      <c r="K32" s="38">
        <v>11178</v>
      </c>
      <c r="L32" s="4" t="s">
        <v>25</v>
      </c>
      <c r="M32" s="11">
        <f>_xlfn.NUMBERVALUE(LEFT(Table613612[[#This Row],[Fiscal Year]], 4))</f>
        <v>2017</v>
      </c>
      <c r="N32" s="42">
        <f t="shared" si="2"/>
        <v>11475.851970624237</v>
      </c>
      <c r="O32" s="3">
        <v>30</v>
      </c>
    </row>
    <row r="33" spans="1:15" x14ac:dyDescent="0.25">
      <c r="A33" s="9">
        <v>2</v>
      </c>
      <c r="B33" s="9" t="s">
        <v>428</v>
      </c>
      <c r="C33" s="1" t="s">
        <v>1452</v>
      </c>
      <c r="D33" s="1" t="s">
        <v>443</v>
      </c>
      <c r="E33" s="9" t="s">
        <v>144</v>
      </c>
      <c r="F33" s="9" t="s">
        <v>8</v>
      </c>
      <c r="G33" s="48" t="s">
        <v>725</v>
      </c>
      <c r="H33" s="8"/>
      <c r="I33" s="8"/>
      <c r="J33" s="6" t="s">
        <v>108</v>
      </c>
      <c r="K33" s="38">
        <v>30284</v>
      </c>
      <c r="L33" s="4" t="s">
        <v>25</v>
      </c>
      <c r="M33" s="11">
        <f>_xlfn.NUMBERVALUE(LEFT(Table613612[[#This Row],[Fiscal Year]], 4))</f>
        <v>2017</v>
      </c>
      <c r="N33" s="42">
        <f t="shared" si="2"/>
        <v>31090.955544675646</v>
      </c>
      <c r="O33" s="3">
        <v>31</v>
      </c>
    </row>
    <row r="34" spans="1:15" x14ac:dyDescent="0.25">
      <c r="A34" s="9">
        <v>2</v>
      </c>
      <c r="B34" s="9" t="s">
        <v>428</v>
      </c>
      <c r="C34" s="1" t="s">
        <v>1452</v>
      </c>
      <c r="D34" s="1" t="s">
        <v>443</v>
      </c>
      <c r="E34" s="9" t="s">
        <v>144</v>
      </c>
      <c r="F34" s="9" t="s">
        <v>8</v>
      </c>
      <c r="G34" s="48" t="s">
        <v>726</v>
      </c>
      <c r="H34" s="8"/>
      <c r="I34" s="8"/>
      <c r="J34" s="6" t="s">
        <v>110</v>
      </c>
      <c r="K34" s="38">
        <v>3347</v>
      </c>
      <c r="L34" s="4" t="s">
        <v>25</v>
      </c>
      <c r="M34" s="11">
        <f>_xlfn.NUMBERVALUE(LEFT(Table613612[[#This Row],[Fiscal Year]], 4))</f>
        <v>2017</v>
      </c>
      <c r="N34" s="42">
        <f t="shared" si="2"/>
        <v>3436.1850550795598</v>
      </c>
      <c r="O34" s="3">
        <v>32</v>
      </c>
    </row>
    <row r="35" spans="1:15" x14ac:dyDescent="0.25">
      <c r="A35" s="9">
        <v>2</v>
      </c>
      <c r="B35" s="9" t="s">
        <v>428</v>
      </c>
      <c r="C35" s="1" t="s">
        <v>1452</v>
      </c>
      <c r="D35" s="1" t="s">
        <v>443</v>
      </c>
      <c r="E35" s="9" t="s">
        <v>144</v>
      </c>
      <c r="F35" s="9" t="s">
        <v>8</v>
      </c>
      <c r="G35" s="48" t="s">
        <v>727</v>
      </c>
      <c r="H35" s="8"/>
      <c r="I35" s="8"/>
      <c r="J35" s="6" t="s">
        <v>108</v>
      </c>
      <c r="K35" s="38">
        <v>1040</v>
      </c>
      <c r="L35" s="4" t="s">
        <v>25</v>
      </c>
      <c r="M35" s="11">
        <f>_xlfn.NUMBERVALUE(LEFT(Table613612[[#This Row],[Fiscal Year]], 4))</f>
        <v>2017</v>
      </c>
      <c r="N35" s="42">
        <f t="shared" si="2"/>
        <v>1067.7121175030602</v>
      </c>
      <c r="O35" s="3">
        <v>33</v>
      </c>
    </row>
    <row r="36" spans="1:15" x14ac:dyDescent="0.25">
      <c r="A36" s="9">
        <v>2</v>
      </c>
      <c r="B36" s="9" t="s">
        <v>428</v>
      </c>
      <c r="C36" s="1" t="s">
        <v>1452</v>
      </c>
      <c r="D36" s="1" t="s">
        <v>443</v>
      </c>
      <c r="E36" s="9" t="s">
        <v>144</v>
      </c>
      <c r="F36" s="9" t="s">
        <v>8</v>
      </c>
      <c r="G36" s="48" t="s">
        <v>728</v>
      </c>
      <c r="H36" s="8"/>
      <c r="I36" s="8"/>
      <c r="J36" s="6" t="s">
        <v>455</v>
      </c>
      <c r="K36" s="38">
        <v>13635</v>
      </c>
      <c r="L36" s="4" t="s">
        <v>25</v>
      </c>
      <c r="M36" s="11">
        <f>_xlfn.NUMBERVALUE(LEFT(Table613612[[#This Row],[Fiscal Year]], 4))</f>
        <v>2017</v>
      </c>
      <c r="N36" s="42">
        <f t="shared" si="2"/>
        <v>13998.321848225216</v>
      </c>
      <c r="O36" s="3">
        <v>34</v>
      </c>
    </row>
    <row r="37" spans="1:15" x14ac:dyDescent="0.25">
      <c r="A37" s="9">
        <v>2</v>
      </c>
      <c r="B37" s="9" t="s">
        <v>428</v>
      </c>
      <c r="C37" s="1" t="s">
        <v>1452</v>
      </c>
      <c r="D37" s="1" t="s">
        <v>443</v>
      </c>
      <c r="E37" s="9" t="s">
        <v>144</v>
      </c>
      <c r="F37" s="9" t="s">
        <v>8</v>
      </c>
      <c r="G37" s="48" t="s">
        <v>729</v>
      </c>
      <c r="H37" s="8"/>
      <c r="I37" s="8"/>
      <c r="J37" s="6" t="s">
        <v>108</v>
      </c>
      <c r="K37" s="38">
        <v>1010660</v>
      </c>
      <c r="L37" s="4" t="s">
        <v>25</v>
      </c>
      <c r="M37" s="11">
        <f>_xlfn.NUMBERVALUE(LEFT(Table613612[[#This Row],[Fiscal Year]], 4))</f>
        <v>2017</v>
      </c>
      <c r="N37" s="42">
        <f t="shared" si="2"/>
        <v>1037590.3160342718</v>
      </c>
      <c r="O37" s="3">
        <v>35</v>
      </c>
    </row>
    <row r="38" spans="1:15" x14ac:dyDescent="0.25">
      <c r="A38" s="9">
        <v>2</v>
      </c>
      <c r="B38" s="9" t="s">
        <v>428</v>
      </c>
      <c r="C38" s="1" t="s">
        <v>1452</v>
      </c>
      <c r="D38" s="1" t="s">
        <v>443</v>
      </c>
      <c r="E38" s="9" t="s">
        <v>144</v>
      </c>
      <c r="F38" s="9" t="s">
        <v>8</v>
      </c>
      <c r="G38" s="48" t="s">
        <v>730</v>
      </c>
      <c r="H38" s="8"/>
      <c r="I38" s="8"/>
      <c r="J38" s="75" t="s">
        <v>108</v>
      </c>
      <c r="K38" s="38">
        <v>0</v>
      </c>
      <c r="L38" s="4" t="s">
        <v>25</v>
      </c>
      <c r="M38" s="11">
        <f>_xlfn.NUMBERVALUE(LEFT(Table613612[[#This Row],[Fiscal Year]], 4))</f>
        <v>2017</v>
      </c>
      <c r="N38" s="43">
        <f t="shared" si="2"/>
        <v>0</v>
      </c>
      <c r="O38" s="3">
        <v>36</v>
      </c>
    </row>
    <row r="39" spans="1:15" x14ac:dyDescent="0.25">
      <c r="A39" s="9">
        <v>2</v>
      </c>
      <c r="B39" s="9" t="s">
        <v>428</v>
      </c>
      <c r="C39" s="1" t="s">
        <v>1452</v>
      </c>
      <c r="D39" s="1" t="s">
        <v>443</v>
      </c>
      <c r="E39" s="9" t="s">
        <v>144</v>
      </c>
      <c r="F39" s="9" t="s">
        <v>8</v>
      </c>
      <c r="G39" s="48" t="s">
        <v>731</v>
      </c>
      <c r="H39" s="8"/>
      <c r="I39" s="8"/>
      <c r="J39" s="75" t="s">
        <v>108</v>
      </c>
      <c r="K39" s="38">
        <v>0</v>
      </c>
      <c r="L39" s="4" t="s">
        <v>25</v>
      </c>
      <c r="M39" s="11">
        <f>_xlfn.NUMBERVALUE(LEFT(Table613612[[#This Row],[Fiscal Year]], 4))</f>
        <v>2017</v>
      </c>
      <c r="N39" s="43">
        <f>K39*(1+VLOOKUP(M39,$AF$8:$AH$31,3,0))</f>
        <v>0</v>
      </c>
      <c r="O39" s="3">
        <v>37</v>
      </c>
    </row>
    <row r="40" spans="1:15" x14ac:dyDescent="0.25">
      <c r="A40" s="9">
        <v>2</v>
      </c>
      <c r="B40" s="9" t="s">
        <v>428</v>
      </c>
      <c r="C40" s="1" t="s">
        <v>1452</v>
      </c>
      <c r="D40" s="1" t="s">
        <v>443</v>
      </c>
      <c r="E40" s="9" t="s">
        <v>144</v>
      </c>
      <c r="F40" s="9" t="s">
        <v>8</v>
      </c>
      <c r="G40" s="48" t="s">
        <v>732</v>
      </c>
      <c r="H40" s="8"/>
      <c r="I40" s="8"/>
      <c r="J40" s="75" t="s">
        <v>108</v>
      </c>
      <c r="K40" s="38">
        <v>0</v>
      </c>
      <c r="L40" s="4" t="s">
        <v>25</v>
      </c>
      <c r="M40" s="11">
        <f>_xlfn.NUMBERVALUE(LEFT(Table613612[[#This Row],[Fiscal Year]], 4))</f>
        <v>2017</v>
      </c>
      <c r="N40" s="43">
        <f>K40*(1+VLOOKUP(M40,$AF$8:$AH$31,3,0))</f>
        <v>0</v>
      </c>
      <c r="O40" s="3">
        <v>38</v>
      </c>
    </row>
    <row r="41" spans="1:15" x14ac:dyDescent="0.25">
      <c r="A41" s="9">
        <v>2</v>
      </c>
      <c r="B41" s="9" t="s">
        <v>428</v>
      </c>
      <c r="C41" s="1" t="s">
        <v>1452</v>
      </c>
      <c r="D41" s="1" t="s">
        <v>443</v>
      </c>
      <c r="E41" s="9" t="s">
        <v>144</v>
      </c>
      <c r="F41" s="9" t="s">
        <v>8</v>
      </c>
      <c r="G41" s="48" t="s">
        <v>733</v>
      </c>
      <c r="H41" s="8"/>
      <c r="I41" s="8"/>
      <c r="J41" s="75" t="s">
        <v>108</v>
      </c>
      <c r="K41" s="38">
        <v>0</v>
      </c>
      <c r="L41" s="4" t="s">
        <v>25</v>
      </c>
      <c r="M41" s="11">
        <f>_xlfn.NUMBERVALUE(LEFT(Table613612[[#This Row],[Fiscal Year]], 4))</f>
        <v>2017</v>
      </c>
      <c r="N41" s="43">
        <f>K41*(1+VLOOKUP(M41,$AF$8:$AH$31,3,0))</f>
        <v>0</v>
      </c>
      <c r="O41" s="3">
        <v>39</v>
      </c>
    </row>
    <row r="42" spans="1:15" x14ac:dyDescent="0.25">
      <c r="A42" s="9">
        <v>2</v>
      </c>
      <c r="B42" s="9" t="s">
        <v>428</v>
      </c>
      <c r="C42" s="1" t="s">
        <v>1452</v>
      </c>
      <c r="D42" s="1" t="s">
        <v>443</v>
      </c>
      <c r="E42" s="9" t="s">
        <v>144</v>
      </c>
      <c r="F42" s="9" t="s">
        <v>8</v>
      </c>
      <c r="G42" s="48" t="s">
        <v>734</v>
      </c>
      <c r="H42" s="8"/>
      <c r="I42" s="8"/>
      <c r="J42" s="75" t="s">
        <v>108</v>
      </c>
      <c r="K42" s="38">
        <v>0</v>
      </c>
      <c r="L42" s="4" t="s">
        <v>25</v>
      </c>
      <c r="M42" s="11">
        <f>_xlfn.NUMBERVALUE(LEFT(Table613612[[#This Row],[Fiscal Year]], 4))</f>
        <v>2017</v>
      </c>
      <c r="N42" s="43">
        <f>K42*(1+VLOOKUP(M42,$AF$8:$AH$31,3,0))</f>
        <v>0</v>
      </c>
      <c r="O42" s="3">
        <v>40</v>
      </c>
    </row>
    <row r="43" spans="1:15" x14ac:dyDescent="0.25">
      <c r="A43" s="9"/>
      <c r="B43" s="9"/>
      <c r="C43" s="1"/>
      <c r="D43" s="1"/>
      <c r="E43" s="9"/>
      <c r="F43" s="9"/>
      <c r="G43" s="48"/>
      <c r="H43" s="8"/>
      <c r="I43" s="8"/>
      <c r="J43" s="6"/>
      <c r="L43" s="4"/>
      <c r="O43" s="3">
        <v>41</v>
      </c>
    </row>
    <row r="44" spans="1:15" x14ac:dyDescent="0.25">
      <c r="A44" s="3">
        <v>2</v>
      </c>
      <c r="B44" s="3" t="s">
        <v>6</v>
      </c>
      <c r="C44" s="1" t="s">
        <v>6</v>
      </c>
      <c r="D44" s="1" t="s">
        <v>443</v>
      </c>
      <c r="E44" s="9" t="s">
        <v>144</v>
      </c>
      <c r="F44" s="3" t="s">
        <v>5</v>
      </c>
      <c r="G44" s="48" t="s">
        <v>736</v>
      </c>
      <c r="H44" s="8"/>
      <c r="I44" s="8"/>
      <c r="J44" s="6" t="s">
        <v>110</v>
      </c>
      <c r="K44" s="38">
        <v>1342357</v>
      </c>
      <c r="L44" s="4" t="s">
        <v>26</v>
      </c>
      <c r="M44" s="11">
        <f>_xlfn.NUMBERVALUE(LEFT(Table613612[[#This Row],[Fiscal Year]], 4))</f>
        <v>2018</v>
      </c>
      <c r="N44" s="42">
        <f t="shared" ref="N44:N72" si="3">K44*(1+VLOOKUP(M44,$AF$8:$AH$31,3,0))</f>
        <v>1342357</v>
      </c>
      <c r="O44" s="3">
        <v>42</v>
      </c>
    </row>
    <row r="45" spans="1:15" x14ac:dyDescent="0.25">
      <c r="A45" s="3">
        <v>2</v>
      </c>
      <c r="B45" s="3" t="s">
        <v>6</v>
      </c>
      <c r="C45" s="1" t="s">
        <v>6</v>
      </c>
      <c r="D45" s="1" t="s">
        <v>443</v>
      </c>
      <c r="E45" s="9" t="s">
        <v>144</v>
      </c>
      <c r="F45" s="3" t="s">
        <v>5</v>
      </c>
      <c r="G45" s="48" t="s">
        <v>737</v>
      </c>
      <c r="H45" s="8"/>
      <c r="I45" s="8"/>
      <c r="J45" s="75" t="s">
        <v>110</v>
      </c>
      <c r="K45" s="38">
        <v>4000</v>
      </c>
      <c r="L45" s="4" t="s">
        <v>26</v>
      </c>
      <c r="M45" s="11">
        <f>_xlfn.NUMBERVALUE(LEFT(Table613612[[#This Row],[Fiscal Year]], 4))</f>
        <v>2018</v>
      </c>
      <c r="N45" s="42">
        <f t="shared" si="3"/>
        <v>4000</v>
      </c>
      <c r="O45" s="3">
        <v>43</v>
      </c>
    </row>
    <row r="46" spans="1:15" x14ac:dyDescent="0.25">
      <c r="A46" s="3">
        <v>2</v>
      </c>
      <c r="B46" s="3" t="s">
        <v>6</v>
      </c>
      <c r="C46" s="1" t="s">
        <v>6</v>
      </c>
      <c r="D46" s="1" t="s">
        <v>443</v>
      </c>
      <c r="E46" s="9" t="s">
        <v>144</v>
      </c>
      <c r="F46" s="3" t="s">
        <v>5</v>
      </c>
      <c r="G46" s="48" t="s">
        <v>738</v>
      </c>
      <c r="H46" s="8"/>
      <c r="I46" s="8"/>
      <c r="J46" s="75" t="s">
        <v>110</v>
      </c>
      <c r="K46" s="38">
        <v>113957</v>
      </c>
      <c r="L46" s="4" t="s">
        <v>26</v>
      </c>
      <c r="M46" s="11">
        <f>_xlfn.NUMBERVALUE(LEFT(Table613612[[#This Row],[Fiscal Year]], 4))</f>
        <v>2018</v>
      </c>
      <c r="N46" s="42">
        <f t="shared" si="3"/>
        <v>113957</v>
      </c>
      <c r="O46" s="3">
        <v>44</v>
      </c>
    </row>
    <row r="47" spans="1:15" x14ac:dyDescent="0.25">
      <c r="A47" s="3">
        <v>2</v>
      </c>
      <c r="B47" s="3" t="s">
        <v>6</v>
      </c>
      <c r="C47" s="1" t="s">
        <v>6</v>
      </c>
      <c r="D47" s="1" t="s">
        <v>443</v>
      </c>
      <c r="E47" s="9" t="s">
        <v>144</v>
      </c>
      <c r="F47" s="3" t="s">
        <v>5</v>
      </c>
      <c r="G47" s="48" t="s">
        <v>739</v>
      </c>
      <c r="H47" s="8"/>
      <c r="I47" s="8"/>
      <c r="J47" s="75" t="s">
        <v>110</v>
      </c>
      <c r="K47" s="38">
        <v>230000</v>
      </c>
      <c r="L47" s="4" t="s">
        <v>26</v>
      </c>
      <c r="M47" s="11">
        <f>_xlfn.NUMBERVALUE(LEFT(Table613612[[#This Row],[Fiscal Year]], 4))</f>
        <v>2018</v>
      </c>
      <c r="N47" s="42">
        <f t="shared" si="3"/>
        <v>230000</v>
      </c>
      <c r="O47" s="3">
        <v>45</v>
      </c>
    </row>
    <row r="48" spans="1:15" x14ac:dyDescent="0.25">
      <c r="A48" s="3">
        <v>2</v>
      </c>
      <c r="B48" s="3" t="s">
        <v>6</v>
      </c>
      <c r="C48" s="1" t="s">
        <v>6</v>
      </c>
      <c r="D48" s="1" t="s">
        <v>443</v>
      </c>
      <c r="E48" s="9" t="s">
        <v>144</v>
      </c>
      <c r="F48" s="3" t="s">
        <v>5</v>
      </c>
      <c r="G48" s="66" t="s">
        <v>740</v>
      </c>
      <c r="H48" s="8"/>
      <c r="I48" s="8"/>
      <c r="J48" s="6" t="s">
        <v>110</v>
      </c>
      <c r="K48" s="38">
        <v>1000</v>
      </c>
      <c r="L48" s="4" t="s">
        <v>26</v>
      </c>
      <c r="M48" s="11">
        <f>_xlfn.NUMBERVALUE(LEFT(Table613612[[#This Row],[Fiscal Year]], 4))</f>
        <v>2018</v>
      </c>
      <c r="N48" s="42">
        <f t="shared" si="3"/>
        <v>1000</v>
      </c>
      <c r="O48" s="3">
        <v>46</v>
      </c>
    </row>
    <row r="49" spans="1:15" x14ac:dyDescent="0.25">
      <c r="A49" s="3">
        <v>2</v>
      </c>
      <c r="B49" s="3" t="s">
        <v>6</v>
      </c>
      <c r="C49" s="1" t="s">
        <v>6</v>
      </c>
      <c r="D49" s="1" t="s">
        <v>443</v>
      </c>
      <c r="E49" s="9" t="s">
        <v>144</v>
      </c>
      <c r="F49" s="3" t="s">
        <v>5</v>
      </c>
      <c r="G49" s="66" t="s">
        <v>741</v>
      </c>
      <c r="H49" s="8"/>
      <c r="I49" s="8"/>
      <c r="J49" s="75" t="s">
        <v>110</v>
      </c>
      <c r="K49" s="38">
        <v>5100</v>
      </c>
      <c r="L49" s="4" t="s">
        <v>26</v>
      </c>
      <c r="M49" s="11">
        <f>_xlfn.NUMBERVALUE(LEFT(Table613612[[#This Row],[Fiscal Year]], 4))</f>
        <v>2018</v>
      </c>
      <c r="N49" s="42">
        <f t="shared" si="3"/>
        <v>5100</v>
      </c>
      <c r="O49" s="3">
        <v>47</v>
      </c>
    </row>
    <row r="50" spans="1:15" x14ac:dyDescent="0.25">
      <c r="A50" s="3">
        <v>2</v>
      </c>
      <c r="B50" s="3" t="s">
        <v>6</v>
      </c>
      <c r="C50" s="1" t="s">
        <v>6</v>
      </c>
      <c r="D50" s="1" t="s">
        <v>443</v>
      </c>
      <c r="E50" s="9" t="s">
        <v>144</v>
      </c>
      <c r="F50" s="3" t="s">
        <v>5</v>
      </c>
      <c r="G50" s="66" t="s">
        <v>742</v>
      </c>
      <c r="H50" s="8"/>
      <c r="I50" s="8"/>
      <c r="J50" s="75" t="s">
        <v>110</v>
      </c>
      <c r="K50" s="38">
        <v>500</v>
      </c>
      <c r="L50" s="4" t="s">
        <v>26</v>
      </c>
      <c r="M50" s="11">
        <f>_xlfn.NUMBERVALUE(LEFT(Table613612[[#This Row],[Fiscal Year]], 4))</f>
        <v>2018</v>
      </c>
      <c r="N50" s="42">
        <f t="shared" si="3"/>
        <v>500</v>
      </c>
      <c r="O50" s="3">
        <v>48</v>
      </c>
    </row>
    <row r="51" spans="1:15" x14ac:dyDescent="0.25">
      <c r="A51" s="3">
        <v>2</v>
      </c>
      <c r="B51" s="3" t="s">
        <v>6</v>
      </c>
      <c r="C51" s="1" t="s">
        <v>6</v>
      </c>
      <c r="D51" s="1" t="s">
        <v>443</v>
      </c>
      <c r="E51" s="9" t="s">
        <v>144</v>
      </c>
      <c r="F51" s="3" t="s">
        <v>5</v>
      </c>
      <c r="G51" s="63" t="s">
        <v>743</v>
      </c>
      <c r="H51" s="8"/>
      <c r="I51" s="8"/>
      <c r="J51" s="8" t="s">
        <v>110</v>
      </c>
      <c r="K51" s="38">
        <v>46260</v>
      </c>
      <c r="L51" s="4" t="s">
        <v>26</v>
      </c>
      <c r="M51" s="11">
        <f>_xlfn.NUMBERVALUE(LEFT(Table613612[[#This Row],[Fiscal Year]], 4))</f>
        <v>2018</v>
      </c>
      <c r="N51" s="42">
        <f t="shared" si="3"/>
        <v>46260</v>
      </c>
      <c r="O51" s="3">
        <v>49</v>
      </c>
    </row>
    <row r="52" spans="1:15" x14ac:dyDescent="0.25">
      <c r="A52" s="3">
        <v>2</v>
      </c>
      <c r="B52" s="3" t="s">
        <v>6</v>
      </c>
      <c r="C52" s="1" t="s">
        <v>6</v>
      </c>
      <c r="D52" s="1" t="s">
        <v>443</v>
      </c>
      <c r="E52" s="9" t="s">
        <v>144</v>
      </c>
      <c r="F52" s="3" t="s">
        <v>5</v>
      </c>
      <c r="G52" s="63" t="s">
        <v>744</v>
      </c>
      <c r="H52" s="8"/>
      <c r="I52" s="8"/>
      <c r="J52" s="75" t="s">
        <v>110</v>
      </c>
      <c r="K52" s="38">
        <v>20790</v>
      </c>
      <c r="L52" s="4" t="s">
        <v>26</v>
      </c>
      <c r="M52" s="11">
        <f>_xlfn.NUMBERVALUE(LEFT(Table613612[[#This Row],[Fiscal Year]], 4))</f>
        <v>2018</v>
      </c>
      <c r="N52" s="42">
        <f t="shared" si="3"/>
        <v>20790</v>
      </c>
      <c r="O52" s="3">
        <v>50</v>
      </c>
    </row>
    <row r="53" spans="1:15" x14ac:dyDescent="0.25">
      <c r="A53" s="3">
        <v>2</v>
      </c>
      <c r="B53" s="3" t="s">
        <v>6</v>
      </c>
      <c r="C53" s="1" t="s">
        <v>6</v>
      </c>
      <c r="D53" s="1" t="s">
        <v>443</v>
      </c>
      <c r="E53" s="9" t="s">
        <v>144</v>
      </c>
      <c r="F53" s="3" t="s">
        <v>5</v>
      </c>
      <c r="G53" s="63" t="s">
        <v>745</v>
      </c>
      <c r="H53" s="8"/>
      <c r="I53" s="8"/>
      <c r="J53" s="75" t="s">
        <v>110</v>
      </c>
      <c r="K53" s="38">
        <v>100</v>
      </c>
      <c r="L53" s="4" t="s">
        <v>26</v>
      </c>
      <c r="M53" s="11">
        <f>_xlfn.NUMBERVALUE(LEFT(Table613612[[#This Row],[Fiscal Year]], 4))</f>
        <v>2018</v>
      </c>
      <c r="N53" s="42">
        <f t="shared" si="3"/>
        <v>100</v>
      </c>
      <c r="O53" s="3">
        <v>51</v>
      </c>
    </row>
    <row r="54" spans="1:15" x14ac:dyDescent="0.25">
      <c r="A54" s="3">
        <v>2</v>
      </c>
      <c r="B54" s="3" t="s">
        <v>6</v>
      </c>
      <c r="C54" s="1" t="s">
        <v>6</v>
      </c>
      <c r="D54" s="1" t="s">
        <v>443</v>
      </c>
      <c r="E54" s="9" t="s">
        <v>144</v>
      </c>
      <c r="F54" s="3" t="s">
        <v>5</v>
      </c>
      <c r="G54" s="63" t="s">
        <v>746</v>
      </c>
      <c r="H54" s="8"/>
      <c r="I54" s="8"/>
      <c r="J54" s="8" t="s">
        <v>110</v>
      </c>
      <c r="K54" s="38">
        <v>10000</v>
      </c>
      <c r="L54" s="4" t="s">
        <v>26</v>
      </c>
      <c r="M54" s="11">
        <f>_xlfn.NUMBERVALUE(LEFT(Table613612[[#This Row],[Fiscal Year]], 4))</f>
        <v>2018</v>
      </c>
      <c r="N54" s="42">
        <f t="shared" si="3"/>
        <v>10000</v>
      </c>
      <c r="O54" s="3">
        <v>52</v>
      </c>
    </row>
    <row r="55" spans="1:15" x14ac:dyDescent="0.25">
      <c r="A55" s="3">
        <v>2</v>
      </c>
      <c r="B55" s="3" t="s">
        <v>6</v>
      </c>
      <c r="C55" s="1" t="s">
        <v>6</v>
      </c>
      <c r="D55" s="1" t="s">
        <v>443</v>
      </c>
      <c r="E55" s="9" t="s">
        <v>144</v>
      </c>
      <c r="F55" s="3" t="s">
        <v>5</v>
      </c>
      <c r="G55" s="63" t="s">
        <v>747</v>
      </c>
      <c r="H55" s="8"/>
      <c r="I55" s="8"/>
      <c r="J55" s="75" t="s">
        <v>110</v>
      </c>
      <c r="K55" s="38">
        <v>6000</v>
      </c>
      <c r="L55" s="4" t="s">
        <v>26</v>
      </c>
      <c r="M55" s="11">
        <f>_xlfn.NUMBERVALUE(LEFT(Table613612[[#This Row],[Fiscal Year]], 4))</f>
        <v>2018</v>
      </c>
      <c r="N55" s="42">
        <f t="shared" si="3"/>
        <v>6000</v>
      </c>
      <c r="O55" s="3">
        <v>53</v>
      </c>
    </row>
    <row r="56" spans="1:15" x14ac:dyDescent="0.25">
      <c r="A56" s="3">
        <v>2</v>
      </c>
      <c r="B56" s="3" t="s">
        <v>6</v>
      </c>
      <c r="C56" s="1" t="s">
        <v>6</v>
      </c>
      <c r="D56" s="1" t="s">
        <v>443</v>
      </c>
      <c r="E56" s="9" t="s">
        <v>144</v>
      </c>
      <c r="F56" s="3" t="s">
        <v>5</v>
      </c>
      <c r="G56" s="63" t="s">
        <v>748</v>
      </c>
      <c r="H56" s="44" t="s">
        <v>462</v>
      </c>
      <c r="I56" s="8" t="s">
        <v>461</v>
      </c>
      <c r="J56" s="8" t="s">
        <v>110</v>
      </c>
      <c r="K56" s="38">
        <v>250000</v>
      </c>
      <c r="L56" s="4" t="s">
        <v>26</v>
      </c>
      <c r="M56" s="11">
        <f>_xlfn.NUMBERVALUE(LEFT(Table613612[[#This Row],[Fiscal Year]], 4))</f>
        <v>2018</v>
      </c>
      <c r="N56" s="42">
        <f t="shared" si="3"/>
        <v>250000</v>
      </c>
      <c r="O56" s="3">
        <v>54</v>
      </c>
    </row>
    <row r="57" spans="1:15" x14ac:dyDescent="0.25">
      <c r="A57" s="3">
        <v>2</v>
      </c>
      <c r="B57" s="3" t="s">
        <v>6</v>
      </c>
      <c r="C57" s="1" t="s">
        <v>6</v>
      </c>
      <c r="D57" s="1" t="s">
        <v>443</v>
      </c>
      <c r="E57" s="9" t="s">
        <v>144</v>
      </c>
      <c r="F57" s="3" t="s">
        <v>5</v>
      </c>
      <c r="G57" s="63" t="s">
        <v>749</v>
      </c>
      <c r="H57" s="44"/>
      <c r="I57" s="8"/>
      <c r="J57" s="75" t="s">
        <v>110</v>
      </c>
      <c r="K57" s="38">
        <v>100000</v>
      </c>
      <c r="L57" s="4" t="s">
        <v>26</v>
      </c>
      <c r="M57" s="11">
        <f>_xlfn.NUMBERVALUE(LEFT(Table613612[[#This Row],[Fiscal Year]], 4))</f>
        <v>2018</v>
      </c>
      <c r="N57" s="42">
        <f t="shared" si="3"/>
        <v>100000</v>
      </c>
      <c r="O57" s="3">
        <v>55</v>
      </c>
    </row>
    <row r="58" spans="1:15" x14ac:dyDescent="0.25">
      <c r="A58" s="3">
        <v>2</v>
      </c>
      <c r="B58" s="3" t="s">
        <v>6</v>
      </c>
      <c r="C58" s="1" t="s">
        <v>6</v>
      </c>
      <c r="D58" s="1" t="s">
        <v>443</v>
      </c>
      <c r="E58" s="9" t="s">
        <v>144</v>
      </c>
      <c r="F58" s="3" t="s">
        <v>5</v>
      </c>
      <c r="G58" s="63" t="s">
        <v>750</v>
      </c>
      <c r="H58" s="44"/>
      <c r="I58" s="8"/>
      <c r="J58" s="75" t="s">
        <v>110</v>
      </c>
      <c r="K58" s="38">
        <v>110000</v>
      </c>
      <c r="L58" s="4" t="s">
        <v>26</v>
      </c>
      <c r="M58" s="11">
        <f>_xlfn.NUMBERVALUE(LEFT(Table613612[[#This Row],[Fiscal Year]], 4))</f>
        <v>2018</v>
      </c>
      <c r="N58" s="42">
        <f t="shared" si="3"/>
        <v>110000</v>
      </c>
      <c r="O58" s="3">
        <v>56</v>
      </c>
    </row>
    <row r="59" spans="1:15" x14ac:dyDescent="0.25">
      <c r="A59" s="3">
        <v>2</v>
      </c>
      <c r="B59" s="3" t="s">
        <v>6</v>
      </c>
      <c r="C59" s="1" t="s">
        <v>6</v>
      </c>
      <c r="D59" s="1" t="s">
        <v>443</v>
      </c>
      <c r="E59" s="9" t="s">
        <v>144</v>
      </c>
      <c r="F59" s="3" t="s">
        <v>5</v>
      </c>
      <c r="G59" s="48" t="s">
        <v>751</v>
      </c>
      <c r="H59" s="44" t="s">
        <v>463</v>
      </c>
      <c r="I59" s="8" t="s">
        <v>642</v>
      </c>
      <c r="J59" s="6" t="s">
        <v>108</v>
      </c>
      <c r="K59" s="38">
        <v>2500</v>
      </c>
      <c r="L59" s="4" t="s">
        <v>26</v>
      </c>
      <c r="M59" s="11">
        <f>_xlfn.NUMBERVALUE(LEFT(Table613612[[#This Row],[Fiscal Year]], 4))</f>
        <v>2018</v>
      </c>
      <c r="N59" s="42">
        <f t="shared" si="3"/>
        <v>2500</v>
      </c>
      <c r="O59" s="3">
        <v>57</v>
      </c>
    </row>
    <row r="60" spans="1:15" x14ac:dyDescent="0.25">
      <c r="A60" s="3">
        <v>2</v>
      </c>
      <c r="B60" s="3" t="s">
        <v>6</v>
      </c>
      <c r="C60" s="1" t="s">
        <v>6</v>
      </c>
      <c r="D60" s="1" t="s">
        <v>443</v>
      </c>
      <c r="E60" s="9" t="s">
        <v>144</v>
      </c>
      <c r="F60" s="3" t="s">
        <v>5</v>
      </c>
      <c r="G60" s="66" t="s">
        <v>752</v>
      </c>
      <c r="H60" s="8"/>
      <c r="I60" s="8"/>
      <c r="J60" s="6" t="s">
        <v>111</v>
      </c>
      <c r="K60" s="38">
        <v>160000</v>
      </c>
      <c r="L60" s="4" t="s">
        <v>26</v>
      </c>
      <c r="M60" s="11">
        <f>_xlfn.NUMBERVALUE(LEFT(Table613612[[#This Row],[Fiscal Year]], 4))</f>
        <v>2018</v>
      </c>
      <c r="N60" s="42">
        <f t="shared" si="3"/>
        <v>160000</v>
      </c>
      <c r="O60" s="3">
        <v>58</v>
      </c>
    </row>
    <row r="61" spans="1:15" x14ac:dyDescent="0.25">
      <c r="A61" s="3">
        <v>2</v>
      </c>
      <c r="B61" s="3" t="s">
        <v>6</v>
      </c>
      <c r="C61" s="1" t="s">
        <v>6</v>
      </c>
      <c r="D61" s="1" t="s">
        <v>443</v>
      </c>
      <c r="E61" s="9" t="s">
        <v>144</v>
      </c>
      <c r="F61" s="3" t="s">
        <v>5</v>
      </c>
      <c r="G61" s="66" t="s">
        <v>753</v>
      </c>
      <c r="H61" s="8"/>
      <c r="I61" s="8"/>
      <c r="J61" s="75" t="s">
        <v>111</v>
      </c>
      <c r="K61" s="38">
        <v>32004</v>
      </c>
      <c r="L61" s="4" t="s">
        <v>26</v>
      </c>
      <c r="M61" s="11">
        <f>_xlfn.NUMBERVALUE(LEFT(Table613612[[#This Row],[Fiscal Year]], 4))</f>
        <v>2018</v>
      </c>
      <c r="N61" s="42">
        <f t="shared" si="3"/>
        <v>32004</v>
      </c>
      <c r="O61" s="3">
        <v>59</v>
      </c>
    </row>
    <row r="62" spans="1:15" x14ac:dyDescent="0.25">
      <c r="A62" s="3">
        <v>2</v>
      </c>
      <c r="B62" s="3" t="s">
        <v>6</v>
      </c>
      <c r="C62" s="1" t="s">
        <v>6</v>
      </c>
      <c r="D62" s="1" t="s">
        <v>443</v>
      </c>
      <c r="E62" s="9" t="s">
        <v>144</v>
      </c>
      <c r="F62" s="3" t="s">
        <v>5</v>
      </c>
      <c r="G62" s="66" t="s">
        <v>754</v>
      </c>
      <c r="H62" s="8"/>
      <c r="I62" s="8"/>
      <c r="J62" s="75" t="s">
        <v>111</v>
      </c>
      <c r="K62" s="38">
        <v>40000</v>
      </c>
      <c r="L62" s="4" t="s">
        <v>26</v>
      </c>
      <c r="M62" s="11">
        <f>_xlfn.NUMBERVALUE(LEFT(Table613612[[#This Row],[Fiscal Year]], 4))</f>
        <v>2018</v>
      </c>
      <c r="N62" s="42">
        <f t="shared" si="3"/>
        <v>40000</v>
      </c>
      <c r="O62" s="3">
        <v>60</v>
      </c>
    </row>
    <row r="63" spans="1:15" x14ac:dyDescent="0.25">
      <c r="A63" s="3">
        <v>2</v>
      </c>
      <c r="B63" s="3" t="s">
        <v>6</v>
      </c>
      <c r="C63" s="1" t="s">
        <v>6</v>
      </c>
      <c r="D63" s="1" t="s">
        <v>443</v>
      </c>
      <c r="E63" s="9" t="s">
        <v>144</v>
      </c>
      <c r="F63" s="3" t="s">
        <v>5</v>
      </c>
      <c r="G63" s="66" t="s">
        <v>755</v>
      </c>
      <c r="H63" s="8"/>
      <c r="I63" s="8"/>
      <c r="J63" s="75" t="s">
        <v>111</v>
      </c>
      <c r="K63" s="38">
        <v>15000</v>
      </c>
      <c r="L63" s="4" t="s">
        <v>26</v>
      </c>
      <c r="M63" s="11">
        <f>_xlfn.NUMBERVALUE(LEFT(Table613612[[#This Row],[Fiscal Year]], 4))</f>
        <v>2018</v>
      </c>
      <c r="N63" s="42">
        <f t="shared" si="3"/>
        <v>15000</v>
      </c>
      <c r="O63" s="3">
        <v>61</v>
      </c>
    </row>
    <row r="64" spans="1:15" x14ac:dyDescent="0.25">
      <c r="A64" s="3">
        <v>2</v>
      </c>
      <c r="B64" s="3" t="s">
        <v>6</v>
      </c>
      <c r="C64" s="1" t="s">
        <v>6</v>
      </c>
      <c r="D64" s="1" t="s">
        <v>443</v>
      </c>
      <c r="E64" s="9" t="s">
        <v>144</v>
      </c>
      <c r="F64" s="3" t="s">
        <v>5</v>
      </c>
      <c r="G64" s="66" t="s">
        <v>756</v>
      </c>
      <c r="H64" s="8"/>
      <c r="I64" s="8"/>
      <c r="J64" s="75" t="s">
        <v>111</v>
      </c>
      <c r="K64" s="38">
        <v>150000</v>
      </c>
      <c r="L64" s="4" t="s">
        <v>26</v>
      </c>
      <c r="M64" s="11">
        <f>_xlfn.NUMBERVALUE(LEFT(Table613612[[#This Row],[Fiscal Year]], 4))</f>
        <v>2018</v>
      </c>
      <c r="N64" s="42">
        <f t="shared" si="3"/>
        <v>150000</v>
      </c>
      <c r="O64" s="3">
        <v>62</v>
      </c>
    </row>
    <row r="65" spans="1:15" x14ac:dyDescent="0.25">
      <c r="A65" s="3">
        <v>2</v>
      </c>
      <c r="B65" s="3" t="s">
        <v>6</v>
      </c>
      <c r="C65" s="1" t="s">
        <v>6</v>
      </c>
      <c r="D65" s="1" t="s">
        <v>443</v>
      </c>
      <c r="E65" s="9" t="s">
        <v>144</v>
      </c>
      <c r="F65" s="3" t="s">
        <v>5</v>
      </c>
      <c r="G65" s="66" t="s">
        <v>757</v>
      </c>
      <c r="H65" s="8"/>
      <c r="I65" s="8"/>
      <c r="J65" s="75" t="s">
        <v>111</v>
      </c>
      <c r="K65" s="38">
        <v>1500</v>
      </c>
      <c r="L65" s="4" t="s">
        <v>26</v>
      </c>
      <c r="M65" s="11">
        <f>_xlfn.NUMBERVALUE(LEFT(Table613612[[#This Row],[Fiscal Year]], 4))</f>
        <v>2018</v>
      </c>
      <c r="N65" s="42">
        <f t="shared" si="3"/>
        <v>1500</v>
      </c>
      <c r="O65" s="3">
        <v>63</v>
      </c>
    </row>
    <row r="66" spans="1:15" x14ac:dyDescent="0.25">
      <c r="A66" s="3">
        <v>2</v>
      </c>
      <c r="B66" s="3" t="s">
        <v>6</v>
      </c>
      <c r="C66" s="1" t="s">
        <v>6</v>
      </c>
      <c r="D66" s="1" t="s">
        <v>443</v>
      </c>
      <c r="E66" s="9" t="s">
        <v>144</v>
      </c>
      <c r="F66" s="3" t="s">
        <v>5</v>
      </c>
      <c r="G66" s="66" t="s">
        <v>758</v>
      </c>
      <c r="H66" s="8"/>
      <c r="I66" s="8"/>
      <c r="J66" s="75" t="s">
        <v>111</v>
      </c>
      <c r="K66" s="38">
        <v>4500</v>
      </c>
      <c r="L66" s="4" t="s">
        <v>26</v>
      </c>
      <c r="M66" s="11">
        <f>_xlfn.NUMBERVALUE(LEFT(Table613612[[#This Row],[Fiscal Year]], 4))</f>
        <v>2018</v>
      </c>
      <c r="N66" s="42">
        <f t="shared" si="3"/>
        <v>4500</v>
      </c>
      <c r="O66" s="3">
        <v>64</v>
      </c>
    </row>
    <row r="67" spans="1:15" x14ac:dyDescent="0.25">
      <c r="A67" s="3">
        <v>2</v>
      </c>
      <c r="B67" s="3" t="s">
        <v>6</v>
      </c>
      <c r="C67" s="1" t="s">
        <v>6</v>
      </c>
      <c r="D67" s="1" t="s">
        <v>443</v>
      </c>
      <c r="E67" s="9" t="s">
        <v>144</v>
      </c>
      <c r="F67" s="3" t="s">
        <v>5</v>
      </c>
      <c r="G67" s="66" t="s">
        <v>759</v>
      </c>
      <c r="H67" s="8"/>
      <c r="I67" s="8"/>
      <c r="J67" s="75" t="s">
        <v>111</v>
      </c>
      <c r="K67" s="38">
        <v>0</v>
      </c>
      <c r="L67" s="4" t="s">
        <v>26</v>
      </c>
      <c r="M67" s="11">
        <f>_xlfn.NUMBERVALUE(LEFT(Table613612[[#This Row],[Fiscal Year]], 4))</f>
        <v>2018</v>
      </c>
      <c r="N67" s="43">
        <f t="shared" si="3"/>
        <v>0</v>
      </c>
      <c r="O67" s="3">
        <v>65</v>
      </c>
    </row>
    <row r="68" spans="1:15" x14ac:dyDescent="0.25">
      <c r="A68" s="3">
        <v>2</v>
      </c>
      <c r="B68" s="3" t="s">
        <v>6</v>
      </c>
      <c r="C68" s="1" t="s">
        <v>6</v>
      </c>
      <c r="D68" s="1" t="s">
        <v>443</v>
      </c>
      <c r="E68" s="9" t="s">
        <v>144</v>
      </c>
      <c r="F68" s="3" t="s">
        <v>5</v>
      </c>
      <c r="G68" s="66" t="s">
        <v>760</v>
      </c>
      <c r="H68" s="8"/>
      <c r="I68" s="8"/>
      <c r="J68" s="75" t="s">
        <v>111</v>
      </c>
      <c r="K68" s="38">
        <v>20000</v>
      </c>
      <c r="L68" s="4" t="s">
        <v>26</v>
      </c>
      <c r="M68" s="11">
        <f>_xlfn.NUMBERVALUE(LEFT(Table613612[[#This Row],[Fiscal Year]], 4))</f>
        <v>2018</v>
      </c>
      <c r="N68" s="42">
        <f t="shared" si="3"/>
        <v>20000</v>
      </c>
      <c r="O68" s="3">
        <v>66</v>
      </c>
    </row>
    <row r="69" spans="1:15" x14ac:dyDescent="0.25">
      <c r="A69" s="3">
        <v>2</v>
      </c>
      <c r="B69" s="3" t="s">
        <v>6</v>
      </c>
      <c r="C69" s="1" t="s">
        <v>6</v>
      </c>
      <c r="D69" s="1" t="s">
        <v>443</v>
      </c>
      <c r="E69" s="9" t="s">
        <v>144</v>
      </c>
      <c r="F69" s="3" t="s">
        <v>5</v>
      </c>
      <c r="G69" s="66" t="s">
        <v>761</v>
      </c>
      <c r="H69" s="8"/>
      <c r="I69" s="8"/>
      <c r="J69" s="75" t="s">
        <v>111</v>
      </c>
      <c r="K69" s="38">
        <v>2500</v>
      </c>
      <c r="L69" s="4" t="s">
        <v>26</v>
      </c>
      <c r="M69" s="11">
        <f>_xlfn.NUMBERVALUE(LEFT(Table613612[[#This Row],[Fiscal Year]], 4))</f>
        <v>2018</v>
      </c>
      <c r="N69" s="42">
        <f t="shared" si="3"/>
        <v>2500</v>
      </c>
      <c r="O69" s="3">
        <v>67</v>
      </c>
    </row>
    <row r="70" spans="1:15" x14ac:dyDescent="0.25">
      <c r="A70" s="3">
        <v>2</v>
      </c>
      <c r="B70" s="3" t="s">
        <v>6</v>
      </c>
      <c r="C70" s="1" t="s">
        <v>6</v>
      </c>
      <c r="D70" s="1" t="s">
        <v>443</v>
      </c>
      <c r="E70" s="9" t="s">
        <v>144</v>
      </c>
      <c r="F70" s="3" t="s">
        <v>5</v>
      </c>
      <c r="G70" s="66" t="s">
        <v>762</v>
      </c>
      <c r="H70" s="8"/>
      <c r="I70" s="8"/>
      <c r="J70" s="75" t="s">
        <v>110</v>
      </c>
      <c r="K70" s="38">
        <v>5550</v>
      </c>
      <c r="L70" s="4" t="s">
        <v>26</v>
      </c>
      <c r="M70" s="11">
        <f>_xlfn.NUMBERVALUE(LEFT(Table613612[[#This Row],[Fiscal Year]], 4))</f>
        <v>2018</v>
      </c>
      <c r="N70" s="42">
        <f t="shared" si="3"/>
        <v>5550</v>
      </c>
      <c r="O70" s="3">
        <v>68</v>
      </c>
    </row>
    <row r="71" spans="1:15" x14ac:dyDescent="0.25">
      <c r="A71" s="3">
        <v>2</v>
      </c>
      <c r="B71" s="3" t="s">
        <v>6</v>
      </c>
      <c r="C71" s="1" t="s">
        <v>6</v>
      </c>
      <c r="D71" s="1" t="s">
        <v>443</v>
      </c>
      <c r="E71" s="9" t="s">
        <v>144</v>
      </c>
      <c r="F71" s="3" t="s">
        <v>5</v>
      </c>
      <c r="G71" s="48" t="s">
        <v>763</v>
      </c>
      <c r="H71" s="44" t="s">
        <v>464</v>
      </c>
      <c r="I71" s="8" t="s">
        <v>642</v>
      </c>
      <c r="J71" s="6" t="s">
        <v>109</v>
      </c>
      <c r="K71" s="38">
        <v>4000</v>
      </c>
      <c r="L71" s="4" t="s">
        <v>26</v>
      </c>
      <c r="M71" s="11">
        <f>_xlfn.NUMBERVALUE(LEFT(Table613612[[#This Row],[Fiscal Year]], 4))</f>
        <v>2018</v>
      </c>
      <c r="N71" s="42">
        <f t="shared" si="3"/>
        <v>4000</v>
      </c>
      <c r="O71" s="3">
        <v>69</v>
      </c>
    </row>
    <row r="72" spans="1:15" x14ac:dyDescent="0.25">
      <c r="A72" s="3">
        <v>2</v>
      </c>
      <c r="B72" s="3" t="s">
        <v>6</v>
      </c>
      <c r="C72" s="1" t="s">
        <v>6</v>
      </c>
      <c r="D72" s="1" t="s">
        <v>443</v>
      </c>
      <c r="E72" s="9" t="s">
        <v>144</v>
      </c>
      <c r="F72" s="3" t="s">
        <v>5</v>
      </c>
      <c r="G72" s="66" t="s">
        <v>764</v>
      </c>
      <c r="H72" s="8"/>
      <c r="I72" s="8"/>
      <c r="J72" s="6" t="s">
        <v>106</v>
      </c>
      <c r="K72" s="38">
        <v>10000</v>
      </c>
      <c r="L72" s="4" t="s">
        <v>26</v>
      </c>
      <c r="M72" s="11">
        <f>_xlfn.NUMBERVALUE(LEFT(Table613612[[#This Row],[Fiscal Year]], 4))</f>
        <v>2018</v>
      </c>
      <c r="N72" s="42">
        <f t="shared" si="3"/>
        <v>10000</v>
      </c>
      <c r="O72" s="3">
        <v>70</v>
      </c>
    </row>
    <row r="73" spans="1:15" x14ac:dyDescent="0.25">
      <c r="A73" s="3">
        <v>2</v>
      </c>
      <c r="B73" s="3" t="s">
        <v>6</v>
      </c>
      <c r="C73" s="1" t="s">
        <v>6</v>
      </c>
      <c r="D73" s="1" t="s">
        <v>443</v>
      </c>
      <c r="E73" s="9" t="s">
        <v>144</v>
      </c>
      <c r="F73" s="3" t="s">
        <v>5</v>
      </c>
      <c r="G73" s="63" t="s">
        <v>765</v>
      </c>
      <c r="H73" s="8"/>
      <c r="I73" s="8"/>
      <c r="J73" s="75" t="s">
        <v>107</v>
      </c>
      <c r="K73" s="38">
        <v>0</v>
      </c>
      <c r="L73" s="4" t="s">
        <v>26</v>
      </c>
      <c r="M73" s="11">
        <f>_xlfn.NUMBERVALUE(LEFT(Table613612[[#This Row],[Fiscal Year]], 4))</f>
        <v>2018</v>
      </c>
      <c r="N73" s="43">
        <f>K73*(1+VLOOKUP(M73,$AF$8:$AH$31,3,0))</f>
        <v>0</v>
      </c>
      <c r="O73" s="3">
        <v>71</v>
      </c>
    </row>
    <row r="74" spans="1:15" x14ac:dyDescent="0.25">
      <c r="A74" s="3">
        <v>2</v>
      </c>
      <c r="B74" s="3" t="s">
        <v>6</v>
      </c>
      <c r="C74" s="1" t="s">
        <v>6</v>
      </c>
      <c r="D74" s="1" t="s">
        <v>443</v>
      </c>
      <c r="E74" s="9" t="s">
        <v>144</v>
      </c>
      <c r="F74" s="3" t="s">
        <v>5</v>
      </c>
      <c r="G74" s="63" t="s">
        <v>766</v>
      </c>
      <c r="H74" s="44" t="s">
        <v>465</v>
      </c>
      <c r="I74" s="8" t="s">
        <v>642</v>
      </c>
      <c r="J74" s="6" t="s">
        <v>107</v>
      </c>
      <c r="K74" s="38">
        <v>0</v>
      </c>
      <c r="L74" s="4" t="s">
        <v>26</v>
      </c>
      <c r="M74" s="11">
        <f>_xlfn.NUMBERVALUE(LEFT(Table613612[[#This Row],[Fiscal Year]], 4))</f>
        <v>2018</v>
      </c>
      <c r="N74" s="43">
        <f t="shared" ref="N74:N162" si="4">K74*(1+VLOOKUP(M74,$AF$8:$AH$31,3,0))</f>
        <v>0</v>
      </c>
      <c r="O74" s="3">
        <v>72</v>
      </c>
    </row>
    <row r="75" spans="1:15" ht="15" customHeight="1" x14ac:dyDescent="0.25">
      <c r="A75" s="3">
        <v>2</v>
      </c>
      <c r="B75" s="3" t="s">
        <v>6</v>
      </c>
      <c r="C75" s="1" t="s">
        <v>6</v>
      </c>
      <c r="D75" s="1" t="s">
        <v>443</v>
      </c>
      <c r="E75" s="9" t="s">
        <v>144</v>
      </c>
      <c r="F75" s="3" t="s">
        <v>5</v>
      </c>
      <c r="G75" s="63" t="s">
        <v>767</v>
      </c>
      <c r="H75" s="44"/>
      <c r="I75" s="8"/>
      <c r="J75" s="75" t="s">
        <v>42</v>
      </c>
      <c r="K75" s="38">
        <v>150000</v>
      </c>
      <c r="L75" s="4" t="s">
        <v>26</v>
      </c>
      <c r="M75" s="11">
        <f>_xlfn.NUMBERVALUE(LEFT(Table613612[[#This Row],[Fiscal Year]], 4))</f>
        <v>2018</v>
      </c>
      <c r="N75" s="42">
        <f t="shared" si="4"/>
        <v>150000</v>
      </c>
      <c r="O75" s="3">
        <v>73</v>
      </c>
    </row>
    <row r="76" spans="1:15" x14ac:dyDescent="0.25">
      <c r="A76" s="3">
        <v>2</v>
      </c>
      <c r="B76" s="3" t="s">
        <v>6</v>
      </c>
      <c r="C76" s="1" t="s">
        <v>6</v>
      </c>
      <c r="D76" s="1" t="s">
        <v>443</v>
      </c>
      <c r="E76" s="9" t="s">
        <v>144</v>
      </c>
      <c r="F76" s="3" t="s">
        <v>5</v>
      </c>
      <c r="G76" s="63" t="s">
        <v>768</v>
      </c>
      <c r="H76" s="44"/>
      <c r="I76" s="8"/>
      <c r="J76" s="75" t="s">
        <v>42</v>
      </c>
      <c r="K76" s="38">
        <v>2922</v>
      </c>
      <c r="L76" s="4" t="s">
        <v>26</v>
      </c>
      <c r="M76" s="11">
        <f>_xlfn.NUMBERVALUE(LEFT(Table613612[[#This Row],[Fiscal Year]], 4))</f>
        <v>2018</v>
      </c>
      <c r="N76" s="42">
        <f t="shared" si="4"/>
        <v>2922</v>
      </c>
      <c r="O76" s="3">
        <v>74</v>
      </c>
    </row>
    <row r="77" spans="1:15" x14ac:dyDescent="0.25">
      <c r="A77" s="3">
        <v>2</v>
      </c>
      <c r="B77" s="3" t="s">
        <v>6</v>
      </c>
      <c r="C77" s="1" t="s">
        <v>6</v>
      </c>
      <c r="D77" s="1" t="s">
        <v>443</v>
      </c>
      <c r="E77" s="9" t="s">
        <v>144</v>
      </c>
      <c r="F77" s="3" t="s">
        <v>5</v>
      </c>
      <c r="G77" s="63" t="s">
        <v>769</v>
      </c>
      <c r="H77" s="46"/>
      <c r="I77" s="46"/>
      <c r="J77" s="6" t="s">
        <v>453</v>
      </c>
      <c r="K77" s="38">
        <v>2000</v>
      </c>
      <c r="L77" s="4" t="s">
        <v>26</v>
      </c>
      <c r="M77" s="11">
        <f>_xlfn.NUMBERVALUE(LEFT(Table613612[[#This Row],[Fiscal Year]], 4))</f>
        <v>2018</v>
      </c>
      <c r="N77" s="42">
        <f t="shared" si="4"/>
        <v>2000</v>
      </c>
      <c r="O77" s="3">
        <v>75</v>
      </c>
    </row>
    <row r="78" spans="1:15" x14ac:dyDescent="0.25">
      <c r="A78" s="3">
        <v>2</v>
      </c>
      <c r="B78" s="3" t="s">
        <v>6</v>
      </c>
      <c r="C78" s="1" t="s">
        <v>6</v>
      </c>
      <c r="D78" s="1" t="s">
        <v>443</v>
      </c>
      <c r="E78" s="9" t="s">
        <v>144</v>
      </c>
      <c r="F78" s="3" t="s">
        <v>5</v>
      </c>
      <c r="G78" s="63" t="s">
        <v>770</v>
      </c>
      <c r="H78" s="46"/>
      <c r="I78" s="46"/>
      <c r="J78" s="75" t="s">
        <v>42</v>
      </c>
      <c r="K78" s="38">
        <v>15000</v>
      </c>
      <c r="L78" s="4" t="s">
        <v>26</v>
      </c>
      <c r="M78" s="11">
        <f>_xlfn.NUMBERVALUE(LEFT(Table613612[[#This Row],[Fiscal Year]], 4))</f>
        <v>2018</v>
      </c>
      <c r="N78" s="42">
        <f t="shared" si="4"/>
        <v>15000</v>
      </c>
      <c r="O78" s="3">
        <v>76</v>
      </c>
    </row>
    <row r="79" spans="1:15" x14ac:dyDescent="0.25">
      <c r="A79" s="3">
        <v>2</v>
      </c>
      <c r="B79" s="3" t="s">
        <v>6</v>
      </c>
      <c r="C79" s="1" t="s">
        <v>6</v>
      </c>
      <c r="D79" s="1" t="s">
        <v>443</v>
      </c>
      <c r="E79" s="9" t="s">
        <v>144</v>
      </c>
      <c r="F79" s="3" t="s">
        <v>5</v>
      </c>
      <c r="G79" s="63" t="s">
        <v>771</v>
      </c>
      <c r="H79" s="46"/>
      <c r="I79" s="46"/>
      <c r="J79" s="75" t="s">
        <v>105</v>
      </c>
      <c r="K79" s="38">
        <v>6000</v>
      </c>
      <c r="L79" s="4" t="s">
        <v>26</v>
      </c>
      <c r="M79" s="11">
        <f>_xlfn.NUMBERVALUE(LEFT(Table613612[[#This Row],[Fiscal Year]], 4))</f>
        <v>2018</v>
      </c>
      <c r="N79" s="42">
        <f t="shared" si="4"/>
        <v>6000</v>
      </c>
      <c r="O79" s="3">
        <v>77</v>
      </c>
    </row>
    <row r="80" spans="1:15" x14ac:dyDescent="0.25">
      <c r="A80" s="3">
        <v>2</v>
      </c>
      <c r="B80" s="3" t="s">
        <v>6</v>
      </c>
      <c r="C80" s="1" t="s">
        <v>6</v>
      </c>
      <c r="D80" s="1" t="s">
        <v>443</v>
      </c>
      <c r="E80" s="9" t="s">
        <v>144</v>
      </c>
      <c r="F80" s="3" t="s">
        <v>5</v>
      </c>
      <c r="G80" s="63" t="s">
        <v>772</v>
      </c>
      <c r="H80" s="46"/>
      <c r="I80" s="46"/>
      <c r="J80" s="75" t="s">
        <v>42</v>
      </c>
      <c r="K80" s="38">
        <v>20000</v>
      </c>
      <c r="L80" s="4" t="s">
        <v>26</v>
      </c>
      <c r="M80" s="11">
        <f>_xlfn.NUMBERVALUE(LEFT(Table613612[[#This Row],[Fiscal Year]], 4))</f>
        <v>2018</v>
      </c>
      <c r="N80" s="42">
        <f t="shared" si="4"/>
        <v>20000</v>
      </c>
      <c r="O80" s="3">
        <v>78</v>
      </c>
    </row>
    <row r="81" spans="1:15" x14ac:dyDescent="0.25">
      <c r="A81" s="3">
        <v>2</v>
      </c>
      <c r="B81" s="3" t="s">
        <v>6</v>
      </c>
      <c r="C81" s="1" t="s">
        <v>6</v>
      </c>
      <c r="D81" s="1" t="s">
        <v>443</v>
      </c>
      <c r="E81" s="9" t="s">
        <v>144</v>
      </c>
      <c r="F81" s="3" t="s">
        <v>5</v>
      </c>
      <c r="G81" s="63" t="s">
        <v>773</v>
      </c>
      <c r="H81" s="46"/>
      <c r="I81" s="46"/>
      <c r="J81" s="75" t="s">
        <v>42</v>
      </c>
      <c r="K81" s="38">
        <v>2000</v>
      </c>
      <c r="L81" s="4" t="s">
        <v>26</v>
      </c>
      <c r="M81" s="11">
        <f>_xlfn.NUMBERVALUE(LEFT(Table613612[[#This Row],[Fiscal Year]], 4))</f>
        <v>2018</v>
      </c>
      <c r="N81" s="42">
        <f t="shared" si="4"/>
        <v>2000</v>
      </c>
      <c r="O81" s="3">
        <v>79</v>
      </c>
    </row>
    <row r="82" spans="1:15" x14ac:dyDescent="0.25">
      <c r="A82" s="3">
        <v>2</v>
      </c>
      <c r="B82" s="3" t="s">
        <v>6</v>
      </c>
      <c r="C82" s="1" t="s">
        <v>6</v>
      </c>
      <c r="D82" s="1" t="s">
        <v>443</v>
      </c>
      <c r="E82" s="9" t="s">
        <v>144</v>
      </c>
      <c r="F82" s="3" t="s">
        <v>5</v>
      </c>
      <c r="G82" s="63" t="s">
        <v>774</v>
      </c>
      <c r="H82" s="46"/>
      <c r="I82" s="46"/>
      <c r="J82" s="75" t="s">
        <v>42</v>
      </c>
      <c r="K82" s="38">
        <v>5000</v>
      </c>
      <c r="L82" s="4" t="s">
        <v>26</v>
      </c>
      <c r="M82" s="11">
        <f>_xlfn.NUMBERVALUE(LEFT(Table613612[[#This Row],[Fiscal Year]], 4))</f>
        <v>2018</v>
      </c>
      <c r="N82" s="42">
        <f t="shared" si="4"/>
        <v>5000</v>
      </c>
      <c r="O82" s="3">
        <v>80</v>
      </c>
    </row>
    <row r="83" spans="1:15" x14ac:dyDescent="0.25">
      <c r="A83" s="3">
        <v>2</v>
      </c>
      <c r="B83" s="3" t="s">
        <v>6</v>
      </c>
      <c r="C83" s="1" t="s">
        <v>6</v>
      </c>
      <c r="D83" s="1" t="s">
        <v>443</v>
      </c>
      <c r="E83" s="9" t="s">
        <v>144</v>
      </c>
      <c r="F83" s="3" t="s">
        <v>5</v>
      </c>
      <c r="G83" s="67" t="s">
        <v>775</v>
      </c>
      <c r="H83" s="46"/>
      <c r="I83" s="46"/>
      <c r="J83" s="75" t="s">
        <v>47</v>
      </c>
      <c r="K83" s="38">
        <v>163532</v>
      </c>
      <c r="L83" s="4" t="s">
        <v>26</v>
      </c>
      <c r="M83" s="11">
        <f>_xlfn.NUMBERVALUE(LEFT(Table613612[[#This Row],[Fiscal Year]], 4))</f>
        <v>2018</v>
      </c>
      <c r="N83" s="42">
        <f t="shared" si="4"/>
        <v>163532</v>
      </c>
      <c r="O83" s="3">
        <v>81</v>
      </c>
    </row>
    <row r="84" spans="1:15" x14ac:dyDescent="0.25">
      <c r="A84" s="3">
        <v>2</v>
      </c>
      <c r="B84" s="3" t="s">
        <v>6</v>
      </c>
      <c r="C84" s="1" t="s">
        <v>6</v>
      </c>
      <c r="D84" s="1" t="s">
        <v>443</v>
      </c>
      <c r="E84" s="9" t="s">
        <v>144</v>
      </c>
      <c r="F84" s="3" t="s">
        <v>5</v>
      </c>
      <c r="G84" s="67" t="s">
        <v>776</v>
      </c>
      <c r="H84" s="46"/>
      <c r="I84" s="46"/>
      <c r="J84" s="75" t="s">
        <v>47</v>
      </c>
      <c r="K84" s="38">
        <v>240000</v>
      </c>
      <c r="L84" s="4" t="s">
        <v>26</v>
      </c>
      <c r="M84" s="11">
        <f>_xlfn.NUMBERVALUE(LEFT(Table613612[[#This Row],[Fiscal Year]], 4))</f>
        <v>2018</v>
      </c>
      <c r="N84" s="42">
        <f t="shared" si="4"/>
        <v>240000</v>
      </c>
      <c r="O84" s="3">
        <v>82</v>
      </c>
    </row>
    <row r="85" spans="1:15" x14ac:dyDescent="0.25">
      <c r="A85" s="3">
        <v>2</v>
      </c>
      <c r="B85" s="3" t="s">
        <v>6</v>
      </c>
      <c r="C85" s="1" t="s">
        <v>6</v>
      </c>
      <c r="D85" s="1" t="s">
        <v>443</v>
      </c>
      <c r="E85" s="9" t="s">
        <v>144</v>
      </c>
      <c r="F85" s="3" t="s">
        <v>5</v>
      </c>
      <c r="G85" s="67" t="s">
        <v>777</v>
      </c>
      <c r="H85" s="46"/>
      <c r="I85" s="46"/>
      <c r="J85" s="75" t="s">
        <v>47</v>
      </c>
      <c r="K85" s="38">
        <v>0</v>
      </c>
      <c r="L85" s="4" t="s">
        <v>26</v>
      </c>
      <c r="M85" s="11">
        <f>_xlfn.NUMBERVALUE(LEFT(Table613612[[#This Row],[Fiscal Year]], 4))</f>
        <v>2018</v>
      </c>
      <c r="N85" s="43">
        <f t="shared" si="4"/>
        <v>0</v>
      </c>
      <c r="O85" s="3">
        <v>83</v>
      </c>
    </row>
    <row r="86" spans="1:15" x14ac:dyDescent="0.25">
      <c r="A86" s="3">
        <v>2</v>
      </c>
      <c r="B86" s="3" t="s">
        <v>6</v>
      </c>
      <c r="C86" s="1" t="s">
        <v>6</v>
      </c>
      <c r="D86" s="1" t="s">
        <v>443</v>
      </c>
      <c r="E86" s="9" t="s">
        <v>144</v>
      </c>
      <c r="F86" s="3" t="s">
        <v>5</v>
      </c>
      <c r="G86" s="67" t="s">
        <v>778</v>
      </c>
      <c r="H86" s="6"/>
      <c r="I86" s="8"/>
      <c r="J86" s="6" t="s">
        <v>47</v>
      </c>
      <c r="K86" s="38">
        <v>110000</v>
      </c>
      <c r="L86" s="4" t="s">
        <v>26</v>
      </c>
      <c r="M86" s="11">
        <f>_xlfn.NUMBERVALUE(LEFT(Table613612[[#This Row],[Fiscal Year]], 4))</f>
        <v>2018</v>
      </c>
      <c r="N86" s="42">
        <f>K86*(1+VLOOKUP(M86,$AF$8:$AH$31,3,0))</f>
        <v>110000</v>
      </c>
      <c r="O86" s="3">
        <v>84</v>
      </c>
    </row>
    <row r="87" spans="1:15" x14ac:dyDescent="0.25">
      <c r="A87" s="3">
        <v>2</v>
      </c>
      <c r="B87" s="3" t="s">
        <v>6</v>
      </c>
      <c r="C87" s="1" t="s">
        <v>6</v>
      </c>
      <c r="D87" s="1" t="s">
        <v>443</v>
      </c>
      <c r="E87" s="9" t="s">
        <v>144</v>
      </c>
      <c r="F87" s="3" t="s">
        <v>5</v>
      </c>
      <c r="G87" s="67" t="s">
        <v>779</v>
      </c>
      <c r="H87" s="6"/>
      <c r="I87" s="8"/>
      <c r="J87" s="75" t="s">
        <v>47</v>
      </c>
      <c r="K87" s="38">
        <v>0</v>
      </c>
      <c r="L87" s="4" t="s">
        <v>26</v>
      </c>
      <c r="M87" s="11">
        <f>_xlfn.NUMBERVALUE(LEFT(Table613612[[#This Row],[Fiscal Year]], 4))</f>
        <v>2018</v>
      </c>
      <c r="N87" s="43">
        <f t="shared" ref="N87:N97" si="5">K87*(1+VLOOKUP(M87,$AF$8:$AH$31,3,0))</f>
        <v>0</v>
      </c>
      <c r="O87" s="3">
        <v>85</v>
      </c>
    </row>
    <row r="88" spans="1:15" x14ac:dyDescent="0.25">
      <c r="A88" s="3">
        <v>2</v>
      </c>
      <c r="B88" s="3" t="s">
        <v>6</v>
      </c>
      <c r="C88" s="1" t="s">
        <v>6</v>
      </c>
      <c r="D88" s="1" t="s">
        <v>443</v>
      </c>
      <c r="E88" s="9" t="s">
        <v>144</v>
      </c>
      <c r="F88" s="3" t="s">
        <v>5</v>
      </c>
      <c r="G88" s="67" t="s">
        <v>780</v>
      </c>
      <c r="H88" s="6"/>
      <c r="I88" s="8"/>
      <c r="J88" s="75" t="s">
        <v>47</v>
      </c>
      <c r="K88" s="38">
        <v>3700</v>
      </c>
      <c r="L88" s="4" t="s">
        <v>26</v>
      </c>
      <c r="M88" s="11">
        <f>_xlfn.NUMBERVALUE(LEFT(Table613612[[#This Row],[Fiscal Year]], 4))</f>
        <v>2018</v>
      </c>
      <c r="N88" s="42">
        <f t="shared" si="5"/>
        <v>3700</v>
      </c>
      <c r="O88" s="3">
        <v>86</v>
      </c>
    </row>
    <row r="89" spans="1:15" x14ac:dyDescent="0.25">
      <c r="A89" s="3">
        <v>2</v>
      </c>
      <c r="B89" s="3" t="s">
        <v>6</v>
      </c>
      <c r="C89" s="1" t="s">
        <v>6</v>
      </c>
      <c r="D89" s="1" t="s">
        <v>443</v>
      </c>
      <c r="E89" s="9" t="s">
        <v>144</v>
      </c>
      <c r="F89" s="3" t="s">
        <v>5</v>
      </c>
      <c r="G89" s="67" t="s">
        <v>781</v>
      </c>
      <c r="H89" s="6"/>
      <c r="I89" s="8"/>
      <c r="J89" s="75" t="s">
        <v>47</v>
      </c>
      <c r="K89" s="38">
        <v>155000</v>
      </c>
      <c r="L89" s="4" t="s">
        <v>26</v>
      </c>
      <c r="M89" s="11">
        <f>_xlfn.NUMBERVALUE(LEFT(Table613612[[#This Row],[Fiscal Year]], 4))</f>
        <v>2018</v>
      </c>
      <c r="N89" s="42">
        <f t="shared" si="5"/>
        <v>155000</v>
      </c>
      <c r="O89" s="3">
        <v>87</v>
      </c>
    </row>
    <row r="90" spans="1:15" x14ac:dyDescent="0.25">
      <c r="A90" s="3">
        <v>2</v>
      </c>
      <c r="B90" s="3" t="s">
        <v>6</v>
      </c>
      <c r="C90" s="1" t="s">
        <v>6</v>
      </c>
      <c r="D90" s="1" t="s">
        <v>443</v>
      </c>
      <c r="E90" s="9" t="s">
        <v>144</v>
      </c>
      <c r="F90" s="3" t="s">
        <v>5</v>
      </c>
      <c r="G90" s="67" t="s">
        <v>782</v>
      </c>
      <c r="H90" s="6"/>
      <c r="I90" s="8"/>
      <c r="J90" s="75" t="s">
        <v>47</v>
      </c>
      <c r="K90" s="38">
        <v>85000</v>
      </c>
      <c r="L90" s="4" t="s">
        <v>26</v>
      </c>
      <c r="M90" s="11">
        <f>_xlfn.NUMBERVALUE(LEFT(Table613612[[#This Row],[Fiscal Year]], 4))</f>
        <v>2018</v>
      </c>
      <c r="N90" s="42">
        <f t="shared" si="5"/>
        <v>85000</v>
      </c>
      <c r="O90" s="3">
        <v>88</v>
      </c>
    </row>
    <row r="91" spans="1:15" x14ac:dyDescent="0.25">
      <c r="A91" s="3">
        <v>2</v>
      </c>
      <c r="B91" s="3" t="s">
        <v>6</v>
      </c>
      <c r="C91" s="1" t="s">
        <v>6</v>
      </c>
      <c r="D91" s="1" t="s">
        <v>443</v>
      </c>
      <c r="E91" s="9" t="s">
        <v>144</v>
      </c>
      <c r="F91" s="3" t="s">
        <v>5</v>
      </c>
      <c r="G91" s="67" t="s">
        <v>783</v>
      </c>
      <c r="H91" s="6"/>
      <c r="I91" s="8"/>
      <c r="J91" s="75" t="s">
        <v>47</v>
      </c>
      <c r="K91" s="38">
        <v>0</v>
      </c>
      <c r="L91" s="4" t="s">
        <v>26</v>
      </c>
      <c r="M91" s="11">
        <f>_xlfn.NUMBERVALUE(LEFT(Table613612[[#This Row],[Fiscal Year]], 4))</f>
        <v>2018</v>
      </c>
      <c r="N91" s="43">
        <f t="shared" si="5"/>
        <v>0</v>
      </c>
      <c r="O91" s="3">
        <v>89</v>
      </c>
    </row>
    <row r="92" spans="1:15" x14ac:dyDescent="0.25">
      <c r="A92" s="3">
        <v>2</v>
      </c>
      <c r="B92" s="3" t="s">
        <v>6</v>
      </c>
      <c r="C92" s="1" t="s">
        <v>6</v>
      </c>
      <c r="D92" s="1" t="s">
        <v>443</v>
      </c>
      <c r="E92" s="9" t="s">
        <v>144</v>
      </c>
      <c r="F92" s="3" t="s">
        <v>5</v>
      </c>
      <c r="G92" s="67" t="s">
        <v>784</v>
      </c>
      <c r="H92" s="6"/>
      <c r="I92" s="8"/>
      <c r="J92" s="75" t="s">
        <v>47</v>
      </c>
      <c r="K92" s="38">
        <v>4995</v>
      </c>
      <c r="L92" s="4" t="s">
        <v>26</v>
      </c>
      <c r="M92" s="11">
        <f>_xlfn.NUMBERVALUE(LEFT(Table613612[[#This Row],[Fiscal Year]], 4))</f>
        <v>2018</v>
      </c>
      <c r="N92" s="42">
        <f t="shared" si="5"/>
        <v>4995</v>
      </c>
      <c r="O92" s="3">
        <v>90</v>
      </c>
    </row>
    <row r="93" spans="1:15" x14ac:dyDescent="0.25">
      <c r="A93" s="3">
        <v>2</v>
      </c>
      <c r="B93" s="3" t="s">
        <v>6</v>
      </c>
      <c r="C93" s="1" t="s">
        <v>6</v>
      </c>
      <c r="D93" s="1" t="s">
        <v>443</v>
      </c>
      <c r="E93" s="9" t="s">
        <v>144</v>
      </c>
      <c r="F93" s="3" t="s">
        <v>5</v>
      </c>
      <c r="G93" s="67" t="s">
        <v>785</v>
      </c>
      <c r="H93" s="6"/>
      <c r="I93" s="8"/>
      <c r="J93" s="75" t="s">
        <v>47</v>
      </c>
      <c r="K93" s="38">
        <v>9250</v>
      </c>
      <c r="L93" s="4" t="s">
        <v>26</v>
      </c>
      <c r="M93" s="11">
        <f>_xlfn.NUMBERVALUE(LEFT(Table613612[[#This Row],[Fiscal Year]], 4))</f>
        <v>2018</v>
      </c>
      <c r="N93" s="42">
        <f t="shared" si="5"/>
        <v>9250</v>
      </c>
      <c r="O93" s="3">
        <v>91</v>
      </c>
    </row>
    <row r="94" spans="1:15" x14ac:dyDescent="0.25">
      <c r="A94" s="3">
        <v>2</v>
      </c>
      <c r="B94" s="3" t="s">
        <v>6</v>
      </c>
      <c r="C94" s="1" t="s">
        <v>6</v>
      </c>
      <c r="D94" s="1" t="s">
        <v>443</v>
      </c>
      <c r="E94" s="9" t="s">
        <v>144</v>
      </c>
      <c r="F94" s="3" t="s">
        <v>5</v>
      </c>
      <c r="G94" s="66" t="s">
        <v>786</v>
      </c>
      <c r="H94" s="6"/>
      <c r="I94" s="8"/>
      <c r="J94" s="75" t="s">
        <v>108</v>
      </c>
      <c r="K94" s="38">
        <v>0</v>
      </c>
      <c r="L94" s="4" t="s">
        <v>26</v>
      </c>
      <c r="M94" s="11">
        <f>_xlfn.NUMBERVALUE(LEFT(Table613612[[#This Row],[Fiscal Year]], 4))</f>
        <v>2018</v>
      </c>
      <c r="N94" s="43">
        <f t="shared" si="5"/>
        <v>0</v>
      </c>
      <c r="O94" s="3">
        <v>92</v>
      </c>
    </row>
    <row r="95" spans="1:15" x14ac:dyDescent="0.25">
      <c r="A95" s="3">
        <v>2</v>
      </c>
      <c r="B95" s="3" t="s">
        <v>6</v>
      </c>
      <c r="C95" s="1" t="s">
        <v>6</v>
      </c>
      <c r="D95" s="1" t="s">
        <v>443</v>
      </c>
      <c r="E95" s="9" t="s">
        <v>144</v>
      </c>
      <c r="F95" s="3" t="s">
        <v>5</v>
      </c>
      <c r="G95" s="66" t="s">
        <v>787</v>
      </c>
      <c r="H95" s="6"/>
      <c r="I95" s="8"/>
      <c r="J95" s="75" t="s">
        <v>108</v>
      </c>
      <c r="K95" s="38">
        <v>0</v>
      </c>
      <c r="L95" s="4" t="s">
        <v>26</v>
      </c>
      <c r="M95" s="11">
        <f>_xlfn.NUMBERVALUE(LEFT(Table613612[[#This Row],[Fiscal Year]], 4))</f>
        <v>2018</v>
      </c>
      <c r="N95" s="43">
        <f t="shared" si="5"/>
        <v>0</v>
      </c>
      <c r="O95" s="3">
        <v>93</v>
      </c>
    </row>
    <row r="96" spans="1:15" x14ac:dyDescent="0.25">
      <c r="A96" s="3">
        <v>2</v>
      </c>
      <c r="B96" s="3" t="s">
        <v>6</v>
      </c>
      <c r="C96" s="1" t="s">
        <v>6</v>
      </c>
      <c r="D96" s="1" t="s">
        <v>443</v>
      </c>
      <c r="E96" s="9" t="s">
        <v>144</v>
      </c>
      <c r="F96" s="3" t="s">
        <v>5</v>
      </c>
      <c r="G96" s="66" t="s">
        <v>788</v>
      </c>
      <c r="H96" s="6"/>
      <c r="I96" s="8"/>
      <c r="J96" s="75" t="s">
        <v>42</v>
      </c>
      <c r="K96" s="38">
        <v>60770</v>
      </c>
      <c r="L96" s="4" t="s">
        <v>26</v>
      </c>
      <c r="M96" s="11">
        <f>_xlfn.NUMBERVALUE(LEFT(Table613612[[#This Row],[Fiscal Year]], 4))</f>
        <v>2018</v>
      </c>
      <c r="N96" s="42">
        <f t="shared" si="5"/>
        <v>60770</v>
      </c>
      <c r="O96" s="3">
        <v>94</v>
      </c>
    </row>
    <row r="97" spans="1:15" x14ac:dyDescent="0.25">
      <c r="A97" s="3">
        <v>2</v>
      </c>
      <c r="B97" s="3" t="s">
        <v>6</v>
      </c>
      <c r="C97" s="1" t="s">
        <v>6</v>
      </c>
      <c r="D97" s="1" t="s">
        <v>443</v>
      </c>
      <c r="E97" s="9" t="s">
        <v>144</v>
      </c>
      <c r="F97" s="3" t="s">
        <v>5</v>
      </c>
      <c r="G97" s="66" t="s">
        <v>789</v>
      </c>
      <c r="H97" s="6"/>
      <c r="I97" s="8"/>
      <c r="J97" s="75" t="s">
        <v>605</v>
      </c>
      <c r="K97" s="38">
        <v>7400</v>
      </c>
      <c r="L97" s="4" t="s">
        <v>26</v>
      </c>
      <c r="M97" s="11">
        <f>_xlfn.NUMBERVALUE(LEFT(Table613612[[#This Row],[Fiscal Year]], 4))</f>
        <v>2018</v>
      </c>
      <c r="N97" s="42">
        <f t="shared" si="5"/>
        <v>7400</v>
      </c>
      <c r="O97" s="3">
        <v>95</v>
      </c>
    </row>
    <row r="98" spans="1:15" x14ac:dyDescent="0.25">
      <c r="A98" s="3">
        <v>2</v>
      </c>
      <c r="B98" s="3" t="s">
        <v>6</v>
      </c>
      <c r="C98" s="1" t="s">
        <v>6</v>
      </c>
      <c r="D98" s="1" t="s">
        <v>443</v>
      </c>
      <c r="E98" s="9" t="s">
        <v>144</v>
      </c>
      <c r="F98" s="3" t="s">
        <v>5</v>
      </c>
      <c r="G98" s="66" t="s">
        <v>790</v>
      </c>
      <c r="H98" s="44" t="s">
        <v>466</v>
      </c>
      <c r="I98" s="8" t="s">
        <v>642</v>
      </c>
      <c r="J98" s="6" t="s">
        <v>108</v>
      </c>
      <c r="K98" s="38">
        <v>0</v>
      </c>
      <c r="L98" s="4" t="s">
        <v>26</v>
      </c>
      <c r="M98" s="11">
        <f>_xlfn.NUMBERVALUE(LEFT(Table613612[[#This Row],[Fiscal Year]], 4))</f>
        <v>2018</v>
      </c>
      <c r="N98" s="43">
        <f t="shared" si="4"/>
        <v>0</v>
      </c>
      <c r="O98" s="3">
        <v>96</v>
      </c>
    </row>
    <row r="99" spans="1:15" x14ac:dyDescent="0.25">
      <c r="A99" s="3">
        <v>2</v>
      </c>
      <c r="B99" s="3" t="s">
        <v>6</v>
      </c>
      <c r="C99" s="1" t="s">
        <v>6</v>
      </c>
      <c r="D99" s="1" t="s">
        <v>443</v>
      </c>
      <c r="E99" s="9" t="s">
        <v>144</v>
      </c>
      <c r="F99" s="3" t="s">
        <v>5</v>
      </c>
      <c r="G99" s="66" t="s">
        <v>791</v>
      </c>
      <c r="H99" s="44"/>
      <c r="I99" s="8"/>
      <c r="J99" s="75" t="s">
        <v>108</v>
      </c>
      <c r="K99" s="38">
        <v>500</v>
      </c>
      <c r="L99" s="4" t="s">
        <v>26</v>
      </c>
      <c r="M99" s="11">
        <f>_xlfn.NUMBERVALUE(LEFT(Table613612[[#This Row],[Fiscal Year]], 4))</f>
        <v>2018</v>
      </c>
      <c r="N99" s="42">
        <f t="shared" si="4"/>
        <v>500</v>
      </c>
      <c r="O99" s="3">
        <v>97</v>
      </c>
    </row>
    <row r="100" spans="1:15" x14ac:dyDescent="0.25">
      <c r="A100" s="3">
        <v>2</v>
      </c>
      <c r="B100" s="3" t="s">
        <v>6</v>
      </c>
      <c r="C100" s="1" t="s">
        <v>6</v>
      </c>
      <c r="D100" s="1" t="s">
        <v>443</v>
      </c>
      <c r="E100" s="9" t="s">
        <v>144</v>
      </c>
      <c r="F100" s="3" t="s">
        <v>5</v>
      </c>
      <c r="G100" s="66" t="s">
        <v>792</v>
      </c>
      <c r="H100" s="44"/>
      <c r="I100" s="8"/>
      <c r="J100" s="75" t="s">
        <v>108</v>
      </c>
      <c r="K100" s="38">
        <v>5920</v>
      </c>
      <c r="L100" s="4" t="s">
        <v>26</v>
      </c>
      <c r="M100" s="11">
        <f>_xlfn.NUMBERVALUE(LEFT(Table613612[[#This Row],[Fiscal Year]], 4))</f>
        <v>2018</v>
      </c>
      <c r="N100" s="42">
        <f t="shared" si="4"/>
        <v>5920</v>
      </c>
      <c r="O100" s="3">
        <v>98</v>
      </c>
    </row>
    <row r="101" spans="1:15" x14ac:dyDescent="0.25">
      <c r="A101" s="3">
        <v>2</v>
      </c>
      <c r="B101" s="3" t="s">
        <v>6</v>
      </c>
      <c r="C101" s="1" t="s">
        <v>6</v>
      </c>
      <c r="D101" s="1" t="s">
        <v>443</v>
      </c>
      <c r="E101" s="9" t="s">
        <v>144</v>
      </c>
      <c r="F101" s="3" t="s">
        <v>5</v>
      </c>
      <c r="G101" s="66" t="s">
        <v>793</v>
      </c>
      <c r="H101" s="44"/>
      <c r="I101" s="8"/>
      <c r="J101" s="75" t="s">
        <v>108</v>
      </c>
      <c r="K101" s="38">
        <v>10000</v>
      </c>
      <c r="L101" s="4" t="s">
        <v>26</v>
      </c>
      <c r="M101" s="11">
        <f>_xlfn.NUMBERVALUE(LEFT(Table613612[[#This Row],[Fiscal Year]], 4))</f>
        <v>2018</v>
      </c>
      <c r="N101" s="42">
        <f t="shared" si="4"/>
        <v>10000</v>
      </c>
      <c r="O101" s="3">
        <v>99</v>
      </c>
    </row>
    <row r="102" spans="1:15" x14ac:dyDescent="0.25">
      <c r="A102" s="3">
        <v>2</v>
      </c>
      <c r="B102" s="3" t="s">
        <v>6</v>
      </c>
      <c r="C102" s="1" t="s">
        <v>6</v>
      </c>
      <c r="D102" s="1" t="s">
        <v>443</v>
      </c>
      <c r="E102" s="9" t="s">
        <v>144</v>
      </c>
      <c r="F102" s="3" t="s">
        <v>5</v>
      </c>
      <c r="G102" s="66" t="s">
        <v>794</v>
      </c>
      <c r="H102" s="44"/>
      <c r="I102" s="8"/>
      <c r="J102" s="75" t="s">
        <v>108</v>
      </c>
      <c r="K102" s="38">
        <v>15000</v>
      </c>
      <c r="L102" s="4" t="s">
        <v>26</v>
      </c>
      <c r="M102" s="11">
        <f>_xlfn.NUMBERVALUE(LEFT(Table613612[[#This Row],[Fiscal Year]], 4))</f>
        <v>2018</v>
      </c>
      <c r="N102" s="42">
        <f t="shared" si="4"/>
        <v>15000</v>
      </c>
      <c r="O102" s="3">
        <v>100</v>
      </c>
    </row>
    <row r="103" spans="1:15" x14ac:dyDescent="0.25">
      <c r="A103" s="3">
        <v>2</v>
      </c>
      <c r="B103" s="3" t="s">
        <v>6</v>
      </c>
      <c r="C103" s="1" t="s">
        <v>6</v>
      </c>
      <c r="D103" s="1" t="s">
        <v>443</v>
      </c>
      <c r="E103" s="9" t="s">
        <v>144</v>
      </c>
      <c r="F103" s="3" t="s">
        <v>5</v>
      </c>
      <c r="G103" s="66" t="s">
        <v>795</v>
      </c>
      <c r="H103" s="44" t="s">
        <v>467</v>
      </c>
      <c r="I103" s="8" t="s">
        <v>642</v>
      </c>
      <c r="J103" s="75" t="s">
        <v>47</v>
      </c>
      <c r="K103" s="38">
        <v>150000</v>
      </c>
      <c r="L103" s="4" t="s">
        <v>26</v>
      </c>
      <c r="M103" s="11">
        <f>_xlfn.NUMBERVALUE(LEFT(Table613612[[#This Row],[Fiscal Year]], 4))</f>
        <v>2018</v>
      </c>
      <c r="N103" s="42">
        <f t="shared" si="4"/>
        <v>150000</v>
      </c>
      <c r="O103" s="3">
        <v>101</v>
      </c>
    </row>
    <row r="104" spans="1:15" x14ac:dyDescent="0.25">
      <c r="A104" s="3">
        <v>2</v>
      </c>
      <c r="B104" s="3" t="s">
        <v>6</v>
      </c>
      <c r="C104" s="1" t="s">
        <v>6</v>
      </c>
      <c r="D104" s="1" t="s">
        <v>443</v>
      </c>
      <c r="E104" s="9" t="s">
        <v>144</v>
      </c>
      <c r="F104" s="3" t="s">
        <v>5</v>
      </c>
      <c r="G104" s="66" t="s">
        <v>796</v>
      </c>
      <c r="H104" s="44"/>
      <c r="I104" s="8"/>
      <c r="J104" s="75" t="s">
        <v>605</v>
      </c>
      <c r="K104" s="38">
        <v>11100</v>
      </c>
      <c r="L104" s="4" t="s">
        <v>26</v>
      </c>
      <c r="M104" s="11">
        <f>_xlfn.NUMBERVALUE(LEFT(Table613612[[#This Row],[Fiscal Year]], 4))</f>
        <v>2018</v>
      </c>
      <c r="N104" s="42">
        <f t="shared" si="4"/>
        <v>11100</v>
      </c>
      <c r="O104" s="3">
        <v>102</v>
      </c>
    </row>
    <row r="105" spans="1:15" x14ac:dyDescent="0.25">
      <c r="A105" s="3">
        <v>2</v>
      </c>
      <c r="B105" s="3" t="s">
        <v>6</v>
      </c>
      <c r="C105" s="1" t="s">
        <v>6</v>
      </c>
      <c r="D105" s="1" t="s">
        <v>443</v>
      </c>
      <c r="E105" s="9" t="s">
        <v>144</v>
      </c>
      <c r="F105" s="3" t="s">
        <v>5</v>
      </c>
      <c r="G105" s="66" t="s">
        <v>808</v>
      </c>
      <c r="H105" s="44" t="s">
        <v>468</v>
      </c>
      <c r="I105" s="8"/>
      <c r="J105" s="75" t="s">
        <v>108</v>
      </c>
      <c r="K105" s="38">
        <v>0</v>
      </c>
      <c r="L105" s="4" t="s">
        <v>26</v>
      </c>
      <c r="M105" s="11">
        <f>_xlfn.NUMBERVALUE(LEFT(Table613612[[#This Row],[Fiscal Year]], 4))</f>
        <v>2018</v>
      </c>
      <c r="N105" s="43">
        <f t="shared" si="4"/>
        <v>0</v>
      </c>
      <c r="O105" s="3">
        <v>103</v>
      </c>
    </row>
    <row r="106" spans="1:15" x14ac:dyDescent="0.25">
      <c r="A106" s="3">
        <v>2</v>
      </c>
      <c r="B106" s="3" t="s">
        <v>6</v>
      </c>
      <c r="C106" s="1" t="s">
        <v>6</v>
      </c>
      <c r="D106" s="1" t="s">
        <v>443</v>
      </c>
      <c r="E106" s="9" t="s">
        <v>144</v>
      </c>
      <c r="F106" s="3" t="s">
        <v>5</v>
      </c>
      <c r="G106" s="66" t="s">
        <v>809</v>
      </c>
      <c r="H106" s="6"/>
      <c r="I106" s="8"/>
      <c r="J106" s="75" t="s">
        <v>108</v>
      </c>
      <c r="K106" s="38">
        <v>0</v>
      </c>
      <c r="L106" s="4" t="s">
        <v>26</v>
      </c>
      <c r="M106" s="11">
        <f>_xlfn.NUMBERVALUE(LEFT(Table613612[[#This Row],[Fiscal Year]], 4))</f>
        <v>2018</v>
      </c>
      <c r="N106" s="43">
        <f t="shared" si="4"/>
        <v>0</v>
      </c>
      <c r="O106" s="3">
        <v>104</v>
      </c>
    </row>
    <row r="107" spans="1:15" x14ac:dyDescent="0.25">
      <c r="A107" s="3">
        <v>2</v>
      </c>
      <c r="B107" s="3" t="s">
        <v>6</v>
      </c>
      <c r="C107" s="1" t="s">
        <v>6</v>
      </c>
      <c r="D107" s="1" t="s">
        <v>443</v>
      </c>
      <c r="E107" s="9" t="s">
        <v>144</v>
      </c>
      <c r="F107" s="3" t="s">
        <v>5</v>
      </c>
      <c r="G107" s="66" t="s">
        <v>810</v>
      </c>
      <c r="H107" s="6"/>
      <c r="I107" s="8"/>
      <c r="J107" s="6" t="s">
        <v>108</v>
      </c>
      <c r="K107" s="38">
        <v>65000</v>
      </c>
      <c r="L107" s="4" t="s">
        <v>26</v>
      </c>
      <c r="M107" s="11">
        <f>_xlfn.NUMBERVALUE(LEFT(Table613612[[#This Row],[Fiscal Year]], 4))</f>
        <v>2018</v>
      </c>
      <c r="N107" s="42">
        <f t="shared" si="4"/>
        <v>65000</v>
      </c>
      <c r="O107" s="3">
        <v>105</v>
      </c>
    </row>
    <row r="108" spans="1:15" x14ac:dyDescent="0.25">
      <c r="A108" s="3">
        <v>2</v>
      </c>
      <c r="B108" s="3" t="s">
        <v>6</v>
      </c>
      <c r="C108" s="1" t="s">
        <v>6</v>
      </c>
      <c r="D108" s="1" t="s">
        <v>443</v>
      </c>
      <c r="E108" s="9" t="s">
        <v>144</v>
      </c>
      <c r="F108" s="3" t="s">
        <v>5</v>
      </c>
      <c r="G108" s="66" t="s">
        <v>1442</v>
      </c>
      <c r="H108" s="44"/>
      <c r="I108" s="8"/>
      <c r="J108" s="75" t="s">
        <v>108</v>
      </c>
      <c r="K108" s="38">
        <v>150000</v>
      </c>
      <c r="L108" s="4" t="s">
        <v>26</v>
      </c>
      <c r="M108" s="11">
        <f>_xlfn.NUMBERVALUE(LEFT(Table613612[[#This Row],[Fiscal Year]], 4))</f>
        <v>2018</v>
      </c>
      <c r="N108" s="42">
        <f t="shared" si="4"/>
        <v>150000</v>
      </c>
      <c r="O108" s="3">
        <v>106</v>
      </c>
    </row>
    <row r="109" spans="1:15" x14ac:dyDescent="0.25">
      <c r="A109" s="3">
        <v>2</v>
      </c>
      <c r="B109" s="3" t="s">
        <v>6</v>
      </c>
      <c r="C109" s="1" t="s">
        <v>6</v>
      </c>
      <c r="D109" s="1" t="s">
        <v>443</v>
      </c>
      <c r="E109" s="9" t="s">
        <v>144</v>
      </c>
      <c r="F109" s="3" t="s">
        <v>5</v>
      </c>
      <c r="G109" s="66" t="s">
        <v>812</v>
      </c>
      <c r="H109" s="6"/>
      <c r="I109" s="8"/>
      <c r="J109" s="75" t="s">
        <v>108</v>
      </c>
      <c r="K109" s="38">
        <v>0</v>
      </c>
      <c r="L109" s="4" t="s">
        <v>26</v>
      </c>
      <c r="M109" s="11">
        <f>_xlfn.NUMBERVALUE(LEFT(Table613612[[#This Row],[Fiscal Year]], 4))</f>
        <v>2018</v>
      </c>
      <c r="N109" s="43">
        <f>K109*(1+VLOOKUP(M109,$AF$8:$AH$31,3,0))</f>
        <v>0</v>
      </c>
      <c r="O109" s="3">
        <v>107</v>
      </c>
    </row>
    <row r="110" spans="1:15" x14ac:dyDescent="0.25">
      <c r="A110" s="3">
        <v>2</v>
      </c>
      <c r="B110" s="3" t="s">
        <v>6</v>
      </c>
      <c r="C110" s="1" t="s">
        <v>6</v>
      </c>
      <c r="D110" s="1" t="s">
        <v>443</v>
      </c>
      <c r="E110" s="9" t="s">
        <v>144</v>
      </c>
      <c r="F110" s="3" t="s">
        <v>5</v>
      </c>
      <c r="G110" s="66" t="s">
        <v>813</v>
      </c>
      <c r="H110" s="6"/>
      <c r="I110" s="8"/>
      <c r="J110" s="75" t="s">
        <v>108</v>
      </c>
      <c r="K110" s="38">
        <v>18500</v>
      </c>
      <c r="L110" s="4" t="s">
        <v>26</v>
      </c>
      <c r="M110" s="11">
        <f>_xlfn.NUMBERVALUE(LEFT(Table613612[[#This Row],[Fiscal Year]], 4))</f>
        <v>2018</v>
      </c>
      <c r="N110" s="42">
        <f t="shared" ref="N110:N119" si="6">K110*(1+VLOOKUP(M110,$AF$8:$AH$31,3,0))</f>
        <v>18500</v>
      </c>
      <c r="O110" s="3">
        <v>108</v>
      </c>
    </row>
    <row r="111" spans="1:15" x14ac:dyDescent="0.25">
      <c r="A111" s="3">
        <v>2</v>
      </c>
      <c r="B111" s="3" t="s">
        <v>6</v>
      </c>
      <c r="C111" s="1" t="s">
        <v>6</v>
      </c>
      <c r="D111" s="1" t="s">
        <v>443</v>
      </c>
      <c r="E111" s="9" t="s">
        <v>144</v>
      </c>
      <c r="F111" s="3" t="s">
        <v>5</v>
      </c>
      <c r="G111" s="66" t="s">
        <v>814</v>
      </c>
      <c r="H111" s="6"/>
      <c r="I111" s="8"/>
      <c r="J111" s="6" t="s">
        <v>605</v>
      </c>
      <c r="K111" s="38">
        <v>2500</v>
      </c>
      <c r="L111" s="4" t="s">
        <v>26</v>
      </c>
      <c r="M111" s="11">
        <f>_xlfn.NUMBERVALUE(LEFT(Table613612[[#This Row],[Fiscal Year]], 4))</f>
        <v>2018</v>
      </c>
      <c r="N111" s="42">
        <f t="shared" si="6"/>
        <v>2500</v>
      </c>
      <c r="O111" s="3">
        <v>109</v>
      </c>
    </row>
    <row r="112" spans="1:15" x14ac:dyDescent="0.25">
      <c r="A112" s="3">
        <v>2</v>
      </c>
      <c r="B112" s="3" t="s">
        <v>6</v>
      </c>
      <c r="C112" s="1" t="s">
        <v>6</v>
      </c>
      <c r="D112" s="1" t="s">
        <v>443</v>
      </c>
      <c r="E112" s="9" t="s">
        <v>144</v>
      </c>
      <c r="F112" s="3" t="s">
        <v>5</v>
      </c>
      <c r="G112" s="66" t="s">
        <v>797</v>
      </c>
      <c r="H112" s="44" t="s">
        <v>469</v>
      </c>
      <c r="I112" s="8"/>
      <c r="J112" s="75" t="s">
        <v>108</v>
      </c>
      <c r="K112" s="38">
        <v>0</v>
      </c>
      <c r="L112" s="4" t="s">
        <v>26</v>
      </c>
      <c r="M112" s="11">
        <f>_xlfn.NUMBERVALUE(LEFT(Table613612[[#This Row],[Fiscal Year]], 4))</f>
        <v>2018</v>
      </c>
      <c r="N112" s="43">
        <f t="shared" si="6"/>
        <v>0</v>
      </c>
      <c r="O112" s="3">
        <v>110</v>
      </c>
    </row>
    <row r="113" spans="1:15" x14ac:dyDescent="0.25">
      <c r="A113" s="3">
        <v>2</v>
      </c>
      <c r="B113" s="3" t="s">
        <v>6</v>
      </c>
      <c r="C113" s="1" t="s">
        <v>6</v>
      </c>
      <c r="D113" s="1" t="s">
        <v>443</v>
      </c>
      <c r="E113" s="9" t="s">
        <v>144</v>
      </c>
      <c r="F113" s="3" t="s">
        <v>5</v>
      </c>
      <c r="G113" s="63" t="s">
        <v>798</v>
      </c>
      <c r="H113" s="44"/>
      <c r="I113" s="8"/>
      <c r="J113" s="75" t="s">
        <v>108</v>
      </c>
      <c r="K113" s="38">
        <v>0</v>
      </c>
      <c r="L113" s="4" t="s">
        <v>26</v>
      </c>
      <c r="M113" s="11">
        <f>_xlfn.NUMBERVALUE(LEFT(Table613612[[#This Row],[Fiscal Year]], 4))</f>
        <v>2018</v>
      </c>
      <c r="N113" s="43">
        <f t="shared" si="6"/>
        <v>0</v>
      </c>
      <c r="O113" s="3">
        <v>111</v>
      </c>
    </row>
    <row r="114" spans="1:15" x14ac:dyDescent="0.25">
      <c r="A114" s="3">
        <v>2</v>
      </c>
      <c r="B114" s="3" t="s">
        <v>6</v>
      </c>
      <c r="C114" s="1" t="s">
        <v>6</v>
      </c>
      <c r="D114" s="1" t="s">
        <v>443</v>
      </c>
      <c r="E114" s="9" t="s">
        <v>144</v>
      </c>
      <c r="F114" s="3" t="s">
        <v>5</v>
      </c>
      <c r="G114" s="63" t="s">
        <v>799</v>
      </c>
      <c r="H114" s="44"/>
      <c r="I114" s="8"/>
      <c r="J114" s="75"/>
      <c r="K114" s="38">
        <v>0</v>
      </c>
      <c r="L114" s="4" t="s">
        <v>26</v>
      </c>
      <c r="M114" s="11">
        <f>_xlfn.NUMBERVALUE(LEFT(Table613612[[#This Row],[Fiscal Year]], 4))</f>
        <v>2018</v>
      </c>
      <c r="N114" s="43">
        <f t="shared" si="6"/>
        <v>0</v>
      </c>
      <c r="O114" s="3">
        <v>112</v>
      </c>
    </row>
    <row r="115" spans="1:15" x14ac:dyDescent="0.25">
      <c r="A115" s="3">
        <v>2</v>
      </c>
      <c r="B115" s="3" t="s">
        <v>6</v>
      </c>
      <c r="C115" s="1" t="s">
        <v>6</v>
      </c>
      <c r="D115" s="1" t="s">
        <v>443</v>
      </c>
      <c r="E115" s="9" t="s">
        <v>144</v>
      </c>
      <c r="F115" s="3" t="s">
        <v>5</v>
      </c>
      <c r="G115" s="63" t="s">
        <v>800</v>
      </c>
      <c r="H115" s="44"/>
      <c r="I115" s="8"/>
      <c r="J115" s="75" t="s">
        <v>108</v>
      </c>
      <c r="K115" s="38">
        <v>0</v>
      </c>
      <c r="L115" s="4" t="s">
        <v>26</v>
      </c>
      <c r="M115" s="11">
        <f>_xlfn.NUMBERVALUE(LEFT(Table613612[[#This Row],[Fiscal Year]], 4))</f>
        <v>2018</v>
      </c>
      <c r="N115" s="43">
        <f t="shared" si="6"/>
        <v>0</v>
      </c>
      <c r="O115" s="3">
        <v>113</v>
      </c>
    </row>
    <row r="116" spans="1:15" x14ac:dyDescent="0.25">
      <c r="A116" s="3">
        <v>2</v>
      </c>
      <c r="B116" s="3" t="s">
        <v>6</v>
      </c>
      <c r="C116" s="1" t="s">
        <v>6</v>
      </c>
      <c r="D116" s="1" t="s">
        <v>443</v>
      </c>
      <c r="E116" s="9" t="s">
        <v>144</v>
      </c>
      <c r="F116" s="3" t="s">
        <v>5</v>
      </c>
      <c r="G116" s="63" t="s">
        <v>801</v>
      </c>
      <c r="H116" s="44"/>
      <c r="I116" s="8"/>
      <c r="J116" s="75"/>
      <c r="K116" s="38">
        <v>7400</v>
      </c>
      <c r="L116" s="4" t="s">
        <v>26</v>
      </c>
      <c r="M116" s="11">
        <f>_xlfn.NUMBERVALUE(LEFT(Table613612[[#This Row],[Fiscal Year]], 4))</f>
        <v>2018</v>
      </c>
      <c r="N116" s="42">
        <f t="shared" si="6"/>
        <v>7400</v>
      </c>
      <c r="O116" s="3">
        <v>114</v>
      </c>
    </row>
    <row r="117" spans="1:15" x14ac:dyDescent="0.25">
      <c r="A117" s="3">
        <v>2</v>
      </c>
      <c r="B117" s="3" t="s">
        <v>6</v>
      </c>
      <c r="C117" s="1" t="s">
        <v>6</v>
      </c>
      <c r="D117" s="1" t="s">
        <v>443</v>
      </c>
      <c r="E117" s="9" t="s">
        <v>144</v>
      </c>
      <c r="F117" s="3" t="s">
        <v>5</v>
      </c>
      <c r="G117" s="63" t="s">
        <v>802</v>
      </c>
      <c r="H117" s="44"/>
      <c r="I117" s="8"/>
      <c r="J117" s="75" t="s">
        <v>108</v>
      </c>
      <c r="K117" s="38">
        <v>7818</v>
      </c>
      <c r="L117" s="4" t="s">
        <v>26</v>
      </c>
      <c r="M117" s="11">
        <f>_xlfn.NUMBERVALUE(LEFT(Table613612[[#This Row],[Fiscal Year]], 4))</f>
        <v>2018</v>
      </c>
      <c r="N117" s="42">
        <f t="shared" si="6"/>
        <v>7818</v>
      </c>
      <c r="O117" s="3">
        <v>115</v>
      </c>
    </row>
    <row r="118" spans="1:15" x14ac:dyDescent="0.25">
      <c r="A118" s="3">
        <v>2</v>
      </c>
      <c r="B118" s="3" t="s">
        <v>6</v>
      </c>
      <c r="C118" s="1" t="s">
        <v>6</v>
      </c>
      <c r="D118" s="1" t="s">
        <v>443</v>
      </c>
      <c r="E118" s="9" t="s">
        <v>144</v>
      </c>
      <c r="F118" s="3" t="s">
        <v>5</v>
      </c>
      <c r="G118" s="63" t="s">
        <v>803</v>
      </c>
      <c r="H118" s="44"/>
      <c r="I118" s="8"/>
      <c r="J118" s="75" t="s">
        <v>108</v>
      </c>
      <c r="K118" s="38">
        <v>15000</v>
      </c>
      <c r="L118" s="4" t="s">
        <v>26</v>
      </c>
      <c r="M118" s="11">
        <f>_xlfn.NUMBERVALUE(LEFT(Table613612[[#This Row],[Fiscal Year]], 4))</f>
        <v>2018</v>
      </c>
      <c r="N118" s="42">
        <f t="shared" si="6"/>
        <v>15000</v>
      </c>
      <c r="O118" s="3">
        <v>116</v>
      </c>
    </row>
    <row r="119" spans="1:15" x14ac:dyDescent="0.25">
      <c r="A119" s="3">
        <v>2</v>
      </c>
      <c r="B119" s="3" t="s">
        <v>6</v>
      </c>
      <c r="C119" s="1" t="s">
        <v>6</v>
      </c>
      <c r="D119" s="1" t="s">
        <v>443</v>
      </c>
      <c r="E119" s="9" t="s">
        <v>144</v>
      </c>
      <c r="F119" s="3" t="s">
        <v>5</v>
      </c>
      <c r="G119" s="63" t="s">
        <v>804</v>
      </c>
      <c r="H119" s="6"/>
      <c r="I119" s="8" t="s">
        <v>642</v>
      </c>
      <c r="J119" s="75" t="s">
        <v>108</v>
      </c>
      <c r="K119" s="38">
        <v>0</v>
      </c>
      <c r="L119" s="4" t="s">
        <v>26</v>
      </c>
      <c r="M119" s="11">
        <f>_xlfn.NUMBERVALUE(LEFT(Table613612[[#This Row],[Fiscal Year]], 4))</f>
        <v>2018</v>
      </c>
      <c r="N119" s="43">
        <f t="shared" si="6"/>
        <v>0</v>
      </c>
      <c r="O119" s="3">
        <v>117</v>
      </c>
    </row>
    <row r="120" spans="1:15" x14ac:dyDescent="0.25">
      <c r="A120" s="3">
        <v>2</v>
      </c>
      <c r="B120" s="3" t="s">
        <v>6</v>
      </c>
      <c r="C120" s="1" t="s">
        <v>6</v>
      </c>
      <c r="D120" s="1" t="s">
        <v>443</v>
      </c>
      <c r="E120" s="9" t="s">
        <v>144</v>
      </c>
      <c r="F120" s="3" t="s">
        <v>5</v>
      </c>
      <c r="G120" s="63" t="s">
        <v>805</v>
      </c>
      <c r="H120" s="6"/>
      <c r="I120" s="8" t="s">
        <v>642</v>
      </c>
      <c r="J120" s="6" t="s">
        <v>605</v>
      </c>
      <c r="K120" s="38">
        <v>0</v>
      </c>
      <c r="L120" s="4" t="s">
        <v>26</v>
      </c>
      <c r="M120" s="11">
        <f>_xlfn.NUMBERVALUE(LEFT(Table613612[[#This Row],[Fiscal Year]], 4))</f>
        <v>2018</v>
      </c>
      <c r="N120" s="43">
        <f t="shared" si="4"/>
        <v>0</v>
      </c>
      <c r="O120" s="3">
        <v>118</v>
      </c>
    </row>
    <row r="121" spans="1:15" x14ac:dyDescent="0.25">
      <c r="A121" s="3">
        <v>2</v>
      </c>
      <c r="B121" s="3" t="s">
        <v>6</v>
      </c>
      <c r="C121" s="1" t="s">
        <v>6</v>
      </c>
      <c r="D121" s="1" t="s">
        <v>443</v>
      </c>
      <c r="E121" s="9" t="s">
        <v>144</v>
      </c>
      <c r="F121" s="3" t="s">
        <v>5</v>
      </c>
      <c r="G121" s="63" t="s">
        <v>806</v>
      </c>
      <c r="H121" s="44" t="s">
        <v>470</v>
      </c>
      <c r="I121" s="8" t="s">
        <v>642</v>
      </c>
      <c r="J121" s="75" t="s">
        <v>108</v>
      </c>
      <c r="K121" s="38">
        <v>0</v>
      </c>
      <c r="L121" s="4" t="s">
        <v>26</v>
      </c>
      <c r="M121" s="11">
        <f>_xlfn.NUMBERVALUE(LEFT(Table613612[[#This Row],[Fiscal Year]], 4))</f>
        <v>2018</v>
      </c>
      <c r="N121" s="43">
        <f t="shared" si="4"/>
        <v>0</v>
      </c>
      <c r="O121" s="3">
        <v>119</v>
      </c>
    </row>
    <row r="122" spans="1:15" x14ac:dyDescent="0.25">
      <c r="A122" s="3">
        <v>2</v>
      </c>
      <c r="B122" s="3" t="s">
        <v>6</v>
      </c>
      <c r="C122" s="1" t="s">
        <v>6</v>
      </c>
      <c r="D122" s="1" t="s">
        <v>443</v>
      </c>
      <c r="E122" s="9" t="s">
        <v>144</v>
      </c>
      <c r="F122" s="3" t="s">
        <v>5</v>
      </c>
      <c r="G122" s="63" t="s">
        <v>807</v>
      </c>
      <c r="H122" s="44" t="s">
        <v>471</v>
      </c>
      <c r="I122" s="8" t="s">
        <v>642</v>
      </c>
      <c r="J122" s="75" t="s">
        <v>106</v>
      </c>
      <c r="K122" s="38">
        <v>0</v>
      </c>
      <c r="L122" s="4" t="s">
        <v>26</v>
      </c>
      <c r="M122" s="11">
        <f>_xlfn.NUMBERVALUE(LEFT(Table613612[[#This Row],[Fiscal Year]], 4))</f>
        <v>2018</v>
      </c>
      <c r="N122" s="43">
        <f t="shared" si="4"/>
        <v>0</v>
      </c>
      <c r="O122" s="3">
        <v>120</v>
      </c>
    </row>
    <row r="123" spans="1:15" x14ac:dyDescent="0.25">
      <c r="A123" s="3">
        <v>2</v>
      </c>
      <c r="B123" s="3" t="s">
        <v>6</v>
      </c>
      <c r="C123" s="1" t="s">
        <v>6</v>
      </c>
      <c r="D123" s="1" t="s">
        <v>443</v>
      </c>
      <c r="E123" s="9" t="s">
        <v>144</v>
      </c>
      <c r="F123" s="3" t="s">
        <v>5</v>
      </c>
      <c r="G123" s="68" t="s">
        <v>815</v>
      </c>
      <c r="H123" s="44"/>
      <c r="I123" s="8"/>
      <c r="J123" s="75"/>
      <c r="K123" s="38">
        <v>4204080</v>
      </c>
      <c r="L123" s="4" t="s">
        <v>26</v>
      </c>
      <c r="M123" s="11">
        <f>_xlfn.NUMBERVALUE(LEFT(Table613612[[#This Row],[Fiscal Year]], 4))</f>
        <v>2018</v>
      </c>
      <c r="O123" s="3">
        <v>121</v>
      </c>
    </row>
    <row r="124" spans="1:15" x14ac:dyDescent="0.25">
      <c r="A124" s="3">
        <v>2</v>
      </c>
      <c r="B124" s="3" t="s">
        <v>6</v>
      </c>
      <c r="C124" s="1" t="s">
        <v>6</v>
      </c>
      <c r="D124" s="1" t="s">
        <v>443</v>
      </c>
      <c r="E124" s="9" t="s">
        <v>144</v>
      </c>
      <c r="F124" s="3" t="s">
        <v>5</v>
      </c>
      <c r="G124" s="68" t="s">
        <v>816</v>
      </c>
      <c r="H124" s="6"/>
      <c r="I124" s="8"/>
      <c r="J124" s="75"/>
      <c r="K124" s="38">
        <v>84082</v>
      </c>
      <c r="L124" s="4" t="s">
        <v>26</v>
      </c>
      <c r="M124" s="11">
        <f>_xlfn.NUMBERVALUE(LEFT(Table613612[[#This Row],[Fiscal Year]], 4))</f>
        <v>2018</v>
      </c>
      <c r="O124" s="3">
        <v>122</v>
      </c>
    </row>
    <row r="125" spans="1:15" x14ac:dyDescent="0.25">
      <c r="A125" s="3">
        <v>2</v>
      </c>
      <c r="B125" s="3" t="s">
        <v>6</v>
      </c>
      <c r="C125" s="1" t="s">
        <v>6</v>
      </c>
      <c r="D125" s="1" t="s">
        <v>443</v>
      </c>
      <c r="E125" s="9" t="s">
        <v>144</v>
      </c>
      <c r="F125" s="3" t="s">
        <v>5</v>
      </c>
      <c r="G125" s="68" t="s">
        <v>817</v>
      </c>
      <c r="H125" s="6"/>
      <c r="I125" s="8"/>
      <c r="J125" s="75"/>
      <c r="K125" s="38">
        <v>4288161</v>
      </c>
      <c r="L125" s="4" t="s">
        <v>26</v>
      </c>
      <c r="M125" s="11">
        <f>_xlfn.NUMBERVALUE(LEFT(Table613612[[#This Row],[Fiscal Year]], 4))</f>
        <v>2018</v>
      </c>
      <c r="O125" s="3">
        <v>123</v>
      </c>
    </row>
    <row r="126" spans="1:15" x14ac:dyDescent="0.25">
      <c r="A126" s="3">
        <v>2</v>
      </c>
      <c r="B126" s="3" t="s">
        <v>6</v>
      </c>
      <c r="C126" s="1" t="s">
        <v>6</v>
      </c>
      <c r="D126" s="1" t="s">
        <v>443</v>
      </c>
      <c r="E126" s="9" t="s">
        <v>144</v>
      </c>
      <c r="F126" s="3" t="s">
        <v>5</v>
      </c>
      <c r="G126" s="68" t="s">
        <v>818</v>
      </c>
      <c r="H126" s="44"/>
      <c r="I126" s="8"/>
      <c r="J126" s="75"/>
      <c r="K126" s="38">
        <v>-697022</v>
      </c>
      <c r="L126" s="4" t="s">
        <v>26</v>
      </c>
      <c r="M126" s="11">
        <f>_xlfn.NUMBERVALUE(LEFT(Table613612[[#This Row],[Fiscal Year]], 4))</f>
        <v>2018</v>
      </c>
      <c r="O126" s="3">
        <v>124</v>
      </c>
    </row>
    <row r="127" spans="1:15" x14ac:dyDescent="0.25">
      <c r="A127" s="3">
        <v>2</v>
      </c>
      <c r="B127" s="3" t="s">
        <v>6</v>
      </c>
      <c r="C127" s="1" t="s">
        <v>6</v>
      </c>
      <c r="D127" s="1" t="s">
        <v>443</v>
      </c>
      <c r="E127" s="9" t="s">
        <v>144</v>
      </c>
      <c r="F127" s="3" t="s">
        <v>5</v>
      </c>
      <c r="G127" s="68" t="s">
        <v>819</v>
      </c>
      <c r="H127" s="44"/>
      <c r="I127" s="8"/>
      <c r="J127" s="75"/>
      <c r="K127" s="38">
        <v>-531446</v>
      </c>
      <c r="L127" s="4" t="s">
        <v>26</v>
      </c>
      <c r="M127" s="11">
        <f>_xlfn.NUMBERVALUE(LEFT(Table613612[[#This Row],[Fiscal Year]], 4))</f>
        <v>2018</v>
      </c>
      <c r="O127" s="3">
        <v>125</v>
      </c>
    </row>
    <row r="128" spans="1:15" x14ac:dyDescent="0.25">
      <c r="A128" s="3">
        <v>2</v>
      </c>
      <c r="B128" s="3" t="s">
        <v>6</v>
      </c>
      <c r="C128" s="1" t="s">
        <v>6</v>
      </c>
      <c r="D128" s="1" t="s">
        <v>443</v>
      </c>
      <c r="E128" s="9" t="s">
        <v>144</v>
      </c>
      <c r="F128" s="3" t="s">
        <v>5</v>
      </c>
      <c r="G128" s="68" t="s">
        <v>820</v>
      </c>
      <c r="H128" s="44"/>
      <c r="I128" s="8"/>
      <c r="J128" s="75"/>
      <c r="K128" s="38" t="s">
        <v>827</v>
      </c>
      <c r="L128" s="4" t="s">
        <v>26</v>
      </c>
      <c r="M128" s="11">
        <f>_xlfn.NUMBERVALUE(LEFT(Table613612[[#This Row],[Fiscal Year]], 4))</f>
        <v>2018</v>
      </c>
      <c r="O128" s="3">
        <v>126</v>
      </c>
    </row>
    <row r="129" spans="1:15" x14ac:dyDescent="0.25">
      <c r="A129" s="3">
        <v>2</v>
      </c>
      <c r="B129" s="3" t="s">
        <v>6</v>
      </c>
      <c r="C129" s="1" t="s">
        <v>6</v>
      </c>
      <c r="D129" s="1" t="s">
        <v>443</v>
      </c>
      <c r="E129" s="9" t="s">
        <v>144</v>
      </c>
      <c r="F129" s="3" t="s">
        <v>5</v>
      </c>
      <c r="G129" s="68" t="s">
        <v>821</v>
      </c>
      <c r="H129" s="44"/>
      <c r="I129" s="8"/>
      <c r="J129" s="75"/>
      <c r="K129" s="38" t="s">
        <v>827</v>
      </c>
      <c r="L129" s="4" t="s">
        <v>26</v>
      </c>
      <c r="M129" s="11">
        <f>_xlfn.NUMBERVALUE(LEFT(Table613612[[#This Row],[Fiscal Year]], 4))</f>
        <v>2018</v>
      </c>
      <c r="O129" s="3">
        <v>127</v>
      </c>
    </row>
    <row r="130" spans="1:15" x14ac:dyDescent="0.25">
      <c r="A130" s="3">
        <v>2</v>
      </c>
      <c r="B130" s="3" t="s">
        <v>6</v>
      </c>
      <c r="C130" s="1" t="s">
        <v>6</v>
      </c>
      <c r="D130" s="1" t="s">
        <v>443</v>
      </c>
      <c r="E130" s="9" t="s">
        <v>144</v>
      </c>
      <c r="F130" s="3" t="s">
        <v>5</v>
      </c>
      <c r="G130" s="68" t="s">
        <v>822</v>
      </c>
      <c r="H130" s="44"/>
      <c r="I130" s="8"/>
      <c r="J130" s="75"/>
      <c r="K130" s="38" t="s">
        <v>827</v>
      </c>
      <c r="L130" s="4" t="s">
        <v>26</v>
      </c>
      <c r="M130" s="11">
        <f>_xlfn.NUMBERVALUE(LEFT(Table613612[[#This Row],[Fiscal Year]], 4))</f>
        <v>2018</v>
      </c>
      <c r="O130" s="3">
        <v>128</v>
      </c>
    </row>
    <row r="131" spans="1:15" x14ac:dyDescent="0.25">
      <c r="A131" s="3">
        <v>2</v>
      </c>
      <c r="B131" s="3" t="s">
        <v>6</v>
      </c>
      <c r="C131" s="1" t="s">
        <v>6</v>
      </c>
      <c r="D131" s="1" t="s">
        <v>443</v>
      </c>
      <c r="E131" s="9" t="s">
        <v>144</v>
      </c>
      <c r="F131" s="3" t="s">
        <v>5</v>
      </c>
      <c r="G131" s="68" t="s">
        <v>823</v>
      </c>
      <c r="H131" s="6"/>
      <c r="I131" s="8"/>
      <c r="J131" s="75"/>
      <c r="K131" s="38">
        <v>3059693</v>
      </c>
      <c r="L131" s="4" t="s">
        <v>26</v>
      </c>
      <c r="M131" s="11">
        <f>_xlfn.NUMBERVALUE(LEFT(Table613612[[#This Row],[Fiscal Year]], 4))</f>
        <v>2018</v>
      </c>
      <c r="O131" s="3">
        <v>129</v>
      </c>
    </row>
    <row r="132" spans="1:15" x14ac:dyDescent="0.25">
      <c r="C132" s="1"/>
      <c r="D132" s="1"/>
      <c r="E132" s="9"/>
      <c r="G132" s="66"/>
      <c r="H132" s="6"/>
      <c r="I132" s="8"/>
      <c r="J132" s="6"/>
      <c r="L132" s="4"/>
      <c r="O132" s="3">
        <v>130</v>
      </c>
    </row>
    <row r="133" spans="1:15" x14ac:dyDescent="0.25">
      <c r="A133" s="3">
        <v>3</v>
      </c>
      <c r="B133" s="3" t="s">
        <v>7</v>
      </c>
      <c r="C133" s="1" t="s">
        <v>1454</v>
      </c>
      <c r="D133" s="1" t="s">
        <v>443</v>
      </c>
      <c r="E133" s="11" t="s">
        <v>144</v>
      </c>
      <c r="F133" s="3" t="s">
        <v>8</v>
      </c>
      <c r="G133" s="48" t="s">
        <v>423</v>
      </c>
      <c r="H133" s="8"/>
      <c r="I133" s="8"/>
      <c r="J133" s="6" t="s">
        <v>110</v>
      </c>
      <c r="K133" s="38">
        <v>470853</v>
      </c>
      <c r="L133" s="4" t="s">
        <v>25</v>
      </c>
      <c r="M133" s="11">
        <f>_xlfn.NUMBERVALUE(LEFT(Table613612[[#This Row],[Fiscal Year]], 4))</f>
        <v>2017</v>
      </c>
      <c r="N133" s="42">
        <f t="shared" si="4"/>
        <v>483399.47467564268</v>
      </c>
      <c r="O133" s="3">
        <v>131</v>
      </c>
    </row>
    <row r="134" spans="1:15" x14ac:dyDescent="0.25">
      <c r="A134" s="3">
        <v>3</v>
      </c>
      <c r="B134" s="3" t="s">
        <v>7</v>
      </c>
      <c r="C134" s="1" t="s">
        <v>1454</v>
      </c>
      <c r="D134" s="1" t="s">
        <v>443</v>
      </c>
      <c r="E134" s="11" t="s">
        <v>144</v>
      </c>
      <c r="F134" s="3" t="s">
        <v>8</v>
      </c>
      <c r="G134" s="48" t="s">
        <v>101</v>
      </c>
      <c r="H134" s="8" t="s">
        <v>472</v>
      </c>
      <c r="I134" s="8" t="s">
        <v>642</v>
      </c>
      <c r="J134" s="6" t="s">
        <v>108</v>
      </c>
      <c r="K134" s="38">
        <v>1485408</v>
      </c>
      <c r="L134" s="4" t="s">
        <v>25</v>
      </c>
      <c r="M134" s="11">
        <f>_xlfn.NUMBERVALUE(LEFT(Table613612[[#This Row],[Fiscal Year]], 4))</f>
        <v>2017</v>
      </c>
      <c r="N134" s="42">
        <f t="shared" si="4"/>
        <v>1524988.5779192168</v>
      </c>
      <c r="O134" s="3">
        <v>132</v>
      </c>
    </row>
    <row r="135" spans="1:15" x14ac:dyDescent="0.25">
      <c r="A135" s="3">
        <v>3</v>
      </c>
      <c r="B135" s="3" t="s">
        <v>7</v>
      </c>
      <c r="C135" s="1" t="s">
        <v>1454</v>
      </c>
      <c r="D135" s="1" t="s">
        <v>443</v>
      </c>
      <c r="E135" s="11" t="s">
        <v>144</v>
      </c>
      <c r="F135" s="3" t="s">
        <v>8</v>
      </c>
      <c r="G135" s="66" t="s">
        <v>48</v>
      </c>
      <c r="H135" s="8" t="s">
        <v>473</v>
      </c>
      <c r="I135" s="8" t="s">
        <v>642</v>
      </c>
      <c r="J135" s="6" t="s">
        <v>109</v>
      </c>
      <c r="K135" s="38">
        <v>672351</v>
      </c>
      <c r="L135" s="4" t="s">
        <v>25</v>
      </c>
      <c r="M135" s="11">
        <f>_xlfn.NUMBERVALUE(LEFT(Table613612[[#This Row],[Fiscal Year]], 4))</f>
        <v>2017</v>
      </c>
      <c r="N135" s="42">
        <f t="shared" si="4"/>
        <v>690266.64414932684</v>
      </c>
      <c r="O135" s="3">
        <v>133</v>
      </c>
    </row>
    <row r="136" spans="1:15" x14ac:dyDescent="0.25">
      <c r="A136" s="3">
        <v>3</v>
      </c>
      <c r="B136" s="3" t="s">
        <v>7</v>
      </c>
      <c r="C136" s="1" t="s">
        <v>1454</v>
      </c>
      <c r="D136" s="1" t="s">
        <v>443</v>
      </c>
      <c r="E136" s="11" t="s">
        <v>144</v>
      </c>
      <c r="F136" s="3" t="s">
        <v>8</v>
      </c>
      <c r="G136" s="48" t="s">
        <v>49</v>
      </c>
      <c r="H136" s="8" t="s">
        <v>474</v>
      </c>
      <c r="I136" s="8" t="s">
        <v>642</v>
      </c>
      <c r="J136" s="6" t="s">
        <v>111</v>
      </c>
      <c r="K136" s="38">
        <v>7171</v>
      </c>
      <c r="L136" s="4" t="s">
        <v>25</v>
      </c>
      <c r="M136" s="11">
        <f>_xlfn.NUMBERVALUE(LEFT(Table613612[[#This Row],[Fiscal Year]], 4))</f>
        <v>2017</v>
      </c>
      <c r="N136" s="42">
        <f t="shared" si="4"/>
        <v>7362.0803794369658</v>
      </c>
      <c r="O136" s="3">
        <v>134</v>
      </c>
    </row>
    <row r="137" spans="1:15" x14ac:dyDescent="0.25">
      <c r="A137" s="3">
        <v>3</v>
      </c>
      <c r="B137" s="3" t="s">
        <v>7</v>
      </c>
      <c r="C137" s="1" t="s">
        <v>1454</v>
      </c>
      <c r="D137" s="1" t="s">
        <v>443</v>
      </c>
      <c r="E137" s="11" t="s">
        <v>144</v>
      </c>
      <c r="F137" s="3" t="s">
        <v>8</v>
      </c>
      <c r="G137" s="66" t="s">
        <v>41</v>
      </c>
      <c r="H137" s="6"/>
      <c r="I137" s="8" t="s">
        <v>642</v>
      </c>
      <c r="J137" s="6" t="s">
        <v>106</v>
      </c>
      <c r="K137" s="38">
        <v>469438</v>
      </c>
      <c r="L137" s="4" t="s">
        <v>25</v>
      </c>
      <c r="M137" s="11">
        <f>_xlfn.NUMBERVALUE(LEFT(Table613612[[#This Row],[Fiscal Year]], 4))</f>
        <v>2017</v>
      </c>
      <c r="N137" s="42">
        <f t="shared" si="4"/>
        <v>481946.77020807838</v>
      </c>
      <c r="O137" s="3">
        <v>135</v>
      </c>
    </row>
    <row r="138" spans="1:15" x14ac:dyDescent="0.25">
      <c r="A138" s="3">
        <v>3</v>
      </c>
      <c r="B138" s="3" t="s">
        <v>7</v>
      </c>
      <c r="C138" s="1" t="s">
        <v>1454</v>
      </c>
      <c r="D138" s="1" t="s">
        <v>443</v>
      </c>
      <c r="E138" s="11" t="s">
        <v>144</v>
      </c>
      <c r="F138" s="3" t="s">
        <v>8</v>
      </c>
      <c r="G138" s="48" t="s">
        <v>50</v>
      </c>
      <c r="H138" s="8" t="s">
        <v>475</v>
      </c>
      <c r="I138" s="8" t="s">
        <v>642</v>
      </c>
      <c r="J138" s="6" t="s">
        <v>111</v>
      </c>
      <c r="K138" s="38">
        <v>131583</v>
      </c>
      <c r="L138" s="4" t="s">
        <v>25</v>
      </c>
      <c r="M138" s="11">
        <f>_xlfn.NUMBERVALUE(LEFT(Table613612[[#This Row],[Fiscal Year]], 4))</f>
        <v>2017</v>
      </c>
      <c r="N138" s="42">
        <f t="shared" si="4"/>
        <v>135089.19572827418</v>
      </c>
      <c r="O138" s="3">
        <v>136</v>
      </c>
    </row>
    <row r="139" spans="1:15" x14ac:dyDescent="0.25">
      <c r="A139" s="3">
        <v>3</v>
      </c>
      <c r="B139" s="3" t="s">
        <v>7</v>
      </c>
      <c r="C139" s="1" t="s">
        <v>1454</v>
      </c>
      <c r="D139" s="1" t="s">
        <v>443</v>
      </c>
      <c r="E139" s="11" t="s">
        <v>144</v>
      </c>
      <c r="F139" s="3" t="s">
        <v>8</v>
      </c>
      <c r="G139" s="48" t="s">
        <v>51</v>
      </c>
      <c r="H139" s="8" t="s">
        <v>646</v>
      </c>
      <c r="I139" s="8" t="s">
        <v>642</v>
      </c>
      <c r="J139" s="6" t="s">
        <v>107</v>
      </c>
      <c r="K139" s="38">
        <v>152324</v>
      </c>
      <c r="L139" s="4" t="s">
        <v>25</v>
      </c>
      <c r="M139" s="11">
        <f>_xlfn.NUMBERVALUE(LEFT(Table613612[[#This Row],[Fiscal Year]], 4))</f>
        <v>2017</v>
      </c>
      <c r="N139" s="42">
        <f t="shared" si="4"/>
        <v>156382.86594859243</v>
      </c>
      <c r="O139" s="3">
        <v>137</v>
      </c>
    </row>
    <row r="140" spans="1:15" x14ac:dyDescent="0.25">
      <c r="A140" s="3">
        <v>3</v>
      </c>
      <c r="B140" s="3" t="s">
        <v>7</v>
      </c>
      <c r="C140" s="1" t="s">
        <v>1454</v>
      </c>
      <c r="D140" s="1" t="s">
        <v>443</v>
      </c>
      <c r="E140" s="11" t="s">
        <v>144</v>
      </c>
      <c r="F140" s="3" t="s">
        <v>8</v>
      </c>
      <c r="G140" s="48" t="s">
        <v>52</v>
      </c>
      <c r="H140" s="8"/>
      <c r="I140" s="8" t="s">
        <v>642</v>
      </c>
      <c r="J140" s="8" t="s">
        <v>111</v>
      </c>
      <c r="K140" s="38">
        <v>22829</v>
      </c>
      <c r="L140" s="4" t="s">
        <v>25</v>
      </c>
      <c r="M140" s="11">
        <f>_xlfn.NUMBERVALUE(LEFT(Table613612[[#This Row],[Fiscal Year]], 4))</f>
        <v>2017</v>
      </c>
      <c r="N140" s="42">
        <f t="shared" si="4"/>
        <v>23437.307625458998</v>
      </c>
      <c r="O140" s="3">
        <v>138</v>
      </c>
    </row>
    <row r="141" spans="1:15" x14ac:dyDescent="0.25">
      <c r="A141" s="3">
        <v>3</v>
      </c>
      <c r="B141" s="3" t="s">
        <v>7</v>
      </c>
      <c r="C141" s="1" t="s">
        <v>1454</v>
      </c>
      <c r="D141" s="1" t="s">
        <v>443</v>
      </c>
      <c r="E141" s="11" t="s">
        <v>144</v>
      </c>
      <c r="F141" s="3" t="s">
        <v>8</v>
      </c>
      <c r="G141" s="66" t="s">
        <v>53</v>
      </c>
      <c r="H141" s="8"/>
      <c r="I141" s="8" t="s">
        <v>642</v>
      </c>
      <c r="J141" s="6" t="s">
        <v>453</v>
      </c>
      <c r="K141" s="38">
        <v>80663</v>
      </c>
      <c r="L141" s="4" t="s">
        <v>25</v>
      </c>
      <c r="M141" s="11">
        <f>_xlfn.NUMBERVALUE(LEFT(Table613612[[#This Row],[Fiscal Year]], 4))</f>
        <v>2017</v>
      </c>
      <c r="N141" s="42">
        <f t="shared" si="4"/>
        <v>82812.367821297434</v>
      </c>
      <c r="O141" s="3">
        <v>139</v>
      </c>
    </row>
    <row r="142" spans="1:15" x14ac:dyDescent="0.25">
      <c r="A142" s="3">
        <v>3</v>
      </c>
      <c r="B142" s="3" t="s">
        <v>7</v>
      </c>
      <c r="C142" s="1" t="s">
        <v>1454</v>
      </c>
      <c r="D142" s="1" t="s">
        <v>443</v>
      </c>
      <c r="E142" s="11" t="s">
        <v>144</v>
      </c>
      <c r="F142" s="3" t="s">
        <v>8</v>
      </c>
      <c r="G142" s="66" t="s">
        <v>54</v>
      </c>
      <c r="H142" s="8"/>
      <c r="I142" s="8" t="s">
        <v>642</v>
      </c>
      <c r="J142" s="6" t="s">
        <v>108</v>
      </c>
      <c r="K142" s="38">
        <v>431089</v>
      </c>
      <c r="L142" s="4" t="s">
        <v>25</v>
      </c>
      <c r="M142" s="11">
        <f>_xlfn.NUMBERVALUE(LEFT(Table613612[[#This Row],[Fiscal Year]], 4))</f>
        <v>2017</v>
      </c>
      <c r="N142" s="42">
        <f t="shared" si="4"/>
        <v>442575.91252141987</v>
      </c>
      <c r="O142" s="3">
        <v>140</v>
      </c>
    </row>
    <row r="143" spans="1:15" x14ac:dyDescent="0.25">
      <c r="A143" s="29">
        <v>3</v>
      </c>
      <c r="B143" s="3" t="s">
        <v>7</v>
      </c>
      <c r="C143" s="1" t="s">
        <v>1454</v>
      </c>
      <c r="D143" s="1" t="s">
        <v>443</v>
      </c>
      <c r="E143" s="11" t="s">
        <v>144</v>
      </c>
      <c r="F143" s="3" t="s">
        <v>8</v>
      </c>
      <c r="G143" s="66" t="s">
        <v>55</v>
      </c>
      <c r="H143" s="8"/>
      <c r="I143" s="8" t="s">
        <v>642</v>
      </c>
      <c r="J143" s="6" t="s">
        <v>605</v>
      </c>
      <c r="K143" s="38">
        <v>11240</v>
      </c>
      <c r="L143" s="4" t="s">
        <v>25</v>
      </c>
      <c r="M143" s="11">
        <f>_xlfn.NUMBERVALUE(LEFT(Table613612[[#This Row],[Fiscal Year]], 4))</f>
        <v>2017</v>
      </c>
      <c r="N143" s="42">
        <f t="shared" si="4"/>
        <v>11539.504039167688</v>
      </c>
      <c r="O143" s="3">
        <v>141</v>
      </c>
    </row>
    <row r="144" spans="1:15" x14ac:dyDescent="0.25">
      <c r="A144" s="3">
        <v>3</v>
      </c>
      <c r="B144" s="3" t="s">
        <v>7</v>
      </c>
      <c r="C144" s="1" t="s">
        <v>1454</v>
      </c>
      <c r="D144" s="1" t="s">
        <v>443</v>
      </c>
      <c r="E144" s="11" t="s">
        <v>144</v>
      </c>
      <c r="F144" s="3" t="s">
        <v>8</v>
      </c>
      <c r="G144" s="66" t="s">
        <v>828</v>
      </c>
      <c r="H144" s="8"/>
      <c r="I144" s="8" t="s">
        <v>642</v>
      </c>
      <c r="J144" s="6" t="s">
        <v>47</v>
      </c>
      <c r="K144" s="38">
        <v>469881</v>
      </c>
      <c r="L144" s="4" t="s">
        <v>25</v>
      </c>
      <c r="M144" s="11">
        <f>_xlfn.NUMBERVALUE(LEFT(Table613612[[#This Row],[Fiscal Year]], 4))</f>
        <v>2017</v>
      </c>
      <c r="N144" s="42">
        <f t="shared" si="4"/>
        <v>482401.57450428401</v>
      </c>
      <c r="O144" s="3">
        <v>142</v>
      </c>
    </row>
    <row r="145" spans="1:15" x14ac:dyDescent="0.25">
      <c r="A145" s="3">
        <v>3</v>
      </c>
      <c r="B145" s="3" t="s">
        <v>7</v>
      </c>
      <c r="C145" s="1" t="s">
        <v>1454</v>
      </c>
      <c r="D145" s="1" t="s">
        <v>443</v>
      </c>
      <c r="E145" s="11" t="s">
        <v>144</v>
      </c>
      <c r="F145" s="3" t="s">
        <v>8</v>
      </c>
      <c r="G145" s="48" t="s">
        <v>56</v>
      </c>
      <c r="H145" s="8"/>
      <c r="I145" s="8" t="s">
        <v>642</v>
      </c>
      <c r="J145" s="6" t="s">
        <v>605</v>
      </c>
      <c r="K145" s="38">
        <v>10986</v>
      </c>
      <c r="L145" s="4" t="s">
        <v>25</v>
      </c>
      <c r="M145" s="11">
        <f>_xlfn.NUMBERVALUE(LEFT(Table613612[[#This Row],[Fiscal Year]], 4))</f>
        <v>2017</v>
      </c>
      <c r="N145" s="42">
        <f t="shared" si="4"/>
        <v>11278.735887392902</v>
      </c>
      <c r="O145" s="3">
        <v>143</v>
      </c>
    </row>
    <row r="146" spans="1:15" x14ac:dyDescent="0.25">
      <c r="A146" s="3">
        <v>3</v>
      </c>
      <c r="B146" s="3" t="s">
        <v>7</v>
      </c>
      <c r="C146" s="1" t="s">
        <v>1454</v>
      </c>
      <c r="D146" s="1" t="s">
        <v>443</v>
      </c>
      <c r="E146" s="11" t="s">
        <v>144</v>
      </c>
      <c r="F146" s="3" t="s">
        <v>8</v>
      </c>
      <c r="G146" s="48" t="s">
        <v>57</v>
      </c>
      <c r="H146" s="8" t="s">
        <v>476</v>
      </c>
      <c r="I146" s="8" t="s">
        <v>642</v>
      </c>
      <c r="J146" s="6" t="s">
        <v>110</v>
      </c>
      <c r="K146" s="38">
        <v>42974</v>
      </c>
      <c r="L146" s="4" t="s">
        <v>25</v>
      </c>
      <c r="M146" s="11">
        <f>_xlfn.NUMBERVALUE(LEFT(Table613612[[#This Row],[Fiscal Year]], 4))</f>
        <v>2017</v>
      </c>
      <c r="N146" s="42">
        <f t="shared" si="4"/>
        <v>44119.096670746636</v>
      </c>
      <c r="O146" s="3">
        <v>144</v>
      </c>
    </row>
    <row r="147" spans="1:15" x14ac:dyDescent="0.25">
      <c r="C147" s="1"/>
      <c r="D147" s="1"/>
      <c r="G147" s="66"/>
      <c r="H147" s="8"/>
      <c r="I147" s="8"/>
      <c r="J147" s="6"/>
      <c r="L147" s="4"/>
      <c r="O147" s="3">
        <v>145</v>
      </c>
    </row>
    <row r="148" spans="1:15" x14ac:dyDescent="0.25">
      <c r="A148" s="3">
        <v>4</v>
      </c>
      <c r="B148" s="3" t="s">
        <v>145</v>
      </c>
      <c r="C148" s="1" t="s">
        <v>12</v>
      </c>
      <c r="D148" s="1" t="s">
        <v>444</v>
      </c>
      <c r="E148" s="11" t="s">
        <v>144</v>
      </c>
      <c r="F148" s="3" t="s">
        <v>8</v>
      </c>
      <c r="G148" s="48" t="s">
        <v>32</v>
      </c>
      <c r="H148" s="8"/>
      <c r="I148" s="8"/>
      <c r="J148" s="6" t="s">
        <v>110</v>
      </c>
      <c r="K148" s="38">
        <v>89062.04</v>
      </c>
      <c r="L148" s="4" t="s">
        <v>29</v>
      </c>
      <c r="M148" s="11">
        <f>_xlfn.NUMBERVALUE(LEFT(Table613612[[#This Row],[Fiscal Year]], 4))</f>
        <v>2015</v>
      </c>
      <c r="N148" s="42">
        <f t="shared" si="4"/>
        <v>94560.21176050631</v>
      </c>
      <c r="O148" s="3">
        <v>146</v>
      </c>
    </row>
    <row r="149" spans="1:15" x14ac:dyDescent="0.25">
      <c r="A149" s="3">
        <v>4</v>
      </c>
      <c r="B149" s="3" t="s">
        <v>145</v>
      </c>
      <c r="C149" s="1" t="s">
        <v>12</v>
      </c>
      <c r="D149" s="1" t="s">
        <v>444</v>
      </c>
      <c r="E149" s="11" t="s">
        <v>144</v>
      </c>
      <c r="F149" s="3" t="s">
        <v>8</v>
      </c>
      <c r="G149" s="61" t="s">
        <v>58</v>
      </c>
      <c r="H149" s="8" t="s">
        <v>477</v>
      </c>
      <c r="I149" s="70" t="s">
        <v>643</v>
      </c>
      <c r="J149" s="6" t="s">
        <v>453</v>
      </c>
      <c r="K149" s="38">
        <v>14273.16</v>
      </c>
      <c r="L149" s="4" t="s">
        <v>29</v>
      </c>
      <c r="M149" s="11">
        <f>_xlfn.NUMBERVALUE(LEFT(Table613612[[#This Row],[Fiscal Year]], 4))</f>
        <v>2015</v>
      </c>
      <c r="N149" s="42">
        <f t="shared" si="4"/>
        <v>15154.301788860759</v>
      </c>
      <c r="O149" s="3">
        <v>147</v>
      </c>
    </row>
    <row r="150" spans="1:15" x14ac:dyDescent="0.25">
      <c r="A150" s="29">
        <v>4</v>
      </c>
      <c r="B150" s="3" t="s">
        <v>145</v>
      </c>
      <c r="C150" s="1" t="s">
        <v>12</v>
      </c>
      <c r="D150" s="1" t="s">
        <v>444</v>
      </c>
      <c r="E150" s="11" t="s">
        <v>144</v>
      </c>
      <c r="F150" s="3" t="s">
        <v>8</v>
      </c>
      <c r="G150" s="66" t="s">
        <v>208</v>
      </c>
      <c r="H150" s="8"/>
      <c r="I150" s="8"/>
      <c r="J150" s="6" t="s">
        <v>109</v>
      </c>
      <c r="K150" s="38">
        <v>12994.81</v>
      </c>
      <c r="L150" s="4" t="s">
        <v>29</v>
      </c>
      <c r="M150" s="11">
        <f>_xlfn.NUMBERVALUE(LEFT(Table613612[[#This Row],[Fiscal Year]], 4))</f>
        <v>2015</v>
      </c>
      <c r="N150" s="42">
        <f t="shared" si="4"/>
        <v>13797.03390341772</v>
      </c>
      <c r="O150" s="3">
        <v>148</v>
      </c>
    </row>
    <row r="151" spans="1:15" x14ac:dyDescent="0.25">
      <c r="A151" s="3">
        <v>4</v>
      </c>
      <c r="B151" s="3" t="s">
        <v>145</v>
      </c>
      <c r="C151" s="1" t="s">
        <v>12</v>
      </c>
      <c r="D151" s="1" t="s">
        <v>444</v>
      </c>
      <c r="E151" s="11" t="s">
        <v>144</v>
      </c>
      <c r="F151" s="3" t="s">
        <v>8</v>
      </c>
      <c r="G151" s="66" t="s">
        <v>59</v>
      </c>
      <c r="H151" s="8"/>
      <c r="I151" s="8"/>
      <c r="J151" s="6" t="s">
        <v>111</v>
      </c>
      <c r="K151" s="38" t="s">
        <v>827</v>
      </c>
      <c r="L151" s="4" t="s">
        <v>29</v>
      </c>
      <c r="M151" s="11">
        <f>_xlfn.NUMBERVALUE(LEFT(Table613612[[#This Row],[Fiscal Year]], 4))</f>
        <v>2015</v>
      </c>
      <c r="O151" s="3">
        <v>149</v>
      </c>
    </row>
    <row r="152" spans="1:15" x14ac:dyDescent="0.25">
      <c r="A152" s="3">
        <v>4</v>
      </c>
      <c r="B152" s="3" t="s">
        <v>145</v>
      </c>
      <c r="C152" s="1" t="s">
        <v>12</v>
      </c>
      <c r="D152" s="1" t="s">
        <v>444</v>
      </c>
      <c r="E152" s="11" t="s">
        <v>144</v>
      </c>
      <c r="F152" s="3" t="s">
        <v>8</v>
      </c>
      <c r="G152" s="66" t="s">
        <v>60</v>
      </c>
      <c r="H152" s="8"/>
      <c r="I152" s="8"/>
      <c r="J152" s="6" t="s">
        <v>111</v>
      </c>
      <c r="K152" s="38">
        <v>10000</v>
      </c>
      <c r="L152" s="4" t="s">
        <v>29</v>
      </c>
      <c r="M152" s="11">
        <f>_xlfn.NUMBERVALUE(LEFT(Table613612[[#This Row],[Fiscal Year]], 4))</f>
        <v>2015</v>
      </c>
      <c r="N152" s="42">
        <f t="shared" si="4"/>
        <v>10617.341772151898</v>
      </c>
      <c r="O152" s="3">
        <v>150</v>
      </c>
    </row>
    <row r="153" spans="1:15" x14ac:dyDescent="0.25">
      <c r="A153" s="3">
        <v>4</v>
      </c>
      <c r="B153" s="3" t="s">
        <v>145</v>
      </c>
      <c r="C153" s="1" t="s">
        <v>12</v>
      </c>
      <c r="D153" s="1" t="s">
        <v>444</v>
      </c>
      <c r="E153" s="11" t="s">
        <v>144</v>
      </c>
      <c r="F153" s="3" t="s">
        <v>8</v>
      </c>
      <c r="G153" s="48" t="s">
        <v>61</v>
      </c>
      <c r="H153" s="8" t="s">
        <v>478</v>
      </c>
      <c r="I153" s="8" t="s">
        <v>644</v>
      </c>
      <c r="J153" s="6" t="s">
        <v>108</v>
      </c>
      <c r="K153" s="38">
        <v>111665.67</v>
      </c>
      <c r="L153" s="4" t="s">
        <v>29</v>
      </c>
      <c r="M153" s="11">
        <f>_xlfn.NUMBERVALUE(LEFT(Table613612[[#This Row],[Fiscal Year]], 4))</f>
        <v>2015</v>
      </c>
      <c r="N153" s="42">
        <f t="shared" si="4"/>
        <v>118559.25826063291</v>
      </c>
      <c r="O153" s="3">
        <v>151</v>
      </c>
    </row>
    <row r="154" spans="1:15" x14ac:dyDescent="0.25">
      <c r="A154" s="3">
        <v>4</v>
      </c>
      <c r="B154" s="3" t="s">
        <v>145</v>
      </c>
      <c r="C154" s="1" t="s">
        <v>12</v>
      </c>
      <c r="D154" s="1" t="s">
        <v>444</v>
      </c>
      <c r="E154" s="11" t="s">
        <v>144</v>
      </c>
      <c r="F154" s="3" t="s">
        <v>8</v>
      </c>
      <c r="G154" s="66" t="s">
        <v>62</v>
      </c>
      <c r="H154" s="8"/>
      <c r="I154" s="8"/>
      <c r="J154" s="6" t="s">
        <v>106</v>
      </c>
      <c r="K154" s="38">
        <v>6533.3</v>
      </c>
      <c r="L154" s="4" t="s">
        <v>29</v>
      </c>
      <c r="M154" s="11">
        <f>_xlfn.NUMBERVALUE(LEFT(Table613612[[#This Row],[Fiscal Year]], 4))</f>
        <v>2015</v>
      </c>
      <c r="N154" s="42">
        <f t="shared" si="4"/>
        <v>6936.6278999999995</v>
      </c>
      <c r="O154" s="3">
        <v>152</v>
      </c>
    </row>
    <row r="155" spans="1:15" x14ac:dyDescent="0.25">
      <c r="A155" s="3">
        <v>4</v>
      </c>
      <c r="B155" s="3" t="s">
        <v>145</v>
      </c>
      <c r="C155" s="1" t="s">
        <v>12</v>
      </c>
      <c r="D155" s="1" t="s">
        <v>444</v>
      </c>
      <c r="E155" s="11" t="s">
        <v>144</v>
      </c>
      <c r="F155" s="3" t="s">
        <v>8</v>
      </c>
      <c r="G155" s="48" t="s">
        <v>63</v>
      </c>
      <c r="H155" s="8" t="s">
        <v>479</v>
      </c>
      <c r="I155" s="8" t="s">
        <v>644</v>
      </c>
      <c r="J155" s="6" t="s">
        <v>455</v>
      </c>
      <c r="K155" s="38">
        <v>283770</v>
      </c>
      <c r="L155" s="4" t="s">
        <v>29</v>
      </c>
      <c r="M155" s="11">
        <f>_xlfn.NUMBERVALUE(LEFT(Table613612[[#This Row],[Fiscal Year]], 4))</f>
        <v>2015</v>
      </c>
      <c r="N155" s="42">
        <f t="shared" si="4"/>
        <v>301288.30746835441</v>
      </c>
      <c r="O155" s="3">
        <v>153</v>
      </c>
    </row>
    <row r="156" spans="1:15" x14ac:dyDescent="0.25">
      <c r="A156" s="3">
        <v>4</v>
      </c>
      <c r="B156" s="3" t="s">
        <v>145</v>
      </c>
      <c r="C156" s="1" t="s">
        <v>12</v>
      </c>
      <c r="D156" s="1" t="s">
        <v>444</v>
      </c>
      <c r="E156" s="11" t="s">
        <v>144</v>
      </c>
      <c r="F156" s="3" t="s">
        <v>8</v>
      </c>
      <c r="G156" s="66" t="s">
        <v>64</v>
      </c>
      <c r="H156" s="8"/>
      <c r="I156" s="8"/>
      <c r="J156" s="6" t="s">
        <v>76</v>
      </c>
      <c r="K156" s="38" t="s">
        <v>827</v>
      </c>
      <c r="L156" s="4" t="s">
        <v>29</v>
      </c>
      <c r="M156" s="11">
        <f>_xlfn.NUMBERVALUE(LEFT(Table613612[[#This Row],[Fiscal Year]], 4))</f>
        <v>2015</v>
      </c>
      <c r="O156" s="3">
        <v>154</v>
      </c>
    </row>
    <row r="157" spans="1:15" x14ac:dyDescent="0.25">
      <c r="A157" s="3">
        <v>4</v>
      </c>
      <c r="B157" s="3" t="s">
        <v>145</v>
      </c>
      <c r="C157" s="1" t="s">
        <v>12</v>
      </c>
      <c r="D157" s="1" t="s">
        <v>444</v>
      </c>
      <c r="E157" s="11" t="s">
        <v>144</v>
      </c>
      <c r="F157" s="3" t="s">
        <v>8</v>
      </c>
      <c r="G157" s="48" t="s">
        <v>65</v>
      </c>
      <c r="H157" s="8" t="s">
        <v>480</v>
      </c>
      <c r="I157" s="8" t="s">
        <v>644</v>
      </c>
      <c r="J157" s="6" t="s">
        <v>76</v>
      </c>
      <c r="K157" s="38">
        <v>51975.199999999997</v>
      </c>
      <c r="L157" s="4" t="s">
        <v>29</v>
      </c>
      <c r="M157" s="11">
        <f>_xlfn.NUMBERVALUE(LEFT(Table613612[[#This Row],[Fiscal Year]], 4))</f>
        <v>2015</v>
      </c>
      <c r="N157" s="42">
        <f t="shared" si="4"/>
        <v>55183.846207594928</v>
      </c>
      <c r="O157" s="3">
        <v>155</v>
      </c>
    </row>
    <row r="158" spans="1:15" x14ac:dyDescent="0.25">
      <c r="A158" s="3">
        <v>4</v>
      </c>
      <c r="B158" s="3" t="s">
        <v>145</v>
      </c>
      <c r="C158" s="1" t="s">
        <v>12</v>
      </c>
      <c r="D158" s="1" t="s">
        <v>444</v>
      </c>
      <c r="E158" s="11" t="s">
        <v>144</v>
      </c>
      <c r="F158" s="3" t="s">
        <v>8</v>
      </c>
      <c r="G158" s="66" t="s">
        <v>66</v>
      </c>
      <c r="H158" s="8" t="s">
        <v>481</v>
      </c>
      <c r="I158" s="8" t="s">
        <v>644</v>
      </c>
      <c r="J158" s="6" t="s">
        <v>76</v>
      </c>
      <c r="K158" s="38">
        <v>1985733.69</v>
      </c>
      <c r="L158" s="4" t="s">
        <v>29</v>
      </c>
      <c r="M158" s="11">
        <f>_xlfn.NUMBERVALUE(LEFT(Table613612[[#This Row],[Fiscal Year]], 4))</f>
        <v>2015</v>
      </c>
      <c r="N158" s="42">
        <f t="shared" si="4"/>
        <v>2108321.3255206328</v>
      </c>
      <c r="O158" s="3">
        <v>156</v>
      </c>
    </row>
    <row r="159" spans="1:15" x14ac:dyDescent="0.25">
      <c r="A159" s="3">
        <v>4</v>
      </c>
      <c r="B159" s="3" t="s">
        <v>145</v>
      </c>
      <c r="C159" s="1" t="s">
        <v>12</v>
      </c>
      <c r="D159" s="1" t="s">
        <v>444</v>
      </c>
      <c r="E159" s="11" t="s">
        <v>144</v>
      </c>
      <c r="F159" s="3" t="s">
        <v>8</v>
      </c>
      <c r="G159" s="66" t="s">
        <v>33</v>
      </c>
      <c r="H159" s="8"/>
      <c r="I159" s="8"/>
      <c r="J159" s="6" t="s">
        <v>47</v>
      </c>
      <c r="K159" s="38">
        <v>40114.47</v>
      </c>
      <c r="L159" s="4" t="s">
        <v>29</v>
      </c>
      <c r="M159" s="11">
        <f>_xlfn.NUMBERVALUE(LEFT(Table613612[[#This Row],[Fiscal Year]], 4))</f>
        <v>2015</v>
      </c>
      <c r="N159" s="42">
        <f t="shared" si="4"/>
        <v>42590.903799873413</v>
      </c>
      <c r="O159" s="3">
        <v>157</v>
      </c>
    </row>
    <row r="160" spans="1:15" x14ac:dyDescent="0.25">
      <c r="A160" s="3">
        <v>4</v>
      </c>
      <c r="B160" s="3" t="s">
        <v>145</v>
      </c>
      <c r="C160" s="1" t="s">
        <v>12</v>
      </c>
      <c r="D160" s="1" t="s">
        <v>444</v>
      </c>
      <c r="E160" s="11" t="s">
        <v>144</v>
      </c>
      <c r="F160" s="3" t="s">
        <v>8</v>
      </c>
      <c r="G160" s="48" t="s">
        <v>67</v>
      </c>
      <c r="H160" s="8"/>
      <c r="I160" s="8"/>
      <c r="J160" s="6" t="s">
        <v>455</v>
      </c>
      <c r="K160" s="38" t="s">
        <v>827</v>
      </c>
      <c r="L160" s="4" t="s">
        <v>29</v>
      </c>
      <c r="M160" s="11">
        <f>_xlfn.NUMBERVALUE(LEFT(Table613612[[#This Row],[Fiscal Year]], 4))</f>
        <v>2015</v>
      </c>
      <c r="O160" s="3">
        <v>158</v>
      </c>
    </row>
    <row r="161" spans="1:15" x14ac:dyDescent="0.25">
      <c r="C161" s="1"/>
      <c r="D161" s="1"/>
      <c r="G161" s="66"/>
      <c r="H161" s="8"/>
      <c r="I161" s="8"/>
      <c r="J161" s="6"/>
      <c r="L161" s="4"/>
      <c r="O161" s="3">
        <v>159</v>
      </c>
    </row>
    <row r="162" spans="1:15" x14ac:dyDescent="0.25">
      <c r="A162" s="3">
        <v>4</v>
      </c>
      <c r="B162" s="3" t="s">
        <v>9</v>
      </c>
      <c r="C162" s="1" t="s">
        <v>12</v>
      </c>
      <c r="D162" s="1" t="s">
        <v>444</v>
      </c>
      <c r="E162" s="11" t="s">
        <v>144</v>
      </c>
      <c r="F162" s="3" t="s">
        <v>8</v>
      </c>
      <c r="G162" s="56" t="s">
        <v>829</v>
      </c>
      <c r="H162" s="8"/>
      <c r="I162" s="8"/>
      <c r="J162" s="6" t="s">
        <v>110</v>
      </c>
      <c r="K162" s="38">
        <v>16057</v>
      </c>
      <c r="L162" s="4" t="s">
        <v>29</v>
      </c>
      <c r="M162" s="11">
        <f>_xlfn.NUMBERVALUE(LEFT(Table613612[[#This Row],[Fiscal Year]], 4))</f>
        <v>2015</v>
      </c>
      <c r="N162" s="42">
        <f t="shared" si="4"/>
        <v>17048.265683544301</v>
      </c>
      <c r="O162" s="3">
        <v>160</v>
      </c>
    </row>
    <row r="163" spans="1:15" x14ac:dyDescent="0.25">
      <c r="A163" s="3">
        <v>4</v>
      </c>
      <c r="B163" s="3" t="s">
        <v>9</v>
      </c>
      <c r="C163" s="1" t="s">
        <v>12</v>
      </c>
      <c r="D163" s="1" t="s">
        <v>444</v>
      </c>
      <c r="E163" s="11" t="s">
        <v>144</v>
      </c>
      <c r="F163" s="3" t="s">
        <v>8</v>
      </c>
      <c r="G163" s="66" t="s">
        <v>830</v>
      </c>
      <c r="H163" s="8" t="s">
        <v>477</v>
      </c>
      <c r="I163" s="8" t="s">
        <v>644</v>
      </c>
      <c r="J163" s="6" t="s">
        <v>453</v>
      </c>
      <c r="K163" s="38">
        <v>1500</v>
      </c>
      <c r="L163" s="4" t="s">
        <v>29</v>
      </c>
      <c r="M163" s="11">
        <f>_xlfn.NUMBERVALUE(LEFT(Table613612[[#This Row],[Fiscal Year]], 4))</f>
        <v>2015</v>
      </c>
      <c r="N163" s="42">
        <f t="shared" ref="N163:N203" si="7">K163*(1+VLOOKUP(M163,$AF$8:$AH$31,3,0))</f>
        <v>1592.6012658227846</v>
      </c>
      <c r="O163" s="3">
        <v>161</v>
      </c>
    </row>
    <row r="164" spans="1:15" x14ac:dyDescent="0.25">
      <c r="A164" s="3">
        <v>4</v>
      </c>
      <c r="B164" s="3" t="s">
        <v>9</v>
      </c>
      <c r="C164" s="1" t="s">
        <v>12</v>
      </c>
      <c r="D164" s="1" t="s">
        <v>444</v>
      </c>
      <c r="E164" s="11" t="s">
        <v>144</v>
      </c>
      <c r="F164" s="3" t="s">
        <v>8</v>
      </c>
      <c r="G164" s="48" t="s">
        <v>831</v>
      </c>
      <c r="H164" s="8"/>
      <c r="I164" s="8"/>
      <c r="J164" s="6" t="s">
        <v>109</v>
      </c>
      <c r="K164" s="38">
        <v>0</v>
      </c>
      <c r="L164" s="4" t="s">
        <v>29</v>
      </c>
      <c r="M164" s="11">
        <f>_xlfn.NUMBERVALUE(LEFT(Table613612[[#This Row],[Fiscal Year]], 4))</f>
        <v>2015</v>
      </c>
      <c r="N164" s="43">
        <f t="shared" si="7"/>
        <v>0</v>
      </c>
      <c r="O164" s="3">
        <v>162</v>
      </c>
    </row>
    <row r="165" spans="1:15" x14ac:dyDescent="0.25">
      <c r="A165" s="3">
        <v>4</v>
      </c>
      <c r="B165" s="3" t="s">
        <v>9</v>
      </c>
      <c r="C165" s="1" t="s">
        <v>12</v>
      </c>
      <c r="D165" s="1" t="s">
        <v>444</v>
      </c>
      <c r="E165" s="11" t="s">
        <v>144</v>
      </c>
      <c r="F165" s="3" t="s">
        <v>8</v>
      </c>
      <c r="G165" s="66" t="s">
        <v>832</v>
      </c>
      <c r="H165" s="8"/>
      <c r="I165" s="8"/>
      <c r="J165" s="6" t="s">
        <v>111</v>
      </c>
      <c r="K165" s="38">
        <v>38203</v>
      </c>
      <c r="L165" s="4" t="s">
        <v>29</v>
      </c>
      <c r="M165" s="11">
        <f>_xlfn.NUMBERVALUE(LEFT(Table613612[[#This Row],[Fiscal Year]], 4))</f>
        <v>2015</v>
      </c>
      <c r="N165" s="42">
        <f t="shared" si="7"/>
        <v>40561.4307721519</v>
      </c>
      <c r="O165" s="3">
        <v>163</v>
      </c>
    </row>
    <row r="166" spans="1:15" x14ac:dyDescent="0.25">
      <c r="A166" s="3">
        <v>4</v>
      </c>
      <c r="B166" s="3" t="s">
        <v>9</v>
      </c>
      <c r="C166" s="1" t="s">
        <v>12</v>
      </c>
      <c r="D166" s="1" t="s">
        <v>444</v>
      </c>
      <c r="E166" s="11" t="s">
        <v>144</v>
      </c>
      <c r="F166" s="3" t="s">
        <v>8</v>
      </c>
      <c r="G166" s="66" t="s">
        <v>833</v>
      </c>
      <c r="H166" s="8"/>
      <c r="I166" s="8"/>
      <c r="J166" s="6" t="s">
        <v>111</v>
      </c>
      <c r="K166" s="38">
        <v>24327</v>
      </c>
      <c r="L166" s="4" t="s">
        <v>29</v>
      </c>
      <c r="M166" s="11">
        <f>_xlfn.NUMBERVALUE(LEFT(Table613612[[#This Row],[Fiscal Year]], 4))</f>
        <v>2015</v>
      </c>
      <c r="N166" s="42">
        <f t="shared" si="7"/>
        <v>25828.807329113923</v>
      </c>
      <c r="O166" s="3">
        <v>164</v>
      </c>
    </row>
    <row r="167" spans="1:15" x14ac:dyDescent="0.25">
      <c r="A167" s="3">
        <v>4</v>
      </c>
      <c r="B167" s="3" t="s">
        <v>9</v>
      </c>
      <c r="C167" s="1" t="s">
        <v>12</v>
      </c>
      <c r="D167" s="1" t="s">
        <v>444</v>
      </c>
      <c r="E167" s="11" t="s">
        <v>144</v>
      </c>
      <c r="F167" s="3" t="s">
        <v>8</v>
      </c>
      <c r="G167" s="61" t="s">
        <v>834</v>
      </c>
      <c r="H167" s="8" t="s">
        <v>478</v>
      </c>
      <c r="I167" s="8" t="s">
        <v>644</v>
      </c>
      <c r="J167" s="6" t="s">
        <v>108</v>
      </c>
      <c r="K167" s="38">
        <v>14366</v>
      </c>
      <c r="L167" s="4" t="s">
        <v>29</v>
      </c>
      <c r="M167" s="11">
        <f>_xlfn.NUMBERVALUE(LEFT(Table613612[[#This Row],[Fiscal Year]], 4))</f>
        <v>2015</v>
      </c>
      <c r="N167" s="42">
        <f t="shared" si="7"/>
        <v>15252.873189873417</v>
      </c>
      <c r="O167" s="3">
        <v>165</v>
      </c>
    </row>
    <row r="168" spans="1:15" x14ac:dyDescent="0.25">
      <c r="A168" s="3">
        <v>4</v>
      </c>
      <c r="B168" s="3" t="s">
        <v>9</v>
      </c>
      <c r="C168" s="1" t="s">
        <v>12</v>
      </c>
      <c r="D168" s="1" t="s">
        <v>444</v>
      </c>
      <c r="E168" s="11" t="s">
        <v>144</v>
      </c>
      <c r="F168" s="3" t="s">
        <v>8</v>
      </c>
      <c r="G168" s="66" t="s">
        <v>835</v>
      </c>
      <c r="H168" s="8"/>
      <c r="I168" s="8"/>
      <c r="J168" s="6" t="s">
        <v>106</v>
      </c>
      <c r="K168" s="38">
        <v>1750</v>
      </c>
      <c r="L168" s="4" t="s">
        <v>29</v>
      </c>
      <c r="M168" s="11">
        <f>_xlfn.NUMBERVALUE(LEFT(Table613612[[#This Row],[Fiscal Year]], 4))</f>
        <v>2015</v>
      </c>
      <c r="N168" s="42">
        <f t="shared" si="7"/>
        <v>1858.0348101265822</v>
      </c>
      <c r="O168" s="3">
        <v>166</v>
      </c>
    </row>
    <row r="169" spans="1:15" x14ac:dyDescent="0.25">
      <c r="A169" s="3">
        <v>4</v>
      </c>
      <c r="B169" s="3" t="s">
        <v>9</v>
      </c>
      <c r="C169" s="1" t="s">
        <v>12</v>
      </c>
      <c r="D169" s="1" t="s">
        <v>444</v>
      </c>
      <c r="E169" s="11" t="s">
        <v>144</v>
      </c>
      <c r="F169" s="3" t="s">
        <v>8</v>
      </c>
      <c r="G169" s="66" t="s">
        <v>836</v>
      </c>
      <c r="H169" s="8" t="s">
        <v>479</v>
      </c>
      <c r="I169" s="8" t="s">
        <v>644</v>
      </c>
      <c r="J169" s="6" t="s">
        <v>455</v>
      </c>
      <c r="K169" s="38">
        <v>0</v>
      </c>
      <c r="L169" s="4" t="s">
        <v>29</v>
      </c>
      <c r="M169" s="11">
        <f>_xlfn.NUMBERVALUE(LEFT(Table613612[[#This Row],[Fiscal Year]], 4))</f>
        <v>2015</v>
      </c>
      <c r="N169" s="43">
        <f t="shared" si="7"/>
        <v>0</v>
      </c>
      <c r="O169" s="3">
        <v>167</v>
      </c>
    </row>
    <row r="170" spans="1:15" x14ac:dyDescent="0.25">
      <c r="A170" s="3">
        <v>4</v>
      </c>
      <c r="B170" s="3" t="s">
        <v>9</v>
      </c>
      <c r="C170" s="1" t="s">
        <v>12</v>
      </c>
      <c r="D170" s="1" t="s">
        <v>444</v>
      </c>
      <c r="E170" s="11" t="s">
        <v>144</v>
      </c>
      <c r="F170" s="3" t="s">
        <v>8</v>
      </c>
      <c r="G170" s="48" t="s">
        <v>837</v>
      </c>
      <c r="H170" s="8"/>
      <c r="I170" s="8"/>
      <c r="J170" s="6" t="s">
        <v>76</v>
      </c>
      <c r="K170" s="38">
        <v>137571</v>
      </c>
      <c r="L170" s="4" t="s">
        <v>29</v>
      </c>
      <c r="M170" s="11">
        <f>_xlfn.NUMBERVALUE(LEFT(Table613612[[#This Row],[Fiscal Year]], 4))</f>
        <v>2015</v>
      </c>
      <c r="N170" s="42">
        <f>K170*(1+VLOOKUP(M170,$AF$8:$AH$31,3,0))</f>
        <v>146063.83249367087</v>
      </c>
      <c r="O170" s="3">
        <v>168</v>
      </c>
    </row>
    <row r="171" spans="1:15" x14ac:dyDescent="0.25">
      <c r="A171" s="3">
        <v>4</v>
      </c>
      <c r="B171" s="3" t="s">
        <v>9</v>
      </c>
      <c r="C171" s="1" t="s">
        <v>12</v>
      </c>
      <c r="D171" s="1" t="s">
        <v>444</v>
      </c>
      <c r="E171" s="11" t="s">
        <v>144</v>
      </c>
      <c r="F171" s="3" t="s">
        <v>8</v>
      </c>
      <c r="G171" s="66" t="s">
        <v>838</v>
      </c>
      <c r="H171" s="8" t="s">
        <v>480</v>
      </c>
      <c r="I171" s="8" t="s">
        <v>644</v>
      </c>
      <c r="J171" s="6" t="s">
        <v>76</v>
      </c>
      <c r="K171" s="38">
        <v>0</v>
      </c>
      <c r="L171" s="4" t="s">
        <v>29</v>
      </c>
      <c r="M171" s="11">
        <f>_xlfn.NUMBERVALUE(LEFT(Table613612[[#This Row],[Fiscal Year]], 4))</f>
        <v>2015</v>
      </c>
      <c r="N171" s="43">
        <f t="shared" si="7"/>
        <v>0</v>
      </c>
      <c r="O171" s="3">
        <v>169</v>
      </c>
    </row>
    <row r="172" spans="1:15" x14ac:dyDescent="0.25">
      <c r="A172" s="3">
        <v>4</v>
      </c>
      <c r="B172" s="3" t="s">
        <v>9</v>
      </c>
      <c r="C172" s="1" t="s">
        <v>12</v>
      </c>
      <c r="D172" s="1" t="s">
        <v>444</v>
      </c>
      <c r="E172" s="11" t="s">
        <v>144</v>
      </c>
      <c r="F172" s="3" t="s">
        <v>8</v>
      </c>
      <c r="G172" s="66" t="s">
        <v>839</v>
      </c>
      <c r="H172" s="8" t="s">
        <v>481</v>
      </c>
      <c r="I172" s="8" t="s">
        <v>644</v>
      </c>
      <c r="J172" s="6" t="s">
        <v>76</v>
      </c>
      <c r="K172" s="38">
        <v>0</v>
      </c>
      <c r="L172" s="4" t="s">
        <v>29</v>
      </c>
      <c r="M172" s="11">
        <f>_xlfn.NUMBERVALUE(LEFT(Table613612[[#This Row],[Fiscal Year]], 4))</f>
        <v>2015</v>
      </c>
      <c r="N172" s="43">
        <f t="shared" si="7"/>
        <v>0</v>
      </c>
      <c r="O172" s="3">
        <v>170</v>
      </c>
    </row>
    <row r="173" spans="1:15" x14ac:dyDescent="0.25">
      <c r="A173" s="3">
        <v>4</v>
      </c>
      <c r="B173" s="3" t="s">
        <v>9</v>
      </c>
      <c r="C173" s="1" t="s">
        <v>12</v>
      </c>
      <c r="D173" s="1" t="s">
        <v>444</v>
      </c>
      <c r="E173" s="11" t="s">
        <v>144</v>
      </c>
      <c r="F173" s="3" t="s">
        <v>8</v>
      </c>
      <c r="G173" s="66" t="s">
        <v>840</v>
      </c>
      <c r="H173" s="8"/>
      <c r="I173" s="8"/>
      <c r="J173" s="6" t="s">
        <v>47</v>
      </c>
      <c r="K173" s="38">
        <v>51418</v>
      </c>
      <c r="L173" s="4" t="s">
        <v>29</v>
      </c>
      <c r="M173" s="11">
        <f>_xlfn.NUMBERVALUE(LEFT(Table613612[[#This Row],[Fiscal Year]], 4))</f>
        <v>2015</v>
      </c>
      <c r="N173" s="42">
        <f t="shared" si="7"/>
        <v>54592.247924050629</v>
      </c>
      <c r="O173" s="3">
        <v>171</v>
      </c>
    </row>
    <row r="174" spans="1:15" x14ac:dyDescent="0.25">
      <c r="A174" s="3">
        <v>4</v>
      </c>
      <c r="B174" s="3" t="s">
        <v>9</v>
      </c>
      <c r="C174" s="1" t="s">
        <v>12</v>
      </c>
      <c r="D174" s="1" t="s">
        <v>444</v>
      </c>
      <c r="E174" s="11" t="s">
        <v>144</v>
      </c>
      <c r="F174" s="3" t="s">
        <v>8</v>
      </c>
      <c r="G174" s="66" t="s">
        <v>841</v>
      </c>
      <c r="H174" s="8" t="s">
        <v>482</v>
      </c>
      <c r="I174" s="8" t="s">
        <v>644</v>
      </c>
      <c r="J174" s="6" t="s">
        <v>76</v>
      </c>
      <c r="K174" s="38">
        <v>684524</v>
      </c>
      <c r="L174" s="4" t="s">
        <v>29</v>
      </c>
      <c r="M174" s="11">
        <f>_xlfn.NUMBERVALUE(LEFT(Table613612[[#This Row],[Fiscal Year]], 4))</f>
        <v>2015</v>
      </c>
      <c r="N174" s="42">
        <f t="shared" si="7"/>
        <v>726782.5259240506</v>
      </c>
      <c r="O174" s="3">
        <v>172</v>
      </c>
    </row>
    <row r="175" spans="1:15" x14ac:dyDescent="0.25">
      <c r="A175" s="3">
        <v>4</v>
      </c>
      <c r="B175" s="3" t="s">
        <v>9</v>
      </c>
      <c r="C175" s="1" t="s">
        <v>12</v>
      </c>
      <c r="D175" s="1" t="s">
        <v>444</v>
      </c>
      <c r="E175" s="11" t="s">
        <v>144</v>
      </c>
      <c r="F175" s="3" t="s">
        <v>8</v>
      </c>
      <c r="G175" s="66" t="s">
        <v>842</v>
      </c>
      <c r="H175" s="8"/>
      <c r="I175" s="8"/>
      <c r="J175" s="6" t="s">
        <v>108</v>
      </c>
      <c r="K175" s="38">
        <v>432360</v>
      </c>
      <c r="L175" s="4" t="s">
        <v>29</v>
      </c>
      <c r="M175" s="11">
        <f>_xlfn.NUMBERVALUE(LEFT(Table613612[[#This Row],[Fiscal Year]], 4))</f>
        <v>2015</v>
      </c>
      <c r="N175" s="42">
        <f t="shared" si="7"/>
        <v>459051.38886075944</v>
      </c>
      <c r="O175" s="3">
        <v>173</v>
      </c>
    </row>
    <row r="176" spans="1:15" x14ac:dyDescent="0.25">
      <c r="C176" s="1"/>
      <c r="D176" s="1"/>
      <c r="G176" s="66"/>
      <c r="H176" s="8"/>
      <c r="I176" s="8"/>
      <c r="J176" s="6"/>
      <c r="L176" s="4"/>
      <c r="O176" s="3">
        <v>174</v>
      </c>
    </row>
    <row r="177" spans="1:15" x14ac:dyDescent="0.25">
      <c r="A177" s="3">
        <v>4</v>
      </c>
      <c r="B177" s="3" t="s">
        <v>10</v>
      </c>
      <c r="C177" s="1" t="s">
        <v>12</v>
      </c>
      <c r="D177" s="1" t="s">
        <v>444</v>
      </c>
      <c r="E177" s="11" t="s">
        <v>144</v>
      </c>
      <c r="F177" s="3" t="s">
        <v>8</v>
      </c>
      <c r="G177" s="48" t="s">
        <v>32</v>
      </c>
      <c r="H177" s="8"/>
      <c r="I177" s="8"/>
      <c r="J177" s="6" t="s">
        <v>110</v>
      </c>
      <c r="K177" s="38">
        <v>150000</v>
      </c>
      <c r="L177" s="4" t="s">
        <v>29</v>
      </c>
      <c r="M177" s="11">
        <f>_xlfn.NUMBERVALUE(LEFT(Table613612[[#This Row],[Fiscal Year]], 4))</f>
        <v>2015</v>
      </c>
      <c r="N177" s="42">
        <f t="shared" si="7"/>
        <v>159260.12658227846</v>
      </c>
      <c r="O177" s="3">
        <v>175</v>
      </c>
    </row>
    <row r="178" spans="1:15" x14ac:dyDescent="0.25">
      <c r="A178" s="3">
        <v>4</v>
      </c>
      <c r="B178" s="3" t="s">
        <v>10</v>
      </c>
      <c r="C178" s="1" t="s">
        <v>12</v>
      </c>
      <c r="D178" s="1" t="s">
        <v>444</v>
      </c>
      <c r="E178" s="11" t="s">
        <v>144</v>
      </c>
      <c r="F178" s="3" t="s">
        <v>8</v>
      </c>
      <c r="G178" s="66" t="s">
        <v>58</v>
      </c>
      <c r="H178" s="8"/>
      <c r="I178" s="8"/>
      <c r="J178" s="6" t="s">
        <v>453</v>
      </c>
      <c r="K178" s="38">
        <v>20000</v>
      </c>
      <c r="L178" s="4" t="s">
        <v>29</v>
      </c>
      <c r="M178" s="11">
        <f>_xlfn.NUMBERVALUE(LEFT(Table613612[[#This Row],[Fiscal Year]], 4))</f>
        <v>2015</v>
      </c>
      <c r="N178" s="42">
        <f t="shared" si="7"/>
        <v>21234.683544303796</v>
      </c>
      <c r="O178" s="3">
        <v>176</v>
      </c>
    </row>
    <row r="179" spans="1:15" x14ac:dyDescent="0.25">
      <c r="A179" s="3">
        <v>4</v>
      </c>
      <c r="B179" s="3" t="s">
        <v>10</v>
      </c>
      <c r="C179" s="1" t="s">
        <v>12</v>
      </c>
      <c r="D179" s="1" t="s">
        <v>444</v>
      </c>
      <c r="E179" s="11" t="s">
        <v>144</v>
      </c>
      <c r="F179" s="3" t="s">
        <v>8</v>
      </c>
      <c r="G179" s="66" t="s">
        <v>208</v>
      </c>
      <c r="H179" s="8"/>
      <c r="I179" s="8"/>
      <c r="J179" s="6" t="s">
        <v>109</v>
      </c>
      <c r="K179" s="38">
        <v>14000</v>
      </c>
      <c r="L179" s="4" t="s">
        <v>29</v>
      </c>
      <c r="M179" s="11">
        <f>_xlfn.NUMBERVALUE(LEFT(Table613612[[#This Row],[Fiscal Year]], 4))</f>
        <v>2015</v>
      </c>
      <c r="N179" s="42">
        <f t="shared" si="7"/>
        <v>14864.278481012658</v>
      </c>
      <c r="O179" s="3">
        <v>177</v>
      </c>
    </row>
    <row r="180" spans="1:15" x14ac:dyDescent="0.25">
      <c r="A180" s="3">
        <v>4</v>
      </c>
      <c r="B180" s="3" t="s">
        <v>10</v>
      </c>
      <c r="C180" s="1" t="s">
        <v>12</v>
      </c>
      <c r="D180" s="1" t="s">
        <v>444</v>
      </c>
      <c r="E180" s="11" t="s">
        <v>144</v>
      </c>
      <c r="F180" s="3" t="s">
        <v>8</v>
      </c>
      <c r="G180" s="66" t="s">
        <v>59</v>
      </c>
      <c r="H180" s="8"/>
      <c r="I180" s="8"/>
      <c r="J180" s="6" t="s">
        <v>111</v>
      </c>
      <c r="K180" s="38">
        <v>946600</v>
      </c>
      <c r="L180" s="4" t="s">
        <v>29</v>
      </c>
      <c r="M180" s="11">
        <f>_xlfn.NUMBERVALUE(LEFT(Table613612[[#This Row],[Fiscal Year]], 4))</f>
        <v>2015</v>
      </c>
      <c r="N180" s="42">
        <f t="shared" si="7"/>
        <v>1005037.5721518986</v>
      </c>
      <c r="O180" s="3">
        <v>178</v>
      </c>
    </row>
    <row r="181" spans="1:15" x14ac:dyDescent="0.25">
      <c r="A181" s="3">
        <v>4</v>
      </c>
      <c r="B181" s="3" t="s">
        <v>10</v>
      </c>
      <c r="C181" s="1" t="s">
        <v>12</v>
      </c>
      <c r="D181" s="1" t="s">
        <v>444</v>
      </c>
      <c r="E181" s="11" t="s">
        <v>144</v>
      </c>
      <c r="F181" s="3" t="s">
        <v>8</v>
      </c>
      <c r="G181" s="66" t="s">
        <v>60</v>
      </c>
      <c r="H181" s="8"/>
      <c r="I181" s="8"/>
      <c r="J181" s="6" t="s">
        <v>111</v>
      </c>
      <c r="K181" s="38">
        <v>250000</v>
      </c>
      <c r="L181" s="4" t="s">
        <v>29</v>
      </c>
      <c r="M181" s="11">
        <f>_xlfn.NUMBERVALUE(LEFT(Table613612[[#This Row],[Fiscal Year]], 4))</f>
        <v>2015</v>
      </c>
      <c r="N181" s="42">
        <f t="shared" si="7"/>
        <v>265433.54430379748</v>
      </c>
      <c r="O181" s="3">
        <v>179</v>
      </c>
    </row>
    <row r="182" spans="1:15" x14ac:dyDescent="0.25">
      <c r="A182" s="3">
        <v>4</v>
      </c>
      <c r="B182" s="3" t="s">
        <v>10</v>
      </c>
      <c r="C182" s="1" t="s">
        <v>12</v>
      </c>
      <c r="D182" s="1" t="s">
        <v>444</v>
      </c>
      <c r="E182" s="11" t="s">
        <v>144</v>
      </c>
      <c r="F182" s="3" t="s">
        <v>8</v>
      </c>
      <c r="G182" s="48" t="s">
        <v>61</v>
      </c>
      <c r="H182" s="8"/>
      <c r="I182" s="8"/>
      <c r="J182" s="6" t="s">
        <v>108</v>
      </c>
      <c r="K182" s="38">
        <v>823000</v>
      </c>
      <c r="L182" s="4" t="s">
        <v>29</v>
      </c>
      <c r="M182" s="11">
        <f>_xlfn.NUMBERVALUE(LEFT(Table613612[[#This Row],[Fiscal Year]], 4))</f>
        <v>2015</v>
      </c>
      <c r="N182" s="42">
        <f t="shared" si="7"/>
        <v>873807.22784810117</v>
      </c>
      <c r="O182" s="3">
        <v>180</v>
      </c>
    </row>
    <row r="183" spans="1:15" x14ac:dyDescent="0.25">
      <c r="A183" s="3">
        <v>4</v>
      </c>
      <c r="B183" s="3" t="s">
        <v>10</v>
      </c>
      <c r="C183" s="1" t="s">
        <v>12</v>
      </c>
      <c r="D183" s="1" t="s">
        <v>444</v>
      </c>
      <c r="E183" s="11" t="s">
        <v>144</v>
      </c>
      <c r="F183" s="3" t="s">
        <v>8</v>
      </c>
      <c r="G183" s="66" t="s">
        <v>62</v>
      </c>
      <c r="H183" s="8"/>
      <c r="I183" s="8"/>
      <c r="J183" s="6" t="s">
        <v>106</v>
      </c>
      <c r="K183" s="38">
        <v>15000</v>
      </c>
      <c r="L183" s="4" t="s">
        <v>29</v>
      </c>
      <c r="M183" s="11">
        <f>_xlfn.NUMBERVALUE(LEFT(Table613612[[#This Row],[Fiscal Year]], 4))</f>
        <v>2015</v>
      </c>
      <c r="N183" s="42">
        <f t="shared" si="7"/>
        <v>15926.012658227848</v>
      </c>
      <c r="O183" s="3">
        <v>181</v>
      </c>
    </row>
    <row r="184" spans="1:15" x14ac:dyDescent="0.25">
      <c r="A184" s="3">
        <v>4</v>
      </c>
      <c r="B184" s="3" t="s">
        <v>10</v>
      </c>
      <c r="C184" s="1" t="s">
        <v>12</v>
      </c>
      <c r="D184" s="1" t="s">
        <v>444</v>
      </c>
      <c r="E184" s="11" t="s">
        <v>144</v>
      </c>
      <c r="F184" s="3" t="s">
        <v>8</v>
      </c>
      <c r="G184" s="66" t="s">
        <v>211</v>
      </c>
      <c r="H184" s="8"/>
      <c r="I184" s="8"/>
      <c r="J184" s="6" t="s">
        <v>455</v>
      </c>
      <c r="K184" s="38">
        <v>0</v>
      </c>
      <c r="L184" s="4" t="s">
        <v>29</v>
      </c>
      <c r="M184" s="11">
        <f>_xlfn.NUMBERVALUE(LEFT(Table613612[[#This Row],[Fiscal Year]], 4))</f>
        <v>2015</v>
      </c>
      <c r="N184" s="43">
        <f t="shared" si="7"/>
        <v>0</v>
      </c>
      <c r="O184" s="3">
        <v>182</v>
      </c>
    </row>
    <row r="185" spans="1:15" x14ac:dyDescent="0.25">
      <c r="A185" s="3">
        <v>4</v>
      </c>
      <c r="B185" s="3" t="s">
        <v>10</v>
      </c>
      <c r="C185" s="1" t="s">
        <v>12</v>
      </c>
      <c r="D185" s="1" t="s">
        <v>444</v>
      </c>
      <c r="E185" s="11" t="s">
        <v>144</v>
      </c>
      <c r="F185" s="3" t="s">
        <v>8</v>
      </c>
      <c r="G185" s="66" t="s">
        <v>64</v>
      </c>
      <c r="H185" s="8"/>
      <c r="I185" s="8"/>
      <c r="J185" s="6" t="s">
        <v>76</v>
      </c>
      <c r="K185" s="38">
        <v>0</v>
      </c>
      <c r="L185" s="4" t="s">
        <v>29</v>
      </c>
      <c r="M185" s="11">
        <f>_xlfn.NUMBERVALUE(LEFT(Table613612[[#This Row],[Fiscal Year]], 4))</f>
        <v>2015</v>
      </c>
      <c r="N185" s="43">
        <f t="shared" si="7"/>
        <v>0</v>
      </c>
      <c r="O185" s="3">
        <v>183</v>
      </c>
    </row>
    <row r="186" spans="1:15" x14ac:dyDescent="0.25">
      <c r="A186" s="3">
        <v>4</v>
      </c>
      <c r="B186" s="3" t="s">
        <v>10</v>
      </c>
      <c r="C186" s="1" t="s">
        <v>12</v>
      </c>
      <c r="D186" s="1" t="s">
        <v>444</v>
      </c>
      <c r="E186" s="11" t="s">
        <v>144</v>
      </c>
      <c r="F186" s="3" t="s">
        <v>8</v>
      </c>
      <c r="G186" s="66" t="s">
        <v>65</v>
      </c>
      <c r="H186" s="8"/>
      <c r="I186" s="8"/>
      <c r="J186" s="6" t="s">
        <v>76</v>
      </c>
      <c r="K186" s="38">
        <v>0</v>
      </c>
      <c r="L186" s="4" t="s">
        <v>29</v>
      </c>
      <c r="M186" s="11">
        <f>_xlfn.NUMBERVALUE(LEFT(Table613612[[#This Row],[Fiscal Year]], 4))</f>
        <v>2015</v>
      </c>
      <c r="N186" s="43">
        <f t="shared" si="7"/>
        <v>0</v>
      </c>
      <c r="O186" s="3">
        <v>184</v>
      </c>
    </row>
    <row r="187" spans="1:15" x14ac:dyDescent="0.25">
      <c r="A187" s="3">
        <v>4</v>
      </c>
      <c r="B187" s="3" t="s">
        <v>10</v>
      </c>
      <c r="C187" s="1" t="s">
        <v>12</v>
      </c>
      <c r="D187" s="1" t="s">
        <v>444</v>
      </c>
      <c r="E187" s="11" t="s">
        <v>144</v>
      </c>
      <c r="F187" s="3" t="s">
        <v>8</v>
      </c>
      <c r="G187" s="66" t="s">
        <v>66</v>
      </c>
      <c r="H187" s="8"/>
      <c r="I187" s="8"/>
      <c r="J187" s="6" t="s">
        <v>76</v>
      </c>
      <c r="K187" s="38">
        <v>0</v>
      </c>
      <c r="L187" s="4" t="s">
        <v>29</v>
      </c>
      <c r="M187" s="11">
        <f>_xlfn.NUMBERVALUE(LEFT(Table613612[[#This Row],[Fiscal Year]], 4))</f>
        <v>2015</v>
      </c>
      <c r="N187" s="43">
        <f t="shared" si="7"/>
        <v>0</v>
      </c>
      <c r="O187" s="3">
        <v>185</v>
      </c>
    </row>
    <row r="188" spans="1:15" x14ac:dyDescent="0.25">
      <c r="A188" s="3">
        <v>4</v>
      </c>
      <c r="B188" s="3" t="s">
        <v>10</v>
      </c>
      <c r="C188" s="1" t="s">
        <v>12</v>
      </c>
      <c r="D188" s="1" t="s">
        <v>444</v>
      </c>
      <c r="E188" s="11" t="s">
        <v>144</v>
      </c>
      <c r="F188" s="3" t="s">
        <v>8</v>
      </c>
      <c r="G188" s="66" t="s">
        <v>33</v>
      </c>
      <c r="H188" s="8"/>
      <c r="I188" s="8"/>
      <c r="J188" s="6" t="s">
        <v>47</v>
      </c>
      <c r="K188" s="38">
        <v>66000</v>
      </c>
      <c r="L188" s="4" t="s">
        <v>29</v>
      </c>
      <c r="M188" s="11">
        <f>_xlfn.NUMBERVALUE(LEFT(Table613612[[#This Row],[Fiscal Year]], 4))</f>
        <v>2015</v>
      </c>
      <c r="N188" s="42">
        <f>K188*(1+VLOOKUP(M188,$AF$8:$AH$31,3,0))</f>
        <v>70074.455696202524</v>
      </c>
      <c r="O188" s="3">
        <v>186</v>
      </c>
    </row>
    <row r="189" spans="1:15" x14ac:dyDescent="0.25">
      <c r="A189" s="3">
        <v>4</v>
      </c>
      <c r="B189" s="3" t="s">
        <v>10</v>
      </c>
      <c r="C189" s="1" t="s">
        <v>12</v>
      </c>
      <c r="D189" s="1" t="s">
        <v>444</v>
      </c>
      <c r="E189" s="11" t="s">
        <v>144</v>
      </c>
      <c r="F189" s="3" t="s">
        <v>8</v>
      </c>
      <c r="G189" s="66" t="s">
        <v>67</v>
      </c>
      <c r="H189" s="8"/>
      <c r="I189" s="8"/>
      <c r="J189" s="6" t="s">
        <v>455</v>
      </c>
      <c r="K189" s="38">
        <v>0</v>
      </c>
      <c r="L189" s="4" t="s">
        <v>29</v>
      </c>
      <c r="M189" s="11">
        <f>_xlfn.NUMBERVALUE(LEFT(Table613612[[#This Row],[Fiscal Year]], 4))</f>
        <v>2015</v>
      </c>
      <c r="N189" s="43">
        <f t="shared" si="7"/>
        <v>0</v>
      </c>
      <c r="O189" s="3">
        <v>187</v>
      </c>
    </row>
    <row r="190" spans="1:15" x14ac:dyDescent="0.25">
      <c r="C190" s="1"/>
      <c r="D190" s="1"/>
      <c r="G190" s="66"/>
      <c r="H190" s="8"/>
      <c r="I190" s="8"/>
      <c r="J190" s="6"/>
      <c r="L190" s="4"/>
      <c r="O190" s="3">
        <v>188</v>
      </c>
    </row>
    <row r="191" spans="1:15" x14ac:dyDescent="0.25">
      <c r="A191" s="3">
        <v>4</v>
      </c>
      <c r="B191" s="3" t="s">
        <v>11</v>
      </c>
      <c r="C191" s="1" t="s">
        <v>12</v>
      </c>
      <c r="D191" s="1" t="s">
        <v>444</v>
      </c>
      <c r="E191" s="3" t="s">
        <v>144</v>
      </c>
      <c r="F191" s="3" t="s">
        <v>8</v>
      </c>
      <c r="G191" s="48" t="s">
        <v>32</v>
      </c>
      <c r="H191" s="8"/>
      <c r="I191" s="8"/>
      <c r="J191" s="6" t="s">
        <v>110</v>
      </c>
      <c r="K191" s="38">
        <v>40000</v>
      </c>
      <c r="L191" s="4" t="s">
        <v>29</v>
      </c>
      <c r="M191" s="11">
        <f>_xlfn.NUMBERVALUE(LEFT(Table613612[[#This Row],[Fiscal Year]], 4))</f>
        <v>2015</v>
      </c>
      <c r="N191" s="42">
        <f t="shared" si="7"/>
        <v>42469.367088607592</v>
      </c>
      <c r="O191" s="3">
        <v>189</v>
      </c>
    </row>
    <row r="192" spans="1:15" x14ac:dyDescent="0.25">
      <c r="A192" s="3">
        <v>4</v>
      </c>
      <c r="B192" s="3" t="s">
        <v>11</v>
      </c>
      <c r="C192" s="1" t="s">
        <v>12</v>
      </c>
      <c r="D192" s="1" t="s">
        <v>444</v>
      </c>
      <c r="E192" s="3" t="s">
        <v>144</v>
      </c>
      <c r="F192" s="3" t="s">
        <v>8</v>
      </c>
      <c r="G192" s="66" t="s">
        <v>58</v>
      </c>
      <c r="H192" s="8"/>
      <c r="I192" s="8"/>
      <c r="J192" s="6" t="s">
        <v>453</v>
      </c>
      <c r="K192" s="38">
        <v>12000</v>
      </c>
      <c r="L192" s="4" t="s">
        <v>29</v>
      </c>
      <c r="M192" s="11">
        <f>_xlfn.NUMBERVALUE(LEFT(Table613612[[#This Row],[Fiscal Year]], 4))</f>
        <v>2015</v>
      </c>
      <c r="N192" s="42">
        <f t="shared" si="7"/>
        <v>12740.810126582277</v>
      </c>
      <c r="O192" s="3">
        <v>190</v>
      </c>
    </row>
    <row r="193" spans="1:15" x14ac:dyDescent="0.25">
      <c r="A193" s="3">
        <v>4</v>
      </c>
      <c r="B193" s="3" t="s">
        <v>11</v>
      </c>
      <c r="C193" s="1" t="s">
        <v>12</v>
      </c>
      <c r="D193" s="1" t="s">
        <v>444</v>
      </c>
      <c r="E193" s="3" t="s">
        <v>144</v>
      </c>
      <c r="F193" s="3" t="s">
        <v>8</v>
      </c>
      <c r="G193" s="66" t="s">
        <v>208</v>
      </c>
      <c r="H193" s="8"/>
      <c r="I193" s="8"/>
      <c r="J193" s="6" t="s">
        <v>109</v>
      </c>
      <c r="K193" s="51">
        <v>44429.919999999998</v>
      </c>
      <c r="L193" s="4" t="s">
        <v>29</v>
      </c>
      <c r="M193" s="11">
        <f>_xlfn.NUMBERVALUE(LEFT(Table613612[[#This Row],[Fiscal Year]], 4))</f>
        <v>2015</v>
      </c>
      <c r="N193" s="42">
        <f t="shared" si="7"/>
        <v>47172.764554936701</v>
      </c>
      <c r="O193" s="3">
        <v>191</v>
      </c>
    </row>
    <row r="194" spans="1:15" x14ac:dyDescent="0.25">
      <c r="A194" s="3">
        <v>4</v>
      </c>
      <c r="B194" s="3" t="s">
        <v>11</v>
      </c>
      <c r="C194" s="1" t="s">
        <v>12</v>
      </c>
      <c r="D194" s="1" t="s">
        <v>444</v>
      </c>
      <c r="E194" s="3" t="s">
        <v>144</v>
      </c>
      <c r="F194" s="3" t="s">
        <v>8</v>
      </c>
      <c r="G194" s="66" t="s">
        <v>59</v>
      </c>
      <c r="H194" s="8"/>
      <c r="I194" s="8"/>
      <c r="J194" s="6" t="s">
        <v>111</v>
      </c>
      <c r="K194" s="38">
        <v>10000</v>
      </c>
      <c r="L194" s="4" t="s">
        <v>29</v>
      </c>
      <c r="M194" s="11">
        <f>_xlfn.NUMBERVALUE(LEFT(Table613612[[#This Row],[Fiscal Year]], 4))</f>
        <v>2015</v>
      </c>
      <c r="N194" s="42">
        <f t="shared" si="7"/>
        <v>10617.341772151898</v>
      </c>
      <c r="O194" s="3">
        <v>192</v>
      </c>
    </row>
    <row r="195" spans="1:15" x14ac:dyDescent="0.25">
      <c r="A195" s="3">
        <v>4</v>
      </c>
      <c r="B195" s="3" t="s">
        <v>11</v>
      </c>
      <c r="C195" s="1" t="s">
        <v>12</v>
      </c>
      <c r="D195" s="1" t="s">
        <v>444</v>
      </c>
      <c r="E195" s="3" t="s">
        <v>144</v>
      </c>
      <c r="F195" s="3" t="s">
        <v>8</v>
      </c>
      <c r="G195" s="66" t="s">
        <v>60</v>
      </c>
      <c r="H195" s="8"/>
      <c r="I195" s="8"/>
      <c r="J195" s="6" t="s">
        <v>111</v>
      </c>
      <c r="K195" s="38">
        <v>10000</v>
      </c>
      <c r="L195" s="4" t="s">
        <v>29</v>
      </c>
      <c r="M195" s="11">
        <f>_xlfn.NUMBERVALUE(LEFT(Table613612[[#This Row],[Fiscal Year]], 4))</f>
        <v>2015</v>
      </c>
      <c r="N195" s="42">
        <f t="shared" si="7"/>
        <v>10617.341772151898</v>
      </c>
      <c r="O195" s="3">
        <v>193</v>
      </c>
    </row>
    <row r="196" spans="1:15" x14ac:dyDescent="0.25">
      <c r="A196" s="3">
        <v>4</v>
      </c>
      <c r="B196" s="3" t="s">
        <v>11</v>
      </c>
      <c r="C196" s="1" t="s">
        <v>12</v>
      </c>
      <c r="D196" s="1" t="s">
        <v>444</v>
      </c>
      <c r="E196" s="3" t="s">
        <v>144</v>
      </c>
      <c r="F196" s="3" t="s">
        <v>8</v>
      </c>
      <c r="G196" s="48" t="s">
        <v>61</v>
      </c>
      <c r="H196" s="8"/>
      <c r="I196" s="8"/>
      <c r="J196" s="6" t="s">
        <v>108</v>
      </c>
      <c r="K196" s="38">
        <v>147000</v>
      </c>
      <c r="L196" s="4" t="s">
        <v>29</v>
      </c>
      <c r="M196" s="11">
        <f>_xlfn.NUMBERVALUE(LEFT(Table613612[[#This Row],[Fiscal Year]], 4))</f>
        <v>2015</v>
      </c>
      <c r="N196" s="42">
        <f t="shared" si="7"/>
        <v>156074.92405063289</v>
      </c>
      <c r="O196" s="3">
        <v>194</v>
      </c>
    </row>
    <row r="197" spans="1:15" x14ac:dyDescent="0.25">
      <c r="A197" s="3">
        <v>4</v>
      </c>
      <c r="B197" s="3" t="s">
        <v>11</v>
      </c>
      <c r="C197" s="1" t="s">
        <v>12</v>
      </c>
      <c r="D197" s="1" t="s">
        <v>444</v>
      </c>
      <c r="E197" s="3" t="s">
        <v>144</v>
      </c>
      <c r="F197" s="3" t="s">
        <v>8</v>
      </c>
      <c r="G197" s="66" t="s">
        <v>62</v>
      </c>
      <c r="H197" s="8"/>
      <c r="I197" s="8"/>
      <c r="J197" s="6" t="s">
        <v>106</v>
      </c>
      <c r="K197" s="38">
        <v>15000</v>
      </c>
      <c r="L197" s="4" t="s">
        <v>29</v>
      </c>
      <c r="M197" s="11">
        <f>_xlfn.NUMBERVALUE(LEFT(Table613612[[#This Row],[Fiscal Year]], 4))</f>
        <v>2015</v>
      </c>
      <c r="N197" s="42">
        <f t="shared" si="7"/>
        <v>15926.012658227848</v>
      </c>
      <c r="O197" s="3">
        <v>195</v>
      </c>
    </row>
    <row r="198" spans="1:15" x14ac:dyDescent="0.25">
      <c r="A198" s="3">
        <v>4</v>
      </c>
      <c r="B198" s="3" t="s">
        <v>11</v>
      </c>
      <c r="C198" s="1" t="s">
        <v>12</v>
      </c>
      <c r="D198" s="1" t="s">
        <v>444</v>
      </c>
      <c r="E198" s="3" t="s">
        <v>144</v>
      </c>
      <c r="F198" s="3" t="s">
        <v>8</v>
      </c>
      <c r="G198" s="66" t="s">
        <v>211</v>
      </c>
      <c r="H198" s="8"/>
      <c r="I198" s="8"/>
      <c r="J198" s="6" t="s">
        <v>455</v>
      </c>
      <c r="K198" s="38">
        <v>0</v>
      </c>
      <c r="L198" s="4" t="s">
        <v>29</v>
      </c>
      <c r="M198" s="11">
        <f>_xlfn.NUMBERVALUE(LEFT(Table613612[[#This Row],[Fiscal Year]], 4))</f>
        <v>2015</v>
      </c>
      <c r="N198" s="43">
        <f t="shared" si="7"/>
        <v>0</v>
      </c>
      <c r="O198" s="3">
        <v>196</v>
      </c>
    </row>
    <row r="199" spans="1:15" x14ac:dyDescent="0.25">
      <c r="A199" s="3">
        <v>4</v>
      </c>
      <c r="B199" s="3" t="s">
        <v>11</v>
      </c>
      <c r="C199" s="1" t="s">
        <v>12</v>
      </c>
      <c r="D199" s="1" t="s">
        <v>444</v>
      </c>
      <c r="E199" s="3" t="s">
        <v>144</v>
      </c>
      <c r="F199" s="3" t="s">
        <v>8</v>
      </c>
      <c r="G199" s="66" t="s">
        <v>64</v>
      </c>
      <c r="H199" s="8"/>
      <c r="I199" s="8"/>
      <c r="J199" s="6" t="s">
        <v>76</v>
      </c>
      <c r="K199" s="38">
        <v>0</v>
      </c>
      <c r="L199" s="4" t="s">
        <v>29</v>
      </c>
      <c r="M199" s="11">
        <f>_xlfn.NUMBERVALUE(LEFT(Table613612[[#This Row],[Fiscal Year]], 4))</f>
        <v>2015</v>
      </c>
      <c r="N199" s="43">
        <f t="shared" si="7"/>
        <v>0</v>
      </c>
      <c r="O199" s="3">
        <v>197</v>
      </c>
    </row>
    <row r="200" spans="1:15" x14ac:dyDescent="0.25">
      <c r="A200" s="3">
        <v>4</v>
      </c>
      <c r="B200" s="3" t="s">
        <v>11</v>
      </c>
      <c r="C200" s="1" t="s">
        <v>12</v>
      </c>
      <c r="D200" s="1" t="s">
        <v>444</v>
      </c>
      <c r="E200" s="3" t="s">
        <v>144</v>
      </c>
      <c r="F200" s="3" t="s">
        <v>8</v>
      </c>
      <c r="G200" s="66" t="s">
        <v>65</v>
      </c>
      <c r="H200" s="8"/>
      <c r="I200" s="8"/>
      <c r="J200" s="6" t="s">
        <v>76</v>
      </c>
      <c r="K200" s="38">
        <v>0</v>
      </c>
      <c r="L200" s="4" t="s">
        <v>29</v>
      </c>
      <c r="M200" s="11">
        <f>_xlfn.NUMBERVALUE(LEFT(Table613612[[#This Row],[Fiscal Year]], 4))</f>
        <v>2015</v>
      </c>
      <c r="N200" s="43">
        <f t="shared" si="7"/>
        <v>0</v>
      </c>
      <c r="O200" s="3">
        <v>198</v>
      </c>
    </row>
    <row r="201" spans="1:15" x14ac:dyDescent="0.25">
      <c r="A201" s="3">
        <v>4</v>
      </c>
      <c r="B201" s="3" t="s">
        <v>11</v>
      </c>
      <c r="C201" s="1" t="s">
        <v>12</v>
      </c>
      <c r="D201" s="1" t="s">
        <v>444</v>
      </c>
      <c r="E201" s="3" t="s">
        <v>144</v>
      </c>
      <c r="F201" s="3" t="s">
        <v>8</v>
      </c>
      <c r="G201" s="66" t="s">
        <v>66</v>
      </c>
      <c r="H201" s="8"/>
      <c r="I201" s="8"/>
      <c r="J201" s="6" t="s">
        <v>76</v>
      </c>
      <c r="K201" s="38">
        <v>0</v>
      </c>
      <c r="L201" s="4" t="s">
        <v>29</v>
      </c>
      <c r="M201" s="11">
        <f>_xlfn.NUMBERVALUE(LEFT(Table613612[[#This Row],[Fiscal Year]], 4))</f>
        <v>2015</v>
      </c>
      <c r="N201" s="43">
        <f t="shared" si="7"/>
        <v>0</v>
      </c>
      <c r="O201" s="3">
        <v>199</v>
      </c>
    </row>
    <row r="202" spans="1:15" x14ac:dyDescent="0.25">
      <c r="A202" s="3">
        <v>4</v>
      </c>
      <c r="B202" s="3" t="s">
        <v>11</v>
      </c>
      <c r="C202" s="1" t="s">
        <v>12</v>
      </c>
      <c r="D202" s="1" t="s">
        <v>444</v>
      </c>
      <c r="E202" s="3" t="s">
        <v>144</v>
      </c>
      <c r="F202" s="3" t="s">
        <v>8</v>
      </c>
      <c r="G202" s="66" t="s">
        <v>33</v>
      </c>
      <c r="H202" s="8"/>
      <c r="I202" s="8"/>
      <c r="J202" s="6" t="s">
        <v>47</v>
      </c>
      <c r="K202" s="38">
        <v>5000</v>
      </c>
      <c r="L202" s="4" t="s">
        <v>29</v>
      </c>
      <c r="M202" s="11">
        <f>_xlfn.NUMBERVALUE(LEFT(Table613612[[#This Row],[Fiscal Year]], 4))</f>
        <v>2015</v>
      </c>
      <c r="N202" s="42">
        <f>K202*(1+VLOOKUP(M202,$AF$8:$AH$31,3,0))</f>
        <v>5308.6708860759491</v>
      </c>
      <c r="O202" s="3">
        <v>200</v>
      </c>
    </row>
    <row r="203" spans="1:15" x14ac:dyDescent="0.25">
      <c r="A203" s="3">
        <v>4</v>
      </c>
      <c r="B203" s="3" t="s">
        <v>11</v>
      </c>
      <c r="C203" s="1" t="s">
        <v>12</v>
      </c>
      <c r="D203" s="1" t="s">
        <v>444</v>
      </c>
      <c r="E203" s="3" t="s">
        <v>144</v>
      </c>
      <c r="F203" s="3" t="s">
        <v>8</v>
      </c>
      <c r="G203" s="66" t="s">
        <v>67</v>
      </c>
      <c r="H203" s="8"/>
      <c r="I203" s="8"/>
      <c r="J203" s="6" t="s">
        <v>455</v>
      </c>
      <c r="K203" s="38">
        <v>0</v>
      </c>
      <c r="L203" s="4" t="s">
        <v>29</v>
      </c>
      <c r="M203" s="11">
        <f>_xlfn.NUMBERVALUE(LEFT(Table613612[[#This Row],[Fiscal Year]], 4))</f>
        <v>2015</v>
      </c>
      <c r="N203" s="43">
        <f t="shared" si="7"/>
        <v>0</v>
      </c>
      <c r="O203" s="3">
        <v>201</v>
      </c>
    </row>
    <row r="204" spans="1:15" x14ac:dyDescent="0.25">
      <c r="C204" s="1"/>
      <c r="D204" s="1"/>
      <c r="G204" s="66"/>
      <c r="H204" s="8"/>
      <c r="I204" s="8"/>
      <c r="J204" s="6"/>
      <c r="L204" s="4"/>
      <c r="O204" s="3">
        <v>202</v>
      </c>
    </row>
    <row r="205" spans="1:15" x14ac:dyDescent="0.25">
      <c r="C205" s="1"/>
      <c r="D205" s="1"/>
      <c r="G205" s="56"/>
      <c r="H205" s="8"/>
      <c r="I205" s="8"/>
      <c r="J205" s="6"/>
      <c r="L205" s="4"/>
    </row>
    <row r="206" spans="1:15" x14ac:dyDescent="0.25">
      <c r="C206" s="1"/>
      <c r="D206" s="1"/>
      <c r="G206" s="48"/>
      <c r="H206" s="8"/>
      <c r="I206" s="8"/>
      <c r="J206" s="6"/>
      <c r="L206" s="4"/>
    </row>
    <row r="207" spans="1:15" x14ac:dyDescent="0.25">
      <c r="C207" s="1"/>
      <c r="D207" s="1"/>
      <c r="G207" s="48"/>
      <c r="H207" s="8"/>
      <c r="I207" s="8"/>
      <c r="J207" s="6"/>
      <c r="L207" s="4"/>
    </row>
    <row r="208" spans="1:15" x14ac:dyDescent="0.25">
      <c r="C208" s="1"/>
      <c r="D208" s="1"/>
      <c r="G208" s="56"/>
      <c r="H208" s="8"/>
      <c r="I208" s="70"/>
      <c r="J208" s="6"/>
      <c r="L208" s="4"/>
    </row>
    <row r="209" spans="3:14" x14ac:dyDescent="0.25">
      <c r="C209" s="1"/>
      <c r="D209" s="1"/>
      <c r="G209" s="48"/>
      <c r="H209" s="8"/>
      <c r="I209" s="8"/>
      <c r="J209" s="6"/>
      <c r="L209" s="4"/>
    </row>
    <row r="210" spans="3:14" x14ac:dyDescent="0.25">
      <c r="C210" s="1"/>
      <c r="D210" s="1"/>
      <c r="G210" s="48"/>
      <c r="H210" s="44"/>
      <c r="I210" s="70"/>
      <c r="J210" s="6"/>
      <c r="L210" s="4"/>
    </row>
    <row r="211" spans="3:14" x14ac:dyDescent="0.25">
      <c r="C211" s="1"/>
      <c r="D211" s="1"/>
      <c r="G211" s="48"/>
      <c r="H211" s="6"/>
      <c r="I211" s="70"/>
      <c r="J211" s="6"/>
      <c r="L211" s="4"/>
      <c r="N211" s="43"/>
    </row>
    <row r="212" spans="3:14" x14ac:dyDescent="0.25">
      <c r="C212" s="1"/>
      <c r="D212" s="1"/>
      <c r="G212" s="48"/>
      <c r="H212" s="8"/>
      <c r="I212" s="8"/>
      <c r="J212" s="6"/>
      <c r="L212" s="4"/>
      <c r="N212" s="43"/>
    </row>
    <row r="213" spans="3:14" x14ac:dyDescent="0.25">
      <c r="C213" s="1"/>
      <c r="D213" s="1"/>
      <c r="G213" s="56"/>
      <c r="H213" s="8"/>
      <c r="I213" s="8"/>
      <c r="J213" s="6"/>
      <c r="L213" s="4"/>
    </row>
    <row r="214" spans="3:14" x14ac:dyDescent="0.25">
      <c r="C214" s="1"/>
      <c r="D214" s="1"/>
      <c r="G214" s="56"/>
      <c r="H214" s="8"/>
      <c r="I214" s="8"/>
      <c r="J214" s="6"/>
      <c r="L214" s="4"/>
    </row>
    <row r="215" spans="3:14" x14ac:dyDescent="0.25">
      <c r="C215" s="1"/>
      <c r="D215" s="1"/>
      <c r="G215" s="56"/>
      <c r="H215" s="8"/>
      <c r="I215" s="8"/>
      <c r="J215" s="6"/>
      <c r="L215" s="4"/>
    </row>
    <row r="216" spans="3:14" x14ac:dyDescent="0.25">
      <c r="C216" s="1"/>
      <c r="D216" s="1"/>
      <c r="G216" s="48"/>
      <c r="H216" s="8"/>
      <c r="I216" s="8"/>
      <c r="J216" s="6"/>
      <c r="L216" s="4"/>
    </row>
    <row r="217" spans="3:14" x14ac:dyDescent="0.25">
      <c r="C217" s="1"/>
      <c r="D217" s="1"/>
      <c r="G217" s="56"/>
      <c r="H217" s="8"/>
      <c r="I217" s="8"/>
      <c r="J217" s="6"/>
      <c r="L217" s="4"/>
    </row>
    <row r="218" spans="3:14" x14ac:dyDescent="0.25">
      <c r="C218" s="1"/>
      <c r="D218" s="1"/>
      <c r="G218" s="48"/>
      <c r="H218" s="8"/>
      <c r="I218" s="8"/>
      <c r="J218" s="6"/>
      <c r="L218" s="4"/>
    </row>
    <row r="219" spans="3:14" x14ac:dyDescent="0.25">
      <c r="C219" s="1"/>
      <c r="D219" s="1"/>
      <c r="G219" s="48"/>
      <c r="H219" s="8"/>
      <c r="I219" s="8"/>
      <c r="J219" s="6"/>
      <c r="L219" s="4"/>
    </row>
    <row r="220" spans="3:14" x14ac:dyDescent="0.25">
      <c r="C220" s="1"/>
      <c r="D220" s="1"/>
      <c r="G220" s="48"/>
      <c r="H220" s="8"/>
      <c r="I220" s="8"/>
      <c r="J220" s="6"/>
      <c r="L220" s="4"/>
    </row>
    <row r="221" spans="3:14" x14ac:dyDescent="0.25">
      <c r="C221" s="1"/>
      <c r="D221" s="1"/>
      <c r="G221" s="48"/>
      <c r="H221" s="8"/>
      <c r="I221" s="8"/>
      <c r="J221" s="6"/>
      <c r="L221" s="4"/>
    </row>
    <row r="222" spans="3:14" x14ac:dyDescent="0.25">
      <c r="C222" s="1"/>
      <c r="D222" s="1"/>
      <c r="G222" s="48"/>
      <c r="H222" s="8"/>
      <c r="I222" s="8"/>
      <c r="J222" s="6"/>
      <c r="L222" s="4"/>
    </row>
    <row r="223" spans="3:14" x14ac:dyDescent="0.25">
      <c r="C223" s="1"/>
      <c r="D223" s="1"/>
      <c r="G223" s="48"/>
      <c r="H223" s="8"/>
      <c r="I223" s="8"/>
      <c r="J223" s="6"/>
      <c r="L223" s="4"/>
    </row>
    <row r="224" spans="3:14" x14ac:dyDescent="0.25">
      <c r="C224" s="1"/>
      <c r="D224" s="1"/>
      <c r="G224" s="56"/>
      <c r="H224" s="8"/>
      <c r="I224" s="8"/>
      <c r="J224" s="6"/>
      <c r="L224" s="4"/>
    </row>
    <row r="225" spans="3:14" x14ac:dyDescent="0.25">
      <c r="C225" s="1"/>
      <c r="D225" s="1"/>
      <c r="G225" s="48"/>
      <c r="H225" s="8"/>
      <c r="I225" s="8"/>
      <c r="J225" s="6"/>
      <c r="L225" s="4"/>
    </row>
    <row r="226" spans="3:14" x14ac:dyDescent="0.25">
      <c r="C226" s="1"/>
      <c r="D226" s="1"/>
      <c r="G226" s="48"/>
      <c r="H226" s="8"/>
      <c r="I226" s="8"/>
      <c r="J226" s="6"/>
      <c r="L226" s="4"/>
      <c r="N226" s="43"/>
    </row>
    <row r="227" spans="3:14" x14ac:dyDescent="0.25">
      <c r="C227" s="1"/>
      <c r="D227" s="1"/>
      <c r="G227" s="56"/>
      <c r="H227" s="8"/>
      <c r="I227" s="8"/>
      <c r="J227" s="6"/>
      <c r="L227" s="4"/>
    </row>
    <row r="228" spans="3:14" x14ac:dyDescent="0.25">
      <c r="C228" s="1"/>
      <c r="D228" s="1"/>
      <c r="G228" s="56"/>
      <c r="H228" s="8"/>
      <c r="I228" s="8"/>
      <c r="J228" s="6"/>
      <c r="L228" s="4"/>
    </row>
    <row r="229" spans="3:14" x14ac:dyDescent="0.25">
      <c r="C229" s="1"/>
      <c r="D229" s="1"/>
      <c r="G229" s="48"/>
      <c r="H229" s="8"/>
      <c r="I229" s="8"/>
      <c r="J229" s="6"/>
      <c r="L229" s="4"/>
    </row>
    <row r="230" spans="3:14" x14ac:dyDescent="0.25">
      <c r="C230" s="1"/>
      <c r="D230" s="1"/>
      <c r="G230" s="56"/>
      <c r="H230" s="8"/>
      <c r="I230" s="8"/>
      <c r="J230" s="6"/>
      <c r="L230" s="4"/>
    </row>
    <row r="231" spans="3:14" x14ac:dyDescent="0.25">
      <c r="C231" s="1"/>
      <c r="D231" s="1"/>
      <c r="G231" s="48"/>
      <c r="H231" s="8"/>
      <c r="I231" s="8"/>
      <c r="J231" s="6"/>
      <c r="L231" s="4"/>
    </row>
    <row r="232" spans="3:14" x14ac:dyDescent="0.25">
      <c r="C232" s="1"/>
      <c r="D232" s="1"/>
      <c r="G232" s="48"/>
      <c r="H232" s="8"/>
      <c r="I232" s="8"/>
      <c r="J232" s="6"/>
      <c r="L232" s="4"/>
      <c r="N232" s="43"/>
    </row>
    <row r="233" spans="3:14" x14ac:dyDescent="0.25">
      <c r="C233" s="1"/>
      <c r="D233" s="1"/>
      <c r="G233" s="56"/>
      <c r="H233" s="8"/>
      <c r="I233" s="8"/>
      <c r="J233" s="6"/>
      <c r="L233" s="4"/>
    </row>
    <row r="234" spans="3:14" x14ac:dyDescent="0.25">
      <c r="C234" s="1"/>
      <c r="D234" s="1"/>
      <c r="G234" s="48"/>
      <c r="H234" s="8"/>
      <c r="I234" s="8"/>
      <c r="J234" s="6"/>
      <c r="L234" s="4"/>
    </row>
    <row r="235" spans="3:14" x14ac:dyDescent="0.25">
      <c r="C235" s="1"/>
      <c r="D235" s="1"/>
      <c r="G235" s="48"/>
      <c r="H235" s="44"/>
      <c r="I235" s="70"/>
      <c r="J235" s="6"/>
      <c r="L235" s="4"/>
    </row>
    <row r="236" spans="3:14" x14ac:dyDescent="0.25">
      <c r="C236" s="1"/>
      <c r="D236" s="1"/>
      <c r="G236" s="48"/>
      <c r="H236" s="6"/>
      <c r="I236" s="70"/>
      <c r="J236" s="6"/>
      <c r="L236" s="4"/>
      <c r="N236" s="43"/>
    </row>
    <row r="237" spans="3:14" x14ac:dyDescent="0.25">
      <c r="C237" s="1"/>
      <c r="D237" s="1"/>
      <c r="G237" s="48"/>
      <c r="H237" s="8"/>
      <c r="I237" s="8"/>
      <c r="J237" s="6"/>
      <c r="L237" s="4"/>
      <c r="N237" s="43"/>
    </row>
    <row r="238" spans="3:14" x14ac:dyDescent="0.25">
      <c r="C238" s="1"/>
      <c r="D238" s="1"/>
      <c r="G238" s="56"/>
      <c r="H238" s="8"/>
      <c r="I238" s="8"/>
      <c r="J238" s="6"/>
      <c r="L238" s="4"/>
    </row>
    <row r="239" spans="3:14" x14ac:dyDescent="0.25">
      <c r="C239" s="1"/>
      <c r="D239" s="1"/>
      <c r="G239" s="56"/>
      <c r="H239" s="8"/>
      <c r="I239" s="8"/>
      <c r="J239" s="6"/>
      <c r="L239" s="4"/>
    </row>
    <row r="240" spans="3:14" x14ac:dyDescent="0.25">
      <c r="C240" s="1"/>
      <c r="D240" s="1"/>
      <c r="G240" s="56"/>
      <c r="H240" s="8"/>
      <c r="I240" s="8"/>
      <c r="J240" s="6"/>
      <c r="L240" s="4"/>
    </row>
    <row r="241" spans="1:15" x14ac:dyDescent="0.25">
      <c r="C241" s="1"/>
      <c r="D241" s="1"/>
      <c r="G241" s="48"/>
      <c r="H241" s="8"/>
      <c r="I241" s="8"/>
      <c r="J241" s="6"/>
      <c r="L241" s="4"/>
    </row>
    <row r="242" spans="1:15" x14ac:dyDescent="0.25">
      <c r="C242" s="1"/>
      <c r="D242" s="1"/>
      <c r="G242" s="56"/>
      <c r="H242" s="8"/>
      <c r="I242" s="8"/>
      <c r="J242" s="6"/>
      <c r="L242" s="4"/>
    </row>
    <row r="243" spans="1:15" x14ac:dyDescent="0.25">
      <c r="C243" s="1"/>
      <c r="D243" s="1"/>
      <c r="G243" s="48"/>
      <c r="H243" s="8"/>
      <c r="I243" s="8"/>
      <c r="J243" s="6"/>
      <c r="L243" s="4"/>
    </row>
    <row r="244" spans="1:15" x14ac:dyDescent="0.25">
      <c r="C244" s="1"/>
      <c r="D244" s="1"/>
      <c r="G244" s="48"/>
      <c r="H244" s="8"/>
      <c r="I244" s="8"/>
      <c r="J244" s="6"/>
      <c r="L244" s="4"/>
    </row>
    <row r="245" spans="1:15" x14ac:dyDescent="0.25">
      <c r="C245" s="1"/>
      <c r="D245" s="1"/>
      <c r="G245" s="48"/>
      <c r="H245" s="8"/>
      <c r="I245" s="8"/>
      <c r="J245" s="6"/>
      <c r="L245" s="4"/>
    </row>
    <row r="246" spans="1:15" x14ac:dyDescent="0.25">
      <c r="C246" s="1"/>
      <c r="D246" s="1"/>
      <c r="G246" s="48"/>
      <c r="H246" s="8"/>
      <c r="I246" s="8"/>
      <c r="J246" s="6"/>
      <c r="L246" s="4"/>
    </row>
    <row r="247" spans="1:15" x14ac:dyDescent="0.25">
      <c r="C247" s="1"/>
      <c r="D247" s="1"/>
      <c r="G247" s="48"/>
      <c r="H247" s="8"/>
      <c r="I247" s="8"/>
      <c r="J247" s="6"/>
      <c r="L247" s="4"/>
    </row>
    <row r="248" spans="1:15" x14ac:dyDescent="0.25">
      <c r="C248" s="1"/>
      <c r="D248" s="1"/>
      <c r="G248" s="48"/>
      <c r="H248" s="8"/>
      <c r="I248" s="8"/>
      <c r="J248" s="6"/>
      <c r="L248" s="4"/>
    </row>
    <row r="249" spans="1:15" x14ac:dyDescent="0.25">
      <c r="C249" s="1"/>
      <c r="D249" s="1"/>
      <c r="G249" s="56"/>
      <c r="H249" s="8"/>
      <c r="I249" s="8"/>
      <c r="J249" s="6"/>
      <c r="L249" s="4"/>
    </row>
    <row r="250" spans="1:15" x14ac:dyDescent="0.25">
      <c r="C250" s="1"/>
      <c r="D250" s="1"/>
      <c r="G250" s="48"/>
      <c r="H250" s="8"/>
      <c r="I250" s="8"/>
      <c r="J250" s="6"/>
      <c r="L250" s="4"/>
    </row>
    <row r="251" spans="1:15" x14ac:dyDescent="0.25">
      <c r="C251" s="1"/>
      <c r="D251" s="1"/>
      <c r="G251" s="48"/>
      <c r="H251" s="8"/>
      <c r="I251" s="8"/>
      <c r="J251" s="6"/>
      <c r="L251" s="4"/>
    </row>
    <row r="252" spans="1:15" x14ac:dyDescent="0.25">
      <c r="C252" s="1"/>
      <c r="D252" s="1"/>
      <c r="G252" s="56"/>
      <c r="H252" s="8"/>
      <c r="I252" s="8"/>
      <c r="J252" s="6"/>
      <c r="L252" s="4"/>
      <c r="N252" s="43"/>
    </row>
    <row r="253" spans="1:15" x14ac:dyDescent="0.25">
      <c r="C253" s="1"/>
      <c r="D253" s="1"/>
      <c r="G253" s="56"/>
      <c r="H253" s="8"/>
      <c r="I253" s="8"/>
      <c r="J253" s="6"/>
      <c r="L253" s="4"/>
    </row>
    <row r="254" spans="1:15" x14ac:dyDescent="0.25">
      <c r="C254" s="1"/>
      <c r="D254" s="1"/>
      <c r="G254" s="66"/>
      <c r="H254" s="8"/>
      <c r="I254" s="8"/>
      <c r="J254" s="6"/>
      <c r="L254" s="4"/>
      <c r="O254" s="3">
        <v>252</v>
      </c>
    </row>
    <row r="255" spans="1:15" x14ac:dyDescent="0.25">
      <c r="A255" s="3">
        <v>4</v>
      </c>
      <c r="B255" s="3" t="s">
        <v>1435</v>
      </c>
      <c r="C255" s="1" t="s">
        <v>1435</v>
      </c>
      <c r="D255" s="1" t="s">
        <v>444</v>
      </c>
      <c r="E255" s="3" t="s">
        <v>144</v>
      </c>
      <c r="F255" s="3" t="s">
        <v>5</v>
      </c>
      <c r="G255" s="48" t="s">
        <v>32</v>
      </c>
      <c r="H255" s="8"/>
      <c r="I255" s="8"/>
      <c r="J255" s="6" t="s">
        <v>110</v>
      </c>
      <c r="K255" s="38">
        <v>1874000</v>
      </c>
      <c r="L255" s="4" t="s">
        <v>29</v>
      </c>
      <c r="M255" s="11">
        <f>_xlfn.NUMBERVALUE(LEFT(Table613612[[#This Row],[Fiscal Year]], 4))</f>
        <v>2015</v>
      </c>
      <c r="N255" s="42">
        <f t="shared" ref="N255:N267" si="8">K255*(1+VLOOKUP(M255,$AF$8:$AH$31,3,0))</f>
        <v>1989689.8481012657</v>
      </c>
      <c r="O255" s="3">
        <v>253</v>
      </c>
    </row>
    <row r="256" spans="1:15" x14ac:dyDescent="0.25">
      <c r="A256" s="3">
        <v>4</v>
      </c>
      <c r="B256" s="3" t="s">
        <v>1435</v>
      </c>
      <c r="C256" s="1" t="s">
        <v>1435</v>
      </c>
      <c r="D256" s="1" t="s">
        <v>444</v>
      </c>
      <c r="E256" s="3" t="s">
        <v>144</v>
      </c>
      <c r="F256" s="3" t="s">
        <v>5</v>
      </c>
      <c r="G256" s="66" t="s">
        <v>58</v>
      </c>
      <c r="H256" s="8"/>
      <c r="I256" s="8"/>
      <c r="J256" s="6" t="s">
        <v>453</v>
      </c>
      <c r="K256" s="38">
        <v>1569000</v>
      </c>
      <c r="L256" s="4" t="s">
        <v>29</v>
      </c>
      <c r="M256" s="11">
        <f>_xlfn.NUMBERVALUE(LEFT(Table613612[[#This Row],[Fiscal Year]], 4))</f>
        <v>2015</v>
      </c>
      <c r="N256" s="42">
        <f t="shared" si="8"/>
        <v>1665860.9240506329</v>
      </c>
      <c r="O256" s="3">
        <v>254</v>
      </c>
    </row>
    <row r="257" spans="1:15" x14ac:dyDescent="0.25">
      <c r="A257" s="3">
        <v>4</v>
      </c>
      <c r="B257" s="3" t="s">
        <v>1435</v>
      </c>
      <c r="C257" s="1" t="s">
        <v>1435</v>
      </c>
      <c r="D257" s="1" t="s">
        <v>444</v>
      </c>
      <c r="E257" s="3" t="s">
        <v>144</v>
      </c>
      <c r="F257" s="3" t="s">
        <v>5</v>
      </c>
      <c r="G257" s="66" t="s">
        <v>208</v>
      </c>
      <c r="H257" s="8"/>
      <c r="I257" s="8"/>
      <c r="J257" s="6" t="s">
        <v>109</v>
      </c>
      <c r="K257" s="38">
        <v>545000</v>
      </c>
      <c r="L257" s="4" t="s">
        <v>29</v>
      </c>
      <c r="M257" s="11">
        <f>_xlfn.NUMBERVALUE(LEFT(Table613612[[#This Row],[Fiscal Year]], 4))</f>
        <v>2015</v>
      </c>
      <c r="N257" s="42">
        <f t="shared" si="8"/>
        <v>578645.1265822784</v>
      </c>
      <c r="O257" s="3">
        <v>255</v>
      </c>
    </row>
    <row r="258" spans="1:15" x14ac:dyDescent="0.25">
      <c r="A258" s="3">
        <v>4</v>
      </c>
      <c r="B258" s="3" t="s">
        <v>1435</v>
      </c>
      <c r="C258" s="1" t="s">
        <v>1435</v>
      </c>
      <c r="D258" s="1" t="s">
        <v>444</v>
      </c>
      <c r="E258" s="3" t="s">
        <v>144</v>
      </c>
      <c r="F258" s="3" t="s">
        <v>5</v>
      </c>
      <c r="G258" s="66" t="s">
        <v>59</v>
      </c>
      <c r="H258" s="8"/>
      <c r="I258" s="8"/>
      <c r="J258" s="6" t="s">
        <v>111</v>
      </c>
      <c r="K258" s="38">
        <v>1447000</v>
      </c>
      <c r="L258" s="4" t="s">
        <v>29</v>
      </c>
      <c r="M258" s="11">
        <f>_xlfn.NUMBERVALUE(LEFT(Table613612[[#This Row],[Fiscal Year]], 4))</f>
        <v>2015</v>
      </c>
      <c r="N258" s="42">
        <f t="shared" si="8"/>
        <v>1536329.3544303796</v>
      </c>
      <c r="O258" s="3">
        <v>256</v>
      </c>
    </row>
    <row r="259" spans="1:15" x14ac:dyDescent="0.25">
      <c r="A259" s="3">
        <v>4</v>
      </c>
      <c r="B259" s="3" t="s">
        <v>1435</v>
      </c>
      <c r="C259" s="1" t="s">
        <v>1435</v>
      </c>
      <c r="D259" s="1" t="s">
        <v>444</v>
      </c>
      <c r="E259" s="3" t="s">
        <v>144</v>
      </c>
      <c r="F259" s="3" t="s">
        <v>5</v>
      </c>
      <c r="G259" s="66" t="s">
        <v>60</v>
      </c>
      <c r="H259" s="8"/>
      <c r="I259" s="8"/>
      <c r="J259" s="6" t="s">
        <v>111</v>
      </c>
      <c r="K259" s="38">
        <v>1010000</v>
      </c>
      <c r="L259" s="4" t="s">
        <v>29</v>
      </c>
      <c r="M259" s="11">
        <f>_xlfn.NUMBERVALUE(LEFT(Table613612[[#This Row],[Fiscal Year]], 4))</f>
        <v>2015</v>
      </c>
      <c r="N259" s="42">
        <f t="shared" si="8"/>
        <v>1072351.5189873418</v>
      </c>
      <c r="O259" s="3">
        <v>257</v>
      </c>
    </row>
    <row r="260" spans="1:15" x14ac:dyDescent="0.25">
      <c r="A260" s="3">
        <v>4</v>
      </c>
      <c r="B260" s="3" t="s">
        <v>1435</v>
      </c>
      <c r="C260" s="1" t="s">
        <v>1435</v>
      </c>
      <c r="D260" s="1" t="s">
        <v>444</v>
      </c>
      <c r="E260" s="3" t="s">
        <v>144</v>
      </c>
      <c r="F260" s="3" t="s">
        <v>5</v>
      </c>
      <c r="G260" s="48" t="s">
        <v>61</v>
      </c>
      <c r="H260" s="8"/>
      <c r="I260" s="8"/>
      <c r="J260" s="6" t="s">
        <v>108</v>
      </c>
      <c r="K260" s="38">
        <v>27959000</v>
      </c>
      <c r="L260" s="4" t="s">
        <v>29</v>
      </c>
      <c r="M260" s="11">
        <f>_xlfn.NUMBERVALUE(LEFT(Table613612[[#This Row],[Fiscal Year]], 4))</f>
        <v>2015</v>
      </c>
      <c r="N260" s="42">
        <f t="shared" si="8"/>
        <v>29685025.860759493</v>
      </c>
      <c r="O260" s="3">
        <v>258</v>
      </c>
    </row>
    <row r="261" spans="1:15" x14ac:dyDescent="0.25">
      <c r="A261" s="3">
        <v>4</v>
      </c>
      <c r="B261" s="3" t="s">
        <v>1435</v>
      </c>
      <c r="C261" s="1" t="s">
        <v>1435</v>
      </c>
      <c r="D261" s="1" t="s">
        <v>444</v>
      </c>
      <c r="E261" s="3" t="s">
        <v>144</v>
      </c>
      <c r="F261" s="3" t="s">
        <v>5</v>
      </c>
      <c r="G261" s="66" t="s">
        <v>62</v>
      </c>
      <c r="H261" s="8"/>
      <c r="I261" s="8"/>
      <c r="J261" s="6" t="s">
        <v>106</v>
      </c>
      <c r="K261" s="38">
        <v>928000</v>
      </c>
      <c r="L261" s="4" t="s">
        <v>29</v>
      </c>
      <c r="M261" s="11">
        <f>_xlfn.NUMBERVALUE(LEFT(Table613612[[#This Row],[Fiscal Year]], 4))</f>
        <v>2015</v>
      </c>
      <c r="N261" s="42">
        <f t="shared" si="8"/>
        <v>985289.31645569613</v>
      </c>
      <c r="O261" s="3">
        <v>259</v>
      </c>
    </row>
    <row r="262" spans="1:15" x14ac:dyDescent="0.25">
      <c r="A262" s="3">
        <v>4</v>
      </c>
      <c r="B262" s="3" t="s">
        <v>1435</v>
      </c>
      <c r="C262" s="1" t="s">
        <v>1435</v>
      </c>
      <c r="D262" s="1" t="s">
        <v>444</v>
      </c>
      <c r="E262" s="3" t="s">
        <v>144</v>
      </c>
      <c r="F262" s="3" t="s">
        <v>5</v>
      </c>
      <c r="G262" s="66" t="s">
        <v>211</v>
      </c>
      <c r="H262" s="8"/>
      <c r="I262" s="8"/>
      <c r="J262" s="6" t="s">
        <v>455</v>
      </c>
      <c r="K262" s="38">
        <v>1127000</v>
      </c>
      <c r="L262" s="4" t="s">
        <v>29</v>
      </c>
      <c r="M262" s="11">
        <f>_xlfn.NUMBERVALUE(LEFT(Table613612[[#This Row],[Fiscal Year]], 4))</f>
        <v>2015</v>
      </c>
      <c r="N262" s="42">
        <f t="shared" si="8"/>
        <v>1196574.417721519</v>
      </c>
      <c r="O262" s="3">
        <v>260</v>
      </c>
    </row>
    <row r="263" spans="1:15" x14ac:dyDescent="0.25">
      <c r="A263" s="3">
        <v>4</v>
      </c>
      <c r="B263" s="3" t="s">
        <v>1435</v>
      </c>
      <c r="C263" s="1" t="s">
        <v>1435</v>
      </c>
      <c r="D263" s="1" t="s">
        <v>444</v>
      </c>
      <c r="E263" s="3" t="s">
        <v>144</v>
      </c>
      <c r="F263" s="3" t="s">
        <v>5</v>
      </c>
      <c r="G263" s="66" t="s">
        <v>64</v>
      </c>
      <c r="H263" s="8"/>
      <c r="I263" s="8"/>
      <c r="J263" s="6" t="s">
        <v>76</v>
      </c>
      <c r="K263" s="38">
        <v>714000</v>
      </c>
      <c r="L263" s="4" t="s">
        <v>29</v>
      </c>
      <c r="M263" s="11">
        <f>_xlfn.NUMBERVALUE(LEFT(Table613612[[#This Row],[Fiscal Year]], 4))</f>
        <v>2015</v>
      </c>
      <c r="N263" s="42">
        <f t="shared" si="8"/>
        <v>758078.20253164554</v>
      </c>
      <c r="O263" s="3">
        <v>261</v>
      </c>
    </row>
    <row r="264" spans="1:15" x14ac:dyDescent="0.25">
      <c r="A264" s="3">
        <v>4</v>
      </c>
      <c r="B264" s="3" t="s">
        <v>1435</v>
      </c>
      <c r="C264" s="1" t="s">
        <v>1435</v>
      </c>
      <c r="D264" s="1" t="s">
        <v>444</v>
      </c>
      <c r="E264" s="3" t="s">
        <v>144</v>
      </c>
      <c r="F264" s="3" t="s">
        <v>5</v>
      </c>
      <c r="G264" s="66" t="s">
        <v>65</v>
      </c>
      <c r="H264" s="8"/>
      <c r="I264" s="8"/>
      <c r="J264" s="6" t="s">
        <v>76</v>
      </c>
      <c r="K264" s="38">
        <v>1433000</v>
      </c>
      <c r="L264" s="4" t="s">
        <v>29</v>
      </c>
      <c r="M264" s="11">
        <f>_xlfn.NUMBERVALUE(LEFT(Table613612[[#This Row],[Fiscal Year]], 4))</f>
        <v>2015</v>
      </c>
      <c r="N264" s="42">
        <f t="shared" si="8"/>
        <v>1521465.0759493669</v>
      </c>
      <c r="O264" s="3">
        <v>262</v>
      </c>
    </row>
    <row r="265" spans="1:15" x14ac:dyDescent="0.25">
      <c r="A265" s="3">
        <v>4</v>
      </c>
      <c r="B265" s="3" t="s">
        <v>1435</v>
      </c>
      <c r="C265" s="1" t="s">
        <v>1435</v>
      </c>
      <c r="D265" s="1" t="s">
        <v>444</v>
      </c>
      <c r="E265" s="3" t="s">
        <v>144</v>
      </c>
      <c r="F265" s="3" t="s">
        <v>5</v>
      </c>
      <c r="G265" s="66" t="s">
        <v>66</v>
      </c>
      <c r="H265" s="8"/>
      <c r="I265" s="8"/>
      <c r="J265" s="6" t="s">
        <v>76</v>
      </c>
      <c r="K265" s="38">
        <v>0</v>
      </c>
      <c r="L265" s="4" t="s">
        <v>29</v>
      </c>
      <c r="M265" s="11">
        <f>_xlfn.NUMBERVALUE(LEFT(Table613612[[#This Row],[Fiscal Year]], 4))</f>
        <v>2015</v>
      </c>
      <c r="N265" s="43">
        <f t="shared" si="8"/>
        <v>0</v>
      </c>
      <c r="O265" s="3">
        <v>263</v>
      </c>
    </row>
    <row r="266" spans="1:15" x14ac:dyDescent="0.25">
      <c r="A266" s="3">
        <v>4</v>
      </c>
      <c r="B266" s="3" t="s">
        <v>1435</v>
      </c>
      <c r="C266" s="1" t="s">
        <v>1435</v>
      </c>
      <c r="D266" s="1" t="s">
        <v>444</v>
      </c>
      <c r="E266" s="3" t="s">
        <v>144</v>
      </c>
      <c r="F266" s="3" t="s">
        <v>5</v>
      </c>
      <c r="G266" s="66" t="s">
        <v>33</v>
      </c>
      <c r="H266" s="8"/>
      <c r="I266" s="8"/>
      <c r="J266" s="6" t="s">
        <v>47</v>
      </c>
      <c r="K266" s="38">
        <v>3419000</v>
      </c>
      <c r="L266" s="4" t="s">
        <v>29</v>
      </c>
      <c r="M266" s="11">
        <f>_xlfn.NUMBERVALUE(LEFT(Table613612[[#This Row],[Fiscal Year]], 4))</f>
        <v>2015</v>
      </c>
      <c r="N266" s="42">
        <f t="shared" si="8"/>
        <v>3630069.1518987338</v>
      </c>
      <c r="O266" s="3">
        <v>264</v>
      </c>
    </row>
    <row r="267" spans="1:15" x14ac:dyDescent="0.25">
      <c r="A267" s="3">
        <v>4</v>
      </c>
      <c r="B267" s="3" t="s">
        <v>1435</v>
      </c>
      <c r="C267" s="1" t="s">
        <v>1435</v>
      </c>
      <c r="D267" s="1" t="s">
        <v>444</v>
      </c>
      <c r="E267" s="3" t="s">
        <v>144</v>
      </c>
      <c r="F267" s="3" t="s">
        <v>5</v>
      </c>
      <c r="G267" s="66" t="s">
        <v>67</v>
      </c>
      <c r="H267" s="8"/>
      <c r="I267" s="8" t="s">
        <v>843</v>
      </c>
      <c r="J267" s="6" t="s">
        <v>455</v>
      </c>
      <c r="K267" s="38">
        <v>6123000</v>
      </c>
      <c r="L267" s="4" t="s">
        <v>29</v>
      </c>
      <c r="M267" s="11">
        <f>_xlfn.NUMBERVALUE(LEFT(Table613612[[#This Row],[Fiscal Year]], 4))</f>
        <v>2015</v>
      </c>
      <c r="N267" s="42">
        <f t="shared" si="8"/>
        <v>6500998.3670886075</v>
      </c>
      <c r="O267" s="3">
        <v>265</v>
      </c>
    </row>
    <row r="268" spans="1:15" x14ac:dyDescent="0.25">
      <c r="C268" s="1"/>
      <c r="D268" s="1"/>
      <c r="E268" s="11"/>
      <c r="G268" s="66"/>
      <c r="H268" s="8"/>
      <c r="I268" s="8"/>
      <c r="J268" s="6"/>
      <c r="L268" s="4"/>
      <c r="O268" s="3">
        <v>266</v>
      </c>
    </row>
    <row r="269" spans="1:15" x14ac:dyDescent="0.25">
      <c r="C269" s="1"/>
      <c r="D269" s="1"/>
      <c r="E269" s="11"/>
      <c r="G269" s="56"/>
      <c r="H269" s="8"/>
      <c r="I269" s="8"/>
      <c r="J269" s="6"/>
      <c r="L269" s="4"/>
      <c r="N269" s="43"/>
    </row>
    <row r="270" spans="1:15" x14ac:dyDescent="0.25">
      <c r="C270" s="1"/>
      <c r="D270" s="1"/>
      <c r="E270" s="11"/>
      <c r="G270" s="48"/>
      <c r="H270" s="8"/>
      <c r="I270" s="8"/>
      <c r="J270" s="6"/>
      <c r="L270" s="4"/>
    </row>
    <row r="271" spans="1:15" x14ac:dyDescent="0.25">
      <c r="C271" s="1"/>
      <c r="D271" s="1"/>
      <c r="E271" s="11"/>
      <c r="G271" s="48"/>
      <c r="H271" s="8"/>
      <c r="I271" s="8"/>
      <c r="J271" s="6"/>
      <c r="L271" s="4"/>
      <c r="N271" s="43"/>
    </row>
    <row r="272" spans="1:15" x14ac:dyDescent="0.25">
      <c r="C272" s="1"/>
      <c r="D272" s="1"/>
      <c r="E272" s="11"/>
      <c r="G272" s="56"/>
      <c r="H272" s="8"/>
      <c r="I272" s="8"/>
      <c r="J272" s="6"/>
      <c r="L272" s="4"/>
    </row>
    <row r="273" spans="3:14" x14ac:dyDescent="0.25">
      <c r="C273" s="1"/>
      <c r="D273" s="1"/>
      <c r="E273" s="11"/>
      <c r="G273" s="48"/>
      <c r="H273" s="8"/>
      <c r="I273" s="8"/>
      <c r="J273" s="6"/>
      <c r="L273" s="4"/>
    </row>
    <row r="274" spans="3:14" x14ac:dyDescent="0.25">
      <c r="C274" s="1"/>
      <c r="D274" s="1"/>
      <c r="E274" s="11"/>
      <c r="G274" s="48"/>
      <c r="H274" s="44"/>
      <c r="I274" s="70"/>
      <c r="J274" s="6"/>
      <c r="L274" s="4"/>
    </row>
    <row r="275" spans="3:14" x14ac:dyDescent="0.25">
      <c r="C275" s="1"/>
      <c r="D275" s="1"/>
      <c r="E275" s="11"/>
      <c r="G275" s="48"/>
      <c r="H275" s="6"/>
      <c r="I275" s="70"/>
      <c r="J275" s="6"/>
      <c r="L275" s="4"/>
      <c r="N275" s="43"/>
    </row>
    <row r="276" spans="3:14" x14ac:dyDescent="0.25">
      <c r="C276" s="1"/>
      <c r="D276" s="1"/>
      <c r="E276" s="11"/>
      <c r="G276" s="56"/>
      <c r="H276" s="8"/>
      <c r="I276" s="8"/>
      <c r="J276" s="6"/>
      <c r="L276" s="4"/>
      <c r="N276" s="43"/>
    </row>
    <row r="277" spans="3:14" x14ac:dyDescent="0.25">
      <c r="C277" s="1"/>
      <c r="D277" s="1"/>
      <c r="E277" s="11"/>
      <c r="G277" s="56"/>
      <c r="H277" s="8"/>
      <c r="I277" s="8"/>
      <c r="J277" s="6"/>
      <c r="K277" s="41"/>
      <c r="L277" s="4"/>
    </row>
    <row r="278" spans="3:14" x14ac:dyDescent="0.25">
      <c r="C278" s="1"/>
      <c r="D278" s="1"/>
      <c r="E278" s="11"/>
      <c r="G278" s="56"/>
      <c r="H278" s="8"/>
      <c r="I278" s="8"/>
      <c r="J278" s="6"/>
      <c r="K278" s="41"/>
      <c r="L278" s="4"/>
    </row>
    <row r="279" spans="3:14" x14ac:dyDescent="0.25">
      <c r="C279" s="1"/>
      <c r="D279" s="1"/>
      <c r="E279" s="11"/>
      <c r="G279" s="56"/>
      <c r="H279" s="8"/>
      <c r="I279" s="8"/>
      <c r="J279" s="6"/>
      <c r="K279" s="41"/>
      <c r="L279" s="4"/>
    </row>
    <row r="280" spans="3:14" x14ac:dyDescent="0.25">
      <c r="C280" s="1"/>
      <c r="D280" s="1"/>
      <c r="E280" s="11"/>
      <c r="G280" s="48"/>
      <c r="H280" s="8"/>
      <c r="I280" s="8"/>
      <c r="J280" s="6"/>
      <c r="K280" s="41"/>
      <c r="L280" s="4"/>
    </row>
    <row r="281" spans="3:14" x14ac:dyDescent="0.25">
      <c r="C281" s="1"/>
      <c r="D281" s="1"/>
      <c r="E281" s="11"/>
      <c r="G281" s="56"/>
      <c r="H281" s="8"/>
      <c r="I281" s="8"/>
      <c r="J281" s="6"/>
      <c r="L281" s="4"/>
    </row>
    <row r="282" spans="3:14" x14ac:dyDescent="0.25">
      <c r="C282" s="1"/>
      <c r="D282" s="1"/>
      <c r="E282" s="11"/>
      <c r="G282" s="48"/>
      <c r="H282" s="8"/>
      <c r="I282" s="8"/>
      <c r="J282" s="6"/>
      <c r="L282" s="4"/>
    </row>
    <row r="283" spans="3:14" x14ac:dyDescent="0.25">
      <c r="C283" s="1"/>
      <c r="D283" s="1"/>
      <c r="E283" s="11"/>
      <c r="G283" s="48"/>
      <c r="H283" s="8"/>
      <c r="I283" s="8"/>
      <c r="J283" s="6"/>
      <c r="L283" s="4"/>
    </row>
    <row r="284" spans="3:14" x14ac:dyDescent="0.25">
      <c r="C284" s="1"/>
      <c r="D284" s="1"/>
      <c r="E284" s="11"/>
      <c r="G284" s="48"/>
      <c r="H284" s="8"/>
      <c r="I284" s="8"/>
      <c r="J284" s="6"/>
      <c r="L284" s="4"/>
    </row>
    <row r="285" spans="3:14" x14ac:dyDescent="0.25">
      <c r="C285" s="1"/>
      <c r="D285" s="1"/>
      <c r="E285" s="11"/>
      <c r="G285" s="48"/>
      <c r="H285" s="8"/>
      <c r="I285" s="8"/>
      <c r="J285" s="6"/>
      <c r="L285" s="4"/>
    </row>
    <row r="286" spans="3:14" x14ac:dyDescent="0.25">
      <c r="C286" s="1"/>
      <c r="D286" s="1"/>
      <c r="E286" s="11"/>
      <c r="G286" s="48"/>
      <c r="H286" s="8"/>
      <c r="I286" s="8"/>
      <c r="J286" s="6"/>
      <c r="L286" s="4"/>
    </row>
    <row r="287" spans="3:14" x14ac:dyDescent="0.25">
      <c r="C287" s="1"/>
      <c r="D287" s="1"/>
      <c r="E287" s="11"/>
      <c r="G287" s="48"/>
      <c r="H287" s="8"/>
      <c r="I287" s="8"/>
      <c r="J287" s="6"/>
      <c r="L287" s="4"/>
    </row>
    <row r="288" spans="3:14" x14ac:dyDescent="0.25">
      <c r="C288" s="1"/>
      <c r="D288" s="1"/>
      <c r="E288" s="11"/>
      <c r="G288" s="56"/>
      <c r="H288" s="8"/>
      <c r="I288" s="8"/>
      <c r="J288" s="6"/>
      <c r="L288" s="4"/>
    </row>
    <row r="289" spans="3:14" x14ac:dyDescent="0.25">
      <c r="C289" s="1"/>
      <c r="D289" s="1"/>
      <c r="E289" s="11"/>
      <c r="G289" s="48"/>
      <c r="H289" s="8"/>
      <c r="I289" s="8"/>
      <c r="J289" s="6"/>
      <c r="L289" s="4"/>
    </row>
    <row r="290" spans="3:14" x14ac:dyDescent="0.25">
      <c r="C290" s="1"/>
      <c r="D290" s="1"/>
      <c r="E290" s="11"/>
      <c r="G290" s="48"/>
      <c r="H290" s="8"/>
      <c r="I290" s="8"/>
      <c r="J290" s="6"/>
      <c r="L290" s="4"/>
      <c r="N290" s="43"/>
    </row>
    <row r="291" spans="3:14" x14ac:dyDescent="0.25">
      <c r="C291" s="1"/>
      <c r="D291" s="1"/>
      <c r="E291" s="11"/>
      <c r="G291" s="56"/>
      <c r="H291" s="8"/>
      <c r="I291" s="8"/>
      <c r="J291" s="6"/>
      <c r="L291" s="4"/>
    </row>
    <row r="292" spans="3:14" x14ac:dyDescent="0.25">
      <c r="C292" s="1"/>
      <c r="D292" s="1"/>
      <c r="E292" s="11"/>
      <c r="G292" s="56"/>
      <c r="H292" s="8"/>
      <c r="I292" s="8"/>
      <c r="J292" s="6"/>
      <c r="L292" s="4"/>
    </row>
    <row r="293" spans="3:14" x14ac:dyDescent="0.25">
      <c r="C293" s="1"/>
      <c r="D293" s="1"/>
      <c r="E293" s="11"/>
      <c r="G293" s="66"/>
      <c r="H293" s="8"/>
      <c r="I293" s="8"/>
      <c r="J293" s="6"/>
      <c r="L293" s="4"/>
    </row>
    <row r="294" spans="3:14" x14ac:dyDescent="0.25">
      <c r="C294" s="1"/>
      <c r="D294" s="1"/>
      <c r="E294" s="11"/>
      <c r="G294" s="56"/>
      <c r="H294" s="8"/>
      <c r="I294" s="8"/>
      <c r="J294" s="6"/>
      <c r="L294" s="4"/>
    </row>
    <row r="295" spans="3:14" x14ac:dyDescent="0.25">
      <c r="C295" s="1"/>
      <c r="D295" s="1"/>
      <c r="E295" s="11"/>
      <c r="G295" s="48"/>
      <c r="H295" s="8"/>
      <c r="I295" s="8"/>
      <c r="J295" s="6"/>
      <c r="L295" s="4"/>
    </row>
    <row r="296" spans="3:14" x14ac:dyDescent="0.25">
      <c r="C296" s="1"/>
      <c r="D296" s="1"/>
      <c r="E296" s="11"/>
      <c r="G296" s="48"/>
      <c r="H296" s="8"/>
      <c r="I296" s="8"/>
      <c r="J296" s="6"/>
      <c r="L296" s="4"/>
      <c r="N296" s="43"/>
    </row>
    <row r="297" spans="3:14" x14ac:dyDescent="0.25">
      <c r="C297" s="1"/>
      <c r="D297" s="1"/>
      <c r="E297" s="11"/>
      <c r="G297" s="56"/>
      <c r="H297" s="8"/>
      <c r="I297" s="8"/>
      <c r="J297" s="6"/>
      <c r="L297" s="4"/>
    </row>
    <row r="298" spans="3:14" x14ac:dyDescent="0.25">
      <c r="C298" s="1"/>
      <c r="D298" s="1"/>
      <c r="E298" s="11"/>
      <c r="G298" s="48"/>
      <c r="H298" s="8"/>
      <c r="I298" s="8"/>
      <c r="J298" s="6"/>
      <c r="L298" s="4"/>
    </row>
    <row r="299" spans="3:14" x14ac:dyDescent="0.25">
      <c r="C299" s="1"/>
      <c r="D299" s="1"/>
      <c r="E299" s="11"/>
      <c r="G299" s="48"/>
      <c r="H299" s="44"/>
      <c r="I299" s="70"/>
      <c r="J299" s="6"/>
      <c r="L299" s="4"/>
    </row>
    <row r="300" spans="3:14" x14ac:dyDescent="0.25">
      <c r="C300" s="1"/>
      <c r="D300" s="1"/>
      <c r="E300" s="11"/>
      <c r="G300" s="48"/>
      <c r="H300" s="6"/>
      <c r="I300" s="70"/>
      <c r="J300" s="6"/>
      <c r="L300" s="4"/>
      <c r="N300" s="43"/>
    </row>
    <row r="301" spans="3:14" x14ac:dyDescent="0.25">
      <c r="C301" s="1"/>
      <c r="D301" s="1"/>
      <c r="E301" s="11"/>
      <c r="G301" s="56"/>
      <c r="H301" s="8"/>
      <c r="I301" s="8"/>
      <c r="J301" s="6"/>
      <c r="L301" s="4"/>
      <c r="N301" s="43"/>
    </row>
    <row r="302" spans="3:14" x14ac:dyDescent="0.25">
      <c r="C302" s="1"/>
      <c r="D302" s="1"/>
      <c r="E302" s="11"/>
      <c r="G302" s="56"/>
      <c r="H302" s="8"/>
      <c r="I302" s="8"/>
      <c r="J302" s="6"/>
      <c r="K302" s="41"/>
      <c r="L302" s="4"/>
    </row>
    <row r="303" spans="3:14" x14ac:dyDescent="0.25">
      <c r="C303" s="1"/>
      <c r="D303" s="1"/>
      <c r="E303" s="11"/>
      <c r="G303" s="56"/>
      <c r="H303" s="8"/>
      <c r="I303" s="8"/>
      <c r="J303" s="6"/>
      <c r="K303" s="41"/>
      <c r="L303" s="4"/>
    </row>
    <row r="304" spans="3:14" x14ac:dyDescent="0.25">
      <c r="C304" s="1"/>
      <c r="D304" s="1"/>
      <c r="E304" s="11"/>
      <c r="G304" s="56"/>
      <c r="H304" s="8"/>
      <c r="I304" s="8"/>
      <c r="J304" s="6"/>
      <c r="K304" s="41"/>
      <c r="L304" s="4"/>
    </row>
    <row r="305" spans="1:15" x14ac:dyDescent="0.25">
      <c r="C305" s="1"/>
      <c r="D305" s="1"/>
      <c r="E305" s="11"/>
      <c r="G305" s="48"/>
      <c r="H305" s="8"/>
      <c r="I305" s="8"/>
      <c r="J305" s="6"/>
      <c r="K305" s="41"/>
      <c r="L305" s="4"/>
    </row>
    <row r="306" spans="1:15" x14ac:dyDescent="0.25">
      <c r="C306" s="1"/>
      <c r="D306" s="1"/>
      <c r="E306" s="11"/>
      <c r="G306" s="56"/>
      <c r="H306" s="8"/>
      <c r="I306" s="8"/>
      <c r="J306" s="6"/>
      <c r="L306" s="4"/>
    </row>
    <row r="307" spans="1:15" x14ac:dyDescent="0.25">
      <c r="C307" s="1"/>
      <c r="D307" s="1"/>
      <c r="E307" s="11"/>
      <c r="G307" s="48"/>
      <c r="H307" s="8"/>
      <c r="I307" s="8"/>
      <c r="J307" s="6"/>
      <c r="L307" s="4"/>
    </row>
    <row r="308" spans="1:15" x14ac:dyDescent="0.25">
      <c r="C308" s="1"/>
      <c r="D308" s="1"/>
      <c r="E308" s="11"/>
      <c r="G308" s="48"/>
      <c r="H308" s="8"/>
      <c r="I308" s="8"/>
      <c r="J308" s="6"/>
      <c r="L308" s="4"/>
    </row>
    <row r="309" spans="1:15" x14ac:dyDescent="0.25">
      <c r="C309" s="1"/>
      <c r="D309" s="1"/>
      <c r="E309" s="11"/>
      <c r="G309" s="48"/>
      <c r="H309" s="8"/>
      <c r="I309" s="8"/>
      <c r="J309" s="6"/>
      <c r="L309" s="4"/>
    </row>
    <row r="310" spans="1:15" x14ac:dyDescent="0.25">
      <c r="C310" s="1"/>
      <c r="D310" s="1"/>
      <c r="E310" s="11"/>
      <c r="G310" s="48"/>
      <c r="H310" s="8"/>
      <c r="I310" s="8"/>
      <c r="J310" s="6"/>
      <c r="L310" s="4"/>
    </row>
    <row r="311" spans="1:15" x14ac:dyDescent="0.25">
      <c r="C311" s="1"/>
      <c r="D311" s="1"/>
      <c r="E311" s="11"/>
      <c r="G311" s="48"/>
      <c r="H311" s="8"/>
      <c r="I311" s="8"/>
      <c r="J311" s="6"/>
      <c r="L311" s="4"/>
    </row>
    <row r="312" spans="1:15" x14ac:dyDescent="0.25">
      <c r="C312" s="1"/>
      <c r="D312" s="1"/>
      <c r="E312" s="11"/>
      <c r="G312" s="48"/>
      <c r="H312" s="8"/>
      <c r="I312" s="8"/>
      <c r="J312" s="6"/>
      <c r="L312" s="4"/>
    </row>
    <row r="313" spans="1:15" x14ac:dyDescent="0.25">
      <c r="C313" s="1"/>
      <c r="D313" s="1"/>
      <c r="E313" s="11"/>
      <c r="G313" s="56"/>
      <c r="H313" s="8"/>
      <c r="I313" s="8"/>
      <c r="J313" s="6"/>
      <c r="L313" s="4"/>
    </row>
    <row r="314" spans="1:15" x14ac:dyDescent="0.25">
      <c r="C314" s="1"/>
      <c r="D314" s="1"/>
      <c r="E314" s="11"/>
      <c r="G314" s="48"/>
      <c r="H314" s="8"/>
      <c r="I314" s="8"/>
      <c r="J314" s="6"/>
      <c r="L314" s="4"/>
    </row>
    <row r="315" spans="1:15" x14ac:dyDescent="0.25">
      <c r="C315" s="1"/>
      <c r="D315" s="1"/>
      <c r="E315" s="11"/>
      <c r="G315" s="48"/>
      <c r="H315" s="8"/>
      <c r="I315" s="8"/>
      <c r="J315" s="6"/>
      <c r="L315" s="4"/>
      <c r="N315" s="43"/>
    </row>
    <row r="316" spans="1:15" x14ac:dyDescent="0.25">
      <c r="C316" s="1"/>
      <c r="D316" s="1"/>
      <c r="E316" s="11"/>
      <c r="G316" s="56"/>
      <c r="H316" s="8"/>
      <c r="I316" s="8"/>
      <c r="J316" s="6"/>
      <c r="L316" s="4"/>
    </row>
    <row r="317" spans="1:15" x14ac:dyDescent="0.25">
      <c r="C317" s="1"/>
      <c r="D317" s="1"/>
      <c r="E317" s="11"/>
      <c r="G317" s="56"/>
      <c r="H317" s="8"/>
      <c r="I317" s="8"/>
      <c r="J317" s="6"/>
      <c r="L317" s="4"/>
    </row>
    <row r="318" spans="1:15" x14ac:dyDescent="0.25">
      <c r="C318" s="1"/>
      <c r="D318" s="1"/>
      <c r="E318" s="11"/>
      <c r="G318" s="66"/>
      <c r="H318" s="8"/>
      <c r="I318" s="8"/>
      <c r="J318" s="6"/>
      <c r="L318" s="4"/>
      <c r="O318" s="3">
        <v>316</v>
      </c>
    </row>
    <row r="319" spans="1:15" x14ac:dyDescent="0.25">
      <c r="A319" s="3">
        <v>4</v>
      </c>
      <c r="B319" s="3" t="s">
        <v>1436</v>
      </c>
      <c r="C319" s="1" t="s">
        <v>1436</v>
      </c>
      <c r="D319" s="1" t="s">
        <v>444</v>
      </c>
      <c r="E319" s="3" t="s">
        <v>144</v>
      </c>
      <c r="F319" s="3" t="s">
        <v>122</v>
      </c>
      <c r="G319" s="56" t="s">
        <v>829</v>
      </c>
      <c r="H319" s="8"/>
      <c r="I319" s="8"/>
      <c r="J319" s="6" t="s">
        <v>110</v>
      </c>
      <c r="K319" s="38">
        <v>1151000</v>
      </c>
      <c r="L319" s="4" t="s">
        <v>29</v>
      </c>
      <c r="M319" s="11">
        <f>_xlfn.NUMBERVALUE(LEFT(Table613612[[#This Row],[Fiscal Year]], 4))</f>
        <v>2015</v>
      </c>
      <c r="N319" s="42">
        <f t="shared" ref="N319:N331" si="9">K319*(1+VLOOKUP(M319,$AF$8:$AH$31,3,0))</f>
        <v>1222056.0379746836</v>
      </c>
      <c r="O319" s="3">
        <v>317</v>
      </c>
    </row>
    <row r="320" spans="1:15" x14ac:dyDescent="0.25">
      <c r="A320" s="3">
        <v>4</v>
      </c>
      <c r="B320" s="3" t="s">
        <v>1436</v>
      </c>
      <c r="C320" s="1" t="s">
        <v>1436</v>
      </c>
      <c r="D320" s="1" t="s">
        <v>444</v>
      </c>
      <c r="E320" s="3" t="s">
        <v>144</v>
      </c>
      <c r="F320" s="3" t="s">
        <v>122</v>
      </c>
      <c r="G320" s="66" t="s">
        <v>844</v>
      </c>
      <c r="H320" s="8"/>
      <c r="I320" s="8"/>
      <c r="J320" s="6" t="s">
        <v>453</v>
      </c>
      <c r="K320" s="38">
        <v>150000</v>
      </c>
      <c r="L320" s="4" t="s">
        <v>29</v>
      </c>
      <c r="M320" s="11">
        <f>_xlfn.NUMBERVALUE(LEFT(Table613612[[#This Row],[Fiscal Year]], 4))</f>
        <v>2015</v>
      </c>
      <c r="N320" s="42">
        <f t="shared" si="9"/>
        <v>159260.12658227846</v>
      </c>
      <c r="O320" s="3">
        <v>318</v>
      </c>
    </row>
    <row r="321" spans="1:15" x14ac:dyDescent="0.25">
      <c r="A321" s="3">
        <v>4</v>
      </c>
      <c r="B321" s="3" t="s">
        <v>1436</v>
      </c>
      <c r="C321" s="1" t="s">
        <v>1436</v>
      </c>
      <c r="D321" s="1" t="s">
        <v>444</v>
      </c>
      <c r="E321" s="3" t="s">
        <v>144</v>
      </c>
      <c r="F321" s="3" t="s">
        <v>122</v>
      </c>
      <c r="G321" s="66" t="s">
        <v>845</v>
      </c>
      <c r="H321" s="8"/>
      <c r="I321" s="8"/>
      <c r="J321" s="6" t="s">
        <v>109</v>
      </c>
      <c r="K321" s="38" t="s">
        <v>827</v>
      </c>
      <c r="L321" s="4" t="s">
        <v>29</v>
      </c>
      <c r="M321" s="11">
        <f>_xlfn.NUMBERVALUE(LEFT(Table613612[[#This Row],[Fiscal Year]], 4))</f>
        <v>2015</v>
      </c>
      <c r="O321" s="3">
        <v>319</v>
      </c>
    </row>
    <row r="322" spans="1:15" x14ac:dyDescent="0.25">
      <c r="A322" s="3">
        <v>4</v>
      </c>
      <c r="B322" s="3" t="s">
        <v>1436</v>
      </c>
      <c r="C322" s="1" t="s">
        <v>1436</v>
      </c>
      <c r="D322" s="1" t="s">
        <v>444</v>
      </c>
      <c r="E322" s="3" t="s">
        <v>144</v>
      </c>
      <c r="F322" s="3" t="s">
        <v>122</v>
      </c>
      <c r="G322" s="66" t="s">
        <v>846</v>
      </c>
      <c r="H322" s="8"/>
      <c r="I322" s="8"/>
      <c r="J322" s="6" t="s">
        <v>111</v>
      </c>
      <c r="K322" s="38" t="s">
        <v>827</v>
      </c>
      <c r="L322" s="4" t="s">
        <v>29</v>
      </c>
      <c r="M322" s="11">
        <f>_xlfn.NUMBERVALUE(LEFT(Table613612[[#This Row],[Fiscal Year]], 4))</f>
        <v>2015</v>
      </c>
      <c r="O322" s="3">
        <v>320</v>
      </c>
    </row>
    <row r="323" spans="1:15" x14ac:dyDescent="0.25">
      <c r="A323" s="3">
        <v>4</v>
      </c>
      <c r="B323" s="3" t="s">
        <v>1436</v>
      </c>
      <c r="C323" s="1" t="s">
        <v>1436</v>
      </c>
      <c r="D323" s="1" t="s">
        <v>444</v>
      </c>
      <c r="E323" s="3" t="s">
        <v>144</v>
      </c>
      <c r="F323" s="3" t="s">
        <v>122</v>
      </c>
      <c r="G323" s="66" t="s">
        <v>847</v>
      </c>
      <c r="H323" s="8"/>
      <c r="I323" s="8"/>
      <c r="J323" s="6" t="s">
        <v>111</v>
      </c>
      <c r="K323" s="38" t="s">
        <v>827</v>
      </c>
      <c r="L323" s="4" t="s">
        <v>29</v>
      </c>
      <c r="M323" s="11">
        <f>_xlfn.NUMBERVALUE(LEFT(Table613612[[#This Row],[Fiscal Year]], 4))</f>
        <v>2015</v>
      </c>
      <c r="O323" s="3">
        <v>321</v>
      </c>
    </row>
    <row r="324" spans="1:15" x14ac:dyDescent="0.25">
      <c r="A324" s="3">
        <v>4</v>
      </c>
      <c r="B324" s="3" t="s">
        <v>1436</v>
      </c>
      <c r="C324" s="1" t="s">
        <v>1436</v>
      </c>
      <c r="D324" s="1" t="s">
        <v>444</v>
      </c>
      <c r="E324" s="3" t="s">
        <v>144</v>
      </c>
      <c r="F324" s="3" t="s">
        <v>122</v>
      </c>
      <c r="G324" s="48" t="s">
        <v>848</v>
      </c>
      <c r="H324" s="8"/>
      <c r="I324" s="8"/>
      <c r="J324" s="6" t="s">
        <v>108</v>
      </c>
      <c r="K324" s="38">
        <v>10059000</v>
      </c>
      <c r="L324" s="4" t="s">
        <v>29</v>
      </c>
      <c r="M324" s="11">
        <f>_xlfn.NUMBERVALUE(LEFT(Table613612[[#This Row],[Fiscal Year]], 4))</f>
        <v>2015</v>
      </c>
      <c r="N324" s="42">
        <f t="shared" si="9"/>
        <v>10679984.088607594</v>
      </c>
      <c r="O324" s="3">
        <v>322</v>
      </c>
    </row>
    <row r="325" spans="1:15" x14ac:dyDescent="0.25">
      <c r="A325" s="3">
        <v>4</v>
      </c>
      <c r="B325" s="3" t="s">
        <v>1436</v>
      </c>
      <c r="C325" s="1" t="s">
        <v>1436</v>
      </c>
      <c r="D325" s="1" t="s">
        <v>444</v>
      </c>
      <c r="E325" s="3" t="s">
        <v>144</v>
      </c>
      <c r="F325" s="3" t="s">
        <v>122</v>
      </c>
      <c r="G325" s="66" t="s">
        <v>849</v>
      </c>
      <c r="H325" s="8"/>
      <c r="I325" s="8"/>
      <c r="J325" s="6" t="s">
        <v>106</v>
      </c>
      <c r="K325" s="38">
        <v>2845000</v>
      </c>
      <c r="L325" s="4" t="s">
        <v>29</v>
      </c>
      <c r="M325" s="11">
        <f>_xlfn.NUMBERVALUE(LEFT(Table613612[[#This Row],[Fiscal Year]], 4))</f>
        <v>2015</v>
      </c>
      <c r="N325" s="42">
        <f t="shared" si="9"/>
        <v>3020633.734177215</v>
      </c>
      <c r="O325" s="3">
        <v>323</v>
      </c>
    </row>
    <row r="326" spans="1:15" x14ac:dyDescent="0.25">
      <c r="A326" s="3">
        <v>4</v>
      </c>
      <c r="B326" s="3" t="s">
        <v>1436</v>
      </c>
      <c r="C326" s="1" t="s">
        <v>1436</v>
      </c>
      <c r="D326" s="1" t="s">
        <v>444</v>
      </c>
      <c r="E326" s="3" t="s">
        <v>144</v>
      </c>
      <c r="F326" s="3" t="s">
        <v>122</v>
      </c>
      <c r="G326" s="66" t="s">
        <v>850</v>
      </c>
      <c r="H326" s="8" t="s">
        <v>621</v>
      </c>
      <c r="I326" s="70" t="s">
        <v>622</v>
      </c>
      <c r="J326" s="6" t="s">
        <v>455</v>
      </c>
      <c r="K326" s="38" t="s">
        <v>827</v>
      </c>
      <c r="L326" s="4" t="s">
        <v>29</v>
      </c>
      <c r="M326" s="11">
        <f>_xlfn.NUMBERVALUE(LEFT(Table613612[[#This Row],[Fiscal Year]], 4))</f>
        <v>2015</v>
      </c>
      <c r="O326" s="3">
        <v>324</v>
      </c>
    </row>
    <row r="327" spans="1:15" x14ac:dyDescent="0.25">
      <c r="A327" s="3">
        <v>4</v>
      </c>
      <c r="B327" s="3" t="s">
        <v>1436</v>
      </c>
      <c r="C327" s="1" t="s">
        <v>1436</v>
      </c>
      <c r="D327" s="1" t="s">
        <v>444</v>
      </c>
      <c r="E327" s="3" t="s">
        <v>144</v>
      </c>
      <c r="F327" s="3" t="s">
        <v>122</v>
      </c>
      <c r="G327" s="66" t="s">
        <v>851</v>
      </c>
      <c r="H327" s="8"/>
      <c r="I327" s="8"/>
      <c r="J327" s="6" t="s">
        <v>76</v>
      </c>
      <c r="K327" s="38" t="s">
        <v>827</v>
      </c>
      <c r="L327" s="4" t="s">
        <v>29</v>
      </c>
      <c r="M327" s="11">
        <f>_xlfn.NUMBERVALUE(LEFT(Table613612[[#This Row],[Fiscal Year]], 4))</f>
        <v>2015</v>
      </c>
      <c r="O327" s="3">
        <v>325</v>
      </c>
    </row>
    <row r="328" spans="1:15" x14ac:dyDescent="0.25">
      <c r="A328" s="3">
        <v>4</v>
      </c>
      <c r="B328" s="3" t="s">
        <v>1436</v>
      </c>
      <c r="C328" s="1" t="s">
        <v>1436</v>
      </c>
      <c r="D328" s="1" t="s">
        <v>444</v>
      </c>
      <c r="E328" s="3" t="s">
        <v>144</v>
      </c>
      <c r="F328" s="3" t="s">
        <v>122</v>
      </c>
      <c r="G328" s="66" t="s">
        <v>852</v>
      </c>
      <c r="H328" s="8"/>
      <c r="I328" s="8"/>
      <c r="J328" s="6" t="s">
        <v>76</v>
      </c>
      <c r="K328" s="38">
        <v>4144000</v>
      </c>
      <c r="L328" s="4" t="s">
        <v>29</v>
      </c>
      <c r="M328" s="11">
        <f>_xlfn.NUMBERVALUE(LEFT(Table613612[[#This Row],[Fiscal Year]], 4))</f>
        <v>2015</v>
      </c>
      <c r="N328" s="42">
        <f t="shared" si="9"/>
        <v>4399826.4303797465</v>
      </c>
      <c r="O328" s="3">
        <v>326</v>
      </c>
    </row>
    <row r="329" spans="1:15" x14ac:dyDescent="0.25">
      <c r="A329" s="3">
        <v>4</v>
      </c>
      <c r="B329" s="3" t="s">
        <v>1436</v>
      </c>
      <c r="C329" s="1" t="s">
        <v>1436</v>
      </c>
      <c r="D329" s="1" t="s">
        <v>444</v>
      </c>
      <c r="E329" s="3" t="s">
        <v>144</v>
      </c>
      <c r="F329" s="3" t="s">
        <v>122</v>
      </c>
      <c r="G329" s="66" t="s">
        <v>853</v>
      </c>
      <c r="H329" s="8"/>
      <c r="I329" s="8"/>
      <c r="J329" s="6" t="s">
        <v>76</v>
      </c>
      <c r="K329" s="38" t="s">
        <v>827</v>
      </c>
      <c r="L329" s="4" t="s">
        <v>29</v>
      </c>
      <c r="M329" s="11">
        <f>_xlfn.NUMBERVALUE(LEFT(Table613612[[#This Row],[Fiscal Year]], 4))</f>
        <v>2015</v>
      </c>
      <c r="O329" s="3">
        <v>327</v>
      </c>
    </row>
    <row r="330" spans="1:15" x14ac:dyDescent="0.25">
      <c r="A330" s="3">
        <v>4</v>
      </c>
      <c r="B330" s="3" t="s">
        <v>1436</v>
      </c>
      <c r="C330" s="1" t="s">
        <v>1436</v>
      </c>
      <c r="D330" s="1" t="s">
        <v>444</v>
      </c>
      <c r="E330" s="3" t="s">
        <v>144</v>
      </c>
      <c r="F330" s="3" t="s">
        <v>122</v>
      </c>
      <c r="G330" s="63" t="s">
        <v>854</v>
      </c>
      <c r="H330" s="8"/>
      <c r="I330" s="8"/>
      <c r="J330" s="6" t="s">
        <v>47</v>
      </c>
      <c r="K330" s="38">
        <v>2816000</v>
      </c>
      <c r="L330" s="4" t="s">
        <v>29</v>
      </c>
      <c r="M330" s="11">
        <f>_xlfn.NUMBERVALUE(LEFT(Table613612[[#This Row],[Fiscal Year]], 4))</f>
        <v>2015</v>
      </c>
      <c r="N330" s="42">
        <f t="shared" si="9"/>
        <v>2989843.4430379746</v>
      </c>
      <c r="O330" s="3">
        <v>328</v>
      </c>
    </row>
    <row r="331" spans="1:15" x14ac:dyDescent="0.25">
      <c r="A331" s="3">
        <v>4</v>
      </c>
      <c r="B331" s="3" t="s">
        <v>1436</v>
      </c>
      <c r="C331" s="1" t="s">
        <v>1436</v>
      </c>
      <c r="D331" s="1" t="s">
        <v>444</v>
      </c>
      <c r="E331" s="3" t="s">
        <v>144</v>
      </c>
      <c r="F331" s="3" t="s">
        <v>122</v>
      </c>
      <c r="G331" s="63" t="s">
        <v>855</v>
      </c>
      <c r="H331" s="8"/>
      <c r="I331" s="8"/>
      <c r="J331" s="6" t="s">
        <v>455</v>
      </c>
      <c r="K331" s="38">
        <v>560000</v>
      </c>
      <c r="L331" s="4" t="s">
        <v>29</v>
      </c>
      <c r="M331" s="11">
        <f>_xlfn.NUMBERVALUE(LEFT(Table613612[[#This Row],[Fiscal Year]], 4))</f>
        <v>2015</v>
      </c>
      <c r="N331" s="42">
        <f t="shared" si="9"/>
        <v>594571.13924050634</v>
      </c>
      <c r="O331" s="3">
        <v>329</v>
      </c>
    </row>
    <row r="332" spans="1:15" x14ac:dyDescent="0.25">
      <c r="C332" s="1"/>
      <c r="D332" s="1"/>
      <c r="E332" s="11"/>
      <c r="G332" s="66"/>
      <c r="H332" s="8"/>
      <c r="I332" s="8"/>
      <c r="J332" s="6"/>
      <c r="L332" s="4"/>
      <c r="O332" s="3">
        <v>330</v>
      </c>
    </row>
    <row r="333" spans="1:15" x14ac:dyDescent="0.25">
      <c r="A333" s="3">
        <v>4</v>
      </c>
      <c r="B333" s="3" t="s">
        <v>1437</v>
      </c>
      <c r="C333" s="1" t="s">
        <v>1437</v>
      </c>
      <c r="D333" s="1" t="s">
        <v>444</v>
      </c>
      <c r="E333" s="11" t="s">
        <v>144</v>
      </c>
      <c r="F333" s="3" t="s">
        <v>8</v>
      </c>
      <c r="G333" s="48" t="s">
        <v>32</v>
      </c>
      <c r="H333" s="8"/>
      <c r="I333" s="8"/>
      <c r="J333" s="6" t="s">
        <v>110</v>
      </c>
      <c r="K333" s="38">
        <v>11052911.720000001</v>
      </c>
      <c r="L333" s="4" t="s">
        <v>29</v>
      </c>
      <c r="M333" s="11">
        <f>_xlfn.NUMBERVALUE(LEFT(Table613612[[#This Row],[Fiscal Year]], 4))</f>
        <v>2015</v>
      </c>
      <c r="N333" s="42">
        <f t="shared" ref="N333:N381" si="10">K333*(1+VLOOKUP(M333,$AF$8:$AH$31,3,0))</f>
        <v>11735254.130866328</v>
      </c>
      <c r="O333" s="3">
        <v>331</v>
      </c>
    </row>
    <row r="334" spans="1:15" x14ac:dyDescent="0.25">
      <c r="A334" s="3">
        <v>4</v>
      </c>
      <c r="B334" s="3" t="s">
        <v>1437</v>
      </c>
      <c r="C334" s="1" t="s">
        <v>1437</v>
      </c>
      <c r="D334" s="1" t="s">
        <v>444</v>
      </c>
      <c r="E334" s="11" t="s">
        <v>144</v>
      </c>
      <c r="F334" s="3" t="s">
        <v>8</v>
      </c>
      <c r="G334" s="66" t="s">
        <v>58</v>
      </c>
      <c r="H334" s="8"/>
      <c r="I334" s="8"/>
      <c r="J334" s="6" t="s">
        <v>453</v>
      </c>
      <c r="K334" s="38">
        <v>1339273.0900000001</v>
      </c>
      <c r="L334" s="4" t="s">
        <v>29</v>
      </c>
      <c r="M334" s="11">
        <f>_xlfn.NUMBERVALUE(LEFT(Table613612[[#This Row],[Fiscal Year]], 4))</f>
        <v>2015</v>
      </c>
      <c r="N334" s="42">
        <f t="shared" si="10"/>
        <v>1421952.012277595</v>
      </c>
      <c r="O334" s="3">
        <v>332</v>
      </c>
    </row>
    <row r="335" spans="1:15" x14ac:dyDescent="0.25">
      <c r="A335" s="3">
        <v>4</v>
      </c>
      <c r="B335" s="3" t="s">
        <v>1437</v>
      </c>
      <c r="C335" s="1" t="s">
        <v>1437</v>
      </c>
      <c r="D335" s="1" t="s">
        <v>444</v>
      </c>
      <c r="E335" s="11" t="s">
        <v>144</v>
      </c>
      <c r="F335" s="3" t="s">
        <v>8</v>
      </c>
      <c r="G335" s="66" t="s">
        <v>208</v>
      </c>
      <c r="H335" s="8"/>
      <c r="I335" s="8"/>
      <c r="J335" s="6" t="s">
        <v>109</v>
      </c>
      <c r="K335" s="38">
        <v>3333767.19</v>
      </c>
      <c r="L335" s="4" t="s">
        <v>29</v>
      </c>
      <c r="M335" s="11">
        <f>_xlfn.NUMBERVALUE(LEFT(Table613612[[#This Row],[Fiscal Year]], 4))</f>
        <v>2015</v>
      </c>
      <c r="N335" s="42">
        <f t="shared" si="10"/>
        <v>3539574.5645016455</v>
      </c>
      <c r="O335" s="3">
        <v>333</v>
      </c>
    </row>
    <row r="336" spans="1:15" x14ac:dyDescent="0.25">
      <c r="A336" s="3">
        <v>4</v>
      </c>
      <c r="B336" s="3" t="s">
        <v>1437</v>
      </c>
      <c r="C336" s="1" t="s">
        <v>1437</v>
      </c>
      <c r="D336" s="1" t="s">
        <v>444</v>
      </c>
      <c r="E336" s="11" t="s">
        <v>144</v>
      </c>
      <c r="F336" s="3" t="s">
        <v>8</v>
      </c>
      <c r="G336" s="66" t="s">
        <v>59</v>
      </c>
      <c r="H336" s="8"/>
      <c r="I336" s="8"/>
      <c r="J336" s="6" t="s">
        <v>111</v>
      </c>
      <c r="K336" s="38">
        <v>1705731.55</v>
      </c>
      <c r="L336" s="4" t="s">
        <v>29</v>
      </c>
      <c r="M336" s="11">
        <f>_xlfn.NUMBERVALUE(LEFT(Table613612[[#This Row],[Fiscal Year]], 4))</f>
        <v>2015</v>
      </c>
      <c r="N336" s="42">
        <f t="shared" si="10"/>
        <v>1811033.4837892405</v>
      </c>
      <c r="O336" s="3">
        <v>334</v>
      </c>
    </row>
    <row r="337" spans="1:15" x14ac:dyDescent="0.25">
      <c r="A337" s="3">
        <v>4</v>
      </c>
      <c r="B337" s="3" t="s">
        <v>1437</v>
      </c>
      <c r="C337" s="1" t="s">
        <v>1437</v>
      </c>
      <c r="D337" s="1" t="s">
        <v>444</v>
      </c>
      <c r="E337" s="11" t="s">
        <v>144</v>
      </c>
      <c r="F337" s="3" t="s">
        <v>8</v>
      </c>
      <c r="G337" s="66" t="s">
        <v>60</v>
      </c>
      <c r="H337" s="8"/>
      <c r="I337" s="8"/>
      <c r="J337" s="6" t="s">
        <v>111</v>
      </c>
      <c r="K337" s="38">
        <v>597887.38</v>
      </c>
      <c r="L337" s="4" t="s">
        <v>29</v>
      </c>
      <c r="M337" s="11">
        <f>_xlfn.NUMBERVALUE(LEFT(Table613612[[#This Row],[Fiscal Year]], 4))</f>
        <v>2015</v>
      </c>
      <c r="N337" s="42">
        <f t="shared" si="10"/>
        <v>634797.46547164558</v>
      </c>
      <c r="O337" s="3">
        <v>335</v>
      </c>
    </row>
    <row r="338" spans="1:15" x14ac:dyDescent="0.25">
      <c r="A338" s="3">
        <v>4</v>
      </c>
      <c r="B338" s="3" t="s">
        <v>1437</v>
      </c>
      <c r="C338" s="1" t="s">
        <v>1437</v>
      </c>
      <c r="D338" s="1" t="s">
        <v>444</v>
      </c>
      <c r="E338" s="11" t="s">
        <v>144</v>
      </c>
      <c r="F338" s="3" t="s">
        <v>8</v>
      </c>
      <c r="G338" s="48" t="s">
        <v>61</v>
      </c>
      <c r="H338" s="8"/>
      <c r="I338" s="8"/>
      <c r="J338" s="6" t="s">
        <v>108</v>
      </c>
      <c r="K338" s="38">
        <v>10015091.380000001</v>
      </c>
      <c r="L338" s="4" t="s">
        <v>29</v>
      </c>
      <c r="M338" s="11">
        <f>_xlfn.NUMBERVALUE(LEFT(Table613612[[#This Row],[Fiscal Year]], 4))</f>
        <v>2015</v>
      </c>
      <c r="N338" s="42">
        <f t="shared" si="10"/>
        <v>10633364.806079241</v>
      </c>
      <c r="O338" s="3">
        <v>336</v>
      </c>
    </row>
    <row r="339" spans="1:15" x14ac:dyDescent="0.25">
      <c r="A339" s="3">
        <v>4</v>
      </c>
      <c r="B339" s="3" t="s">
        <v>1437</v>
      </c>
      <c r="C339" s="1" t="s">
        <v>1437</v>
      </c>
      <c r="D339" s="1" t="s">
        <v>444</v>
      </c>
      <c r="E339" s="11" t="s">
        <v>144</v>
      </c>
      <c r="F339" s="3" t="s">
        <v>8</v>
      </c>
      <c r="G339" s="66" t="s">
        <v>62</v>
      </c>
      <c r="H339" s="8"/>
      <c r="I339" s="8"/>
      <c r="J339" s="6" t="s">
        <v>106</v>
      </c>
      <c r="K339" s="38">
        <v>1282218.1499999999</v>
      </c>
      <c r="L339" s="4" t="s">
        <v>29</v>
      </c>
      <c r="M339" s="11">
        <f>_xlfn.NUMBERVALUE(LEFT(Table613612[[#This Row],[Fiscal Year]], 4))</f>
        <v>2015</v>
      </c>
      <c r="N339" s="42">
        <f t="shared" si="10"/>
        <v>1361374.8325006326</v>
      </c>
      <c r="O339" s="3">
        <v>337</v>
      </c>
    </row>
    <row r="340" spans="1:15" x14ac:dyDescent="0.25">
      <c r="A340" s="3">
        <v>4</v>
      </c>
      <c r="B340" s="3" t="s">
        <v>1437</v>
      </c>
      <c r="C340" s="1" t="s">
        <v>1437</v>
      </c>
      <c r="D340" s="1" t="s">
        <v>444</v>
      </c>
      <c r="E340" s="11" t="s">
        <v>144</v>
      </c>
      <c r="F340" s="3" t="s">
        <v>8</v>
      </c>
      <c r="G340" s="66" t="s">
        <v>63</v>
      </c>
      <c r="H340" s="8"/>
      <c r="I340" s="8"/>
      <c r="J340" s="6" t="s">
        <v>455</v>
      </c>
      <c r="K340" s="38">
        <v>9447772</v>
      </c>
      <c r="L340" s="4" t="s">
        <v>29</v>
      </c>
      <c r="M340" s="11">
        <f>_xlfn.NUMBERVALUE(LEFT(Table613612[[#This Row],[Fiscal Year]], 4))</f>
        <v>2015</v>
      </c>
      <c r="N340" s="42">
        <f t="shared" si="10"/>
        <v>10031022.430936709</v>
      </c>
      <c r="O340" s="3">
        <v>338</v>
      </c>
    </row>
    <row r="341" spans="1:15" x14ac:dyDescent="0.25">
      <c r="A341" s="3">
        <v>4</v>
      </c>
      <c r="B341" s="3" t="s">
        <v>1437</v>
      </c>
      <c r="C341" s="1" t="s">
        <v>1437</v>
      </c>
      <c r="D341" s="1" t="s">
        <v>444</v>
      </c>
      <c r="E341" s="11" t="s">
        <v>144</v>
      </c>
      <c r="F341" s="3" t="s">
        <v>8</v>
      </c>
      <c r="G341" s="66" t="s">
        <v>64</v>
      </c>
      <c r="H341" s="8"/>
      <c r="I341" s="8"/>
      <c r="J341" s="6" t="s">
        <v>76</v>
      </c>
      <c r="K341" s="38">
        <v>690360.03</v>
      </c>
      <c r="L341" s="4" t="s">
        <v>29</v>
      </c>
      <c r="M341" s="11">
        <f>_xlfn.NUMBERVALUE(LEFT(Table613612[[#This Row],[Fiscal Year]], 4))</f>
        <v>2015</v>
      </c>
      <c r="N341" s="42">
        <f t="shared" si="10"/>
        <v>732978.83843430376</v>
      </c>
      <c r="O341" s="3">
        <v>339</v>
      </c>
    </row>
    <row r="342" spans="1:15" x14ac:dyDescent="0.25">
      <c r="A342" s="3">
        <v>4</v>
      </c>
      <c r="B342" s="3" t="s">
        <v>1437</v>
      </c>
      <c r="C342" s="1" t="s">
        <v>1437</v>
      </c>
      <c r="D342" s="1" t="s">
        <v>444</v>
      </c>
      <c r="E342" s="11" t="s">
        <v>144</v>
      </c>
      <c r="F342" s="3" t="s">
        <v>8</v>
      </c>
      <c r="G342" s="66" t="s">
        <v>65</v>
      </c>
      <c r="H342" s="8"/>
      <c r="I342" s="8"/>
      <c r="J342" s="6" t="s">
        <v>76</v>
      </c>
      <c r="K342" s="38">
        <v>41556783.710000001</v>
      </c>
      <c r="L342" s="4" t="s">
        <v>29</v>
      </c>
      <c r="M342" s="11">
        <f>_xlfn.NUMBERVALUE(LEFT(Table613612[[#This Row],[Fiscal Year]], 4))</f>
        <v>2015</v>
      </c>
      <c r="N342" s="42">
        <f t="shared" si="10"/>
        <v>44122257.560046457</v>
      </c>
      <c r="O342" s="3">
        <v>340</v>
      </c>
    </row>
    <row r="343" spans="1:15" x14ac:dyDescent="0.25">
      <c r="A343" s="3">
        <v>4</v>
      </c>
      <c r="B343" s="3" t="s">
        <v>1437</v>
      </c>
      <c r="C343" s="1" t="s">
        <v>1437</v>
      </c>
      <c r="D343" s="1" t="s">
        <v>444</v>
      </c>
      <c r="E343" s="11" t="s">
        <v>144</v>
      </c>
      <c r="F343" s="3" t="s">
        <v>8</v>
      </c>
      <c r="G343" s="66" t="s">
        <v>66</v>
      </c>
      <c r="H343" s="8"/>
      <c r="I343" s="8"/>
      <c r="J343" s="6" t="s">
        <v>76</v>
      </c>
      <c r="K343" s="38" t="s">
        <v>827</v>
      </c>
      <c r="L343" s="4" t="s">
        <v>29</v>
      </c>
      <c r="M343" s="11">
        <f>_xlfn.NUMBERVALUE(LEFT(Table613612[[#This Row],[Fiscal Year]], 4))</f>
        <v>2015</v>
      </c>
      <c r="O343" s="3">
        <v>341</v>
      </c>
    </row>
    <row r="344" spans="1:15" x14ac:dyDescent="0.25">
      <c r="A344" s="3">
        <v>4</v>
      </c>
      <c r="B344" s="3" t="s">
        <v>1437</v>
      </c>
      <c r="C344" s="1" t="s">
        <v>1437</v>
      </c>
      <c r="D344" s="1" t="s">
        <v>444</v>
      </c>
      <c r="E344" s="11" t="s">
        <v>144</v>
      </c>
      <c r="F344" s="3" t="s">
        <v>8</v>
      </c>
      <c r="G344" s="66" t="s">
        <v>33</v>
      </c>
      <c r="H344" s="8"/>
      <c r="I344" s="8"/>
      <c r="J344" s="6" t="s">
        <v>47</v>
      </c>
      <c r="K344" s="38">
        <v>2120255.39</v>
      </c>
      <c r="L344" s="4" t="s">
        <v>29</v>
      </c>
      <c r="M344" s="11">
        <f>_xlfn.NUMBERVALUE(LEFT(Table613612[[#This Row],[Fiscal Year]], 4))</f>
        <v>2015</v>
      </c>
      <c r="N344" s="42">
        <f t="shared" si="10"/>
        <v>2251147.6119877216</v>
      </c>
      <c r="O344" s="3">
        <v>342</v>
      </c>
    </row>
    <row r="345" spans="1:15" x14ac:dyDescent="0.25">
      <c r="A345" s="3">
        <v>4</v>
      </c>
      <c r="B345" s="3" t="s">
        <v>1437</v>
      </c>
      <c r="C345" s="1" t="s">
        <v>1437</v>
      </c>
      <c r="D345" s="1" t="s">
        <v>444</v>
      </c>
      <c r="E345" s="11" t="s">
        <v>144</v>
      </c>
      <c r="F345" s="3" t="s">
        <v>8</v>
      </c>
      <c r="G345" s="48" t="s">
        <v>67</v>
      </c>
      <c r="H345" s="8"/>
      <c r="I345" s="8" t="s">
        <v>856</v>
      </c>
      <c r="J345" s="6" t="s">
        <v>455</v>
      </c>
      <c r="K345" s="38">
        <v>122500</v>
      </c>
      <c r="L345" s="4" t="s">
        <v>29</v>
      </c>
      <c r="M345" s="11">
        <f>_xlfn.NUMBERVALUE(LEFT(Table613612[[#This Row],[Fiscal Year]], 4))</f>
        <v>2015</v>
      </c>
      <c r="N345" s="42">
        <f t="shared" si="10"/>
        <v>130062.43670886075</v>
      </c>
      <c r="O345" s="3">
        <v>343</v>
      </c>
    </row>
    <row r="346" spans="1:15" x14ac:dyDescent="0.25">
      <c r="C346" s="1"/>
      <c r="D346" s="1"/>
      <c r="E346" s="11"/>
      <c r="G346" s="66"/>
      <c r="H346" s="8"/>
      <c r="I346" s="8"/>
      <c r="J346" s="6"/>
      <c r="L346" s="4"/>
      <c r="O346" s="3">
        <v>344</v>
      </c>
    </row>
    <row r="347" spans="1:15" ht="15" customHeight="1" x14ac:dyDescent="0.25">
      <c r="A347" s="3">
        <v>4</v>
      </c>
      <c r="B347" s="3" t="s">
        <v>218</v>
      </c>
      <c r="C347" s="1" t="s">
        <v>12</v>
      </c>
      <c r="D347" s="1" t="s">
        <v>444</v>
      </c>
      <c r="E347" s="11" t="s">
        <v>144</v>
      </c>
      <c r="F347" s="3" t="s">
        <v>8</v>
      </c>
      <c r="G347" s="48" t="s">
        <v>32</v>
      </c>
      <c r="H347" s="8"/>
      <c r="I347" s="8"/>
      <c r="J347" s="6" t="s">
        <v>110</v>
      </c>
      <c r="K347" s="38">
        <v>69016.820000000007</v>
      </c>
      <c r="L347" s="4" t="s">
        <v>29</v>
      </c>
      <c r="M347" s="11">
        <f>_xlfn.NUMBERVALUE(LEFT(Table613612[[#This Row],[Fiscal Year]], 4))</f>
        <v>2015</v>
      </c>
      <c r="N347" s="42">
        <f t="shared" si="10"/>
        <v>73277.516596708869</v>
      </c>
      <c r="O347" s="3">
        <v>345</v>
      </c>
    </row>
    <row r="348" spans="1:15" ht="15" customHeight="1" x14ac:dyDescent="0.25">
      <c r="A348" s="3">
        <v>4</v>
      </c>
      <c r="B348" s="3" t="s">
        <v>218</v>
      </c>
      <c r="C348" s="1" t="s">
        <v>12</v>
      </c>
      <c r="D348" s="1" t="s">
        <v>444</v>
      </c>
      <c r="E348" s="11" t="s">
        <v>144</v>
      </c>
      <c r="F348" s="3" t="s">
        <v>8</v>
      </c>
      <c r="G348" s="66" t="s">
        <v>58</v>
      </c>
      <c r="H348" s="8"/>
      <c r="I348" s="8"/>
      <c r="J348" s="6" t="s">
        <v>453</v>
      </c>
      <c r="K348" s="38">
        <v>16175.62</v>
      </c>
      <c r="L348" s="4" t="s">
        <v>29</v>
      </c>
      <c r="M348" s="11">
        <f>_xlfn.NUMBERVALUE(LEFT(Table613612[[#This Row],[Fiscal Year]], 4))</f>
        <v>2015</v>
      </c>
      <c r="N348" s="42">
        <f t="shared" si="10"/>
        <v>17174.208591645569</v>
      </c>
      <c r="O348" s="3">
        <v>346</v>
      </c>
    </row>
    <row r="349" spans="1:15" ht="15" customHeight="1" x14ac:dyDescent="0.25">
      <c r="A349" s="3">
        <v>4</v>
      </c>
      <c r="B349" s="3" t="s">
        <v>218</v>
      </c>
      <c r="C349" s="1" t="s">
        <v>12</v>
      </c>
      <c r="D349" s="1" t="s">
        <v>444</v>
      </c>
      <c r="E349" s="11" t="s">
        <v>144</v>
      </c>
      <c r="F349" s="3" t="s">
        <v>8</v>
      </c>
      <c r="G349" s="66" t="s">
        <v>208</v>
      </c>
      <c r="H349" s="8"/>
      <c r="I349" s="8"/>
      <c r="J349" s="6" t="s">
        <v>109</v>
      </c>
      <c r="K349" s="38">
        <v>38685.25</v>
      </c>
      <c r="L349" s="4" t="s">
        <v>29</v>
      </c>
      <c r="M349" s="11">
        <f>_xlfn.NUMBERVALUE(LEFT(Table613612[[#This Row],[Fiscal Year]], 4))</f>
        <v>2015</v>
      </c>
      <c r="N349" s="42">
        <f t="shared" si="10"/>
        <v>41073.452079113922</v>
      </c>
      <c r="O349" s="3">
        <v>347</v>
      </c>
    </row>
    <row r="350" spans="1:15" ht="15" customHeight="1" x14ac:dyDescent="0.25">
      <c r="A350" s="3">
        <v>4</v>
      </c>
      <c r="B350" s="3" t="s">
        <v>218</v>
      </c>
      <c r="C350" s="1" t="s">
        <v>12</v>
      </c>
      <c r="D350" s="1" t="s">
        <v>444</v>
      </c>
      <c r="E350" s="11" t="s">
        <v>144</v>
      </c>
      <c r="F350" s="3" t="s">
        <v>8</v>
      </c>
      <c r="G350" s="66" t="s">
        <v>59</v>
      </c>
      <c r="H350" s="8"/>
      <c r="I350" s="8"/>
      <c r="J350" s="6" t="s">
        <v>111</v>
      </c>
      <c r="K350" s="38">
        <v>47819.01</v>
      </c>
      <c r="L350" s="4" t="s">
        <v>29</v>
      </c>
      <c r="M350" s="11">
        <f>_xlfn.NUMBERVALUE(LEFT(Table613612[[#This Row],[Fiscal Year]], 4))</f>
        <v>2015</v>
      </c>
      <c r="N350" s="42">
        <f t="shared" si="10"/>
        <v>50771.077237594938</v>
      </c>
      <c r="O350" s="3">
        <v>348</v>
      </c>
    </row>
    <row r="351" spans="1:15" ht="15" customHeight="1" x14ac:dyDescent="0.25">
      <c r="A351" s="3">
        <v>4</v>
      </c>
      <c r="B351" s="3" t="s">
        <v>218</v>
      </c>
      <c r="C351" s="1" t="s">
        <v>12</v>
      </c>
      <c r="D351" s="1" t="s">
        <v>444</v>
      </c>
      <c r="E351" s="11" t="s">
        <v>144</v>
      </c>
      <c r="F351" s="3" t="s">
        <v>8</v>
      </c>
      <c r="G351" s="66" t="s">
        <v>60</v>
      </c>
      <c r="H351" s="8"/>
      <c r="I351" s="8"/>
      <c r="J351" s="6" t="s">
        <v>111</v>
      </c>
      <c r="K351" s="38">
        <v>32481.94</v>
      </c>
      <c r="L351" s="4" t="s">
        <v>29</v>
      </c>
      <c r="M351" s="11">
        <f>_xlfn.NUMBERVALUE(LEFT(Table613612[[#This Row],[Fiscal Year]], 4))</f>
        <v>2015</v>
      </c>
      <c r="N351" s="42">
        <f t="shared" si="10"/>
        <v>34487.185840253158</v>
      </c>
      <c r="O351" s="3">
        <v>349</v>
      </c>
    </row>
    <row r="352" spans="1:15" ht="15" customHeight="1" x14ac:dyDescent="0.25">
      <c r="A352" s="3">
        <v>4</v>
      </c>
      <c r="B352" s="3" t="s">
        <v>218</v>
      </c>
      <c r="C352" s="1" t="s">
        <v>12</v>
      </c>
      <c r="D352" s="1" t="s">
        <v>444</v>
      </c>
      <c r="E352" s="11" t="s">
        <v>144</v>
      </c>
      <c r="F352" s="3" t="s">
        <v>8</v>
      </c>
      <c r="G352" s="48" t="s">
        <v>61</v>
      </c>
      <c r="H352" s="8"/>
      <c r="I352" s="8"/>
      <c r="J352" s="6" t="s">
        <v>108</v>
      </c>
      <c r="K352" s="38">
        <v>559577.98</v>
      </c>
      <c r="L352" s="4" t="s">
        <v>29</v>
      </c>
      <c r="M352" s="11">
        <f>_xlfn.NUMBERVALUE(LEFT(Table613612[[#This Row],[Fiscal Year]], 4))</f>
        <v>2015</v>
      </c>
      <c r="N352" s="42">
        <f t="shared" si="10"/>
        <v>594123.06618303794</v>
      </c>
      <c r="O352" s="3">
        <v>350</v>
      </c>
    </row>
    <row r="353" spans="1:15" ht="15" customHeight="1" x14ac:dyDescent="0.25">
      <c r="A353" s="3">
        <v>4</v>
      </c>
      <c r="B353" s="3" t="s">
        <v>218</v>
      </c>
      <c r="C353" s="1" t="s">
        <v>12</v>
      </c>
      <c r="D353" s="1" t="s">
        <v>444</v>
      </c>
      <c r="E353" s="11" t="s">
        <v>144</v>
      </c>
      <c r="F353" s="3" t="s">
        <v>8</v>
      </c>
      <c r="G353" s="66" t="s">
        <v>62</v>
      </c>
      <c r="H353" s="8"/>
      <c r="I353" s="8"/>
      <c r="J353" s="6" t="s">
        <v>106</v>
      </c>
      <c r="K353" s="38">
        <v>50850.83</v>
      </c>
      <c r="L353" s="4" t="s">
        <v>29</v>
      </c>
      <c r="M353" s="11">
        <f>_xlfn.NUMBERVALUE(LEFT(Table613612[[#This Row],[Fiscal Year]], 4))</f>
        <v>2015</v>
      </c>
      <c r="N353" s="42">
        <f t="shared" si="10"/>
        <v>53990.064150759492</v>
      </c>
      <c r="O353" s="3">
        <v>351</v>
      </c>
    </row>
    <row r="354" spans="1:15" ht="15" customHeight="1" x14ac:dyDescent="0.25">
      <c r="A354" s="3">
        <v>4</v>
      </c>
      <c r="B354" s="3" t="s">
        <v>218</v>
      </c>
      <c r="C354" s="1" t="s">
        <v>12</v>
      </c>
      <c r="D354" s="1" t="s">
        <v>444</v>
      </c>
      <c r="E354" s="11" t="s">
        <v>144</v>
      </c>
      <c r="F354" s="3" t="s">
        <v>8</v>
      </c>
      <c r="G354" s="66" t="s">
        <v>211</v>
      </c>
      <c r="H354" s="8"/>
      <c r="I354" s="8"/>
      <c r="J354" s="6" t="s">
        <v>455</v>
      </c>
      <c r="K354" s="38">
        <v>989597.5</v>
      </c>
      <c r="L354" s="4" t="s">
        <v>29</v>
      </c>
      <c r="M354" s="11">
        <f>_xlfn.NUMBERVALUE(LEFT(Table613612[[#This Row],[Fiscal Year]], 4))</f>
        <v>2015</v>
      </c>
      <c r="N354" s="42">
        <f t="shared" si="10"/>
        <v>1050689.4874367088</v>
      </c>
      <c r="O354" s="3">
        <v>352</v>
      </c>
    </row>
    <row r="355" spans="1:15" ht="15" customHeight="1" x14ac:dyDescent="0.25">
      <c r="A355" s="3">
        <v>4</v>
      </c>
      <c r="B355" s="3" t="s">
        <v>218</v>
      </c>
      <c r="C355" s="1" t="s">
        <v>12</v>
      </c>
      <c r="D355" s="1" t="s">
        <v>444</v>
      </c>
      <c r="E355" s="11" t="s">
        <v>144</v>
      </c>
      <c r="F355" s="3" t="s">
        <v>8</v>
      </c>
      <c r="G355" s="66" t="s">
        <v>64</v>
      </c>
      <c r="H355" s="8"/>
      <c r="I355" s="8"/>
      <c r="J355" s="6" t="s">
        <v>76</v>
      </c>
      <c r="K355" s="38">
        <v>900000</v>
      </c>
      <c r="L355" s="4" t="s">
        <v>29</v>
      </c>
      <c r="M355" s="11">
        <f>_xlfn.NUMBERVALUE(LEFT(Table613612[[#This Row],[Fiscal Year]], 4))</f>
        <v>2015</v>
      </c>
      <c r="N355" s="42">
        <f t="shared" si="10"/>
        <v>955560.75949367078</v>
      </c>
      <c r="O355" s="3">
        <v>353</v>
      </c>
    </row>
    <row r="356" spans="1:15" ht="15" customHeight="1" x14ac:dyDescent="0.25">
      <c r="A356" s="3">
        <v>4</v>
      </c>
      <c r="B356" s="3" t="s">
        <v>218</v>
      </c>
      <c r="C356" s="1" t="s">
        <v>12</v>
      </c>
      <c r="D356" s="1" t="s">
        <v>444</v>
      </c>
      <c r="E356" s="11" t="s">
        <v>144</v>
      </c>
      <c r="F356" s="3" t="s">
        <v>8</v>
      </c>
      <c r="G356" s="66" t="s">
        <v>65</v>
      </c>
      <c r="H356" s="8"/>
      <c r="I356" s="8"/>
      <c r="J356" s="6" t="s">
        <v>76</v>
      </c>
      <c r="K356" s="38">
        <v>0</v>
      </c>
      <c r="L356" s="4" t="s">
        <v>29</v>
      </c>
      <c r="M356" s="11">
        <f>_xlfn.NUMBERVALUE(LEFT(Table613612[[#This Row],[Fiscal Year]], 4))</f>
        <v>2015</v>
      </c>
      <c r="N356" s="43">
        <f t="shared" si="10"/>
        <v>0</v>
      </c>
      <c r="O356" s="3">
        <v>354</v>
      </c>
    </row>
    <row r="357" spans="1:15" ht="15" customHeight="1" x14ac:dyDescent="0.25">
      <c r="A357" s="3">
        <v>4</v>
      </c>
      <c r="B357" s="3" t="s">
        <v>218</v>
      </c>
      <c r="C357" s="1" t="s">
        <v>12</v>
      </c>
      <c r="D357" s="1" t="s">
        <v>444</v>
      </c>
      <c r="E357" s="11" t="s">
        <v>144</v>
      </c>
      <c r="F357" s="3" t="s">
        <v>8</v>
      </c>
      <c r="G357" s="66" t="s">
        <v>66</v>
      </c>
      <c r="H357" s="8"/>
      <c r="I357" s="8"/>
      <c r="J357" s="6" t="s">
        <v>76</v>
      </c>
      <c r="K357" s="38">
        <v>0</v>
      </c>
      <c r="L357" s="4" t="s">
        <v>29</v>
      </c>
      <c r="M357" s="11">
        <f>_xlfn.NUMBERVALUE(LEFT(Table613612[[#This Row],[Fiscal Year]], 4))</f>
        <v>2015</v>
      </c>
      <c r="N357" s="43">
        <f t="shared" si="10"/>
        <v>0</v>
      </c>
      <c r="O357" s="3">
        <v>355</v>
      </c>
    </row>
    <row r="358" spans="1:15" ht="15" customHeight="1" x14ac:dyDescent="0.25">
      <c r="A358" s="3">
        <v>4</v>
      </c>
      <c r="B358" s="3" t="s">
        <v>218</v>
      </c>
      <c r="C358" s="1" t="s">
        <v>12</v>
      </c>
      <c r="D358" s="1" t="s">
        <v>444</v>
      </c>
      <c r="E358" s="11" t="s">
        <v>144</v>
      </c>
      <c r="F358" s="3" t="s">
        <v>8</v>
      </c>
      <c r="G358" s="66" t="s">
        <v>33</v>
      </c>
      <c r="H358" s="8"/>
      <c r="I358" s="8"/>
      <c r="J358" s="6" t="s">
        <v>47</v>
      </c>
      <c r="K358" s="38">
        <v>55050</v>
      </c>
      <c r="L358" s="4" t="s">
        <v>29</v>
      </c>
      <c r="M358" s="11">
        <f>_xlfn.NUMBERVALUE(LEFT(Table613612[[#This Row],[Fiscal Year]], 4))</f>
        <v>2015</v>
      </c>
      <c r="N358" s="42">
        <f t="shared" si="10"/>
        <v>58448.466455696202</v>
      </c>
      <c r="O358" s="3">
        <v>356</v>
      </c>
    </row>
    <row r="359" spans="1:15" ht="15" customHeight="1" x14ac:dyDescent="0.25">
      <c r="A359" s="3">
        <v>4</v>
      </c>
      <c r="B359" s="3" t="s">
        <v>218</v>
      </c>
      <c r="C359" s="1" t="s">
        <v>12</v>
      </c>
      <c r="D359" s="1" t="s">
        <v>444</v>
      </c>
      <c r="E359" s="11" t="s">
        <v>144</v>
      </c>
      <c r="F359" s="3" t="s">
        <v>8</v>
      </c>
      <c r="G359" s="66" t="s">
        <v>67</v>
      </c>
      <c r="H359" s="8"/>
      <c r="I359" s="8"/>
      <c r="J359" s="6" t="s">
        <v>455</v>
      </c>
      <c r="K359" s="38">
        <v>968991</v>
      </c>
      <c r="L359" s="4" t="s">
        <v>29</v>
      </c>
      <c r="M359" s="11">
        <f>_xlfn.NUMBERVALUE(LEFT(Table613612[[#This Row],[Fiscal Year]], 4))</f>
        <v>2015</v>
      </c>
      <c r="N359" s="42">
        <f t="shared" si="10"/>
        <v>1028810.862113924</v>
      </c>
      <c r="O359" s="3">
        <v>357</v>
      </c>
    </row>
    <row r="360" spans="1:15" ht="15" customHeight="1" x14ac:dyDescent="0.25">
      <c r="C360" s="1"/>
      <c r="D360" s="1"/>
      <c r="G360" s="66"/>
      <c r="H360" s="8"/>
      <c r="I360" s="8"/>
      <c r="J360" s="6"/>
      <c r="L360" s="4"/>
      <c r="O360" s="3">
        <v>358</v>
      </c>
    </row>
    <row r="361" spans="1:15" ht="15" customHeight="1" x14ac:dyDescent="0.25">
      <c r="A361" s="3">
        <v>4</v>
      </c>
      <c r="B361" s="3" t="s">
        <v>146</v>
      </c>
      <c r="C361" s="1" t="s">
        <v>12</v>
      </c>
      <c r="D361" s="1" t="s">
        <v>444</v>
      </c>
      <c r="E361" s="11" t="s">
        <v>144</v>
      </c>
      <c r="F361" s="3" t="s">
        <v>8</v>
      </c>
      <c r="G361" s="56" t="s">
        <v>829</v>
      </c>
      <c r="H361" s="8"/>
      <c r="I361" s="8"/>
      <c r="J361" s="6" t="s">
        <v>110</v>
      </c>
      <c r="K361" s="38">
        <v>38937</v>
      </c>
      <c r="L361" s="4" t="s">
        <v>29</v>
      </c>
      <c r="M361" s="11">
        <f>_xlfn.NUMBERVALUE(LEFT(Table613612[[#This Row],[Fiscal Year]], 4))</f>
        <v>2015</v>
      </c>
      <c r="N361" s="42">
        <f t="shared" si="10"/>
        <v>41340.743658227846</v>
      </c>
      <c r="O361" s="3">
        <v>359</v>
      </c>
    </row>
    <row r="362" spans="1:15" ht="15" customHeight="1" x14ac:dyDescent="0.25">
      <c r="A362" s="3">
        <v>4</v>
      </c>
      <c r="B362" s="3" t="s">
        <v>146</v>
      </c>
      <c r="C362" s="1" t="s">
        <v>12</v>
      </c>
      <c r="D362" s="1" t="s">
        <v>444</v>
      </c>
      <c r="E362" s="11" t="s">
        <v>144</v>
      </c>
      <c r="F362" s="3" t="s">
        <v>8</v>
      </c>
      <c r="G362" s="66" t="s">
        <v>844</v>
      </c>
      <c r="H362" s="8"/>
      <c r="I362" s="8"/>
      <c r="J362" s="6" t="s">
        <v>453</v>
      </c>
      <c r="K362" s="38">
        <v>14414</v>
      </c>
      <c r="L362" s="4" t="s">
        <v>29</v>
      </c>
      <c r="M362" s="11">
        <f>_xlfn.NUMBERVALUE(LEFT(Table613612[[#This Row],[Fiscal Year]], 4))</f>
        <v>2015</v>
      </c>
      <c r="N362" s="42">
        <f t="shared" si="10"/>
        <v>15303.836430379746</v>
      </c>
      <c r="O362" s="3">
        <v>360</v>
      </c>
    </row>
    <row r="363" spans="1:15" ht="15" customHeight="1" x14ac:dyDescent="0.25">
      <c r="A363" s="3">
        <v>4</v>
      </c>
      <c r="B363" s="3" t="s">
        <v>146</v>
      </c>
      <c r="C363" s="1" t="s">
        <v>12</v>
      </c>
      <c r="D363" s="1" t="s">
        <v>444</v>
      </c>
      <c r="E363" s="11" t="s">
        <v>144</v>
      </c>
      <c r="F363" s="3" t="s">
        <v>8</v>
      </c>
      <c r="G363" s="66" t="s">
        <v>845</v>
      </c>
      <c r="H363" s="8"/>
      <c r="I363" s="8"/>
      <c r="J363" s="6" t="s">
        <v>109</v>
      </c>
      <c r="K363" s="38">
        <v>0</v>
      </c>
      <c r="L363" s="4" t="s">
        <v>29</v>
      </c>
      <c r="M363" s="11">
        <f>_xlfn.NUMBERVALUE(LEFT(Table613612[[#This Row],[Fiscal Year]], 4))</f>
        <v>2015</v>
      </c>
      <c r="N363" s="43">
        <f t="shared" si="10"/>
        <v>0</v>
      </c>
      <c r="O363" s="3">
        <v>361</v>
      </c>
    </row>
    <row r="364" spans="1:15" ht="15" customHeight="1" x14ac:dyDescent="0.25">
      <c r="A364" s="3">
        <v>4</v>
      </c>
      <c r="B364" s="3" t="s">
        <v>146</v>
      </c>
      <c r="C364" s="1" t="s">
        <v>12</v>
      </c>
      <c r="D364" s="1" t="s">
        <v>444</v>
      </c>
      <c r="E364" s="11" t="s">
        <v>144</v>
      </c>
      <c r="F364" s="3" t="s">
        <v>8</v>
      </c>
      <c r="G364" s="66" t="s">
        <v>846</v>
      </c>
      <c r="H364" s="8"/>
      <c r="I364" s="8"/>
      <c r="J364" s="6" t="s">
        <v>111</v>
      </c>
      <c r="K364" s="38">
        <v>330</v>
      </c>
      <c r="L364" s="4" t="s">
        <v>29</v>
      </c>
      <c r="M364" s="11">
        <f>_xlfn.NUMBERVALUE(LEFT(Table613612[[#This Row],[Fiscal Year]], 4))</f>
        <v>2015</v>
      </c>
      <c r="N364" s="42">
        <f t="shared" si="10"/>
        <v>350.37227848101264</v>
      </c>
      <c r="O364" s="3">
        <v>362</v>
      </c>
    </row>
    <row r="365" spans="1:15" ht="15" customHeight="1" x14ac:dyDescent="0.25">
      <c r="A365" s="3">
        <v>4</v>
      </c>
      <c r="B365" s="3" t="s">
        <v>146</v>
      </c>
      <c r="C365" s="1" t="s">
        <v>12</v>
      </c>
      <c r="D365" s="1" t="s">
        <v>444</v>
      </c>
      <c r="E365" s="11" t="s">
        <v>144</v>
      </c>
      <c r="F365" s="3" t="s">
        <v>8</v>
      </c>
      <c r="G365" s="66" t="s">
        <v>847</v>
      </c>
      <c r="H365" s="8"/>
      <c r="I365" s="8"/>
      <c r="J365" s="6" t="s">
        <v>111</v>
      </c>
      <c r="K365" s="38">
        <v>60</v>
      </c>
      <c r="L365" s="4" t="s">
        <v>29</v>
      </c>
      <c r="M365" s="11">
        <f>_xlfn.NUMBERVALUE(LEFT(Table613612[[#This Row],[Fiscal Year]], 4))</f>
        <v>2015</v>
      </c>
      <c r="N365" s="42">
        <f t="shared" si="10"/>
        <v>63.70405063291139</v>
      </c>
      <c r="O365" s="3">
        <v>363</v>
      </c>
    </row>
    <row r="366" spans="1:15" x14ac:dyDescent="0.25">
      <c r="A366" s="3">
        <v>4</v>
      </c>
      <c r="B366" s="3" t="s">
        <v>146</v>
      </c>
      <c r="C366" s="1" t="s">
        <v>12</v>
      </c>
      <c r="D366" s="1" t="s">
        <v>444</v>
      </c>
      <c r="E366" s="11" t="s">
        <v>144</v>
      </c>
      <c r="F366" s="3" t="s">
        <v>8</v>
      </c>
      <c r="G366" s="48" t="s">
        <v>857</v>
      </c>
      <c r="H366" s="8"/>
      <c r="I366" s="8"/>
      <c r="J366" s="6" t="s">
        <v>108</v>
      </c>
      <c r="K366" s="38">
        <v>324215</v>
      </c>
      <c r="L366" s="4" t="s">
        <v>29</v>
      </c>
      <c r="M366" s="11">
        <f>_xlfn.NUMBERVALUE(LEFT(Table613612[[#This Row],[Fiscal Year]], 4))</f>
        <v>2015</v>
      </c>
      <c r="N366" s="42">
        <f t="shared" si="10"/>
        <v>344230.14626582275</v>
      </c>
      <c r="O366" s="3">
        <v>364</v>
      </c>
    </row>
    <row r="367" spans="1:15" x14ac:dyDescent="0.25">
      <c r="A367" s="3">
        <v>4</v>
      </c>
      <c r="B367" s="3" t="s">
        <v>146</v>
      </c>
      <c r="C367" s="1" t="s">
        <v>12</v>
      </c>
      <c r="D367" s="1" t="s">
        <v>444</v>
      </c>
      <c r="E367" s="11" t="s">
        <v>144</v>
      </c>
      <c r="F367" s="3" t="s">
        <v>8</v>
      </c>
      <c r="G367" s="66" t="s">
        <v>849</v>
      </c>
      <c r="H367" s="8"/>
      <c r="I367" s="8"/>
      <c r="J367" s="6" t="s">
        <v>106</v>
      </c>
      <c r="K367" s="38">
        <v>253000</v>
      </c>
      <c r="L367" s="4" t="s">
        <v>29</v>
      </c>
      <c r="M367" s="11">
        <f>_xlfn.NUMBERVALUE(LEFT(Table613612[[#This Row],[Fiscal Year]], 4))</f>
        <v>2015</v>
      </c>
      <c r="N367" s="42">
        <f t="shared" si="10"/>
        <v>268618.74683544302</v>
      </c>
      <c r="O367" s="3">
        <v>365</v>
      </c>
    </row>
    <row r="368" spans="1:15" x14ac:dyDescent="0.25">
      <c r="A368" s="3">
        <v>4</v>
      </c>
      <c r="B368" s="3" t="s">
        <v>146</v>
      </c>
      <c r="C368" s="1" t="s">
        <v>12</v>
      </c>
      <c r="D368" s="1" t="s">
        <v>444</v>
      </c>
      <c r="E368" s="11" t="s">
        <v>144</v>
      </c>
      <c r="F368" s="3" t="s">
        <v>8</v>
      </c>
      <c r="G368" s="66" t="s">
        <v>850</v>
      </c>
      <c r="H368" s="8"/>
      <c r="I368" s="8"/>
      <c r="J368" s="6" t="s">
        <v>455</v>
      </c>
      <c r="K368" s="38" t="s">
        <v>827</v>
      </c>
      <c r="L368" s="4" t="s">
        <v>29</v>
      </c>
      <c r="M368" s="11">
        <f>_xlfn.NUMBERVALUE(LEFT(Table613612[[#This Row],[Fiscal Year]], 4))</f>
        <v>2015</v>
      </c>
      <c r="O368" s="3">
        <v>366</v>
      </c>
    </row>
    <row r="369" spans="1:15" x14ac:dyDescent="0.25">
      <c r="A369" s="3">
        <v>4</v>
      </c>
      <c r="B369" s="3" t="s">
        <v>146</v>
      </c>
      <c r="C369" s="1" t="s">
        <v>12</v>
      </c>
      <c r="D369" s="1" t="s">
        <v>444</v>
      </c>
      <c r="E369" s="11" t="s">
        <v>144</v>
      </c>
      <c r="F369" s="3" t="s">
        <v>8</v>
      </c>
      <c r="G369" s="66" t="s">
        <v>851</v>
      </c>
      <c r="H369" s="8"/>
      <c r="I369" s="8"/>
      <c r="J369" s="6" t="s">
        <v>76</v>
      </c>
      <c r="K369" s="38">
        <v>36037</v>
      </c>
      <c r="L369" s="4" t="s">
        <v>29</v>
      </c>
      <c r="M369" s="11">
        <f>_xlfn.NUMBERVALUE(LEFT(Table613612[[#This Row],[Fiscal Year]], 4))</f>
        <v>2015</v>
      </c>
      <c r="N369" s="42">
        <f t="shared" si="10"/>
        <v>38261.714544303795</v>
      </c>
      <c r="O369" s="3">
        <v>367</v>
      </c>
    </row>
    <row r="370" spans="1:15" x14ac:dyDescent="0.25">
      <c r="A370" s="3">
        <v>4</v>
      </c>
      <c r="B370" s="3" t="s">
        <v>146</v>
      </c>
      <c r="C370" s="1" t="s">
        <v>12</v>
      </c>
      <c r="D370" s="1" t="s">
        <v>444</v>
      </c>
      <c r="E370" s="11" t="s">
        <v>144</v>
      </c>
      <c r="F370" s="3" t="s">
        <v>8</v>
      </c>
      <c r="G370" s="66" t="s">
        <v>858</v>
      </c>
      <c r="H370" s="8"/>
      <c r="I370" s="8"/>
      <c r="J370" s="6" t="s">
        <v>76</v>
      </c>
      <c r="K370" s="38">
        <v>0</v>
      </c>
      <c r="L370" s="4" t="s">
        <v>29</v>
      </c>
      <c r="M370" s="11">
        <f>_xlfn.NUMBERVALUE(LEFT(Table613612[[#This Row],[Fiscal Year]], 4))</f>
        <v>2015</v>
      </c>
      <c r="N370" s="43">
        <f t="shared" si="10"/>
        <v>0</v>
      </c>
      <c r="O370" s="3">
        <v>368</v>
      </c>
    </row>
    <row r="371" spans="1:15" x14ac:dyDescent="0.25">
      <c r="A371" s="3">
        <v>4</v>
      </c>
      <c r="B371" s="3" t="s">
        <v>146</v>
      </c>
      <c r="C371" s="1" t="s">
        <v>12</v>
      </c>
      <c r="D371" s="1" t="s">
        <v>444</v>
      </c>
      <c r="E371" s="11" t="s">
        <v>144</v>
      </c>
      <c r="F371" s="3" t="s">
        <v>8</v>
      </c>
      <c r="G371" s="66" t="s">
        <v>852</v>
      </c>
      <c r="H371" s="8"/>
      <c r="I371" s="8"/>
      <c r="J371" s="6" t="s">
        <v>76</v>
      </c>
      <c r="K371" s="38">
        <v>0</v>
      </c>
      <c r="L371" s="4" t="s">
        <v>29</v>
      </c>
      <c r="M371" s="11">
        <f>_xlfn.NUMBERVALUE(LEFT(Table613612[[#This Row],[Fiscal Year]], 4))</f>
        <v>2015</v>
      </c>
      <c r="N371" s="43">
        <f t="shared" si="10"/>
        <v>0</v>
      </c>
      <c r="O371" s="3">
        <v>369</v>
      </c>
    </row>
    <row r="372" spans="1:15" x14ac:dyDescent="0.25">
      <c r="A372" s="3">
        <v>4</v>
      </c>
      <c r="B372" s="3" t="s">
        <v>146</v>
      </c>
      <c r="C372" s="1" t="s">
        <v>12</v>
      </c>
      <c r="D372" s="1" t="s">
        <v>444</v>
      </c>
      <c r="E372" s="11" t="s">
        <v>144</v>
      </c>
      <c r="F372" s="3" t="s">
        <v>8</v>
      </c>
      <c r="G372" s="66" t="s">
        <v>859</v>
      </c>
      <c r="H372" s="8"/>
      <c r="I372" s="8"/>
      <c r="J372" s="6" t="s">
        <v>455</v>
      </c>
      <c r="K372" s="38">
        <v>7560</v>
      </c>
      <c r="L372" s="4" t="s">
        <v>29</v>
      </c>
      <c r="M372" s="11">
        <f>_xlfn.NUMBERVALUE(LEFT(Table613612[[#This Row],[Fiscal Year]], 4))</f>
        <v>2015</v>
      </c>
      <c r="N372" s="42">
        <f t="shared" si="10"/>
        <v>8026.7103797468353</v>
      </c>
      <c r="O372" s="3">
        <v>370</v>
      </c>
    </row>
    <row r="373" spans="1:15" x14ac:dyDescent="0.25">
      <c r="A373" s="3">
        <v>4</v>
      </c>
      <c r="B373" s="3" t="s">
        <v>146</v>
      </c>
      <c r="C373" s="1" t="s">
        <v>12</v>
      </c>
      <c r="D373" s="1" t="s">
        <v>444</v>
      </c>
      <c r="E373" s="11" t="s">
        <v>144</v>
      </c>
      <c r="F373" s="3" t="s">
        <v>8</v>
      </c>
      <c r="G373" s="66" t="s">
        <v>860</v>
      </c>
      <c r="H373" s="8"/>
      <c r="I373" s="8"/>
      <c r="J373" s="6" t="s">
        <v>605</v>
      </c>
      <c r="K373" s="38">
        <v>27420</v>
      </c>
      <c r="L373" s="4" t="s">
        <v>29</v>
      </c>
      <c r="M373" s="11">
        <f>_xlfn.NUMBERVALUE(LEFT(Table613612[[#This Row],[Fiscal Year]], 4))</f>
        <v>2015</v>
      </c>
      <c r="N373" s="42">
        <f t="shared" si="10"/>
        <v>29112.751139240503</v>
      </c>
      <c r="O373" s="3">
        <v>371</v>
      </c>
    </row>
    <row r="374" spans="1:15" x14ac:dyDescent="0.25">
      <c r="A374" s="3">
        <v>4</v>
      </c>
      <c r="B374" s="3" t="s">
        <v>146</v>
      </c>
      <c r="C374" s="1" t="s">
        <v>12</v>
      </c>
      <c r="D374" s="1" t="s">
        <v>444</v>
      </c>
      <c r="E374" s="11" t="s">
        <v>144</v>
      </c>
      <c r="F374" s="3" t="s">
        <v>8</v>
      </c>
      <c r="G374" s="48" t="s">
        <v>861</v>
      </c>
      <c r="H374" s="8"/>
      <c r="I374" s="8"/>
      <c r="J374" s="6" t="s">
        <v>605</v>
      </c>
      <c r="K374" s="38">
        <v>2818</v>
      </c>
      <c r="L374" s="4" t="s">
        <v>29</v>
      </c>
      <c r="M374" s="11">
        <f>_xlfn.NUMBERVALUE(LEFT(Table613612[[#This Row],[Fiscal Year]], 4))</f>
        <v>2015</v>
      </c>
      <c r="N374" s="42">
        <f t="shared" si="10"/>
        <v>2991.9669113924051</v>
      </c>
      <c r="O374" s="3">
        <v>372</v>
      </c>
    </row>
    <row r="375" spans="1:15" x14ac:dyDescent="0.25">
      <c r="A375" s="3">
        <v>4</v>
      </c>
      <c r="B375" s="3" t="s">
        <v>146</v>
      </c>
      <c r="C375" s="1" t="s">
        <v>12</v>
      </c>
      <c r="D375" s="1" t="s">
        <v>444</v>
      </c>
      <c r="E375" s="11" t="s">
        <v>144</v>
      </c>
      <c r="F375" s="3" t="s">
        <v>8</v>
      </c>
      <c r="G375" s="48" t="s">
        <v>862</v>
      </c>
      <c r="H375" s="8"/>
      <c r="I375" s="8"/>
      <c r="J375" s="6" t="s">
        <v>605</v>
      </c>
      <c r="K375" s="38">
        <v>5573</v>
      </c>
      <c r="L375" s="4" t="s">
        <v>29</v>
      </c>
      <c r="M375" s="11">
        <f>_xlfn.NUMBERVALUE(LEFT(Table613612[[#This Row],[Fiscal Year]], 4))</f>
        <v>2015</v>
      </c>
      <c r="N375" s="42">
        <f t="shared" si="10"/>
        <v>5917.0445696202532</v>
      </c>
      <c r="O375" s="3">
        <v>373</v>
      </c>
    </row>
    <row r="376" spans="1:15" x14ac:dyDescent="0.25">
      <c r="C376" s="1"/>
      <c r="D376" s="1"/>
      <c r="G376" s="66"/>
      <c r="H376" s="8"/>
      <c r="I376" s="8"/>
      <c r="J376" s="6"/>
      <c r="L376" s="4"/>
      <c r="O376" s="3">
        <v>374</v>
      </c>
    </row>
    <row r="377" spans="1:15" x14ac:dyDescent="0.25">
      <c r="A377" s="3">
        <v>4</v>
      </c>
      <c r="B377" s="3" t="s">
        <v>147</v>
      </c>
      <c r="C377" s="1" t="s">
        <v>12</v>
      </c>
      <c r="D377" s="1" t="s">
        <v>444</v>
      </c>
      <c r="E377" s="11" t="s">
        <v>144</v>
      </c>
      <c r="F377" s="3" t="s">
        <v>8</v>
      </c>
      <c r="G377" s="48" t="s">
        <v>863</v>
      </c>
      <c r="H377" s="50" t="s">
        <v>458</v>
      </c>
      <c r="I377" s="70" t="s">
        <v>607</v>
      </c>
      <c r="J377" s="6" t="s">
        <v>110</v>
      </c>
      <c r="K377" s="38">
        <v>10980</v>
      </c>
      <c r="L377" s="4" t="s">
        <v>29</v>
      </c>
      <c r="M377" s="11">
        <f>_xlfn.NUMBERVALUE(LEFT(Table613612[[#This Row],[Fiscal Year]], 4))</f>
        <v>2015</v>
      </c>
      <c r="N377" s="42">
        <f t="shared" si="10"/>
        <v>11657.841265822784</v>
      </c>
      <c r="O377" s="3">
        <v>375</v>
      </c>
    </row>
    <row r="378" spans="1:15" x14ac:dyDescent="0.25">
      <c r="A378" s="3">
        <v>4</v>
      </c>
      <c r="B378" s="3" t="s">
        <v>147</v>
      </c>
      <c r="C378" s="3" t="s">
        <v>12</v>
      </c>
      <c r="D378" s="3" t="s">
        <v>444</v>
      </c>
      <c r="E378" s="11" t="s">
        <v>144</v>
      </c>
      <c r="F378" s="3" t="s">
        <v>8</v>
      </c>
      <c r="G378" s="48" t="s">
        <v>864</v>
      </c>
      <c r="H378" s="8"/>
      <c r="I378" s="8"/>
      <c r="J378" s="6" t="s">
        <v>110</v>
      </c>
      <c r="K378" s="38">
        <v>97138.95</v>
      </c>
      <c r="L378" s="4" t="s">
        <v>29</v>
      </c>
      <c r="M378" s="11">
        <f>_xlfn.NUMBERVALUE(LEFT(Table613612[[#This Row],[Fiscal Year]], 4))</f>
        <v>2015</v>
      </c>
      <c r="N378" s="42">
        <f t="shared" si="10"/>
        <v>103135.74315379746</v>
      </c>
      <c r="O378" s="3">
        <v>376</v>
      </c>
    </row>
    <row r="379" spans="1:15" x14ac:dyDescent="0.25">
      <c r="A379" s="3">
        <v>4</v>
      </c>
      <c r="B379" s="3" t="s">
        <v>147</v>
      </c>
      <c r="C379" s="3" t="s">
        <v>12</v>
      </c>
      <c r="D379" s="3" t="s">
        <v>444</v>
      </c>
      <c r="E379" s="11" t="s">
        <v>144</v>
      </c>
      <c r="F379" s="3" t="s">
        <v>8</v>
      </c>
      <c r="G379" s="48" t="s">
        <v>865</v>
      </c>
      <c r="H379" s="8"/>
      <c r="I379" s="8"/>
      <c r="J379" s="6" t="s">
        <v>110</v>
      </c>
      <c r="K379" s="38">
        <v>7791.37</v>
      </c>
      <c r="L379" s="4" t="s">
        <v>29</v>
      </c>
      <c r="M379" s="11">
        <f>_xlfn.NUMBERVALUE(LEFT(Table613612[[#This Row],[Fiscal Year]], 4))</f>
        <v>2015</v>
      </c>
      <c r="N379" s="42">
        <f t="shared" si="10"/>
        <v>8272.3638163291125</v>
      </c>
      <c r="O379" s="3">
        <v>377</v>
      </c>
    </row>
    <row r="380" spans="1:15" x14ac:dyDescent="0.25">
      <c r="A380" s="3">
        <v>4</v>
      </c>
      <c r="B380" s="3" t="s">
        <v>147</v>
      </c>
      <c r="C380" s="3" t="s">
        <v>12</v>
      </c>
      <c r="D380" s="3" t="s">
        <v>444</v>
      </c>
      <c r="E380" s="11" t="s">
        <v>144</v>
      </c>
      <c r="F380" s="3" t="s">
        <v>8</v>
      </c>
      <c r="G380" s="56" t="s">
        <v>866</v>
      </c>
      <c r="H380" s="52"/>
      <c r="I380" s="52"/>
      <c r="J380" s="6" t="s">
        <v>453</v>
      </c>
      <c r="K380" s="38">
        <v>300</v>
      </c>
      <c r="L380" s="4" t="s">
        <v>29</v>
      </c>
      <c r="M380" s="11">
        <f>_xlfn.NUMBERVALUE(LEFT(Table613612[[#This Row],[Fiscal Year]], 4))</f>
        <v>2015</v>
      </c>
      <c r="N380" s="42">
        <f t="shared" si="10"/>
        <v>318.52025316455695</v>
      </c>
      <c r="O380" s="3">
        <v>378</v>
      </c>
    </row>
    <row r="381" spans="1:15" x14ac:dyDescent="0.25">
      <c r="A381" s="3">
        <v>4</v>
      </c>
      <c r="B381" s="3" t="s">
        <v>147</v>
      </c>
      <c r="C381" s="3" t="s">
        <v>12</v>
      </c>
      <c r="D381" s="3" t="s">
        <v>444</v>
      </c>
      <c r="E381" s="11" t="s">
        <v>144</v>
      </c>
      <c r="F381" s="3" t="s">
        <v>8</v>
      </c>
      <c r="G381" s="61" t="s">
        <v>867</v>
      </c>
      <c r="H381" s="8" t="s">
        <v>606</v>
      </c>
      <c r="I381" s="8" t="s">
        <v>458</v>
      </c>
      <c r="J381" s="6" t="s">
        <v>42</v>
      </c>
      <c r="K381" s="38">
        <v>935</v>
      </c>
      <c r="L381" s="4" t="s">
        <v>29</v>
      </c>
      <c r="M381" s="11">
        <f>_xlfn.NUMBERVALUE(LEFT(Table613612[[#This Row],[Fiscal Year]], 4))</f>
        <v>2015</v>
      </c>
      <c r="N381" s="42">
        <f t="shared" si="10"/>
        <v>992.7214556962025</v>
      </c>
      <c r="O381" s="3">
        <v>379</v>
      </c>
    </row>
    <row r="382" spans="1:15" x14ac:dyDescent="0.25">
      <c r="A382" s="3">
        <v>4</v>
      </c>
      <c r="B382" s="3" t="s">
        <v>147</v>
      </c>
      <c r="C382" s="3" t="s">
        <v>12</v>
      </c>
      <c r="D382" s="3" t="s">
        <v>444</v>
      </c>
      <c r="E382" s="11" t="s">
        <v>144</v>
      </c>
      <c r="F382" s="3" t="s">
        <v>8</v>
      </c>
      <c r="G382" s="56" t="s">
        <v>868</v>
      </c>
      <c r="H382" s="8"/>
      <c r="I382" s="8"/>
      <c r="J382" s="6" t="s">
        <v>453</v>
      </c>
      <c r="K382" s="38">
        <v>0</v>
      </c>
      <c r="L382" s="4" t="s">
        <v>29</v>
      </c>
      <c r="M382" s="11">
        <f>_xlfn.NUMBERVALUE(LEFT(Table613612[[#This Row],[Fiscal Year]], 4))</f>
        <v>2015</v>
      </c>
      <c r="N382" s="43">
        <f>K381*(1+VLOOKUP(M382,$AF$8:$AH$31,3,0))</f>
        <v>992.7214556962025</v>
      </c>
      <c r="O382" s="3">
        <v>380</v>
      </c>
    </row>
    <row r="383" spans="1:15" x14ac:dyDescent="0.25">
      <c r="A383" s="3">
        <v>4</v>
      </c>
      <c r="B383" s="3" t="s">
        <v>147</v>
      </c>
      <c r="C383" s="3" t="s">
        <v>12</v>
      </c>
      <c r="D383" s="3" t="s">
        <v>444</v>
      </c>
      <c r="E383" s="11" t="s">
        <v>144</v>
      </c>
      <c r="F383" s="3" t="s">
        <v>8</v>
      </c>
      <c r="G383" s="56" t="s">
        <v>869</v>
      </c>
      <c r="H383" s="52"/>
      <c r="I383" s="52"/>
      <c r="J383" s="6" t="s">
        <v>109</v>
      </c>
      <c r="K383" s="38">
        <v>20601.07</v>
      </c>
      <c r="L383" s="4" t="s">
        <v>29</v>
      </c>
      <c r="M383" s="11">
        <f>_xlfn.NUMBERVALUE(LEFT(Table613612[[#This Row],[Fiscal Year]], 4))</f>
        <v>2015</v>
      </c>
      <c r="N383" s="42">
        <f t="shared" ref="N383:N392" si="11">K383*(1+VLOOKUP(M383,$AF$8:$AH$31,3,0))</f>
        <v>21872.86010620253</v>
      </c>
      <c r="O383" s="3">
        <v>381</v>
      </c>
    </row>
    <row r="384" spans="1:15" x14ac:dyDescent="0.25">
      <c r="A384" s="3">
        <v>4</v>
      </c>
      <c r="B384" s="3" t="s">
        <v>147</v>
      </c>
      <c r="C384" s="3" t="s">
        <v>12</v>
      </c>
      <c r="D384" s="3" t="s">
        <v>444</v>
      </c>
      <c r="E384" s="11" t="s">
        <v>144</v>
      </c>
      <c r="F384" s="3" t="s">
        <v>8</v>
      </c>
      <c r="G384" s="56" t="s">
        <v>870</v>
      </c>
      <c r="H384" s="8"/>
      <c r="I384" s="8"/>
      <c r="J384" s="6" t="s">
        <v>109</v>
      </c>
      <c r="K384" s="38">
        <v>825</v>
      </c>
      <c r="L384" s="4" t="s">
        <v>29</v>
      </c>
      <c r="M384" s="11">
        <f>_xlfn.NUMBERVALUE(LEFT(Table613612[[#This Row],[Fiscal Year]], 4))</f>
        <v>2015</v>
      </c>
      <c r="N384" s="42">
        <f t="shared" si="11"/>
        <v>875.93069620253164</v>
      </c>
      <c r="O384" s="3">
        <v>382</v>
      </c>
    </row>
    <row r="385" spans="1:15" x14ac:dyDescent="0.25">
      <c r="A385" s="3">
        <v>4</v>
      </c>
      <c r="B385" s="3" t="s">
        <v>147</v>
      </c>
      <c r="C385" s="3" t="s">
        <v>12</v>
      </c>
      <c r="D385" s="3" t="s">
        <v>444</v>
      </c>
      <c r="E385" s="11" t="s">
        <v>144</v>
      </c>
      <c r="F385" s="3" t="s">
        <v>8</v>
      </c>
      <c r="G385" s="56" t="s">
        <v>871</v>
      </c>
      <c r="H385" s="8"/>
      <c r="I385" s="8"/>
      <c r="J385" s="6" t="s">
        <v>109</v>
      </c>
      <c r="K385" s="38">
        <v>60</v>
      </c>
      <c r="L385" s="4" t="s">
        <v>29</v>
      </c>
      <c r="M385" s="11">
        <f>_xlfn.NUMBERVALUE(LEFT(Table613612[[#This Row],[Fiscal Year]], 4))</f>
        <v>2015</v>
      </c>
      <c r="N385" s="42">
        <f t="shared" si="11"/>
        <v>63.70405063291139</v>
      </c>
      <c r="O385" s="3">
        <v>383</v>
      </c>
    </row>
    <row r="386" spans="1:15" x14ac:dyDescent="0.25">
      <c r="A386" s="3">
        <v>4</v>
      </c>
      <c r="B386" s="3" t="s">
        <v>147</v>
      </c>
      <c r="C386" s="3" t="s">
        <v>12</v>
      </c>
      <c r="D386" s="3" t="s">
        <v>444</v>
      </c>
      <c r="E386" s="11" t="s">
        <v>144</v>
      </c>
      <c r="F386" s="3" t="s">
        <v>8</v>
      </c>
      <c r="G386" s="56" t="s">
        <v>872</v>
      </c>
      <c r="H386" s="52"/>
      <c r="I386" s="52"/>
      <c r="J386" s="6" t="s">
        <v>111</v>
      </c>
      <c r="K386" s="38">
        <v>179721.07</v>
      </c>
      <c r="L386" s="4" t="s">
        <v>29</v>
      </c>
      <c r="M386" s="11">
        <f>_xlfn.NUMBERVALUE(LEFT(Table613612[[#This Row],[Fiscal Year]], 4))</f>
        <v>2015</v>
      </c>
      <c r="N386" s="42">
        <f t="shared" si="11"/>
        <v>190816.00238468355</v>
      </c>
      <c r="O386" s="3">
        <v>384</v>
      </c>
    </row>
    <row r="387" spans="1:15" x14ac:dyDescent="0.25">
      <c r="A387" s="3">
        <v>4</v>
      </c>
      <c r="B387" s="3" t="s">
        <v>147</v>
      </c>
      <c r="C387" s="3" t="s">
        <v>12</v>
      </c>
      <c r="D387" s="3" t="s">
        <v>444</v>
      </c>
      <c r="E387" s="11" t="s">
        <v>144</v>
      </c>
      <c r="F387" s="3" t="s">
        <v>8</v>
      </c>
      <c r="G387" s="48" t="s">
        <v>873</v>
      </c>
      <c r="H387" s="6"/>
      <c r="I387" s="8"/>
      <c r="J387" s="6" t="s">
        <v>111</v>
      </c>
      <c r="K387" s="38">
        <v>611913.04</v>
      </c>
      <c r="L387" s="4" t="s">
        <v>29</v>
      </c>
      <c r="M387" s="11">
        <f>_xlfn.NUMBERVALUE(LEFT(Table613612[[#This Row],[Fiscal Year]], 4))</f>
        <v>2015</v>
      </c>
      <c r="N387" s="42">
        <f t="shared" si="11"/>
        <v>649688.98805164557</v>
      </c>
      <c r="O387" s="3">
        <v>385</v>
      </c>
    </row>
    <row r="388" spans="1:15" x14ac:dyDescent="0.25">
      <c r="A388" s="3">
        <v>4</v>
      </c>
      <c r="B388" s="3" t="s">
        <v>147</v>
      </c>
      <c r="C388" s="3" t="s">
        <v>12</v>
      </c>
      <c r="D388" s="3" t="s">
        <v>444</v>
      </c>
      <c r="E388" s="11" t="s">
        <v>144</v>
      </c>
      <c r="F388" s="3" t="s">
        <v>8</v>
      </c>
      <c r="G388" s="56" t="s">
        <v>874</v>
      </c>
      <c r="H388" s="52"/>
      <c r="I388" s="52"/>
      <c r="J388" s="6" t="s">
        <v>111</v>
      </c>
      <c r="K388" s="38">
        <v>3658000</v>
      </c>
      <c r="L388" s="4" t="s">
        <v>29</v>
      </c>
      <c r="M388" s="11">
        <f>_xlfn.NUMBERVALUE(LEFT(Table613612[[#This Row],[Fiscal Year]], 4))</f>
        <v>2015</v>
      </c>
      <c r="N388" s="42">
        <f t="shared" si="11"/>
        <v>3883823.6202531643</v>
      </c>
      <c r="O388" s="3">
        <v>386</v>
      </c>
    </row>
    <row r="389" spans="1:15" x14ac:dyDescent="0.25">
      <c r="A389" s="3">
        <v>4</v>
      </c>
      <c r="B389" s="3" t="s">
        <v>147</v>
      </c>
      <c r="C389" s="3" t="s">
        <v>12</v>
      </c>
      <c r="D389" s="3" t="s">
        <v>444</v>
      </c>
      <c r="E389" s="11" t="s">
        <v>144</v>
      </c>
      <c r="F389" s="3" t="s">
        <v>8</v>
      </c>
      <c r="G389" s="48" t="s">
        <v>875</v>
      </c>
      <c r="H389" s="8"/>
      <c r="I389" s="8"/>
      <c r="J389" s="6" t="s">
        <v>111</v>
      </c>
      <c r="K389" s="38">
        <v>39583.35</v>
      </c>
      <c r="L389" s="4" t="s">
        <v>29</v>
      </c>
      <c r="M389" s="11">
        <f>_xlfn.NUMBERVALUE(LEFT(Table613612[[#This Row],[Fiscal Year]], 4))</f>
        <v>2015</v>
      </c>
      <c r="N389" s="42">
        <f t="shared" si="11"/>
        <v>42026.995543670884</v>
      </c>
      <c r="O389" s="3">
        <v>387</v>
      </c>
    </row>
    <row r="390" spans="1:15" x14ac:dyDescent="0.25">
      <c r="A390" s="3">
        <v>4</v>
      </c>
      <c r="B390" s="3" t="s">
        <v>147</v>
      </c>
      <c r="C390" s="3" t="s">
        <v>12</v>
      </c>
      <c r="D390" s="3" t="s">
        <v>444</v>
      </c>
      <c r="E390" s="11" t="s">
        <v>144</v>
      </c>
      <c r="F390" s="3" t="s">
        <v>8</v>
      </c>
      <c r="G390" s="56" t="s">
        <v>876</v>
      </c>
      <c r="H390" s="52"/>
      <c r="I390" s="52"/>
      <c r="J390" s="6" t="s">
        <v>108</v>
      </c>
      <c r="K390" s="38">
        <v>5567.5</v>
      </c>
      <c r="L390" s="4" t="s">
        <v>29</v>
      </c>
      <c r="M390" s="11">
        <f>_xlfn.NUMBERVALUE(LEFT(Table613612[[#This Row],[Fiscal Year]], 4))</f>
        <v>2015</v>
      </c>
      <c r="N390" s="42">
        <f t="shared" si="11"/>
        <v>5911.2050316455689</v>
      </c>
      <c r="O390" s="3">
        <v>388</v>
      </c>
    </row>
    <row r="391" spans="1:15" x14ac:dyDescent="0.25">
      <c r="A391" s="3">
        <v>4</v>
      </c>
      <c r="B391" s="3" t="s">
        <v>147</v>
      </c>
      <c r="C391" s="3" t="s">
        <v>12</v>
      </c>
      <c r="D391" s="3" t="s">
        <v>444</v>
      </c>
      <c r="E391" s="11" t="s">
        <v>144</v>
      </c>
      <c r="F391" s="3" t="s">
        <v>8</v>
      </c>
      <c r="G391" s="48" t="s">
        <v>877</v>
      </c>
      <c r="H391" s="8"/>
      <c r="I391" s="8"/>
      <c r="J391" s="6" t="s">
        <v>108</v>
      </c>
      <c r="K391" s="38">
        <v>4767.5</v>
      </c>
      <c r="L391" s="4" t="s">
        <v>29</v>
      </c>
      <c r="M391" s="11">
        <f>_xlfn.NUMBERVALUE(LEFT(Table613612[[#This Row],[Fiscal Year]], 4))</f>
        <v>2015</v>
      </c>
      <c r="N391" s="42">
        <f t="shared" si="11"/>
        <v>5061.8176898734173</v>
      </c>
      <c r="O391" s="3">
        <v>389</v>
      </c>
    </row>
    <row r="392" spans="1:15" x14ac:dyDescent="0.25">
      <c r="A392" s="3">
        <v>4</v>
      </c>
      <c r="B392" s="3" t="s">
        <v>147</v>
      </c>
      <c r="C392" s="3" t="s">
        <v>12</v>
      </c>
      <c r="D392" s="3" t="s">
        <v>444</v>
      </c>
      <c r="E392" s="11" t="s">
        <v>144</v>
      </c>
      <c r="F392" s="3" t="s">
        <v>8</v>
      </c>
      <c r="G392" s="48" t="s">
        <v>878</v>
      </c>
      <c r="H392" s="8"/>
      <c r="I392" s="8"/>
      <c r="J392" s="6" t="s">
        <v>108</v>
      </c>
      <c r="K392" s="38">
        <v>5970</v>
      </c>
      <c r="L392" s="4" t="s">
        <v>29</v>
      </c>
      <c r="M392" s="11">
        <f>_xlfn.NUMBERVALUE(LEFT(Table613612[[#This Row],[Fiscal Year]], 4))</f>
        <v>2015</v>
      </c>
      <c r="N392" s="42">
        <f t="shared" si="11"/>
        <v>6338.5530379746833</v>
      </c>
      <c r="O392" s="3">
        <v>390</v>
      </c>
    </row>
    <row r="393" spans="1:15" x14ac:dyDescent="0.25">
      <c r="A393" s="3">
        <v>4</v>
      </c>
      <c r="B393" s="3" t="s">
        <v>147</v>
      </c>
      <c r="C393" s="3" t="s">
        <v>12</v>
      </c>
      <c r="D393" s="3" t="s">
        <v>444</v>
      </c>
      <c r="E393" s="11" t="s">
        <v>144</v>
      </c>
      <c r="F393" s="3" t="s">
        <v>8</v>
      </c>
      <c r="G393" s="56" t="s">
        <v>879</v>
      </c>
      <c r="H393" s="8"/>
      <c r="I393" s="8"/>
      <c r="J393" s="6" t="s">
        <v>108</v>
      </c>
      <c r="K393" s="38">
        <v>0</v>
      </c>
      <c r="L393" s="4" t="s">
        <v>29</v>
      </c>
      <c r="M393" s="11">
        <f>_xlfn.NUMBERVALUE(LEFT(Table613612[[#This Row],[Fiscal Year]], 4))</f>
        <v>2015</v>
      </c>
      <c r="N393" s="43">
        <f>K392*(1+VLOOKUP(M393,$AF$8:$AH$31,3,0))</f>
        <v>6338.5530379746833</v>
      </c>
      <c r="O393" s="3">
        <v>391</v>
      </c>
    </row>
    <row r="394" spans="1:15" x14ac:dyDescent="0.25">
      <c r="A394" s="3">
        <v>4</v>
      </c>
      <c r="B394" s="3" t="s">
        <v>147</v>
      </c>
      <c r="C394" s="3" t="s">
        <v>12</v>
      </c>
      <c r="D394" s="3" t="s">
        <v>444</v>
      </c>
      <c r="E394" s="11" t="s">
        <v>144</v>
      </c>
      <c r="F394" s="3" t="s">
        <v>8</v>
      </c>
      <c r="G394" s="56" t="s">
        <v>880</v>
      </c>
      <c r="H394" s="8"/>
      <c r="I394" s="8"/>
      <c r="J394" s="6" t="s">
        <v>76</v>
      </c>
      <c r="K394" s="38">
        <v>0</v>
      </c>
      <c r="L394" s="4" t="s">
        <v>29</v>
      </c>
      <c r="M394" s="11">
        <f>_xlfn.NUMBERVALUE(LEFT(Table613612[[#This Row],[Fiscal Year]], 4))</f>
        <v>2015</v>
      </c>
      <c r="N394" s="43">
        <f>K393*(1+VLOOKUP(M394,$AF$8:$AH$31,3,0))</f>
        <v>0</v>
      </c>
      <c r="O394" s="3">
        <v>392</v>
      </c>
    </row>
    <row r="395" spans="1:15" x14ac:dyDescent="0.25">
      <c r="A395" s="3">
        <v>4</v>
      </c>
      <c r="B395" s="3" t="s">
        <v>147</v>
      </c>
      <c r="C395" s="3" t="s">
        <v>12</v>
      </c>
      <c r="D395" s="3" t="s">
        <v>444</v>
      </c>
      <c r="E395" s="11" t="s">
        <v>144</v>
      </c>
      <c r="F395" s="3" t="s">
        <v>8</v>
      </c>
      <c r="G395" s="56" t="s">
        <v>881</v>
      </c>
      <c r="H395" s="8"/>
      <c r="I395" s="8"/>
      <c r="J395" s="6" t="s">
        <v>108</v>
      </c>
      <c r="K395" s="38" t="s">
        <v>827</v>
      </c>
      <c r="L395" s="4" t="s">
        <v>29</v>
      </c>
      <c r="M395" s="11">
        <f>_xlfn.NUMBERVALUE(LEFT(Table613612[[#This Row],[Fiscal Year]], 4))</f>
        <v>2015</v>
      </c>
      <c r="O395" s="3">
        <v>393</v>
      </c>
    </row>
    <row r="396" spans="1:15" x14ac:dyDescent="0.25">
      <c r="A396" s="3">
        <v>4</v>
      </c>
      <c r="B396" s="3" t="s">
        <v>147</v>
      </c>
      <c r="C396" s="3" t="s">
        <v>12</v>
      </c>
      <c r="D396" s="3" t="s">
        <v>444</v>
      </c>
      <c r="E396" s="11" t="s">
        <v>144</v>
      </c>
      <c r="F396" s="3" t="s">
        <v>8</v>
      </c>
      <c r="G396" s="48" t="s">
        <v>882</v>
      </c>
      <c r="H396" s="8"/>
      <c r="I396" s="8"/>
      <c r="J396" s="6" t="s">
        <v>108</v>
      </c>
      <c r="K396" s="38">
        <v>0</v>
      </c>
      <c r="L396" s="4" t="s">
        <v>29</v>
      </c>
      <c r="M396" s="11">
        <f>_xlfn.NUMBERVALUE(LEFT(Table613612[[#This Row],[Fiscal Year]], 4))</f>
        <v>2015</v>
      </c>
      <c r="N396" s="42">
        <f t="shared" ref="N396:N459" si="12">K396*(1+VLOOKUP(M396,$AF$8:$AH$31,3,0))</f>
        <v>0</v>
      </c>
      <c r="O396" s="3">
        <v>394</v>
      </c>
    </row>
    <row r="397" spans="1:15" x14ac:dyDescent="0.25">
      <c r="A397" s="3">
        <v>4</v>
      </c>
      <c r="B397" s="3" t="s">
        <v>147</v>
      </c>
      <c r="C397" s="3" t="s">
        <v>12</v>
      </c>
      <c r="D397" s="3" t="s">
        <v>444</v>
      </c>
      <c r="E397" s="11" t="s">
        <v>144</v>
      </c>
      <c r="F397" s="3" t="s">
        <v>8</v>
      </c>
      <c r="G397" s="56" t="s">
        <v>884</v>
      </c>
      <c r="H397" s="52"/>
      <c r="I397" s="52"/>
      <c r="J397" s="6" t="s">
        <v>106</v>
      </c>
      <c r="K397" s="38">
        <v>51403.98</v>
      </c>
      <c r="L397" s="4" t="s">
        <v>29</v>
      </c>
      <c r="M397" s="11">
        <f>_xlfn.NUMBERVALUE(LEFT(Table613612[[#This Row],[Fiscal Year]], 4))</f>
        <v>2015</v>
      </c>
      <c r="N397" s="42">
        <f t="shared" si="12"/>
        <v>54577.362410886075</v>
      </c>
      <c r="O397" s="3">
        <v>395</v>
      </c>
    </row>
    <row r="398" spans="1:15" x14ac:dyDescent="0.25">
      <c r="A398" s="3">
        <v>4</v>
      </c>
      <c r="B398" s="3" t="s">
        <v>147</v>
      </c>
      <c r="C398" s="3" t="s">
        <v>12</v>
      </c>
      <c r="D398" s="3" t="s">
        <v>444</v>
      </c>
      <c r="E398" s="11" t="s">
        <v>144</v>
      </c>
      <c r="F398" s="3" t="s">
        <v>8</v>
      </c>
      <c r="G398" s="48" t="s">
        <v>883</v>
      </c>
      <c r="H398" s="50" t="s">
        <v>618</v>
      </c>
      <c r="I398" s="50" t="s">
        <v>588</v>
      </c>
      <c r="J398" s="6" t="s">
        <v>106</v>
      </c>
      <c r="K398" s="38">
        <v>11126.4</v>
      </c>
      <c r="L398" s="4" t="s">
        <v>29</v>
      </c>
      <c r="M398" s="11">
        <f>_xlfn.NUMBERVALUE(LEFT(Table613612[[#This Row],[Fiscal Year]], 4))</f>
        <v>2015</v>
      </c>
      <c r="N398" s="42">
        <f t="shared" si="12"/>
        <v>11813.279149367088</v>
      </c>
      <c r="O398" s="3">
        <v>396</v>
      </c>
    </row>
    <row r="399" spans="1:15" x14ac:dyDescent="0.25">
      <c r="A399" s="3">
        <v>4</v>
      </c>
      <c r="B399" s="3" t="s">
        <v>147</v>
      </c>
      <c r="C399" s="3" t="s">
        <v>12</v>
      </c>
      <c r="D399" s="3" t="s">
        <v>444</v>
      </c>
      <c r="E399" s="11" t="s">
        <v>144</v>
      </c>
      <c r="F399" s="3" t="s">
        <v>8</v>
      </c>
      <c r="G399" s="56" t="s">
        <v>885</v>
      </c>
      <c r="H399" s="52"/>
      <c r="I399" s="52"/>
      <c r="J399" s="6" t="s">
        <v>76</v>
      </c>
      <c r="K399" s="38">
        <v>425</v>
      </c>
      <c r="L399" s="4" t="s">
        <v>29</v>
      </c>
      <c r="M399" s="11">
        <f>_xlfn.NUMBERVALUE(LEFT(Table613612[[#This Row],[Fiscal Year]], 4))</f>
        <v>2015</v>
      </c>
      <c r="N399" s="42">
        <f t="shared" si="12"/>
        <v>451.23702531645569</v>
      </c>
      <c r="O399" s="3">
        <v>397</v>
      </c>
    </row>
    <row r="400" spans="1:15" x14ac:dyDescent="0.25">
      <c r="E400" s="11"/>
      <c r="G400" s="48"/>
      <c r="H400" s="8"/>
      <c r="I400" s="8"/>
      <c r="J400" s="6"/>
      <c r="L400" s="4"/>
      <c r="O400" s="3">
        <v>398</v>
      </c>
    </row>
    <row r="401" spans="1:15" x14ac:dyDescent="0.25">
      <c r="A401" s="3">
        <v>4</v>
      </c>
      <c r="B401" s="3" t="s">
        <v>148</v>
      </c>
      <c r="C401" s="1" t="s">
        <v>12</v>
      </c>
      <c r="D401" s="1" t="s">
        <v>444</v>
      </c>
      <c r="E401" s="11" t="s">
        <v>144</v>
      </c>
      <c r="F401" s="3" t="s">
        <v>8</v>
      </c>
      <c r="G401" s="56" t="s">
        <v>829</v>
      </c>
      <c r="H401" s="8"/>
      <c r="I401" s="8"/>
      <c r="J401" s="6" t="s">
        <v>110</v>
      </c>
      <c r="K401" s="38">
        <v>80000</v>
      </c>
      <c r="L401" s="4" t="s">
        <v>29</v>
      </c>
      <c r="M401" s="11">
        <f>_xlfn.NUMBERVALUE(LEFT(Table613612[[#This Row],[Fiscal Year]], 4))</f>
        <v>2015</v>
      </c>
      <c r="N401" s="42">
        <f t="shared" si="12"/>
        <v>84938.734177215185</v>
      </c>
      <c r="O401" s="3">
        <v>399</v>
      </c>
    </row>
    <row r="402" spans="1:15" x14ac:dyDescent="0.25">
      <c r="A402" s="3">
        <v>4</v>
      </c>
      <c r="B402" s="3" t="s">
        <v>148</v>
      </c>
      <c r="C402" s="1" t="s">
        <v>12</v>
      </c>
      <c r="D402" s="1" t="s">
        <v>444</v>
      </c>
      <c r="E402" s="11" t="s">
        <v>144</v>
      </c>
      <c r="F402" s="3" t="s">
        <v>8</v>
      </c>
      <c r="G402" s="66" t="s">
        <v>886</v>
      </c>
      <c r="H402" s="8"/>
      <c r="I402" s="8"/>
      <c r="J402" s="6" t="s">
        <v>453</v>
      </c>
      <c r="K402" s="38">
        <v>20000</v>
      </c>
      <c r="L402" s="4" t="s">
        <v>29</v>
      </c>
      <c r="M402" s="11">
        <f>_xlfn.NUMBERVALUE(LEFT(Table613612[[#This Row],[Fiscal Year]], 4))</f>
        <v>2015</v>
      </c>
      <c r="N402" s="42">
        <f t="shared" si="12"/>
        <v>21234.683544303796</v>
      </c>
      <c r="O402" s="3">
        <v>400</v>
      </c>
    </row>
    <row r="403" spans="1:15" x14ac:dyDescent="0.25">
      <c r="A403" s="3">
        <v>4</v>
      </c>
      <c r="B403" s="3" t="s">
        <v>148</v>
      </c>
      <c r="C403" s="1" t="s">
        <v>12</v>
      </c>
      <c r="D403" s="1" t="s">
        <v>444</v>
      </c>
      <c r="E403" s="11" t="s">
        <v>144</v>
      </c>
      <c r="F403" s="3" t="s">
        <v>8</v>
      </c>
      <c r="G403" s="66" t="s">
        <v>845</v>
      </c>
      <c r="H403" s="8"/>
      <c r="I403" s="8"/>
      <c r="J403" s="6" t="s">
        <v>109</v>
      </c>
      <c r="K403" s="38">
        <v>80000</v>
      </c>
      <c r="L403" s="4" t="s">
        <v>29</v>
      </c>
      <c r="M403" s="11">
        <f>_xlfn.NUMBERVALUE(LEFT(Table613612[[#This Row],[Fiscal Year]], 4))</f>
        <v>2015</v>
      </c>
      <c r="N403" s="42">
        <f t="shared" si="12"/>
        <v>84938.734177215185</v>
      </c>
      <c r="O403" s="3">
        <v>401</v>
      </c>
    </row>
    <row r="404" spans="1:15" x14ac:dyDescent="0.25">
      <c r="A404" s="3">
        <v>4</v>
      </c>
      <c r="B404" s="3" t="s">
        <v>148</v>
      </c>
      <c r="C404" s="1" t="s">
        <v>12</v>
      </c>
      <c r="D404" s="1" t="s">
        <v>444</v>
      </c>
      <c r="E404" s="11" t="s">
        <v>144</v>
      </c>
      <c r="F404" s="3" t="s">
        <v>8</v>
      </c>
      <c r="G404" s="48" t="s">
        <v>846</v>
      </c>
      <c r="H404" s="8"/>
      <c r="I404" s="8"/>
      <c r="J404" s="6" t="s">
        <v>111</v>
      </c>
      <c r="K404" s="38">
        <v>18000</v>
      </c>
      <c r="L404" s="4" t="s">
        <v>29</v>
      </c>
      <c r="M404" s="11">
        <f>_xlfn.NUMBERVALUE(LEFT(Table613612[[#This Row],[Fiscal Year]], 4))</f>
        <v>2015</v>
      </c>
      <c r="N404" s="42">
        <f t="shared" si="12"/>
        <v>19111.215189873416</v>
      </c>
      <c r="O404" s="3">
        <v>402</v>
      </c>
    </row>
    <row r="405" spans="1:15" x14ac:dyDescent="0.25">
      <c r="A405" s="3">
        <v>4</v>
      </c>
      <c r="B405" s="3" t="s">
        <v>148</v>
      </c>
      <c r="C405" s="1" t="s">
        <v>12</v>
      </c>
      <c r="D405" s="1" t="s">
        <v>444</v>
      </c>
      <c r="E405" s="11" t="s">
        <v>144</v>
      </c>
      <c r="F405" s="3" t="s">
        <v>8</v>
      </c>
      <c r="G405" s="66" t="s">
        <v>847</v>
      </c>
      <c r="H405" s="8"/>
      <c r="I405" s="8"/>
      <c r="J405" s="6" t="s">
        <v>111</v>
      </c>
      <c r="K405" s="38">
        <v>27000</v>
      </c>
      <c r="L405" s="4" t="s">
        <v>29</v>
      </c>
      <c r="M405" s="11">
        <f>_xlfn.NUMBERVALUE(LEFT(Table613612[[#This Row],[Fiscal Year]], 4))</f>
        <v>2015</v>
      </c>
      <c r="N405" s="42">
        <f t="shared" si="12"/>
        <v>28666.822784810123</v>
      </c>
      <c r="O405" s="3">
        <v>403</v>
      </c>
    </row>
    <row r="406" spans="1:15" x14ac:dyDescent="0.25">
      <c r="A406" s="3">
        <v>4</v>
      </c>
      <c r="B406" s="3" t="s">
        <v>148</v>
      </c>
      <c r="C406" s="1" t="s">
        <v>12</v>
      </c>
      <c r="D406" s="1" t="s">
        <v>444</v>
      </c>
      <c r="E406" s="11" t="s">
        <v>144</v>
      </c>
      <c r="F406" s="3" t="s">
        <v>8</v>
      </c>
      <c r="G406" s="48" t="s">
        <v>857</v>
      </c>
      <c r="H406" s="8"/>
      <c r="I406" s="8"/>
      <c r="J406" s="6" t="s">
        <v>108</v>
      </c>
      <c r="K406" s="38">
        <v>1800000</v>
      </c>
      <c r="L406" s="4" t="s">
        <v>29</v>
      </c>
      <c r="M406" s="11">
        <f>_xlfn.NUMBERVALUE(LEFT(Table613612[[#This Row],[Fiscal Year]], 4))</f>
        <v>2015</v>
      </c>
      <c r="N406" s="42">
        <f t="shared" si="12"/>
        <v>1911121.5189873416</v>
      </c>
      <c r="O406" s="3">
        <v>404</v>
      </c>
    </row>
    <row r="407" spans="1:15" x14ac:dyDescent="0.25">
      <c r="A407" s="3">
        <v>4</v>
      </c>
      <c r="B407" s="3" t="s">
        <v>148</v>
      </c>
      <c r="C407" s="1" t="s">
        <v>12</v>
      </c>
      <c r="D407" s="1" t="s">
        <v>444</v>
      </c>
      <c r="E407" s="11" t="s">
        <v>144</v>
      </c>
      <c r="F407" s="3" t="s">
        <v>8</v>
      </c>
      <c r="G407" s="66" t="s">
        <v>849</v>
      </c>
      <c r="H407" s="8"/>
      <c r="I407" s="8"/>
      <c r="J407" s="6" t="s">
        <v>106</v>
      </c>
      <c r="K407" s="38">
        <v>31000</v>
      </c>
      <c r="L407" s="4" t="s">
        <v>29</v>
      </c>
      <c r="M407" s="11">
        <f>_xlfn.NUMBERVALUE(LEFT(Table613612[[#This Row],[Fiscal Year]], 4))</f>
        <v>2015</v>
      </c>
      <c r="N407" s="42">
        <f t="shared" si="12"/>
        <v>32913.759493670885</v>
      </c>
      <c r="O407" s="3">
        <v>405</v>
      </c>
    </row>
    <row r="408" spans="1:15" x14ac:dyDescent="0.25">
      <c r="A408" s="3">
        <v>4</v>
      </c>
      <c r="B408" s="3" t="s">
        <v>148</v>
      </c>
      <c r="C408" s="1" t="s">
        <v>12</v>
      </c>
      <c r="D408" s="1" t="s">
        <v>444</v>
      </c>
      <c r="E408" s="11" t="s">
        <v>144</v>
      </c>
      <c r="F408" s="3" t="s">
        <v>8</v>
      </c>
      <c r="G408" s="66" t="s">
        <v>887</v>
      </c>
      <c r="H408" s="8"/>
      <c r="I408" s="8"/>
      <c r="J408" s="6" t="s">
        <v>455</v>
      </c>
      <c r="K408" s="38">
        <v>20000</v>
      </c>
      <c r="L408" s="4" t="s">
        <v>29</v>
      </c>
      <c r="M408" s="11">
        <f>_xlfn.NUMBERVALUE(LEFT(Table613612[[#This Row],[Fiscal Year]], 4))</f>
        <v>2015</v>
      </c>
      <c r="N408" s="42">
        <f t="shared" si="12"/>
        <v>21234.683544303796</v>
      </c>
      <c r="O408" s="3">
        <v>406</v>
      </c>
    </row>
    <row r="409" spans="1:15" x14ac:dyDescent="0.25">
      <c r="A409" s="3">
        <v>4</v>
      </c>
      <c r="B409" s="3" t="s">
        <v>148</v>
      </c>
      <c r="C409" s="1" t="s">
        <v>12</v>
      </c>
      <c r="D409" s="1" t="s">
        <v>444</v>
      </c>
      <c r="E409" s="11" t="s">
        <v>144</v>
      </c>
      <c r="F409" s="3" t="s">
        <v>8</v>
      </c>
      <c r="G409" s="66" t="s">
        <v>851</v>
      </c>
      <c r="H409" s="8"/>
      <c r="I409" s="8"/>
      <c r="J409" s="6" t="s">
        <v>76</v>
      </c>
      <c r="K409" s="38">
        <v>0</v>
      </c>
      <c r="L409" s="4" t="s">
        <v>29</v>
      </c>
      <c r="M409" s="11">
        <f>_xlfn.NUMBERVALUE(LEFT(Table613612[[#This Row],[Fiscal Year]], 4))</f>
        <v>2015</v>
      </c>
      <c r="N409" s="43">
        <f t="shared" si="12"/>
        <v>0</v>
      </c>
      <c r="O409" s="3">
        <v>407</v>
      </c>
    </row>
    <row r="410" spans="1:15" x14ac:dyDescent="0.25">
      <c r="A410" s="3">
        <v>4</v>
      </c>
      <c r="B410" s="3" t="s">
        <v>148</v>
      </c>
      <c r="C410" s="1" t="s">
        <v>12</v>
      </c>
      <c r="D410" s="1" t="s">
        <v>444</v>
      </c>
      <c r="E410" s="11" t="s">
        <v>144</v>
      </c>
      <c r="F410" s="3" t="s">
        <v>8</v>
      </c>
      <c r="G410" s="66" t="s">
        <v>852</v>
      </c>
      <c r="H410" s="8"/>
      <c r="I410" s="8"/>
      <c r="J410" s="6" t="s">
        <v>76</v>
      </c>
      <c r="K410" s="38">
        <v>5000</v>
      </c>
      <c r="L410" s="4" t="s">
        <v>29</v>
      </c>
      <c r="M410" s="11">
        <f>_xlfn.NUMBERVALUE(LEFT(Table613612[[#This Row],[Fiscal Year]], 4))</f>
        <v>2015</v>
      </c>
      <c r="N410" s="42">
        <f t="shared" si="12"/>
        <v>5308.6708860759491</v>
      </c>
      <c r="O410" s="3">
        <v>408</v>
      </c>
    </row>
    <row r="411" spans="1:15" x14ac:dyDescent="0.25">
      <c r="A411" s="3">
        <v>4</v>
      </c>
      <c r="B411" s="3" t="s">
        <v>148</v>
      </c>
      <c r="C411" s="1" t="s">
        <v>12</v>
      </c>
      <c r="D411" s="1" t="s">
        <v>444</v>
      </c>
      <c r="E411" s="11" t="s">
        <v>144</v>
      </c>
      <c r="F411" s="3" t="s">
        <v>8</v>
      </c>
      <c r="G411" s="66" t="s">
        <v>853</v>
      </c>
      <c r="H411" s="8"/>
      <c r="I411" s="8"/>
      <c r="J411" s="6" t="s">
        <v>76</v>
      </c>
      <c r="K411" s="38">
        <v>260000</v>
      </c>
      <c r="L411" s="4" t="s">
        <v>29</v>
      </c>
      <c r="M411" s="11">
        <f>_xlfn.NUMBERVALUE(LEFT(Table613612[[#This Row],[Fiscal Year]], 4))</f>
        <v>2015</v>
      </c>
      <c r="N411" s="42">
        <f t="shared" si="12"/>
        <v>276050.88607594935</v>
      </c>
      <c r="O411" s="3">
        <v>409</v>
      </c>
    </row>
    <row r="412" spans="1:15" x14ac:dyDescent="0.25">
      <c r="A412" s="3">
        <v>4</v>
      </c>
      <c r="B412" s="3" t="s">
        <v>148</v>
      </c>
      <c r="C412" s="1" t="s">
        <v>12</v>
      </c>
      <c r="D412" s="1" t="s">
        <v>444</v>
      </c>
      <c r="E412" s="11" t="s">
        <v>144</v>
      </c>
      <c r="F412" s="3" t="s">
        <v>8</v>
      </c>
      <c r="G412" s="63" t="s">
        <v>854</v>
      </c>
      <c r="H412" s="8"/>
      <c r="I412" s="8"/>
      <c r="J412" s="6" t="s">
        <v>47</v>
      </c>
      <c r="K412" s="38">
        <v>60000</v>
      </c>
      <c r="L412" s="4" t="s">
        <v>29</v>
      </c>
      <c r="M412" s="11">
        <f>_xlfn.NUMBERVALUE(LEFT(Table613612[[#This Row],[Fiscal Year]], 4))</f>
        <v>2015</v>
      </c>
      <c r="N412" s="42">
        <f t="shared" si="12"/>
        <v>63704.050632911392</v>
      </c>
      <c r="O412" s="3">
        <v>410</v>
      </c>
    </row>
    <row r="413" spans="1:15" x14ac:dyDescent="0.25">
      <c r="A413" s="3">
        <v>4</v>
      </c>
      <c r="B413" s="3" t="s">
        <v>148</v>
      </c>
      <c r="C413" s="1" t="s">
        <v>12</v>
      </c>
      <c r="D413" s="1" t="s">
        <v>444</v>
      </c>
      <c r="E413" s="11" t="s">
        <v>144</v>
      </c>
      <c r="F413" s="3" t="s">
        <v>8</v>
      </c>
      <c r="G413" s="63" t="s">
        <v>855</v>
      </c>
      <c r="H413" s="8"/>
      <c r="I413" s="8"/>
      <c r="J413" s="6" t="s">
        <v>455</v>
      </c>
      <c r="K413" s="38">
        <v>25000</v>
      </c>
      <c r="L413" s="4" t="s">
        <v>29</v>
      </c>
      <c r="M413" s="11">
        <f>_xlfn.NUMBERVALUE(LEFT(Table613612[[#This Row],[Fiscal Year]], 4))</f>
        <v>2015</v>
      </c>
      <c r="N413" s="42">
        <f t="shared" si="12"/>
        <v>26543.354430379746</v>
      </c>
      <c r="O413" s="3">
        <v>411</v>
      </c>
    </row>
    <row r="414" spans="1:15" x14ac:dyDescent="0.25">
      <c r="C414" s="1"/>
      <c r="D414" s="1"/>
      <c r="E414" s="11"/>
      <c r="G414" s="66"/>
      <c r="H414" s="8"/>
      <c r="I414" s="8"/>
      <c r="J414" s="6"/>
      <c r="L414" s="4"/>
      <c r="O414" s="3">
        <v>412</v>
      </c>
    </row>
    <row r="415" spans="1:15" x14ac:dyDescent="0.25">
      <c r="A415" s="3">
        <v>4</v>
      </c>
      <c r="B415" s="3" t="s">
        <v>149</v>
      </c>
      <c r="C415" s="1" t="s">
        <v>12</v>
      </c>
      <c r="D415" s="1" t="s">
        <v>444</v>
      </c>
      <c r="E415" s="11" t="s">
        <v>144</v>
      </c>
      <c r="F415" s="3" t="s">
        <v>8</v>
      </c>
      <c r="G415" s="48" t="s">
        <v>32</v>
      </c>
      <c r="H415" s="8"/>
      <c r="I415" s="8"/>
      <c r="J415" s="6" t="s">
        <v>110</v>
      </c>
      <c r="K415" s="38">
        <v>28621</v>
      </c>
      <c r="L415" s="4" t="s">
        <v>29</v>
      </c>
      <c r="M415" s="11">
        <f>_xlfn.NUMBERVALUE(LEFT(Table613612[[#This Row],[Fiscal Year]], 4))</f>
        <v>2015</v>
      </c>
      <c r="N415" s="42">
        <f t="shared" si="12"/>
        <v>30387.893886075948</v>
      </c>
      <c r="O415" s="3">
        <v>413</v>
      </c>
    </row>
    <row r="416" spans="1:15" x14ac:dyDescent="0.25">
      <c r="A416" s="3">
        <v>4</v>
      </c>
      <c r="B416" s="3" t="s">
        <v>149</v>
      </c>
      <c r="C416" s="1" t="s">
        <v>12</v>
      </c>
      <c r="D416" s="1" t="s">
        <v>444</v>
      </c>
      <c r="E416" s="11" t="s">
        <v>144</v>
      </c>
      <c r="F416" s="3" t="s">
        <v>8</v>
      </c>
      <c r="G416" s="66" t="s">
        <v>58</v>
      </c>
      <c r="H416" s="8"/>
      <c r="I416" s="8"/>
      <c r="J416" s="6" t="s">
        <v>453</v>
      </c>
      <c r="K416" s="38">
        <v>65805.13</v>
      </c>
      <c r="L416" s="4" t="s">
        <v>29</v>
      </c>
      <c r="M416" s="11">
        <f>_xlfn.NUMBERVALUE(LEFT(Table613612[[#This Row],[Fiscal Year]], 4))</f>
        <v>2015</v>
      </c>
      <c r="N416" s="42">
        <f t="shared" si="12"/>
        <v>69867.555557088606</v>
      </c>
      <c r="O416" s="3">
        <v>414</v>
      </c>
    </row>
    <row r="417" spans="1:15" x14ac:dyDescent="0.25">
      <c r="A417" s="3">
        <v>4</v>
      </c>
      <c r="B417" s="3" t="s">
        <v>149</v>
      </c>
      <c r="C417" s="1" t="s">
        <v>12</v>
      </c>
      <c r="D417" s="1" t="s">
        <v>444</v>
      </c>
      <c r="E417" s="11" t="s">
        <v>144</v>
      </c>
      <c r="F417" s="3" t="s">
        <v>8</v>
      </c>
      <c r="G417" s="66" t="s">
        <v>208</v>
      </c>
      <c r="H417" s="8"/>
      <c r="I417" s="8"/>
      <c r="J417" s="6" t="s">
        <v>109</v>
      </c>
      <c r="K417" s="38">
        <v>138831.17000000001</v>
      </c>
      <c r="L417" s="4" t="s">
        <v>29</v>
      </c>
      <c r="M417" s="11">
        <f>_xlfn.NUMBERVALUE(LEFT(Table613612[[#This Row],[Fiscal Year]], 4))</f>
        <v>2015</v>
      </c>
      <c r="N417" s="42">
        <f t="shared" si="12"/>
        <v>147401.79805177214</v>
      </c>
      <c r="O417" s="3">
        <v>415</v>
      </c>
    </row>
    <row r="418" spans="1:15" x14ac:dyDescent="0.25">
      <c r="A418" s="3">
        <v>4</v>
      </c>
      <c r="B418" s="3" t="s">
        <v>149</v>
      </c>
      <c r="C418" s="1" t="s">
        <v>12</v>
      </c>
      <c r="D418" s="1" t="s">
        <v>444</v>
      </c>
      <c r="E418" s="11" t="s">
        <v>144</v>
      </c>
      <c r="F418" s="3" t="s">
        <v>8</v>
      </c>
      <c r="G418" s="48" t="s">
        <v>59</v>
      </c>
      <c r="H418" s="8"/>
      <c r="I418" s="8"/>
      <c r="J418" s="6" t="s">
        <v>111</v>
      </c>
      <c r="K418" s="38" t="s">
        <v>28</v>
      </c>
      <c r="L418" s="4" t="s">
        <v>29</v>
      </c>
      <c r="M418" s="11">
        <f>_xlfn.NUMBERVALUE(LEFT(Table613612[[#This Row],[Fiscal Year]], 4))</f>
        <v>2015</v>
      </c>
      <c r="O418" s="3">
        <v>416</v>
      </c>
    </row>
    <row r="419" spans="1:15" x14ac:dyDescent="0.25">
      <c r="A419" s="3">
        <v>4</v>
      </c>
      <c r="B419" s="3" t="s">
        <v>149</v>
      </c>
      <c r="C419" s="1" t="s">
        <v>12</v>
      </c>
      <c r="D419" s="1" t="s">
        <v>444</v>
      </c>
      <c r="E419" s="11" t="s">
        <v>144</v>
      </c>
      <c r="F419" s="3" t="s">
        <v>8</v>
      </c>
      <c r="G419" s="66" t="s">
        <v>60</v>
      </c>
      <c r="H419" s="8"/>
      <c r="I419" s="8"/>
      <c r="J419" s="6" t="s">
        <v>111</v>
      </c>
      <c r="K419" s="38">
        <v>3270</v>
      </c>
      <c r="L419" s="4" t="s">
        <v>29</v>
      </c>
      <c r="M419" s="11">
        <f>_xlfn.NUMBERVALUE(LEFT(Table613612[[#This Row],[Fiscal Year]], 4))</f>
        <v>2015</v>
      </c>
      <c r="N419" s="42">
        <f t="shared" si="12"/>
        <v>3471.8707594936709</v>
      </c>
      <c r="O419" s="3">
        <v>417</v>
      </c>
    </row>
    <row r="420" spans="1:15" x14ac:dyDescent="0.25">
      <c r="A420" s="3">
        <v>4</v>
      </c>
      <c r="B420" s="3" t="s">
        <v>149</v>
      </c>
      <c r="C420" s="1" t="s">
        <v>12</v>
      </c>
      <c r="D420" s="1" t="s">
        <v>444</v>
      </c>
      <c r="E420" s="11" t="s">
        <v>144</v>
      </c>
      <c r="F420" s="3" t="s">
        <v>8</v>
      </c>
      <c r="G420" s="48" t="s">
        <v>61</v>
      </c>
      <c r="H420" s="8"/>
      <c r="I420" s="8"/>
      <c r="J420" s="6" t="s">
        <v>108</v>
      </c>
      <c r="K420" s="38">
        <v>13950</v>
      </c>
      <c r="L420" s="4" t="s">
        <v>29</v>
      </c>
      <c r="M420" s="11">
        <f>_xlfn.NUMBERVALUE(LEFT(Table613612[[#This Row],[Fiscal Year]], 4))</f>
        <v>2015</v>
      </c>
      <c r="N420" s="42">
        <f t="shared" si="12"/>
        <v>14811.191772151898</v>
      </c>
      <c r="O420" s="3">
        <v>418</v>
      </c>
    </row>
    <row r="421" spans="1:15" x14ac:dyDescent="0.25">
      <c r="A421" s="3">
        <v>4</v>
      </c>
      <c r="B421" s="3" t="s">
        <v>149</v>
      </c>
      <c r="C421" s="1" t="s">
        <v>12</v>
      </c>
      <c r="D421" s="1" t="s">
        <v>444</v>
      </c>
      <c r="E421" s="11" t="s">
        <v>144</v>
      </c>
      <c r="F421" s="3" t="s">
        <v>8</v>
      </c>
      <c r="G421" s="66" t="s">
        <v>62</v>
      </c>
      <c r="H421" s="8"/>
      <c r="I421" s="8"/>
      <c r="J421" s="6" t="s">
        <v>106</v>
      </c>
      <c r="K421" s="39" t="s">
        <v>213</v>
      </c>
      <c r="L421" s="4" t="s">
        <v>29</v>
      </c>
      <c r="M421" s="11">
        <f>_xlfn.NUMBERVALUE(LEFT(Table613612[[#This Row],[Fiscal Year]], 4))</f>
        <v>2015</v>
      </c>
      <c r="O421" s="3">
        <v>419</v>
      </c>
    </row>
    <row r="422" spans="1:15" x14ac:dyDescent="0.25">
      <c r="A422" s="3">
        <v>4</v>
      </c>
      <c r="B422" s="3" t="s">
        <v>149</v>
      </c>
      <c r="C422" s="1" t="s">
        <v>12</v>
      </c>
      <c r="D422" s="1" t="s">
        <v>444</v>
      </c>
      <c r="E422" s="11" t="s">
        <v>144</v>
      </c>
      <c r="F422" s="3" t="s">
        <v>8</v>
      </c>
      <c r="G422" s="66" t="s">
        <v>211</v>
      </c>
      <c r="H422" s="8"/>
      <c r="I422" s="8"/>
      <c r="J422" s="6" t="s">
        <v>455</v>
      </c>
      <c r="K422" s="38">
        <v>1160000</v>
      </c>
      <c r="L422" s="4" t="s">
        <v>29</v>
      </c>
      <c r="M422" s="11">
        <f>_xlfn.NUMBERVALUE(LEFT(Table613612[[#This Row],[Fiscal Year]], 4))</f>
        <v>2015</v>
      </c>
      <c r="N422" s="42">
        <f t="shared" si="12"/>
        <v>1231611.6455696202</v>
      </c>
      <c r="O422" s="3">
        <v>420</v>
      </c>
    </row>
    <row r="423" spans="1:15" x14ac:dyDescent="0.25">
      <c r="A423" s="3">
        <v>4</v>
      </c>
      <c r="B423" s="3" t="s">
        <v>149</v>
      </c>
      <c r="C423" s="1" t="s">
        <v>12</v>
      </c>
      <c r="D423" s="1" t="s">
        <v>444</v>
      </c>
      <c r="E423" s="11" t="s">
        <v>144</v>
      </c>
      <c r="F423" s="3" t="s">
        <v>8</v>
      </c>
      <c r="G423" s="66" t="s">
        <v>64</v>
      </c>
      <c r="H423" s="8"/>
      <c r="I423" s="8"/>
      <c r="J423" s="6" t="s">
        <v>76</v>
      </c>
      <c r="K423" s="38">
        <v>0</v>
      </c>
      <c r="L423" s="4" t="s">
        <v>29</v>
      </c>
      <c r="M423" s="11">
        <f>_xlfn.NUMBERVALUE(LEFT(Table613612[[#This Row],[Fiscal Year]], 4))</f>
        <v>2015</v>
      </c>
      <c r="N423" s="43">
        <f t="shared" si="12"/>
        <v>0</v>
      </c>
      <c r="O423" s="3">
        <v>421</v>
      </c>
    </row>
    <row r="424" spans="1:15" x14ac:dyDescent="0.25">
      <c r="A424" s="3">
        <v>4</v>
      </c>
      <c r="B424" s="3" t="s">
        <v>149</v>
      </c>
      <c r="C424" s="1" t="s">
        <v>12</v>
      </c>
      <c r="D424" s="1" t="s">
        <v>444</v>
      </c>
      <c r="E424" s="11" t="s">
        <v>144</v>
      </c>
      <c r="F424" s="3" t="s">
        <v>8</v>
      </c>
      <c r="G424" s="66" t="s">
        <v>65</v>
      </c>
      <c r="H424" s="8"/>
      <c r="I424" s="8"/>
      <c r="J424" s="6" t="s">
        <v>76</v>
      </c>
      <c r="K424" s="38">
        <v>313316</v>
      </c>
      <c r="L424" s="4" t="s">
        <v>29</v>
      </c>
      <c r="M424" s="11">
        <f>_xlfn.NUMBERVALUE(LEFT(Table613612[[#This Row],[Fiscal Year]], 4))</f>
        <v>2015</v>
      </c>
      <c r="N424" s="42">
        <f>K424*(1+VLOOKUP(M424,$AF$8:$AH$31,3,0))</f>
        <v>332658.30546835443</v>
      </c>
      <c r="O424" s="3">
        <v>422</v>
      </c>
    </row>
    <row r="425" spans="1:15" x14ac:dyDescent="0.25">
      <c r="A425" s="3">
        <v>4</v>
      </c>
      <c r="B425" s="3" t="s">
        <v>149</v>
      </c>
      <c r="C425" s="1" t="s">
        <v>12</v>
      </c>
      <c r="D425" s="1" t="s">
        <v>444</v>
      </c>
      <c r="E425" s="11" t="s">
        <v>144</v>
      </c>
      <c r="F425" s="3" t="s">
        <v>8</v>
      </c>
      <c r="G425" s="66" t="s">
        <v>66</v>
      </c>
      <c r="H425" s="8"/>
      <c r="I425" s="8"/>
      <c r="J425" s="6" t="s">
        <v>76</v>
      </c>
      <c r="K425" s="38">
        <v>0</v>
      </c>
      <c r="L425" s="4" t="s">
        <v>29</v>
      </c>
      <c r="M425" s="11">
        <f>_xlfn.NUMBERVALUE(LEFT(Table613612[[#This Row],[Fiscal Year]], 4))</f>
        <v>2015</v>
      </c>
      <c r="N425" s="43">
        <f t="shared" si="12"/>
        <v>0</v>
      </c>
      <c r="O425" s="3">
        <v>423</v>
      </c>
    </row>
    <row r="426" spans="1:15" x14ac:dyDescent="0.25">
      <c r="A426" s="3">
        <v>4</v>
      </c>
      <c r="B426" s="3" t="s">
        <v>149</v>
      </c>
      <c r="C426" s="1" t="s">
        <v>12</v>
      </c>
      <c r="D426" s="1" t="s">
        <v>444</v>
      </c>
      <c r="E426" s="11" t="s">
        <v>144</v>
      </c>
      <c r="F426" s="3" t="s">
        <v>8</v>
      </c>
      <c r="G426" s="66" t="s">
        <v>33</v>
      </c>
      <c r="H426" s="8"/>
      <c r="I426" s="8"/>
      <c r="J426" s="6" t="s">
        <v>47</v>
      </c>
      <c r="K426" s="38">
        <v>391237</v>
      </c>
      <c r="L426" s="4" t="s">
        <v>29</v>
      </c>
      <c r="M426" s="11">
        <f>_xlfn.NUMBERVALUE(LEFT(Table613612[[#This Row],[Fiscal Year]], 4))</f>
        <v>2015</v>
      </c>
      <c r="N426" s="42">
        <f t="shared" si="12"/>
        <v>415389.6942911392</v>
      </c>
      <c r="O426" s="3">
        <v>424</v>
      </c>
    </row>
    <row r="427" spans="1:15" x14ac:dyDescent="0.25">
      <c r="A427" s="3">
        <v>4</v>
      </c>
      <c r="B427" s="3" t="s">
        <v>149</v>
      </c>
      <c r="C427" s="1" t="s">
        <v>12</v>
      </c>
      <c r="D427" s="1" t="s">
        <v>444</v>
      </c>
      <c r="E427" s="11" t="s">
        <v>144</v>
      </c>
      <c r="F427" s="3" t="s">
        <v>8</v>
      </c>
      <c r="G427" s="66" t="s">
        <v>67</v>
      </c>
      <c r="H427" s="8"/>
      <c r="I427" s="8"/>
      <c r="J427" s="6" t="s">
        <v>455</v>
      </c>
      <c r="K427" s="38">
        <v>9971</v>
      </c>
      <c r="L427" s="4" t="s">
        <v>29</v>
      </c>
      <c r="M427" s="11">
        <f>_xlfn.NUMBERVALUE(LEFT(Table613612[[#This Row],[Fiscal Year]], 4))</f>
        <v>2015</v>
      </c>
      <c r="N427" s="42">
        <f t="shared" si="12"/>
        <v>10586.551481012657</v>
      </c>
      <c r="O427" s="3">
        <v>425</v>
      </c>
    </row>
    <row r="428" spans="1:15" x14ac:dyDescent="0.25">
      <c r="C428" s="1"/>
      <c r="D428" s="1"/>
      <c r="G428" s="66"/>
      <c r="H428" s="8"/>
      <c r="I428" s="8"/>
      <c r="J428" s="6"/>
      <c r="L428" s="4"/>
      <c r="O428" s="3">
        <v>426</v>
      </c>
    </row>
    <row r="429" spans="1:15" x14ac:dyDescent="0.25">
      <c r="A429" s="3">
        <v>4</v>
      </c>
      <c r="B429" s="3" t="s">
        <v>150</v>
      </c>
      <c r="C429" s="1" t="s">
        <v>12</v>
      </c>
      <c r="D429" s="1" t="s">
        <v>444</v>
      </c>
      <c r="E429" s="11" t="s">
        <v>144</v>
      </c>
      <c r="F429" s="3" t="s">
        <v>8</v>
      </c>
      <c r="G429" s="56" t="s">
        <v>829</v>
      </c>
      <c r="H429" s="8"/>
      <c r="I429" s="8"/>
      <c r="J429" s="6" t="s">
        <v>110</v>
      </c>
      <c r="K429" s="38">
        <v>40000</v>
      </c>
      <c r="L429" s="4" t="s">
        <v>29</v>
      </c>
      <c r="M429" s="11">
        <f>_xlfn.NUMBERVALUE(LEFT(Table613612[[#This Row],[Fiscal Year]], 4))</f>
        <v>2015</v>
      </c>
      <c r="N429" s="42">
        <f t="shared" si="12"/>
        <v>42469.367088607592</v>
      </c>
      <c r="O429" s="3">
        <v>427</v>
      </c>
    </row>
    <row r="430" spans="1:15" x14ac:dyDescent="0.25">
      <c r="A430" s="3">
        <v>4</v>
      </c>
      <c r="B430" s="3" t="s">
        <v>150</v>
      </c>
      <c r="C430" s="1" t="s">
        <v>12</v>
      </c>
      <c r="D430" s="1" t="s">
        <v>444</v>
      </c>
      <c r="E430" s="11" t="s">
        <v>144</v>
      </c>
      <c r="F430" s="3" t="s">
        <v>8</v>
      </c>
      <c r="G430" s="66" t="s">
        <v>886</v>
      </c>
      <c r="H430" s="8"/>
      <c r="I430" s="8"/>
      <c r="J430" s="6" t="s">
        <v>453</v>
      </c>
      <c r="K430" s="38">
        <v>10000</v>
      </c>
      <c r="L430" s="4" t="s">
        <v>29</v>
      </c>
      <c r="M430" s="11">
        <f>_xlfn.NUMBERVALUE(LEFT(Table613612[[#This Row],[Fiscal Year]], 4))</f>
        <v>2015</v>
      </c>
      <c r="N430" s="42">
        <f t="shared" si="12"/>
        <v>10617.341772151898</v>
      </c>
      <c r="O430" s="3">
        <v>428</v>
      </c>
    </row>
    <row r="431" spans="1:15" x14ac:dyDescent="0.25">
      <c r="A431" s="3">
        <v>4</v>
      </c>
      <c r="B431" s="3" t="s">
        <v>150</v>
      </c>
      <c r="C431" s="1" t="s">
        <v>12</v>
      </c>
      <c r="D431" s="1" t="s">
        <v>444</v>
      </c>
      <c r="E431" s="11" t="s">
        <v>144</v>
      </c>
      <c r="F431" s="3" t="s">
        <v>8</v>
      </c>
      <c r="G431" s="48" t="s">
        <v>888</v>
      </c>
      <c r="H431" s="8"/>
      <c r="I431" s="8"/>
      <c r="J431" s="6" t="s">
        <v>109</v>
      </c>
      <c r="K431" s="38">
        <v>45000</v>
      </c>
      <c r="L431" s="4" t="s">
        <v>29</v>
      </c>
      <c r="M431" s="11">
        <f>_xlfn.NUMBERVALUE(LEFT(Table613612[[#This Row],[Fiscal Year]], 4))</f>
        <v>2015</v>
      </c>
      <c r="N431" s="42">
        <f t="shared" si="12"/>
        <v>47778.037974683539</v>
      </c>
      <c r="O431" s="3">
        <v>429</v>
      </c>
    </row>
    <row r="432" spans="1:15" x14ac:dyDescent="0.25">
      <c r="A432" s="3">
        <v>4</v>
      </c>
      <c r="B432" s="3" t="s">
        <v>150</v>
      </c>
      <c r="C432" s="1" t="s">
        <v>12</v>
      </c>
      <c r="D432" s="1" t="s">
        <v>444</v>
      </c>
      <c r="E432" s="11" t="s">
        <v>144</v>
      </c>
      <c r="F432" s="3" t="s">
        <v>8</v>
      </c>
      <c r="G432" s="48" t="s">
        <v>846</v>
      </c>
      <c r="H432" s="8"/>
      <c r="I432" s="8"/>
      <c r="J432" s="6" t="s">
        <v>111</v>
      </c>
      <c r="K432" s="38">
        <v>8000</v>
      </c>
      <c r="L432" s="4" t="s">
        <v>29</v>
      </c>
      <c r="M432" s="11">
        <f>_xlfn.NUMBERVALUE(LEFT(Table613612[[#This Row],[Fiscal Year]], 4))</f>
        <v>2015</v>
      </c>
      <c r="N432" s="42">
        <f t="shared" si="12"/>
        <v>8493.8734177215192</v>
      </c>
      <c r="O432" s="3">
        <v>430</v>
      </c>
    </row>
    <row r="433" spans="1:15" x14ac:dyDescent="0.25">
      <c r="A433" s="3">
        <v>4</v>
      </c>
      <c r="B433" s="3" t="s">
        <v>150</v>
      </c>
      <c r="C433" s="1" t="s">
        <v>12</v>
      </c>
      <c r="D433" s="1" t="s">
        <v>444</v>
      </c>
      <c r="E433" s="11" t="s">
        <v>144</v>
      </c>
      <c r="F433" s="3" t="s">
        <v>8</v>
      </c>
      <c r="G433" s="66" t="s">
        <v>889</v>
      </c>
      <c r="H433" s="8"/>
      <c r="I433" s="8"/>
      <c r="J433" s="6" t="s">
        <v>111</v>
      </c>
      <c r="K433" s="38">
        <v>5000</v>
      </c>
      <c r="L433" s="4" t="s">
        <v>29</v>
      </c>
      <c r="M433" s="11">
        <f>_xlfn.NUMBERVALUE(LEFT(Table613612[[#This Row],[Fiscal Year]], 4))</f>
        <v>2015</v>
      </c>
      <c r="N433" s="42">
        <f t="shared" si="12"/>
        <v>5308.6708860759491</v>
      </c>
      <c r="O433" s="3">
        <v>431</v>
      </c>
    </row>
    <row r="434" spans="1:15" x14ac:dyDescent="0.25">
      <c r="A434" s="3">
        <v>4</v>
      </c>
      <c r="B434" s="3" t="s">
        <v>150</v>
      </c>
      <c r="C434" s="1" t="s">
        <v>12</v>
      </c>
      <c r="D434" s="1" t="s">
        <v>444</v>
      </c>
      <c r="E434" s="11" t="s">
        <v>144</v>
      </c>
      <c r="F434" s="3" t="s">
        <v>8</v>
      </c>
      <c r="G434" s="48" t="s">
        <v>890</v>
      </c>
      <c r="H434" s="8"/>
      <c r="I434" s="8"/>
      <c r="J434" s="6" t="s">
        <v>108</v>
      </c>
      <c r="K434" s="38">
        <v>250000</v>
      </c>
      <c r="L434" s="4" t="s">
        <v>29</v>
      </c>
      <c r="M434" s="11">
        <f>_xlfn.NUMBERVALUE(LEFT(Table613612[[#This Row],[Fiscal Year]], 4))</f>
        <v>2015</v>
      </c>
      <c r="N434" s="42">
        <f t="shared" si="12"/>
        <v>265433.54430379748</v>
      </c>
      <c r="O434" s="3">
        <v>432</v>
      </c>
    </row>
    <row r="435" spans="1:15" x14ac:dyDescent="0.25">
      <c r="A435" s="3">
        <v>4</v>
      </c>
      <c r="B435" s="3" t="s">
        <v>150</v>
      </c>
      <c r="C435" s="1" t="s">
        <v>12</v>
      </c>
      <c r="D435" s="1" t="s">
        <v>444</v>
      </c>
      <c r="E435" s="11" t="s">
        <v>144</v>
      </c>
      <c r="F435" s="3" t="s">
        <v>8</v>
      </c>
      <c r="G435" s="66" t="s">
        <v>891</v>
      </c>
      <c r="H435" s="8"/>
      <c r="I435" s="8"/>
      <c r="J435" s="6" t="s">
        <v>106</v>
      </c>
      <c r="K435" s="38">
        <v>10000</v>
      </c>
      <c r="L435" s="4" t="s">
        <v>29</v>
      </c>
      <c r="M435" s="11">
        <f>_xlfn.NUMBERVALUE(LEFT(Table613612[[#This Row],[Fiscal Year]], 4))</f>
        <v>2015</v>
      </c>
      <c r="N435" s="42">
        <f t="shared" si="12"/>
        <v>10617.341772151898</v>
      </c>
      <c r="O435" s="3">
        <v>433</v>
      </c>
    </row>
    <row r="436" spans="1:15" x14ac:dyDescent="0.25">
      <c r="A436" s="3">
        <v>4</v>
      </c>
      <c r="B436" s="3" t="s">
        <v>150</v>
      </c>
      <c r="C436" s="1" t="s">
        <v>12</v>
      </c>
      <c r="D436" s="1" t="s">
        <v>444</v>
      </c>
      <c r="E436" s="11" t="s">
        <v>144</v>
      </c>
      <c r="F436" s="3" t="s">
        <v>8</v>
      </c>
      <c r="G436" s="66" t="s">
        <v>887</v>
      </c>
      <c r="H436" s="8"/>
      <c r="I436" s="8"/>
      <c r="J436" s="6" t="s">
        <v>455</v>
      </c>
      <c r="K436" s="38">
        <v>0</v>
      </c>
      <c r="L436" s="4" t="s">
        <v>29</v>
      </c>
      <c r="M436" s="11">
        <f>_xlfn.NUMBERVALUE(LEFT(Table613612[[#This Row],[Fiscal Year]], 4))</f>
        <v>2015</v>
      </c>
      <c r="N436" s="43">
        <f t="shared" si="12"/>
        <v>0</v>
      </c>
      <c r="O436" s="3">
        <v>434</v>
      </c>
    </row>
    <row r="437" spans="1:15" x14ac:dyDescent="0.25">
      <c r="A437" s="3">
        <v>4</v>
      </c>
      <c r="B437" s="3" t="s">
        <v>150</v>
      </c>
      <c r="C437" s="1" t="s">
        <v>12</v>
      </c>
      <c r="D437" s="1" t="s">
        <v>444</v>
      </c>
      <c r="E437" s="11" t="s">
        <v>144</v>
      </c>
      <c r="F437" s="3" t="s">
        <v>8</v>
      </c>
      <c r="G437" s="66" t="s">
        <v>851</v>
      </c>
      <c r="H437" s="8"/>
      <c r="I437" s="8"/>
      <c r="J437" s="6" t="s">
        <v>76</v>
      </c>
      <c r="K437" s="38">
        <v>0</v>
      </c>
      <c r="L437" s="4" t="s">
        <v>29</v>
      </c>
      <c r="M437" s="11">
        <f>_xlfn.NUMBERVALUE(LEFT(Table613612[[#This Row],[Fiscal Year]], 4))</f>
        <v>2015</v>
      </c>
      <c r="N437" s="43">
        <f t="shared" si="12"/>
        <v>0</v>
      </c>
      <c r="O437" s="3">
        <v>435</v>
      </c>
    </row>
    <row r="438" spans="1:15" x14ac:dyDescent="0.25">
      <c r="A438" s="3">
        <v>4</v>
      </c>
      <c r="B438" s="3" t="s">
        <v>150</v>
      </c>
      <c r="C438" s="1" t="s">
        <v>12</v>
      </c>
      <c r="D438" s="1" t="s">
        <v>444</v>
      </c>
      <c r="E438" s="11" t="s">
        <v>144</v>
      </c>
      <c r="F438" s="3" t="s">
        <v>8</v>
      </c>
      <c r="G438" s="66" t="s">
        <v>852</v>
      </c>
      <c r="H438" s="8"/>
      <c r="I438" s="8"/>
      <c r="J438" s="6" t="s">
        <v>76</v>
      </c>
      <c r="K438" s="38">
        <v>0</v>
      </c>
      <c r="L438" s="4" t="s">
        <v>29</v>
      </c>
      <c r="M438" s="11">
        <f>_xlfn.NUMBERVALUE(LEFT(Table613612[[#This Row],[Fiscal Year]], 4))</f>
        <v>2015</v>
      </c>
      <c r="N438" s="43">
        <f t="shared" si="12"/>
        <v>0</v>
      </c>
      <c r="O438" s="3">
        <v>436</v>
      </c>
    </row>
    <row r="439" spans="1:15" x14ac:dyDescent="0.25">
      <c r="A439" s="3">
        <v>4</v>
      </c>
      <c r="B439" s="3" t="s">
        <v>150</v>
      </c>
      <c r="C439" s="1" t="s">
        <v>12</v>
      </c>
      <c r="D439" s="1" t="s">
        <v>444</v>
      </c>
      <c r="E439" s="11" t="s">
        <v>144</v>
      </c>
      <c r="F439" s="3" t="s">
        <v>8</v>
      </c>
      <c r="G439" s="66" t="s">
        <v>853</v>
      </c>
      <c r="H439" s="8"/>
      <c r="I439" s="8"/>
      <c r="J439" s="6" t="s">
        <v>76</v>
      </c>
      <c r="K439" s="38">
        <v>0</v>
      </c>
      <c r="L439" s="4" t="s">
        <v>29</v>
      </c>
      <c r="M439" s="11">
        <f>_xlfn.NUMBERVALUE(LEFT(Table613612[[#This Row],[Fiscal Year]], 4))</f>
        <v>2015</v>
      </c>
      <c r="N439" s="43">
        <f t="shared" si="12"/>
        <v>0</v>
      </c>
      <c r="O439" s="3">
        <v>437</v>
      </c>
    </row>
    <row r="440" spans="1:15" x14ac:dyDescent="0.25">
      <c r="A440" s="3">
        <v>4</v>
      </c>
      <c r="B440" s="3" t="s">
        <v>150</v>
      </c>
      <c r="C440" s="1" t="s">
        <v>12</v>
      </c>
      <c r="D440" s="1" t="s">
        <v>444</v>
      </c>
      <c r="E440" s="11" t="s">
        <v>144</v>
      </c>
      <c r="F440" s="3" t="s">
        <v>8</v>
      </c>
      <c r="G440" s="63" t="s">
        <v>854</v>
      </c>
      <c r="H440" s="8"/>
      <c r="I440" s="8"/>
      <c r="J440" s="6" t="s">
        <v>47</v>
      </c>
      <c r="K440" s="38">
        <v>45000</v>
      </c>
      <c r="L440" s="4" t="s">
        <v>29</v>
      </c>
      <c r="M440" s="11">
        <f>_xlfn.NUMBERVALUE(LEFT(Table613612[[#This Row],[Fiscal Year]], 4))</f>
        <v>2015</v>
      </c>
      <c r="N440" s="42">
        <f t="shared" si="12"/>
        <v>47778.037974683539</v>
      </c>
      <c r="O440" s="3">
        <v>438</v>
      </c>
    </row>
    <row r="441" spans="1:15" x14ac:dyDescent="0.25">
      <c r="A441" s="3">
        <v>4</v>
      </c>
      <c r="B441" s="3" t="s">
        <v>150</v>
      </c>
      <c r="C441" s="1" t="s">
        <v>12</v>
      </c>
      <c r="D441" s="1" t="s">
        <v>444</v>
      </c>
      <c r="E441" s="11" t="s">
        <v>144</v>
      </c>
      <c r="F441" s="3" t="s">
        <v>8</v>
      </c>
      <c r="G441" s="63" t="s">
        <v>892</v>
      </c>
      <c r="H441" s="8"/>
      <c r="I441" s="8"/>
      <c r="J441" s="6" t="s">
        <v>455</v>
      </c>
      <c r="K441" s="38">
        <v>50000</v>
      </c>
      <c r="L441" s="4" t="s">
        <v>29</v>
      </c>
      <c r="M441" s="11">
        <f>_xlfn.NUMBERVALUE(LEFT(Table613612[[#This Row],[Fiscal Year]], 4))</f>
        <v>2015</v>
      </c>
      <c r="N441" s="42">
        <f t="shared" si="12"/>
        <v>53086.708860759492</v>
      </c>
      <c r="O441" s="3">
        <v>439</v>
      </c>
    </row>
    <row r="442" spans="1:15" x14ac:dyDescent="0.25">
      <c r="C442" s="1"/>
      <c r="D442" s="1"/>
      <c r="G442" s="66"/>
      <c r="H442" s="8"/>
      <c r="I442" s="8"/>
      <c r="J442" s="6"/>
      <c r="L442" s="4"/>
      <c r="O442" s="3">
        <v>440</v>
      </c>
    </row>
    <row r="443" spans="1:15" x14ac:dyDescent="0.25">
      <c r="A443" s="3">
        <v>4</v>
      </c>
      <c r="B443" s="3" t="s">
        <v>151</v>
      </c>
      <c r="C443" s="1" t="s">
        <v>12</v>
      </c>
      <c r="D443" s="1" t="s">
        <v>444</v>
      </c>
      <c r="E443" s="11" t="s">
        <v>144</v>
      </c>
      <c r="F443" s="3" t="s">
        <v>8</v>
      </c>
      <c r="G443" s="56" t="s">
        <v>829</v>
      </c>
      <c r="H443" s="8"/>
      <c r="I443" s="8"/>
      <c r="J443" s="6" t="s">
        <v>110</v>
      </c>
      <c r="K443" s="38">
        <v>551667.29</v>
      </c>
      <c r="L443" s="4" t="s">
        <v>29</v>
      </c>
      <c r="M443" s="11">
        <f>_xlfn.NUMBERVALUE(LEFT(Table613612[[#This Row],[Fiscal Year]], 4))</f>
        <v>2015</v>
      </c>
      <c r="N443" s="42">
        <f t="shared" si="12"/>
        <v>585724.01624468353</v>
      </c>
      <c r="O443" s="3">
        <v>441</v>
      </c>
    </row>
    <row r="444" spans="1:15" x14ac:dyDescent="0.25">
      <c r="A444" s="3">
        <v>4</v>
      </c>
      <c r="B444" s="3" t="s">
        <v>151</v>
      </c>
      <c r="C444" s="1" t="s">
        <v>12</v>
      </c>
      <c r="D444" s="1" t="s">
        <v>444</v>
      </c>
      <c r="E444" s="11" t="s">
        <v>144</v>
      </c>
      <c r="F444" s="3" t="s">
        <v>8</v>
      </c>
      <c r="G444" s="66" t="s">
        <v>893</v>
      </c>
      <c r="H444" s="8"/>
      <c r="I444" s="8"/>
      <c r="J444" s="6" t="s">
        <v>453</v>
      </c>
      <c r="K444" s="38">
        <v>1000</v>
      </c>
      <c r="L444" s="4" t="s">
        <v>29</v>
      </c>
      <c r="M444" s="11">
        <f>_xlfn.NUMBERVALUE(LEFT(Table613612[[#This Row],[Fiscal Year]], 4))</f>
        <v>2015</v>
      </c>
      <c r="N444" s="42">
        <f t="shared" si="12"/>
        <v>1061.7341772151899</v>
      </c>
      <c r="O444" s="3">
        <v>442</v>
      </c>
    </row>
    <row r="445" spans="1:15" x14ac:dyDescent="0.25">
      <c r="A445" s="3">
        <v>4</v>
      </c>
      <c r="B445" s="3" t="s">
        <v>151</v>
      </c>
      <c r="C445" s="1" t="s">
        <v>12</v>
      </c>
      <c r="D445" s="1" t="s">
        <v>444</v>
      </c>
      <c r="E445" s="11" t="s">
        <v>144</v>
      </c>
      <c r="F445" s="3" t="s">
        <v>8</v>
      </c>
      <c r="G445" s="66" t="s">
        <v>894</v>
      </c>
      <c r="H445" s="8"/>
      <c r="I445" s="8"/>
      <c r="J445" s="6" t="s">
        <v>109</v>
      </c>
      <c r="K445" s="38">
        <v>50154</v>
      </c>
      <c r="L445" s="4" t="s">
        <v>29</v>
      </c>
      <c r="M445" s="11">
        <f>_xlfn.NUMBERVALUE(LEFT(Table613612[[#This Row],[Fiscal Year]], 4))</f>
        <v>2015</v>
      </c>
      <c r="N445" s="42">
        <f t="shared" si="12"/>
        <v>53250.21592405063</v>
      </c>
      <c r="O445" s="3">
        <v>443</v>
      </c>
    </row>
    <row r="446" spans="1:15" x14ac:dyDescent="0.25">
      <c r="A446" s="3">
        <v>4</v>
      </c>
      <c r="B446" s="3" t="s">
        <v>151</v>
      </c>
      <c r="C446" s="1" t="s">
        <v>12</v>
      </c>
      <c r="D446" s="1" t="s">
        <v>444</v>
      </c>
      <c r="E446" s="11" t="s">
        <v>144</v>
      </c>
      <c r="F446" s="3" t="s">
        <v>8</v>
      </c>
      <c r="G446" s="48" t="s">
        <v>895</v>
      </c>
      <c r="H446" s="8"/>
      <c r="I446" s="8"/>
      <c r="J446" s="6" t="s">
        <v>111</v>
      </c>
      <c r="K446" s="38">
        <v>10000</v>
      </c>
      <c r="L446" s="4" t="s">
        <v>29</v>
      </c>
      <c r="M446" s="11">
        <f>_xlfn.NUMBERVALUE(LEFT(Table613612[[#This Row],[Fiscal Year]], 4))</f>
        <v>2015</v>
      </c>
      <c r="N446" s="42">
        <f t="shared" si="12"/>
        <v>10617.341772151898</v>
      </c>
      <c r="O446" s="3">
        <v>444</v>
      </c>
    </row>
    <row r="447" spans="1:15" x14ac:dyDescent="0.25">
      <c r="A447" s="3">
        <v>4</v>
      </c>
      <c r="B447" s="3" t="s">
        <v>151</v>
      </c>
      <c r="C447" s="1" t="s">
        <v>12</v>
      </c>
      <c r="D447" s="1" t="s">
        <v>444</v>
      </c>
      <c r="E447" s="11" t="s">
        <v>144</v>
      </c>
      <c r="F447" s="3" t="s">
        <v>8</v>
      </c>
      <c r="G447" s="66" t="s">
        <v>896</v>
      </c>
      <c r="H447" s="8"/>
      <c r="I447" s="8"/>
      <c r="J447" s="6" t="s">
        <v>111</v>
      </c>
      <c r="K447" s="38">
        <v>40000</v>
      </c>
      <c r="L447" s="4" t="s">
        <v>29</v>
      </c>
      <c r="M447" s="11">
        <f>_xlfn.NUMBERVALUE(LEFT(Table613612[[#This Row],[Fiscal Year]], 4))</f>
        <v>2015</v>
      </c>
      <c r="N447" s="42">
        <f t="shared" si="12"/>
        <v>42469.367088607592</v>
      </c>
      <c r="O447" s="3">
        <v>445</v>
      </c>
    </row>
    <row r="448" spans="1:15" x14ac:dyDescent="0.25">
      <c r="A448" s="3">
        <v>4</v>
      </c>
      <c r="B448" s="3" t="s">
        <v>151</v>
      </c>
      <c r="C448" s="1" t="s">
        <v>12</v>
      </c>
      <c r="D448" s="1" t="s">
        <v>444</v>
      </c>
      <c r="E448" s="11" t="s">
        <v>144</v>
      </c>
      <c r="F448" s="3" t="s">
        <v>8</v>
      </c>
      <c r="G448" s="48" t="s">
        <v>897</v>
      </c>
      <c r="H448" s="8"/>
      <c r="I448" s="8"/>
      <c r="J448" s="6" t="s">
        <v>108</v>
      </c>
      <c r="K448" s="38">
        <v>4090600</v>
      </c>
      <c r="L448" s="4" t="s">
        <v>29</v>
      </c>
      <c r="M448" s="11">
        <f>_xlfn.NUMBERVALUE(LEFT(Table613612[[#This Row],[Fiscal Year]], 4))</f>
        <v>2015</v>
      </c>
      <c r="N448" s="42">
        <f t="shared" si="12"/>
        <v>4343129.8253164552</v>
      </c>
      <c r="O448" s="3">
        <v>446</v>
      </c>
    </row>
    <row r="449" spans="1:15" x14ac:dyDescent="0.25">
      <c r="A449" s="3">
        <v>4</v>
      </c>
      <c r="B449" s="3" t="s">
        <v>151</v>
      </c>
      <c r="C449" s="1" t="s">
        <v>12</v>
      </c>
      <c r="D449" s="1" t="s">
        <v>444</v>
      </c>
      <c r="E449" s="11" t="s">
        <v>144</v>
      </c>
      <c r="F449" s="3" t="s">
        <v>8</v>
      </c>
      <c r="G449" s="66" t="s">
        <v>898</v>
      </c>
      <c r="H449" s="8"/>
      <c r="I449" s="8"/>
      <c r="J449" s="6" t="s">
        <v>106</v>
      </c>
      <c r="K449" s="38">
        <v>3350</v>
      </c>
      <c r="L449" s="4" t="s">
        <v>29</v>
      </c>
      <c r="M449" s="11">
        <f>_xlfn.NUMBERVALUE(LEFT(Table613612[[#This Row],[Fiscal Year]], 4))</f>
        <v>2015</v>
      </c>
      <c r="N449" s="42">
        <f t="shared" si="12"/>
        <v>3556.8094936708858</v>
      </c>
      <c r="O449" s="3">
        <v>447</v>
      </c>
    </row>
    <row r="450" spans="1:15" x14ac:dyDescent="0.25">
      <c r="A450" s="3">
        <v>4</v>
      </c>
      <c r="B450" s="3" t="s">
        <v>151</v>
      </c>
      <c r="C450" s="1" t="s">
        <v>12</v>
      </c>
      <c r="D450" s="1" t="s">
        <v>444</v>
      </c>
      <c r="E450" s="11" t="s">
        <v>144</v>
      </c>
      <c r="F450" s="3" t="s">
        <v>8</v>
      </c>
      <c r="G450" s="66" t="s">
        <v>899</v>
      </c>
      <c r="H450" s="8"/>
      <c r="I450" s="8"/>
      <c r="J450" s="6" t="s">
        <v>455</v>
      </c>
      <c r="K450" s="38">
        <v>0</v>
      </c>
      <c r="L450" s="4" t="s">
        <v>29</v>
      </c>
      <c r="M450" s="11">
        <f>_xlfn.NUMBERVALUE(LEFT(Table613612[[#This Row],[Fiscal Year]], 4))</f>
        <v>2015</v>
      </c>
      <c r="N450" s="43">
        <f t="shared" si="12"/>
        <v>0</v>
      </c>
      <c r="O450" s="3">
        <v>448</v>
      </c>
    </row>
    <row r="451" spans="1:15" x14ac:dyDescent="0.25">
      <c r="A451" s="3">
        <v>4</v>
      </c>
      <c r="B451" s="3" t="s">
        <v>151</v>
      </c>
      <c r="C451" s="1" t="s">
        <v>12</v>
      </c>
      <c r="D451" s="1" t="s">
        <v>444</v>
      </c>
      <c r="E451" s="11" t="s">
        <v>144</v>
      </c>
      <c r="F451" s="3" t="s">
        <v>8</v>
      </c>
      <c r="G451" s="66" t="s">
        <v>851</v>
      </c>
      <c r="H451" s="8"/>
      <c r="I451" s="8"/>
      <c r="J451" s="6" t="s">
        <v>76</v>
      </c>
      <c r="K451" s="38">
        <v>0</v>
      </c>
      <c r="L451" s="4" t="s">
        <v>29</v>
      </c>
      <c r="M451" s="11">
        <f>_xlfn.NUMBERVALUE(LEFT(Table613612[[#This Row],[Fiscal Year]], 4))</f>
        <v>2015</v>
      </c>
      <c r="N451" s="43">
        <f t="shared" si="12"/>
        <v>0</v>
      </c>
      <c r="O451" s="3">
        <v>449</v>
      </c>
    </row>
    <row r="452" spans="1:15" x14ac:dyDescent="0.25">
      <c r="A452" s="3">
        <v>4</v>
      </c>
      <c r="B452" s="3" t="s">
        <v>151</v>
      </c>
      <c r="C452" s="1" t="s">
        <v>12</v>
      </c>
      <c r="D452" s="1" t="s">
        <v>444</v>
      </c>
      <c r="E452" s="11" t="s">
        <v>144</v>
      </c>
      <c r="F452" s="3" t="s">
        <v>8</v>
      </c>
      <c r="G452" s="66" t="s">
        <v>852</v>
      </c>
      <c r="H452" s="8"/>
      <c r="I452" s="8"/>
      <c r="J452" s="6" t="s">
        <v>76</v>
      </c>
      <c r="K452" s="38">
        <v>0</v>
      </c>
      <c r="L452" s="4" t="s">
        <v>29</v>
      </c>
      <c r="M452" s="11">
        <f>_xlfn.NUMBERVALUE(LEFT(Table613612[[#This Row],[Fiscal Year]], 4))</f>
        <v>2015</v>
      </c>
      <c r="N452" s="43">
        <f t="shared" si="12"/>
        <v>0</v>
      </c>
      <c r="O452" s="3">
        <v>450</v>
      </c>
    </row>
    <row r="453" spans="1:15" x14ac:dyDescent="0.25">
      <c r="A453" s="3">
        <v>4</v>
      </c>
      <c r="B453" s="3" t="s">
        <v>151</v>
      </c>
      <c r="C453" s="1" t="s">
        <v>12</v>
      </c>
      <c r="D453" s="1" t="s">
        <v>444</v>
      </c>
      <c r="E453" s="11" t="s">
        <v>144</v>
      </c>
      <c r="F453" s="3" t="s">
        <v>8</v>
      </c>
      <c r="G453" s="66" t="s">
        <v>853</v>
      </c>
      <c r="H453" s="8"/>
      <c r="I453" s="8"/>
      <c r="J453" s="6" t="s">
        <v>76</v>
      </c>
      <c r="K453" s="38">
        <v>0</v>
      </c>
      <c r="L453" s="4" t="s">
        <v>29</v>
      </c>
      <c r="M453" s="11">
        <f>_xlfn.NUMBERVALUE(LEFT(Table613612[[#This Row],[Fiscal Year]], 4))</f>
        <v>2015</v>
      </c>
      <c r="N453" s="43">
        <f t="shared" si="12"/>
        <v>0</v>
      </c>
      <c r="O453" s="3">
        <v>451</v>
      </c>
    </row>
    <row r="454" spans="1:15" x14ac:dyDescent="0.25">
      <c r="A454" s="3">
        <v>4</v>
      </c>
      <c r="B454" s="3" t="s">
        <v>151</v>
      </c>
      <c r="C454" s="1" t="s">
        <v>12</v>
      </c>
      <c r="D454" s="1" t="s">
        <v>444</v>
      </c>
      <c r="E454" s="11" t="s">
        <v>144</v>
      </c>
      <c r="F454" s="3" t="s">
        <v>8</v>
      </c>
      <c r="G454" s="63" t="s">
        <v>854</v>
      </c>
      <c r="H454" s="8"/>
      <c r="I454" s="8"/>
      <c r="J454" s="6" t="s">
        <v>47</v>
      </c>
      <c r="K454" s="38">
        <v>26835.91</v>
      </c>
      <c r="L454" s="4" t="s">
        <v>29</v>
      </c>
      <c r="M454" s="11">
        <f>_xlfn.NUMBERVALUE(LEFT(Table613612[[#This Row],[Fiscal Year]], 4))</f>
        <v>2015</v>
      </c>
      <c r="N454" s="42">
        <f>K454*(1+VLOOKUP(M454,$AF$8:$AH$31,3,0))</f>
        <v>28492.602823670884</v>
      </c>
      <c r="O454" s="3">
        <v>452</v>
      </c>
    </row>
    <row r="455" spans="1:15" x14ac:dyDescent="0.25">
      <c r="A455" s="3">
        <v>4</v>
      </c>
      <c r="B455" s="3" t="s">
        <v>151</v>
      </c>
      <c r="C455" s="1" t="s">
        <v>12</v>
      </c>
      <c r="D455" s="1" t="s">
        <v>444</v>
      </c>
      <c r="E455" s="11" t="s">
        <v>144</v>
      </c>
      <c r="F455" s="3" t="s">
        <v>8</v>
      </c>
      <c r="G455" s="63" t="s">
        <v>855</v>
      </c>
      <c r="H455" s="8"/>
      <c r="I455" s="8"/>
      <c r="J455" s="6" t="s">
        <v>455</v>
      </c>
      <c r="K455" s="38">
        <v>0</v>
      </c>
      <c r="L455" s="4" t="s">
        <v>29</v>
      </c>
      <c r="M455" s="11">
        <f>_xlfn.NUMBERVALUE(LEFT(Table613612[[#This Row],[Fiscal Year]], 4))</f>
        <v>2015</v>
      </c>
      <c r="N455" s="43">
        <f t="shared" si="12"/>
        <v>0</v>
      </c>
      <c r="O455" s="3">
        <v>453</v>
      </c>
    </row>
    <row r="456" spans="1:15" x14ac:dyDescent="0.25">
      <c r="C456" s="1"/>
      <c r="D456" s="1"/>
      <c r="G456" s="66"/>
      <c r="H456" s="8"/>
      <c r="I456" s="8"/>
      <c r="J456" s="6"/>
      <c r="L456" s="4"/>
      <c r="O456" s="3">
        <v>454</v>
      </c>
    </row>
    <row r="457" spans="1:15" x14ac:dyDescent="0.25">
      <c r="A457" s="3">
        <v>4</v>
      </c>
      <c r="B457" s="3" t="s">
        <v>152</v>
      </c>
      <c r="C457" s="1" t="s">
        <v>12</v>
      </c>
      <c r="D457" s="1" t="s">
        <v>444</v>
      </c>
      <c r="E457" s="11" t="s">
        <v>144</v>
      </c>
      <c r="F457" s="3" t="s">
        <v>8</v>
      </c>
      <c r="G457" s="56" t="s">
        <v>829</v>
      </c>
      <c r="H457" s="8"/>
      <c r="I457" s="8"/>
      <c r="J457" s="6" t="s">
        <v>110</v>
      </c>
      <c r="K457" s="38">
        <v>194000</v>
      </c>
      <c r="L457" s="4" t="s">
        <v>29</v>
      </c>
      <c r="M457" s="11">
        <f>_xlfn.NUMBERVALUE(LEFT(Table613612[[#This Row],[Fiscal Year]], 4))</f>
        <v>2015</v>
      </c>
      <c r="N457" s="42">
        <f t="shared" si="12"/>
        <v>205976.43037974683</v>
      </c>
      <c r="O457" s="3">
        <v>455</v>
      </c>
    </row>
    <row r="458" spans="1:15" x14ac:dyDescent="0.25">
      <c r="A458" s="3">
        <v>4</v>
      </c>
      <c r="B458" s="3" t="s">
        <v>152</v>
      </c>
      <c r="C458" s="1" t="s">
        <v>12</v>
      </c>
      <c r="D458" s="1" t="s">
        <v>444</v>
      </c>
      <c r="E458" s="11" t="s">
        <v>144</v>
      </c>
      <c r="F458" s="3" t="s">
        <v>8</v>
      </c>
      <c r="G458" s="66" t="s">
        <v>844</v>
      </c>
      <c r="H458" s="8"/>
      <c r="I458" s="8"/>
      <c r="J458" s="6" t="s">
        <v>453</v>
      </c>
      <c r="K458" s="38">
        <v>6800</v>
      </c>
      <c r="L458" s="4" t="s">
        <v>29</v>
      </c>
      <c r="M458" s="11">
        <f>_xlfn.NUMBERVALUE(LEFT(Table613612[[#This Row],[Fiscal Year]], 4))</f>
        <v>2015</v>
      </c>
      <c r="N458" s="42">
        <f t="shared" si="12"/>
        <v>7219.792405063291</v>
      </c>
      <c r="O458" s="3">
        <v>456</v>
      </c>
    </row>
    <row r="459" spans="1:15" x14ac:dyDescent="0.25">
      <c r="A459" s="3">
        <v>4</v>
      </c>
      <c r="B459" s="3" t="s">
        <v>152</v>
      </c>
      <c r="C459" s="1" t="s">
        <v>12</v>
      </c>
      <c r="D459" s="1" t="s">
        <v>444</v>
      </c>
      <c r="E459" s="11" t="s">
        <v>144</v>
      </c>
      <c r="F459" s="3" t="s">
        <v>8</v>
      </c>
      <c r="G459" s="66" t="s">
        <v>845</v>
      </c>
      <c r="H459" s="8"/>
      <c r="I459" s="8"/>
      <c r="J459" s="6" t="s">
        <v>109</v>
      </c>
      <c r="K459" s="38">
        <v>3000</v>
      </c>
      <c r="L459" s="4" t="s">
        <v>29</v>
      </c>
      <c r="M459" s="11">
        <f>_xlfn.NUMBERVALUE(LEFT(Table613612[[#This Row],[Fiscal Year]], 4))</f>
        <v>2015</v>
      </c>
      <c r="N459" s="42">
        <f t="shared" si="12"/>
        <v>3185.2025316455693</v>
      </c>
      <c r="O459" s="3">
        <v>457</v>
      </c>
    </row>
    <row r="460" spans="1:15" x14ac:dyDescent="0.25">
      <c r="A460" s="3">
        <v>4</v>
      </c>
      <c r="B460" s="3" t="s">
        <v>152</v>
      </c>
      <c r="C460" s="1" t="s">
        <v>12</v>
      </c>
      <c r="D460" s="1" t="s">
        <v>444</v>
      </c>
      <c r="E460" s="11" t="s">
        <v>144</v>
      </c>
      <c r="F460" s="3" t="s">
        <v>8</v>
      </c>
      <c r="G460" s="48" t="s">
        <v>846</v>
      </c>
      <c r="H460" s="8"/>
      <c r="I460" s="8"/>
      <c r="J460" s="6" t="s">
        <v>111</v>
      </c>
      <c r="K460" s="38">
        <v>19500</v>
      </c>
      <c r="L460" s="4" t="s">
        <v>29</v>
      </c>
      <c r="M460" s="11">
        <f>_xlfn.NUMBERVALUE(LEFT(Table613612[[#This Row],[Fiscal Year]], 4))</f>
        <v>2015</v>
      </c>
      <c r="N460" s="42">
        <f t="shared" ref="N460:N523" si="13">K460*(1+VLOOKUP(M460,$AF$8:$AH$31,3,0))</f>
        <v>20703.8164556962</v>
      </c>
      <c r="O460" s="3">
        <v>458</v>
      </c>
    </row>
    <row r="461" spans="1:15" x14ac:dyDescent="0.25">
      <c r="A461" s="3">
        <v>4</v>
      </c>
      <c r="B461" s="3" t="s">
        <v>152</v>
      </c>
      <c r="C461" s="1" t="s">
        <v>12</v>
      </c>
      <c r="D461" s="1" t="s">
        <v>444</v>
      </c>
      <c r="E461" s="11" t="s">
        <v>144</v>
      </c>
      <c r="F461" s="3" t="s">
        <v>8</v>
      </c>
      <c r="G461" s="66" t="s">
        <v>847</v>
      </c>
      <c r="H461" s="8"/>
      <c r="I461" s="8"/>
      <c r="J461" s="6" t="s">
        <v>111</v>
      </c>
      <c r="K461" s="38">
        <v>24000</v>
      </c>
      <c r="L461" s="4" t="s">
        <v>29</v>
      </c>
      <c r="M461" s="11">
        <f>_xlfn.NUMBERVALUE(LEFT(Table613612[[#This Row],[Fiscal Year]], 4))</f>
        <v>2015</v>
      </c>
      <c r="N461" s="42">
        <f t="shared" si="13"/>
        <v>25481.620253164554</v>
      </c>
      <c r="O461" s="3">
        <v>459</v>
      </c>
    </row>
    <row r="462" spans="1:15" x14ac:dyDescent="0.25">
      <c r="A462" s="3">
        <v>4</v>
      </c>
      <c r="B462" s="3" t="s">
        <v>152</v>
      </c>
      <c r="C462" s="1" t="s">
        <v>12</v>
      </c>
      <c r="D462" s="1" t="s">
        <v>444</v>
      </c>
      <c r="E462" s="11" t="s">
        <v>144</v>
      </c>
      <c r="F462" s="3" t="s">
        <v>8</v>
      </c>
      <c r="G462" s="48" t="s">
        <v>857</v>
      </c>
      <c r="H462" s="8"/>
      <c r="I462" s="8"/>
      <c r="J462" s="6" t="s">
        <v>108</v>
      </c>
      <c r="K462" s="38">
        <v>6222232</v>
      </c>
      <c r="L462" s="4" t="s">
        <v>29</v>
      </c>
      <c r="M462" s="11">
        <f>_xlfn.NUMBERVALUE(LEFT(Table613612[[#This Row],[Fiscal Year]], 4))</f>
        <v>2015</v>
      </c>
      <c r="N462" s="42">
        <f t="shared" si="13"/>
        <v>6606356.372962025</v>
      </c>
      <c r="O462" s="3">
        <v>460</v>
      </c>
    </row>
    <row r="463" spans="1:15" x14ac:dyDescent="0.25">
      <c r="A463" s="3">
        <v>4</v>
      </c>
      <c r="B463" s="3" t="s">
        <v>152</v>
      </c>
      <c r="C463" s="1" t="s">
        <v>12</v>
      </c>
      <c r="D463" s="1" t="s">
        <v>444</v>
      </c>
      <c r="E463" s="11" t="s">
        <v>144</v>
      </c>
      <c r="F463" s="3" t="s">
        <v>8</v>
      </c>
      <c r="G463" s="66" t="s">
        <v>849</v>
      </c>
      <c r="H463" s="8"/>
      <c r="I463" s="8"/>
      <c r="J463" s="6" t="s">
        <v>106</v>
      </c>
      <c r="K463" s="38">
        <v>5600</v>
      </c>
      <c r="L463" s="4" t="s">
        <v>29</v>
      </c>
      <c r="M463" s="11">
        <f>_xlfn.NUMBERVALUE(LEFT(Table613612[[#This Row],[Fiscal Year]], 4))</f>
        <v>2015</v>
      </c>
      <c r="N463" s="42">
        <f t="shared" si="13"/>
        <v>5945.7113924050627</v>
      </c>
      <c r="O463" s="3">
        <v>461</v>
      </c>
    </row>
    <row r="464" spans="1:15" x14ac:dyDescent="0.25">
      <c r="A464" s="3">
        <v>4</v>
      </c>
      <c r="B464" s="3" t="s">
        <v>152</v>
      </c>
      <c r="C464" s="1" t="s">
        <v>12</v>
      </c>
      <c r="D464" s="1" t="s">
        <v>444</v>
      </c>
      <c r="E464" s="11" t="s">
        <v>144</v>
      </c>
      <c r="F464" s="3" t="s">
        <v>8</v>
      </c>
      <c r="G464" s="66" t="s">
        <v>850</v>
      </c>
      <c r="H464" s="8"/>
      <c r="I464" s="8"/>
      <c r="J464" s="6" t="s">
        <v>455</v>
      </c>
      <c r="K464" s="38">
        <v>0</v>
      </c>
      <c r="L464" s="4" t="s">
        <v>29</v>
      </c>
      <c r="M464" s="11">
        <f>_xlfn.NUMBERVALUE(LEFT(Table613612[[#This Row],[Fiscal Year]], 4))</f>
        <v>2015</v>
      </c>
      <c r="N464" s="43">
        <f t="shared" si="13"/>
        <v>0</v>
      </c>
      <c r="O464" s="3">
        <v>462</v>
      </c>
    </row>
    <row r="465" spans="1:15" x14ac:dyDescent="0.25">
      <c r="A465" s="3">
        <v>4</v>
      </c>
      <c r="B465" s="3" t="s">
        <v>152</v>
      </c>
      <c r="C465" s="1" t="s">
        <v>12</v>
      </c>
      <c r="D465" s="1" t="s">
        <v>444</v>
      </c>
      <c r="E465" s="11" t="s">
        <v>144</v>
      </c>
      <c r="F465" s="3" t="s">
        <v>8</v>
      </c>
      <c r="G465" s="66" t="s">
        <v>851</v>
      </c>
      <c r="H465" s="8"/>
      <c r="I465" s="8"/>
      <c r="J465" s="6" t="s">
        <v>76</v>
      </c>
      <c r="K465" s="38">
        <v>18000</v>
      </c>
      <c r="L465" s="4" t="s">
        <v>29</v>
      </c>
      <c r="M465" s="11">
        <f>_xlfn.NUMBERVALUE(LEFT(Table613612[[#This Row],[Fiscal Year]], 4))</f>
        <v>2015</v>
      </c>
      <c r="N465" s="42">
        <f>K465*(1+VLOOKUP(M465,$AF$8:$AH$31,3,0))</f>
        <v>19111.215189873416</v>
      </c>
      <c r="O465" s="3">
        <v>463</v>
      </c>
    </row>
    <row r="466" spans="1:15" x14ac:dyDescent="0.25">
      <c r="A466" s="3">
        <v>4</v>
      </c>
      <c r="B466" s="3" t="s">
        <v>152</v>
      </c>
      <c r="C466" s="1" t="s">
        <v>12</v>
      </c>
      <c r="D466" s="1" t="s">
        <v>444</v>
      </c>
      <c r="E466" s="11" t="s">
        <v>144</v>
      </c>
      <c r="F466" s="3" t="s">
        <v>8</v>
      </c>
      <c r="G466" s="66" t="s">
        <v>852</v>
      </c>
      <c r="H466" s="8"/>
      <c r="I466" s="8"/>
      <c r="J466" s="6" t="s">
        <v>76</v>
      </c>
      <c r="K466" s="38">
        <v>0</v>
      </c>
      <c r="L466" s="4" t="s">
        <v>29</v>
      </c>
      <c r="M466" s="11">
        <f>_xlfn.NUMBERVALUE(LEFT(Table613612[[#This Row],[Fiscal Year]], 4))</f>
        <v>2015</v>
      </c>
      <c r="N466" s="43">
        <f t="shared" si="13"/>
        <v>0</v>
      </c>
      <c r="O466" s="3">
        <v>464</v>
      </c>
    </row>
    <row r="467" spans="1:15" x14ac:dyDescent="0.25">
      <c r="A467" s="3">
        <v>4</v>
      </c>
      <c r="B467" s="3" t="s">
        <v>152</v>
      </c>
      <c r="C467" s="1" t="s">
        <v>12</v>
      </c>
      <c r="D467" s="1" t="s">
        <v>444</v>
      </c>
      <c r="E467" s="11" t="s">
        <v>144</v>
      </c>
      <c r="F467" s="3" t="s">
        <v>8</v>
      </c>
      <c r="G467" s="66" t="s">
        <v>853</v>
      </c>
      <c r="H467" s="8"/>
      <c r="I467" s="8"/>
      <c r="J467" s="6" t="s">
        <v>76</v>
      </c>
      <c r="K467" s="38">
        <v>0</v>
      </c>
      <c r="L467" s="4" t="s">
        <v>29</v>
      </c>
      <c r="M467" s="11">
        <f>_xlfn.NUMBERVALUE(LEFT(Table613612[[#This Row],[Fiscal Year]], 4))</f>
        <v>2015</v>
      </c>
      <c r="N467" s="43">
        <f t="shared" si="13"/>
        <v>0</v>
      </c>
      <c r="O467" s="3">
        <v>465</v>
      </c>
    </row>
    <row r="468" spans="1:15" x14ac:dyDescent="0.25">
      <c r="A468" s="3">
        <v>4</v>
      </c>
      <c r="B468" s="3" t="s">
        <v>152</v>
      </c>
      <c r="C468" s="1" t="s">
        <v>12</v>
      </c>
      <c r="D468" s="1" t="s">
        <v>444</v>
      </c>
      <c r="E468" s="11" t="s">
        <v>144</v>
      </c>
      <c r="F468" s="3" t="s">
        <v>8</v>
      </c>
      <c r="G468" s="63" t="s">
        <v>854</v>
      </c>
      <c r="H468" s="8"/>
      <c r="I468" s="8"/>
      <c r="J468" s="6" t="s">
        <v>47</v>
      </c>
      <c r="K468" s="38">
        <v>30000</v>
      </c>
      <c r="L468" s="4" t="s">
        <v>29</v>
      </c>
      <c r="M468" s="11">
        <f>_xlfn.NUMBERVALUE(LEFT(Table613612[[#This Row],[Fiscal Year]], 4))</f>
        <v>2015</v>
      </c>
      <c r="N468" s="42">
        <f t="shared" si="13"/>
        <v>31852.025316455696</v>
      </c>
      <c r="O468" s="3">
        <v>466</v>
      </c>
    </row>
    <row r="469" spans="1:15" x14ac:dyDescent="0.25">
      <c r="A469" s="3">
        <v>4</v>
      </c>
      <c r="B469" s="3" t="s">
        <v>152</v>
      </c>
      <c r="C469" s="1" t="s">
        <v>12</v>
      </c>
      <c r="D469" s="1" t="s">
        <v>444</v>
      </c>
      <c r="E469" s="11" t="s">
        <v>144</v>
      </c>
      <c r="F469" s="3" t="s">
        <v>8</v>
      </c>
      <c r="G469" s="66" t="s">
        <v>900</v>
      </c>
      <c r="H469" s="8"/>
      <c r="I469" s="8"/>
      <c r="J469" s="6" t="s">
        <v>455</v>
      </c>
      <c r="K469" s="38">
        <v>25000</v>
      </c>
      <c r="L469" s="4" t="s">
        <v>29</v>
      </c>
      <c r="M469" s="11">
        <f>_xlfn.NUMBERVALUE(LEFT(Table613612[[#This Row],[Fiscal Year]], 4))</f>
        <v>2015</v>
      </c>
      <c r="N469" s="42">
        <f t="shared" si="13"/>
        <v>26543.354430379746</v>
      </c>
      <c r="O469" s="3">
        <v>467</v>
      </c>
    </row>
    <row r="470" spans="1:15" x14ac:dyDescent="0.25">
      <c r="C470" s="1"/>
      <c r="D470" s="1"/>
      <c r="G470" s="66"/>
      <c r="H470" s="8"/>
      <c r="I470" s="8"/>
      <c r="J470" s="6"/>
      <c r="L470" s="4"/>
      <c r="O470" s="3">
        <v>468</v>
      </c>
    </row>
    <row r="471" spans="1:15" x14ac:dyDescent="0.25">
      <c r="A471" s="3">
        <v>4</v>
      </c>
      <c r="B471" s="3" t="s">
        <v>153</v>
      </c>
      <c r="C471" s="1" t="s">
        <v>12</v>
      </c>
      <c r="D471" s="1" t="s">
        <v>444</v>
      </c>
      <c r="E471" s="11" t="s">
        <v>144</v>
      </c>
      <c r="F471" s="3" t="s">
        <v>8</v>
      </c>
      <c r="G471" s="56" t="s">
        <v>829</v>
      </c>
      <c r="H471" s="8"/>
      <c r="I471" s="8"/>
      <c r="J471" s="6" t="s">
        <v>110</v>
      </c>
      <c r="K471" s="38">
        <v>210493</v>
      </c>
      <c r="L471" s="4" t="s">
        <v>29</v>
      </c>
      <c r="M471" s="11">
        <f>_xlfn.NUMBERVALUE(LEFT(Table613612[[#This Row],[Fiscal Year]], 4))</f>
        <v>2015</v>
      </c>
      <c r="N471" s="42">
        <f t="shared" si="13"/>
        <v>223487.61216455695</v>
      </c>
      <c r="O471" s="3">
        <v>469</v>
      </c>
    </row>
    <row r="472" spans="1:15" x14ac:dyDescent="0.25">
      <c r="A472" s="3">
        <v>4</v>
      </c>
      <c r="B472" s="3" t="s">
        <v>153</v>
      </c>
      <c r="C472" s="1" t="s">
        <v>12</v>
      </c>
      <c r="D472" s="1" t="s">
        <v>444</v>
      </c>
      <c r="E472" s="11" t="s">
        <v>144</v>
      </c>
      <c r="F472" s="3" t="s">
        <v>8</v>
      </c>
      <c r="G472" s="66" t="s">
        <v>844</v>
      </c>
      <c r="H472" s="8"/>
      <c r="I472" s="8"/>
      <c r="J472" s="6" t="s">
        <v>453</v>
      </c>
      <c r="K472" s="38">
        <v>2000</v>
      </c>
      <c r="L472" s="4" t="s">
        <v>29</v>
      </c>
      <c r="M472" s="11">
        <f>_xlfn.NUMBERVALUE(LEFT(Table613612[[#This Row],[Fiscal Year]], 4))</f>
        <v>2015</v>
      </c>
      <c r="N472" s="42">
        <f t="shared" si="13"/>
        <v>2123.4683544303798</v>
      </c>
      <c r="O472" s="3">
        <v>470</v>
      </c>
    </row>
    <row r="473" spans="1:15" x14ac:dyDescent="0.25">
      <c r="A473" s="3">
        <v>4</v>
      </c>
      <c r="B473" s="3" t="s">
        <v>153</v>
      </c>
      <c r="C473" s="1" t="s">
        <v>12</v>
      </c>
      <c r="D473" s="1" t="s">
        <v>444</v>
      </c>
      <c r="E473" s="11" t="s">
        <v>144</v>
      </c>
      <c r="F473" s="3" t="s">
        <v>8</v>
      </c>
      <c r="G473" s="66" t="s">
        <v>845</v>
      </c>
      <c r="H473" s="8"/>
      <c r="I473" s="8"/>
      <c r="J473" s="6" t="s">
        <v>109</v>
      </c>
      <c r="K473" s="38">
        <v>22654</v>
      </c>
      <c r="L473" s="4" t="s">
        <v>29</v>
      </c>
      <c r="M473" s="11">
        <f>_xlfn.NUMBERVALUE(LEFT(Table613612[[#This Row],[Fiscal Year]], 4))</f>
        <v>2015</v>
      </c>
      <c r="N473" s="42">
        <f t="shared" si="13"/>
        <v>24052.52605063291</v>
      </c>
      <c r="O473" s="3">
        <v>471</v>
      </c>
    </row>
    <row r="474" spans="1:15" x14ac:dyDescent="0.25">
      <c r="A474" s="3">
        <v>4</v>
      </c>
      <c r="B474" s="3" t="s">
        <v>153</v>
      </c>
      <c r="C474" s="1" t="s">
        <v>12</v>
      </c>
      <c r="D474" s="1" t="s">
        <v>444</v>
      </c>
      <c r="E474" s="11" t="s">
        <v>144</v>
      </c>
      <c r="F474" s="3" t="s">
        <v>8</v>
      </c>
      <c r="G474" s="48" t="s">
        <v>846</v>
      </c>
      <c r="H474" s="8"/>
      <c r="I474" s="8"/>
      <c r="J474" s="6" t="s">
        <v>111</v>
      </c>
      <c r="K474" s="38">
        <v>15849</v>
      </c>
      <c r="L474" s="4" t="s">
        <v>29</v>
      </c>
      <c r="M474" s="11">
        <f>_xlfn.NUMBERVALUE(LEFT(Table613612[[#This Row],[Fiscal Year]], 4))</f>
        <v>2015</v>
      </c>
      <c r="N474" s="42">
        <f t="shared" si="13"/>
        <v>16827.424974683545</v>
      </c>
      <c r="O474" s="3">
        <v>472</v>
      </c>
    </row>
    <row r="475" spans="1:15" x14ac:dyDescent="0.25">
      <c r="A475" s="3">
        <v>4</v>
      </c>
      <c r="B475" s="3" t="s">
        <v>153</v>
      </c>
      <c r="C475" s="1" t="s">
        <v>12</v>
      </c>
      <c r="D475" s="1" t="s">
        <v>444</v>
      </c>
      <c r="E475" s="11" t="s">
        <v>144</v>
      </c>
      <c r="F475" s="3" t="s">
        <v>8</v>
      </c>
      <c r="G475" s="66" t="s">
        <v>847</v>
      </c>
      <c r="H475" s="8"/>
      <c r="I475" s="8"/>
      <c r="J475" s="6" t="s">
        <v>111</v>
      </c>
      <c r="K475" s="38">
        <v>11686</v>
      </c>
      <c r="L475" s="4" t="s">
        <v>29</v>
      </c>
      <c r="M475" s="11">
        <f>_xlfn.NUMBERVALUE(LEFT(Table613612[[#This Row],[Fiscal Year]], 4))</f>
        <v>2015</v>
      </c>
      <c r="N475" s="42">
        <f t="shared" si="13"/>
        <v>12407.425594936709</v>
      </c>
      <c r="O475" s="3">
        <v>473</v>
      </c>
    </row>
    <row r="476" spans="1:15" x14ac:dyDescent="0.25">
      <c r="A476" s="3">
        <v>4</v>
      </c>
      <c r="B476" s="3" t="s">
        <v>153</v>
      </c>
      <c r="C476" s="1" t="s">
        <v>12</v>
      </c>
      <c r="D476" s="1" t="s">
        <v>444</v>
      </c>
      <c r="E476" s="11" t="s">
        <v>144</v>
      </c>
      <c r="F476" s="3" t="s">
        <v>8</v>
      </c>
      <c r="G476" s="48" t="s">
        <v>857</v>
      </c>
      <c r="H476" s="8"/>
      <c r="I476" s="8"/>
      <c r="J476" s="6" t="s">
        <v>108</v>
      </c>
      <c r="K476" s="38">
        <v>3076784</v>
      </c>
      <c r="L476" s="4" t="s">
        <v>29</v>
      </c>
      <c r="M476" s="11">
        <f>_xlfn.NUMBERVALUE(LEFT(Table613612[[#This Row],[Fiscal Year]], 4))</f>
        <v>2015</v>
      </c>
      <c r="N476" s="42">
        <f t="shared" si="13"/>
        <v>3266726.7287088605</v>
      </c>
      <c r="O476" s="3">
        <v>474</v>
      </c>
    </row>
    <row r="477" spans="1:15" x14ac:dyDescent="0.25">
      <c r="A477" s="3">
        <v>4</v>
      </c>
      <c r="B477" s="3" t="s">
        <v>153</v>
      </c>
      <c r="C477" s="1" t="s">
        <v>12</v>
      </c>
      <c r="D477" s="1" t="s">
        <v>444</v>
      </c>
      <c r="E477" s="11" t="s">
        <v>144</v>
      </c>
      <c r="F477" s="3" t="s">
        <v>8</v>
      </c>
      <c r="G477" s="66" t="s">
        <v>849</v>
      </c>
      <c r="H477" s="8"/>
      <c r="I477" s="8"/>
      <c r="J477" s="6" t="s">
        <v>106</v>
      </c>
      <c r="K477" s="38">
        <v>3000</v>
      </c>
      <c r="L477" s="4" t="s">
        <v>29</v>
      </c>
      <c r="M477" s="11">
        <f>_xlfn.NUMBERVALUE(LEFT(Table613612[[#This Row],[Fiscal Year]], 4))</f>
        <v>2015</v>
      </c>
      <c r="N477" s="42">
        <f t="shared" si="13"/>
        <v>3185.2025316455693</v>
      </c>
      <c r="O477" s="3">
        <v>475</v>
      </c>
    </row>
    <row r="478" spans="1:15" x14ac:dyDescent="0.25">
      <c r="A478" s="3">
        <v>4</v>
      </c>
      <c r="B478" s="3" t="s">
        <v>153</v>
      </c>
      <c r="C478" s="1" t="s">
        <v>12</v>
      </c>
      <c r="D478" s="1" t="s">
        <v>444</v>
      </c>
      <c r="E478" s="11" t="s">
        <v>144</v>
      </c>
      <c r="F478" s="3" t="s">
        <v>8</v>
      </c>
      <c r="G478" s="66" t="s">
        <v>850</v>
      </c>
      <c r="H478" s="8"/>
      <c r="I478" s="8"/>
      <c r="J478" s="6" t="s">
        <v>455</v>
      </c>
      <c r="K478" s="38">
        <v>0</v>
      </c>
      <c r="L478" s="4" t="s">
        <v>29</v>
      </c>
      <c r="M478" s="11">
        <f>_xlfn.NUMBERVALUE(LEFT(Table613612[[#This Row],[Fiscal Year]], 4))</f>
        <v>2015</v>
      </c>
      <c r="N478" s="43">
        <f t="shared" si="13"/>
        <v>0</v>
      </c>
      <c r="O478" s="3">
        <v>476</v>
      </c>
    </row>
    <row r="479" spans="1:15" x14ac:dyDescent="0.25">
      <c r="A479" s="3">
        <v>4</v>
      </c>
      <c r="B479" s="3" t="s">
        <v>153</v>
      </c>
      <c r="C479" s="1" t="s">
        <v>12</v>
      </c>
      <c r="D479" s="1" t="s">
        <v>444</v>
      </c>
      <c r="E479" s="11" t="s">
        <v>144</v>
      </c>
      <c r="F479" s="3" t="s">
        <v>8</v>
      </c>
      <c r="G479" s="66" t="s">
        <v>851</v>
      </c>
      <c r="H479" s="8"/>
      <c r="I479" s="8"/>
      <c r="J479" s="6" t="s">
        <v>76</v>
      </c>
      <c r="K479" s="38">
        <v>0</v>
      </c>
      <c r="L479" s="4" t="s">
        <v>29</v>
      </c>
      <c r="M479" s="11">
        <f>_xlfn.NUMBERVALUE(LEFT(Table613612[[#This Row],[Fiscal Year]], 4))</f>
        <v>2015</v>
      </c>
      <c r="N479" s="43">
        <f t="shared" si="13"/>
        <v>0</v>
      </c>
      <c r="O479" s="3">
        <v>477</v>
      </c>
    </row>
    <row r="480" spans="1:15" x14ac:dyDescent="0.25">
      <c r="A480" s="3">
        <v>4</v>
      </c>
      <c r="B480" s="3" t="s">
        <v>153</v>
      </c>
      <c r="C480" s="1" t="s">
        <v>12</v>
      </c>
      <c r="D480" s="1" t="s">
        <v>444</v>
      </c>
      <c r="E480" s="11" t="s">
        <v>144</v>
      </c>
      <c r="F480" s="3" t="s">
        <v>8</v>
      </c>
      <c r="G480" s="66" t="s">
        <v>852</v>
      </c>
      <c r="H480" s="8"/>
      <c r="I480" s="8"/>
      <c r="J480" s="6" t="s">
        <v>76</v>
      </c>
      <c r="K480" s="38">
        <v>0</v>
      </c>
      <c r="L480" s="4" t="s">
        <v>29</v>
      </c>
      <c r="M480" s="11">
        <f>_xlfn.NUMBERVALUE(LEFT(Table613612[[#This Row],[Fiscal Year]], 4))</f>
        <v>2015</v>
      </c>
      <c r="N480" s="43">
        <f t="shared" si="13"/>
        <v>0</v>
      </c>
      <c r="O480" s="3">
        <v>478</v>
      </c>
    </row>
    <row r="481" spans="1:15" x14ac:dyDescent="0.25">
      <c r="A481" s="3">
        <v>4</v>
      </c>
      <c r="B481" s="3" t="s">
        <v>153</v>
      </c>
      <c r="C481" s="1" t="s">
        <v>12</v>
      </c>
      <c r="D481" s="1" t="s">
        <v>444</v>
      </c>
      <c r="E481" s="11" t="s">
        <v>144</v>
      </c>
      <c r="F481" s="3" t="s">
        <v>8</v>
      </c>
      <c r="G481" s="66" t="s">
        <v>853</v>
      </c>
      <c r="H481" s="8"/>
      <c r="I481" s="8"/>
      <c r="J481" s="6" t="s">
        <v>76</v>
      </c>
      <c r="K481" s="38">
        <v>0</v>
      </c>
      <c r="L481" s="4" t="s">
        <v>29</v>
      </c>
      <c r="M481" s="11">
        <f>_xlfn.NUMBERVALUE(LEFT(Table613612[[#This Row],[Fiscal Year]], 4))</f>
        <v>2015</v>
      </c>
      <c r="N481" s="43">
        <f t="shared" si="13"/>
        <v>0</v>
      </c>
      <c r="O481" s="3">
        <v>479</v>
      </c>
    </row>
    <row r="482" spans="1:15" x14ac:dyDescent="0.25">
      <c r="A482" s="3">
        <v>4</v>
      </c>
      <c r="B482" s="3" t="s">
        <v>153</v>
      </c>
      <c r="C482" s="1" t="s">
        <v>12</v>
      </c>
      <c r="D482" s="1" t="s">
        <v>444</v>
      </c>
      <c r="E482" s="11" t="s">
        <v>144</v>
      </c>
      <c r="F482" s="3" t="s">
        <v>8</v>
      </c>
      <c r="G482" s="63" t="s">
        <v>854</v>
      </c>
      <c r="H482" s="8"/>
      <c r="I482" s="8"/>
      <c r="J482" s="6" t="s">
        <v>47</v>
      </c>
      <c r="K482" s="38">
        <v>82860</v>
      </c>
      <c r="L482" s="4" t="s">
        <v>29</v>
      </c>
      <c r="M482" s="11">
        <f>_xlfn.NUMBERVALUE(LEFT(Table613612[[#This Row],[Fiscal Year]], 4))</f>
        <v>2015</v>
      </c>
      <c r="N482" s="42">
        <f>K482*(1+VLOOKUP(M482,$AF$8:$AH$31,3,0))</f>
        <v>87975.293924050624</v>
      </c>
      <c r="O482" s="3">
        <v>480</v>
      </c>
    </row>
    <row r="483" spans="1:15" x14ac:dyDescent="0.25">
      <c r="A483" s="3">
        <v>4</v>
      </c>
      <c r="B483" s="3" t="s">
        <v>153</v>
      </c>
      <c r="C483" s="1" t="s">
        <v>12</v>
      </c>
      <c r="D483" s="1" t="s">
        <v>444</v>
      </c>
      <c r="E483" s="11" t="s">
        <v>144</v>
      </c>
      <c r="F483" s="3" t="s">
        <v>8</v>
      </c>
      <c r="G483" s="63" t="s">
        <v>901</v>
      </c>
      <c r="H483" s="8"/>
      <c r="I483" s="8"/>
      <c r="J483" s="6" t="s">
        <v>455</v>
      </c>
      <c r="K483" s="38">
        <v>0</v>
      </c>
      <c r="L483" s="4" t="s">
        <v>29</v>
      </c>
      <c r="M483" s="11">
        <f>_xlfn.NUMBERVALUE(LEFT(Table613612[[#This Row],[Fiscal Year]], 4))</f>
        <v>2015</v>
      </c>
      <c r="N483" s="43">
        <f t="shared" si="13"/>
        <v>0</v>
      </c>
      <c r="O483" s="3">
        <v>481</v>
      </c>
    </row>
    <row r="484" spans="1:15" x14ac:dyDescent="0.25">
      <c r="C484" s="1"/>
      <c r="D484" s="1"/>
      <c r="G484" s="66"/>
      <c r="H484" s="8"/>
      <c r="I484" s="8"/>
      <c r="J484" s="6"/>
      <c r="L484" s="4"/>
      <c r="O484" s="3">
        <v>482</v>
      </c>
    </row>
    <row r="485" spans="1:15" x14ac:dyDescent="0.25">
      <c r="A485" s="3">
        <v>4</v>
      </c>
      <c r="B485" s="3" t="s">
        <v>154</v>
      </c>
      <c r="C485" s="1" t="s">
        <v>12</v>
      </c>
      <c r="D485" s="1" t="s">
        <v>444</v>
      </c>
      <c r="E485" s="11" t="s">
        <v>144</v>
      </c>
      <c r="F485" s="3" t="s">
        <v>8</v>
      </c>
      <c r="G485" s="56" t="s">
        <v>829</v>
      </c>
      <c r="H485" s="8"/>
      <c r="I485" s="8"/>
      <c r="J485" s="6" t="s">
        <v>110</v>
      </c>
      <c r="K485" s="38">
        <v>90000</v>
      </c>
      <c r="L485" s="4" t="s">
        <v>29</v>
      </c>
      <c r="M485" s="11">
        <f>_xlfn.NUMBERVALUE(LEFT(Table613612[[#This Row],[Fiscal Year]], 4))</f>
        <v>2015</v>
      </c>
      <c r="N485" s="42">
        <f t="shared" si="13"/>
        <v>95556.075949367078</v>
      </c>
      <c r="O485" s="3">
        <v>483</v>
      </c>
    </row>
    <row r="486" spans="1:15" x14ac:dyDescent="0.25">
      <c r="A486" s="3">
        <v>4</v>
      </c>
      <c r="B486" s="3" t="s">
        <v>154</v>
      </c>
      <c r="C486" s="1" t="s">
        <v>12</v>
      </c>
      <c r="D486" s="1" t="s">
        <v>444</v>
      </c>
      <c r="E486" s="11" t="s">
        <v>144</v>
      </c>
      <c r="F486" s="3" t="s">
        <v>8</v>
      </c>
      <c r="G486" s="66" t="s">
        <v>844</v>
      </c>
      <c r="H486" s="8"/>
      <c r="I486" s="8"/>
      <c r="J486" s="6" t="s">
        <v>453</v>
      </c>
      <c r="K486" s="38">
        <v>9000</v>
      </c>
      <c r="L486" s="4" t="s">
        <v>29</v>
      </c>
      <c r="M486" s="11">
        <f>_xlfn.NUMBERVALUE(LEFT(Table613612[[#This Row],[Fiscal Year]], 4))</f>
        <v>2015</v>
      </c>
      <c r="N486" s="42">
        <f t="shared" si="13"/>
        <v>9555.6075949367078</v>
      </c>
      <c r="O486" s="3">
        <v>484</v>
      </c>
    </row>
    <row r="487" spans="1:15" x14ac:dyDescent="0.25">
      <c r="A487" s="3">
        <v>4</v>
      </c>
      <c r="B487" s="3" t="s">
        <v>154</v>
      </c>
      <c r="C487" s="1" t="s">
        <v>12</v>
      </c>
      <c r="D487" s="1" t="s">
        <v>444</v>
      </c>
      <c r="E487" s="11" t="s">
        <v>144</v>
      </c>
      <c r="F487" s="3" t="s">
        <v>8</v>
      </c>
      <c r="G487" s="66" t="s">
        <v>845</v>
      </c>
      <c r="H487" s="8"/>
      <c r="I487" s="8"/>
      <c r="J487" s="6" t="s">
        <v>109</v>
      </c>
      <c r="K487" s="38">
        <v>20000</v>
      </c>
      <c r="L487" s="4" t="s">
        <v>29</v>
      </c>
      <c r="M487" s="11">
        <f>_xlfn.NUMBERVALUE(LEFT(Table613612[[#This Row],[Fiscal Year]], 4))</f>
        <v>2015</v>
      </c>
      <c r="N487" s="42">
        <f t="shared" si="13"/>
        <v>21234.683544303796</v>
      </c>
      <c r="O487" s="3">
        <v>485</v>
      </c>
    </row>
    <row r="488" spans="1:15" x14ac:dyDescent="0.25">
      <c r="A488" s="3">
        <v>4</v>
      </c>
      <c r="B488" s="3" t="s">
        <v>154</v>
      </c>
      <c r="C488" s="1" t="s">
        <v>12</v>
      </c>
      <c r="D488" s="1" t="s">
        <v>444</v>
      </c>
      <c r="E488" s="11" t="s">
        <v>144</v>
      </c>
      <c r="F488" s="3" t="s">
        <v>8</v>
      </c>
      <c r="G488" s="48" t="s">
        <v>846</v>
      </c>
      <c r="H488" s="8"/>
      <c r="I488" s="8"/>
      <c r="J488" s="6" t="s">
        <v>111</v>
      </c>
      <c r="K488" s="38">
        <v>1000</v>
      </c>
      <c r="L488" s="4" t="s">
        <v>29</v>
      </c>
      <c r="M488" s="11">
        <f>_xlfn.NUMBERVALUE(LEFT(Table613612[[#This Row],[Fiscal Year]], 4))</f>
        <v>2015</v>
      </c>
      <c r="N488" s="42">
        <f t="shared" si="13"/>
        <v>1061.7341772151899</v>
      </c>
      <c r="O488" s="3">
        <v>486</v>
      </c>
    </row>
    <row r="489" spans="1:15" x14ac:dyDescent="0.25">
      <c r="A489" s="3">
        <v>4</v>
      </c>
      <c r="B489" s="3" t="s">
        <v>154</v>
      </c>
      <c r="C489" s="1" t="s">
        <v>12</v>
      </c>
      <c r="D489" s="1" t="s">
        <v>444</v>
      </c>
      <c r="E489" s="11" t="s">
        <v>144</v>
      </c>
      <c r="F489" s="3" t="s">
        <v>8</v>
      </c>
      <c r="G489" s="66" t="s">
        <v>847</v>
      </c>
      <c r="H489" s="8"/>
      <c r="I489" s="8"/>
      <c r="J489" s="6" t="s">
        <v>111</v>
      </c>
      <c r="K489" s="38">
        <v>10000</v>
      </c>
      <c r="L489" s="4" t="s">
        <v>29</v>
      </c>
      <c r="M489" s="11">
        <f>_xlfn.NUMBERVALUE(LEFT(Table613612[[#This Row],[Fiscal Year]], 4))</f>
        <v>2015</v>
      </c>
      <c r="N489" s="42">
        <f t="shared" si="13"/>
        <v>10617.341772151898</v>
      </c>
      <c r="O489" s="3">
        <v>487</v>
      </c>
    </row>
    <row r="490" spans="1:15" x14ac:dyDescent="0.25">
      <c r="A490" s="3">
        <v>4</v>
      </c>
      <c r="B490" s="3" t="s">
        <v>154</v>
      </c>
      <c r="C490" s="1" t="s">
        <v>12</v>
      </c>
      <c r="D490" s="1" t="s">
        <v>444</v>
      </c>
      <c r="E490" s="11" t="s">
        <v>144</v>
      </c>
      <c r="F490" s="3" t="s">
        <v>8</v>
      </c>
      <c r="G490" s="48" t="s">
        <v>857</v>
      </c>
      <c r="H490" s="8"/>
      <c r="I490" s="8"/>
      <c r="J490" s="6" t="s">
        <v>108</v>
      </c>
      <c r="K490" s="38">
        <v>250000</v>
      </c>
      <c r="L490" s="4" t="s">
        <v>29</v>
      </c>
      <c r="M490" s="11">
        <f>_xlfn.NUMBERVALUE(LEFT(Table613612[[#This Row],[Fiscal Year]], 4))</f>
        <v>2015</v>
      </c>
      <c r="N490" s="42">
        <f t="shared" si="13"/>
        <v>265433.54430379748</v>
      </c>
      <c r="O490" s="3">
        <v>488</v>
      </c>
    </row>
    <row r="491" spans="1:15" x14ac:dyDescent="0.25">
      <c r="A491" s="3">
        <v>4</v>
      </c>
      <c r="B491" s="3" t="s">
        <v>154</v>
      </c>
      <c r="C491" s="1" t="s">
        <v>12</v>
      </c>
      <c r="D491" s="1" t="s">
        <v>444</v>
      </c>
      <c r="E491" s="11" t="s">
        <v>144</v>
      </c>
      <c r="F491" s="3" t="s">
        <v>8</v>
      </c>
      <c r="G491" s="66" t="s">
        <v>849</v>
      </c>
      <c r="H491" s="8"/>
      <c r="I491" s="8"/>
      <c r="J491" s="6" t="s">
        <v>106</v>
      </c>
      <c r="K491" s="38">
        <v>30000</v>
      </c>
      <c r="L491" s="4" t="s">
        <v>29</v>
      </c>
      <c r="M491" s="11">
        <f>_xlfn.NUMBERVALUE(LEFT(Table613612[[#This Row],[Fiscal Year]], 4))</f>
        <v>2015</v>
      </c>
      <c r="N491" s="42">
        <f t="shared" si="13"/>
        <v>31852.025316455696</v>
      </c>
      <c r="O491" s="3">
        <v>489</v>
      </c>
    </row>
    <row r="492" spans="1:15" x14ac:dyDescent="0.25">
      <c r="A492" s="3">
        <v>4</v>
      </c>
      <c r="B492" s="3" t="s">
        <v>154</v>
      </c>
      <c r="C492" s="1" t="s">
        <v>12</v>
      </c>
      <c r="D492" s="1" t="s">
        <v>444</v>
      </c>
      <c r="E492" s="11" t="s">
        <v>144</v>
      </c>
      <c r="F492" s="3" t="s">
        <v>8</v>
      </c>
      <c r="G492" s="66" t="s">
        <v>850</v>
      </c>
      <c r="H492" s="8"/>
      <c r="I492" s="8"/>
      <c r="J492" s="6" t="s">
        <v>455</v>
      </c>
      <c r="K492" s="38">
        <v>0</v>
      </c>
      <c r="L492" s="4" t="s">
        <v>29</v>
      </c>
      <c r="M492" s="11">
        <f>_xlfn.NUMBERVALUE(LEFT(Table613612[[#This Row],[Fiscal Year]], 4))</f>
        <v>2015</v>
      </c>
      <c r="N492" s="43">
        <f t="shared" si="13"/>
        <v>0</v>
      </c>
      <c r="O492" s="3">
        <v>490</v>
      </c>
    </row>
    <row r="493" spans="1:15" x14ac:dyDescent="0.25">
      <c r="A493" s="3">
        <v>4</v>
      </c>
      <c r="B493" s="3" t="s">
        <v>154</v>
      </c>
      <c r="C493" s="1" t="s">
        <v>12</v>
      </c>
      <c r="D493" s="1" t="s">
        <v>444</v>
      </c>
      <c r="E493" s="11" t="s">
        <v>144</v>
      </c>
      <c r="F493" s="3" t="s">
        <v>8</v>
      </c>
      <c r="G493" s="66" t="s">
        <v>851</v>
      </c>
      <c r="H493" s="8"/>
      <c r="I493" s="8"/>
      <c r="J493" s="6" t="s">
        <v>76</v>
      </c>
      <c r="K493" s="38">
        <v>50000</v>
      </c>
      <c r="L493" s="4" t="s">
        <v>29</v>
      </c>
      <c r="M493" s="11">
        <f>_xlfn.NUMBERVALUE(LEFT(Table613612[[#This Row],[Fiscal Year]], 4))</f>
        <v>2015</v>
      </c>
      <c r="N493" s="42">
        <f t="shared" si="13"/>
        <v>53086.708860759492</v>
      </c>
      <c r="O493" s="3">
        <v>491</v>
      </c>
    </row>
    <row r="494" spans="1:15" x14ac:dyDescent="0.25">
      <c r="A494" s="3">
        <v>4</v>
      </c>
      <c r="B494" s="3" t="s">
        <v>154</v>
      </c>
      <c r="C494" s="1" t="s">
        <v>12</v>
      </c>
      <c r="D494" s="1" t="s">
        <v>444</v>
      </c>
      <c r="E494" s="11" t="s">
        <v>144</v>
      </c>
      <c r="F494" s="3" t="s">
        <v>8</v>
      </c>
      <c r="G494" s="66" t="s">
        <v>852</v>
      </c>
      <c r="H494" s="8"/>
      <c r="I494" s="8"/>
      <c r="J494" s="6" t="s">
        <v>76</v>
      </c>
      <c r="K494" s="38">
        <v>50000</v>
      </c>
      <c r="L494" s="4" t="s">
        <v>29</v>
      </c>
      <c r="M494" s="11">
        <f>_xlfn.NUMBERVALUE(LEFT(Table613612[[#This Row],[Fiscal Year]], 4))</f>
        <v>2015</v>
      </c>
      <c r="N494" s="42">
        <f t="shared" si="13"/>
        <v>53086.708860759492</v>
      </c>
      <c r="O494" s="3">
        <v>492</v>
      </c>
    </row>
    <row r="495" spans="1:15" x14ac:dyDescent="0.25">
      <c r="A495" s="3">
        <v>4</v>
      </c>
      <c r="B495" s="3" t="s">
        <v>154</v>
      </c>
      <c r="C495" s="1" t="s">
        <v>12</v>
      </c>
      <c r="D495" s="1" t="s">
        <v>444</v>
      </c>
      <c r="E495" s="11" t="s">
        <v>144</v>
      </c>
      <c r="F495" s="3" t="s">
        <v>8</v>
      </c>
      <c r="G495" s="66" t="s">
        <v>853</v>
      </c>
      <c r="H495" s="8"/>
      <c r="I495" s="8"/>
      <c r="J495" s="6" t="s">
        <v>76</v>
      </c>
      <c r="K495" s="38">
        <v>0</v>
      </c>
      <c r="L495" s="4" t="s">
        <v>29</v>
      </c>
      <c r="M495" s="11">
        <f>_xlfn.NUMBERVALUE(LEFT(Table613612[[#This Row],[Fiscal Year]], 4))</f>
        <v>2015</v>
      </c>
      <c r="N495" s="43">
        <f t="shared" si="13"/>
        <v>0</v>
      </c>
      <c r="O495" s="3">
        <v>493</v>
      </c>
    </row>
    <row r="496" spans="1:15" x14ac:dyDescent="0.25">
      <c r="A496" s="3">
        <v>4</v>
      </c>
      <c r="B496" s="3" t="s">
        <v>154</v>
      </c>
      <c r="C496" s="1" t="s">
        <v>12</v>
      </c>
      <c r="D496" s="1" t="s">
        <v>444</v>
      </c>
      <c r="E496" s="11" t="s">
        <v>144</v>
      </c>
      <c r="F496" s="3" t="s">
        <v>8</v>
      </c>
      <c r="G496" s="63" t="s">
        <v>854</v>
      </c>
      <c r="H496" s="8"/>
      <c r="I496" s="8"/>
      <c r="J496" s="6" t="s">
        <v>47</v>
      </c>
      <c r="K496" s="38">
        <v>30000</v>
      </c>
      <c r="L496" s="4" t="s">
        <v>29</v>
      </c>
      <c r="M496" s="11">
        <f>_xlfn.NUMBERVALUE(LEFT(Table613612[[#This Row],[Fiscal Year]], 4))</f>
        <v>2015</v>
      </c>
      <c r="N496" s="42">
        <f t="shared" si="13"/>
        <v>31852.025316455696</v>
      </c>
      <c r="O496" s="3">
        <v>494</v>
      </c>
    </row>
    <row r="497" spans="1:15" x14ac:dyDescent="0.25">
      <c r="A497" s="3">
        <v>4</v>
      </c>
      <c r="B497" s="3" t="s">
        <v>154</v>
      </c>
      <c r="C497" s="1" t="s">
        <v>12</v>
      </c>
      <c r="D497" s="1" t="s">
        <v>444</v>
      </c>
      <c r="E497" s="11" t="s">
        <v>144</v>
      </c>
      <c r="F497" s="3" t="s">
        <v>8</v>
      </c>
      <c r="G497" s="63" t="s">
        <v>902</v>
      </c>
      <c r="H497" s="8"/>
      <c r="I497" s="8"/>
      <c r="J497" s="6" t="s">
        <v>455</v>
      </c>
      <c r="K497" s="38">
        <v>40000</v>
      </c>
      <c r="L497" s="4" t="s">
        <v>29</v>
      </c>
      <c r="M497" s="11">
        <f>_xlfn.NUMBERVALUE(LEFT(Table613612[[#This Row],[Fiscal Year]], 4))</f>
        <v>2015</v>
      </c>
      <c r="N497" s="42">
        <f t="shared" si="13"/>
        <v>42469.367088607592</v>
      </c>
      <c r="O497" s="3">
        <v>495</v>
      </c>
    </row>
    <row r="498" spans="1:15" x14ac:dyDescent="0.25">
      <c r="C498" s="1"/>
      <c r="D498" s="1"/>
      <c r="G498" s="66"/>
      <c r="H498" s="8"/>
      <c r="I498" s="8"/>
      <c r="J498" s="6"/>
      <c r="L498" s="4"/>
      <c r="O498" s="3">
        <v>496</v>
      </c>
    </row>
    <row r="499" spans="1:15" x14ac:dyDescent="0.25">
      <c r="A499" s="3">
        <v>4</v>
      </c>
      <c r="B499" s="3" t="s">
        <v>155</v>
      </c>
      <c r="C499" s="1" t="s">
        <v>12</v>
      </c>
      <c r="D499" s="1" t="s">
        <v>444</v>
      </c>
      <c r="E499" s="11" t="s">
        <v>144</v>
      </c>
      <c r="F499" s="3" t="s">
        <v>8</v>
      </c>
      <c r="G499" s="56" t="s">
        <v>829</v>
      </c>
      <c r="H499" s="8"/>
      <c r="I499" s="8"/>
      <c r="J499" s="6" t="s">
        <v>110</v>
      </c>
      <c r="K499" s="38">
        <v>50000</v>
      </c>
      <c r="L499" s="4" t="s">
        <v>29</v>
      </c>
      <c r="M499" s="11">
        <f>_xlfn.NUMBERVALUE(LEFT(Table613612[[#This Row],[Fiscal Year]], 4))</f>
        <v>2015</v>
      </c>
      <c r="N499" s="42">
        <f t="shared" si="13"/>
        <v>53086.708860759492</v>
      </c>
      <c r="O499" s="3">
        <v>497</v>
      </c>
    </row>
    <row r="500" spans="1:15" x14ac:dyDescent="0.25">
      <c r="A500" s="3">
        <v>4</v>
      </c>
      <c r="B500" s="3" t="s">
        <v>155</v>
      </c>
      <c r="C500" s="1" t="s">
        <v>12</v>
      </c>
      <c r="D500" s="1" t="s">
        <v>444</v>
      </c>
      <c r="E500" s="11" t="s">
        <v>144</v>
      </c>
      <c r="F500" s="3" t="s">
        <v>8</v>
      </c>
      <c r="G500" s="66" t="s">
        <v>844</v>
      </c>
      <c r="H500" s="8"/>
      <c r="I500" s="8"/>
      <c r="J500" s="6" t="s">
        <v>453</v>
      </c>
      <c r="K500" s="38">
        <v>10000</v>
      </c>
      <c r="L500" s="4" t="s">
        <v>29</v>
      </c>
      <c r="M500" s="11">
        <f>_xlfn.NUMBERVALUE(LEFT(Table613612[[#This Row],[Fiscal Year]], 4))</f>
        <v>2015</v>
      </c>
      <c r="N500" s="42">
        <f t="shared" si="13"/>
        <v>10617.341772151898</v>
      </c>
      <c r="O500" s="3">
        <v>498</v>
      </c>
    </row>
    <row r="501" spans="1:15" x14ac:dyDescent="0.25">
      <c r="A501" s="3">
        <v>4</v>
      </c>
      <c r="B501" s="3" t="s">
        <v>155</v>
      </c>
      <c r="C501" s="1" t="s">
        <v>12</v>
      </c>
      <c r="D501" s="1" t="s">
        <v>444</v>
      </c>
      <c r="E501" s="11" t="s">
        <v>144</v>
      </c>
      <c r="F501" s="3" t="s">
        <v>8</v>
      </c>
      <c r="G501" s="66" t="s">
        <v>845</v>
      </c>
      <c r="H501" s="8"/>
      <c r="I501" s="8"/>
      <c r="J501" s="6" t="s">
        <v>109</v>
      </c>
      <c r="K501" s="38">
        <v>0</v>
      </c>
      <c r="L501" s="4" t="s">
        <v>29</v>
      </c>
      <c r="M501" s="11">
        <f>_xlfn.NUMBERVALUE(LEFT(Table613612[[#This Row],[Fiscal Year]], 4))</f>
        <v>2015</v>
      </c>
      <c r="N501" s="43">
        <f t="shared" si="13"/>
        <v>0</v>
      </c>
      <c r="O501" s="3">
        <v>499</v>
      </c>
    </row>
    <row r="502" spans="1:15" x14ac:dyDescent="0.25">
      <c r="A502" s="3">
        <v>4</v>
      </c>
      <c r="B502" s="3" t="s">
        <v>155</v>
      </c>
      <c r="C502" s="1" t="s">
        <v>12</v>
      </c>
      <c r="D502" s="1" t="s">
        <v>444</v>
      </c>
      <c r="E502" s="11" t="s">
        <v>144</v>
      </c>
      <c r="F502" s="3" t="s">
        <v>8</v>
      </c>
      <c r="G502" s="48" t="s">
        <v>846</v>
      </c>
      <c r="H502" s="8"/>
      <c r="I502" s="8"/>
      <c r="J502" s="6" t="s">
        <v>111</v>
      </c>
      <c r="K502" s="38">
        <v>25000</v>
      </c>
      <c r="L502" s="4" t="s">
        <v>29</v>
      </c>
      <c r="M502" s="11">
        <f>_xlfn.NUMBERVALUE(LEFT(Table613612[[#This Row],[Fiscal Year]], 4))</f>
        <v>2015</v>
      </c>
      <c r="N502" s="42">
        <f t="shared" si="13"/>
        <v>26543.354430379746</v>
      </c>
      <c r="O502" s="3">
        <v>500</v>
      </c>
    </row>
    <row r="503" spans="1:15" x14ac:dyDescent="0.25">
      <c r="A503" s="3">
        <v>4</v>
      </c>
      <c r="B503" s="3" t="s">
        <v>155</v>
      </c>
      <c r="C503" s="1" t="s">
        <v>12</v>
      </c>
      <c r="D503" s="1" t="s">
        <v>444</v>
      </c>
      <c r="E503" s="11" t="s">
        <v>144</v>
      </c>
      <c r="F503" s="3" t="s">
        <v>8</v>
      </c>
      <c r="G503" s="66" t="s">
        <v>847</v>
      </c>
      <c r="H503" s="8"/>
      <c r="I503" s="8"/>
      <c r="J503" s="6" t="s">
        <v>111</v>
      </c>
      <c r="K503" s="38">
        <v>10000</v>
      </c>
      <c r="L503" s="4" t="s">
        <v>29</v>
      </c>
      <c r="M503" s="11">
        <f>_xlfn.NUMBERVALUE(LEFT(Table613612[[#This Row],[Fiscal Year]], 4))</f>
        <v>2015</v>
      </c>
      <c r="N503" s="42">
        <f t="shared" si="13"/>
        <v>10617.341772151898</v>
      </c>
      <c r="O503" s="3">
        <v>501</v>
      </c>
    </row>
    <row r="504" spans="1:15" x14ac:dyDescent="0.25">
      <c r="A504" s="3">
        <v>4</v>
      </c>
      <c r="B504" s="3" t="s">
        <v>155</v>
      </c>
      <c r="C504" s="1" t="s">
        <v>12</v>
      </c>
      <c r="D504" s="1" t="s">
        <v>444</v>
      </c>
      <c r="E504" s="11" t="s">
        <v>144</v>
      </c>
      <c r="F504" s="3" t="s">
        <v>8</v>
      </c>
      <c r="G504" s="48" t="s">
        <v>857</v>
      </c>
      <c r="H504" s="8"/>
      <c r="I504" s="8"/>
      <c r="J504" s="6" t="s">
        <v>108</v>
      </c>
      <c r="K504" s="38">
        <v>637442</v>
      </c>
      <c r="L504" s="4" t="s">
        <v>29</v>
      </c>
      <c r="M504" s="11">
        <f>_xlfn.NUMBERVALUE(LEFT(Table613612[[#This Row],[Fiscal Year]], 4))</f>
        <v>2015</v>
      </c>
      <c r="N504" s="42">
        <f t="shared" si="13"/>
        <v>676793.95739240502</v>
      </c>
      <c r="O504" s="3">
        <v>502</v>
      </c>
    </row>
    <row r="505" spans="1:15" x14ac:dyDescent="0.25">
      <c r="A505" s="3">
        <v>4</v>
      </c>
      <c r="B505" s="3" t="s">
        <v>155</v>
      </c>
      <c r="C505" s="1" t="s">
        <v>12</v>
      </c>
      <c r="D505" s="1" t="s">
        <v>444</v>
      </c>
      <c r="E505" s="11" t="s">
        <v>144</v>
      </c>
      <c r="F505" s="3" t="s">
        <v>8</v>
      </c>
      <c r="G505" s="66" t="s">
        <v>849</v>
      </c>
      <c r="H505" s="8"/>
      <c r="I505" s="8"/>
      <c r="J505" s="6" t="s">
        <v>106</v>
      </c>
      <c r="K505" s="38">
        <v>16000</v>
      </c>
      <c r="L505" s="4" t="s">
        <v>29</v>
      </c>
      <c r="M505" s="11">
        <f>_xlfn.NUMBERVALUE(LEFT(Table613612[[#This Row],[Fiscal Year]], 4))</f>
        <v>2015</v>
      </c>
      <c r="N505" s="42">
        <f t="shared" si="13"/>
        <v>16987.746835443038</v>
      </c>
      <c r="O505" s="3">
        <v>503</v>
      </c>
    </row>
    <row r="506" spans="1:15" x14ac:dyDescent="0.25">
      <c r="A506" s="3">
        <v>4</v>
      </c>
      <c r="B506" s="3" t="s">
        <v>155</v>
      </c>
      <c r="C506" s="1" t="s">
        <v>12</v>
      </c>
      <c r="D506" s="1" t="s">
        <v>444</v>
      </c>
      <c r="E506" s="11" t="s">
        <v>144</v>
      </c>
      <c r="F506" s="3" t="s">
        <v>8</v>
      </c>
      <c r="G506" s="66" t="s">
        <v>850</v>
      </c>
      <c r="H506" s="8"/>
      <c r="I506" s="8"/>
      <c r="J506" s="6" t="s">
        <v>455</v>
      </c>
      <c r="K506" s="38">
        <v>0</v>
      </c>
      <c r="L506" s="4" t="s">
        <v>29</v>
      </c>
      <c r="M506" s="11">
        <f>_xlfn.NUMBERVALUE(LEFT(Table613612[[#This Row],[Fiscal Year]], 4))</f>
        <v>2015</v>
      </c>
      <c r="N506" s="43">
        <f t="shared" si="13"/>
        <v>0</v>
      </c>
      <c r="O506" s="3">
        <v>504</v>
      </c>
    </row>
    <row r="507" spans="1:15" x14ac:dyDescent="0.25">
      <c r="A507" s="3">
        <v>4</v>
      </c>
      <c r="B507" s="3" t="s">
        <v>155</v>
      </c>
      <c r="C507" s="1" t="s">
        <v>12</v>
      </c>
      <c r="D507" s="1" t="s">
        <v>444</v>
      </c>
      <c r="E507" s="11" t="s">
        <v>144</v>
      </c>
      <c r="F507" s="3" t="s">
        <v>8</v>
      </c>
      <c r="G507" s="66" t="s">
        <v>851</v>
      </c>
      <c r="H507" s="8"/>
      <c r="I507" s="8"/>
      <c r="J507" s="6" t="s">
        <v>76</v>
      </c>
      <c r="K507" s="38">
        <v>0</v>
      </c>
      <c r="L507" s="4" t="s">
        <v>29</v>
      </c>
      <c r="M507" s="11">
        <f>_xlfn.NUMBERVALUE(LEFT(Table613612[[#This Row],[Fiscal Year]], 4))</f>
        <v>2015</v>
      </c>
      <c r="N507" s="43">
        <f t="shared" si="13"/>
        <v>0</v>
      </c>
      <c r="O507" s="3">
        <v>505</v>
      </c>
    </row>
    <row r="508" spans="1:15" x14ac:dyDescent="0.25">
      <c r="A508" s="3">
        <v>4</v>
      </c>
      <c r="B508" s="3" t="s">
        <v>155</v>
      </c>
      <c r="C508" s="1" t="s">
        <v>12</v>
      </c>
      <c r="D508" s="1" t="s">
        <v>444</v>
      </c>
      <c r="E508" s="11" t="s">
        <v>144</v>
      </c>
      <c r="F508" s="3" t="s">
        <v>8</v>
      </c>
      <c r="G508" s="66" t="s">
        <v>852</v>
      </c>
      <c r="H508" s="8"/>
      <c r="I508" s="8"/>
      <c r="J508" s="6" t="s">
        <v>76</v>
      </c>
      <c r="K508" s="38">
        <v>0</v>
      </c>
      <c r="L508" s="4" t="s">
        <v>29</v>
      </c>
      <c r="M508" s="11">
        <f>_xlfn.NUMBERVALUE(LEFT(Table613612[[#This Row],[Fiscal Year]], 4))</f>
        <v>2015</v>
      </c>
      <c r="N508" s="43">
        <f t="shared" si="13"/>
        <v>0</v>
      </c>
      <c r="O508" s="3">
        <v>506</v>
      </c>
    </row>
    <row r="509" spans="1:15" x14ac:dyDescent="0.25">
      <c r="A509" s="3">
        <v>4</v>
      </c>
      <c r="B509" s="3" t="s">
        <v>155</v>
      </c>
      <c r="C509" s="1" t="s">
        <v>12</v>
      </c>
      <c r="D509" s="1" t="s">
        <v>444</v>
      </c>
      <c r="E509" s="11" t="s">
        <v>144</v>
      </c>
      <c r="F509" s="3" t="s">
        <v>8</v>
      </c>
      <c r="G509" s="66" t="s">
        <v>853</v>
      </c>
      <c r="H509" s="8"/>
      <c r="I509" s="8"/>
      <c r="J509" s="6" t="s">
        <v>76</v>
      </c>
      <c r="K509" s="38">
        <v>0</v>
      </c>
      <c r="L509" s="4" t="s">
        <v>29</v>
      </c>
      <c r="M509" s="11">
        <f>_xlfn.NUMBERVALUE(LEFT(Table613612[[#This Row],[Fiscal Year]], 4))</f>
        <v>2015</v>
      </c>
      <c r="N509" s="43">
        <f t="shared" si="13"/>
        <v>0</v>
      </c>
      <c r="O509" s="3">
        <v>507</v>
      </c>
    </row>
    <row r="510" spans="1:15" x14ac:dyDescent="0.25">
      <c r="A510" s="3">
        <v>4</v>
      </c>
      <c r="B510" s="3" t="s">
        <v>155</v>
      </c>
      <c r="C510" s="1" t="s">
        <v>12</v>
      </c>
      <c r="D510" s="1" t="s">
        <v>444</v>
      </c>
      <c r="E510" s="11" t="s">
        <v>144</v>
      </c>
      <c r="F510" s="3" t="s">
        <v>8</v>
      </c>
      <c r="G510" s="63" t="s">
        <v>854</v>
      </c>
      <c r="H510" s="8"/>
      <c r="I510" s="8"/>
      <c r="J510" s="6" t="s">
        <v>47</v>
      </c>
      <c r="K510" s="38">
        <v>50000</v>
      </c>
      <c r="L510" s="4" t="s">
        <v>29</v>
      </c>
      <c r="M510" s="11">
        <f>_xlfn.NUMBERVALUE(LEFT(Table613612[[#This Row],[Fiscal Year]], 4))</f>
        <v>2015</v>
      </c>
      <c r="N510" s="42">
        <f>K510*(1+VLOOKUP(M510,$AF$8:$AH$31,3,0))</f>
        <v>53086.708860759492</v>
      </c>
      <c r="O510" s="3">
        <v>508</v>
      </c>
    </row>
    <row r="511" spans="1:15" x14ac:dyDescent="0.25">
      <c r="A511" s="3">
        <v>4</v>
      </c>
      <c r="B511" s="3" t="s">
        <v>155</v>
      </c>
      <c r="C511" s="1" t="s">
        <v>12</v>
      </c>
      <c r="D511" s="1" t="s">
        <v>444</v>
      </c>
      <c r="E511" s="11" t="s">
        <v>144</v>
      </c>
      <c r="F511" s="3" t="s">
        <v>8</v>
      </c>
      <c r="G511" s="63" t="s">
        <v>903</v>
      </c>
      <c r="H511" s="8"/>
      <c r="I511" s="8"/>
      <c r="J511" s="6" t="s">
        <v>455</v>
      </c>
      <c r="K511" s="38">
        <v>0</v>
      </c>
      <c r="L511" s="4" t="s">
        <v>29</v>
      </c>
      <c r="M511" s="11">
        <f>_xlfn.NUMBERVALUE(LEFT(Table613612[[#This Row],[Fiscal Year]], 4))</f>
        <v>2015</v>
      </c>
      <c r="N511" s="43">
        <f t="shared" si="13"/>
        <v>0</v>
      </c>
      <c r="O511" s="3">
        <v>509</v>
      </c>
    </row>
    <row r="512" spans="1:15" x14ac:dyDescent="0.25">
      <c r="C512" s="1"/>
      <c r="D512" s="1"/>
      <c r="G512" s="66"/>
      <c r="H512" s="8"/>
      <c r="I512" s="8"/>
      <c r="J512" s="6"/>
      <c r="L512" s="4"/>
      <c r="O512" s="3">
        <v>510</v>
      </c>
    </row>
    <row r="513" spans="1:15" x14ac:dyDescent="0.25">
      <c r="A513" s="3">
        <v>4</v>
      </c>
      <c r="B513" s="3" t="s">
        <v>156</v>
      </c>
      <c r="C513" s="1" t="s">
        <v>12</v>
      </c>
      <c r="D513" s="1" t="s">
        <v>444</v>
      </c>
      <c r="E513" s="11" t="s">
        <v>144</v>
      </c>
      <c r="F513" s="3" t="s">
        <v>8</v>
      </c>
      <c r="G513" s="56" t="s">
        <v>829</v>
      </c>
      <c r="H513" s="8"/>
      <c r="I513" s="8"/>
      <c r="J513" s="6" t="s">
        <v>110</v>
      </c>
      <c r="K513" s="38">
        <v>104916.5</v>
      </c>
      <c r="L513" s="4" t="s">
        <v>29</v>
      </c>
      <c r="M513" s="11">
        <f>_xlfn.NUMBERVALUE(LEFT(Table613612[[#This Row],[Fiscal Year]], 4))</f>
        <v>2015</v>
      </c>
      <c r="N513" s="42">
        <f t="shared" si="13"/>
        <v>111393.43380379747</v>
      </c>
      <c r="O513" s="3">
        <v>511</v>
      </c>
    </row>
    <row r="514" spans="1:15" x14ac:dyDescent="0.25">
      <c r="A514" s="3">
        <v>4</v>
      </c>
      <c r="B514" s="3" t="s">
        <v>156</v>
      </c>
      <c r="C514" s="1" t="s">
        <v>12</v>
      </c>
      <c r="D514" s="1" t="s">
        <v>444</v>
      </c>
      <c r="E514" s="11" t="s">
        <v>144</v>
      </c>
      <c r="F514" s="3" t="s">
        <v>8</v>
      </c>
      <c r="G514" s="66" t="s">
        <v>844</v>
      </c>
      <c r="H514" s="8"/>
      <c r="I514" s="8"/>
      <c r="J514" s="6" t="s">
        <v>453</v>
      </c>
      <c r="K514" s="38">
        <v>14125.06</v>
      </c>
      <c r="L514" s="4" t="s">
        <v>29</v>
      </c>
      <c r="M514" s="11">
        <f>_xlfn.NUMBERVALUE(LEFT(Table613612[[#This Row],[Fiscal Year]], 4))</f>
        <v>2015</v>
      </c>
      <c r="N514" s="42">
        <f t="shared" si="13"/>
        <v>14997.058957215189</v>
      </c>
      <c r="O514" s="3">
        <v>512</v>
      </c>
    </row>
    <row r="515" spans="1:15" x14ac:dyDescent="0.25">
      <c r="A515" s="3">
        <v>4</v>
      </c>
      <c r="B515" s="3" t="s">
        <v>156</v>
      </c>
      <c r="C515" s="1" t="s">
        <v>12</v>
      </c>
      <c r="D515" s="1" t="s">
        <v>444</v>
      </c>
      <c r="E515" s="11" t="s">
        <v>144</v>
      </c>
      <c r="F515" s="3" t="s">
        <v>8</v>
      </c>
      <c r="G515" s="66" t="s">
        <v>845</v>
      </c>
      <c r="H515" s="8"/>
      <c r="I515" s="8"/>
      <c r="J515" s="6" t="s">
        <v>109</v>
      </c>
      <c r="K515" s="38">
        <v>37833</v>
      </c>
      <c r="L515" s="4" t="s">
        <v>29</v>
      </c>
      <c r="M515" s="11">
        <f>_xlfn.NUMBERVALUE(LEFT(Table613612[[#This Row],[Fiscal Year]], 4))</f>
        <v>2015</v>
      </c>
      <c r="N515" s="42">
        <f t="shared" si="13"/>
        <v>40168.589126582279</v>
      </c>
      <c r="O515" s="3">
        <v>513</v>
      </c>
    </row>
    <row r="516" spans="1:15" x14ac:dyDescent="0.25">
      <c r="A516" s="3">
        <v>4</v>
      </c>
      <c r="B516" s="3" t="s">
        <v>156</v>
      </c>
      <c r="C516" s="1" t="s">
        <v>12</v>
      </c>
      <c r="D516" s="1" t="s">
        <v>444</v>
      </c>
      <c r="E516" s="11" t="s">
        <v>144</v>
      </c>
      <c r="F516" s="3" t="s">
        <v>8</v>
      </c>
      <c r="G516" s="48" t="s">
        <v>846</v>
      </c>
      <c r="H516" s="8"/>
      <c r="I516" s="8"/>
      <c r="J516" s="6" t="s">
        <v>111</v>
      </c>
      <c r="K516" s="38">
        <v>7285</v>
      </c>
      <c r="L516" s="4" t="s">
        <v>29</v>
      </c>
      <c r="M516" s="11">
        <f>_xlfn.NUMBERVALUE(LEFT(Table613612[[#This Row],[Fiscal Year]], 4))</f>
        <v>2015</v>
      </c>
      <c r="N516" s="42">
        <f t="shared" si="13"/>
        <v>7734.7334810126576</v>
      </c>
      <c r="O516" s="3">
        <v>514</v>
      </c>
    </row>
    <row r="517" spans="1:15" x14ac:dyDescent="0.25">
      <c r="A517" s="3">
        <v>4</v>
      </c>
      <c r="B517" s="3" t="s">
        <v>156</v>
      </c>
      <c r="C517" s="1" t="s">
        <v>12</v>
      </c>
      <c r="D517" s="1" t="s">
        <v>444</v>
      </c>
      <c r="E517" s="11" t="s">
        <v>144</v>
      </c>
      <c r="F517" s="3" t="s">
        <v>8</v>
      </c>
      <c r="G517" s="66" t="s">
        <v>847</v>
      </c>
      <c r="H517" s="8"/>
      <c r="I517" s="8"/>
      <c r="J517" s="6" t="s">
        <v>111</v>
      </c>
      <c r="K517" s="38">
        <v>24697.4</v>
      </c>
      <c r="L517" s="4" t="s">
        <v>29</v>
      </c>
      <c r="M517" s="11">
        <f>_xlfn.NUMBERVALUE(LEFT(Table613612[[#This Row],[Fiscal Year]], 4))</f>
        <v>2015</v>
      </c>
      <c r="N517" s="42">
        <f t="shared" si="13"/>
        <v>26222.073668354431</v>
      </c>
      <c r="O517" s="3">
        <v>515</v>
      </c>
    </row>
    <row r="518" spans="1:15" x14ac:dyDescent="0.25">
      <c r="A518" s="3">
        <v>4</v>
      </c>
      <c r="B518" s="3" t="s">
        <v>156</v>
      </c>
      <c r="C518" s="1" t="s">
        <v>12</v>
      </c>
      <c r="D518" s="1" t="s">
        <v>444</v>
      </c>
      <c r="E518" s="11" t="s">
        <v>144</v>
      </c>
      <c r="F518" s="3" t="s">
        <v>8</v>
      </c>
      <c r="G518" s="48" t="s">
        <v>857</v>
      </c>
      <c r="H518" s="8"/>
      <c r="I518" s="8"/>
      <c r="J518" s="6" t="s">
        <v>108</v>
      </c>
      <c r="K518" s="38">
        <v>168545.02</v>
      </c>
      <c r="L518" s="4" t="s">
        <v>29</v>
      </c>
      <c r="M518" s="11">
        <f>_xlfn.NUMBERVALUE(LEFT(Table613612[[#This Row],[Fiscal Year]], 4))</f>
        <v>2015</v>
      </c>
      <c r="N518" s="42">
        <f t="shared" si="13"/>
        <v>178950.00813341769</v>
      </c>
      <c r="O518" s="3">
        <v>516</v>
      </c>
    </row>
    <row r="519" spans="1:15" x14ac:dyDescent="0.25">
      <c r="A519" s="3">
        <v>4</v>
      </c>
      <c r="B519" s="3" t="s">
        <v>156</v>
      </c>
      <c r="C519" s="1" t="s">
        <v>12</v>
      </c>
      <c r="D519" s="1" t="s">
        <v>444</v>
      </c>
      <c r="E519" s="11" t="s">
        <v>144</v>
      </c>
      <c r="F519" s="3" t="s">
        <v>8</v>
      </c>
      <c r="G519" s="66" t="s">
        <v>849</v>
      </c>
      <c r="H519" s="8"/>
      <c r="I519" s="8"/>
      <c r="J519" s="6" t="s">
        <v>106</v>
      </c>
      <c r="K519" s="38">
        <v>1855</v>
      </c>
      <c r="L519" s="4" t="s">
        <v>29</v>
      </c>
      <c r="M519" s="11">
        <f>_xlfn.NUMBERVALUE(LEFT(Table613612[[#This Row],[Fiscal Year]], 4))</f>
        <v>2015</v>
      </c>
      <c r="N519" s="42">
        <f t="shared" si="13"/>
        <v>1969.5168987341772</v>
      </c>
      <c r="O519" s="3">
        <v>517</v>
      </c>
    </row>
    <row r="520" spans="1:15" x14ac:dyDescent="0.25">
      <c r="A520" s="3">
        <v>4</v>
      </c>
      <c r="B520" s="3" t="s">
        <v>156</v>
      </c>
      <c r="C520" s="1" t="s">
        <v>12</v>
      </c>
      <c r="D520" s="1" t="s">
        <v>444</v>
      </c>
      <c r="E520" s="11" t="s">
        <v>144</v>
      </c>
      <c r="F520" s="3" t="s">
        <v>8</v>
      </c>
      <c r="G520" s="66" t="s">
        <v>850</v>
      </c>
      <c r="H520" s="8"/>
      <c r="I520" s="8"/>
      <c r="J520" s="6" t="s">
        <v>455</v>
      </c>
      <c r="K520" s="38">
        <v>58954</v>
      </c>
      <c r="L520" s="4" t="s">
        <v>29</v>
      </c>
      <c r="M520" s="11">
        <f>_xlfn.NUMBERVALUE(LEFT(Table613612[[#This Row],[Fiscal Year]], 4))</f>
        <v>2015</v>
      </c>
      <c r="N520" s="42">
        <f t="shared" si="13"/>
        <v>62593.476683544301</v>
      </c>
      <c r="O520" s="3">
        <v>518</v>
      </c>
    </row>
    <row r="521" spans="1:15" x14ac:dyDescent="0.25">
      <c r="A521" s="3">
        <v>4</v>
      </c>
      <c r="B521" s="3" t="s">
        <v>156</v>
      </c>
      <c r="C521" s="1" t="s">
        <v>12</v>
      </c>
      <c r="D521" s="1" t="s">
        <v>444</v>
      </c>
      <c r="E521" s="11" t="s">
        <v>144</v>
      </c>
      <c r="F521" s="3" t="s">
        <v>8</v>
      </c>
      <c r="G521" s="66" t="s">
        <v>851</v>
      </c>
      <c r="H521" s="8"/>
      <c r="I521" s="8"/>
      <c r="J521" s="6" t="s">
        <v>76</v>
      </c>
      <c r="K521" s="38">
        <v>0</v>
      </c>
      <c r="L521" s="4" t="s">
        <v>29</v>
      </c>
      <c r="M521" s="11">
        <f>_xlfn.NUMBERVALUE(LEFT(Table613612[[#This Row],[Fiscal Year]], 4))</f>
        <v>2015</v>
      </c>
      <c r="N521" s="43">
        <f t="shared" si="13"/>
        <v>0</v>
      </c>
      <c r="O521" s="3">
        <v>519</v>
      </c>
    </row>
    <row r="522" spans="1:15" x14ac:dyDescent="0.25">
      <c r="A522" s="3">
        <v>4</v>
      </c>
      <c r="B522" s="3" t="s">
        <v>156</v>
      </c>
      <c r="C522" s="1" t="s">
        <v>12</v>
      </c>
      <c r="D522" s="1" t="s">
        <v>444</v>
      </c>
      <c r="E522" s="11" t="s">
        <v>144</v>
      </c>
      <c r="F522" s="3" t="s">
        <v>8</v>
      </c>
      <c r="G522" s="66" t="s">
        <v>852</v>
      </c>
      <c r="H522" s="8"/>
      <c r="I522" s="8"/>
      <c r="J522" s="6" t="s">
        <v>76</v>
      </c>
      <c r="K522" s="38">
        <v>0</v>
      </c>
      <c r="L522" s="4" t="s">
        <v>29</v>
      </c>
      <c r="M522" s="11">
        <f>_xlfn.NUMBERVALUE(LEFT(Table613612[[#This Row],[Fiscal Year]], 4))</f>
        <v>2015</v>
      </c>
      <c r="N522" s="43">
        <f t="shared" si="13"/>
        <v>0</v>
      </c>
      <c r="O522" s="3">
        <v>520</v>
      </c>
    </row>
    <row r="523" spans="1:15" x14ac:dyDescent="0.25">
      <c r="A523" s="3">
        <v>4</v>
      </c>
      <c r="B523" s="3" t="s">
        <v>156</v>
      </c>
      <c r="C523" s="1" t="s">
        <v>12</v>
      </c>
      <c r="D523" s="1" t="s">
        <v>444</v>
      </c>
      <c r="E523" s="11" t="s">
        <v>144</v>
      </c>
      <c r="F523" s="3" t="s">
        <v>8</v>
      </c>
      <c r="G523" s="66" t="s">
        <v>853</v>
      </c>
      <c r="H523" s="8"/>
      <c r="I523" s="8"/>
      <c r="J523" s="6" t="s">
        <v>76</v>
      </c>
      <c r="K523" s="38">
        <v>0</v>
      </c>
      <c r="L523" s="4" t="s">
        <v>29</v>
      </c>
      <c r="M523" s="11">
        <f>_xlfn.NUMBERVALUE(LEFT(Table613612[[#This Row],[Fiscal Year]], 4))</f>
        <v>2015</v>
      </c>
      <c r="N523" s="43">
        <f t="shared" si="13"/>
        <v>0</v>
      </c>
      <c r="O523" s="3">
        <v>521</v>
      </c>
    </row>
    <row r="524" spans="1:15" x14ac:dyDescent="0.25">
      <c r="A524" s="3">
        <v>4</v>
      </c>
      <c r="B524" s="3" t="s">
        <v>156</v>
      </c>
      <c r="C524" s="1" t="s">
        <v>12</v>
      </c>
      <c r="D524" s="1" t="s">
        <v>444</v>
      </c>
      <c r="E524" s="11" t="s">
        <v>144</v>
      </c>
      <c r="F524" s="3" t="s">
        <v>8</v>
      </c>
      <c r="G524" s="63" t="s">
        <v>854</v>
      </c>
      <c r="H524" s="8"/>
      <c r="I524" s="8"/>
      <c r="J524" s="6" t="s">
        <v>47</v>
      </c>
      <c r="K524" s="38">
        <v>66881.67</v>
      </c>
      <c r="L524" s="4" t="s">
        <v>29</v>
      </c>
      <c r="M524" s="11">
        <f>_xlfn.NUMBERVALUE(LEFT(Table613612[[#This Row],[Fiscal Year]], 4))</f>
        <v>2015</v>
      </c>
      <c r="N524" s="42">
        <f t="shared" ref="N524:N587" si="14">K524*(1+VLOOKUP(M524,$AF$8:$AH$31,3,0))</f>
        <v>71010.554868227846</v>
      </c>
      <c r="O524" s="3">
        <v>522</v>
      </c>
    </row>
    <row r="525" spans="1:15" x14ac:dyDescent="0.25">
      <c r="A525" s="3">
        <v>4</v>
      </c>
      <c r="B525" s="3" t="s">
        <v>156</v>
      </c>
      <c r="C525" s="1" t="s">
        <v>12</v>
      </c>
      <c r="D525" s="1" t="s">
        <v>444</v>
      </c>
      <c r="E525" s="11" t="s">
        <v>144</v>
      </c>
      <c r="F525" s="3" t="s">
        <v>8</v>
      </c>
      <c r="G525" s="63" t="s">
        <v>905</v>
      </c>
      <c r="H525" s="8" t="s">
        <v>904</v>
      </c>
      <c r="I525" s="8" t="s">
        <v>429</v>
      </c>
      <c r="J525" s="6" t="s">
        <v>455</v>
      </c>
      <c r="K525" s="38">
        <v>15000</v>
      </c>
      <c r="L525" s="4" t="s">
        <v>29</v>
      </c>
      <c r="M525" s="11">
        <f>_xlfn.NUMBERVALUE(LEFT(Table613612[[#This Row],[Fiscal Year]], 4))</f>
        <v>2015</v>
      </c>
      <c r="N525" s="42">
        <f t="shared" si="14"/>
        <v>15926.012658227848</v>
      </c>
      <c r="O525" s="3">
        <v>523</v>
      </c>
    </row>
    <row r="526" spans="1:15" x14ac:dyDescent="0.25">
      <c r="C526" s="1"/>
      <c r="D526" s="1"/>
      <c r="G526" s="66"/>
      <c r="H526" s="8"/>
      <c r="I526" s="8"/>
      <c r="J526" s="6"/>
      <c r="L526" s="4"/>
      <c r="O526" s="3">
        <v>524</v>
      </c>
    </row>
    <row r="527" spans="1:15" x14ac:dyDescent="0.25">
      <c r="A527" s="3">
        <v>4</v>
      </c>
      <c r="B527" s="3" t="s">
        <v>157</v>
      </c>
      <c r="C527" s="1" t="s">
        <v>12</v>
      </c>
      <c r="D527" s="1" t="s">
        <v>444</v>
      </c>
      <c r="E527" s="11" t="s">
        <v>144</v>
      </c>
      <c r="F527" s="3" t="s">
        <v>8</v>
      </c>
      <c r="G527" s="56" t="s">
        <v>829</v>
      </c>
      <c r="H527" s="6"/>
      <c r="I527" s="8"/>
      <c r="J527" s="6" t="s">
        <v>110</v>
      </c>
      <c r="K527" s="38">
        <v>6927</v>
      </c>
      <c r="L527" s="4" t="s">
        <v>29</v>
      </c>
      <c r="M527" s="11">
        <f>_xlfn.NUMBERVALUE(LEFT(Table613612[[#This Row],[Fiscal Year]], 4))</f>
        <v>2015</v>
      </c>
      <c r="N527" s="42">
        <f t="shared" si="14"/>
        <v>7354.6326455696199</v>
      </c>
      <c r="O527" s="3">
        <v>525</v>
      </c>
    </row>
    <row r="528" spans="1:15" x14ac:dyDescent="0.25">
      <c r="A528" s="3">
        <v>4</v>
      </c>
      <c r="B528" s="3" t="s">
        <v>157</v>
      </c>
      <c r="C528" s="1" t="s">
        <v>12</v>
      </c>
      <c r="D528" s="1" t="s">
        <v>444</v>
      </c>
      <c r="E528" s="11" t="s">
        <v>144</v>
      </c>
      <c r="F528" s="3" t="s">
        <v>8</v>
      </c>
      <c r="G528" s="66" t="s">
        <v>844</v>
      </c>
      <c r="H528" s="8"/>
      <c r="I528" s="8"/>
      <c r="J528" s="6" t="s">
        <v>453</v>
      </c>
      <c r="K528" s="38">
        <v>1500</v>
      </c>
      <c r="L528" s="4" t="s">
        <v>29</v>
      </c>
      <c r="M528" s="11">
        <f>_xlfn.NUMBERVALUE(LEFT(Table613612[[#This Row],[Fiscal Year]], 4))</f>
        <v>2015</v>
      </c>
      <c r="N528" s="42">
        <f t="shared" si="14"/>
        <v>1592.6012658227846</v>
      </c>
      <c r="O528" s="3">
        <v>526</v>
      </c>
    </row>
    <row r="529" spans="1:15" x14ac:dyDescent="0.25">
      <c r="A529" s="3">
        <v>4</v>
      </c>
      <c r="B529" s="3" t="s">
        <v>157</v>
      </c>
      <c r="C529" s="1" t="s">
        <v>12</v>
      </c>
      <c r="D529" s="1" t="s">
        <v>444</v>
      </c>
      <c r="E529" s="11" t="s">
        <v>144</v>
      </c>
      <c r="F529" s="3" t="s">
        <v>8</v>
      </c>
      <c r="G529" s="66" t="s">
        <v>845</v>
      </c>
      <c r="H529" s="8"/>
      <c r="I529" s="8"/>
      <c r="J529" s="6" t="s">
        <v>109</v>
      </c>
      <c r="K529" s="38" t="s">
        <v>28</v>
      </c>
      <c r="L529" s="4" t="s">
        <v>29</v>
      </c>
      <c r="M529" s="11">
        <f>_xlfn.NUMBERVALUE(LEFT(Table613612[[#This Row],[Fiscal Year]], 4))</f>
        <v>2015</v>
      </c>
      <c r="O529" s="3">
        <v>527</v>
      </c>
    </row>
    <row r="530" spans="1:15" x14ac:dyDescent="0.25">
      <c r="A530" s="3">
        <v>4</v>
      </c>
      <c r="B530" s="3" t="s">
        <v>157</v>
      </c>
      <c r="C530" s="1" t="s">
        <v>12</v>
      </c>
      <c r="D530" s="1" t="s">
        <v>444</v>
      </c>
      <c r="E530" s="11" t="s">
        <v>144</v>
      </c>
      <c r="F530" s="3" t="s">
        <v>8</v>
      </c>
      <c r="G530" s="48" t="s">
        <v>846</v>
      </c>
      <c r="H530" s="8"/>
      <c r="I530" s="8"/>
      <c r="J530" s="6" t="s">
        <v>111</v>
      </c>
      <c r="K530" s="38">
        <v>6500</v>
      </c>
      <c r="L530" s="4" t="s">
        <v>29</v>
      </c>
      <c r="M530" s="11">
        <f>_xlfn.NUMBERVALUE(LEFT(Table613612[[#This Row],[Fiscal Year]], 4))</f>
        <v>2015</v>
      </c>
      <c r="N530" s="42">
        <f t="shared" si="14"/>
        <v>6901.2721518987337</v>
      </c>
      <c r="O530" s="3">
        <v>528</v>
      </c>
    </row>
    <row r="531" spans="1:15" x14ac:dyDescent="0.25">
      <c r="A531" s="3">
        <v>4</v>
      </c>
      <c r="B531" s="3" t="s">
        <v>157</v>
      </c>
      <c r="C531" s="1" t="s">
        <v>12</v>
      </c>
      <c r="D531" s="1" t="s">
        <v>444</v>
      </c>
      <c r="E531" s="11" t="s">
        <v>144</v>
      </c>
      <c r="F531" s="3" t="s">
        <v>8</v>
      </c>
      <c r="G531" s="66" t="s">
        <v>847</v>
      </c>
      <c r="H531" s="8"/>
      <c r="I531" s="8"/>
      <c r="J531" s="6" t="s">
        <v>111</v>
      </c>
      <c r="K531" s="38">
        <v>7500</v>
      </c>
      <c r="L531" s="4" t="s">
        <v>29</v>
      </c>
      <c r="M531" s="11">
        <f>_xlfn.NUMBERVALUE(LEFT(Table613612[[#This Row],[Fiscal Year]], 4))</f>
        <v>2015</v>
      </c>
      <c r="N531" s="42">
        <f t="shared" si="14"/>
        <v>7963.006329113924</v>
      </c>
      <c r="O531" s="3">
        <v>529</v>
      </c>
    </row>
    <row r="532" spans="1:15" x14ac:dyDescent="0.25">
      <c r="A532" s="3">
        <v>4</v>
      </c>
      <c r="B532" s="3" t="s">
        <v>157</v>
      </c>
      <c r="C532" s="1" t="s">
        <v>12</v>
      </c>
      <c r="D532" s="1" t="s">
        <v>444</v>
      </c>
      <c r="E532" s="11" t="s">
        <v>144</v>
      </c>
      <c r="F532" s="3" t="s">
        <v>8</v>
      </c>
      <c r="G532" s="48" t="s">
        <v>857</v>
      </c>
      <c r="H532" s="8"/>
      <c r="I532" s="8"/>
      <c r="J532" s="6" t="s">
        <v>108</v>
      </c>
      <c r="K532" s="38">
        <v>1000</v>
      </c>
      <c r="L532" s="4" t="s">
        <v>29</v>
      </c>
      <c r="M532" s="11">
        <f>_xlfn.NUMBERVALUE(LEFT(Table613612[[#This Row],[Fiscal Year]], 4))</f>
        <v>2015</v>
      </c>
      <c r="N532" s="42">
        <f t="shared" si="14"/>
        <v>1061.7341772151899</v>
      </c>
      <c r="O532" s="3">
        <v>530</v>
      </c>
    </row>
    <row r="533" spans="1:15" x14ac:dyDescent="0.25">
      <c r="A533" s="3">
        <v>4</v>
      </c>
      <c r="B533" s="3" t="s">
        <v>157</v>
      </c>
      <c r="C533" s="1" t="s">
        <v>12</v>
      </c>
      <c r="D533" s="1" t="s">
        <v>444</v>
      </c>
      <c r="E533" s="11" t="s">
        <v>144</v>
      </c>
      <c r="F533" s="3" t="s">
        <v>8</v>
      </c>
      <c r="G533" s="66" t="s">
        <v>849</v>
      </c>
      <c r="H533" s="8"/>
      <c r="I533" s="8"/>
      <c r="J533" s="6" t="s">
        <v>106</v>
      </c>
      <c r="K533" s="38" t="s">
        <v>28</v>
      </c>
      <c r="L533" s="4" t="s">
        <v>29</v>
      </c>
      <c r="M533" s="11">
        <f>_xlfn.NUMBERVALUE(LEFT(Table613612[[#This Row],[Fiscal Year]], 4))</f>
        <v>2015</v>
      </c>
      <c r="O533" s="3">
        <v>531</v>
      </c>
    </row>
    <row r="534" spans="1:15" x14ac:dyDescent="0.25">
      <c r="A534" s="3">
        <v>4</v>
      </c>
      <c r="B534" s="3" t="s">
        <v>157</v>
      </c>
      <c r="C534" s="1" t="s">
        <v>12</v>
      </c>
      <c r="D534" s="1" t="s">
        <v>444</v>
      </c>
      <c r="E534" s="11" t="s">
        <v>144</v>
      </c>
      <c r="F534" s="3" t="s">
        <v>8</v>
      </c>
      <c r="G534" s="66" t="s">
        <v>850</v>
      </c>
      <c r="H534" s="8"/>
      <c r="I534" s="8"/>
      <c r="J534" s="6" t="s">
        <v>455</v>
      </c>
      <c r="K534" s="38" t="s">
        <v>28</v>
      </c>
      <c r="L534" s="4" t="s">
        <v>29</v>
      </c>
      <c r="M534" s="11">
        <f>_xlfn.NUMBERVALUE(LEFT(Table613612[[#This Row],[Fiscal Year]], 4))</f>
        <v>2015</v>
      </c>
      <c r="O534" s="3">
        <v>532</v>
      </c>
    </row>
    <row r="535" spans="1:15" x14ac:dyDescent="0.25">
      <c r="A535" s="3">
        <v>4</v>
      </c>
      <c r="B535" s="3" t="s">
        <v>157</v>
      </c>
      <c r="C535" s="1" t="s">
        <v>12</v>
      </c>
      <c r="D535" s="1" t="s">
        <v>444</v>
      </c>
      <c r="E535" s="11" t="s">
        <v>144</v>
      </c>
      <c r="F535" s="3" t="s">
        <v>8</v>
      </c>
      <c r="G535" s="66" t="s">
        <v>851</v>
      </c>
      <c r="H535" s="8"/>
      <c r="I535" s="8"/>
      <c r="J535" s="6" t="s">
        <v>76</v>
      </c>
      <c r="K535" s="38" t="s">
        <v>28</v>
      </c>
      <c r="L535" s="4" t="s">
        <v>29</v>
      </c>
      <c r="M535" s="11">
        <f>_xlfn.NUMBERVALUE(LEFT(Table613612[[#This Row],[Fiscal Year]], 4))</f>
        <v>2015</v>
      </c>
      <c r="O535" s="3">
        <v>533</v>
      </c>
    </row>
    <row r="536" spans="1:15" x14ac:dyDescent="0.25">
      <c r="A536" s="3">
        <v>4</v>
      </c>
      <c r="B536" s="3" t="s">
        <v>157</v>
      </c>
      <c r="C536" s="1" t="s">
        <v>12</v>
      </c>
      <c r="D536" s="1" t="s">
        <v>444</v>
      </c>
      <c r="E536" s="11" t="s">
        <v>144</v>
      </c>
      <c r="F536" s="3" t="s">
        <v>8</v>
      </c>
      <c r="G536" s="66" t="s">
        <v>852</v>
      </c>
      <c r="H536" s="8"/>
      <c r="I536" s="8"/>
      <c r="J536" s="6" t="s">
        <v>76</v>
      </c>
      <c r="K536" s="38" t="s">
        <v>28</v>
      </c>
      <c r="L536" s="4" t="s">
        <v>29</v>
      </c>
      <c r="M536" s="11">
        <f>_xlfn.NUMBERVALUE(LEFT(Table613612[[#This Row],[Fiscal Year]], 4))</f>
        <v>2015</v>
      </c>
      <c r="O536" s="3">
        <v>534</v>
      </c>
    </row>
    <row r="537" spans="1:15" x14ac:dyDescent="0.25">
      <c r="A537" s="3">
        <v>4</v>
      </c>
      <c r="B537" s="3" t="s">
        <v>157</v>
      </c>
      <c r="C537" s="1" t="s">
        <v>12</v>
      </c>
      <c r="D537" s="1" t="s">
        <v>444</v>
      </c>
      <c r="E537" s="11" t="s">
        <v>144</v>
      </c>
      <c r="F537" s="3" t="s">
        <v>8</v>
      </c>
      <c r="G537" s="66" t="s">
        <v>853</v>
      </c>
      <c r="H537" s="8"/>
      <c r="I537" s="8"/>
      <c r="J537" s="6" t="s">
        <v>76</v>
      </c>
      <c r="K537" s="38" t="s">
        <v>28</v>
      </c>
      <c r="L537" s="4" t="s">
        <v>29</v>
      </c>
      <c r="M537" s="11">
        <f>_xlfn.NUMBERVALUE(LEFT(Table613612[[#This Row],[Fiscal Year]], 4))</f>
        <v>2015</v>
      </c>
      <c r="O537" s="3">
        <v>535</v>
      </c>
    </row>
    <row r="538" spans="1:15" x14ac:dyDescent="0.25">
      <c r="A538" s="3">
        <v>4</v>
      </c>
      <c r="B538" s="3" t="s">
        <v>157</v>
      </c>
      <c r="C538" s="1" t="s">
        <v>12</v>
      </c>
      <c r="D538" s="1" t="s">
        <v>444</v>
      </c>
      <c r="E538" s="11" t="s">
        <v>144</v>
      </c>
      <c r="F538" s="3" t="s">
        <v>8</v>
      </c>
      <c r="G538" s="63" t="s">
        <v>854</v>
      </c>
      <c r="H538" s="8"/>
      <c r="I538" s="8"/>
      <c r="J538" s="6" t="s">
        <v>47</v>
      </c>
      <c r="K538" s="38">
        <v>8978</v>
      </c>
      <c r="L538" s="4" t="s">
        <v>29</v>
      </c>
      <c r="M538" s="11">
        <f>_xlfn.NUMBERVALUE(LEFT(Table613612[[#This Row],[Fiscal Year]], 4))</f>
        <v>2015</v>
      </c>
      <c r="N538" s="42">
        <f t="shared" si="14"/>
        <v>9532.2494430379738</v>
      </c>
      <c r="O538" s="3">
        <v>536</v>
      </c>
    </row>
    <row r="539" spans="1:15" x14ac:dyDescent="0.25">
      <c r="A539" s="3">
        <v>4</v>
      </c>
      <c r="B539" s="3" t="s">
        <v>157</v>
      </c>
      <c r="C539" s="1" t="s">
        <v>12</v>
      </c>
      <c r="D539" s="1" t="s">
        <v>444</v>
      </c>
      <c r="E539" s="11" t="s">
        <v>144</v>
      </c>
      <c r="F539" s="3" t="s">
        <v>8</v>
      </c>
      <c r="G539" s="63" t="s">
        <v>907</v>
      </c>
      <c r="H539" s="8" t="s">
        <v>906</v>
      </c>
      <c r="I539" s="8" t="s">
        <v>429</v>
      </c>
      <c r="J539" s="6" t="s">
        <v>455</v>
      </c>
      <c r="K539" s="38">
        <v>12489</v>
      </c>
      <c r="L539" s="4" t="s">
        <v>29</v>
      </c>
      <c r="M539" s="11">
        <f>_xlfn.NUMBERVALUE(LEFT(Table613612[[#This Row],[Fiscal Year]], 4))</f>
        <v>2015</v>
      </c>
      <c r="N539" s="42">
        <f t="shared" si="14"/>
        <v>13259.998139240506</v>
      </c>
      <c r="O539" s="3">
        <v>537</v>
      </c>
    </row>
    <row r="540" spans="1:15" x14ac:dyDescent="0.25">
      <c r="C540" s="1"/>
      <c r="D540" s="1"/>
      <c r="G540" s="66"/>
      <c r="H540" s="8"/>
      <c r="I540" s="8"/>
      <c r="J540" s="6"/>
      <c r="L540" s="4"/>
      <c r="O540" s="3">
        <v>538</v>
      </c>
    </row>
    <row r="541" spans="1:15" x14ac:dyDescent="0.25">
      <c r="A541" s="3">
        <v>4</v>
      </c>
      <c r="B541" s="3" t="s">
        <v>158</v>
      </c>
      <c r="C541" s="1" t="s">
        <v>12</v>
      </c>
      <c r="D541" s="1" t="s">
        <v>444</v>
      </c>
      <c r="E541" s="11" t="s">
        <v>144</v>
      </c>
      <c r="F541" s="3" t="s">
        <v>8</v>
      </c>
      <c r="G541" s="48" t="s">
        <v>32</v>
      </c>
      <c r="H541" s="8"/>
      <c r="I541" s="8"/>
      <c r="J541" s="6" t="s">
        <v>110</v>
      </c>
      <c r="K541" s="38" t="s">
        <v>827</v>
      </c>
      <c r="L541" s="4"/>
      <c r="O541" s="3">
        <v>539</v>
      </c>
    </row>
    <row r="542" spans="1:15" x14ac:dyDescent="0.25">
      <c r="A542" s="3">
        <v>4</v>
      </c>
      <c r="B542" s="3" t="s">
        <v>158</v>
      </c>
      <c r="C542" s="1" t="s">
        <v>12</v>
      </c>
      <c r="D542" s="1" t="s">
        <v>444</v>
      </c>
      <c r="E542" s="11" t="s">
        <v>144</v>
      </c>
      <c r="F542" s="3" t="s">
        <v>8</v>
      </c>
      <c r="G542" s="66" t="s">
        <v>58</v>
      </c>
      <c r="H542" s="8"/>
      <c r="I542" s="8"/>
      <c r="J542" s="6" t="s">
        <v>453</v>
      </c>
      <c r="K542" s="38">
        <v>126137</v>
      </c>
      <c r="L542" s="4" t="s">
        <v>29</v>
      </c>
      <c r="M542" s="11">
        <f>_xlfn.NUMBERVALUE(LEFT(Table613612[[#This Row],[Fiscal Year]], 4))</f>
        <v>2015</v>
      </c>
      <c r="N542" s="42">
        <f t="shared" si="14"/>
        <v>133923.96391139241</v>
      </c>
      <c r="O542" s="3">
        <v>540</v>
      </c>
    </row>
    <row r="543" spans="1:15" x14ac:dyDescent="0.25">
      <c r="A543" s="3">
        <v>4</v>
      </c>
      <c r="B543" s="3" t="s">
        <v>158</v>
      </c>
      <c r="C543" s="1" t="s">
        <v>12</v>
      </c>
      <c r="D543" s="1" t="s">
        <v>444</v>
      </c>
      <c r="E543" s="11" t="s">
        <v>144</v>
      </c>
      <c r="F543" s="3" t="s">
        <v>8</v>
      </c>
      <c r="G543" s="66" t="s">
        <v>208</v>
      </c>
      <c r="H543" s="8"/>
      <c r="I543" s="8"/>
      <c r="J543" s="6" t="s">
        <v>109</v>
      </c>
      <c r="K543" s="38">
        <v>25000</v>
      </c>
      <c r="L543" s="4" t="s">
        <v>29</v>
      </c>
      <c r="M543" s="11">
        <f>_xlfn.NUMBERVALUE(LEFT(Table613612[[#This Row],[Fiscal Year]], 4))</f>
        <v>2015</v>
      </c>
      <c r="N543" s="42">
        <f t="shared" si="14"/>
        <v>26543.354430379746</v>
      </c>
      <c r="O543" s="3">
        <v>541</v>
      </c>
    </row>
    <row r="544" spans="1:15" x14ac:dyDescent="0.25">
      <c r="A544" s="3">
        <v>4</v>
      </c>
      <c r="B544" s="3" t="s">
        <v>158</v>
      </c>
      <c r="C544" s="1" t="s">
        <v>12</v>
      </c>
      <c r="D544" s="1" t="s">
        <v>444</v>
      </c>
      <c r="E544" s="11" t="s">
        <v>144</v>
      </c>
      <c r="F544" s="3" t="s">
        <v>8</v>
      </c>
      <c r="G544" s="48" t="s">
        <v>59</v>
      </c>
      <c r="H544" s="8"/>
      <c r="I544" s="8"/>
      <c r="J544" s="6" t="s">
        <v>111</v>
      </c>
      <c r="K544" s="38">
        <v>125000</v>
      </c>
      <c r="L544" s="4" t="s">
        <v>29</v>
      </c>
      <c r="M544" s="11">
        <f>_xlfn.NUMBERVALUE(LEFT(Table613612[[#This Row],[Fiscal Year]], 4))</f>
        <v>2015</v>
      </c>
      <c r="N544" s="42">
        <f t="shared" si="14"/>
        <v>132716.77215189874</v>
      </c>
      <c r="O544" s="3">
        <v>542</v>
      </c>
    </row>
    <row r="545" spans="1:15" x14ac:dyDescent="0.25">
      <c r="A545" s="3">
        <v>4</v>
      </c>
      <c r="B545" s="3" t="s">
        <v>158</v>
      </c>
      <c r="C545" s="1" t="s">
        <v>12</v>
      </c>
      <c r="D545" s="1" t="s">
        <v>444</v>
      </c>
      <c r="E545" s="11" t="s">
        <v>144</v>
      </c>
      <c r="F545" s="3" t="s">
        <v>8</v>
      </c>
      <c r="G545" s="66" t="s">
        <v>60</v>
      </c>
      <c r="H545" s="8"/>
      <c r="I545" s="8"/>
      <c r="J545" s="6" t="s">
        <v>111</v>
      </c>
      <c r="K545" s="38">
        <v>75000</v>
      </c>
      <c r="L545" s="4" t="s">
        <v>29</v>
      </c>
      <c r="M545" s="11">
        <f>_xlfn.NUMBERVALUE(LEFT(Table613612[[#This Row],[Fiscal Year]], 4))</f>
        <v>2015</v>
      </c>
      <c r="N545" s="42">
        <f t="shared" si="14"/>
        <v>79630.063291139231</v>
      </c>
      <c r="O545" s="3">
        <v>543</v>
      </c>
    </row>
    <row r="546" spans="1:15" x14ac:dyDescent="0.25">
      <c r="A546" s="3">
        <v>4</v>
      </c>
      <c r="B546" s="3" t="s">
        <v>158</v>
      </c>
      <c r="C546" s="1" t="s">
        <v>12</v>
      </c>
      <c r="D546" s="1" t="s">
        <v>444</v>
      </c>
      <c r="E546" s="11" t="s">
        <v>144</v>
      </c>
      <c r="F546" s="3" t="s">
        <v>8</v>
      </c>
      <c r="G546" s="48" t="s">
        <v>61</v>
      </c>
      <c r="H546" s="8"/>
      <c r="I546" s="8"/>
      <c r="J546" s="6" t="s">
        <v>108</v>
      </c>
      <c r="K546" s="38">
        <v>555204.62</v>
      </c>
      <c r="L546" s="4" t="s">
        <v>29</v>
      </c>
      <c r="M546" s="11">
        <f>_xlfn.NUMBERVALUE(LEFT(Table613612[[#This Row],[Fiscal Year]], 4))</f>
        <v>2015</v>
      </c>
      <c r="N546" s="42">
        <f t="shared" si="14"/>
        <v>589479.72040177207</v>
      </c>
      <c r="O546" s="3">
        <v>544</v>
      </c>
    </row>
    <row r="547" spans="1:15" x14ac:dyDescent="0.25">
      <c r="A547" s="3">
        <v>4</v>
      </c>
      <c r="B547" s="3" t="s">
        <v>158</v>
      </c>
      <c r="C547" s="1" t="s">
        <v>12</v>
      </c>
      <c r="D547" s="1" t="s">
        <v>444</v>
      </c>
      <c r="E547" s="11" t="s">
        <v>144</v>
      </c>
      <c r="F547" s="3" t="s">
        <v>8</v>
      </c>
      <c r="G547" s="66" t="s">
        <v>62</v>
      </c>
      <c r="H547" s="8"/>
      <c r="I547" s="8"/>
      <c r="J547" s="6" t="s">
        <v>106</v>
      </c>
      <c r="K547" s="38">
        <v>123748.76</v>
      </c>
      <c r="L547" s="4" t="s">
        <v>29</v>
      </c>
      <c r="M547" s="11">
        <f>_xlfn.NUMBERVALUE(LEFT(Table613612[[#This Row],[Fiscal Year]], 4))</f>
        <v>2015</v>
      </c>
      <c r="N547" s="42">
        <f t="shared" si="14"/>
        <v>131388.28787999999</v>
      </c>
      <c r="O547" s="3">
        <v>545</v>
      </c>
    </row>
    <row r="548" spans="1:15" x14ac:dyDescent="0.25">
      <c r="A548" s="3">
        <v>4</v>
      </c>
      <c r="B548" s="3" t="s">
        <v>158</v>
      </c>
      <c r="C548" s="1" t="s">
        <v>12</v>
      </c>
      <c r="D548" s="1" t="s">
        <v>444</v>
      </c>
      <c r="E548" s="11" t="s">
        <v>144</v>
      </c>
      <c r="F548" s="3" t="s">
        <v>8</v>
      </c>
      <c r="G548" s="66" t="s">
        <v>63</v>
      </c>
      <c r="H548" s="8"/>
      <c r="I548" s="8"/>
      <c r="J548" s="6" t="s">
        <v>455</v>
      </c>
      <c r="K548" s="38" t="s">
        <v>827</v>
      </c>
      <c r="L548" s="4" t="s">
        <v>29</v>
      </c>
      <c r="M548" s="11">
        <f>_xlfn.NUMBERVALUE(LEFT(Table613612[[#This Row],[Fiscal Year]], 4))</f>
        <v>2015</v>
      </c>
      <c r="O548" s="3">
        <v>546</v>
      </c>
    </row>
    <row r="549" spans="1:15" x14ac:dyDescent="0.25">
      <c r="A549" s="3">
        <v>4</v>
      </c>
      <c r="B549" s="3" t="s">
        <v>158</v>
      </c>
      <c r="C549" s="1" t="s">
        <v>12</v>
      </c>
      <c r="D549" s="1" t="s">
        <v>444</v>
      </c>
      <c r="E549" s="11" t="s">
        <v>144</v>
      </c>
      <c r="F549" s="3" t="s">
        <v>8</v>
      </c>
      <c r="G549" s="66" t="s">
        <v>64</v>
      </c>
      <c r="H549" s="8"/>
      <c r="I549" s="8"/>
      <c r="J549" s="6" t="s">
        <v>76</v>
      </c>
      <c r="K549" s="38" t="s">
        <v>827</v>
      </c>
      <c r="L549" s="4" t="s">
        <v>29</v>
      </c>
      <c r="M549" s="11">
        <f>_xlfn.NUMBERVALUE(LEFT(Table613612[[#This Row],[Fiscal Year]], 4))</f>
        <v>2015</v>
      </c>
      <c r="O549" s="3">
        <v>547</v>
      </c>
    </row>
    <row r="550" spans="1:15" x14ac:dyDescent="0.25">
      <c r="A550" s="3">
        <v>4</v>
      </c>
      <c r="B550" s="3" t="s">
        <v>158</v>
      </c>
      <c r="C550" s="1" t="s">
        <v>12</v>
      </c>
      <c r="D550" s="1" t="s">
        <v>444</v>
      </c>
      <c r="E550" s="11" t="s">
        <v>144</v>
      </c>
      <c r="F550" s="3" t="s">
        <v>8</v>
      </c>
      <c r="G550" s="66" t="s">
        <v>65</v>
      </c>
      <c r="H550" s="8"/>
      <c r="I550" s="8"/>
      <c r="J550" s="6" t="s">
        <v>76</v>
      </c>
      <c r="K550" s="38" t="s">
        <v>827</v>
      </c>
      <c r="L550" s="4" t="s">
        <v>29</v>
      </c>
      <c r="M550" s="11">
        <f>_xlfn.NUMBERVALUE(LEFT(Table613612[[#This Row],[Fiscal Year]], 4))</f>
        <v>2015</v>
      </c>
      <c r="O550" s="3">
        <v>548</v>
      </c>
    </row>
    <row r="551" spans="1:15" x14ac:dyDescent="0.25">
      <c r="A551" s="3">
        <v>4</v>
      </c>
      <c r="B551" s="3" t="s">
        <v>158</v>
      </c>
      <c r="C551" s="1" t="s">
        <v>12</v>
      </c>
      <c r="D551" s="1" t="s">
        <v>444</v>
      </c>
      <c r="E551" s="11" t="s">
        <v>144</v>
      </c>
      <c r="F551" s="3" t="s">
        <v>8</v>
      </c>
      <c r="G551" s="66" t="s">
        <v>66</v>
      </c>
      <c r="H551" s="8"/>
      <c r="I551" s="8"/>
      <c r="J551" s="6" t="s">
        <v>76</v>
      </c>
      <c r="K551" s="38" t="s">
        <v>827</v>
      </c>
      <c r="L551" s="4" t="s">
        <v>29</v>
      </c>
      <c r="M551" s="11">
        <f>_xlfn.NUMBERVALUE(LEFT(Table613612[[#This Row],[Fiscal Year]], 4))</f>
        <v>2015</v>
      </c>
      <c r="O551" s="3">
        <v>549</v>
      </c>
    </row>
    <row r="552" spans="1:15" x14ac:dyDescent="0.25">
      <c r="A552" s="3">
        <v>4</v>
      </c>
      <c r="B552" s="3" t="s">
        <v>158</v>
      </c>
      <c r="C552" s="1" t="s">
        <v>12</v>
      </c>
      <c r="D552" s="1" t="s">
        <v>444</v>
      </c>
      <c r="E552" s="11" t="s">
        <v>144</v>
      </c>
      <c r="F552" s="3" t="s">
        <v>8</v>
      </c>
      <c r="G552" s="66" t="s">
        <v>33</v>
      </c>
      <c r="H552" s="8"/>
      <c r="I552" s="8"/>
      <c r="J552" s="6" t="s">
        <v>47</v>
      </c>
      <c r="K552" s="38">
        <v>108000</v>
      </c>
      <c r="L552" s="4" t="s">
        <v>29</v>
      </c>
      <c r="M552" s="11">
        <f>_xlfn.NUMBERVALUE(LEFT(Table613612[[#This Row],[Fiscal Year]], 4))</f>
        <v>2015</v>
      </c>
      <c r="N552" s="42">
        <f t="shared" si="14"/>
        <v>114667.29113924049</v>
      </c>
      <c r="O552" s="3">
        <v>550</v>
      </c>
    </row>
    <row r="553" spans="1:15" x14ac:dyDescent="0.25">
      <c r="A553" s="3">
        <v>4</v>
      </c>
      <c r="B553" s="3" t="s">
        <v>158</v>
      </c>
      <c r="C553" s="1" t="s">
        <v>12</v>
      </c>
      <c r="D553" s="1" t="s">
        <v>444</v>
      </c>
      <c r="E553" s="11" t="s">
        <v>144</v>
      </c>
      <c r="F553" s="3" t="s">
        <v>8</v>
      </c>
      <c r="G553" s="66" t="s">
        <v>67</v>
      </c>
      <c r="H553" s="8"/>
      <c r="I553" s="8"/>
      <c r="J553" s="6" t="s">
        <v>455</v>
      </c>
      <c r="K553" s="38">
        <v>990046</v>
      </c>
      <c r="L553" s="4" t="s">
        <v>29</v>
      </c>
      <c r="M553" s="11">
        <f>_xlfn.NUMBERVALUE(LEFT(Table613612[[#This Row],[Fiscal Year]], 4))</f>
        <v>2015</v>
      </c>
      <c r="N553" s="42">
        <f t="shared" si="14"/>
        <v>1051165.6752151898</v>
      </c>
      <c r="O553" s="3">
        <v>551</v>
      </c>
    </row>
    <row r="554" spans="1:15" x14ac:dyDescent="0.25">
      <c r="C554" s="1"/>
      <c r="D554" s="1"/>
      <c r="G554" s="66"/>
      <c r="H554" s="8"/>
      <c r="I554" s="8"/>
      <c r="J554" s="6"/>
      <c r="L554" s="4"/>
      <c r="O554" s="3">
        <v>552</v>
      </c>
    </row>
    <row r="555" spans="1:15" x14ac:dyDescent="0.25">
      <c r="A555" s="3">
        <v>4</v>
      </c>
      <c r="B555" s="3" t="s">
        <v>159</v>
      </c>
      <c r="C555" s="1" t="s">
        <v>12</v>
      </c>
      <c r="D555" s="1" t="s">
        <v>444</v>
      </c>
      <c r="E555" s="11" t="s">
        <v>144</v>
      </c>
      <c r="F555" s="3" t="s">
        <v>8</v>
      </c>
      <c r="G555" s="66" t="s">
        <v>908</v>
      </c>
      <c r="H555" s="8"/>
      <c r="I555" s="8"/>
      <c r="J555" s="6" t="s">
        <v>110</v>
      </c>
      <c r="K555" s="38">
        <v>30000</v>
      </c>
      <c r="L555" s="4" t="s">
        <v>29</v>
      </c>
      <c r="M555" s="11">
        <f>_xlfn.NUMBERVALUE(LEFT(Table613612[[#This Row],[Fiscal Year]], 4))</f>
        <v>2015</v>
      </c>
      <c r="N555" s="42">
        <f t="shared" si="14"/>
        <v>31852.025316455696</v>
      </c>
      <c r="O555" s="3">
        <v>553</v>
      </c>
    </row>
    <row r="556" spans="1:15" x14ac:dyDescent="0.25">
      <c r="A556" s="3">
        <v>4</v>
      </c>
      <c r="B556" s="3" t="s">
        <v>159</v>
      </c>
      <c r="C556" s="1" t="s">
        <v>12</v>
      </c>
      <c r="D556" s="1" t="s">
        <v>444</v>
      </c>
      <c r="E556" s="11" t="s">
        <v>144</v>
      </c>
      <c r="F556" s="3" t="s">
        <v>8</v>
      </c>
      <c r="G556" s="48" t="s">
        <v>909</v>
      </c>
      <c r="H556" s="8"/>
      <c r="I556" s="8"/>
      <c r="J556" s="6" t="s">
        <v>110</v>
      </c>
      <c r="K556" s="38">
        <v>15989</v>
      </c>
      <c r="L556" s="4" t="s">
        <v>29</v>
      </c>
      <c r="M556" s="11">
        <f>_xlfn.NUMBERVALUE(LEFT(Table613612[[#This Row],[Fiscal Year]], 4))</f>
        <v>2015</v>
      </c>
      <c r="N556" s="42">
        <f t="shared" si="14"/>
        <v>16976.067759493671</v>
      </c>
      <c r="O556" s="3">
        <v>554</v>
      </c>
    </row>
    <row r="557" spans="1:15" x14ac:dyDescent="0.25">
      <c r="A557" s="3">
        <v>4</v>
      </c>
      <c r="B557" s="3" t="s">
        <v>159</v>
      </c>
      <c r="C557" s="1" t="s">
        <v>12</v>
      </c>
      <c r="D557" s="1" t="s">
        <v>444</v>
      </c>
      <c r="E557" s="11" t="s">
        <v>144</v>
      </c>
      <c r="F557" s="3" t="s">
        <v>8</v>
      </c>
      <c r="G557" s="66" t="s">
        <v>844</v>
      </c>
      <c r="H557" s="8"/>
      <c r="I557" s="8"/>
      <c r="J557" s="6" t="s">
        <v>453</v>
      </c>
      <c r="K557" s="38">
        <v>3000</v>
      </c>
      <c r="L557" s="4" t="s">
        <v>29</v>
      </c>
      <c r="M557" s="11">
        <f>_xlfn.NUMBERVALUE(LEFT(Table613612[[#This Row],[Fiscal Year]], 4))</f>
        <v>2015</v>
      </c>
      <c r="N557" s="42">
        <f t="shared" si="14"/>
        <v>3185.2025316455693</v>
      </c>
      <c r="O557" s="3">
        <v>555</v>
      </c>
    </row>
    <row r="558" spans="1:15" x14ac:dyDescent="0.25">
      <c r="A558" s="3">
        <v>4</v>
      </c>
      <c r="B558" s="3" t="s">
        <v>159</v>
      </c>
      <c r="C558" s="1" t="s">
        <v>12</v>
      </c>
      <c r="D558" s="1" t="s">
        <v>444</v>
      </c>
      <c r="E558" s="11" t="s">
        <v>144</v>
      </c>
      <c r="F558" s="3" t="s">
        <v>8</v>
      </c>
      <c r="G558" s="66" t="s">
        <v>845</v>
      </c>
      <c r="H558" s="8"/>
      <c r="I558" s="8"/>
      <c r="J558" s="6" t="s">
        <v>109</v>
      </c>
      <c r="K558" s="38">
        <v>20000</v>
      </c>
      <c r="L558" s="4" t="s">
        <v>29</v>
      </c>
      <c r="M558" s="11">
        <f>_xlfn.NUMBERVALUE(LEFT(Table613612[[#This Row],[Fiscal Year]], 4))</f>
        <v>2015</v>
      </c>
      <c r="N558" s="42">
        <f t="shared" si="14"/>
        <v>21234.683544303796</v>
      </c>
      <c r="O558" s="3">
        <v>556</v>
      </c>
    </row>
    <row r="559" spans="1:15" x14ac:dyDescent="0.25">
      <c r="A559" s="3">
        <v>4</v>
      </c>
      <c r="B559" s="3" t="s">
        <v>159</v>
      </c>
      <c r="C559" s="1" t="s">
        <v>12</v>
      </c>
      <c r="D559" s="1" t="s">
        <v>444</v>
      </c>
      <c r="E559" s="11" t="s">
        <v>144</v>
      </c>
      <c r="F559" s="3" t="s">
        <v>8</v>
      </c>
      <c r="G559" s="48" t="s">
        <v>846</v>
      </c>
      <c r="H559" s="8"/>
      <c r="I559" s="8"/>
      <c r="J559" s="6" t="s">
        <v>111</v>
      </c>
      <c r="K559" s="38">
        <v>10000</v>
      </c>
      <c r="L559" s="4" t="s">
        <v>29</v>
      </c>
      <c r="M559" s="11">
        <f>_xlfn.NUMBERVALUE(LEFT(Table613612[[#This Row],[Fiscal Year]], 4))</f>
        <v>2015</v>
      </c>
      <c r="N559" s="42">
        <f t="shared" si="14"/>
        <v>10617.341772151898</v>
      </c>
      <c r="O559" s="3">
        <v>557</v>
      </c>
    </row>
    <row r="560" spans="1:15" x14ac:dyDescent="0.25">
      <c r="A560" s="3">
        <v>4</v>
      </c>
      <c r="B560" s="3" t="s">
        <v>159</v>
      </c>
      <c r="C560" s="1" t="s">
        <v>12</v>
      </c>
      <c r="D560" s="1" t="s">
        <v>444</v>
      </c>
      <c r="E560" s="11" t="s">
        <v>144</v>
      </c>
      <c r="F560" s="3" t="s">
        <v>8</v>
      </c>
      <c r="G560" s="66" t="s">
        <v>847</v>
      </c>
      <c r="H560" s="8"/>
      <c r="I560" s="8"/>
      <c r="J560" s="6" t="s">
        <v>111</v>
      </c>
      <c r="K560" s="38">
        <v>10000</v>
      </c>
      <c r="L560" s="4" t="s">
        <v>29</v>
      </c>
      <c r="M560" s="11">
        <f>_xlfn.NUMBERVALUE(LEFT(Table613612[[#This Row],[Fiscal Year]], 4))</f>
        <v>2015</v>
      </c>
      <c r="N560" s="42">
        <f t="shared" si="14"/>
        <v>10617.341772151898</v>
      </c>
      <c r="O560" s="3">
        <v>558</v>
      </c>
    </row>
    <row r="561" spans="1:15" x14ac:dyDescent="0.25">
      <c r="A561" s="3">
        <v>4</v>
      </c>
      <c r="B561" s="3" t="s">
        <v>159</v>
      </c>
      <c r="C561" s="1" t="s">
        <v>12</v>
      </c>
      <c r="D561" s="1" t="s">
        <v>444</v>
      </c>
      <c r="E561" s="11" t="s">
        <v>144</v>
      </c>
      <c r="F561" s="3" t="s">
        <v>8</v>
      </c>
      <c r="G561" s="48" t="s">
        <v>857</v>
      </c>
      <c r="H561" s="8"/>
      <c r="I561" s="8"/>
      <c r="J561" s="6" t="s">
        <v>108</v>
      </c>
      <c r="K561" s="38">
        <v>40000</v>
      </c>
      <c r="L561" s="4" t="s">
        <v>29</v>
      </c>
      <c r="M561" s="11">
        <f>_xlfn.NUMBERVALUE(LEFT(Table613612[[#This Row],[Fiscal Year]], 4))</f>
        <v>2015</v>
      </c>
      <c r="N561" s="42">
        <f t="shared" si="14"/>
        <v>42469.367088607592</v>
      </c>
      <c r="O561" s="3">
        <v>559</v>
      </c>
    </row>
    <row r="562" spans="1:15" x14ac:dyDescent="0.25">
      <c r="A562" s="3">
        <v>4</v>
      </c>
      <c r="B562" s="3" t="s">
        <v>159</v>
      </c>
      <c r="C562" s="1" t="s">
        <v>12</v>
      </c>
      <c r="D562" s="1" t="s">
        <v>444</v>
      </c>
      <c r="E562" s="11" t="s">
        <v>144</v>
      </c>
      <c r="F562" s="3" t="s">
        <v>8</v>
      </c>
      <c r="G562" s="48" t="s">
        <v>910</v>
      </c>
      <c r="H562" s="8"/>
      <c r="I562" s="8"/>
      <c r="J562" s="6" t="s">
        <v>108</v>
      </c>
      <c r="K562" s="38">
        <v>126000</v>
      </c>
      <c r="L562" s="4" t="s">
        <v>29</v>
      </c>
      <c r="M562" s="11">
        <f>_xlfn.NUMBERVALUE(LEFT(Table613612[[#This Row],[Fiscal Year]], 4))</f>
        <v>2015</v>
      </c>
      <c r="N562" s="42">
        <f t="shared" si="14"/>
        <v>133778.50632911391</v>
      </c>
      <c r="O562" s="3">
        <v>560</v>
      </c>
    </row>
    <row r="563" spans="1:15" x14ac:dyDescent="0.25">
      <c r="A563" s="3">
        <v>4</v>
      </c>
      <c r="B563" s="3" t="s">
        <v>159</v>
      </c>
      <c r="C563" s="1" t="s">
        <v>12</v>
      </c>
      <c r="D563" s="1" t="s">
        <v>444</v>
      </c>
      <c r="E563" s="11" t="s">
        <v>144</v>
      </c>
      <c r="F563" s="3" t="s">
        <v>8</v>
      </c>
      <c r="G563" s="66" t="s">
        <v>849</v>
      </c>
      <c r="H563" s="8"/>
      <c r="I563" s="8"/>
      <c r="J563" s="6" t="s">
        <v>106</v>
      </c>
      <c r="K563" s="38">
        <v>5000</v>
      </c>
      <c r="L563" s="4" t="s">
        <v>29</v>
      </c>
      <c r="M563" s="11">
        <f>_xlfn.NUMBERVALUE(LEFT(Table613612[[#This Row],[Fiscal Year]], 4))</f>
        <v>2015</v>
      </c>
      <c r="N563" s="42">
        <f t="shared" si="14"/>
        <v>5308.6708860759491</v>
      </c>
      <c r="O563" s="3">
        <v>561</v>
      </c>
    </row>
    <row r="564" spans="1:15" x14ac:dyDescent="0.25">
      <c r="A564" s="3">
        <v>4</v>
      </c>
      <c r="B564" s="3" t="s">
        <v>159</v>
      </c>
      <c r="C564" s="1" t="s">
        <v>12</v>
      </c>
      <c r="D564" s="1" t="s">
        <v>444</v>
      </c>
      <c r="E564" s="11" t="s">
        <v>144</v>
      </c>
      <c r="F564" s="3" t="s">
        <v>8</v>
      </c>
      <c r="G564" s="66" t="s">
        <v>850</v>
      </c>
      <c r="H564" s="8"/>
      <c r="I564" s="8"/>
      <c r="J564" s="6" t="s">
        <v>455</v>
      </c>
      <c r="K564" s="38">
        <v>5000</v>
      </c>
      <c r="L564" s="4" t="s">
        <v>29</v>
      </c>
      <c r="M564" s="11">
        <f>_xlfn.NUMBERVALUE(LEFT(Table613612[[#This Row],[Fiscal Year]], 4))</f>
        <v>2015</v>
      </c>
      <c r="N564" s="42">
        <f t="shared" si="14"/>
        <v>5308.6708860759491</v>
      </c>
      <c r="O564" s="3">
        <v>562</v>
      </c>
    </row>
    <row r="565" spans="1:15" x14ac:dyDescent="0.25">
      <c r="A565" s="3">
        <v>4</v>
      </c>
      <c r="B565" s="3" t="s">
        <v>159</v>
      </c>
      <c r="C565" s="1" t="s">
        <v>12</v>
      </c>
      <c r="D565" s="1" t="s">
        <v>444</v>
      </c>
      <c r="E565" s="11" t="s">
        <v>144</v>
      </c>
      <c r="F565" s="3" t="s">
        <v>8</v>
      </c>
      <c r="G565" s="66" t="s">
        <v>851</v>
      </c>
      <c r="H565" s="8"/>
      <c r="I565" s="8"/>
      <c r="J565" s="6" t="s">
        <v>76</v>
      </c>
      <c r="K565" s="38">
        <v>0</v>
      </c>
      <c r="L565" s="4" t="s">
        <v>29</v>
      </c>
      <c r="M565" s="11">
        <f>_xlfn.NUMBERVALUE(LEFT(Table613612[[#This Row],[Fiscal Year]], 4))</f>
        <v>2015</v>
      </c>
      <c r="N565" s="43">
        <f t="shared" si="14"/>
        <v>0</v>
      </c>
      <c r="O565" s="3">
        <v>563</v>
      </c>
    </row>
    <row r="566" spans="1:15" x14ac:dyDescent="0.25">
      <c r="A566" s="3">
        <v>4</v>
      </c>
      <c r="B566" s="3" t="s">
        <v>159</v>
      </c>
      <c r="C566" s="1" t="s">
        <v>12</v>
      </c>
      <c r="D566" s="1" t="s">
        <v>444</v>
      </c>
      <c r="E566" s="11" t="s">
        <v>144</v>
      </c>
      <c r="F566" s="3" t="s">
        <v>8</v>
      </c>
      <c r="G566" s="66" t="s">
        <v>911</v>
      </c>
      <c r="H566" s="8"/>
      <c r="I566" s="8"/>
      <c r="J566" s="6" t="s">
        <v>110</v>
      </c>
      <c r="K566" s="38">
        <v>0</v>
      </c>
      <c r="L566" s="4" t="s">
        <v>29</v>
      </c>
      <c r="M566" s="11">
        <f>_xlfn.NUMBERVALUE(LEFT(Table613612[[#This Row],[Fiscal Year]], 4))</f>
        <v>2015</v>
      </c>
      <c r="N566" s="43">
        <f t="shared" si="14"/>
        <v>0</v>
      </c>
      <c r="O566" s="3">
        <v>564</v>
      </c>
    </row>
    <row r="567" spans="1:15" x14ac:dyDescent="0.25">
      <c r="A567" s="3">
        <v>4</v>
      </c>
      <c r="B567" s="3" t="s">
        <v>159</v>
      </c>
      <c r="C567" s="1" t="s">
        <v>12</v>
      </c>
      <c r="D567" s="1" t="s">
        <v>444</v>
      </c>
      <c r="E567" s="11" t="s">
        <v>144</v>
      </c>
      <c r="F567" s="3" t="s">
        <v>8</v>
      </c>
      <c r="G567" s="66" t="s">
        <v>853</v>
      </c>
      <c r="H567" s="8"/>
      <c r="I567" s="8"/>
      <c r="J567" s="6" t="s">
        <v>76</v>
      </c>
      <c r="K567" s="38">
        <v>0</v>
      </c>
      <c r="L567" s="4" t="s">
        <v>29</v>
      </c>
      <c r="M567" s="11">
        <f>_xlfn.NUMBERVALUE(LEFT(Table613612[[#This Row],[Fiscal Year]], 4))</f>
        <v>2015</v>
      </c>
      <c r="N567" s="43">
        <f t="shared" si="14"/>
        <v>0</v>
      </c>
      <c r="O567" s="3">
        <v>565</v>
      </c>
    </row>
    <row r="568" spans="1:15" x14ac:dyDescent="0.25">
      <c r="A568" s="3">
        <v>4</v>
      </c>
      <c r="B568" s="3" t="s">
        <v>159</v>
      </c>
      <c r="C568" s="1" t="s">
        <v>12</v>
      </c>
      <c r="D568" s="1" t="s">
        <v>444</v>
      </c>
      <c r="E568" s="11" t="s">
        <v>144</v>
      </c>
      <c r="F568" s="3" t="s">
        <v>8</v>
      </c>
      <c r="G568" s="63" t="s">
        <v>854</v>
      </c>
      <c r="H568" s="8"/>
      <c r="I568" s="8"/>
      <c r="J568" s="6" t="s">
        <v>47</v>
      </c>
      <c r="K568" s="38">
        <v>5000</v>
      </c>
      <c r="L568" s="4" t="s">
        <v>29</v>
      </c>
      <c r="M568" s="11">
        <f>_xlfn.NUMBERVALUE(LEFT(Table613612[[#This Row],[Fiscal Year]], 4))</f>
        <v>2015</v>
      </c>
      <c r="N568" s="42">
        <f t="shared" si="14"/>
        <v>5308.6708860759491</v>
      </c>
      <c r="O568" s="3">
        <v>566</v>
      </c>
    </row>
    <row r="569" spans="1:15" x14ac:dyDescent="0.25">
      <c r="A569" s="3">
        <v>4</v>
      </c>
      <c r="B569" s="3" t="s">
        <v>159</v>
      </c>
      <c r="C569" s="1" t="s">
        <v>12</v>
      </c>
      <c r="D569" s="1" t="s">
        <v>444</v>
      </c>
      <c r="E569" s="11" t="s">
        <v>144</v>
      </c>
      <c r="F569" s="3" t="s">
        <v>8</v>
      </c>
      <c r="G569" s="63" t="s">
        <v>855</v>
      </c>
      <c r="H569" s="8" t="s">
        <v>912</v>
      </c>
      <c r="I569" s="8" t="s">
        <v>429</v>
      </c>
      <c r="J569" s="6" t="s">
        <v>455</v>
      </c>
      <c r="K569" s="38">
        <v>3011</v>
      </c>
      <c r="L569" s="4" t="s">
        <v>29</v>
      </c>
      <c r="M569" s="11">
        <f>_xlfn.NUMBERVALUE(LEFT(Table613612[[#This Row],[Fiscal Year]], 4))</f>
        <v>2015</v>
      </c>
      <c r="N569" s="42">
        <f t="shared" si="14"/>
        <v>3196.8816075949367</v>
      </c>
      <c r="O569" s="3">
        <v>567</v>
      </c>
    </row>
    <row r="570" spans="1:15" x14ac:dyDescent="0.25">
      <c r="C570" s="1"/>
      <c r="D570" s="1"/>
      <c r="E570" s="11"/>
      <c r="G570" s="66"/>
      <c r="H570" s="8"/>
      <c r="I570" s="8"/>
      <c r="J570" s="6"/>
      <c r="L570" s="4"/>
      <c r="O570" s="3">
        <v>568</v>
      </c>
    </row>
    <row r="571" spans="1:15" x14ac:dyDescent="0.25">
      <c r="A571" s="3">
        <v>4</v>
      </c>
      <c r="B571" s="3" t="s">
        <v>160</v>
      </c>
      <c r="C571" s="1" t="s">
        <v>12</v>
      </c>
      <c r="D571" s="1" t="s">
        <v>444</v>
      </c>
      <c r="E571" s="11" t="s">
        <v>144</v>
      </c>
      <c r="F571" s="3" t="s">
        <v>8</v>
      </c>
      <c r="G571" s="48" t="s">
        <v>32</v>
      </c>
      <c r="H571" s="8"/>
      <c r="I571" s="8"/>
      <c r="J571" s="6" t="s">
        <v>110</v>
      </c>
      <c r="K571" s="38">
        <v>28599</v>
      </c>
      <c r="L571" s="4" t="s">
        <v>29</v>
      </c>
      <c r="M571" s="11">
        <f>_xlfn.NUMBERVALUE(LEFT(Table613612[[#This Row],[Fiscal Year]], 4))</f>
        <v>2015</v>
      </c>
      <c r="N571" s="42">
        <f t="shared" si="14"/>
        <v>30364.535734177214</v>
      </c>
      <c r="O571" s="3">
        <v>569</v>
      </c>
    </row>
    <row r="572" spans="1:15" x14ac:dyDescent="0.25">
      <c r="A572" s="3">
        <v>4</v>
      </c>
      <c r="B572" s="3" t="s">
        <v>160</v>
      </c>
      <c r="C572" s="1" t="s">
        <v>12</v>
      </c>
      <c r="D572" s="1" t="s">
        <v>444</v>
      </c>
      <c r="E572" s="11" t="s">
        <v>144</v>
      </c>
      <c r="F572" s="3" t="s">
        <v>8</v>
      </c>
      <c r="G572" s="66" t="s">
        <v>58</v>
      </c>
      <c r="H572" s="8"/>
      <c r="I572" s="8"/>
      <c r="J572" s="6" t="s">
        <v>453</v>
      </c>
      <c r="K572" s="38">
        <v>18150</v>
      </c>
      <c r="L572" s="4" t="s">
        <v>29</v>
      </c>
      <c r="M572" s="11">
        <f>_xlfn.NUMBERVALUE(LEFT(Table613612[[#This Row],[Fiscal Year]], 4))</f>
        <v>2015</v>
      </c>
      <c r="N572" s="42">
        <f t="shared" si="14"/>
        <v>19270.475316455697</v>
      </c>
      <c r="O572" s="3">
        <v>570</v>
      </c>
    </row>
    <row r="573" spans="1:15" x14ac:dyDescent="0.25">
      <c r="A573" s="3">
        <v>4</v>
      </c>
      <c r="B573" s="3" t="s">
        <v>160</v>
      </c>
      <c r="C573" s="1" t="s">
        <v>12</v>
      </c>
      <c r="D573" s="1" t="s">
        <v>444</v>
      </c>
      <c r="E573" s="11" t="s">
        <v>144</v>
      </c>
      <c r="F573" s="3" t="s">
        <v>8</v>
      </c>
      <c r="G573" s="66" t="s">
        <v>208</v>
      </c>
      <c r="H573" s="8"/>
      <c r="I573" s="8"/>
      <c r="J573" s="6" t="s">
        <v>109</v>
      </c>
      <c r="K573" s="38">
        <v>2960</v>
      </c>
      <c r="L573" s="4" t="s">
        <v>29</v>
      </c>
      <c r="M573" s="11">
        <f>_xlfn.NUMBERVALUE(LEFT(Table613612[[#This Row],[Fiscal Year]], 4))</f>
        <v>2015</v>
      </c>
      <c r="N573" s="42">
        <f t="shared" si="14"/>
        <v>3142.733164556962</v>
      </c>
      <c r="O573" s="3">
        <v>571</v>
      </c>
    </row>
    <row r="574" spans="1:15" x14ac:dyDescent="0.25">
      <c r="A574" s="3">
        <v>4</v>
      </c>
      <c r="B574" s="3" t="s">
        <v>160</v>
      </c>
      <c r="C574" s="1" t="s">
        <v>12</v>
      </c>
      <c r="D574" s="1" t="s">
        <v>444</v>
      </c>
      <c r="E574" s="11" t="s">
        <v>144</v>
      </c>
      <c r="F574" s="3" t="s">
        <v>8</v>
      </c>
      <c r="G574" s="48" t="s">
        <v>59</v>
      </c>
      <c r="H574" s="8"/>
      <c r="I574" s="8"/>
      <c r="J574" s="6" t="s">
        <v>111</v>
      </c>
      <c r="K574" s="38">
        <v>27131</v>
      </c>
      <c r="L574" s="4" t="s">
        <v>29</v>
      </c>
      <c r="M574" s="11">
        <f>_xlfn.NUMBERVALUE(LEFT(Table613612[[#This Row],[Fiscal Year]], 4))</f>
        <v>2015</v>
      </c>
      <c r="N574" s="42">
        <f t="shared" si="14"/>
        <v>28805.909962025315</v>
      </c>
      <c r="O574" s="3">
        <v>572</v>
      </c>
    </row>
    <row r="575" spans="1:15" x14ac:dyDescent="0.25">
      <c r="A575" s="3">
        <v>4</v>
      </c>
      <c r="B575" s="3" t="s">
        <v>160</v>
      </c>
      <c r="C575" s="1" t="s">
        <v>12</v>
      </c>
      <c r="D575" s="1" t="s">
        <v>444</v>
      </c>
      <c r="E575" s="11" t="s">
        <v>144</v>
      </c>
      <c r="F575" s="3" t="s">
        <v>8</v>
      </c>
      <c r="G575" s="66" t="s">
        <v>60</v>
      </c>
      <c r="H575" s="8"/>
      <c r="I575" s="8"/>
      <c r="J575" s="6" t="s">
        <v>111</v>
      </c>
      <c r="K575" s="38">
        <v>6812</v>
      </c>
      <c r="L575" s="4" t="s">
        <v>29</v>
      </c>
      <c r="M575" s="11">
        <f>_xlfn.NUMBERVALUE(LEFT(Table613612[[#This Row],[Fiscal Year]], 4))</f>
        <v>2015</v>
      </c>
      <c r="N575" s="42">
        <f t="shared" si="14"/>
        <v>7232.5332151898729</v>
      </c>
      <c r="O575" s="3">
        <v>573</v>
      </c>
    </row>
    <row r="576" spans="1:15" x14ac:dyDescent="0.25">
      <c r="A576" s="3">
        <v>4</v>
      </c>
      <c r="B576" s="3" t="s">
        <v>160</v>
      </c>
      <c r="C576" s="1" t="s">
        <v>12</v>
      </c>
      <c r="D576" s="1" t="s">
        <v>444</v>
      </c>
      <c r="E576" s="11" t="s">
        <v>144</v>
      </c>
      <c r="F576" s="3" t="s">
        <v>8</v>
      </c>
      <c r="G576" s="48" t="s">
        <v>61</v>
      </c>
      <c r="H576" s="8"/>
      <c r="I576" s="8"/>
      <c r="J576" s="6" t="s">
        <v>108</v>
      </c>
      <c r="K576" s="38">
        <v>29063</v>
      </c>
      <c r="L576" s="4" t="s">
        <v>29</v>
      </c>
      <c r="M576" s="11">
        <f>_xlfn.NUMBERVALUE(LEFT(Table613612[[#This Row],[Fiscal Year]], 4))</f>
        <v>2015</v>
      </c>
      <c r="N576" s="42">
        <f t="shared" si="14"/>
        <v>30857.180392405062</v>
      </c>
      <c r="O576" s="3">
        <v>574</v>
      </c>
    </row>
    <row r="577" spans="1:15" x14ac:dyDescent="0.25">
      <c r="A577" s="3">
        <v>4</v>
      </c>
      <c r="B577" s="3" t="s">
        <v>160</v>
      </c>
      <c r="C577" s="1" t="s">
        <v>12</v>
      </c>
      <c r="D577" s="1" t="s">
        <v>444</v>
      </c>
      <c r="E577" s="11" t="s">
        <v>144</v>
      </c>
      <c r="F577" s="3" t="s">
        <v>8</v>
      </c>
      <c r="G577" s="66" t="s">
        <v>62</v>
      </c>
      <c r="H577" s="8"/>
      <c r="I577" s="8"/>
      <c r="J577" s="6" t="s">
        <v>106</v>
      </c>
      <c r="K577" s="38">
        <v>16401</v>
      </c>
      <c r="L577" s="4" t="s">
        <v>29</v>
      </c>
      <c r="M577" s="11">
        <f>_xlfn.NUMBERVALUE(LEFT(Table613612[[#This Row],[Fiscal Year]], 4))</f>
        <v>2015</v>
      </c>
      <c r="N577" s="42">
        <f t="shared" si="14"/>
        <v>17413.502240506328</v>
      </c>
      <c r="O577" s="3">
        <v>575</v>
      </c>
    </row>
    <row r="578" spans="1:15" x14ac:dyDescent="0.25">
      <c r="A578" s="3">
        <v>4</v>
      </c>
      <c r="B578" s="3" t="s">
        <v>160</v>
      </c>
      <c r="C578" s="1" t="s">
        <v>12</v>
      </c>
      <c r="D578" s="1" t="s">
        <v>444</v>
      </c>
      <c r="E578" s="11" t="s">
        <v>144</v>
      </c>
      <c r="F578" s="3" t="s">
        <v>8</v>
      </c>
      <c r="G578" s="66" t="s">
        <v>63</v>
      </c>
      <c r="H578" s="8"/>
      <c r="I578" s="8"/>
      <c r="J578" s="6" t="s">
        <v>455</v>
      </c>
      <c r="K578" s="38" t="s">
        <v>827</v>
      </c>
      <c r="L578" s="4" t="s">
        <v>29</v>
      </c>
      <c r="M578" s="11">
        <f>_xlfn.NUMBERVALUE(LEFT(Table613612[[#This Row],[Fiscal Year]], 4))</f>
        <v>2015</v>
      </c>
      <c r="O578" s="3">
        <v>576</v>
      </c>
    </row>
    <row r="579" spans="1:15" x14ac:dyDescent="0.25">
      <c r="A579" s="3">
        <v>4</v>
      </c>
      <c r="B579" s="3" t="s">
        <v>160</v>
      </c>
      <c r="C579" s="1" t="s">
        <v>12</v>
      </c>
      <c r="D579" s="1" t="s">
        <v>444</v>
      </c>
      <c r="E579" s="11" t="s">
        <v>144</v>
      </c>
      <c r="F579" s="3" t="s">
        <v>8</v>
      </c>
      <c r="G579" s="66" t="s">
        <v>64</v>
      </c>
      <c r="H579" s="8"/>
      <c r="I579" s="8"/>
      <c r="J579" s="6" t="s">
        <v>76</v>
      </c>
      <c r="K579" s="38" t="s">
        <v>827</v>
      </c>
      <c r="L579" s="4" t="s">
        <v>29</v>
      </c>
      <c r="M579" s="11">
        <f>_xlfn.NUMBERVALUE(LEFT(Table613612[[#This Row],[Fiscal Year]], 4))</f>
        <v>2015</v>
      </c>
      <c r="O579" s="3">
        <v>577</v>
      </c>
    </row>
    <row r="580" spans="1:15" x14ac:dyDescent="0.25">
      <c r="A580" s="3">
        <v>4</v>
      </c>
      <c r="B580" s="3" t="s">
        <v>160</v>
      </c>
      <c r="C580" s="1" t="s">
        <v>12</v>
      </c>
      <c r="D580" s="1" t="s">
        <v>444</v>
      </c>
      <c r="E580" s="11" t="s">
        <v>144</v>
      </c>
      <c r="F580" s="3" t="s">
        <v>8</v>
      </c>
      <c r="G580" s="66" t="s">
        <v>65</v>
      </c>
      <c r="H580" s="8"/>
      <c r="I580" s="8"/>
      <c r="J580" s="6" t="s">
        <v>76</v>
      </c>
      <c r="K580" s="38" t="s">
        <v>827</v>
      </c>
      <c r="L580" s="4" t="s">
        <v>29</v>
      </c>
      <c r="M580" s="11">
        <f>_xlfn.NUMBERVALUE(LEFT(Table613612[[#This Row],[Fiscal Year]], 4))</f>
        <v>2015</v>
      </c>
      <c r="O580" s="3">
        <v>578</v>
      </c>
    </row>
    <row r="581" spans="1:15" x14ac:dyDescent="0.25">
      <c r="A581" s="3">
        <v>4</v>
      </c>
      <c r="B581" s="3" t="s">
        <v>160</v>
      </c>
      <c r="C581" s="1" t="s">
        <v>12</v>
      </c>
      <c r="D581" s="1" t="s">
        <v>444</v>
      </c>
      <c r="E581" s="11" t="s">
        <v>144</v>
      </c>
      <c r="F581" s="3" t="s">
        <v>8</v>
      </c>
      <c r="G581" s="66" t="s">
        <v>66</v>
      </c>
      <c r="H581" s="8"/>
      <c r="I581" s="8"/>
      <c r="J581" s="6" t="s">
        <v>76</v>
      </c>
      <c r="K581" s="38" t="s">
        <v>827</v>
      </c>
      <c r="L581" s="4" t="s">
        <v>29</v>
      </c>
      <c r="M581" s="11">
        <f>_xlfn.NUMBERVALUE(LEFT(Table613612[[#This Row],[Fiscal Year]], 4))</f>
        <v>2015</v>
      </c>
      <c r="O581" s="3">
        <v>579</v>
      </c>
    </row>
    <row r="582" spans="1:15" x14ac:dyDescent="0.25">
      <c r="A582" s="3">
        <v>4</v>
      </c>
      <c r="B582" s="3" t="s">
        <v>160</v>
      </c>
      <c r="C582" s="1" t="s">
        <v>12</v>
      </c>
      <c r="D582" s="1" t="s">
        <v>444</v>
      </c>
      <c r="E582" s="11" t="s">
        <v>144</v>
      </c>
      <c r="F582" s="3" t="s">
        <v>8</v>
      </c>
      <c r="G582" s="66" t="s">
        <v>33</v>
      </c>
      <c r="H582" s="8"/>
      <c r="I582" s="8"/>
      <c r="J582" s="6" t="s">
        <v>47</v>
      </c>
      <c r="K582" s="38">
        <v>27703</v>
      </c>
      <c r="L582" s="4" t="s">
        <v>29</v>
      </c>
      <c r="M582" s="11">
        <f>_xlfn.NUMBERVALUE(LEFT(Table613612[[#This Row],[Fiscal Year]], 4))</f>
        <v>2015</v>
      </c>
      <c r="N582" s="42">
        <f t="shared" si="14"/>
        <v>29413.221911392404</v>
      </c>
      <c r="O582" s="3">
        <v>580</v>
      </c>
    </row>
    <row r="583" spans="1:15" x14ac:dyDescent="0.25">
      <c r="A583" s="3">
        <v>4</v>
      </c>
      <c r="B583" s="3" t="s">
        <v>160</v>
      </c>
      <c r="C583" s="1" t="s">
        <v>12</v>
      </c>
      <c r="D583" s="1" t="s">
        <v>444</v>
      </c>
      <c r="E583" s="11" t="s">
        <v>144</v>
      </c>
      <c r="F583" s="3" t="s">
        <v>8</v>
      </c>
      <c r="G583" s="66" t="s">
        <v>67</v>
      </c>
      <c r="H583" s="8"/>
      <c r="I583" s="8"/>
      <c r="J583" s="6" t="s">
        <v>455</v>
      </c>
      <c r="K583" s="38">
        <v>170140</v>
      </c>
      <c r="L583" s="4" t="s">
        <v>29</v>
      </c>
      <c r="M583" s="11">
        <f>_xlfn.NUMBERVALUE(LEFT(Table613612[[#This Row],[Fiscal Year]], 4))</f>
        <v>2015</v>
      </c>
      <c r="N583" s="42">
        <f t="shared" si="14"/>
        <v>180643.45291139241</v>
      </c>
      <c r="O583" s="3">
        <v>581</v>
      </c>
    </row>
    <row r="584" spans="1:15" x14ac:dyDescent="0.25">
      <c r="C584" s="1"/>
      <c r="D584" s="1"/>
      <c r="E584" s="11"/>
      <c r="G584" s="66"/>
      <c r="H584" s="8"/>
      <c r="I584" s="8"/>
      <c r="J584" s="6"/>
      <c r="L584" s="4"/>
      <c r="O584" s="3">
        <v>582</v>
      </c>
    </row>
    <row r="585" spans="1:15" x14ac:dyDescent="0.25">
      <c r="A585" s="3">
        <v>4</v>
      </c>
      <c r="B585" s="3" t="s">
        <v>161</v>
      </c>
      <c r="C585" s="1" t="s">
        <v>12</v>
      </c>
      <c r="D585" s="1" t="s">
        <v>444</v>
      </c>
      <c r="E585" s="11" t="s">
        <v>144</v>
      </c>
      <c r="F585" s="3" t="s">
        <v>8</v>
      </c>
      <c r="G585" s="48" t="s">
        <v>32</v>
      </c>
      <c r="H585" s="8"/>
      <c r="I585" s="8"/>
      <c r="J585" s="6" t="s">
        <v>110</v>
      </c>
      <c r="K585" s="38">
        <v>203000</v>
      </c>
      <c r="L585" s="4" t="s">
        <v>29</v>
      </c>
      <c r="M585" s="11">
        <f>_xlfn.NUMBERVALUE(LEFT(Table613612[[#This Row],[Fiscal Year]], 4))</f>
        <v>2015</v>
      </c>
      <c r="N585" s="42">
        <f t="shared" si="14"/>
        <v>215532.03797468354</v>
      </c>
      <c r="O585" s="3">
        <v>583</v>
      </c>
    </row>
    <row r="586" spans="1:15" x14ac:dyDescent="0.25">
      <c r="A586" s="3">
        <v>4</v>
      </c>
      <c r="B586" s="3" t="s">
        <v>161</v>
      </c>
      <c r="C586" s="1" t="s">
        <v>12</v>
      </c>
      <c r="D586" s="1" t="s">
        <v>444</v>
      </c>
      <c r="E586" s="11" t="s">
        <v>144</v>
      </c>
      <c r="F586" s="3" t="s">
        <v>8</v>
      </c>
      <c r="G586" s="66" t="s">
        <v>58</v>
      </c>
      <c r="H586" s="8"/>
      <c r="I586" s="8"/>
      <c r="J586" s="6" t="s">
        <v>453</v>
      </c>
      <c r="K586" s="38">
        <v>11960</v>
      </c>
      <c r="L586" s="4" t="s">
        <v>29</v>
      </c>
      <c r="M586" s="11">
        <f>_xlfn.NUMBERVALUE(LEFT(Table613612[[#This Row],[Fiscal Year]], 4))</f>
        <v>2015</v>
      </c>
      <c r="N586" s="42">
        <f t="shared" si="14"/>
        <v>12698.340759493671</v>
      </c>
      <c r="O586" s="3">
        <v>584</v>
      </c>
    </row>
    <row r="587" spans="1:15" x14ac:dyDescent="0.25">
      <c r="A587" s="3">
        <v>4</v>
      </c>
      <c r="B587" s="3" t="s">
        <v>161</v>
      </c>
      <c r="C587" s="1" t="s">
        <v>12</v>
      </c>
      <c r="D587" s="1" t="s">
        <v>444</v>
      </c>
      <c r="E587" s="11" t="s">
        <v>144</v>
      </c>
      <c r="F587" s="3" t="s">
        <v>8</v>
      </c>
      <c r="G587" s="66" t="s">
        <v>208</v>
      </c>
      <c r="H587" s="8"/>
      <c r="I587" s="8"/>
      <c r="J587" s="6" t="s">
        <v>109</v>
      </c>
      <c r="K587" s="38">
        <v>1000</v>
      </c>
      <c r="L587" s="4" t="s">
        <v>29</v>
      </c>
      <c r="M587" s="11">
        <f>_xlfn.NUMBERVALUE(LEFT(Table613612[[#This Row],[Fiscal Year]], 4))</f>
        <v>2015</v>
      </c>
      <c r="N587" s="42">
        <f t="shared" si="14"/>
        <v>1061.7341772151899</v>
      </c>
      <c r="O587" s="3">
        <v>585</v>
      </c>
    </row>
    <row r="588" spans="1:15" x14ac:dyDescent="0.25">
      <c r="A588" s="3">
        <v>4</v>
      </c>
      <c r="B588" s="3" t="s">
        <v>161</v>
      </c>
      <c r="C588" s="1" t="s">
        <v>12</v>
      </c>
      <c r="D588" s="1" t="s">
        <v>444</v>
      </c>
      <c r="E588" s="11" t="s">
        <v>144</v>
      </c>
      <c r="F588" s="3" t="s">
        <v>8</v>
      </c>
      <c r="G588" s="48" t="s">
        <v>59</v>
      </c>
      <c r="H588" s="8"/>
      <c r="I588" s="8"/>
      <c r="J588" s="6" t="s">
        <v>111</v>
      </c>
      <c r="K588" s="38">
        <v>12988</v>
      </c>
      <c r="L588" s="4" t="s">
        <v>29</v>
      </c>
      <c r="M588" s="11">
        <f>_xlfn.NUMBERVALUE(LEFT(Table613612[[#This Row],[Fiscal Year]], 4))</f>
        <v>2015</v>
      </c>
      <c r="N588" s="42">
        <f t="shared" ref="N588:N647" si="15">K588*(1+VLOOKUP(M588,$AF$8:$AH$31,3,0))</f>
        <v>13789.803493670885</v>
      </c>
      <c r="O588" s="3">
        <v>586</v>
      </c>
    </row>
    <row r="589" spans="1:15" x14ac:dyDescent="0.25">
      <c r="A589" s="3">
        <v>4</v>
      </c>
      <c r="B589" s="3" t="s">
        <v>161</v>
      </c>
      <c r="C589" s="1" t="s">
        <v>12</v>
      </c>
      <c r="D589" s="1" t="s">
        <v>444</v>
      </c>
      <c r="E589" s="11" t="s">
        <v>144</v>
      </c>
      <c r="F589" s="3" t="s">
        <v>8</v>
      </c>
      <c r="G589" s="66" t="s">
        <v>60</v>
      </c>
      <c r="H589" s="8"/>
      <c r="I589" s="8"/>
      <c r="J589" s="6" t="s">
        <v>111</v>
      </c>
      <c r="K589" s="38">
        <v>30000</v>
      </c>
      <c r="L589" s="4" t="s">
        <v>29</v>
      </c>
      <c r="M589" s="11">
        <f>_xlfn.NUMBERVALUE(LEFT(Table613612[[#This Row],[Fiscal Year]], 4))</f>
        <v>2015</v>
      </c>
      <c r="N589" s="42">
        <f t="shared" si="15"/>
        <v>31852.025316455696</v>
      </c>
      <c r="O589" s="3">
        <v>587</v>
      </c>
    </row>
    <row r="590" spans="1:15" x14ac:dyDescent="0.25">
      <c r="A590" s="3">
        <v>4</v>
      </c>
      <c r="B590" s="3" t="s">
        <v>161</v>
      </c>
      <c r="C590" s="1" t="s">
        <v>12</v>
      </c>
      <c r="D590" s="1" t="s">
        <v>444</v>
      </c>
      <c r="E590" s="11" t="s">
        <v>144</v>
      </c>
      <c r="F590" s="3" t="s">
        <v>8</v>
      </c>
      <c r="G590" s="48" t="s">
        <v>61</v>
      </c>
      <c r="H590" s="8"/>
      <c r="I590" s="8"/>
      <c r="J590" s="6" t="s">
        <v>108</v>
      </c>
      <c r="K590" s="38">
        <v>459202</v>
      </c>
      <c r="L590" s="4" t="s">
        <v>29</v>
      </c>
      <c r="M590" s="11">
        <f>_xlfn.NUMBERVALUE(LEFT(Table613612[[#This Row],[Fiscal Year]], 4))</f>
        <v>2015</v>
      </c>
      <c r="N590" s="42">
        <f t="shared" si="15"/>
        <v>487550.45764556958</v>
      </c>
      <c r="O590" s="3">
        <v>588</v>
      </c>
    </row>
    <row r="591" spans="1:15" x14ac:dyDescent="0.25">
      <c r="A591" s="3">
        <v>4</v>
      </c>
      <c r="B591" s="3" t="s">
        <v>161</v>
      </c>
      <c r="C591" s="1" t="s">
        <v>12</v>
      </c>
      <c r="D591" s="1" t="s">
        <v>444</v>
      </c>
      <c r="E591" s="11" t="s">
        <v>144</v>
      </c>
      <c r="F591" s="3" t="s">
        <v>8</v>
      </c>
      <c r="G591" s="66" t="s">
        <v>62</v>
      </c>
      <c r="H591" s="8"/>
      <c r="I591" s="8"/>
      <c r="J591" s="6" t="s">
        <v>106</v>
      </c>
      <c r="K591" s="38">
        <v>22235</v>
      </c>
      <c r="L591" s="4" t="s">
        <v>29</v>
      </c>
      <c r="M591" s="11">
        <f>_xlfn.NUMBERVALUE(LEFT(Table613612[[#This Row],[Fiscal Year]], 4))</f>
        <v>2015</v>
      </c>
      <c r="N591" s="42">
        <f t="shared" si="15"/>
        <v>23607.659430379746</v>
      </c>
      <c r="O591" s="3">
        <v>589</v>
      </c>
    </row>
    <row r="592" spans="1:15" x14ac:dyDescent="0.25">
      <c r="A592" s="3">
        <v>4</v>
      </c>
      <c r="B592" s="3" t="s">
        <v>161</v>
      </c>
      <c r="C592" s="1" t="s">
        <v>12</v>
      </c>
      <c r="D592" s="1" t="s">
        <v>444</v>
      </c>
      <c r="E592" s="11" t="s">
        <v>144</v>
      </c>
      <c r="F592" s="3" t="s">
        <v>8</v>
      </c>
      <c r="G592" s="66" t="s">
        <v>211</v>
      </c>
      <c r="H592" s="8"/>
      <c r="I592" s="8"/>
      <c r="J592" s="6" t="s">
        <v>455</v>
      </c>
      <c r="K592" s="38" t="s">
        <v>827</v>
      </c>
      <c r="L592" s="4" t="s">
        <v>29</v>
      </c>
      <c r="M592" s="11">
        <f>_xlfn.NUMBERVALUE(LEFT(Table613612[[#This Row],[Fiscal Year]], 4))</f>
        <v>2015</v>
      </c>
      <c r="O592" s="3">
        <v>590</v>
      </c>
    </row>
    <row r="593" spans="1:15" x14ac:dyDescent="0.25">
      <c r="A593" s="3">
        <v>4</v>
      </c>
      <c r="B593" s="3" t="s">
        <v>161</v>
      </c>
      <c r="C593" s="1" t="s">
        <v>12</v>
      </c>
      <c r="D593" s="1" t="s">
        <v>444</v>
      </c>
      <c r="E593" s="11" t="s">
        <v>144</v>
      </c>
      <c r="F593" s="3" t="s">
        <v>8</v>
      </c>
      <c r="G593" s="48" t="s">
        <v>64</v>
      </c>
      <c r="H593" s="8"/>
      <c r="I593" s="8"/>
      <c r="J593" s="6" t="s">
        <v>76</v>
      </c>
      <c r="K593" s="38" t="s">
        <v>827</v>
      </c>
      <c r="L593" s="4" t="s">
        <v>29</v>
      </c>
      <c r="M593" s="11">
        <f>_xlfn.NUMBERVALUE(LEFT(Table613612[[#This Row],[Fiscal Year]], 4))</f>
        <v>2015</v>
      </c>
      <c r="O593" s="3">
        <v>591</v>
      </c>
    </row>
    <row r="594" spans="1:15" x14ac:dyDescent="0.25">
      <c r="A594" s="3">
        <v>4</v>
      </c>
      <c r="B594" s="3" t="s">
        <v>161</v>
      </c>
      <c r="C594" s="1" t="s">
        <v>12</v>
      </c>
      <c r="D594" s="1" t="s">
        <v>444</v>
      </c>
      <c r="E594" s="11" t="s">
        <v>144</v>
      </c>
      <c r="F594" s="3" t="s">
        <v>8</v>
      </c>
      <c r="G594" s="48" t="s">
        <v>65</v>
      </c>
      <c r="H594" s="8"/>
      <c r="I594" s="8"/>
      <c r="J594" s="6" t="s">
        <v>76</v>
      </c>
      <c r="K594" s="39" t="s">
        <v>214</v>
      </c>
      <c r="L594" s="4" t="s">
        <v>29</v>
      </c>
      <c r="M594" s="11">
        <f>_xlfn.NUMBERVALUE(LEFT(Table613612[[#This Row],[Fiscal Year]], 4))</f>
        <v>2015</v>
      </c>
      <c r="O594" s="3">
        <v>592</v>
      </c>
    </row>
    <row r="595" spans="1:15" x14ac:dyDescent="0.25">
      <c r="A595" s="3">
        <v>4</v>
      </c>
      <c r="B595" s="3" t="s">
        <v>161</v>
      </c>
      <c r="C595" s="1" t="s">
        <v>12</v>
      </c>
      <c r="D595" s="1" t="s">
        <v>444</v>
      </c>
      <c r="E595" s="11" t="s">
        <v>144</v>
      </c>
      <c r="F595" s="3" t="s">
        <v>8</v>
      </c>
      <c r="G595" s="48" t="s">
        <v>66</v>
      </c>
      <c r="H595" s="8"/>
      <c r="I595" s="8"/>
      <c r="J595" s="6" t="s">
        <v>76</v>
      </c>
      <c r="K595" s="38" t="s">
        <v>827</v>
      </c>
      <c r="L595" s="4" t="s">
        <v>29</v>
      </c>
      <c r="M595" s="11">
        <f>_xlfn.NUMBERVALUE(LEFT(Table613612[[#This Row],[Fiscal Year]], 4))</f>
        <v>2015</v>
      </c>
      <c r="O595" s="3">
        <v>593</v>
      </c>
    </row>
    <row r="596" spans="1:15" x14ac:dyDescent="0.25">
      <c r="A596" s="3">
        <v>4</v>
      </c>
      <c r="B596" s="3" t="s">
        <v>161</v>
      </c>
      <c r="C596" s="1" t="s">
        <v>12</v>
      </c>
      <c r="D596" s="1" t="s">
        <v>444</v>
      </c>
      <c r="E596" s="11" t="s">
        <v>144</v>
      </c>
      <c r="F596" s="3" t="s">
        <v>8</v>
      </c>
      <c r="G596" s="66" t="s">
        <v>33</v>
      </c>
      <c r="H596" s="8"/>
      <c r="I596" s="8"/>
      <c r="J596" s="6" t="s">
        <v>47</v>
      </c>
      <c r="K596" s="39" t="s">
        <v>214</v>
      </c>
      <c r="L596" s="4" t="s">
        <v>29</v>
      </c>
      <c r="M596" s="11">
        <f>_xlfn.NUMBERVALUE(LEFT(Table613612[[#This Row],[Fiscal Year]], 4))</f>
        <v>2015</v>
      </c>
      <c r="O596" s="3">
        <v>594</v>
      </c>
    </row>
    <row r="597" spans="1:15" x14ac:dyDescent="0.25">
      <c r="A597" s="3">
        <v>4</v>
      </c>
      <c r="B597" s="3" t="s">
        <v>161</v>
      </c>
      <c r="C597" s="1" t="s">
        <v>12</v>
      </c>
      <c r="D597" s="1" t="s">
        <v>444</v>
      </c>
      <c r="E597" s="11" t="s">
        <v>144</v>
      </c>
      <c r="F597" s="3" t="s">
        <v>8</v>
      </c>
      <c r="G597" s="66" t="s">
        <v>67</v>
      </c>
      <c r="H597" s="8"/>
      <c r="I597" s="8"/>
      <c r="J597" s="6" t="s">
        <v>455</v>
      </c>
      <c r="K597" s="38">
        <v>100000</v>
      </c>
      <c r="L597" s="4" t="s">
        <v>29</v>
      </c>
      <c r="M597" s="11">
        <f>_xlfn.NUMBERVALUE(LEFT(Table613612[[#This Row],[Fiscal Year]], 4))</f>
        <v>2015</v>
      </c>
      <c r="N597" s="42">
        <f t="shared" si="15"/>
        <v>106173.41772151898</v>
      </c>
      <c r="O597" s="3">
        <v>595</v>
      </c>
    </row>
    <row r="598" spans="1:15" x14ac:dyDescent="0.25">
      <c r="C598" s="1"/>
      <c r="D598" s="1"/>
      <c r="E598" s="11"/>
      <c r="G598" s="66"/>
      <c r="H598" s="8"/>
      <c r="I598" s="8"/>
      <c r="J598" s="6"/>
      <c r="L598" s="4"/>
      <c r="O598" s="3">
        <v>596</v>
      </c>
    </row>
    <row r="599" spans="1:15" x14ac:dyDescent="0.25">
      <c r="A599" s="3">
        <v>4</v>
      </c>
      <c r="B599" s="3" t="s">
        <v>162</v>
      </c>
      <c r="C599" s="1" t="s">
        <v>12</v>
      </c>
      <c r="D599" s="1" t="s">
        <v>444</v>
      </c>
      <c r="E599" s="11" t="s">
        <v>144</v>
      </c>
      <c r="F599" s="3" t="s">
        <v>8</v>
      </c>
      <c r="G599" s="48" t="s">
        <v>32</v>
      </c>
      <c r="H599" s="8"/>
      <c r="I599" s="8"/>
      <c r="J599" s="6" t="s">
        <v>110</v>
      </c>
      <c r="K599" s="38">
        <v>5818.75</v>
      </c>
      <c r="L599" s="4" t="s">
        <v>29</v>
      </c>
      <c r="M599" s="11">
        <f>_xlfn.NUMBERVALUE(LEFT(Table613612[[#This Row],[Fiscal Year]], 4))</f>
        <v>2015</v>
      </c>
      <c r="N599" s="42">
        <f t="shared" si="15"/>
        <v>6177.9657436708858</v>
      </c>
      <c r="O599" s="3">
        <v>597</v>
      </c>
    </row>
    <row r="600" spans="1:15" x14ac:dyDescent="0.25">
      <c r="A600" s="3">
        <v>4</v>
      </c>
      <c r="B600" s="3" t="s">
        <v>162</v>
      </c>
      <c r="C600" s="1" t="s">
        <v>12</v>
      </c>
      <c r="D600" s="1" t="s">
        <v>444</v>
      </c>
      <c r="E600" s="11" t="s">
        <v>144</v>
      </c>
      <c r="F600" s="3" t="s">
        <v>8</v>
      </c>
      <c r="G600" s="66" t="s">
        <v>58</v>
      </c>
      <c r="H600" s="8"/>
      <c r="I600" s="8"/>
      <c r="J600" s="6" t="s">
        <v>453</v>
      </c>
      <c r="K600" s="38">
        <v>5194.5</v>
      </c>
      <c r="L600" s="4" t="s">
        <v>29</v>
      </c>
      <c r="M600" s="11">
        <f>_xlfn.NUMBERVALUE(LEFT(Table613612[[#This Row],[Fiscal Year]], 4))</f>
        <v>2015</v>
      </c>
      <c r="N600" s="42">
        <f t="shared" si="15"/>
        <v>5515.1781835443035</v>
      </c>
      <c r="O600" s="3">
        <v>598</v>
      </c>
    </row>
    <row r="601" spans="1:15" x14ac:dyDescent="0.25">
      <c r="A601" s="3">
        <v>4</v>
      </c>
      <c r="B601" s="3" t="s">
        <v>162</v>
      </c>
      <c r="C601" s="1" t="s">
        <v>12</v>
      </c>
      <c r="D601" s="1" t="s">
        <v>444</v>
      </c>
      <c r="E601" s="11" t="s">
        <v>144</v>
      </c>
      <c r="F601" s="3" t="s">
        <v>8</v>
      </c>
      <c r="G601" s="66" t="s">
        <v>208</v>
      </c>
      <c r="H601" s="8"/>
      <c r="I601" s="8"/>
      <c r="J601" s="6" t="s">
        <v>109</v>
      </c>
      <c r="K601" s="38">
        <v>38182.75</v>
      </c>
      <c r="L601" s="4" t="s">
        <v>29</v>
      </c>
      <c r="M601" s="11">
        <f>_xlfn.NUMBERVALUE(LEFT(Table613612[[#This Row],[Fiscal Year]], 4))</f>
        <v>2015</v>
      </c>
      <c r="N601" s="42">
        <f t="shared" si="15"/>
        <v>40539.93065506329</v>
      </c>
      <c r="O601" s="3">
        <v>599</v>
      </c>
    </row>
    <row r="602" spans="1:15" x14ac:dyDescent="0.25">
      <c r="A602" s="3">
        <v>4</v>
      </c>
      <c r="B602" s="3" t="s">
        <v>162</v>
      </c>
      <c r="C602" s="1" t="s">
        <v>12</v>
      </c>
      <c r="D602" s="1" t="s">
        <v>444</v>
      </c>
      <c r="E602" s="11" t="s">
        <v>144</v>
      </c>
      <c r="F602" s="3" t="s">
        <v>8</v>
      </c>
      <c r="G602" s="48" t="s">
        <v>59</v>
      </c>
      <c r="H602" s="8"/>
      <c r="I602" s="8"/>
      <c r="J602" s="6" t="s">
        <v>111</v>
      </c>
      <c r="K602" s="38">
        <v>27779.5</v>
      </c>
      <c r="L602" s="4" t="s">
        <v>29</v>
      </c>
      <c r="M602" s="11">
        <f>_xlfn.NUMBERVALUE(LEFT(Table613612[[#This Row],[Fiscal Year]], 4))</f>
        <v>2015</v>
      </c>
      <c r="N602" s="42">
        <f t="shared" si="15"/>
        <v>29494.444575949365</v>
      </c>
      <c r="O602" s="3">
        <v>600</v>
      </c>
    </row>
    <row r="603" spans="1:15" x14ac:dyDescent="0.25">
      <c r="A603" s="3">
        <v>4</v>
      </c>
      <c r="B603" s="3" t="s">
        <v>162</v>
      </c>
      <c r="C603" s="1" t="s">
        <v>12</v>
      </c>
      <c r="D603" s="1" t="s">
        <v>444</v>
      </c>
      <c r="E603" s="11" t="s">
        <v>144</v>
      </c>
      <c r="F603" s="3" t="s">
        <v>8</v>
      </c>
      <c r="G603" s="66" t="s">
        <v>60</v>
      </c>
      <c r="H603" s="8"/>
      <c r="I603" s="8"/>
      <c r="J603" s="6" t="s">
        <v>111</v>
      </c>
      <c r="K603" s="38">
        <v>17272.5</v>
      </c>
      <c r="L603" s="4" t="s">
        <v>29</v>
      </c>
      <c r="M603" s="11">
        <f>_xlfn.NUMBERVALUE(LEFT(Table613612[[#This Row],[Fiscal Year]], 4))</f>
        <v>2015</v>
      </c>
      <c r="N603" s="42">
        <f t="shared" si="15"/>
        <v>18338.803575949365</v>
      </c>
      <c r="O603" s="3">
        <v>601</v>
      </c>
    </row>
    <row r="604" spans="1:15" x14ac:dyDescent="0.25">
      <c r="A604" s="3">
        <v>4</v>
      </c>
      <c r="B604" s="3" t="s">
        <v>162</v>
      </c>
      <c r="C604" s="1" t="s">
        <v>12</v>
      </c>
      <c r="D604" s="1" t="s">
        <v>444</v>
      </c>
      <c r="E604" s="11" t="s">
        <v>144</v>
      </c>
      <c r="F604" s="3" t="s">
        <v>8</v>
      </c>
      <c r="G604" s="48" t="s">
        <v>61</v>
      </c>
      <c r="H604" s="8"/>
      <c r="I604" s="8"/>
      <c r="J604" s="6" t="s">
        <v>108</v>
      </c>
      <c r="K604" s="38">
        <v>601645.5</v>
      </c>
      <c r="L604" s="4" t="s">
        <v>29</v>
      </c>
      <c r="M604" s="11">
        <f>_xlfn.NUMBERVALUE(LEFT(Table613612[[#This Row],[Fiscal Year]], 4))</f>
        <v>2015</v>
      </c>
      <c r="N604" s="42">
        <f t="shared" si="15"/>
        <v>638787.58991772146</v>
      </c>
      <c r="O604" s="3">
        <v>602</v>
      </c>
    </row>
    <row r="605" spans="1:15" x14ac:dyDescent="0.25">
      <c r="A605" s="3">
        <v>4</v>
      </c>
      <c r="B605" s="3" t="s">
        <v>162</v>
      </c>
      <c r="C605" s="1" t="s">
        <v>12</v>
      </c>
      <c r="D605" s="1" t="s">
        <v>444</v>
      </c>
      <c r="E605" s="11" t="s">
        <v>144</v>
      </c>
      <c r="F605" s="3" t="s">
        <v>8</v>
      </c>
      <c r="G605" s="66" t="s">
        <v>62</v>
      </c>
      <c r="H605" s="8"/>
      <c r="I605" s="8"/>
      <c r="J605" s="6" t="s">
        <v>106</v>
      </c>
      <c r="K605" s="38">
        <v>5871.5</v>
      </c>
      <c r="L605" s="4" t="s">
        <v>29</v>
      </c>
      <c r="M605" s="11">
        <f>_xlfn.NUMBERVALUE(LEFT(Table613612[[#This Row],[Fiscal Year]], 4))</f>
        <v>2015</v>
      </c>
      <c r="N605" s="42">
        <f t="shared" si="15"/>
        <v>6233.9722215189868</v>
      </c>
      <c r="O605" s="3">
        <v>603</v>
      </c>
    </row>
    <row r="606" spans="1:15" x14ac:dyDescent="0.25">
      <c r="A606" s="3">
        <v>4</v>
      </c>
      <c r="B606" s="3" t="s">
        <v>162</v>
      </c>
      <c r="C606" s="1" t="s">
        <v>12</v>
      </c>
      <c r="D606" s="1" t="s">
        <v>444</v>
      </c>
      <c r="E606" s="11" t="s">
        <v>144</v>
      </c>
      <c r="F606" s="3" t="s">
        <v>8</v>
      </c>
      <c r="G606" s="66" t="s">
        <v>63</v>
      </c>
      <c r="H606" s="8"/>
      <c r="I606" s="8"/>
      <c r="J606" s="6" t="s">
        <v>455</v>
      </c>
      <c r="K606" s="38" t="s">
        <v>827</v>
      </c>
      <c r="L606" s="4" t="s">
        <v>29</v>
      </c>
      <c r="M606" s="11">
        <f>_xlfn.NUMBERVALUE(LEFT(Table613612[[#This Row],[Fiscal Year]], 4))</f>
        <v>2015</v>
      </c>
      <c r="O606" s="3">
        <v>604</v>
      </c>
    </row>
    <row r="607" spans="1:15" x14ac:dyDescent="0.25">
      <c r="A607" s="3">
        <v>4</v>
      </c>
      <c r="B607" s="3" t="s">
        <v>162</v>
      </c>
      <c r="C607" s="1" t="s">
        <v>12</v>
      </c>
      <c r="D607" s="1" t="s">
        <v>444</v>
      </c>
      <c r="E607" s="11" t="s">
        <v>144</v>
      </c>
      <c r="F607" s="3" t="s">
        <v>8</v>
      </c>
      <c r="G607" s="66" t="s">
        <v>64</v>
      </c>
      <c r="H607" s="8"/>
      <c r="I607" s="8"/>
      <c r="J607" s="6" t="s">
        <v>76</v>
      </c>
      <c r="K607" s="38">
        <v>307348</v>
      </c>
      <c r="L607" s="4" t="s">
        <v>29</v>
      </c>
      <c r="M607" s="11">
        <f>_xlfn.NUMBERVALUE(LEFT(Table613612[[#This Row],[Fiscal Year]], 4))</f>
        <v>2015</v>
      </c>
      <c r="N607" s="42">
        <f t="shared" si="15"/>
        <v>326321.87589873414</v>
      </c>
      <c r="O607" s="3">
        <v>605</v>
      </c>
    </row>
    <row r="608" spans="1:15" x14ac:dyDescent="0.25">
      <c r="A608" s="3">
        <v>4</v>
      </c>
      <c r="B608" s="3" t="s">
        <v>162</v>
      </c>
      <c r="C608" s="1" t="s">
        <v>12</v>
      </c>
      <c r="D608" s="1" t="s">
        <v>444</v>
      </c>
      <c r="E608" s="11" t="s">
        <v>144</v>
      </c>
      <c r="F608" s="3" t="s">
        <v>8</v>
      </c>
      <c r="G608" s="66" t="s">
        <v>65</v>
      </c>
      <c r="H608" s="8"/>
      <c r="I608" s="8"/>
      <c r="J608" s="6" t="s">
        <v>76</v>
      </c>
      <c r="K608" s="38" t="s">
        <v>827</v>
      </c>
      <c r="L608" s="4" t="s">
        <v>29</v>
      </c>
      <c r="M608" s="11">
        <f>_xlfn.NUMBERVALUE(LEFT(Table613612[[#This Row],[Fiscal Year]], 4))</f>
        <v>2015</v>
      </c>
      <c r="O608" s="3">
        <v>606</v>
      </c>
    </row>
    <row r="609" spans="1:15" x14ac:dyDescent="0.25">
      <c r="A609" s="3">
        <v>4</v>
      </c>
      <c r="B609" s="3" t="s">
        <v>162</v>
      </c>
      <c r="C609" s="1" t="s">
        <v>12</v>
      </c>
      <c r="D609" s="1" t="s">
        <v>444</v>
      </c>
      <c r="E609" s="11" t="s">
        <v>144</v>
      </c>
      <c r="F609" s="3" t="s">
        <v>8</v>
      </c>
      <c r="G609" s="66" t="s">
        <v>66</v>
      </c>
      <c r="H609" s="8"/>
      <c r="I609" s="8"/>
      <c r="J609" s="6" t="s">
        <v>76</v>
      </c>
      <c r="K609" s="38" t="s">
        <v>827</v>
      </c>
      <c r="L609" s="4" t="s">
        <v>29</v>
      </c>
      <c r="M609" s="11">
        <f>_xlfn.NUMBERVALUE(LEFT(Table613612[[#This Row],[Fiscal Year]], 4))</f>
        <v>2015</v>
      </c>
      <c r="O609" s="3">
        <v>607</v>
      </c>
    </row>
    <row r="610" spans="1:15" x14ac:dyDescent="0.25">
      <c r="A610" s="3">
        <v>4</v>
      </c>
      <c r="B610" s="3" t="s">
        <v>162</v>
      </c>
      <c r="C610" s="1" t="s">
        <v>12</v>
      </c>
      <c r="D610" s="1" t="s">
        <v>444</v>
      </c>
      <c r="E610" s="11" t="s">
        <v>144</v>
      </c>
      <c r="F610" s="3" t="s">
        <v>8</v>
      </c>
      <c r="G610" s="66" t="s">
        <v>33</v>
      </c>
      <c r="H610" s="8"/>
      <c r="I610" s="8"/>
      <c r="J610" s="6" t="s">
        <v>47</v>
      </c>
      <c r="K610" s="38">
        <v>6765.75</v>
      </c>
      <c r="L610" s="4" t="s">
        <v>29</v>
      </c>
      <c r="M610" s="11">
        <f>_xlfn.NUMBERVALUE(LEFT(Table613612[[#This Row],[Fiscal Year]], 4))</f>
        <v>2015</v>
      </c>
      <c r="N610" s="42">
        <f t="shared" si="15"/>
        <v>7183.4280094936703</v>
      </c>
      <c r="O610" s="3">
        <v>608</v>
      </c>
    </row>
    <row r="611" spans="1:15" x14ac:dyDescent="0.25">
      <c r="A611" s="3">
        <v>4</v>
      </c>
      <c r="B611" s="3" t="s">
        <v>162</v>
      </c>
      <c r="C611" s="1" t="s">
        <v>12</v>
      </c>
      <c r="D611" s="1" t="s">
        <v>444</v>
      </c>
      <c r="E611" s="11" t="s">
        <v>144</v>
      </c>
      <c r="F611" s="3" t="s">
        <v>8</v>
      </c>
      <c r="G611" s="66" t="s">
        <v>67</v>
      </c>
      <c r="H611" s="57" t="s">
        <v>913</v>
      </c>
      <c r="I611" s="8" t="s">
        <v>429</v>
      </c>
      <c r="J611" s="6" t="s">
        <v>455</v>
      </c>
      <c r="K611" s="38">
        <v>256856.3</v>
      </c>
      <c r="L611" s="4" t="s">
        <v>29</v>
      </c>
      <c r="M611" s="11">
        <f>_xlfn.NUMBERVALUE(LEFT(Table613612[[#This Row],[Fiscal Year]], 4))</f>
        <v>2015</v>
      </c>
      <c r="N611" s="42">
        <f t="shared" si="15"/>
        <v>272713.11234303797</v>
      </c>
      <c r="O611" s="3">
        <v>609</v>
      </c>
    </row>
    <row r="612" spans="1:15" x14ac:dyDescent="0.25">
      <c r="C612" s="1"/>
      <c r="D612" s="1"/>
      <c r="E612" s="11"/>
      <c r="G612" s="66"/>
      <c r="H612" s="8"/>
      <c r="I612" s="8"/>
      <c r="J612" s="6"/>
      <c r="L612" s="4"/>
      <c r="O612" s="3">
        <v>610</v>
      </c>
    </row>
    <row r="613" spans="1:15" x14ac:dyDescent="0.25">
      <c r="A613" s="3">
        <v>4</v>
      </c>
      <c r="B613" s="3" t="s">
        <v>163</v>
      </c>
      <c r="C613" s="1" t="s">
        <v>12</v>
      </c>
      <c r="D613" s="1" t="s">
        <v>444</v>
      </c>
      <c r="E613" s="11" t="s">
        <v>144</v>
      </c>
      <c r="F613" s="3" t="s">
        <v>8</v>
      </c>
      <c r="G613" s="48" t="s">
        <v>32</v>
      </c>
      <c r="H613" s="8"/>
      <c r="I613" s="8"/>
      <c r="J613" s="6" t="s">
        <v>110</v>
      </c>
      <c r="K613" s="38">
        <v>152156</v>
      </c>
      <c r="L613" s="4" t="s">
        <v>29</v>
      </c>
      <c r="M613" s="11">
        <f>_xlfn.NUMBERVALUE(LEFT(Table613612[[#This Row],[Fiscal Year]], 4))</f>
        <v>2015</v>
      </c>
      <c r="N613" s="42">
        <f t="shared" si="15"/>
        <v>161549.22546835442</v>
      </c>
      <c r="O613" s="3">
        <v>611</v>
      </c>
    </row>
    <row r="614" spans="1:15" x14ac:dyDescent="0.25">
      <c r="A614" s="3">
        <v>4</v>
      </c>
      <c r="B614" s="3" t="s">
        <v>163</v>
      </c>
      <c r="C614" s="1" t="s">
        <v>12</v>
      </c>
      <c r="D614" s="1" t="s">
        <v>444</v>
      </c>
      <c r="E614" s="11" t="s">
        <v>144</v>
      </c>
      <c r="F614" s="3" t="s">
        <v>8</v>
      </c>
      <c r="G614" s="66" t="s">
        <v>58</v>
      </c>
      <c r="H614" s="8"/>
      <c r="I614" s="8"/>
      <c r="J614" s="6" t="s">
        <v>453</v>
      </c>
      <c r="K614" s="38">
        <v>386614</v>
      </c>
      <c r="L614" s="4" t="s">
        <v>29</v>
      </c>
      <c r="M614" s="11">
        <f>_xlfn.NUMBERVALUE(LEFT(Table613612[[#This Row],[Fiscal Year]], 4))</f>
        <v>2015</v>
      </c>
      <c r="N614" s="42">
        <f t="shared" si="15"/>
        <v>410481.29718987341</v>
      </c>
      <c r="O614" s="3">
        <v>612</v>
      </c>
    </row>
    <row r="615" spans="1:15" x14ac:dyDescent="0.25">
      <c r="A615" s="3">
        <v>4</v>
      </c>
      <c r="B615" s="3" t="s">
        <v>163</v>
      </c>
      <c r="C615" s="1" t="s">
        <v>12</v>
      </c>
      <c r="D615" s="1" t="s">
        <v>444</v>
      </c>
      <c r="E615" s="11" t="s">
        <v>144</v>
      </c>
      <c r="F615" s="3" t="s">
        <v>8</v>
      </c>
      <c r="G615" s="66" t="s">
        <v>208</v>
      </c>
      <c r="H615" s="8"/>
      <c r="I615" s="8"/>
      <c r="J615" s="6" t="s">
        <v>109</v>
      </c>
      <c r="K615" s="38">
        <v>98999</v>
      </c>
      <c r="L615" s="4" t="s">
        <v>29</v>
      </c>
      <c r="M615" s="11">
        <f>_xlfn.NUMBERVALUE(LEFT(Table613612[[#This Row],[Fiscal Year]], 4))</f>
        <v>2015</v>
      </c>
      <c r="N615" s="42">
        <f t="shared" si="15"/>
        <v>105110.62181012657</v>
      </c>
      <c r="O615" s="3">
        <v>613</v>
      </c>
    </row>
    <row r="616" spans="1:15" x14ac:dyDescent="0.25">
      <c r="A616" s="3">
        <v>4</v>
      </c>
      <c r="B616" s="3" t="s">
        <v>163</v>
      </c>
      <c r="C616" s="1" t="s">
        <v>12</v>
      </c>
      <c r="D616" s="1" t="s">
        <v>444</v>
      </c>
      <c r="E616" s="11" t="s">
        <v>144</v>
      </c>
      <c r="F616" s="3" t="s">
        <v>8</v>
      </c>
      <c r="G616" s="48" t="s">
        <v>59</v>
      </c>
      <c r="H616" s="8"/>
      <c r="I616" s="8"/>
      <c r="J616" s="6" t="s">
        <v>111</v>
      </c>
      <c r="K616" s="38">
        <v>153416</v>
      </c>
      <c r="L616" s="4" t="s">
        <v>29</v>
      </c>
      <c r="M616" s="11">
        <f>_xlfn.NUMBERVALUE(LEFT(Table613612[[#This Row],[Fiscal Year]], 4))</f>
        <v>2015</v>
      </c>
      <c r="N616" s="42">
        <f t="shared" si="15"/>
        <v>162887.01053164556</v>
      </c>
      <c r="O616" s="3">
        <v>614</v>
      </c>
    </row>
    <row r="617" spans="1:15" x14ac:dyDescent="0.25">
      <c r="A617" s="3">
        <v>4</v>
      </c>
      <c r="B617" s="3" t="s">
        <v>163</v>
      </c>
      <c r="C617" s="1" t="s">
        <v>12</v>
      </c>
      <c r="D617" s="1" t="s">
        <v>444</v>
      </c>
      <c r="E617" s="11" t="s">
        <v>144</v>
      </c>
      <c r="F617" s="3" t="s">
        <v>8</v>
      </c>
      <c r="G617" s="66" t="s">
        <v>60</v>
      </c>
      <c r="H617" s="8"/>
      <c r="I617" s="8"/>
      <c r="J617" s="6" t="s">
        <v>111</v>
      </c>
      <c r="K617" s="38">
        <v>508912</v>
      </c>
      <c r="L617" s="4" t="s">
        <v>29</v>
      </c>
      <c r="M617" s="11">
        <f>_xlfn.NUMBERVALUE(LEFT(Table613612[[#This Row],[Fiscal Year]], 4))</f>
        <v>2015</v>
      </c>
      <c r="N617" s="42">
        <f t="shared" si="15"/>
        <v>540329.2635949367</v>
      </c>
      <c r="O617" s="3">
        <v>615</v>
      </c>
    </row>
    <row r="618" spans="1:15" x14ac:dyDescent="0.25">
      <c r="A618" s="3">
        <v>4</v>
      </c>
      <c r="B618" s="3" t="s">
        <v>163</v>
      </c>
      <c r="C618" s="1" t="s">
        <v>12</v>
      </c>
      <c r="D618" s="1" t="s">
        <v>444</v>
      </c>
      <c r="E618" s="11" t="s">
        <v>144</v>
      </c>
      <c r="F618" s="3" t="s">
        <v>8</v>
      </c>
      <c r="G618" s="48" t="s">
        <v>61</v>
      </c>
      <c r="H618" s="8"/>
      <c r="I618" s="8"/>
      <c r="J618" s="6" t="s">
        <v>108</v>
      </c>
      <c r="K618" s="38">
        <v>5301465</v>
      </c>
      <c r="L618" s="4" t="s">
        <v>29</v>
      </c>
      <c r="M618" s="11">
        <f>_xlfn.NUMBERVALUE(LEFT(Table613612[[#This Row],[Fiscal Year]], 4))</f>
        <v>2015</v>
      </c>
      <c r="N618" s="42">
        <f t="shared" si="15"/>
        <v>5628746.5798101267</v>
      </c>
      <c r="O618" s="3">
        <v>616</v>
      </c>
    </row>
    <row r="619" spans="1:15" x14ac:dyDescent="0.25">
      <c r="A619" s="3">
        <v>4</v>
      </c>
      <c r="B619" s="3" t="s">
        <v>163</v>
      </c>
      <c r="C619" s="1" t="s">
        <v>12</v>
      </c>
      <c r="D619" s="1" t="s">
        <v>444</v>
      </c>
      <c r="E619" s="11" t="s">
        <v>144</v>
      </c>
      <c r="F619" s="3" t="s">
        <v>8</v>
      </c>
      <c r="G619" s="66" t="s">
        <v>62</v>
      </c>
      <c r="H619" s="8"/>
      <c r="I619" s="8"/>
      <c r="J619" s="6" t="s">
        <v>106</v>
      </c>
      <c r="K619" s="38">
        <v>0</v>
      </c>
      <c r="L619" s="4" t="s">
        <v>29</v>
      </c>
      <c r="M619" s="11">
        <f>_xlfn.NUMBERVALUE(LEFT(Table613612[[#This Row],[Fiscal Year]], 4))</f>
        <v>2015</v>
      </c>
      <c r="N619" s="43">
        <f t="shared" si="15"/>
        <v>0</v>
      </c>
      <c r="O619" s="3">
        <v>617</v>
      </c>
    </row>
    <row r="620" spans="1:15" x14ac:dyDescent="0.25">
      <c r="A620" s="3">
        <v>4</v>
      </c>
      <c r="B620" s="3" t="s">
        <v>163</v>
      </c>
      <c r="C620" s="1" t="s">
        <v>12</v>
      </c>
      <c r="D620" s="1" t="s">
        <v>444</v>
      </c>
      <c r="E620" s="11" t="s">
        <v>144</v>
      </c>
      <c r="F620" s="3" t="s">
        <v>8</v>
      </c>
      <c r="G620" s="66" t="s">
        <v>211</v>
      </c>
      <c r="H620" s="8"/>
      <c r="I620" s="8"/>
      <c r="J620" s="6" t="s">
        <v>455</v>
      </c>
      <c r="K620" s="38">
        <v>0</v>
      </c>
      <c r="L620" s="4" t="s">
        <v>29</v>
      </c>
      <c r="M620" s="11">
        <f>_xlfn.NUMBERVALUE(LEFT(Table613612[[#This Row],[Fiscal Year]], 4))</f>
        <v>2015</v>
      </c>
      <c r="N620" s="43">
        <f t="shared" si="15"/>
        <v>0</v>
      </c>
      <c r="O620" s="3">
        <v>618</v>
      </c>
    </row>
    <row r="621" spans="1:15" x14ac:dyDescent="0.25">
      <c r="A621" s="3">
        <v>4</v>
      </c>
      <c r="B621" s="3" t="s">
        <v>163</v>
      </c>
      <c r="C621" s="1" t="s">
        <v>12</v>
      </c>
      <c r="D621" s="1" t="s">
        <v>444</v>
      </c>
      <c r="E621" s="11" t="s">
        <v>144</v>
      </c>
      <c r="F621" s="3" t="s">
        <v>8</v>
      </c>
      <c r="G621" s="66" t="s">
        <v>64</v>
      </c>
      <c r="H621" s="8"/>
      <c r="I621" s="8"/>
      <c r="J621" s="6" t="s">
        <v>76</v>
      </c>
      <c r="K621" s="38">
        <v>0</v>
      </c>
      <c r="L621" s="4" t="s">
        <v>29</v>
      </c>
      <c r="M621" s="11">
        <f>_xlfn.NUMBERVALUE(LEFT(Table613612[[#This Row],[Fiscal Year]], 4))</f>
        <v>2015</v>
      </c>
      <c r="N621" s="43">
        <f t="shared" si="15"/>
        <v>0</v>
      </c>
      <c r="O621" s="3">
        <v>619</v>
      </c>
    </row>
    <row r="622" spans="1:15" x14ac:dyDescent="0.25">
      <c r="A622" s="3">
        <v>4</v>
      </c>
      <c r="B622" s="3" t="s">
        <v>163</v>
      </c>
      <c r="C622" s="1" t="s">
        <v>12</v>
      </c>
      <c r="D622" s="1" t="s">
        <v>444</v>
      </c>
      <c r="E622" s="11" t="s">
        <v>144</v>
      </c>
      <c r="F622" s="3" t="s">
        <v>8</v>
      </c>
      <c r="G622" s="66" t="s">
        <v>65</v>
      </c>
      <c r="H622" s="8"/>
      <c r="I622" s="8"/>
      <c r="J622" s="6" t="s">
        <v>76</v>
      </c>
      <c r="K622" s="38">
        <v>249056</v>
      </c>
      <c r="L622" s="4" t="s">
        <v>29</v>
      </c>
      <c r="M622" s="11">
        <f>_xlfn.NUMBERVALUE(LEFT(Table613612[[#This Row],[Fiscal Year]], 4))</f>
        <v>2015</v>
      </c>
      <c r="N622" s="42">
        <f>K622*(1+VLOOKUP(M622,$AF$8:$AH$31,3,0))</f>
        <v>264431.26724050631</v>
      </c>
      <c r="O622" s="3">
        <v>620</v>
      </c>
    </row>
    <row r="623" spans="1:15" x14ac:dyDescent="0.25">
      <c r="A623" s="3">
        <v>4</v>
      </c>
      <c r="B623" s="3" t="s">
        <v>163</v>
      </c>
      <c r="C623" s="1" t="s">
        <v>12</v>
      </c>
      <c r="D623" s="1" t="s">
        <v>444</v>
      </c>
      <c r="E623" s="11" t="s">
        <v>144</v>
      </c>
      <c r="F623" s="3" t="s">
        <v>8</v>
      </c>
      <c r="G623" s="66" t="s">
        <v>66</v>
      </c>
      <c r="H623" s="8"/>
      <c r="I623" s="8"/>
      <c r="J623" s="6" t="s">
        <v>76</v>
      </c>
      <c r="K623" s="38">
        <v>0</v>
      </c>
      <c r="L623" s="4" t="s">
        <v>29</v>
      </c>
      <c r="M623" s="11">
        <f>_xlfn.NUMBERVALUE(LEFT(Table613612[[#This Row],[Fiscal Year]], 4))</f>
        <v>2015</v>
      </c>
      <c r="N623" s="43">
        <f t="shared" si="15"/>
        <v>0</v>
      </c>
      <c r="O623" s="3">
        <v>621</v>
      </c>
    </row>
    <row r="624" spans="1:15" x14ac:dyDescent="0.25">
      <c r="A624" s="3">
        <v>4</v>
      </c>
      <c r="B624" s="3" t="s">
        <v>163</v>
      </c>
      <c r="C624" s="1" t="s">
        <v>12</v>
      </c>
      <c r="D624" s="1" t="s">
        <v>444</v>
      </c>
      <c r="E624" s="11" t="s">
        <v>144</v>
      </c>
      <c r="F624" s="3" t="s">
        <v>8</v>
      </c>
      <c r="G624" s="66" t="s">
        <v>33</v>
      </c>
      <c r="H624" s="8"/>
      <c r="I624" s="8"/>
      <c r="J624" s="6" t="s">
        <v>47</v>
      </c>
      <c r="K624" s="38">
        <v>0</v>
      </c>
      <c r="L624" s="4" t="s">
        <v>29</v>
      </c>
      <c r="M624" s="11">
        <f>_xlfn.NUMBERVALUE(LEFT(Table613612[[#This Row],[Fiscal Year]], 4))</f>
        <v>2015</v>
      </c>
      <c r="N624" s="43">
        <f t="shared" si="15"/>
        <v>0</v>
      </c>
      <c r="O624" s="3">
        <v>622</v>
      </c>
    </row>
    <row r="625" spans="1:15" x14ac:dyDescent="0.25">
      <c r="A625" s="3">
        <v>4</v>
      </c>
      <c r="B625" s="3" t="s">
        <v>163</v>
      </c>
      <c r="C625" s="1" t="s">
        <v>12</v>
      </c>
      <c r="D625" s="1" t="s">
        <v>444</v>
      </c>
      <c r="E625" s="11" t="s">
        <v>144</v>
      </c>
      <c r="F625" s="3" t="s">
        <v>8</v>
      </c>
      <c r="G625" s="48" t="s">
        <v>67</v>
      </c>
      <c r="H625" s="8"/>
      <c r="I625" s="8"/>
      <c r="J625" s="6" t="s">
        <v>455</v>
      </c>
      <c r="K625" s="38">
        <v>2200</v>
      </c>
      <c r="L625" s="4" t="s">
        <v>29</v>
      </c>
      <c r="M625" s="11">
        <f>_xlfn.NUMBERVALUE(LEFT(Table613612[[#This Row],[Fiscal Year]], 4))</f>
        <v>2015</v>
      </c>
      <c r="N625" s="42">
        <f t="shared" si="15"/>
        <v>2335.8151898734177</v>
      </c>
      <c r="O625" s="3">
        <v>623</v>
      </c>
    </row>
    <row r="626" spans="1:15" x14ac:dyDescent="0.25">
      <c r="C626" s="1"/>
      <c r="D626" s="1"/>
      <c r="E626" s="11"/>
      <c r="G626" s="66"/>
      <c r="H626" s="8"/>
      <c r="I626" s="8"/>
      <c r="J626" s="6"/>
      <c r="L626" s="4"/>
      <c r="O626" s="3">
        <v>624</v>
      </c>
    </row>
    <row r="627" spans="1:15" x14ac:dyDescent="0.25">
      <c r="A627" s="3">
        <v>4</v>
      </c>
      <c r="B627" s="3" t="s">
        <v>212</v>
      </c>
      <c r="C627" s="1" t="s">
        <v>12</v>
      </c>
      <c r="D627" s="1" t="s">
        <v>444</v>
      </c>
      <c r="E627" s="11" t="s">
        <v>144</v>
      </c>
      <c r="F627" s="3" t="s">
        <v>8</v>
      </c>
      <c r="G627" s="48" t="s">
        <v>32</v>
      </c>
      <c r="H627" s="8"/>
      <c r="I627" s="8"/>
      <c r="J627" s="6" t="s">
        <v>110</v>
      </c>
      <c r="K627" s="38">
        <v>5650</v>
      </c>
      <c r="L627" s="4" t="s">
        <v>29</v>
      </c>
      <c r="M627" s="11">
        <f>_xlfn.NUMBERVALUE(LEFT(Table613612[[#This Row],[Fiscal Year]], 4))</f>
        <v>2015</v>
      </c>
      <c r="N627" s="42">
        <f t="shared" si="15"/>
        <v>5998.7981012658229</v>
      </c>
      <c r="O627" s="3">
        <v>625</v>
      </c>
    </row>
    <row r="628" spans="1:15" x14ac:dyDescent="0.25">
      <c r="A628" s="3">
        <v>4</v>
      </c>
      <c r="B628" s="3" t="s">
        <v>212</v>
      </c>
      <c r="C628" s="1" t="s">
        <v>12</v>
      </c>
      <c r="D628" s="1" t="s">
        <v>444</v>
      </c>
      <c r="E628" s="11" t="s">
        <v>144</v>
      </c>
      <c r="F628" s="3" t="s">
        <v>8</v>
      </c>
      <c r="G628" s="66" t="s">
        <v>58</v>
      </c>
      <c r="H628" s="8"/>
      <c r="I628" s="8"/>
      <c r="J628" s="6" t="s">
        <v>453</v>
      </c>
      <c r="K628" s="38">
        <v>1550</v>
      </c>
      <c r="L628" s="4" t="s">
        <v>29</v>
      </c>
      <c r="M628" s="11">
        <f>_xlfn.NUMBERVALUE(LEFT(Table613612[[#This Row],[Fiscal Year]], 4))</f>
        <v>2015</v>
      </c>
      <c r="N628" s="42">
        <f t="shared" si="15"/>
        <v>1645.6879746835441</v>
      </c>
      <c r="O628" s="3">
        <v>626</v>
      </c>
    </row>
    <row r="629" spans="1:15" x14ac:dyDescent="0.25">
      <c r="A629" s="3">
        <v>4</v>
      </c>
      <c r="B629" s="3" t="s">
        <v>212</v>
      </c>
      <c r="C629" s="1" t="s">
        <v>12</v>
      </c>
      <c r="D629" s="1" t="s">
        <v>444</v>
      </c>
      <c r="E629" s="11" t="s">
        <v>144</v>
      </c>
      <c r="F629" s="3" t="s">
        <v>8</v>
      </c>
      <c r="G629" s="66" t="s">
        <v>208</v>
      </c>
      <c r="H629" s="8"/>
      <c r="I629" s="8"/>
      <c r="J629" s="6" t="s">
        <v>109</v>
      </c>
      <c r="K629" s="38">
        <v>22950</v>
      </c>
      <c r="L629" s="4" t="s">
        <v>29</v>
      </c>
      <c r="M629" s="11">
        <f>_xlfn.NUMBERVALUE(LEFT(Table613612[[#This Row],[Fiscal Year]], 4))</f>
        <v>2015</v>
      </c>
      <c r="N629" s="42">
        <f t="shared" si="15"/>
        <v>24366.799367088606</v>
      </c>
      <c r="O629" s="3">
        <v>627</v>
      </c>
    </row>
    <row r="630" spans="1:15" x14ac:dyDescent="0.25">
      <c r="A630" s="3">
        <v>4</v>
      </c>
      <c r="B630" s="3" t="s">
        <v>212</v>
      </c>
      <c r="C630" s="1" t="s">
        <v>12</v>
      </c>
      <c r="D630" s="1" t="s">
        <v>444</v>
      </c>
      <c r="E630" s="11" t="s">
        <v>144</v>
      </c>
      <c r="F630" s="3" t="s">
        <v>8</v>
      </c>
      <c r="G630" s="48" t="s">
        <v>59</v>
      </c>
      <c r="H630" s="8"/>
      <c r="I630" s="8"/>
      <c r="J630" s="6" t="s">
        <v>111</v>
      </c>
      <c r="K630" s="38">
        <v>21100</v>
      </c>
      <c r="L630" s="4" t="s">
        <v>29</v>
      </c>
      <c r="M630" s="11">
        <f>_xlfn.NUMBERVALUE(LEFT(Table613612[[#This Row],[Fiscal Year]], 4))</f>
        <v>2015</v>
      </c>
      <c r="N630" s="42">
        <f t="shared" si="15"/>
        <v>22402.591139240503</v>
      </c>
      <c r="O630" s="3">
        <v>628</v>
      </c>
    </row>
    <row r="631" spans="1:15" x14ac:dyDescent="0.25">
      <c r="A631" s="3">
        <v>4</v>
      </c>
      <c r="B631" s="3" t="s">
        <v>212</v>
      </c>
      <c r="C631" s="1" t="s">
        <v>12</v>
      </c>
      <c r="D631" s="1" t="s">
        <v>444</v>
      </c>
      <c r="E631" s="11" t="s">
        <v>144</v>
      </c>
      <c r="F631" s="3" t="s">
        <v>8</v>
      </c>
      <c r="G631" s="66" t="s">
        <v>60</v>
      </c>
      <c r="H631" s="8"/>
      <c r="I631" s="8"/>
      <c r="J631" s="6" t="s">
        <v>111</v>
      </c>
      <c r="K631" s="38">
        <v>5100</v>
      </c>
      <c r="L631" s="4" t="s">
        <v>29</v>
      </c>
      <c r="M631" s="11">
        <f>_xlfn.NUMBERVALUE(LEFT(Table613612[[#This Row],[Fiscal Year]], 4))</f>
        <v>2015</v>
      </c>
      <c r="N631" s="42">
        <f t="shared" si="15"/>
        <v>5414.8443037974685</v>
      </c>
      <c r="O631" s="3">
        <v>629</v>
      </c>
    </row>
    <row r="632" spans="1:15" x14ac:dyDescent="0.25">
      <c r="A632" s="3">
        <v>4</v>
      </c>
      <c r="B632" s="3" t="s">
        <v>212</v>
      </c>
      <c r="C632" s="1" t="s">
        <v>12</v>
      </c>
      <c r="D632" s="1" t="s">
        <v>444</v>
      </c>
      <c r="E632" s="11" t="s">
        <v>144</v>
      </c>
      <c r="F632" s="3" t="s">
        <v>8</v>
      </c>
      <c r="G632" s="48" t="s">
        <v>61</v>
      </c>
      <c r="H632" s="8"/>
      <c r="I632" s="8"/>
      <c r="J632" s="6" t="s">
        <v>108</v>
      </c>
      <c r="K632" s="38">
        <v>155000</v>
      </c>
      <c r="L632" s="4" t="s">
        <v>29</v>
      </c>
      <c r="M632" s="11">
        <f>_xlfn.NUMBERVALUE(LEFT(Table613612[[#This Row],[Fiscal Year]], 4))</f>
        <v>2015</v>
      </c>
      <c r="N632" s="42">
        <f t="shared" si="15"/>
        <v>164568.79746835443</v>
      </c>
      <c r="O632" s="3">
        <v>630</v>
      </c>
    </row>
    <row r="633" spans="1:15" x14ac:dyDescent="0.25">
      <c r="A633" s="3">
        <v>4</v>
      </c>
      <c r="B633" s="3" t="s">
        <v>212</v>
      </c>
      <c r="C633" s="1" t="s">
        <v>12</v>
      </c>
      <c r="D633" s="1" t="s">
        <v>444</v>
      </c>
      <c r="E633" s="11" t="s">
        <v>144</v>
      </c>
      <c r="F633" s="3" t="s">
        <v>8</v>
      </c>
      <c r="G633" s="66" t="s">
        <v>62</v>
      </c>
      <c r="H633" s="8"/>
      <c r="I633" s="8"/>
      <c r="J633" s="6" t="s">
        <v>106</v>
      </c>
      <c r="K633" s="38">
        <v>2500</v>
      </c>
      <c r="L633" s="4" t="s">
        <v>29</v>
      </c>
      <c r="M633" s="11">
        <f>_xlfn.NUMBERVALUE(LEFT(Table613612[[#This Row],[Fiscal Year]], 4))</f>
        <v>2015</v>
      </c>
      <c r="N633" s="42">
        <f t="shared" si="15"/>
        <v>2654.3354430379745</v>
      </c>
      <c r="O633" s="3">
        <v>631</v>
      </c>
    </row>
    <row r="634" spans="1:15" x14ac:dyDescent="0.25">
      <c r="A634" s="3">
        <v>4</v>
      </c>
      <c r="B634" s="3" t="s">
        <v>212</v>
      </c>
      <c r="C634" s="1" t="s">
        <v>12</v>
      </c>
      <c r="D634" s="1" t="s">
        <v>444</v>
      </c>
      <c r="E634" s="11" t="s">
        <v>144</v>
      </c>
      <c r="F634" s="3" t="s">
        <v>8</v>
      </c>
      <c r="G634" s="66" t="s">
        <v>211</v>
      </c>
      <c r="H634" s="8"/>
      <c r="I634" s="8"/>
      <c r="J634" s="6" t="s">
        <v>455</v>
      </c>
      <c r="K634" s="38" t="s">
        <v>827</v>
      </c>
      <c r="L634" s="4" t="s">
        <v>29</v>
      </c>
      <c r="M634" s="11">
        <f>_xlfn.NUMBERVALUE(LEFT(Table613612[[#This Row],[Fiscal Year]], 4))</f>
        <v>2015</v>
      </c>
      <c r="O634" s="3">
        <v>632</v>
      </c>
    </row>
    <row r="635" spans="1:15" x14ac:dyDescent="0.25">
      <c r="A635" s="3">
        <v>4</v>
      </c>
      <c r="B635" s="3" t="s">
        <v>212</v>
      </c>
      <c r="C635" s="1" t="s">
        <v>12</v>
      </c>
      <c r="D635" s="1" t="s">
        <v>444</v>
      </c>
      <c r="E635" s="11" t="s">
        <v>144</v>
      </c>
      <c r="F635" s="3" t="s">
        <v>8</v>
      </c>
      <c r="G635" s="66" t="s">
        <v>64</v>
      </c>
      <c r="H635" s="8"/>
      <c r="I635" s="8"/>
      <c r="J635" s="6" t="s">
        <v>76</v>
      </c>
      <c r="K635" s="38">
        <v>3003000</v>
      </c>
      <c r="L635" s="4" t="s">
        <v>29</v>
      </c>
      <c r="M635" s="11">
        <f>_xlfn.NUMBERVALUE(LEFT(Table613612[[#This Row],[Fiscal Year]], 4))</f>
        <v>2015</v>
      </c>
      <c r="N635" s="42">
        <f t="shared" si="15"/>
        <v>3188387.734177215</v>
      </c>
      <c r="O635" s="3">
        <v>633</v>
      </c>
    </row>
    <row r="636" spans="1:15" x14ac:dyDescent="0.25">
      <c r="A636" s="3">
        <v>4</v>
      </c>
      <c r="B636" s="3" t="s">
        <v>212</v>
      </c>
      <c r="C636" s="1" t="s">
        <v>12</v>
      </c>
      <c r="D636" s="1" t="s">
        <v>444</v>
      </c>
      <c r="E636" s="11" t="s">
        <v>144</v>
      </c>
      <c r="F636" s="3" t="s">
        <v>8</v>
      </c>
      <c r="G636" s="66" t="s">
        <v>65</v>
      </c>
      <c r="H636" s="8"/>
      <c r="I636" s="8"/>
      <c r="J636" s="6" t="s">
        <v>76</v>
      </c>
      <c r="K636" s="38">
        <v>20000</v>
      </c>
      <c r="L636" s="4" t="s">
        <v>29</v>
      </c>
      <c r="M636" s="11">
        <f>_xlfn.NUMBERVALUE(LEFT(Table613612[[#This Row],[Fiscal Year]], 4))</f>
        <v>2015</v>
      </c>
      <c r="N636" s="42">
        <f t="shared" si="15"/>
        <v>21234.683544303796</v>
      </c>
      <c r="O636" s="3">
        <v>634</v>
      </c>
    </row>
    <row r="637" spans="1:15" x14ac:dyDescent="0.25">
      <c r="A637" s="3">
        <v>4</v>
      </c>
      <c r="B637" s="3" t="s">
        <v>212</v>
      </c>
      <c r="C637" s="1" t="s">
        <v>12</v>
      </c>
      <c r="D637" s="1" t="s">
        <v>444</v>
      </c>
      <c r="E637" s="11" t="s">
        <v>144</v>
      </c>
      <c r="F637" s="3" t="s">
        <v>8</v>
      </c>
      <c r="G637" s="66" t="s">
        <v>66</v>
      </c>
      <c r="H637" s="8"/>
      <c r="I637" s="8"/>
      <c r="J637" s="6" t="s">
        <v>76</v>
      </c>
      <c r="K637" s="38" t="s">
        <v>827</v>
      </c>
      <c r="L637" s="4" t="s">
        <v>29</v>
      </c>
      <c r="M637" s="11">
        <f>_xlfn.NUMBERVALUE(LEFT(Table613612[[#This Row],[Fiscal Year]], 4))</f>
        <v>2015</v>
      </c>
      <c r="O637" s="3">
        <v>635</v>
      </c>
    </row>
    <row r="638" spans="1:15" x14ac:dyDescent="0.25">
      <c r="A638" s="3">
        <v>4</v>
      </c>
      <c r="B638" s="3" t="s">
        <v>212</v>
      </c>
      <c r="C638" s="1" t="s">
        <v>12</v>
      </c>
      <c r="D638" s="1" t="s">
        <v>444</v>
      </c>
      <c r="E638" s="11" t="s">
        <v>144</v>
      </c>
      <c r="F638" s="3" t="s">
        <v>8</v>
      </c>
      <c r="G638" s="66" t="s">
        <v>33</v>
      </c>
      <c r="H638" s="8"/>
      <c r="I638" s="8"/>
      <c r="J638" s="6" t="s">
        <v>47</v>
      </c>
      <c r="K638" s="38">
        <v>153250</v>
      </c>
      <c r="L638" s="4" t="s">
        <v>29</v>
      </c>
      <c r="M638" s="11">
        <f>_xlfn.NUMBERVALUE(LEFT(Table613612[[#This Row],[Fiscal Year]], 4))</f>
        <v>2015</v>
      </c>
      <c r="N638" s="42">
        <f t="shared" si="15"/>
        <v>162710.76265822785</v>
      </c>
      <c r="O638" s="3">
        <v>636</v>
      </c>
    </row>
    <row r="639" spans="1:15" x14ac:dyDescent="0.25">
      <c r="A639" s="3">
        <v>4</v>
      </c>
      <c r="B639" s="3" t="s">
        <v>212</v>
      </c>
      <c r="C639" s="1" t="s">
        <v>12</v>
      </c>
      <c r="D639" s="1" t="s">
        <v>444</v>
      </c>
      <c r="E639" s="11" t="s">
        <v>144</v>
      </c>
      <c r="F639" s="3" t="s">
        <v>8</v>
      </c>
      <c r="G639" s="66" t="s">
        <v>67</v>
      </c>
      <c r="H639" s="8"/>
      <c r="I639" s="8"/>
      <c r="J639" s="6" t="s">
        <v>455</v>
      </c>
      <c r="K639" s="38">
        <v>130000</v>
      </c>
      <c r="L639" s="4" t="s">
        <v>29</v>
      </c>
      <c r="M639" s="11">
        <f>_xlfn.NUMBERVALUE(LEFT(Table613612[[#This Row],[Fiscal Year]], 4))</f>
        <v>2015</v>
      </c>
      <c r="N639" s="42">
        <f t="shared" si="15"/>
        <v>138025.44303797468</v>
      </c>
      <c r="O639" s="3">
        <v>637</v>
      </c>
    </row>
    <row r="640" spans="1:15" x14ac:dyDescent="0.25">
      <c r="C640" s="1"/>
      <c r="D640" s="1"/>
      <c r="E640" s="11"/>
      <c r="G640" s="66"/>
      <c r="H640" s="8"/>
      <c r="I640" s="8"/>
      <c r="J640" s="6"/>
      <c r="L640" s="4"/>
      <c r="O640" s="3">
        <v>638</v>
      </c>
    </row>
    <row r="641" spans="1:15" x14ac:dyDescent="0.25">
      <c r="A641" s="3">
        <v>4</v>
      </c>
      <c r="B641" s="3" t="s">
        <v>164</v>
      </c>
      <c r="C641" s="1" t="s">
        <v>12</v>
      </c>
      <c r="D641" s="1" t="s">
        <v>444</v>
      </c>
      <c r="E641" s="11" t="s">
        <v>144</v>
      </c>
      <c r="F641" s="3" t="s">
        <v>8</v>
      </c>
      <c r="G641" s="48" t="s">
        <v>32</v>
      </c>
      <c r="H641" s="8"/>
      <c r="I641" s="8"/>
      <c r="J641" s="6" t="s">
        <v>110</v>
      </c>
      <c r="K641" s="38">
        <v>55000</v>
      </c>
      <c r="L641" s="4" t="s">
        <v>29</v>
      </c>
      <c r="M641" s="11">
        <f>_xlfn.NUMBERVALUE(LEFT(Table613612[[#This Row],[Fiscal Year]], 4))</f>
        <v>2015</v>
      </c>
      <c r="N641" s="42">
        <f t="shared" si="15"/>
        <v>58395.379746835439</v>
      </c>
      <c r="O641" s="3">
        <v>639</v>
      </c>
    </row>
    <row r="642" spans="1:15" x14ac:dyDescent="0.25">
      <c r="A642" s="3">
        <v>4</v>
      </c>
      <c r="B642" s="3" t="s">
        <v>164</v>
      </c>
      <c r="C642" s="1" t="s">
        <v>12</v>
      </c>
      <c r="D642" s="1" t="s">
        <v>444</v>
      </c>
      <c r="E642" s="11" t="s">
        <v>144</v>
      </c>
      <c r="F642" s="3" t="s">
        <v>8</v>
      </c>
      <c r="G642" s="66" t="s">
        <v>58</v>
      </c>
      <c r="H642" s="8"/>
      <c r="I642" s="8"/>
      <c r="J642" s="6" t="s">
        <v>453</v>
      </c>
      <c r="K642" s="38">
        <v>6500</v>
      </c>
      <c r="L642" s="4" t="s">
        <v>29</v>
      </c>
      <c r="M642" s="11">
        <f>_xlfn.NUMBERVALUE(LEFT(Table613612[[#This Row],[Fiscal Year]], 4))</f>
        <v>2015</v>
      </c>
      <c r="N642" s="42">
        <f t="shared" si="15"/>
        <v>6901.2721518987337</v>
      </c>
      <c r="O642" s="3">
        <v>640</v>
      </c>
    </row>
    <row r="643" spans="1:15" x14ac:dyDescent="0.25">
      <c r="A643" s="3">
        <v>4</v>
      </c>
      <c r="B643" s="3" t="s">
        <v>164</v>
      </c>
      <c r="C643" s="1" t="s">
        <v>12</v>
      </c>
      <c r="D643" s="1" t="s">
        <v>444</v>
      </c>
      <c r="E643" s="11" t="s">
        <v>144</v>
      </c>
      <c r="F643" s="3" t="s">
        <v>8</v>
      </c>
      <c r="G643" s="66" t="s">
        <v>208</v>
      </c>
      <c r="H643" s="8"/>
      <c r="I643" s="8"/>
      <c r="J643" s="6" t="s">
        <v>109</v>
      </c>
      <c r="K643" s="38">
        <v>30000</v>
      </c>
      <c r="L643" s="4" t="s">
        <v>29</v>
      </c>
      <c r="M643" s="11">
        <f>_xlfn.NUMBERVALUE(LEFT(Table613612[[#This Row],[Fiscal Year]], 4))</f>
        <v>2015</v>
      </c>
      <c r="N643" s="42">
        <f t="shared" si="15"/>
        <v>31852.025316455696</v>
      </c>
      <c r="O643" s="3">
        <v>641</v>
      </c>
    </row>
    <row r="644" spans="1:15" x14ac:dyDescent="0.25">
      <c r="A644" s="3">
        <v>4</v>
      </c>
      <c r="B644" s="3" t="s">
        <v>164</v>
      </c>
      <c r="C644" s="1" t="s">
        <v>12</v>
      </c>
      <c r="D644" s="1" t="s">
        <v>444</v>
      </c>
      <c r="E644" s="11" t="s">
        <v>144</v>
      </c>
      <c r="F644" s="3" t="s">
        <v>8</v>
      </c>
      <c r="G644" s="48" t="s">
        <v>59</v>
      </c>
      <c r="H644" s="8"/>
      <c r="I644" s="8"/>
      <c r="J644" s="6" t="s">
        <v>111</v>
      </c>
      <c r="K644" s="38">
        <v>10000</v>
      </c>
      <c r="L644" s="4" t="s">
        <v>29</v>
      </c>
      <c r="M644" s="11">
        <f>_xlfn.NUMBERVALUE(LEFT(Table613612[[#This Row],[Fiscal Year]], 4))</f>
        <v>2015</v>
      </c>
      <c r="N644" s="42">
        <f t="shared" si="15"/>
        <v>10617.341772151898</v>
      </c>
      <c r="O644" s="3">
        <v>642</v>
      </c>
    </row>
    <row r="645" spans="1:15" x14ac:dyDescent="0.25">
      <c r="A645" s="3">
        <v>4</v>
      </c>
      <c r="B645" s="3" t="s">
        <v>164</v>
      </c>
      <c r="C645" s="1" t="s">
        <v>12</v>
      </c>
      <c r="D645" s="1" t="s">
        <v>444</v>
      </c>
      <c r="E645" s="11" t="s">
        <v>144</v>
      </c>
      <c r="F645" s="3" t="s">
        <v>8</v>
      </c>
      <c r="G645" s="66" t="s">
        <v>60</v>
      </c>
      <c r="H645" s="8"/>
      <c r="I645" s="8"/>
      <c r="J645" s="6" t="s">
        <v>111</v>
      </c>
      <c r="K645" s="38">
        <v>3500</v>
      </c>
      <c r="L645" s="4" t="s">
        <v>29</v>
      </c>
      <c r="M645" s="11">
        <f>_xlfn.NUMBERVALUE(LEFT(Table613612[[#This Row],[Fiscal Year]], 4))</f>
        <v>2015</v>
      </c>
      <c r="N645" s="42">
        <f t="shared" si="15"/>
        <v>3716.0696202531644</v>
      </c>
      <c r="O645" s="3">
        <v>643</v>
      </c>
    </row>
    <row r="646" spans="1:15" x14ac:dyDescent="0.25">
      <c r="A646" s="3">
        <v>4</v>
      </c>
      <c r="B646" s="3" t="s">
        <v>164</v>
      </c>
      <c r="C646" s="1" t="s">
        <v>12</v>
      </c>
      <c r="D646" s="1" t="s">
        <v>444</v>
      </c>
      <c r="E646" s="11" t="s">
        <v>144</v>
      </c>
      <c r="F646" s="3" t="s">
        <v>8</v>
      </c>
      <c r="G646" s="48" t="s">
        <v>61</v>
      </c>
      <c r="H646" s="8"/>
      <c r="I646" s="8"/>
      <c r="J646" s="6" t="s">
        <v>108</v>
      </c>
      <c r="K646" s="38">
        <v>295500</v>
      </c>
      <c r="L646" s="4" t="s">
        <v>29</v>
      </c>
      <c r="M646" s="11">
        <f>_xlfn.NUMBERVALUE(LEFT(Table613612[[#This Row],[Fiscal Year]], 4))</f>
        <v>2015</v>
      </c>
      <c r="N646" s="42">
        <f t="shared" si="15"/>
        <v>313742.44936708861</v>
      </c>
      <c r="O646" s="3">
        <v>644</v>
      </c>
    </row>
    <row r="647" spans="1:15" x14ac:dyDescent="0.25">
      <c r="A647" s="3">
        <v>4</v>
      </c>
      <c r="B647" s="3" t="s">
        <v>164</v>
      </c>
      <c r="C647" s="1" t="s">
        <v>12</v>
      </c>
      <c r="D647" s="1" t="s">
        <v>444</v>
      </c>
      <c r="E647" s="11" t="s">
        <v>144</v>
      </c>
      <c r="F647" s="3" t="s">
        <v>8</v>
      </c>
      <c r="G647" s="66" t="s">
        <v>62</v>
      </c>
      <c r="H647" s="8"/>
      <c r="I647" s="8"/>
      <c r="J647" s="6" t="s">
        <v>106</v>
      </c>
      <c r="K647" s="38">
        <v>4000</v>
      </c>
      <c r="L647" s="4" t="s">
        <v>29</v>
      </c>
      <c r="M647" s="11">
        <f>_xlfn.NUMBERVALUE(LEFT(Table613612[[#This Row],[Fiscal Year]], 4))</f>
        <v>2015</v>
      </c>
      <c r="N647" s="42">
        <f t="shared" si="15"/>
        <v>4246.9367088607596</v>
      </c>
      <c r="O647" s="3">
        <v>645</v>
      </c>
    </row>
    <row r="648" spans="1:15" x14ac:dyDescent="0.25">
      <c r="A648" s="3">
        <v>4</v>
      </c>
      <c r="B648" s="3" t="s">
        <v>164</v>
      </c>
      <c r="C648" s="1" t="s">
        <v>12</v>
      </c>
      <c r="D648" s="1" t="s">
        <v>444</v>
      </c>
      <c r="E648" s="11" t="s">
        <v>144</v>
      </c>
      <c r="F648" s="3" t="s">
        <v>8</v>
      </c>
      <c r="G648" s="66" t="s">
        <v>211</v>
      </c>
      <c r="H648" s="8"/>
      <c r="I648" s="8"/>
      <c r="J648" s="6" t="s">
        <v>455</v>
      </c>
      <c r="K648" s="38" t="s">
        <v>827</v>
      </c>
      <c r="L648" s="4" t="s">
        <v>29</v>
      </c>
      <c r="M648" s="11">
        <f>_xlfn.NUMBERVALUE(LEFT(Table613612[[#This Row],[Fiscal Year]], 4))</f>
        <v>2015</v>
      </c>
      <c r="O648" s="3">
        <v>646</v>
      </c>
    </row>
    <row r="649" spans="1:15" x14ac:dyDescent="0.25">
      <c r="A649" s="3">
        <v>4</v>
      </c>
      <c r="B649" s="3" t="s">
        <v>164</v>
      </c>
      <c r="C649" s="1" t="s">
        <v>12</v>
      </c>
      <c r="D649" s="1" t="s">
        <v>444</v>
      </c>
      <c r="E649" s="11" t="s">
        <v>144</v>
      </c>
      <c r="F649" s="3" t="s">
        <v>8</v>
      </c>
      <c r="G649" s="66" t="s">
        <v>64</v>
      </c>
      <c r="H649" s="8"/>
      <c r="I649" s="8"/>
      <c r="J649" s="6" t="s">
        <v>76</v>
      </c>
      <c r="K649" s="38" t="s">
        <v>827</v>
      </c>
      <c r="L649" s="4" t="s">
        <v>29</v>
      </c>
      <c r="M649" s="11">
        <f>_xlfn.NUMBERVALUE(LEFT(Table613612[[#This Row],[Fiscal Year]], 4))</f>
        <v>2015</v>
      </c>
      <c r="O649" s="3">
        <v>647</v>
      </c>
    </row>
    <row r="650" spans="1:15" x14ac:dyDescent="0.25">
      <c r="A650" s="3">
        <v>4</v>
      </c>
      <c r="B650" s="3" t="s">
        <v>164</v>
      </c>
      <c r="C650" s="1" t="s">
        <v>12</v>
      </c>
      <c r="D650" s="1" t="s">
        <v>444</v>
      </c>
      <c r="E650" s="11" t="s">
        <v>144</v>
      </c>
      <c r="F650" s="3" t="s">
        <v>8</v>
      </c>
      <c r="G650" s="66" t="s">
        <v>65</v>
      </c>
      <c r="H650" s="8"/>
      <c r="I650" s="8"/>
      <c r="J650" s="6" t="s">
        <v>76</v>
      </c>
      <c r="K650" s="38" t="s">
        <v>827</v>
      </c>
      <c r="L650" s="4" t="s">
        <v>29</v>
      </c>
      <c r="M650" s="11">
        <f>_xlfn.NUMBERVALUE(LEFT(Table613612[[#This Row],[Fiscal Year]], 4))</f>
        <v>2015</v>
      </c>
      <c r="O650" s="3">
        <v>648</v>
      </c>
    </row>
    <row r="651" spans="1:15" x14ac:dyDescent="0.25">
      <c r="A651" s="3">
        <v>4</v>
      </c>
      <c r="B651" s="3" t="s">
        <v>164</v>
      </c>
      <c r="C651" s="1" t="s">
        <v>12</v>
      </c>
      <c r="D651" s="1" t="s">
        <v>444</v>
      </c>
      <c r="E651" s="11" t="s">
        <v>144</v>
      </c>
      <c r="F651" s="3" t="s">
        <v>8</v>
      </c>
      <c r="G651" s="66" t="s">
        <v>66</v>
      </c>
      <c r="H651" s="8"/>
      <c r="I651" s="8"/>
      <c r="J651" s="6" t="s">
        <v>76</v>
      </c>
      <c r="K651" s="38" t="s">
        <v>827</v>
      </c>
      <c r="L651" s="4" t="s">
        <v>29</v>
      </c>
      <c r="M651" s="11">
        <f>_xlfn.NUMBERVALUE(LEFT(Table613612[[#This Row],[Fiscal Year]], 4))</f>
        <v>2015</v>
      </c>
      <c r="O651" s="3">
        <v>649</v>
      </c>
    </row>
    <row r="652" spans="1:15" x14ac:dyDescent="0.25">
      <c r="A652" s="3">
        <v>4</v>
      </c>
      <c r="B652" s="3" t="s">
        <v>164</v>
      </c>
      <c r="C652" s="1" t="s">
        <v>12</v>
      </c>
      <c r="D652" s="1" t="s">
        <v>444</v>
      </c>
      <c r="E652" s="11" t="s">
        <v>144</v>
      </c>
      <c r="F652" s="3" t="s">
        <v>8</v>
      </c>
      <c r="G652" s="66" t="s">
        <v>33</v>
      </c>
      <c r="H652" s="8"/>
      <c r="I652" s="8"/>
      <c r="J652" s="6" t="s">
        <v>47</v>
      </c>
      <c r="K652" s="38">
        <v>35000</v>
      </c>
      <c r="L652" s="4" t="s">
        <v>29</v>
      </c>
      <c r="M652" s="11">
        <f>_xlfn.NUMBERVALUE(LEFT(Table613612[[#This Row],[Fiscal Year]], 4))</f>
        <v>2015</v>
      </c>
      <c r="N652" s="42">
        <f t="shared" ref="N652:N715" si="16">K652*(1+VLOOKUP(M652,$AF$8:$AH$31,3,0))</f>
        <v>37160.696202531646</v>
      </c>
      <c r="O652" s="3">
        <v>650</v>
      </c>
    </row>
    <row r="653" spans="1:15" x14ac:dyDescent="0.25">
      <c r="A653" s="3">
        <v>4</v>
      </c>
      <c r="B653" s="3" t="s">
        <v>164</v>
      </c>
      <c r="C653" s="1" t="s">
        <v>12</v>
      </c>
      <c r="D653" s="1" t="s">
        <v>444</v>
      </c>
      <c r="E653" s="11" t="s">
        <v>144</v>
      </c>
      <c r="F653" s="3" t="s">
        <v>8</v>
      </c>
      <c r="G653" s="66" t="s">
        <v>67</v>
      </c>
      <c r="H653" s="8"/>
      <c r="I653" s="8"/>
      <c r="J653" s="6" t="s">
        <v>455</v>
      </c>
      <c r="K653" s="38">
        <v>110000</v>
      </c>
      <c r="L653" s="4" t="s">
        <v>29</v>
      </c>
      <c r="M653" s="11">
        <f>_xlfn.NUMBERVALUE(LEFT(Table613612[[#This Row],[Fiscal Year]], 4))</f>
        <v>2015</v>
      </c>
      <c r="N653" s="42">
        <f t="shared" si="16"/>
        <v>116790.75949367088</v>
      </c>
      <c r="O653" s="3">
        <v>651</v>
      </c>
    </row>
    <row r="654" spans="1:15" x14ac:dyDescent="0.25">
      <c r="C654" s="1"/>
      <c r="D654" s="1"/>
      <c r="E654" s="11"/>
      <c r="G654" s="66"/>
      <c r="H654" s="8"/>
      <c r="I654" s="8"/>
      <c r="J654" s="6"/>
      <c r="L654" s="4"/>
      <c r="O654" s="3">
        <v>652</v>
      </c>
    </row>
    <row r="655" spans="1:15" x14ac:dyDescent="0.25">
      <c r="A655" s="3">
        <v>4</v>
      </c>
      <c r="B655" s="3" t="s">
        <v>165</v>
      </c>
      <c r="C655" s="1" t="s">
        <v>12</v>
      </c>
      <c r="D655" s="1" t="s">
        <v>444</v>
      </c>
      <c r="E655" s="11" t="s">
        <v>144</v>
      </c>
      <c r="F655" s="3" t="s">
        <v>8</v>
      </c>
      <c r="G655" s="48" t="s">
        <v>32</v>
      </c>
      <c r="H655" s="8"/>
      <c r="I655" s="8"/>
      <c r="J655" s="6" t="s">
        <v>110</v>
      </c>
      <c r="K655" s="38">
        <v>84609</v>
      </c>
      <c r="L655" s="4" t="s">
        <v>29</v>
      </c>
      <c r="M655" s="11">
        <f>_xlfn.NUMBERVALUE(LEFT(Table613612[[#This Row],[Fiscal Year]], 4))</f>
        <v>2015</v>
      </c>
      <c r="N655" s="42">
        <f t="shared" si="16"/>
        <v>89832.266999999993</v>
      </c>
      <c r="O655" s="3">
        <v>653</v>
      </c>
    </row>
    <row r="656" spans="1:15" x14ac:dyDescent="0.25">
      <c r="A656" s="3">
        <v>4</v>
      </c>
      <c r="B656" s="3" t="s">
        <v>165</v>
      </c>
      <c r="C656" s="1" t="s">
        <v>12</v>
      </c>
      <c r="D656" s="1" t="s">
        <v>444</v>
      </c>
      <c r="E656" s="11" t="s">
        <v>144</v>
      </c>
      <c r="F656" s="3" t="s">
        <v>8</v>
      </c>
      <c r="G656" s="66" t="s">
        <v>58</v>
      </c>
      <c r="H656" s="8"/>
      <c r="I656" s="8"/>
      <c r="J656" s="6" t="s">
        <v>453</v>
      </c>
      <c r="K656" s="38">
        <v>11392</v>
      </c>
      <c r="L656" s="4" t="s">
        <v>29</v>
      </c>
      <c r="M656" s="11">
        <f>_xlfn.NUMBERVALUE(LEFT(Table613612[[#This Row],[Fiscal Year]], 4))</f>
        <v>2015</v>
      </c>
      <c r="N656" s="42">
        <f t="shared" si="16"/>
        <v>12095.275746835443</v>
      </c>
      <c r="O656" s="3">
        <v>654</v>
      </c>
    </row>
    <row r="657" spans="1:15" x14ac:dyDescent="0.25">
      <c r="A657" s="3">
        <v>4</v>
      </c>
      <c r="B657" s="3" t="s">
        <v>165</v>
      </c>
      <c r="C657" s="1" t="s">
        <v>12</v>
      </c>
      <c r="D657" s="1" t="s">
        <v>444</v>
      </c>
      <c r="E657" s="11" t="s">
        <v>144</v>
      </c>
      <c r="F657" s="3" t="s">
        <v>8</v>
      </c>
      <c r="G657" s="66" t="s">
        <v>208</v>
      </c>
      <c r="H657" s="8"/>
      <c r="I657" s="8"/>
      <c r="J657" s="6" t="s">
        <v>109</v>
      </c>
      <c r="K657" s="38">
        <v>30000</v>
      </c>
      <c r="L657" s="4" t="s">
        <v>29</v>
      </c>
      <c r="M657" s="11">
        <f>_xlfn.NUMBERVALUE(LEFT(Table613612[[#This Row],[Fiscal Year]], 4))</f>
        <v>2015</v>
      </c>
      <c r="N657" s="42">
        <f t="shared" si="16"/>
        <v>31852.025316455696</v>
      </c>
      <c r="O657" s="3">
        <v>655</v>
      </c>
    </row>
    <row r="658" spans="1:15" x14ac:dyDescent="0.25">
      <c r="A658" s="3">
        <v>4</v>
      </c>
      <c r="B658" s="3" t="s">
        <v>165</v>
      </c>
      <c r="C658" s="1" t="s">
        <v>12</v>
      </c>
      <c r="D658" s="1" t="s">
        <v>444</v>
      </c>
      <c r="E658" s="11" t="s">
        <v>144</v>
      </c>
      <c r="F658" s="3" t="s">
        <v>8</v>
      </c>
      <c r="G658" s="48" t="s">
        <v>59</v>
      </c>
      <c r="H658" s="8"/>
      <c r="I658" s="8"/>
      <c r="J658" s="6" t="s">
        <v>111</v>
      </c>
      <c r="K658" s="38">
        <v>72965</v>
      </c>
      <c r="L658" s="4" t="s">
        <v>29</v>
      </c>
      <c r="M658" s="11">
        <f>_xlfn.NUMBERVALUE(LEFT(Table613612[[#This Row],[Fiscal Year]], 4))</f>
        <v>2015</v>
      </c>
      <c r="N658" s="42">
        <f t="shared" si="16"/>
        <v>77469.434240506322</v>
      </c>
      <c r="O658" s="3">
        <v>656</v>
      </c>
    </row>
    <row r="659" spans="1:15" x14ac:dyDescent="0.25">
      <c r="A659" s="3">
        <v>4</v>
      </c>
      <c r="B659" s="3" t="s">
        <v>165</v>
      </c>
      <c r="C659" s="1" t="s">
        <v>12</v>
      </c>
      <c r="D659" s="1" t="s">
        <v>444</v>
      </c>
      <c r="E659" s="11" t="s">
        <v>144</v>
      </c>
      <c r="F659" s="3" t="s">
        <v>8</v>
      </c>
      <c r="G659" s="66" t="s">
        <v>60</v>
      </c>
      <c r="H659" s="8"/>
      <c r="I659" s="8"/>
      <c r="J659" s="6" t="s">
        <v>111</v>
      </c>
      <c r="K659" s="38">
        <v>200000</v>
      </c>
      <c r="L659" s="4" t="s">
        <v>29</v>
      </c>
      <c r="M659" s="11">
        <f>_xlfn.NUMBERVALUE(LEFT(Table613612[[#This Row],[Fiscal Year]], 4))</f>
        <v>2015</v>
      </c>
      <c r="N659" s="42">
        <f t="shared" si="16"/>
        <v>212346.83544303797</v>
      </c>
      <c r="O659" s="3">
        <v>657</v>
      </c>
    </row>
    <row r="660" spans="1:15" x14ac:dyDescent="0.25">
      <c r="A660" s="3">
        <v>4</v>
      </c>
      <c r="B660" s="3" t="s">
        <v>165</v>
      </c>
      <c r="C660" s="1" t="s">
        <v>12</v>
      </c>
      <c r="D660" s="1" t="s">
        <v>444</v>
      </c>
      <c r="E660" s="11" t="s">
        <v>144</v>
      </c>
      <c r="F660" s="3" t="s">
        <v>8</v>
      </c>
      <c r="G660" s="48" t="s">
        <v>61</v>
      </c>
      <c r="H660" s="8"/>
      <c r="I660" s="8"/>
      <c r="J660" s="6" t="s">
        <v>108</v>
      </c>
      <c r="K660" s="38">
        <v>657268</v>
      </c>
      <c r="L660" s="4" t="s">
        <v>29</v>
      </c>
      <c r="M660" s="11">
        <f>_xlfn.NUMBERVALUE(LEFT(Table613612[[#This Row],[Fiscal Year]], 4))</f>
        <v>2015</v>
      </c>
      <c r="N660" s="42">
        <f t="shared" si="16"/>
        <v>697843.89918987337</v>
      </c>
      <c r="O660" s="3">
        <v>658</v>
      </c>
    </row>
    <row r="661" spans="1:15" x14ac:dyDescent="0.25">
      <c r="A661" s="3">
        <v>4</v>
      </c>
      <c r="B661" s="3" t="s">
        <v>165</v>
      </c>
      <c r="C661" s="1" t="s">
        <v>12</v>
      </c>
      <c r="D661" s="1" t="s">
        <v>444</v>
      </c>
      <c r="E661" s="11" t="s">
        <v>144</v>
      </c>
      <c r="F661" s="3" t="s">
        <v>8</v>
      </c>
      <c r="G661" s="66" t="s">
        <v>62</v>
      </c>
      <c r="H661" s="8"/>
      <c r="I661" s="8"/>
      <c r="J661" s="6" t="s">
        <v>106</v>
      </c>
      <c r="K661" s="38">
        <v>80000</v>
      </c>
      <c r="L661" s="4" t="s">
        <v>29</v>
      </c>
      <c r="M661" s="11">
        <f>_xlfn.NUMBERVALUE(LEFT(Table613612[[#This Row],[Fiscal Year]], 4))</f>
        <v>2015</v>
      </c>
      <c r="N661" s="42">
        <f t="shared" si="16"/>
        <v>84938.734177215185</v>
      </c>
      <c r="O661" s="3">
        <v>659</v>
      </c>
    </row>
    <row r="662" spans="1:15" x14ac:dyDescent="0.25">
      <c r="A662" s="3">
        <v>4</v>
      </c>
      <c r="B662" s="3" t="s">
        <v>165</v>
      </c>
      <c r="C662" s="1" t="s">
        <v>12</v>
      </c>
      <c r="D662" s="1" t="s">
        <v>444</v>
      </c>
      <c r="E662" s="11" t="s">
        <v>144</v>
      </c>
      <c r="F662" s="3" t="s">
        <v>8</v>
      </c>
      <c r="G662" s="66" t="s">
        <v>211</v>
      </c>
      <c r="H662" s="8"/>
      <c r="I662" s="8"/>
      <c r="J662" s="6" t="s">
        <v>455</v>
      </c>
      <c r="K662" s="38">
        <v>2974</v>
      </c>
      <c r="L662" s="4" t="s">
        <v>29</v>
      </c>
      <c r="M662" s="11">
        <f>_xlfn.NUMBERVALUE(LEFT(Table613612[[#This Row],[Fiscal Year]], 4))</f>
        <v>2015</v>
      </c>
      <c r="N662" s="42">
        <f t="shared" si="16"/>
        <v>3157.5974430379747</v>
      </c>
      <c r="O662" s="3">
        <v>660</v>
      </c>
    </row>
    <row r="663" spans="1:15" x14ac:dyDescent="0.25">
      <c r="A663" s="3">
        <v>4</v>
      </c>
      <c r="B663" s="3" t="s">
        <v>165</v>
      </c>
      <c r="C663" s="1" t="s">
        <v>12</v>
      </c>
      <c r="D663" s="1" t="s">
        <v>444</v>
      </c>
      <c r="E663" s="11" t="s">
        <v>144</v>
      </c>
      <c r="F663" s="3" t="s">
        <v>8</v>
      </c>
      <c r="G663" s="66" t="s">
        <v>64</v>
      </c>
      <c r="H663" s="8"/>
      <c r="I663" s="8"/>
      <c r="J663" s="6" t="s">
        <v>76</v>
      </c>
      <c r="K663" s="38">
        <v>30000</v>
      </c>
      <c r="L663" s="4" t="s">
        <v>29</v>
      </c>
      <c r="M663" s="11">
        <f>_xlfn.NUMBERVALUE(LEFT(Table613612[[#This Row],[Fiscal Year]], 4))</f>
        <v>2015</v>
      </c>
      <c r="N663" s="42">
        <f t="shared" si="16"/>
        <v>31852.025316455696</v>
      </c>
      <c r="O663" s="3">
        <v>661</v>
      </c>
    </row>
    <row r="664" spans="1:15" x14ac:dyDescent="0.25">
      <c r="A664" s="3">
        <v>4</v>
      </c>
      <c r="B664" s="3" t="s">
        <v>165</v>
      </c>
      <c r="C664" s="1" t="s">
        <v>12</v>
      </c>
      <c r="D664" s="1" t="s">
        <v>444</v>
      </c>
      <c r="E664" s="11" t="s">
        <v>144</v>
      </c>
      <c r="F664" s="3" t="s">
        <v>8</v>
      </c>
      <c r="G664" s="66" t="s">
        <v>65</v>
      </c>
      <c r="H664" s="8"/>
      <c r="I664" s="8"/>
      <c r="J664" s="6" t="s">
        <v>76</v>
      </c>
      <c r="K664" s="38">
        <v>0</v>
      </c>
      <c r="L664" s="4" t="s">
        <v>29</v>
      </c>
      <c r="M664" s="11">
        <f>_xlfn.NUMBERVALUE(LEFT(Table613612[[#This Row],[Fiscal Year]], 4))</f>
        <v>2015</v>
      </c>
      <c r="N664" s="43">
        <f t="shared" si="16"/>
        <v>0</v>
      </c>
      <c r="O664" s="3">
        <v>662</v>
      </c>
    </row>
    <row r="665" spans="1:15" x14ac:dyDescent="0.25">
      <c r="A665" s="3">
        <v>4</v>
      </c>
      <c r="B665" s="3" t="s">
        <v>165</v>
      </c>
      <c r="C665" s="1" t="s">
        <v>12</v>
      </c>
      <c r="D665" s="1" t="s">
        <v>444</v>
      </c>
      <c r="E665" s="11" t="s">
        <v>144</v>
      </c>
      <c r="F665" s="3" t="s">
        <v>8</v>
      </c>
      <c r="G665" s="66" t="s">
        <v>66</v>
      </c>
      <c r="H665" s="8"/>
      <c r="I665" s="8"/>
      <c r="J665" s="6" t="s">
        <v>76</v>
      </c>
      <c r="K665" s="38">
        <v>0</v>
      </c>
      <c r="L665" s="4" t="s">
        <v>29</v>
      </c>
      <c r="M665" s="11">
        <f>_xlfn.NUMBERVALUE(LEFT(Table613612[[#This Row],[Fiscal Year]], 4))</f>
        <v>2015</v>
      </c>
      <c r="N665" s="43">
        <f t="shared" si="16"/>
        <v>0</v>
      </c>
      <c r="O665" s="3">
        <v>663</v>
      </c>
    </row>
    <row r="666" spans="1:15" x14ac:dyDescent="0.25">
      <c r="A666" s="3">
        <v>4</v>
      </c>
      <c r="B666" s="3" t="s">
        <v>165</v>
      </c>
      <c r="C666" s="1" t="s">
        <v>12</v>
      </c>
      <c r="D666" s="1" t="s">
        <v>444</v>
      </c>
      <c r="E666" s="11" t="s">
        <v>144</v>
      </c>
      <c r="F666" s="3" t="s">
        <v>8</v>
      </c>
      <c r="G666" s="66" t="s">
        <v>33</v>
      </c>
      <c r="H666" s="8"/>
      <c r="I666" s="8"/>
      <c r="J666" s="6" t="s">
        <v>47</v>
      </c>
      <c r="K666" s="38">
        <v>25000</v>
      </c>
      <c r="L666" s="4" t="s">
        <v>29</v>
      </c>
      <c r="M666" s="11">
        <f>_xlfn.NUMBERVALUE(LEFT(Table613612[[#This Row],[Fiscal Year]], 4))</f>
        <v>2015</v>
      </c>
      <c r="N666" s="42">
        <f t="shared" si="16"/>
        <v>26543.354430379746</v>
      </c>
      <c r="O666" s="3">
        <v>664</v>
      </c>
    </row>
    <row r="667" spans="1:15" x14ac:dyDescent="0.25">
      <c r="A667" s="3">
        <v>4</v>
      </c>
      <c r="B667" s="3" t="s">
        <v>165</v>
      </c>
      <c r="C667" s="1" t="s">
        <v>12</v>
      </c>
      <c r="D667" s="1" t="s">
        <v>444</v>
      </c>
      <c r="E667" s="11" t="s">
        <v>144</v>
      </c>
      <c r="F667" s="3" t="s">
        <v>8</v>
      </c>
      <c r="G667" s="66" t="s">
        <v>67</v>
      </c>
      <c r="H667" s="8" t="s">
        <v>914</v>
      </c>
      <c r="I667" s="8" t="s">
        <v>429</v>
      </c>
      <c r="J667" s="6" t="s">
        <v>455</v>
      </c>
      <c r="K667" s="38">
        <v>60000</v>
      </c>
      <c r="L667" s="4" t="s">
        <v>29</v>
      </c>
      <c r="M667" s="11">
        <f>_xlfn.NUMBERVALUE(LEFT(Table613612[[#This Row],[Fiscal Year]], 4))</f>
        <v>2015</v>
      </c>
      <c r="N667" s="42">
        <f t="shared" si="16"/>
        <v>63704.050632911392</v>
      </c>
      <c r="O667" s="3">
        <v>665</v>
      </c>
    </row>
    <row r="668" spans="1:15" x14ac:dyDescent="0.25">
      <c r="C668" s="1"/>
      <c r="D668" s="1"/>
      <c r="E668" s="11"/>
      <c r="G668" s="66"/>
      <c r="H668" s="8"/>
      <c r="I668" s="8"/>
      <c r="J668" s="6"/>
      <c r="L668" s="4"/>
      <c r="O668" s="3">
        <v>666</v>
      </c>
    </row>
    <row r="669" spans="1:15" x14ac:dyDescent="0.25">
      <c r="A669" s="3">
        <v>4</v>
      </c>
      <c r="B669" s="3" t="s">
        <v>166</v>
      </c>
      <c r="C669" s="1" t="s">
        <v>12</v>
      </c>
      <c r="D669" s="1" t="s">
        <v>444</v>
      </c>
      <c r="E669" s="11" t="s">
        <v>144</v>
      </c>
      <c r="F669" s="3" t="s">
        <v>8</v>
      </c>
      <c r="G669" s="48" t="s">
        <v>32</v>
      </c>
      <c r="H669" s="8"/>
      <c r="I669" s="8"/>
      <c r="J669" s="6" t="s">
        <v>110</v>
      </c>
      <c r="K669" s="38">
        <v>10000</v>
      </c>
      <c r="L669" s="4" t="s">
        <v>29</v>
      </c>
      <c r="M669" s="11">
        <f>_xlfn.NUMBERVALUE(LEFT(Table613612[[#This Row],[Fiscal Year]], 4))</f>
        <v>2015</v>
      </c>
      <c r="N669" s="42">
        <f t="shared" si="16"/>
        <v>10617.341772151898</v>
      </c>
      <c r="O669" s="3">
        <v>667</v>
      </c>
    </row>
    <row r="670" spans="1:15" x14ac:dyDescent="0.25">
      <c r="A670" s="3">
        <v>4</v>
      </c>
      <c r="B670" s="3" t="s">
        <v>166</v>
      </c>
      <c r="C670" s="1" t="s">
        <v>12</v>
      </c>
      <c r="D670" s="1" t="s">
        <v>444</v>
      </c>
      <c r="E670" s="11" t="s">
        <v>144</v>
      </c>
      <c r="F670" s="3" t="s">
        <v>8</v>
      </c>
      <c r="G670" s="66" t="s">
        <v>58</v>
      </c>
      <c r="H670" s="8"/>
      <c r="I670" s="8"/>
      <c r="J670" s="6" t="s">
        <v>453</v>
      </c>
      <c r="K670" s="38">
        <v>4500</v>
      </c>
      <c r="L670" s="4" t="s">
        <v>29</v>
      </c>
      <c r="M670" s="11">
        <f>_xlfn.NUMBERVALUE(LEFT(Table613612[[#This Row],[Fiscal Year]], 4))</f>
        <v>2015</v>
      </c>
      <c r="N670" s="42">
        <f t="shared" si="16"/>
        <v>4777.8037974683539</v>
      </c>
      <c r="O670" s="3">
        <v>668</v>
      </c>
    </row>
    <row r="671" spans="1:15" x14ac:dyDescent="0.25">
      <c r="A671" s="3">
        <v>4</v>
      </c>
      <c r="B671" s="3" t="s">
        <v>166</v>
      </c>
      <c r="C671" s="1" t="s">
        <v>12</v>
      </c>
      <c r="D671" s="1" t="s">
        <v>444</v>
      </c>
      <c r="E671" s="11" t="s">
        <v>144</v>
      </c>
      <c r="F671" s="3" t="s">
        <v>8</v>
      </c>
      <c r="G671" s="66" t="s">
        <v>208</v>
      </c>
      <c r="H671" s="8"/>
      <c r="I671" s="8"/>
      <c r="J671" s="6" t="s">
        <v>109</v>
      </c>
      <c r="K671" s="38">
        <v>20000</v>
      </c>
      <c r="L671" s="4" t="s">
        <v>29</v>
      </c>
      <c r="M671" s="11">
        <f>_xlfn.NUMBERVALUE(LEFT(Table613612[[#This Row],[Fiscal Year]], 4))</f>
        <v>2015</v>
      </c>
      <c r="N671" s="42">
        <f t="shared" si="16"/>
        <v>21234.683544303796</v>
      </c>
      <c r="O671" s="3">
        <v>669</v>
      </c>
    </row>
    <row r="672" spans="1:15" x14ac:dyDescent="0.25">
      <c r="A672" s="3">
        <v>4</v>
      </c>
      <c r="B672" s="3" t="s">
        <v>166</v>
      </c>
      <c r="C672" s="1" t="s">
        <v>12</v>
      </c>
      <c r="D672" s="1" t="s">
        <v>444</v>
      </c>
      <c r="E672" s="11" t="s">
        <v>144</v>
      </c>
      <c r="F672" s="3" t="s">
        <v>8</v>
      </c>
      <c r="G672" s="48" t="s">
        <v>59</v>
      </c>
      <c r="H672" s="8"/>
      <c r="I672" s="8"/>
      <c r="J672" s="6" t="s">
        <v>111</v>
      </c>
      <c r="K672" s="38">
        <v>5000</v>
      </c>
      <c r="L672" s="4" t="s">
        <v>29</v>
      </c>
      <c r="M672" s="11">
        <f>_xlfn.NUMBERVALUE(LEFT(Table613612[[#This Row],[Fiscal Year]], 4))</f>
        <v>2015</v>
      </c>
      <c r="N672" s="42">
        <f t="shared" si="16"/>
        <v>5308.6708860759491</v>
      </c>
      <c r="O672" s="3">
        <v>670</v>
      </c>
    </row>
    <row r="673" spans="1:15" x14ac:dyDescent="0.25">
      <c r="A673" s="3">
        <v>4</v>
      </c>
      <c r="B673" s="3" t="s">
        <v>166</v>
      </c>
      <c r="C673" s="1" t="s">
        <v>12</v>
      </c>
      <c r="D673" s="1" t="s">
        <v>444</v>
      </c>
      <c r="E673" s="11" t="s">
        <v>144</v>
      </c>
      <c r="F673" s="3" t="s">
        <v>8</v>
      </c>
      <c r="G673" s="66" t="s">
        <v>60</v>
      </c>
      <c r="H673" s="8"/>
      <c r="I673" s="8"/>
      <c r="J673" s="6" t="s">
        <v>111</v>
      </c>
      <c r="K673" s="38">
        <v>2500</v>
      </c>
      <c r="L673" s="4" t="s">
        <v>29</v>
      </c>
      <c r="M673" s="11">
        <f>_xlfn.NUMBERVALUE(LEFT(Table613612[[#This Row],[Fiscal Year]], 4))</f>
        <v>2015</v>
      </c>
      <c r="N673" s="42">
        <f t="shared" si="16"/>
        <v>2654.3354430379745</v>
      </c>
      <c r="O673" s="3">
        <v>671</v>
      </c>
    </row>
    <row r="674" spans="1:15" x14ac:dyDescent="0.25">
      <c r="A674" s="3">
        <v>4</v>
      </c>
      <c r="B674" s="3" t="s">
        <v>166</v>
      </c>
      <c r="C674" s="1" t="s">
        <v>12</v>
      </c>
      <c r="D674" s="1" t="s">
        <v>444</v>
      </c>
      <c r="E674" s="11" t="s">
        <v>144</v>
      </c>
      <c r="F674" s="3" t="s">
        <v>8</v>
      </c>
      <c r="G674" s="48" t="s">
        <v>61</v>
      </c>
      <c r="H674" s="8"/>
      <c r="I674" s="8"/>
      <c r="J674" s="6" t="s">
        <v>108</v>
      </c>
      <c r="K674" s="38">
        <v>100000</v>
      </c>
      <c r="L674" s="4" t="s">
        <v>29</v>
      </c>
      <c r="M674" s="11">
        <f>_xlfn.NUMBERVALUE(LEFT(Table613612[[#This Row],[Fiscal Year]], 4))</f>
        <v>2015</v>
      </c>
      <c r="N674" s="42">
        <f t="shared" si="16"/>
        <v>106173.41772151898</v>
      </c>
      <c r="O674" s="3">
        <v>672</v>
      </c>
    </row>
    <row r="675" spans="1:15" x14ac:dyDescent="0.25">
      <c r="A675" s="3">
        <v>4</v>
      </c>
      <c r="B675" s="3" t="s">
        <v>166</v>
      </c>
      <c r="C675" s="1" t="s">
        <v>12</v>
      </c>
      <c r="D675" s="1" t="s">
        <v>444</v>
      </c>
      <c r="E675" s="11" t="s">
        <v>144</v>
      </c>
      <c r="F675" s="3" t="s">
        <v>8</v>
      </c>
      <c r="G675" s="66" t="s">
        <v>62</v>
      </c>
      <c r="H675" s="8"/>
      <c r="I675" s="8"/>
      <c r="J675" s="6" t="s">
        <v>106</v>
      </c>
      <c r="K675" s="38">
        <v>3000</v>
      </c>
      <c r="L675" s="4" t="s">
        <v>29</v>
      </c>
      <c r="M675" s="11">
        <f>_xlfn.NUMBERVALUE(LEFT(Table613612[[#This Row],[Fiscal Year]], 4))</f>
        <v>2015</v>
      </c>
      <c r="N675" s="42">
        <f t="shared" si="16"/>
        <v>3185.2025316455693</v>
      </c>
      <c r="O675" s="3">
        <v>673</v>
      </c>
    </row>
    <row r="676" spans="1:15" x14ac:dyDescent="0.25">
      <c r="A676" s="3">
        <v>4</v>
      </c>
      <c r="B676" s="3" t="s">
        <v>166</v>
      </c>
      <c r="C676" s="1" t="s">
        <v>12</v>
      </c>
      <c r="D676" s="1" t="s">
        <v>444</v>
      </c>
      <c r="E676" s="11" t="s">
        <v>144</v>
      </c>
      <c r="F676" s="3" t="s">
        <v>8</v>
      </c>
      <c r="G676" s="66" t="s">
        <v>211</v>
      </c>
      <c r="H676" s="8"/>
      <c r="I676" s="8"/>
      <c r="J676" s="6" t="s">
        <v>455</v>
      </c>
      <c r="K676" s="38" t="s">
        <v>827</v>
      </c>
      <c r="L676" s="4" t="s">
        <v>29</v>
      </c>
      <c r="M676" s="11">
        <f>_xlfn.NUMBERVALUE(LEFT(Table613612[[#This Row],[Fiscal Year]], 4))</f>
        <v>2015</v>
      </c>
      <c r="O676" s="3">
        <v>674</v>
      </c>
    </row>
    <row r="677" spans="1:15" x14ac:dyDescent="0.25">
      <c r="A677" s="3">
        <v>4</v>
      </c>
      <c r="B677" s="3" t="s">
        <v>166</v>
      </c>
      <c r="C677" s="1" t="s">
        <v>12</v>
      </c>
      <c r="D677" s="1" t="s">
        <v>444</v>
      </c>
      <c r="E677" s="11" t="s">
        <v>144</v>
      </c>
      <c r="F677" s="3" t="s">
        <v>8</v>
      </c>
      <c r="G677" s="66" t="s">
        <v>64</v>
      </c>
      <c r="H677" s="8"/>
      <c r="I677" s="8"/>
      <c r="J677" s="6" t="s">
        <v>76</v>
      </c>
      <c r="K677" s="38" t="s">
        <v>916</v>
      </c>
      <c r="L677" s="4" t="s">
        <v>29</v>
      </c>
      <c r="M677" s="11">
        <f>_xlfn.NUMBERVALUE(LEFT(Table613612[[#This Row],[Fiscal Year]], 4))</f>
        <v>2015</v>
      </c>
      <c r="O677" s="3">
        <v>675</v>
      </c>
    </row>
    <row r="678" spans="1:15" x14ac:dyDescent="0.25">
      <c r="A678" s="3">
        <v>4</v>
      </c>
      <c r="B678" s="3" t="s">
        <v>166</v>
      </c>
      <c r="C678" s="1" t="s">
        <v>12</v>
      </c>
      <c r="D678" s="1" t="s">
        <v>444</v>
      </c>
      <c r="E678" s="11" t="s">
        <v>144</v>
      </c>
      <c r="F678" s="3" t="s">
        <v>8</v>
      </c>
      <c r="G678" s="66" t="s">
        <v>65</v>
      </c>
      <c r="H678" s="8"/>
      <c r="I678" s="8"/>
      <c r="J678" s="6" t="s">
        <v>76</v>
      </c>
      <c r="K678" s="38" t="s">
        <v>916</v>
      </c>
      <c r="L678" s="4" t="s">
        <v>29</v>
      </c>
      <c r="M678" s="11">
        <f>_xlfn.NUMBERVALUE(LEFT(Table613612[[#This Row],[Fiscal Year]], 4))</f>
        <v>2015</v>
      </c>
      <c r="O678" s="3">
        <v>676</v>
      </c>
    </row>
    <row r="679" spans="1:15" x14ac:dyDescent="0.25">
      <c r="A679" s="3">
        <v>4</v>
      </c>
      <c r="B679" s="3" t="s">
        <v>166</v>
      </c>
      <c r="C679" s="1" t="s">
        <v>12</v>
      </c>
      <c r="D679" s="1" t="s">
        <v>444</v>
      </c>
      <c r="E679" s="11" t="s">
        <v>144</v>
      </c>
      <c r="F679" s="3" t="s">
        <v>8</v>
      </c>
      <c r="G679" s="66" t="s">
        <v>66</v>
      </c>
      <c r="H679" s="8"/>
      <c r="I679" s="8"/>
      <c r="J679" s="6" t="s">
        <v>76</v>
      </c>
      <c r="K679" s="38" t="s">
        <v>827</v>
      </c>
      <c r="L679" s="4" t="s">
        <v>29</v>
      </c>
      <c r="M679" s="11">
        <f>_xlfn.NUMBERVALUE(LEFT(Table613612[[#This Row],[Fiscal Year]], 4))</f>
        <v>2015</v>
      </c>
      <c r="O679" s="3">
        <v>677</v>
      </c>
    </row>
    <row r="680" spans="1:15" x14ac:dyDescent="0.25">
      <c r="A680" s="3">
        <v>4</v>
      </c>
      <c r="B680" s="3" t="s">
        <v>166</v>
      </c>
      <c r="C680" s="1" t="s">
        <v>12</v>
      </c>
      <c r="D680" s="1" t="s">
        <v>444</v>
      </c>
      <c r="E680" s="11" t="s">
        <v>144</v>
      </c>
      <c r="F680" s="3" t="s">
        <v>8</v>
      </c>
      <c r="G680" s="66" t="s">
        <v>33</v>
      </c>
      <c r="H680" s="8"/>
      <c r="I680" s="8"/>
      <c r="J680" s="6" t="s">
        <v>47</v>
      </c>
      <c r="K680" s="38">
        <v>23444</v>
      </c>
      <c r="L680" s="4" t="s">
        <v>29</v>
      </c>
      <c r="M680" s="11">
        <f>_xlfn.NUMBERVALUE(LEFT(Table613612[[#This Row],[Fiscal Year]], 4))</f>
        <v>2015</v>
      </c>
      <c r="N680" s="42">
        <f t="shared" si="16"/>
        <v>24891.296050632911</v>
      </c>
      <c r="O680" s="3">
        <v>678</v>
      </c>
    </row>
    <row r="681" spans="1:15" x14ac:dyDescent="0.25">
      <c r="A681" s="3">
        <v>4</v>
      </c>
      <c r="B681" s="3" t="s">
        <v>166</v>
      </c>
      <c r="C681" s="1" t="s">
        <v>12</v>
      </c>
      <c r="D681" s="1" t="s">
        <v>444</v>
      </c>
      <c r="E681" s="11" t="s">
        <v>144</v>
      </c>
      <c r="F681" s="3" t="s">
        <v>8</v>
      </c>
      <c r="G681" s="66" t="s">
        <v>67</v>
      </c>
      <c r="H681" s="8" t="s">
        <v>915</v>
      </c>
      <c r="I681" s="8" t="s">
        <v>429</v>
      </c>
      <c r="J681" s="6" t="s">
        <v>455</v>
      </c>
      <c r="K681" s="38">
        <v>5000</v>
      </c>
      <c r="L681" s="4" t="s">
        <v>29</v>
      </c>
      <c r="M681" s="11">
        <f>_xlfn.NUMBERVALUE(LEFT(Table613612[[#This Row],[Fiscal Year]], 4))</f>
        <v>2015</v>
      </c>
      <c r="N681" s="42">
        <f t="shared" si="16"/>
        <v>5308.6708860759491</v>
      </c>
      <c r="O681" s="3">
        <v>679</v>
      </c>
    </row>
    <row r="682" spans="1:15" x14ac:dyDescent="0.25">
      <c r="C682" s="1"/>
      <c r="D682" s="1"/>
      <c r="E682" s="11"/>
      <c r="G682" s="66"/>
      <c r="H682" s="8"/>
      <c r="I682" s="8"/>
      <c r="J682" s="6"/>
      <c r="L682" s="4"/>
      <c r="O682" s="3">
        <v>680</v>
      </c>
    </row>
    <row r="683" spans="1:15" x14ac:dyDescent="0.25">
      <c r="A683" s="3">
        <v>4</v>
      </c>
      <c r="B683" s="3" t="s">
        <v>167</v>
      </c>
      <c r="C683" s="1" t="s">
        <v>12</v>
      </c>
      <c r="D683" s="1" t="s">
        <v>444</v>
      </c>
      <c r="E683" s="11" t="s">
        <v>144</v>
      </c>
      <c r="F683" s="3" t="s">
        <v>8</v>
      </c>
      <c r="G683" s="48" t="s">
        <v>32</v>
      </c>
      <c r="H683" s="8"/>
      <c r="I683" s="8"/>
      <c r="J683" s="6" t="s">
        <v>110</v>
      </c>
      <c r="K683" s="38">
        <v>20000</v>
      </c>
      <c r="L683" s="4" t="s">
        <v>29</v>
      </c>
      <c r="M683" s="11">
        <f>_xlfn.NUMBERVALUE(LEFT(Table613612[[#This Row],[Fiscal Year]], 4))</f>
        <v>2015</v>
      </c>
      <c r="N683" s="42">
        <f t="shared" si="16"/>
        <v>21234.683544303796</v>
      </c>
      <c r="O683" s="3">
        <v>681</v>
      </c>
    </row>
    <row r="684" spans="1:15" x14ac:dyDescent="0.25">
      <c r="A684" s="3">
        <v>4</v>
      </c>
      <c r="B684" s="3" t="s">
        <v>167</v>
      </c>
      <c r="C684" s="1" t="s">
        <v>12</v>
      </c>
      <c r="D684" s="1" t="s">
        <v>444</v>
      </c>
      <c r="E684" s="11" t="s">
        <v>144</v>
      </c>
      <c r="F684" s="3" t="s">
        <v>8</v>
      </c>
      <c r="G684" s="66" t="s">
        <v>58</v>
      </c>
      <c r="H684" s="8"/>
      <c r="I684" s="8"/>
      <c r="J684" s="6" t="s">
        <v>453</v>
      </c>
      <c r="K684" s="38">
        <v>18000</v>
      </c>
      <c r="L684" s="4" t="s">
        <v>29</v>
      </c>
      <c r="M684" s="11">
        <f>_xlfn.NUMBERVALUE(LEFT(Table613612[[#This Row],[Fiscal Year]], 4))</f>
        <v>2015</v>
      </c>
      <c r="N684" s="42">
        <f t="shared" si="16"/>
        <v>19111.215189873416</v>
      </c>
      <c r="O684" s="3">
        <v>682</v>
      </c>
    </row>
    <row r="685" spans="1:15" x14ac:dyDescent="0.25">
      <c r="A685" s="3">
        <v>4</v>
      </c>
      <c r="B685" s="3" t="s">
        <v>167</v>
      </c>
      <c r="C685" s="1" t="s">
        <v>12</v>
      </c>
      <c r="D685" s="1" t="s">
        <v>444</v>
      </c>
      <c r="E685" s="11" t="s">
        <v>144</v>
      </c>
      <c r="F685" s="3" t="s">
        <v>8</v>
      </c>
      <c r="G685" s="66" t="s">
        <v>208</v>
      </c>
      <c r="H685" s="8"/>
      <c r="I685" s="8"/>
      <c r="J685" s="6" t="s">
        <v>109</v>
      </c>
      <c r="K685" s="38">
        <v>6000</v>
      </c>
      <c r="L685" s="4" t="s">
        <v>29</v>
      </c>
      <c r="M685" s="11">
        <f>_xlfn.NUMBERVALUE(LEFT(Table613612[[#This Row],[Fiscal Year]], 4))</f>
        <v>2015</v>
      </c>
      <c r="N685" s="42">
        <f t="shared" si="16"/>
        <v>6370.4050632911385</v>
      </c>
      <c r="O685" s="3">
        <v>683</v>
      </c>
    </row>
    <row r="686" spans="1:15" x14ac:dyDescent="0.25">
      <c r="A686" s="3">
        <v>4</v>
      </c>
      <c r="B686" s="3" t="s">
        <v>167</v>
      </c>
      <c r="C686" s="1" t="s">
        <v>12</v>
      </c>
      <c r="D686" s="1" t="s">
        <v>444</v>
      </c>
      <c r="E686" s="11" t="s">
        <v>144</v>
      </c>
      <c r="F686" s="3" t="s">
        <v>8</v>
      </c>
      <c r="G686" s="48" t="s">
        <v>59</v>
      </c>
      <c r="H686" s="8"/>
      <c r="I686" s="8"/>
      <c r="J686" s="6" t="s">
        <v>111</v>
      </c>
      <c r="K686" s="38">
        <v>38000</v>
      </c>
      <c r="L686" s="4" t="s">
        <v>29</v>
      </c>
      <c r="M686" s="11">
        <f>_xlfn.NUMBERVALUE(LEFT(Table613612[[#This Row],[Fiscal Year]], 4))</f>
        <v>2015</v>
      </c>
      <c r="N686" s="42">
        <f t="shared" si="16"/>
        <v>40345.898734177215</v>
      </c>
      <c r="O686" s="3">
        <v>684</v>
      </c>
    </row>
    <row r="687" spans="1:15" x14ac:dyDescent="0.25">
      <c r="A687" s="3">
        <v>4</v>
      </c>
      <c r="B687" s="3" t="s">
        <v>167</v>
      </c>
      <c r="C687" s="1" t="s">
        <v>12</v>
      </c>
      <c r="D687" s="1" t="s">
        <v>444</v>
      </c>
      <c r="E687" s="11" t="s">
        <v>144</v>
      </c>
      <c r="F687" s="3" t="s">
        <v>8</v>
      </c>
      <c r="G687" s="66" t="s">
        <v>60</v>
      </c>
      <c r="H687" s="8"/>
      <c r="I687" s="8"/>
      <c r="J687" s="6" t="s">
        <v>111</v>
      </c>
      <c r="K687" s="38">
        <v>22000</v>
      </c>
      <c r="L687" s="4" t="s">
        <v>29</v>
      </c>
      <c r="M687" s="11">
        <f>_xlfn.NUMBERVALUE(LEFT(Table613612[[#This Row],[Fiscal Year]], 4))</f>
        <v>2015</v>
      </c>
      <c r="N687" s="42">
        <f t="shared" si="16"/>
        <v>23358.151898734177</v>
      </c>
      <c r="O687" s="3">
        <v>685</v>
      </c>
    </row>
    <row r="688" spans="1:15" x14ac:dyDescent="0.25">
      <c r="A688" s="3">
        <v>4</v>
      </c>
      <c r="B688" s="3" t="s">
        <v>167</v>
      </c>
      <c r="C688" s="1" t="s">
        <v>12</v>
      </c>
      <c r="D688" s="1" t="s">
        <v>444</v>
      </c>
      <c r="E688" s="11" t="s">
        <v>144</v>
      </c>
      <c r="F688" s="3" t="s">
        <v>8</v>
      </c>
      <c r="G688" s="48" t="s">
        <v>61</v>
      </c>
      <c r="H688" s="8"/>
      <c r="I688" s="8"/>
      <c r="J688" s="6" t="s">
        <v>108</v>
      </c>
      <c r="K688" s="38">
        <v>197000</v>
      </c>
      <c r="L688" s="4" t="s">
        <v>29</v>
      </c>
      <c r="M688" s="11">
        <f>_xlfn.NUMBERVALUE(LEFT(Table613612[[#This Row],[Fiscal Year]], 4))</f>
        <v>2015</v>
      </c>
      <c r="N688" s="42">
        <f t="shared" si="16"/>
        <v>209161.6329113924</v>
      </c>
      <c r="O688" s="3">
        <v>686</v>
      </c>
    </row>
    <row r="689" spans="1:15" x14ac:dyDescent="0.25">
      <c r="A689" s="3">
        <v>4</v>
      </c>
      <c r="B689" s="3" t="s">
        <v>167</v>
      </c>
      <c r="C689" s="1" t="s">
        <v>12</v>
      </c>
      <c r="D689" s="1" t="s">
        <v>444</v>
      </c>
      <c r="E689" s="11" t="s">
        <v>144</v>
      </c>
      <c r="F689" s="3" t="s">
        <v>8</v>
      </c>
      <c r="G689" s="66" t="s">
        <v>62</v>
      </c>
      <c r="H689" s="8"/>
      <c r="I689" s="8"/>
      <c r="J689" s="6" t="s">
        <v>106</v>
      </c>
      <c r="K689" s="38">
        <v>38000</v>
      </c>
      <c r="L689" s="4" t="s">
        <v>29</v>
      </c>
      <c r="M689" s="11">
        <f>_xlfn.NUMBERVALUE(LEFT(Table613612[[#This Row],[Fiscal Year]], 4))</f>
        <v>2015</v>
      </c>
      <c r="N689" s="42">
        <f t="shared" si="16"/>
        <v>40345.898734177215</v>
      </c>
      <c r="O689" s="3">
        <v>687</v>
      </c>
    </row>
    <row r="690" spans="1:15" x14ac:dyDescent="0.25">
      <c r="A690" s="3">
        <v>4</v>
      </c>
      <c r="B690" s="3" t="s">
        <v>167</v>
      </c>
      <c r="C690" s="1" t="s">
        <v>12</v>
      </c>
      <c r="D690" s="1" t="s">
        <v>444</v>
      </c>
      <c r="E690" s="11" t="s">
        <v>144</v>
      </c>
      <c r="F690" s="3" t="s">
        <v>8</v>
      </c>
      <c r="G690" s="66" t="s">
        <v>211</v>
      </c>
      <c r="H690" s="8"/>
      <c r="I690" s="8"/>
      <c r="J690" s="6" t="s">
        <v>455</v>
      </c>
      <c r="K690" s="38" t="s">
        <v>827</v>
      </c>
      <c r="L690" s="4" t="s">
        <v>29</v>
      </c>
      <c r="M690" s="11">
        <f>_xlfn.NUMBERVALUE(LEFT(Table613612[[#This Row],[Fiscal Year]], 4))</f>
        <v>2015</v>
      </c>
      <c r="O690" s="3">
        <v>688</v>
      </c>
    </row>
    <row r="691" spans="1:15" x14ac:dyDescent="0.25">
      <c r="A691" s="3">
        <v>4</v>
      </c>
      <c r="B691" s="3" t="s">
        <v>167</v>
      </c>
      <c r="C691" s="1" t="s">
        <v>12</v>
      </c>
      <c r="D691" s="1" t="s">
        <v>444</v>
      </c>
      <c r="E691" s="11" t="s">
        <v>144</v>
      </c>
      <c r="F691" s="3" t="s">
        <v>8</v>
      </c>
      <c r="G691" s="66" t="s">
        <v>64</v>
      </c>
      <c r="H691" s="8"/>
      <c r="I691" s="8"/>
      <c r="J691" s="6" t="s">
        <v>76</v>
      </c>
      <c r="K691" s="38" t="s">
        <v>916</v>
      </c>
      <c r="L691" s="4" t="s">
        <v>29</v>
      </c>
      <c r="M691" s="11">
        <f>_xlfn.NUMBERVALUE(LEFT(Table613612[[#This Row],[Fiscal Year]], 4))</f>
        <v>2015</v>
      </c>
      <c r="O691" s="3">
        <v>689</v>
      </c>
    </row>
    <row r="692" spans="1:15" x14ac:dyDescent="0.25">
      <c r="A692" s="3">
        <v>4</v>
      </c>
      <c r="B692" s="3" t="s">
        <v>167</v>
      </c>
      <c r="C692" s="1" t="s">
        <v>12</v>
      </c>
      <c r="D692" s="1" t="s">
        <v>444</v>
      </c>
      <c r="E692" s="11" t="s">
        <v>144</v>
      </c>
      <c r="F692" s="3" t="s">
        <v>8</v>
      </c>
      <c r="G692" s="66" t="s">
        <v>65</v>
      </c>
      <c r="H692" s="8"/>
      <c r="I692" s="8"/>
      <c r="J692" s="6" t="s">
        <v>76</v>
      </c>
      <c r="K692" s="38" t="s">
        <v>916</v>
      </c>
      <c r="L692" s="4" t="s">
        <v>29</v>
      </c>
      <c r="M692" s="11">
        <f>_xlfn.NUMBERVALUE(LEFT(Table613612[[#This Row],[Fiscal Year]], 4))</f>
        <v>2015</v>
      </c>
      <c r="O692" s="3">
        <v>690</v>
      </c>
    </row>
    <row r="693" spans="1:15" x14ac:dyDescent="0.25">
      <c r="A693" s="3">
        <v>4</v>
      </c>
      <c r="B693" s="3" t="s">
        <v>167</v>
      </c>
      <c r="C693" s="1" t="s">
        <v>12</v>
      </c>
      <c r="D693" s="1" t="s">
        <v>444</v>
      </c>
      <c r="E693" s="11" t="s">
        <v>144</v>
      </c>
      <c r="F693" s="3" t="s">
        <v>8</v>
      </c>
      <c r="G693" s="66" t="s">
        <v>66</v>
      </c>
      <c r="H693" s="8"/>
      <c r="I693" s="8"/>
      <c r="J693" s="6" t="s">
        <v>76</v>
      </c>
      <c r="K693" s="38" t="s">
        <v>827</v>
      </c>
      <c r="L693" s="4" t="s">
        <v>29</v>
      </c>
      <c r="M693" s="11">
        <f>_xlfn.NUMBERVALUE(LEFT(Table613612[[#This Row],[Fiscal Year]], 4))</f>
        <v>2015</v>
      </c>
      <c r="O693" s="3">
        <v>691</v>
      </c>
    </row>
    <row r="694" spans="1:15" x14ac:dyDescent="0.25">
      <c r="A694" s="3">
        <v>4</v>
      </c>
      <c r="B694" s="3" t="s">
        <v>167</v>
      </c>
      <c r="C694" s="1" t="s">
        <v>12</v>
      </c>
      <c r="D694" s="1" t="s">
        <v>444</v>
      </c>
      <c r="E694" s="11" t="s">
        <v>144</v>
      </c>
      <c r="F694" s="3" t="s">
        <v>8</v>
      </c>
      <c r="G694" s="66" t="s">
        <v>33</v>
      </c>
      <c r="H694" s="8"/>
      <c r="I694" s="8"/>
      <c r="J694" s="6" t="s">
        <v>47</v>
      </c>
      <c r="K694" s="38">
        <v>55000</v>
      </c>
      <c r="L694" s="4" t="s">
        <v>29</v>
      </c>
      <c r="M694" s="11">
        <f>_xlfn.NUMBERVALUE(LEFT(Table613612[[#This Row],[Fiscal Year]], 4))</f>
        <v>2015</v>
      </c>
      <c r="N694" s="42">
        <f t="shared" si="16"/>
        <v>58395.379746835439</v>
      </c>
      <c r="O694" s="3">
        <v>692</v>
      </c>
    </row>
    <row r="695" spans="1:15" x14ac:dyDescent="0.25">
      <c r="A695" s="3">
        <v>4</v>
      </c>
      <c r="B695" s="3" t="s">
        <v>167</v>
      </c>
      <c r="C695" s="1" t="s">
        <v>12</v>
      </c>
      <c r="D695" s="1" t="s">
        <v>444</v>
      </c>
      <c r="E695" s="11" t="s">
        <v>144</v>
      </c>
      <c r="F695" s="3" t="s">
        <v>8</v>
      </c>
      <c r="G695" s="66" t="s">
        <v>67</v>
      </c>
      <c r="H695" s="8" t="s">
        <v>915</v>
      </c>
      <c r="I695" s="8" t="s">
        <v>429</v>
      </c>
      <c r="J695" s="6" t="s">
        <v>455</v>
      </c>
      <c r="K695" s="38" t="s">
        <v>827</v>
      </c>
      <c r="L695" s="4" t="s">
        <v>29</v>
      </c>
      <c r="M695" s="11">
        <f>_xlfn.NUMBERVALUE(LEFT(Table613612[[#This Row],[Fiscal Year]], 4))</f>
        <v>2015</v>
      </c>
      <c r="O695" s="3">
        <v>693</v>
      </c>
    </row>
    <row r="696" spans="1:15" x14ac:dyDescent="0.25">
      <c r="C696" s="1"/>
      <c r="D696" s="1"/>
      <c r="E696" s="11"/>
      <c r="G696" s="66"/>
      <c r="H696" s="8"/>
      <c r="I696" s="8"/>
      <c r="J696" s="6"/>
      <c r="L696" s="4"/>
      <c r="O696" s="3">
        <v>694</v>
      </c>
    </row>
    <row r="697" spans="1:15" x14ac:dyDescent="0.25">
      <c r="A697" s="3">
        <v>4</v>
      </c>
      <c r="B697" s="25" t="s">
        <v>168</v>
      </c>
      <c r="C697" s="1" t="s">
        <v>12</v>
      </c>
      <c r="D697" s="1" t="s">
        <v>444</v>
      </c>
      <c r="E697" s="11" t="s">
        <v>144</v>
      </c>
      <c r="F697" s="3" t="s">
        <v>8</v>
      </c>
      <c r="G697" s="48" t="s">
        <v>32</v>
      </c>
      <c r="H697" s="8"/>
      <c r="I697" s="8"/>
      <c r="J697" s="6" t="s">
        <v>110</v>
      </c>
      <c r="K697" s="38">
        <v>2500</v>
      </c>
      <c r="L697" s="4" t="s">
        <v>29</v>
      </c>
      <c r="M697" s="11">
        <f>_xlfn.NUMBERVALUE(LEFT(Table613612[[#This Row],[Fiscal Year]], 4))</f>
        <v>2015</v>
      </c>
      <c r="N697" s="42">
        <f t="shared" si="16"/>
        <v>2654.3354430379745</v>
      </c>
      <c r="O697" s="3">
        <v>695</v>
      </c>
    </row>
    <row r="698" spans="1:15" x14ac:dyDescent="0.25">
      <c r="A698" s="3">
        <v>4</v>
      </c>
      <c r="B698" s="25" t="s">
        <v>168</v>
      </c>
      <c r="C698" s="1" t="s">
        <v>12</v>
      </c>
      <c r="D698" s="1" t="s">
        <v>444</v>
      </c>
      <c r="E698" s="11" t="s">
        <v>144</v>
      </c>
      <c r="F698" s="3" t="s">
        <v>8</v>
      </c>
      <c r="G698" s="66" t="s">
        <v>58</v>
      </c>
      <c r="H698" s="8"/>
      <c r="I698" s="8"/>
      <c r="J698" s="6" t="s">
        <v>453</v>
      </c>
      <c r="K698" s="38">
        <v>3500</v>
      </c>
      <c r="L698" s="4" t="s">
        <v>29</v>
      </c>
      <c r="M698" s="11">
        <f>_xlfn.NUMBERVALUE(LEFT(Table613612[[#This Row],[Fiscal Year]], 4))</f>
        <v>2015</v>
      </c>
      <c r="N698" s="42">
        <f t="shared" si="16"/>
        <v>3716.0696202531644</v>
      </c>
      <c r="O698" s="3">
        <v>696</v>
      </c>
    </row>
    <row r="699" spans="1:15" x14ac:dyDescent="0.25">
      <c r="A699" s="3">
        <v>4</v>
      </c>
      <c r="B699" s="25" t="s">
        <v>168</v>
      </c>
      <c r="C699" s="1" t="s">
        <v>12</v>
      </c>
      <c r="D699" s="1" t="s">
        <v>444</v>
      </c>
      <c r="E699" s="11" t="s">
        <v>144</v>
      </c>
      <c r="F699" s="3" t="s">
        <v>8</v>
      </c>
      <c r="G699" s="66" t="s">
        <v>208</v>
      </c>
      <c r="H699" s="8"/>
      <c r="I699" s="8"/>
      <c r="J699" s="6" t="s">
        <v>109</v>
      </c>
      <c r="K699" s="38">
        <v>8000</v>
      </c>
      <c r="L699" s="4" t="s">
        <v>29</v>
      </c>
      <c r="M699" s="11">
        <f>_xlfn.NUMBERVALUE(LEFT(Table613612[[#This Row],[Fiscal Year]], 4))</f>
        <v>2015</v>
      </c>
      <c r="N699" s="42">
        <f t="shared" si="16"/>
        <v>8493.8734177215192</v>
      </c>
      <c r="O699" s="3">
        <v>697</v>
      </c>
    </row>
    <row r="700" spans="1:15" x14ac:dyDescent="0.25">
      <c r="A700" s="3">
        <v>4</v>
      </c>
      <c r="B700" s="25" t="s">
        <v>168</v>
      </c>
      <c r="C700" s="1" t="s">
        <v>12</v>
      </c>
      <c r="D700" s="1" t="s">
        <v>444</v>
      </c>
      <c r="E700" s="11" t="s">
        <v>144</v>
      </c>
      <c r="F700" s="3" t="s">
        <v>8</v>
      </c>
      <c r="G700" s="48" t="s">
        <v>59</v>
      </c>
      <c r="H700" s="8"/>
      <c r="I700" s="8"/>
      <c r="J700" s="6" t="s">
        <v>111</v>
      </c>
      <c r="K700" s="38">
        <v>1500</v>
      </c>
      <c r="L700" s="4" t="s">
        <v>29</v>
      </c>
      <c r="M700" s="11">
        <f>_xlfn.NUMBERVALUE(LEFT(Table613612[[#This Row],[Fiscal Year]], 4))</f>
        <v>2015</v>
      </c>
      <c r="N700" s="42">
        <f t="shared" si="16"/>
        <v>1592.6012658227846</v>
      </c>
      <c r="O700" s="3">
        <v>698</v>
      </c>
    </row>
    <row r="701" spans="1:15" x14ac:dyDescent="0.25">
      <c r="A701" s="3">
        <v>4</v>
      </c>
      <c r="B701" s="25" t="s">
        <v>168</v>
      </c>
      <c r="C701" s="1" t="s">
        <v>12</v>
      </c>
      <c r="D701" s="1" t="s">
        <v>444</v>
      </c>
      <c r="E701" s="11" t="s">
        <v>144</v>
      </c>
      <c r="F701" s="3" t="s">
        <v>8</v>
      </c>
      <c r="G701" s="66" t="s">
        <v>60</v>
      </c>
      <c r="H701" s="8"/>
      <c r="I701" s="8"/>
      <c r="J701" s="6" t="s">
        <v>111</v>
      </c>
      <c r="K701" s="38">
        <v>6000</v>
      </c>
      <c r="L701" s="4" t="s">
        <v>29</v>
      </c>
      <c r="M701" s="11">
        <f>_xlfn.NUMBERVALUE(LEFT(Table613612[[#This Row],[Fiscal Year]], 4))</f>
        <v>2015</v>
      </c>
      <c r="N701" s="42">
        <f t="shared" si="16"/>
        <v>6370.4050632911385</v>
      </c>
      <c r="O701" s="3">
        <v>699</v>
      </c>
    </row>
    <row r="702" spans="1:15" x14ac:dyDescent="0.25">
      <c r="A702" s="3">
        <v>4</v>
      </c>
      <c r="B702" s="25" t="s">
        <v>168</v>
      </c>
      <c r="C702" s="1" t="s">
        <v>12</v>
      </c>
      <c r="D702" s="1" t="s">
        <v>444</v>
      </c>
      <c r="E702" s="11" t="s">
        <v>144</v>
      </c>
      <c r="F702" s="3" t="s">
        <v>8</v>
      </c>
      <c r="G702" s="48" t="s">
        <v>61</v>
      </c>
      <c r="H702" s="8"/>
      <c r="I702" s="8"/>
      <c r="J702" s="6" t="s">
        <v>108</v>
      </c>
      <c r="K702" s="38">
        <v>32000</v>
      </c>
      <c r="L702" s="4" t="s">
        <v>29</v>
      </c>
      <c r="M702" s="11">
        <f>_xlfn.NUMBERVALUE(LEFT(Table613612[[#This Row],[Fiscal Year]], 4))</f>
        <v>2015</v>
      </c>
      <c r="N702" s="42">
        <f t="shared" si="16"/>
        <v>33975.493670886077</v>
      </c>
      <c r="O702" s="3">
        <v>700</v>
      </c>
    </row>
    <row r="703" spans="1:15" x14ac:dyDescent="0.25">
      <c r="A703" s="3">
        <v>4</v>
      </c>
      <c r="B703" s="25" t="s">
        <v>168</v>
      </c>
      <c r="C703" s="1" t="s">
        <v>12</v>
      </c>
      <c r="D703" s="1" t="s">
        <v>444</v>
      </c>
      <c r="E703" s="11" t="s">
        <v>144</v>
      </c>
      <c r="F703" s="3" t="s">
        <v>8</v>
      </c>
      <c r="G703" s="66" t="s">
        <v>62</v>
      </c>
      <c r="H703" s="8"/>
      <c r="I703" s="8"/>
      <c r="J703" s="6" t="s">
        <v>106</v>
      </c>
      <c r="K703" s="38" t="s">
        <v>827</v>
      </c>
      <c r="L703" s="4" t="s">
        <v>29</v>
      </c>
      <c r="M703" s="11">
        <f>_xlfn.NUMBERVALUE(LEFT(Table613612[[#This Row],[Fiscal Year]], 4))</f>
        <v>2015</v>
      </c>
      <c r="O703" s="3">
        <v>701</v>
      </c>
    </row>
    <row r="704" spans="1:15" x14ac:dyDescent="0.25">
      <c r="A704" s="3">
        <v>4</v>
      </c>
      <c r="B704" s="25" t="s">
        <v>168</v>
      </c>
      <c r="C704" s="1" t="s">
        <v>12</v>
      </c>
      <c r="D704" s="1" t="s">
        <v>444</v>
      </c>
      <c r="E704" s="11" t="s">
        <v>144</v>
      </c>
      <c r="F704" s="3" t="s">
        <v>8</v>
      </c>
      <c r="G704" s="66" t="s">
        <v>211</v>
      </c>
      <c r="H704" s="8"/>
      <c r="I704" s="8"/>
      <c r="J704" s="6" t="s">
        <v>455</v>
      </c>
      <c r="K704" s="38" t="s">
        <v>827</v>
      </c>
      <c r="L704" s="4" t="s">
        <v>29</v>
      </c>
      <c r="M704" s="11">
        <f>_xlfn.NUMBERVALUE(LEFT(Table613612[[#This Row],[Fiscal Year]], 4))</f>
        <v>2015</v>
      </c>
      <c r="O704" s="3">
        <v>702</v>
      </c>
    </row>
    <row r="705" spans="1:15" x14ac:dyDescent="0.25">
      <c r="A705" s="3">
        <v>4</v>
      </c>
      <c r="B705" s="25" t="s">
        <v>168</v>
      </c>
      <c r="C705" s="1" t="s">
        <v>12</v>
      </c>
      <c r="D705" s="1" t="s">
        <v>444</v>
      </c>
      <c r="E705" s="11" t="s">
        <v>144</v>
      </c>
      <c r="F705" s="3" t="s">
        <v>8</v>
      </c>
      <c r="G705" s="66" t="s">
        <v>64</v>
      </c>
      <c r="H705" s="8"/>
      <c r="I705" s="8"/>
      <c r="J705" s="6" t="s">
        <v>76</v>
      </c>
      <c r="K705" s="38" t="s">
        <v>916</v>
      </c>
      <c r="L705" s="4" t="s">
        <v>29</v>
      </c>
      <c r="M705" s="11">
        <f>_xlfn.NUMBERVALUE(LEFT(Table613612[[#This Row],[Fiscal Year]], 4))</f>
        <v>2015</v>
      </c>
      <c r="O705" s="3">
        <v>703</v>
      </c>
    </row>
    <row r="706" spans="1:15" x14ac:dyDescent="0.25">
      <c r="A706" s="3">
        <v>4</v>
      </c>
      <c r="B706" s="25" t="s">
        <v>168</v>
      </c>
      <c r="C706" s="1" t="s">
        <v>12</v>
      </c>
      <c r="D706" s="1" t="s">
        <v>444</v>
      </c>
      <c r="E706" s="11" t="s">
        <v>144</v>
      </c>
      <c r="F706" s="3" t="s">
        <v>8</v>
      </c>
      <c r="G706" s="66" t="s">
        <v>65</v>
      </c>
      <c r="H706" s="8"/>
      <c r="I706" s="8"/>
      <c r="J706" s="6" t="s">
        <v>76</v>
      </c>
      <c r="K706" s="38" t="s">
        <v>916</v>
      </c>
      <c r="L706" s="4" t="s">
        <v>29</v>
      </c>
      <c r="M706" s="11">
        <f>_xlfn.NUMBERVALUE(LEFT(Table613612[[#This Row],[Fiscal Year]], 4))</f>
        <v>2015</v>
      </c>
      <c r="O706" s="3">
        <v>704</v>
      </c>
    </row>
    <row r="707" spans="1:15" x14ac:dyDescent="0.25">
      <c r="A707" s="3">
        <v>4</v>
      </c>
      <c r="B707" s="25" t="s">
        <v>168</v>
      </c>
      <c r="C707" s="1" t="s">
        <v>12</v>
      </c>
      <c r="D707" s="1" t="s">
        <v>444</v>
      </c>
      <c r="E707" s="11" t="s">
        <v>144</v>
      </c>
      <c r="F707" s="3" t="s">
        <v>8</v>
      </c>
      <c r="G707" s="66" t="s">
        <v>66</v>
      </c>
      <c r="H707" s="8"/>
      <c r="I707" s="8"/>
      <c r="J707" s="6" t="s">
        <v>76</v>
      </c>
      <c r="K707" s="38" t="s">
        <v>827</v>
      </c>
      <c r="L707" s="4" t="s">
        <v>29</v>
      </c>
      <c r="M707" s="11">
        <f>_xlfn.NUMBERVALUE(LEFT(Table613612[[#This Row],[Fiscal Year]], 4))</f>
        <v>2015</v>
      </c>
      <c r="O707" s="3">
        <v>705</v>
      </c>
    </row>
    <row r="708" spans="1:15" x14ac:dyDescent="0.25">
      <c r="A708" s="3">
        <v>4</v>
      </c>
      <c r="B708" s="25" t="s">
        <v>168</v>
      </c>
      <c r="C708" s="1" t="s">
        <v>12</v>
      </c>
      <c r="D708" s="1" t="s">
        <v>444</v>
      </c>
      <c r="E708" s="11" t="s">
        <v>144</v>
      </c>
      <c r="F708" s="3" t="s">
        <v>8</v>
      </c>
      <c r="G708" s="66" t="s">
        <v>33</v>
      </c>
      <c r="H708" s="8"/>
      <c r="I708" s="8"/>
      <c r="J708" s="6" t="s">
        <v>47</v>
      </c>
      <c r="K708" s="38">
        <v>55000</v>
      </c>
      <c r="L708" s="4" t="s">
        <v>29</v>
      </c>
      <c r="M708" s="11">
        <f>_xlfn.NUMBERVALUE(LEFT(Table613612[[#This Row],[Fiscal Year]], 4))</f>
        <v>2015</v>
      </c>
      <c r="N708" s="42">
        <f t="shared" si="16"/>
        <v>58395.379746835439</v>
      </c>
      <c r="O708" s="3">
        <v>706</v>
      </c>
    </row>
    <row r="709" spans="1:15" x14ac:dyDescent="0.25">
      <c r="A709" s="3">
        <v>4</v>
      </c>
      <c r="B709" s="25" t="s">
        <v>168</v>
      </c>
      <c r="C709" s="1" t="s">
        <v>12</v>
      </c>
      <c r="D709" s="1" t="s">
        <v>444</v>
      </c>
      <c r="E709" s="11" t="s">
        <v>144</v>
      </c>
      <c r="F709" s="3" t="s">
        <v>8</v>
      </c>
      <c r="G709" s="66" t="s">
        <v>67</v>
      </c>
      <c r="H709" s="8" t="s">
        <v>917</v>
      </c>
      <c r="I709" s="8" t="s">
        <v>429</v>
      </c>
      <c r="J709" s="6" t="s">
        <v>455</v>
      </c>
      <c r="K709" s="38">
        <v>4000</v>
      </c>
      <c r="L709" s="4" t="s">
        <v>29</v>
      </c>
      <c r="M709" s="11">
        <f>_xlfn.NUMBERVALUE(LEFT(Table613612[[#This Row],[Fiscal Year]], 4))</f>
        <v>2015</v>
      </c>
      <c r="N709" s="42">
        <f t="shared" si="16"/>
        <v>4246.9367088607596</v>
      </c>
      <c r="O709" s="3">
        <v>707</v>
      </c>
    </row>
    <row r="710" spans="1:15" x14ac:dyDescent="0.25">
      <c r="C710" s="1"/>
      <c r="D710" s="1"/>
      <c r="E710" s="11"/>
      <c r="G710" s="66"/>
      <c r="H710" s="8"/>
      <c r="I710" s="8"/>
      <c r="J710" s="6"/>
      <c r="L710" s="4"/>
      <c r="O710" s="3">
        <v>708</v>
      </c>
    </row>
    <row r="711" spans="1:15" x14ac:dyDescent="0.25">
      <c r="A711" s="3">
        <v>4</v>
      </c>
      <c r="B711" s="3" t="s">
        <v>169</v>
      </c>
      <c r="C711" s="1" t="s">
        <v>12</v>
      </c>
      <c r="D711" s="1" t="s">
        <v>444</v>
      </c>
      <c r="E711" s="11" t="s">
        <v>144</v>
      </c>
      <c r="F711" s="3" t="s">
        <v>8</v>
      </c>
      <c r="G711" s="48" t="s">
        <v>32</v>
      </c>
      <c r="H711" s="8"/>
      <c r="I711" s="8"/>
      <c r="J711" s="6" t="s">
        <v>110</v>
      </c>
      <c r="K711" s="38">
        <v>92668</v>
      </c>
      <c r="L711" s="4" t="s">
        <v>29</v>
      </c>
      <c r="M711" s="11">
        <f>_xlfn.NUMBERVALUE(LEFT(Table613612[[#This Row],[Fiscal Year]], 4))</f>
        <v>2015</v>
      </c>
      <c r="N711" s="42">
        <f t="shared" si="16"/>
        <v>98388.782734177206</v>
      </c>
      <c r="O711" s="3">
        <v>709</v>
      </c>
    </row>
    <row r="712" spans="1:15" x14ac:dyDescent="0.25">
      <c r="A712" s="3">
        <v>4</v>
      </c>
      <c r="B712" s="3" t="s">
        <v>169</v>
      </c>
      <c r="C712" s="1" t="s">
        <v>12</v>
      </c>
      <c r="D712" s="1" t="s">
        <v>444</v>
      </c>
      <c r="E712" s="11" t="s">
        <v>144</v>
      </c>
      <c r="F712" s="3" t="s">
        <v>8</v>
      </c>
      <c r="G712" s="66" t="s">
        <v>58</v>
      </c>
      <c r="H712" s="8"/>
      <c r="I712" s="8"/>
      <c r="J712" s="6" t="s">
        <v>453</v>
      </c>
      <c r="K712" s="38">
        <v>3302.75</v>
      </c>
      <c r="L712" s="4" t="s">
        <v>29</v>
      </c>
      <c r="M712" s="11">
        <f>_xlfn.NUMBERVALUE(LEFT(Table613612[[#This Row],[Fiscal Year]], 4))</f>
        <v>2015</v>
      </c>
      <c r="N712" s="42">
        <f t="shared" si="16"/>
        <v>3506.6425537974683</v>
      </c>
      <c r="O712" s="3">
        <v>710</v>
      </c>
    </row>
    <row r="713" spans="1:15" x14ac:dyDescent="0.25">
      <c r="A713" s="3">
        <v>4</v>
      </c>
      <c r="B713" s="3" t="s">
        <v>169</v>
      </c>
      <c r="C713" s="1" t="s">
        <v>12</v>
      </c>
      <c r="D713" s="1" t="s">
        <v>444</v>
      </c>
      <c r="E713" s="11" t="s">
        <v>144</v>
      </c>
      <c r="F713" s="3" t="s">
        <v>8</v>
      </c>
      <c r="G713" s="66" t="s">
        <v>208</v>
      </c>
      <c r="H713" s="8"/>
      <c r="I713" s="8"/>
      <c r="J713" s="6" t="s">
        <v>109</v>
      </c>
      <c r="K713" s="38">
        <v>19536</v>
      </c>
      <c r="L713" s="4" t="s">
        <v>29</v>
      </c>
      <c r="M713" s="11">
        <f>_xlfn.NUMBERVALUE(LEFT(Table613612[[#This Row],[Fiscal Year]], 4))</f>
        <v>2015</v>
      </c>
      <c r="N713" s="42">
        <f t="shared" si="16"/>
        <v>20742.038886075949</v>
      </c>
      <c r="O713" s="3">
        <v>711</v>
      </c>
    </row>
    <row r="714" spans="1:15" x14ac:dyDescent="0.25">
      <c r="A714" s="3">
        <v>4</v>
      </c>
      <c r="B714" s="3" t="s">
        <v>169</v>
      </c>
      <c r="C714" s="1" t="s">
        <v>12</v>
      </c>
      <c r="D714" s="1" t="s">
        <v>444</v>
      </c>
      <c r="E714" s="11" t="s">
        <v>144</v>
      </c>
      <c r="F714" s="3" t="s">
        <v>8</v>
      </c>
      <c r="G714" s="48" t="s">
        <v>59</v>
      </c>
      <c r="H714" s="8"/>
      <c r="I714" s="8"/>
      <c r="J714" s="6" t="s">
        <v>111</v>
      </c>
      <c r="K714" s="38">
        <v>27400.63</v>
      </c>
      <c r="L714" s="4" t="s">
        <v>29</v>
      </c>
      <c r="M714" s="11">
        <f>_xlfn.NUMBERVALUE(LEFT(Table613612[[#This Row],[Fiscal Year]], 4))</f>
        <v>2015</v>
      </c>
      <c r="N714" s="42">
        <f t="shared" si="16"/>
        <v>29092.185348227846</v>
      </c>
      <c r="O714" s="3">
        <v>712</v>
      </c>
    </row>
    <row r="715" spans="1:15" x14ac:dyDescent="0.25">
      <c r="A715" s="3">
        <v>4</v>
      </c>
      <c r="B715" s="3" t="s">
        <v>169</v>
      </c>
      <c r="C715" s="1" t="s">
        <v>12</v>
      </c>
      <c r="D715" s="1" t="s">
        <v>444</v>
      </c>
      <c r="E715" s="11" t="s">
        <v>144</v>
      </c>
      <c r="F715" s="3" t="s">
        <v>8</v>
      </c>
      <c r="G715" s="66" t="s">
        <v>60</v>
      </c>
      <c r="H715" s="8"/>
      <c r="I715" s="8"/>
      <c r="J715" s="6" t="s">
        <v>111</v>
      </c>
      <c r="K715" s="38">
        <v>12372.5</v>
      </c>
      <c r="L715" s="4" t="s">
        <v>29</v>
      </c>
      <c r="M715" s="11">
        <f>_xlfn.NUMBERVALUE(LEFT(Table613612[[#This Row],[Fiscal Year]], 4))</f>
        <v>2015</v>
      </c>
      <c r="N715" s="42">
        <f t="shared" si="16"/>
        <v>13136.306107594935</v>
      </c>
      <c r="O715" s="3">
        <v>713</v>
      </c>
    </row>
    <row r="716" spans="1:15" x14ac:dyDescent="0.25">
      <c r="A716" s="3">
        <v>4</v>
      </c>
      <c r="B716" s="3" t="s">
        <v>169</v>
      </c>
      <c r="C716" s="1" t="s">
        <v>12</v>
      </c>
      <c r="D716" s="1" t="s">
        <v>444</v>
      </c>
      <c r="E716" s="11" t="s">
        <v>144</v>
      </c>
      <c r="F716" s="3" t="s">
        <v>8</v>
      </c>
      <c r="G716" s="48" t="s">
        <v>61</v>
      </c>
      <c r="H716" s="8"/>
      <c r="I716" s="8"/>
      <c r="J716" s="6" t="s">
        <v>108</v>
      </c>
      <c r="K716" s="38">
        <v>860610.5</v>
      </c>
      <c r="L716" s="4" t="s">
        <v>29</v>
      </c>
      <c r="M716" s="11">
        <f>_xlfn.NUMBERVALUE(LEFT(Table613612[[#This Row],[Fiscal Year]], 4))</f>
        <v>2015</v>
      </c>
      <c r="N716" s="42">
        <f t="shared" ref="N716:N779" si="17">K716*(1+VLOOKUP(M716,$AF$8:$AH$31,3,0))</f>
        <v>913739.58112025307</v>
      </c>
      <c r="O716" s="3">
        <v>714</v>
      </c>
    </row>
    <row r="717" spans="1:15" x14ac:dyDescent="0.25">
      <c r="A717" s="3">
        <v>4</v>
      </c>
      <c r="B717" s="3" t="s">
        <v>169</v>
      </c>
      <c r="C717" s="1" t="s">
        <v>12</v>
      </c>
      <c r="D717" s="1" t="s">
        <v>444</v>
      </c>
      <c r="E717" s="11" t="s">
        <v>144</v>
      </c>
      <c r="F717" s="3" t="s">
        <v>8</v>
      </c>
      <c r="G717" s="66" t="s">
        <v>62</v>
      </c>
      <c r="H717" s="8"/>
      <c r="I717" s="8"/>
      <c r="J717" s="6" t="s">
        <v>106</v>
      </c>
      <c r="K717" s="38">
        <v>10000</v>
      </c>
      <c r="L717" s="4" t="s">
        <v>29</v>
      </c>
      <c r="M717" s="11">
        <f>_xlfn.NUMBERVALUE(LEFT(Table613612[[#This Row],[Fiscal Year]], 4))</f>
        <v>2015</v>
      </c>
      <c r="N717" s="42">
        <f t="shared" si="17"/>
        <v>10617.341772151898</v>
      </c>
      <c r="O717" s="3">
        <v>715</v>
      </c>
    </row>
    <row r="718" spans="1:15" x14ac:dyDescent="0.25">
      <c r="A718" s="3">
        <v>4</v>
      </c>
      <c r="B718" s="3" t="s">
        <v>169</v>
      </c>
      <c r="C718" s="1" t="s">
        <v>12</v>
      </c>
      <c r="D718" s="1" t="s">
        <v>444</v>
      </c>
      <c r="E718" s="11" t="s">
        <v>144</v>
      </c>
      <c r="F718" s="3" t="s">
        <v>8</v>
      </c>
      <c r="G718" s="66" t="s">
        <v>211</v>
      </c>
      <c r="H718" s="8"/>
      <c r="I718" s="8"/>
      <c r="J718" s="6" t="s">
        <v>455</v>
      </c>
      <c r="K718" s="38" t="s">
        <v>827</v>
      </c>
      <c r="L718" s="4" t="s">
        <v>29</v>
      </c>
      <c r="M718" s="11">
        <f>_xlfn.NUMBERVALUE(LEFT(Table613612[[#This Row],[Fiscal Year]], 4))</f>
        <v>2015</v>
      </c>
      <c r="O718" s="3">
        <v>716</v>
      </c>
    </row>
    <row r="719" spans="1:15" x14ac:dyDescent="0.25">
      <c r="A719" s="3">
        <v>4</v>
      </c>
      <c r="B719" s="3" t="s">
        <v>169</v>
      </c>
      <c r="C719" s="1" t="s">
        <v>12</v>
      </c>
      <c r="D719" s="1" t="s">
        <v>444</v>
      </c>
      <c r="E719" s="11" t="s">
        <v>144</v>
      </c>
      <c r="F719" s="3" t="s">
        <v>8</v>
      </c>
      <c r="G719" s="66" t="s">
        <v>64</v>
      </c>
      <c r="H719" s="8"/>
      <c r="I719" s="8"/>
      <c r="J719" s="6" t="s">
        <v>76</v>
      </c>
      <c r="K719" s="38" t="s">
        <v>827</v>
      </c>
      <c r="L719" s="4" t="s">
        <v>29</v>
      </c>
      <c r="M719" s="11">
        <f>_xlfn.NUMBERVALUE(LEFT(Table613612[[#This Row],[Fiscal Year]], 4))</f>
        <v>2015</v>
      </c>
      <c r="O719" s="3">
        <v>717</v>
      </c>
    </row>
    <row r="720" spans="1:15" x14ac:dyDescent="0.25">
      <c r="A720" s="3">
        <v>4</v>
      </c>
      <c r="B720" s="3" t="s">
        <v>169</v>
      </c>
      <c r="C720" s="1" t="s">
        <v>12</v>
      </c>
      <c r="D720" s="1" t="s">
        <v>444</v>
      </c>
      <c r="E720" s="11" t="s">
        <v>144</v>
      </c>
      <c r="F720" s="3" t="s">
        <v>8</v>
      </c>
      <c r="G720" s="66" t="s">
        <v>65</v>
      </c>
      <c r="H720" s="8"/>
      <c r="I720" s="8"/>
      <c r="J720" s="6" t="s">
        <v>76</v>
      </c>
      <c r="K720" s="38" t="s">
        <v>827</v>
      </c>
      <c r="L720" s="4" t="s">
        <v>29</v>
      </c>
      <c r="M720" s="11">
        <f>_xlfn.NUMBERVALUE(LEFT(Table613612[[#This Row],[Fiscal Year]], 4))</f>
        <v>2015</v>
      </c>
      <c r="O720" s="3">
        <v>718</v>
      </c>
    </row>
    <row r="721" spans="1:15" x14ac:dyDescent="0.25">
      <c r="A721" s="3">
        <v>4</v>
      </c>
      <c r="B721" s="3" t="s">
        <v>169</v>
      </c>
      <c r="C721" s="1" t="s">
        <v>12</v>
      </c>
      <c r="D721" s="1" t="s">
        <v>444</v>
      </c>
      <c r="E721" s="11" t="s">
        <v>144</v>
      </c>
      <c r="F721" s="3" t="s">
        <v>8</v>
      </c>
      <c r="G721" s="66" t="s">
        <v>66</v>
      </c>
      <c r="H721" s="8"/>
      <c r="I721" s="8"/>
      <c r="J721" s="6" t="s">
        <v>76</v>
      </c>
      <c r="K721" s="38" t="s">
        <v>827</v>
      </c>
      <c r="L721" s="4" t="s">
        <v>29</v>
      </c>
      <c r="M721" s="11">
        <f>_xlfn.NUMBERVALUE(LEFT(Table613612[[#This Row],[Fiscal Year]], 4))</f>
        <v>2015</v>
      </c>
      <c r="O721" s="3">
        <v>719</v>
      </c>
    </row>
    <row r="722" spans="1:15" x14ac:dyDescent="0.25">
      <c r="A722" s="3">
        <v>4</v>
      </c>
      <c r="B722" s="3" t="s">
        <v>169</v>
      </c>
      <c r="C722" s="1" t="s">
        <v>12</v>
      </c>
      <c r="D722" s="1" t="s">
        <v>444</v>
      </c>
      <c r="E722" s="11" t="s">
        <v>144</v>
      </c>
      <c r="F722" s="3" t="s">
        <v>8</v>
      </c>
      <c r="G722" s="66" t="s">
        <v>33</v>
      </c>
      <c r="H722" s="8"/>
      <c r="I722" s="8"/>
      <c r="J722" s="6" t="s">
        <v>47</v>
      </c>
      <c r="K722" s="38">
        <v>2249.25</v>
      </c>
      <c r="L722" s="4" t="s">
        <v>29</v>
      </c>
      <c r="M722" s="11">
        <f>_xlfn.NUMBERVALUE(LEFT(Table613612[[#This Row],[Fiscal Year]], 4))</f>
        <v>2015</v>
      </c>
      <c r="N722" s="42">
        <f t="shared" si="17"/>
        <v>2388.1055981012655</v>
      </c>
      <c r="O722" s="3">
        <v>720</v>
      </c>
    </row>
    <row r="723" spans="1:15" x14ac:dyDescent="0.25">
      <c r="A723" s="3">
        <v>4</v>
      </c>
      <c r="B723" s="3" t="s">
        <v>169</v>
      </c>
      <c r="C723" s="1" t="s">
        <v>12</v>
      </c>
      <c r="D723" s="1" t="s">
        <v>444</v>
      </c>
      <c r="E723" s="11" t="s">
        <v>144</v>
      </c>
      <c r="F723" s="3" t="s">
        <v>8</v>
      </c>
      <c r="G723" s="66" t="s">
        <v>67</v>
      </c>
      <c r="H723" s="8" t="s">
        <v>918</v>
      </c>
      <c r="I723" s="8" t="s">
        <v>429</v>
      </c>
      <c r="J723" s="6" t="s">
        <v>455</v>
      </c>
      <c r="K723" s="38">
        <v>13044</v>
      </c>
      <c r="L723" s="4" t="s">
        <v>29</v>
      </c>
      <c r="M723" s="11">
        <f>_xlfn.NUMBERVALUE(LEFT(Table613612[[#This Row],[Fiscal Year]], 4))</f>
        <v>2015</v>
      </c>
      <c r="N723" s="42">
        <f t="shared" si="17"/>
        <v>13849.260607594935</v>
      </c>
      <c r="O723" s="3">
        <v>721</v>
      </c>
    </row>
    <row r="724" spans="1:15" x14ac:dyDescent="0.25">
      <c r="C724" s="1"/>
      <c r="D724" s="1"/>
      <c r="E724" s="11"/>
      <c r="G724" s="66"/>
      <c r="H724" s="8"/>
      <c r="I724" s="8"/>
      <c r="J724" s="6"/>
      <c r="L724" s="4"/>
      <c r="O724" s="3">
        <v>722</v>
      </c>
    </row>
    <row r="725" spans="1:15" x14ac:dyDescent="0.25">
      <c r="A725" s="3">
        <v>4</v>
      </c>
      <c r="B725" s="3" t="s">
        <v>170</v>
      </c>
      <c r="C725" s="1" t="s">
        <v>12</v>
      </c>
      <c r="D725" s="1" t="s">
        <v>444</v>
      </c>
      <c r="E725" s="11" t="s">
        <v>144</v>
      </c>
      <c r="F725" s="3" t="s">
        <v>8</v>
      </c>
      <c r="G725" s="48" t="s">
        <v>32</v>
      </c>
      <c r="H725" s="8"/>
      <c r="I725" s="8"/>
      <c r="J725" s="6" t="s">
        <v>110</v>
      </c>
      <c r="K725" s="38">
        <v>200000</v>
      </c>
      <c r="L725" s="4" t="s">
        <v>29</v>
      </c>
      <c r="M725" s="11">
        <f>_xlfn.NUMBERVALUE(LEFT(Table613612[[#This Row],[Fiscal Year]], 4))</f>
        <v>2015</v>
      </c>
      <c r="N725" s="42">
        <f t="shared" si="17"/>
        <v>212346.83544303797</v>
      </c>
      <c r="O725" s="3">
        <v>723</v>
      </c>
    </row>
    <row r="726" spans="1:15" x14ac:dyDescent="0.25">
      <c r="A726" s="3">
        <v>4</v>
      </c>
      <c r="B726" s="3" t="s">
        <v>170</v>
      </c>
      <c r="C726" s="1" t="s">
        <v>12</v>
      </c>
      <c r="D726" s="1" t="s">
        <v>444</v>
      </c>
      <c r="E726" s="11" t="s">
        <v>144</v>
      </c>
      <c r="F726" s="3" t="s">
        <v>8</v>
      </c>
      <c r="G726" s="66" t="s">
        <v>58</v>
      </c>
      <c r="H726" s="8"/>
      <c r="I726" s="8"/>
      <c r="J726" s="6" t="s">
        <v>453</v>
      </c>
      <c r="K726" s="38">
        <v>10000</v>
      </c>
      <c r="L726" s="4" t="s">
        <v>29</v>
      </c>
      <c r="M726" s="11">
        <f>_xlfn.NUMBERVALUE(LEFT(Table613612[[#This Row],[Fiscal Year]], 4))</f>
        <v>2015</v>
      </c>
      <c r="N726" s="42">
        <f t="shared" si="17"/>
        <v>10617.341772151898</v>
      </c>
      <c r="O726" s="3">
        <v>724</v>
      </c>
    </row>
    <row r="727" spans="1:15" x14ac:dyDescent="0.25">
      <c r="A727" s="3">
        <v>4</v>
      </c>
      <c r="B727" s="3" t="s">
        <v>170</v>
      </c>
      <c r="C727" s="1" t="s">
        <v>12</v>
      </c>
      <c r="D727" s="1" t="s">
        <v>444</v>
      </c>
      <c r="E727" s="11" t="s">
        <v>144</v>
      </c>
      <c r="F727" s="3" t="s">
        <v>8</v>
      </c>
      <c r="G727" s="66" t="s">
        <v>208</v>
      </c>
      <c r="H727" s="8"/>
      <c r="I727" s="8"/>
      <c r="J727" s="6" t="s">
        <v>109</v>
      </c>
      <c r="K727" s="38">
        <v>25000</v>
      </c>
      <c r="L727" s="4" t="s">
        <v>29</v>
      </c>
      <c r="M727" s="11">
        <f>_xlfn.NUMBERVALUE(LEFT(Table613612[[#This Row],[Fiscal Year]], 4))</f>
        <v>2015</v>
      </c>
      <c r="N727" s="42">
        <f t="shared" si="17"/>
        <v>26543.354430379746</v>
      </c>
      <c r="O727" s="3">
        <v>725</v>
      </c>
    </row>
    <row r="728" spans="1:15" x14ac:dyDescent="0.25">
      <c r="A728" s="3">
        <v>4</v>
      </c>
      <c r="B728" s="3" t="s">
        <v>170</v>
      </c>
      <c r="C728" s="1" t="s">
        <v>12</v>
      </c>
      <c r="D728" s="1" t="s">
        <v>444</v>
      </c>
      <c r="E728" s="11" t="s">
        <v>144</v>
      </c>
      <c r="F728" s="3" t="s">
        <v>8</v>
      </c>
      <c r="G728" s="48" t="s">
        <v>59</v>
      </c>
      <c r="H728" s="8"/>
      <c r="I728" s="8"/>
      <c r="J728" s="6" t="s">
        <v>111</v>
      </c>
      <c r="K728" s="38">
        <v>20000</v>
      </c>
      <c r="L728" s="4" t="s">
        <v>29</v>
      </c>
      <c r="M728" s="11">
        <f>_xlfn.NUMBERVALUE(LEFT(Table613612[[#This Row],[Fiscal Year]], 4))</f>
        <v>2015</v>
      </c>
      <c r="N728" s="42">
        <f t="shared" si="17"/>
        <v>21234.683544303796</v>
      </c>
      <c r="O728" s="3">
        <v>726</v>
      </c>
    </row>
    <row r="729" spans="1:15" x14ac:dyDescent="0.25">
      <c r="A729" s="3">
        <v>4</v>
      </c>
      <c r="B729" s="3" t="s">
        <v>170</v>
      </c>
      <c r="C729" s="1" t="s">
        <v>12</v>
      </c>
      <c r="D729" s="1" t="s">
        <v>444</v>
      </c>
      <c r="E729" s="11" t="s">
        <v>144</v>
      </c>
      <c r="F729" s="3" t="s">
        <v>8</v>
      </c>
      <c r="G729" s="66" t="s">
        <v>60</v>
      </c>
      <c r="H729" s="8"/>
      <c r="I729" s="8"/>
      <c r="J729" s="6" t="s">
        <v>111</v>
      </c>
      <c r="K729" s="38">
        <v>15000</v>
      </c>
      <c r="L729" s="4" t="s">
        <v>29</v>
      </c>
      <c r="M729" s="11">
        <f>_xlfn.NUMBERVALUE(LEFT(Table613612[[#This Row],[Fiscal Year]], 4))</f>
        <v>2015</v>
      </c>
      <c r="N729" s="42">
        <f t="shared" si="17"/>
        <v>15926.012658227848</v>
      </c>
      <c r="O729" s="3">
        <v>727</v>
      </c>
    </row>
    <row r="730" spans="1:15" x14ac:dyDescent="0.25">
      <c r="A730" s="3">
        <v>4</v>
      </c>
      <c r="B730" s="3" t="s">
        <v>170</v>
      </c>
      <c r="C730" s="1" t="s">
        <v>12</v>
      </c>
      <c r="D730" s="1" t="s">
        <v>444</v>
      </c>
      <c r="E730" s="11" t="s">
        <v>144</v>
      </c>
      <c r="F730" s="3" t="s">
        <v>8</v>
      </c>
      <c r="G730" s="48" t="s">
        <v>61</v>
      </c>
      <c r="H730" s="8"/>
      <c r="I730" s="8"/>
      <c r="J730" s="6" t="s">
        <v>108</v>
      </c>
      <c r="K730" s="38">
        <v>389500</v>
      </c>
      <c r="L730" s="4" t="s">
        <v>29</v>
      </c>
      <c r="M730" s="11">
        <f>_xlfn.NUMBERVALUE(LEFT(Table613612[[#This Row],[Fiscal Year]], 4))</f>
        <v>2015</v>
      </c>
      <c r="N730" s="42">
        <f t="shared" si="17"/>
        <v>413545.46202531643</v>
      </c>
      <c r="O730" s="3">
        <v>728</v>
      </c>
    </row>
    <row r="731" spans="1:15" x14ac:dyDescent="0.25">
      <c r="A731" s="3">
        <v>4</v>
      </c>
      <c r="B731" s="3" t="s">
        <v>170</v>
      </c>
      <c r="C731" s="1" t="s">
        <v>12</v>
      </c>
      <c r="D731" s="1" t="s">
        <v>444</v>
      </c>
      <c r="E731" s="11" t="s">
        <v>144</v>
      </c>
      <c r="F731" s="3" t="s">
        <v>8</v>
      </c>
      <c r="G731" s="66" t="s">
        <v>62</v>
      </c>
      <c r="H731" s="8"/>
      <c r="I731" s="8"/>
      <c r="J731" s="6" t="s">
        <v>106</v>
      </c>
      <c r="K731" s="38">
        <v>110000</v>
      </c>
      <c r="L731" s="4" t="s">
        <v>29</v>
      </c>
      <c r="M731" s="11">
        <f>_xlfn.NUMBERVALUE(LEFT(Table613612[[#This Row],[Fiscal Year]], 4))</f>
        <v>2015</v>
      </c>
      <c r="N731" s="42">
        <f t="shared" si="17"/>
        <v>116790.75949367088</v>
      </c>
      <c r="O731" s="3">
        <v>729</v>
      </c>
    </row>
    <row r="732" spans="1:15" x14ac:dyDescent="0.25">
      <c r="A732" s="3">
        <v>4</v>
      </c>
      <c r="B732" s="3" t="s">
        <v>170</v>
      </c>
      <c r="C732" s="1" t="s">
        <v>12</v>
      </c>
      <c r="D732" s="1" t="s">
        <v>444</v>
      </c>
      <c r="E732" s="11" t="s">
        <v>144</v>
      </c>
      <c r="F732" s="3" t="s">
        <v>8</v>
      </c>
      <c r="G732" s="66" t="s">
        <v>211</v>
      </c>
      <c r="H732" s="8"/>
      <c r="I732" s="8"/>
      <c r="J732" s="6" t="s">
        <v>455</v>
      </c>
      <c r="K732" s="38" t="s">
        <v>827</v>
      </c>
      <c r="L732" s="4" t="s">
        <v>29</v>
      </c>
      <c r="M732" s="11">
        <f>_xlfn.NUMBERVALUE(LEFT(Table613612[[#This Row],[Fiscal Year]], 4))</f>
        <v>2015</v>
      </c>
      <c r="O732" s="3">
        <v>730</v>
      </c>
    </row>
    <row r="733" spans="1:15" x14ac:dyDescent="0.25">
      <c r="A733" s="3">
        <v>4</v>
      </c>
      <c r="B733" s="3" t="s">
        <v>170</v>
      </c>
      <c r="C733" s="1" t="s">
        <v>12</v>
      </c>
      <c r="D733" s="1" t="s">
        <v>444</v>
      </c>
      <c r="E733" s="11" t="s">
        <v>144</v>
      </c>
      <c r="F733" s="3" t="s">
        <v>8</v>
      </c>
      <c r="G733" s="66" t="s">
        <v>64</v>
      </c>
      <c r="H733" s="8"/>
      <c r="I733" s="8"/>
      <c r="J733" s="6" t="s">
        <v>76</v>
      </c>
      <c r="K733" s="38" t="s">
        <v>827</v>
      </c>
      <c r="L733" s="4" t="s">
        <v>29</v>
      </c>
      <c r="M733" s="11">
        <f>_xlfn.NUMBERVALUE(LEFT(Table613612[[#This Row],[Fiscal Year]], 4))</f>
        <v>2015</v>
      </c>
      <c r="O733" s="3">
        <v>731</v>
      </c>
    </row>
    <row r="734" spans="1:15" x14ac:dyDescent="0.25">
      <c r="A734" s="3">
        <v>4</v>
      </c>
      <c r="B734" s="3" t="s">
        <v>170</v>
      </c>
      <c r="C734" s="1" t="s">
        <v>12</v>
      </c>
      <c r="D734" s="1" t="s">
        <v>444</v>
      </c>
      <c r="E734" s="11" t="s">
        <v>144</v>
      </c>
      <c r="F734" s="3" t="s">
        <v>8</v>
      </c>
      <c r="G734" s="66" t="s">
        <v>65</v>
      </c>
      <c r="H734" s="8"/>
      <c r="I734" s="8"/>
      <c r="J734" s="6" t="s">
        <v>76</v>
      </c>
      <c r="K734" s="38" t="s">
        <v>827</v>
      </c>
      <c r="L734" s="4" t="s">
        <v>29</v>
      </c>
      <c r="M734" s="11">
        <f>_xlfn.NUMBERVALUE(LEFT(Table613612[[#This Row],[Fiscal Year]], 4))</f>
        <v>2015</v>
      </c>
      <c r="O734" s="3">
        <v>732</v>
      </c>
    </row>
    <row r="735" spans="1:15" x14ac:dyDescent="0.25">
      <c r="A735" s="3">
        <v>4</v>
      </c>
      <c r="B735" s="3" t="s">
        <v>170</v>
      </c>
      <c r="C735" s="1" t="s">
        <v>12</v>
      </c>
      <c r="D735" s="1" t="s">
        <v>444</v>
      </c>
      <c r="E735" s="11" t="s">
        <v>144</v>
      </c>
      <c r="F735" s="3" t="s">
        <v>8</v>
      </c>
      <c r="G735" s="66" t="s">
        <v>66</v>
      </c>
      <c r="H735" s="8"/>
      <c r="I735" s="8"/>
      <c r="J735" s="6" t="s">
        <v>76</v>
      </c>
      <c r="K735" s="38" t="s">
        <v>827</v>
      </c>
      <c r="L735" s="4" t="s">
        <v>29</v>
      </c>
      <c r="M735" s="11">
        <f>_xlfn.NUMBERVALUE(LEFT(Table613612[[#This Row],[Fiscal Year]], 4))</f>
        <v>2015</v>
      </c>
      <c r="O735" s="3">
        <v>733</v>
      </c>
    </row>
    <row r="736" spans="1:15" x14ac:dyDescent="0.25">
      <c r="A736" s="3">
        <v>4</v>
      </c>
      <c r="B736" s="3" t="s">
        <v>170</v>
      </c>
      <c r="C736" s="1" t="s">
        <v>12</v>
      </c>
      <c r="D736" s="1" t="s">
        <v>444</v>
      </c>
      <c r="E736" s="11" t="s">
        <v>144</v>
      </c>
      <c r="F736" s="3" t="s">
        <v>8</v>
      </c>
      <c r="G736" s="66" t="s">
        <v>33</v>
      </c>
      <c r="H736" s="8"/>
      <c r="I736" s="8"/>
      <c r="J736" s="6" t="s">
        <v>47</v>
      </c>
      <c r="K736" s="38">
        <v>15000</v>
      </c>
      <c r="L736" s="4" t="s">
        <v>29</v>
      </c>
      <c r="M736" s="11">
        <f>_xlfn.NUMBERVALUE(LEFT(Table613612[[#This Row],[Fiscal Year]], 4))</f>
        <v>2015</v>
      </c>
      <c r="N736" s="42">
        <f t="shared" si="17"/>
        <v>15926.012658227848</v>
      </c>
      <c r="O736" s="3">
        <v>734</v>
      </c>
    </row>
    <row r="737" spans="1:15" x14ac:dyDescent="0.25">
      <c r="A737" s="3">
        <v>4</v>
      </c>
      <c r="B737" s="3" t="s">
        <v>170</v>
      </c>
      <c r="C737" s="1" t="s">
        <v>12</v>
      </c>
      <c r="D737" s="1" t="s">
        <v>444</v>
      </c>
      <c r="E737" s="11" t="s">
        <v>144</v>
      </c>
      <c r="F737" s="3" t="s">
        <v>8</v>
      </c>
      <c r="G737" s="66" t="s">
        <v>67</v>
      </c>
      <c r="H737" s="8" t="s">
        <v>919</v>
      </c>
      <c r="I737" s="8" t="s">
        <v>429</v>
      </c>
      <c r="J737" s="6" t="s">
        <v>455</v>
      </c>
      <c r="K737" s="38">
        <v>190550</v>
      </c>
      <c r="L737" s="4" t="s">
        <v>29</v>
      </c>
      <c r="M737" s="11">
        <f>_xlfn.NUMBERVALUE(LEFT(Table613612[[#This Row],[Fiscal Year]], 4))</f>
        <v>2015</v>
      </c>
      <c r="N737" s="42">
        <f t="shared" si="17"/>
        <v>202313.44746835442</v>
      </c>
      <c r="O737" s="3">
        <v>735</v>
      </c>
    </row>
    <row r="738" spans="1:15" x14ac:dyDescent="0.25">
      <c r="C738" s="1"/>
      <c r="D738" s="1"/>
      <c r="E738" s="11"/>
      <c r="G738" s="66"/>
      <c r="H738" s="8"/>
      <c r="I738" s="8"/>
      <c r="J738" s="6"/>
      <c r="L738" s="4"/>
      <c r="O738" s="3">
        <v>736</v>
      </c>
    </row>
    <row r="739" spans="1:15" x14ac:dyDescent="0.25">
      <c r="A739" s="3">
        <v>4</v>
      </c>
      <c r="B739" s="3" t="s">
        <v>171</v>
      </c>
      <c r="C739" s="1" t="s">
        <v>12</v>
      </c>
      <c r="D739" s="1" t="s">
        <v>444</v>
      </c>
      <c r="E739" s="11" t="s">
        <v>144</v>
      </c>
      <c r="F739" s="3" t="s">
        <v>8</v>
      </c>
      <c r="G739" s="48" t="s">
        <v>32</v>
      </c>
      <c r="H739" s="8"/>
      <c r="I739" s="8"/>
      <c r="J739" s="6" t="s">
        <v>110</v>
      </c>
      <c r="K739" s="38">
        <v>30000</v>
      </c>
      <c r="L739" s="4" t="s">
        <v>29</v>
      </c>
      <c r="M739" s="11">
        <f>_xlfn.NUMBERVALUE(LEFT(Table613612[[#This Row],[Fiscal Year]], 4))</f>
        <v>2015</v>
      </c>
      <c r="N739" s="42">
        <f t="shared" si="17"/>
        <v>31852.025316455696</v>
      </c>
      <c r="O739" s="3">
        <v>737</v>
      </c>
    </row>
    <row r="740" spans="1:15" x14ac:dyDescent="0.25">
      <c r="A740" s="3">
        <v>4</v>
      </c>
      <c r="B740" s="3" t="s">
        <v>171</v>
      </c>
      <c r="C740" s="1" t="s">
        <v>12</v>
      </c>
      <c r="D740" s="1" t="s">
        <v>444</v>
      </c>
      <c r="E740" s="11" t="s">
        <v>144</v>
      </c>
      <c r="F740" s="3" t="s">
        <v>8</v>
      </c>
      <c r="G740" s="66" t="s">
        <v>58</v>
      </c>
      <c r="H740" s="8"/>
      <c r="I740" s="8"/>
      <c r="J740" s="6" t="s">
        <v>453</v>
      </c>
      <c r="K740" s="38">
        <v>20000</v>
      </c>
      <c r="L740" s="4" t="s">
        <v>29</v>
      </c>
      <c r="M740" s="11">
        <f>_xlfn.NUMBERVALUE(LEFT(Table613612[[#This Row],[Fiscal Year]], 4))</f>
        <v>2015</v>
      </c>
      <c r="N740" s="42">
        <f t="shared" si="17"/>
        <v>21234.683544303796</v>
      </c>
      <c r="O740" s="3">
        <v>738</v>
      </c>
    </row>
    <row r="741" spans="1:15" x14ac:dyDescent="0.25">
      <c r="A741" s="3">
        <v>4</v>
      </c>
      <c r="B741" s="3" t="s">
        <v>171</v>
      </c>
      <c r="C741" s="1" t="s">
        <v>12</v>
      </c>
      <c r="D741" s="1" t="s">
        <v>444</v>
      </c>
      <c r="E741" s="11" t="s">
        <v>144</v>
      </c>
      <c r="F741" s="3" t="s">
        <v>8</v>
      </c>
      <c r="G741" s="66" t="s">
        <v>208</v>
      </c>
      <c r="H741" s="8"/>
      <c r="I741" s="8"/>
      <c r="J741" s="6" t="s">
        <v>109</v>
      </c>
      <c r="K741" s="38">
        <v>75000</v>
      </c>
      <c r="L741" s="4" t="s">
        <v>29</v>
      </c>
      <c r="M741" s="11">
        <f>_xlfn.NUMBERVALUE(LEFT(Table613612[[#This Row],[Fiscal Year]], 4))</f>
        <v>2015</v>
      </c>
      <c r="N741" s="42">
        <f t="shared" si="17"/>
        <v>79630.063291139231</v>
      </c>
      <c r="O741" s="3">
        <v>739</v>
      </c>
    </row>
    <row r="742" spans="1:15" x14ac:dyDescent="0.25">
      <c r="A742" s="3">
        <v>4</v>
      </c>
      <c r="B742" s="3" t="s">
        <v>171</v>
      </c>
      <c r="C742" s="1" t="s">
        <v>12</v>
      </c>
      <c r="D742" s="1" t="s">
        <v>444</v>
      </c>
      <c r="E742" s="11" t="s">
        <v>144</v>
      </c>
      <c r="F742" s="3" t="s">
        <v>8</v>
      </c>
      <c r="G742" s="48" t="s">
        <v>59</v>
      </c>
      <c r="H742" s="8"/>
      <c r="I742" s="8"/>
      <c r="J742" s="6" t="s">
        <v>111</v>
      </c>
      <c r="K742" s="38">
        <v>10000</v>
      </c>
      <c r="L742" s="4" t="s">
        <v>29</v>
      </c>
      <c r="M742" s="11">
        <f>_xlfn.NUMBERVALUE(LEFT(Table613612[[#This Row],[Fiscal Year]], 4))</f>
        <v>2015</v>
      </c>
      <c r="N742" s="42">
        <f t="shared" si="17"/>
        <v>10617.341772151898</v>
      </c>
      <c r="O742" s="3">
        <v>740</v>
      </c>
    </row>
    <row r="743" spans="1:15" x14ac:dyDescent="0.25">
      <c r="A743" s="3">
        <v>4</v>
      </c>
      <c r="B743" s="3" t="s">
        <v>171</v>
      </c>
      <c r="C743" s="1" t="s">
        <v>12</v>
      </c>
      <c r="D743" s="1" t="s">
        <v>444</v>
      </c>
      <c r="E743" s="11" t="s">
        <v>144</v>
      </c>
      <c r="F743" s="3" t="s">
        <v>8</v>
      </c>
      <c r="G743" s="66" t="s">
        <v>60</v>
      </c>
      <c r="H743" s="8"/>
      <c r="I743" s="8"/>
      <c r="J743" s="6" t="s">
        <v>111</v>
      </c>
      <c r="K743" s="38">
        <v>15000</v>
      </c>
      <c r="L743" s="4" t="s">
        <v>29</v>
      </c>
      <c r="M743" s="11">
        <f>_xlfn.NUMBERVALUE(LEFT(Table613612[[#This Row],[Fiscal Year]], 4))</f>
        <v>2015</v>
      </c>
      <c r="N743" s="42">
        <f t="shared" si="17"/>
        <v>15926.012658227848</v>
      </c>
      <c r="O743" s="3">
        <v>741</v>
      </c>
    </row>
    <row r="744" spans="1:15" x14ac:dyDescent="0.25">
      <c r="A744" s="3">
        <v>4</v>
      </c>
      <c r="B744" s="3" t="s">
        <v>171</v>
      </c>
      <c r="C744" s="1" t="s">
        <v>12</v>
      </c>
      <c r="D744" s="1" t="s">
        <v>444</v>
      </c>
      <c r="E744" s="11" t="s">
        <v>144</v>
      </c>
      <c r="F744" s="3" t="s">
        <v>8</v>
      </c>
      <c r="G744" s="48" t="s">
        <v>61</v>
      </c>
      <c r="H744" s="8"/>
      <c r="I744" s="8"/>
      <c r="J744" s="6" t="s">
        <v>108</v>
      </c>
      <c r="K744" s="38">
        <v>250000</v>
      </c>
      <c r="L744" s="4" t="s">
        <v>29</v>
      </c>
      <c r="M744" s="11">
        <f>_xlfn.NUMBERVALUE(LEFT(Table613612[[#This Row],[Fiscal Year]], 4))</f>
        <v>2015</v>
      </c>
      <c r="N744" s="42">
        <f t="shared" si="17"/>
        <v>265433.54430379748</v>
      </c>
      <c r="O744" s="3">
        <v>742</v>
      </c>
    </row>
    <row r="745" spans="1:15" x14ac:dyDescent="0.25">
      <c r="A745" s="3">
        <v>4</v>
      </c>
      <c r="B745" s="3" t="s">
        <v>171</v>
      </c>
      <c r="C745" s="1" t="s">
        <v>12</v>
      </c>
      <c r="D745" s="1" t="s">
        <v>444</v>
      </c>
      <c r="E745" s="11" t="s">
        <v>144</v>
      </c>
      <c r="F745" s="3" t="s">
        <v>8</v>
      </c>
      <c r="G745" s="66" t="s">
        <v>62</v>
      </c>
      <c r="H745" s="8"/>
      <c r="I745" s="8"/>
      <c r="J745" s="6" t="s">
        <v>106</v>
      </c>
      <c r="K745" s="38">
        <v>5000</v>
      </c>
      <c r="L745" s="4" t="s">
        <v>29</v>
      </c>
      <c r="M745" s="11">
        <f>_xlfn.NUMBERVALUE(LEFT(Table613612[[#This Row],[Fiscal Year]], 4))</f>
        <v>2015</v>
      </c>
      <c r="N745" s="42">
        <f t="shared" si="17"/>
        <v>5308.6708860759491</v>
      </c>
      <c r="O745" s="3">
        <v>743</v>
      </c>
    </row>
    <row r="746" spans="1:15" x14ac:dyDescent="0.25">
      <c r="A746" s="3">
        <v>4</v>
      </c>
      <c r="B746" s="3" t="s">
        <v>171</v>
      </c>
      <c r="C746" s="1" t="s">
        <v>12</v>
      </c>
      <c r="D746" s="1" t="s">
        <v>444</v>
      </c>
      <c r="E746" s="11" t="s">
        <v>144</v>
      </c>
      <c r="F746" s="3" t="s">
        <v>8</v>
      </c>
      <c r="G746" s="66" t="s">
        <v>211</v>
      </c>
      <c r="H746" s="8"/>
      <c r="I746" s="8"/>
      <c r="J746" s="6" t="s">
        <v>455</v>
      </c>
      <c r="K746" s="38" t="s">
        <v>827</v>
      </c>
      <c r="L746" s="4" t="s">
        <v>29</v>
      </c>
      <c r="M746" s="11">
        <f>_xlfn.NUMBERVALUE(LEFT(Table613612[[#This Row],[Fiscal Year]], 4))</f>
        <v>2015</v>
      </c>
      <c r="O746" s="3">
        <v>744</v>
      </c>
    </row>
    <row r="747" spans="1:15" x14ac:dyDescent="0.25">
      <c r="A747" s="3">
        <v>4</v>
      </c>
      <c r="B747" s="3" t="s">
        <v>171</v>
      </c>
      <c r="C747" s="1" t="s">
        <v>12</v>
      </c>
      <c r="D747" s="1" t="s">
        <v>444</v>
      </c>
      <c r="E747" s="11" t="s">
        <v>144</v>
      </c>
      <c r="F747" s="3" t="s">
        <v>8</v>
      </c>
      <c r="G747" s="66" t="s">
        <v>64</v>
      </c>
      <c r="H747" s="8"/>
      <c r="I747" s="8"/>
      <c r="J747" s="6" t="s">
        <v>76</v>
      </c>
      <c r="K747" s="38">
        <v>75000</v>
      </c>
      <c r="L747" s="4" t="s">
        <v>29</v>
      </c>
      <c r="M747" s="11">
        <f>_xlfn.NUMBERVALUE(LEFT(Table613612[[#This Row],[Fiscal Year]], 4))</f>
        <v>2015</v>
      </c>
      <c r="N747" s="42">
        <f t="shared" si="17"/>
        <v>79630.063291139231</v>
      </c>
      <c r="O747" s="3">
        <v>745</v>
      </c>
    </row>
    <row r="748" spans="1:15" x14ac:dyDescent="0.25">
      <c r="A748" s="3">
        <v>4</v>
      </c>
      <c r="B748" s="3" t="s">
        <v>171</v>
      </c>
      <c r="C748" s="1" t="s">
        <v>12</v>
      </c>
      <c r="D748" s="1" t="s">
        <v>444</v>
      </c>
      <c r="E748" s="11" t="s">
        <v>144</v>
      </c>
      <c r="F748" s="3" t="s">
        <v>8</v>
      </c>
      <c r="G748" s="66" t="s">
        <v>65</v>
      </c>
      <c r="H748" s="8"/>
      <c r="I748" s="8"/>
      <c r="J748" s="6" t="s">
        <v>76</v>
      </c>
      <c r="K748" s="38" t="s">
        <v>827</v>
      </c>
      <c r="L748" s="4" t="s">
        <v>29</v>
      </c>
      <c r="M748" s="11">
        <f>_xlfn.NUMBERVALUE(LEFT(Table613612[[#This Row],[Fiscal Year]], 4))</f>
        <v>2015</v>
      </c>
      <c r="O748" s="3">
        <v>746</v>
      </c>
    </row>
    <row r="749" spans="1:15" x14ac:dyDescent="0.25">
      <c r="A749" s="3">
        <v>4</v>
      </c>
      <c r="B749" s="3" t="s">
        <v>171</v>
      </c>
      <c r="C749" s="1" t="s">
        <v>12</v>
      </c>
      <c r="D749" s="1" t="s">
        <v>444</v>
      </c>
      <c r="E749" s="11" t="s">
        <v>144</v>
      </c>
      <c r="F749" s="3" t="s">
        <v>8</v>
      </c>
      <c r="G749" s="66" t="s">
        <v>66</v>
      </c>
      <c r="H749" s="8"/>
      <c r="I749" s="8"/>
      <c r="J749" s="6" t="s">
        <v>76</v>
      </c>
      <c r="K749" s="38" t="s">
        <v>827</v>
      </c>
      <c r="L749" s="4" t="s">
        <v>29</v>
      </c>
      <c r="M749" s="11">
        <f>_xlfn.NUMBERVALUE(LEFT(Table613612[[#This Row],[Fiscal Year]], 4))</f>
        <v>2015</v>
      </c>
      <c r="O749" s="3">
        <v>747</v>
      </c>
    </row>
    <row r="750" spans="1:15" x14ac:dyDescent="0.25">
      <c r="A750" s="3">
        <v>4</v>
      </c>
      <c r="B750" s="3" t="s">
        <v>171</v>
      </c>
      <c r="C750" s="1" t="s">
        <v>12</v>
      </c>
      <c r="D750" s="1" t="s">
        <v>444</v>
      </c>
      <c r="E750" s="11" t="s">
        <v>144</v>
      </c>
      <c r="F750" s="3" t="s">
        <v>8</v>
      </c>
      <c r="G750" s="66" t="s">
        <v>33</v>
      </c>
      <c r="H750" s="8"/>
      <c r="I750" s="8"/>
      <c r="J750" s="6" t="s">
        <v>47</v>
      </c>
      <c r="K750" s="38">
        <v>5000</v>
      </c>
      <c r="L750" s="4" t="s">
        <v>29</v>
      </c>
      <c r="M750" s="11">
        <f>_xlfn.NUMBERVALUE(LEFT(Table613612[[#This Row],[Fiscal Year]], 4))</f>
        <v>2015</v>
      </c>
      <c r="N750" s="42">
        <f t="shared" si="17"/>
        <v>5308.6708860759491</v>
      </c>
      <c r="O750" s="3">
        <v>748</v>
      </c>
    </row>
    <row r="751" spans="1:15" x14ac:dyDescent="0.25">
      <c r="A751" s="3">
        <v>4</v>
      </c>
      <c r="B751" s="3" t="s">
        <v>171</v>
      </c>
      <c r="C751" s="1" t="s">
        <v>12</v>
      </c>
      <c r="D751" s="1" t="s">
        <v>444</v>
      </c>
      <c r="E751" s="11" t="s">
        <v>144</v>
      </c>
      <c r="F751" s="3" t="s">
        <v>8</v>
      </c>
      <c r="G751" s="66" t="s">
        <v>67</v>
      </c>
      <c r="H751" s="8" t="s">
        <v>920</v>
      </c>
      <c r="I751" s="8"/>
      <c r="J751" s="6" t="s">
        <v>455</v>
      </c>
      <c r="K751" s="38">
        <v>125000</v>
      </c>
      <c r="L751" s="4" t="s">
        <v>29</v>
      </c>
      <c r="M751" s="11">
        <f>_xlfn.NUMBERVALUE(LEFT(Table613612[[#This Row],[Fiscal Year]], 4))</f>
        <v>2015</v>
      </c>
      <c r="N751" s="42">
        <f t="shared" si="17"/>
        <v>132716.77215189874</v>
      </c>
      <c r="O751" s="3">
        <v>749</v>
      </c>
    </row>
    <row r="752" spans="1:15" x14ac:dyDescent="0.25">
      <c r="C752" s="1"/>
      <c r="D752" s="1"/>
      <c r="E752" s="11"/>
      <c r="G752" s="66"/>
      <c r="H752" s="8"/>
      <c r="I752" s="8"/>
      <c r="J752" s="6"/>
      <c r="L752" s="4"/>
      <c r="O752" s="3">
        <v>750</v>
      </c>
    </row>
    <row r="753" spans="1:15" x14ac:dyDescent="0.25">
      <c r="A753" s="3">
        <v>4</v>
      </c>
      <c r="B753" s="3" t="s">
        <v>172</v>
      </c>
      <c r="C753" s="1" t="s">
        <v>12</v>
      </c>
      <c r="D753" s="1" t="s">
        <v>444</v>
      </c>
      <c r="E753" s="11" t="s">
        <v>144</v>
      </c>
      <c r="F753" s="3" t="s">
        <v>8</v>
      </c>
      <c r="G753" s="48" t="s">
        <v>32</v>
      </c>
      <c r="H753" s="8"/>
      <c r="I753" s="8"/>
      <c r="J753" s="6" t="s">
        <v>110</v>
      </c>
      <c r="K753" s="38">
        <v>65000</v>
      </c>
      <c r="L753" s="4" t="s">
        <v>29</v>
      </c>
      <c r="M753" s="11">
        <f>_xlfn.NUMBERVALUE(LEFT(Table613612[[#This Row],[Fiscal Year]], 4))</f>
        <v>2015</v>
      </c>
      <c r="N753" s="42">
        <f t="shared" si="17"/>
        <v>69012.721518987339</v>
      </c>
      <c r="O753" s="3">
        <v>751</v>
      </c>
    </row>
    <row r="754" spans="1:15" x14ac:dyDescent="0.25">
      <c r="A754" s="3">
        <v>4</v>
      </c>
      <c r="B754" s="3" t="s">
        <v>172</v>
      </c>
      <c r="C754" s="1" t="s">
        <v>12</v>
      </c>
      <c r="D754" s="1" t="s">
        <v>444</v>
      </c>
      <c r="E754" s="11" t="s">
        <v>144</v>
      </c>
      <c r="F754" s="3" t="s">
        <v>8</v>
      </c>
      <c r="G754" s="66" t="s">
        <v>58</v>
      </c>
      <c r="H754" s="8"/>
      <c r="I754" s="8"/>
      <c r="J754" s="6" t="s">
        <v>453</v>
      </c>
      <c r="K754" s="38">
        <v>25000</v>
      </c>
      <c r="L754" s="4" t="s">
        <v>29</v>
      </c>
      <c r="M754" s="11">
        <f>_xlfn.NUMBERVALUE(LEFT(Table613612[[#This Row],[Fiscal Year]], 4))</f>
        <v>2015</v>
      </c>
      <c r="N754" s="42">
        <f t="shared" si="17"/>
        <v>26543.354430379746</v>
      </c>
      <c r="O754" s="3">
        <v>752</v>
      </c>
    </row>
    <row r="755" spans="1:15" x14ac:dyDescent="0.25">
      <c r="A755" s="3">
        <v>4</v>
      </c>
      <c r="B755" s="3" t="s">
        <v>172</v>
      </c>
      <c r="C755" s="1" t="s">
        <v>12</v>
      </c>
      <c r="D755" s="1" t="s">
        <v>444</v>
      </c>
      <c r="E755" s="11" t="s">
        <v>144</v>
      </c>
      <c r="F755" s="3" t="s">
        <v>8</v>
      </c>
      <c r="G755" s="66" t="s">
        <v>208</v>
      </c>
      <c r="H755" s="8"/>
      <c r="I755" s="8"/>
      <c r="J755" s="6" t="s">
        <v>109</v>
      </c>
      <c r="K755" s="38">
        <v>38000</v>
      </c>
      <c r="L755" s="4" t="s">
        <v>29</v>
      </c>
      <c r="M755" s="11">
        <f>_xlfn.NUMBERVALUE(LEFT(Table613612[[#This Row],[Fiscal Year]], 4))</f>
        <v>2015</v>
      </c>
      <c r="N755" s="42">
        <f t="shared" si="17"/>
        <v>40345.898734177215</v>
      </c>
      <c r="O755" s="3">
        <v>753</v>
      </c>
    </row>
    <row r="756" spans="1:15" x14ac:dyDescent="0.25">
      <c r="A756" s="3">
        <v>4</v>
      </c>
      <c r="B756" s="3" t="s">
        <v>172</v>
      </c>
      <c r="C756" s="1" t="s">
        <v>12</v>
      </c>
      <c r="D756" s="1" t="s">
        <v>444</v>
      </c>
      <c r="E756" s="11" t="s">
        <v>144</v>
      </c>
      <c r="F756" s="3" t="s">
        <v>8</v>
      </c>
      <c r="G756" s="48" t="s">
        <v>59</v>
      </c>
      <c r="H756" s="8"/>
      <c r="I756" s="8"/>
      <c r="J756" s="6" t="s">
        <v>111</v>
      </c>
      <c r="K756" s="38">
        <v>12000</v>
      </c>
      <c r="L756" s="4" t="s">
        <v>29</v>
      </c>
      <c r="M756" s="11">
        <f>_xlfn.NUMBERVALUE(LEFT(Table613612[[#This Row],[Fiscal Year]], 4))</f>
        <v>2015</v>
      </c>
      <c r="N756" s="42">
        <f t="shared" si="17"/>
        <v>12740.810126582277</v>
      </c>
      <c r="O756" s="3">
        <v>754</v>
      </c>
    </row>
    <row r="757" spans="1:15" x14ac:dyDescent="0.25">
      <c r="A757" s="3">
        <v>4</v>
      </c>
      <c r="B757" s="3" t="s">
        <v>172</v>
      </c>
      <c r="C757" s="1" t="s">
        <v>12</v>
      </c>
      <c r="D757" s="1" t="s">
        <v>444</v>
      </c>
      <c r="E757" s="11" t="s">
        <v>144</v>
      </c>
      <c r="F757" s="3" t="s">
        <v>8</v>
      </c>
      <c r="G757" s="66" t="s">
        <v>60</v>
      </c>
      <c r="H757" s="8"/>
      <c r="I757" s="8"/>
      <c r="J757" s="6" t="s">
        <v>111</v>
      </c>
      <c r="K757" s="38">
        <v>9500</v>
      </c>
      <c r="L757" s="4" t="s">
        <v>29</v>
      </c>
      <c r="M757" s="11">
        <f>_xlfn.NUMBERVALUE(LEFT(Table613612[[#This Row],[Fiscal Year]], 4))</f>
        <v>2015</v>
      </c>
      <c r="N757" s="42">
        <f t="shared" si="17"/>
        <v>10086.474683544304</v>
      </c>
      <c r="O757" s="3">
        <v>755</v>
      </c>
    </row>
    <row r="758" spans="1:15" x14ac:dyDescent="0.25">
      <c r="A758" s="3">
        <v>4</v>
      </c>
      <c r="B758" s="3" t="s">
        <v>172</v>
      </c>
      <c r="C758" s="1" t="s">
        <v>12</v>
      </c>
      <c r="D758" s="1" t="s">
        <v>444</v>
      </c>
      <c r="E758" s="11" t="s">
        <v>144</v>
      </c>
      <c r="F758" s="3" t="s">
        <v>8</v>
      </c>
      <c r="G758" s="48" t="s">
        <v>61</v>
      </c>
      <c r="H758" s="8"/>
      <c r="I758" s="8"/>
      <c r="J758" s="6" t="s">
        <v>108</v>
      </c>
      <c r="K758" s="38">
        <v>7500</v>
      </c>
      <c r="L758" s="4" t="s">
        <v>29</v>
      </c>
      <c r="M758" s="11">
        <f>_xlfn.NUMBERVALUE(LEFT(Table613612[[#This Row],[Fiscal Year]], 4))</f>
        <v>2015</v>
      </c>
      <c r="N758" s="42">
        <f t="shared" si="17"/>
        <v>7963.006329113924</v>
      </c>
      <c r="O758" s="3">
        <v>756</v>
      </c>
    </row>
    <row r="759" spans="1:15" x14ac:dyDescent="0.25">
      <c r="A759" s="3">
        <v>4</v>
      </c>
      <c r="B759" s="3" t="s">
        <v>172</v>
      </c>
      <c r="C759" s="1" t="s">
        <v>12</v>
      </c>
      <c r="D759" s="1" t="s">
        <v>444</v>
      </c>
      <c r="E759" s="11" t="s">
        <v>144</v>
      </c>
      <c r="F759" s="3" t="s">
        <v>8</v>
      </c>
      <c r="G759" s="66" t="s">
        <v>62</v>
      </c>
      <c r="H759" s="8"/>
      <c r="I759" s="8"/>
      <c r="J759" s="6" t="s">
        <v>106</v>
      </c>
      <c r="K759" s="38">
        <v>1500</v>
      </c>
      <c r="L759" s="4" t="s">
        <v>29</v>
      </c>
      <c r="M759" s="11">
        <f>_xlfn.NUMBERVALUE(LEFT(Table613612[[#This Row],[Fiscal Year]], 4))</f>
        <v>2015</v>
      </c>
      <c r="N759" s="42">
        <f t="shared" si="17"/>
        <v>1592.6012658227846</v>
      </c>
      <c r="O759" s="3">
        <v>757</v>
      </c>
    </row>
    <row r="760" spans="1:15" x14ac:dyDescent="0.25">
      <c r="A760" s="3">
        <v>4</v>
      </c>
      <c r="B760" s="3" t="s">
        <v>172</v>
      </c>
      <c r="C760" s="1" t="s">
        <v>12</v>
      </c>
      <c r="D760" s="1" t="s">
        <v>444</v>
      </c>
      <c r="E760" s="11" t="s">
        <v>144</v>
      </c>
      <c r="F760" s="3" t="s">
        <v>8</v>
      </c>
      <c r="G760" s="66" t="s">
        <v>211</v>
      </c>
      <c r="H760" s="8"/>
      <c r="I760" s="8"/>
      <c r="J760" s="6" t="s">
        <v>455</v>
      </c>
      <c r="K760" s="38">
        <v>3500</v>
      </c>
      <c r="L760" s="4" t="s">
        <v>29</v>
      </c>
      <c r="M760" s="11">
        <f>_xlfn.NUMBERVALUE(LEFT(Table613612[[#This Row],[Fiscal Year]], 4))</f>
        <v>2015</v>
      </c>
      <c r="N760" s="42">
        <f t="shared" si="17"/>
        <v>3716.0696202531644</v>
      </c>
      <c r="O760" s="3">
        <v>758</v>
      </c>
    </row>
    <row r="761" spans="1:15" x14ac:dyDescent="0.25">
      <c r="A761" s="3">
        <v>4</v>
      </c>
      <c r="B761" s="3" t="s">
        <v>172</v>
      </c>
      <c r="C761" s="1" t="s">
        <v>12</v>
      </c>
      <c r="D761" s="1" t="s">
        <v>444</v>
      </c>
      <c r="E761" s="11" t="s">
        <v>144</v>
      </c>
      <c r="F761" s="3" t="s">
        <v>8</v>
      </c>
      <c r="G761" s="66" t="s">
        <v>64</v>
      </c>
      <c r="H761" s="8"/>
      <c r="I761" s="8"/>
      <c r="J761" s="6" t="s">
        <v>76</v>
      </c>
      <c r="K761" s="38">
        <v>35000</v>
      </c>
      <c r="L761" s="4" t="s">
        <v>29</v>
      </c>
      <c r="M761" s="11">
        <f>_xlfn.NUMBERVALUE(LEFT(Table613612[[#This Row],[Fiscal Year]], 4))</f>
        <v>2015</v>
      </c>
      <c r="N761" s="42">
        <f t="shared" si="17"/>
        <v>37160.696202531646</v>
      </c>
      <c r="O761" s="3">
        <v>759</v>
      </c>
    </row>
    <row r="762" spans="1:15" x14ac:dyDescent="0.25">
      <c r="A762" s="3">
        <v>4</v>
      </c>
      <c r="B762" s="3" t="s">
        <v>172</v>
      </c>
      <c r="C762" s="1" t="s">
        <v>12</v>
      </c>
      <c r="D762" s="1" t="s">
        <v>444</v>
      </c>
      <c r="E762" s="11" t="s">
        <v>144</v>
      </c>
      <c r="F762" s="3" t="s">
        <v>8</v>
      </c>
      <c r="G762" s="66" t="s">
        <v>65</v>
      </c>
      <c r="H762" s="8"/>
      <c r="I762" s="8"/>
      <c r="J762" s="6" t="s">
        <v>76</v>
      </c>
      <c r="K762" s="38">
        <v>95000</v>
      </c>
      <c r="L762" s="4" t="s">
        <v>29</v>
      </c>
      <c r="M762" s="11">
        <f>_xlfn.NUMBERVALUE(LEFT(Table613612[[#This Row],[Fiscal Year]], 4))</f>
        <v>2015</v>
      </c>
      <c r="N762" s="42">
        <f t="shared" si="17"/>
        <v>100864.74683544303</v>
      </c>
      <c r="O762" s="3">
        <v>760</v>
      </c>
    </row>
    <row r="763" spans="1:15" x14ac:dyDescent="0.25">
      <c r="A763" s="3">
        <v>4</v>
      </c>
      <c r="B763" s="3" t="s">
        <v>172</v>
      </c>
      <c r="C763" s="1" t="s">
        <v>12</v>
      </c>
      <c r="D763" s="1" t="s">
        <v>444</v>
      </c>
      <c r="E763" s="11" t="s">
        <v>144</v>
      </c>
      <c r="F763" s="3" t="s">
        <v>8</v>
      </c>
      <c r="G763" s="66" t="s">
        <v>66</v>
      </c>
      <c r="H763" s="8"/>
      <c r="I763" s="8"/>
      <c r="J763" s="6" t="s">
        <v>76</v>
      </c>
      <c r="K763" s="38">
        <v>650000</v>
      </c>
      <c r="L763" s="4" t="s">
        <v>29</v>
      </c>
      <c r="M763" s="11">
        <f>_xlfn.NUMBERVALUE(LEFT(Table613612[[#This Row],[Fiscal Year]], 4))</f>
        <v>2015</v>
      </c>
      <c r="N763" s="42">
        <f t="shared" si="17"/>
        <v>690127.21518987336</v>
      </c>
      <c r="O763" s="3">
        <v>761</v>
      </c>
    </row>
    <row r="764" spans="1:15" x14ac:dyDescent="0.25">
      <c r="A764" s="3">
        <v>4</v>
      </c>
      <c r="B764" s="3" t="s">
        <v>172</v>
      </c>
      <c r="C764" s="1" t="s">
        <v>12</v>
      </c>
      <c r="D764" s="1" t="s">
        <v>444</v>
      </c>
      <c r="E764" s="11" t="s">
        <v>144</v>
      </c>
      <c r="F764" s="3" t="s">
        <v>8</v>
      </c>
      <c r="G764" s="66" t="s">
        <v>33</v>
      </c>
      <c r="H764" s="8"/>
      <c r="I764" s="8"/>
      <c r="J764" s="6" t="s">
        <v>47</v>
      </c>
      <c r="K764" s="38">
        <v>78000</v>
      </c>
      <c r="L764" s="4" t="s">
        <v>29</v>
      </c>
      <c r="M764" s="11">
        <f>_xlfn.NUMBERVALUE(LEFT(Table613612[[#This Row],[Fiscal Year]], 4))</f>
        <v>2015</v>
      </c>
      <c r="N764" s="42">
        <f t="shared" si="17"/>
        <v>82815.265822784801</v>
      </c>
      <c r="O764" s="3">
        <v>762</v>
      </c>
    </row>
    <row r="765" spans="1:15" x14ac:dyDescent="0.25">
      <c r="A765" s="3">
        <v>4</v>
      </c>
      <c r="B765" s="3" t="s">
        <v>172</v>
      </c>
      <c r="C765" s="1" t="s">
        <v>12</v>
      </c>
      <c r="D765" s="1" t="s">
        <v>444</v>
      </c>
      <c r="E765" s="11" t="s">
        <v>144</v>
      </c>
      <c r="F765" s="3" t="s">
        <v>8</v>
      </c>
      <c r="G765" s="66" t="s">
        <v>67</v>
      </c>
      <c r="H765" s="8"/>
      <c r="I765" s="8"/>
      <c r="J765" s="6" t="s">
        <v>455</v>
      </c>
      <c r="K765" s="38">
        <v>58000</v>
      </c>
      <c r="L765" s="4" t="s">
        <v>29</v>
      </c>
      <c r="M765" s="11">
        <f>_xlfn.NUMBERVALUE(LEFT(Table613612[[#This Row],[Fiscal Year]], 4))</f>
        <v>2015</v>
      </c>
      <c r="N765" s="42">
        <f t="shared" si="17"/>
        <v>61580.582278481008</v>
      </c>
      <c r="O765" s="3">
        <v>763</v>
      </c>
    </row>
    <row r="766" spans="1:15" x14ac:dyDescent="0.25">
      <c r="C766" s="1"/>
      <c r="D766" s="1"/>
      <c r="E766" s="11"/>
      <c r="G766" s="66"/>
      <c r="H766" s="8"/>
      <c r="I766" s="8"/>
      <c r="J766" s="6"/>
      <c r="L766" s="4"/>
      <c r="O766" s="3">
        <v>764</v>
      </c>
    </row>
    <row r="767" spans="1:15" x14ac:dyDescent="0.25">
      <c r="A767" s="3">
        <v>4</v>
      </c>
      <c r="B767" s="3" t="s">
        <v>173</v>
      </c>
      <c r="C767" s="1" t="s">
        <v>12</v>
      </c>
      <c r="D767" s="1" t="s">
        <v>444</v>
      </c>
      <c r="E767" s="11" t="s">
        <v>144</v>
      </c>
      <c r="F767" s="3" t="s">
        <v>8</v>
      </c>
      <c r="G767" s="48" t="s">
        <v>32</v>
      </c>
      <c r="H767" s="8"/>
      <c r="I767" s="8"/>
      <c r="J767" s="6" t="s">
        <v>110</v>
      </c>
      <c r="K767" s="38">
        <v>45425</v>
      </c>
      <c r="L767" s="4" t="s">
        <v>29</v>
      </c>
      <c r="M767" s="11">
        <f>_xlfn.NUMBERVALUE(LEFT(Table613612[[#This Row],[Fiscal Year]], 4))</f>
        <v>2015</v>
      </c>
      <c r="N767" s="42">
        <f t="shared" si="17"/>
        <v>48229.274999999994</v>
      </c>
      <c r="O767" s="3">
        <v>765</v>
      </c>
    </row>
    <row r="768" spans="1:15" x14ac:dyDescent="0.25">
      <c r="A768" s="3">
        <v>4</v>
      </c>
      <c r="B768" s="3" t="s">
        <v>173</v>
      </c>
      <c r="C768" s="1" t="s">
        <v>12</v>
      </c>
      <c r="D768" s="1" t="s">
        <v>444</v>
      </c>
      <c r="E768" s="11" t="s">
        <v>144</v>
      </c>
      <c r="F768" s="3" t="s">
        <v>8</v>
      </c>
      <c r="G768" s="66" t="s">
        <v>58</v>
      </c>
      <c r="H768" s="8"/>
      <c r="I768" s="8"/>
      <c r="J768" s="6" t="s">
        <v>453</v>
      </c>
      <c r="K768" s="38">
        <v>550</v>
      </c>
      <c r="L768" s="4" t="s">
        <v>29</v>
      </c>
      <c r="M768" s="11">
        <f>_xlfn.NUMBERVALUE(LEFT(Table613612[[#This Row],[Fiscal Year]], 4))</f>
        <v>2015</v>
      </c>
      <c r="N768" s="42">
        <f t="shared" si="17"/>
        <v>583.95379746835442</v>
      </c>
      <c r="O768" s="3">
        <v>766</v>
      </c>
    </row>
    <row r="769" spans="1:15" x14ac:dyDescent="0.25">
      <c r="A769" s="3">
        <v>4</v>
      </c>
      <c r="B769" s="3" t="s">
        <v>173</v>
      </c>
      <c r="C769" s="1" t="s">
        <v>12</v>
      </c>
      <c r="D769" s="1" t="s">
        <v>444</v>
      </c>
      <c r="E769" s="11" t="s">
        <v>144</v>
      </c>
      <c r="F769" s="3" t="s">
        <v>8</v>
      </c>
      <c r="G769" s="66" t="s">
        <v>208</v>
      </c>
      <c r="H769" s="8"/>
      <c r="I769" s="8"/>
      <c r="J769" s="6" t="s">
        <v>109</v>
      </c>
      <c r="K769" s="38" t="s">
        <v>28</v>
      </c>
      <c r="L769" s="4" t="s">
        <v>29</v>
      </c>
      <c r="M769" s="11">
        <f>_xlfn.NUMBERVALUE(LEFT(Table613612[[#This Row],[Fiscal Year]], 4))</f>
        <v>2015</v>
      </c>
      <c r="O769" s="3">
        <v>767</v>
      </c>
    </row>
    <row r="770" spans="1:15" x14ac:dyDescent="0.25">
      <c r="A770" s="3">
        <v>4</v>
      </c>
      <c r="B770" s="3" t="s">
        <v>173</v>
      </c>
      <c r="C770" s="1" t="s">
        <v>12</v>
      </c>
      <c r="D770" s="1" t="s">
        <v>444</v>
      </c>
      <c r="E770" s="11" t="s">
        <v>144</v>
      </c>
      <c r="F770" s="3" t="s">
        <v>8</v>
      </c>
      <c r="G770" s="48" t="s">
        <v>59</v>
      </c>
      <c r="H770" s="8"/>
      <c r="I770" s="8"/>
      <c r="J770" s="6" t="s">
        <v>111</v>
      </c>
      <c r="K770" s="38">
        <v>0</v>
      </c>
      <c r="L770" s="4" t="s">
        <v>29</v>
      </c>
      <c r="M770" s="11">
        <f>_xlfn.NUMBERVALUE(LEFT(Table613612[[#This Row],[Fiscal Year]], 4))</f>
        <v>2015</v>
      </c>
      <c r="N770" s="43">
        <f t="shared" si="17"/>
        <v>0</v>
      </c>
      <c r="O770" s="3">
        <v>768</v>
      </c>
    </row>
    <row r="771" spans="1:15" x14ac:dyDescent="0.25">
      <c r="A771" s="3">
        <v>4</v>
      </c>
      <c r="B771" s="3" t="s">
        <v>173</v>
      </c>
      <c r="C771" s="1" t="s">
        <v>12</v>
      </c>
      <c r="D771" s="1" t="s">
        <v>444</v>
      </c>
      <c r="E771" s="11" t="s">
        <v>144</v>
      </c>
      <c r="F771" s="3" t="s">
        <v>8</v>
      </c>
      <c r="G771" s="66" t="s">
        <v>60</v>
      </c>
      <c r="H771" s="8"/>
      <c r="I771" s="8"/>
      <c r="J771" s="6" t="s">
        <v>111</v>
      </c>
      <c r="K771" s="38">
        <v>750</v>
      </c>
      <c r="L771" s="4" t="s">
        <v>29</v>
      </c>
      <c r="M771" s="11">
        <f>_xlfn.NUMBERVALUE(LEFT(Table613612[[#This Row],[Fiscal Year]], 4))</f>
        <v>2015</v>
      </c>
      <c r="N771" s="42">
        <f t="shared" si="17"/>
        <v>796.30063291139231</v>
      </c>
      <c r="O771" s="3">
        <v>769</v>
      </c>
    </row>
    <row r="772" spans="1:15" x14ac:dyDescent="0.25">
      <c r="A772" s="3">
        <v>4</v>
      </c>
      <c r="B772" s="3" t="s">
        <v>173</v>
      </c>
      <c r="C772" s="1" t="s">
        <v>12</v>
      </c>
      <c r="D772" s="1" t="s">
        <v>444</v>
      </c>
      <c r="E772" s="11" t="s">
        <v>144</v>
      </c>
      <c r="F772" s="3" t="s">
        <v>8</v>
      </c>
      <c r="G772" s="48" t="s">
        <v>61</v>
      </c>
      <c r="H772" s="8"/>
      <c r="I772" s="8"/>
      <c r="J772" s="6" t="s">
        <v>108</v>
      </c>
      <c r="K772" s="38">
        <v>2556</v>
      </c>
      <c r="L772" s="4" t="s">
        <v>29</v>
      </c>
      <c r="M772" s="11">
        <f>_xlfn.NUMBERVALUE(LEFT(Table613612[[#This Row],[Fiscal Year]], 4))</f>
        <v>2015</v>
      </c>
      <c r="N772" s="42">
        <f t="shared" si="17"/>
        <v>2713.7925569620252</v>
      </c>
      <c r="O772" s="3">
        <v>770</v>
      </c>
    </row>
    <row r="773" spans="1:15" x14ac:dyDescent="0.25">
      <c r="A773" s="3">
        <v>4</v>
      </c>
      <c r="B773" s="3" t="s">
        <v>173</v>
      </c>
      <c r="C773" s="1" t="s">
        <v>12</v>
      </c>
      <c r="D773" s="1" t="s">
        <v>444</v>
      </c>
      <c r="E773" s="11" t="s">
        <v>144</v>
      </c>
      <c r="F773" s="3" t="s">
        <v>8</v>
      </c>
      <c r="G773" s="66" t="s">
        <v>62</v>
      </c>
      <c r="H773" s="8"/>
      <c r="I773" s="8"/>
      <c r="J773" s="6" t="s">
        <v>106</v>
      </c>
      <c r="K773" s="38">
        <v>0</v>
      </c>
      <c r="L773" s="4" t="s">
        <v>29</v>
      </c>
      <c r="M773" s="11">
        <f>_xlfn.NUMBERVALUE(LEFT(Table613612[[#This Row],[Fiscal Year]], 4))</f>
        <v>2015</v>
      </c>
      <c r="N773" s="43">
        <f t="shared" si="17"/>
        <v>0</v>
      </c>
      <c r="O773" s="3">
        <v>771</v>
      </c>
    </row>
    <row r="774" spans="1:15" x14ac:dyDescent="0.25">
      <c r="A774" s="3">
        <v>4</v>
      </c>
      <c r="B774" s="3" t="s">
        <v>173</v>
      </c>
      <c r="C774" s="1" t="s">
        <v>12</v>
      </c>
      <c r="D774" s="1" t="s">
        <v>444</v>
      </c>
      <c r="E774" s="11" t="s">
        <v>144</v>
      </c>
      <c r="F774" s="3" t="s">
        <v>8</v>
      </c>
      <c r="G774" s="66" t="s">
        <v>211</v>
      </c>
      <c r="H774" s="8"/>
      <c r="I774" s="8"/>
      <c r="J774" s="6" t="s">
        <v>455</v>
      </c>
      <c r="K774" s="38">
        <v>0</v>
      </c>
      <c r="L774" s="4" t="s">
        <v>29</v>
      </c>
      <c r="M774" s="11">
        <f>_xlfn.NUMBERVALUE(LEFT(Table613612[[#This Row],[Fiscal Year]], 4))</f>
        <v>2015</v>
      </c>
      <c r="N774" s="43">
        <f t="shared" si="17"/>
        <v>0</v>
      </c>
      <c r="O774" s="3">
        <v>772</v>
      </c>
    </row>
    <row r="775" spans="1:15" x14ac:dyDescent="0.25">
      <c r="A775" s="3">
        <v>4</v>
      </c>
      <c r="B775" s="3" t="s">
        <v>173</v>
      </c>
      <c r="C775" s="1" t="s">
        <v>12</v>
      </c>
      <c r="D775" s="1" t="s">
        <v>444</v>
      </c>
      <c r="E775" s="11" t="s">
        <v>144</v>
      </c>
      <c r="F775" s="3" t="s">
        <v>8</v>
      </c>
      <c r="G775" s="66" t="s">
        <v>64</v>
      </c>
      <c r="H775" s="8"/>
      <c r="I775" s="8"/>
      <c r="J775" s="6" t="s">
        <v>76</v>
      </c>
      <c r="K775" s="38">
        <v>0</v>
      </c>
      <c r="L775" s="4" t="s">
        <v>29</v>
      </c>
      <c r="M775" s="11">
        <f>_xlfn.NUMBERVALUE(LEFT(Table613612[[#This Row],[Fiscal Year]], 4))</f>
        <v>2015</v>
      </c>
      <c r="N775" s="43">
        <f t="shared" si="17"/>
        <v>0</v>
      </c>
      <c r="O775" s="3">
        <v>773</v>
      </c>
    </row>
    <row r="776" spans="1:15" x14ac:dyDescent="0.25">
      <c r="A776" s="3">
        <v>4</v>
      </c>
      <c r="B776" s="3" t="s">
        <v>173</v>
      </c>
      <c r="C776" s="1" t="s">
        <v>12</v>
      </c>
      <c r="D776" s="1" t="s">
        <v>444</v>
      </c>
      <c r="E776" s="11" t="s">
        <v>144</v>
      </c>
      <c r="F776" s="3" t="s">
        <v>8</v>
      </c>
      <c r="G776" s="66" t="s">
        <v>65</v>
      </c>
      <c r="H776" s="8"/>
      <c r="I776" s="8"/>
      <c r="J776" s="6" t="s">
        <v>76</v>
      </c>
      <c r="K776" s="38">
        <v>0</v>
      </c>
      <c r="L776" s="4" t="s">
        <v>29</v>
      </c>
      <c r="M776" s="11">
        <f>_xlfn.NUMBERVALUE(LEFT(Table613612[[#This Row],[Fiscal Year]], 4))</f>
        <v>2015</v>
      </c>
      <c r="N776" s="43">
        <f t="shared" si="17"/>
        <v>0</v>
      </c>
      <c r="O776" s="3">
        <v>774</v>
      </c>
    </row>
    <row r="777" spans="1:15" x14ac:dyDescent="0.25">
      <c r="A777" s="3">
        <v>4</v>
      </c>
      <c r="B777" s="3" t="s">
        <v>173</v>
      </c>
      <c r="C777" s="1" t="s">
        <v>12</v>
      </c>
      <c r="D777" s="1" t="s">
        <v>444</v>
      </c>
      <c r="E777" s="11" t="s">
        <v>144</v>
      </c>
      <c r="F777" s="3" t="s">
        <v>8</v>
      </c>
      <c r="G777" s="66" t="s">
        <v>66</v>
      </c>
      <c r="H777" s="8"/>
      <c r="I777" s="8"/>
      <c r="J777" s="6" t="s">
        <v>76</v>
      </c>
      <c r="K777" s="38">
        <v>0</v>
      </c>
      <c r="L777" s="4" t="s">
        <v>29</v>
      </c>
      <c r="M777" s="11">
        <f>_xlfn.NUMBERVALUE(LEFT(Table613612[[#This Row],[Fiscal Year]], 4))</f>
        <v>2015</v>
      </c>
      <c r="N777" s="43">
        <f t="shared" si="17"/>
        <v>0</v>
      </c>
      <c r="O777" s="3">
        <v>775</v>
      </c>
    </row>
    <row r="778" spans="1:15" x14ac:dyDescent="0.25">
      <c r="A778" s="3">
        <v>4</v>
      </c>
      <c r="B778" s="3" t="s">
        <v>173</v>
      </c>
      <c r="C778" s="1" t="s">
        <v>12</v>
      </c>
      <c r="D778" s="1" t="s">
        <v>444</v>
      </c>
      <c r="E778" s="11" t="s">
        <v>144</v>
      </c>
      <c r="F778" s="3" t="s">
        <v>8</v>
      </c>
      <c r="G778" s="66" t="s">
        <v>33</v>
      </c>
      <c r="H778" s="8"/>
      <c r="I778" s="8"/>
      <c r="J778" s="6" t="s">
        <v>47</v>
      </c>
      <c r="K778" s="38">
        <v>41200</v>
      </c>
      <c r="L778" s="4" t="s">
        <v>29</v>
      </c>
      <c r="M778" s="11">
        <f>_xlfn.NUMBERVALUE(LEFT(Table613612[[#This Row],[Fiscal Year]], 4))</f>
        <v>2015</v>
      </c>
      <c r="N778" s="42">
        <f t="shared" si="17"/>
        <v>43743.448101265822</v>
      </c>
      <c r="O778" s="3">
        <v>776</v>
      </c>
    </row>
    <row r="779" spans="1:15" x14ac:dyDescent="0.25">
      <c r="A779" s="3">
        <v>4</v>
      </c>
      <c r="B779" s="3" t="s">
        <v>173</v>
      </c>
      <c r="C779" s="1" t="s">
        <v>12</v>
      </c>
      <c r="D779" s="1" t="s">
        <v>444</v>
      </c>
      <c r="E779" s="11" t="s">
        <v>144</v>
      </c>
      <c r="F779" s="3" t="s">
        <v>8</v>
      </c>
      <c r="G779" s="66" t="s">
        <v>67</v>
      </c>
      <c r="H779" s="8"/>
      <c r="I779" s="8"/>
      <c r="J779" s="6" t="s">
        <v>455</v>
      </c>
      <c r="K779" s="38">
        <v>22100</v>
      </c>
      <c r="L779" s="4" t="s">
        <v>29</v>
      </c>
      <c r="M779" s="11">
        <f>_xlfn.NUMBERVALUE(LEFT(Table613612[[#This Row],[Fiscal Year]], 4))</f>
        <v>2015</v>
      </c>
      <c r="N779" s="42">
        <f t="shared" si="17"/>
        <v>23464.325316455695</v>
      </c>
      <c r="O779" s="3">
        <v>777</v>
      </c>
    </row>
    <row r="780" spans="1:15" x14ac:dyDescent="0.25">
      <c r="C780" s="1"/>
      <c r="D780" s="1"/>
      <c r="G780" s="66"/>
      <c r="H780" s="8"/>
      <c r="I780" s="8"/>
      <c r="J780" s="6"/>
      <c r="L780" s="4"/>
      <c r="O780" s="3">
        <v>778</v>
      </c>
    </row>
    <row r="781" spans="1:15" x14ac:dyDescent="0.25">
      <c r="A781" s="3">
        <v>4</v>
      </c>
      <c r="B781" s="3" t="s">
        <v>174</v>
      </c>
      <c r="C781" s="1" t="s">
        <v>12</v>
      </c>
      <c r="D781" s="1" t="s">
        <v>444</v>
      </c>
      <c r="E781" s="11" t="s">
        <v>144</v>
      </c>
      <c r="F781" s="3" t="s">
        <v>8</v>
      </c>
      <c r="G781" s="48" t="s">
        <v>32</v>
      </c>
      <c r="H781" s="8"/>
      <c r="I781" s="8"/>
      <c r="J781" s="6" t="s">
        <v>110</v>
      </c>
      <c r="K781" s="38">
        <v>90000</v>
      </c>
      <c r="L781" s="4" t="s">
        <v>29</v>
      </c>
      <c r="M781" s="11">
        <f>_xlfn.NUMBERVALUE(LEFT(Table613612[[#This Row],[Fiscal Year]], 4))</f>
        <v>2015</v>
      </c>
      <c r="N781" s="42">
        <f t="shared" ref="N781:N843" si="18">K781*(1+VLOOKUP(M781,$AF$8:$AH$31,3,0))</f>
        <v>95556.075949367078</v>
      </c>
      <c r="O781" s="3">
        <v>779</v>
      </c>
    </row>
    <row r="782" spans="1:15" x14ac:dyDescent="0.25">
      <c r="A782" s="3">
        <v>4</v>
      </c>
      <c r="B782" s="3" t="s">
        <v>174</v>
      </c>
      <c r="C782" s="1" t="s">
        <v>12</v>
      </c>
      <c r="D782" s="1" t="s">
        <v>444</v>
      </c>
      <c r="E782" s="11" t="s">
        <v>144</v>
      </c>
      <c r="F782" s="3" t="s">
        <v>8</v>
      </c>
      <c r="G782" s="66" t="s">
        <v>58</v>
      </c>
      <c r="H782" s="8"/>
      <c r="I782" s="8"/>
      <c r="J782" s="6" t="s">
        <v>453</v>
      </c>
      <c r="K782" s="38">
        <v>2500</v>
      </c>
      <c r="L782" s="4" t="s">
        <v>29</v>
      </c>
      <c r="M782" s="11">
        <f>_xlfn.NUMBERVALUE(LEFT(Table613612[[#This Row],[Fiscal Year]], 4))</f>
        <v>2015</v>
      </c>
      <c r="N782" s="42">
        <f t="shared" si="18"/>
        <v>2654.3354430379745</v>
      </c>
      <c r="O782" s="3">
        <v>780</v>
      </c>
    </row>
    <row r="783" spans="1:15" x14ac:dyDescent="0.25">
      <c r="A783" s="3">
        <v>4</v>
      </c>
      <c r="B783" s="3" t="s">
        <v>174</v>
      </c>
      <c r="C783" s="1" t="s">
        <v>12</v>
      </c>
      <c r="D783" s="1" t="s">
        <v>444</v>
      </c>
      <c r="E783" s="11" t="s">
        <v>144</v>
      </c>
      <c r="F783" s="3" t="s">
        <v>8</v>
      </c>
      <c r="G783" s="66" t="s">
        <v>208</v>
      </c>
      <c r="H783" s="8"/>
      <c r="I783" s="8"/>
      <c r="J783" s="6" t="s">
        <v>109</v>
      </c>
      <c r="K783" s="38" t="s">
        <v>827</v>
      </c>
      <c r="L783" s="4" t="s">
        <v>29</v>
      </c>
      <c r="M783" s="11">
        <f>_xlfn.NUMBERVALUE(LEFT(Table613612[[#This Row],[Fiscal Year]], 4))</f>
        <v>2015</v>
      </c>
      <c r="O783" s="3">
        <v>781</v>
      </c>
    </row>
    <row r="784" spans="1:15" x14ac:dyDescent="0.25">
      <c r="A784" s="3">
        <v>4</v>
      </c>
      <c r="B784" s="3" t="s">
        <v>174</v>
      </c>
      <c r="C784" s="1" t="s">
        <v>12</v>
      </c>
      <c r="D784" s="1" t="s">
        <v>444</v>
      </c>
      <c r="E784" s="11" t="s">
        <v>144</v>
      </c>
      <c r="F784" s="3" t="s">
        <v>8</v>
      </c>
      <c r="G784" s="48" t="s">
        <v>59</v>
      </c>
      <c r="H784" s="8"/>
      <c r="I784" s="8"/>
      <c r="J784" s="6" t="s">
        <v>111</v>
      </c>
      <c r="K784" s="38" t="s">
        <v>827</v>
      </c>
      <c r="L784" s="4" t="s">
        <v>29</v>
      </c>
      <c r="M784" s="11">
        <f>_xlfn.NUMBERVALUE(LEFT(Table613612[[#This Row],[Fiscal Year]], 4))</f>
        <v>2015</v>
      </c>
      <c r="O784" s="3">
        <v>782</v>
      </c>
    </row>
    <row r="785" spans="1:15" x14ac:dyDescent="0.25">
      <c r="A785" s="3">
        <v>4</v>
      </c>
      <c r="B785" s="3" t="s">
        <v>174</v>
      </c>
      <c r="C785" s="1" t="s">
        <v>12</v>
      </c>
      <c r="D785" s="1" t="s">
        <v>444</v>
      </c>
      <c r="E785" s="11" t="s">
        <v>144</v>
      </c>
      <c r="F785" s="3" t="s">
        <v>8</v>
      </c>
      <c r="G785" s="66" t="s">
        <v>60</v>
      </c>
      <c r="H785" s="8"/>
      <c r="I785" s="8"/>
      <c r="J785" s="6" t="s">
        <v>111</v>
      </c>
      <c r="K785" s="38">
        <v>1500</v>
      </c>
      <c r="L785" s="4" t="s">
        <v>29</v>
      </c>
      <c r="M785" s="11">
        <f>_xlfn.NUMBERVALUE(LEFT(Table613612[[#This Row],[Fiscal Year]], 4))</f>
        <v>2015</v>
      </c>
      <c r="N785" s="42">
        <f t="shared" si="18"/>
        <v>1592.6012658227846</v>
      </c>
      <c r="O785" s="3">
        <v>783</v>
      </c>
    </row>
    <row r="786" spans="1:15" x14ac:dyDescent="0.25">
      <c r="A786" s="3">
        <v>4</v>
      </c>
      <c r="B786" s="3" t="s">
        <v>174</v>
      </c>
      <c r="C786" s="1" t="s">
        <v>12</v>
      </c>
      <c r="D786" s="1" t="s">
        <v>444</v>
      </c>
      <c r="E786" s="11" t="s">
        <v>144</v>
      </c>
      <c r="F786" s="3" t="s">
        <v>8</v>
      </c>
      <c r="G786" s="48" t="s">
        <v>61</v>
      </c>
      <c r="H786" s="8"/>
      <c r="I786" s="8"/>
      <c r="J786" s="6" t="s">
        <v>108</v>
      </c>
      <c r="K786" s="38">
        <v>5000</v>
      </c>
      <c r="L786" s="4" t="s">
        <v>29</v>
      </c>
      <c r="M786" s="11">
        <f>_xlfn.NUMBERVALUE(LEFT(Table613612[[#This Row],[Fiscal Year]], 4))</f>
        <v>2015</v>
      </c>
      <c r="N786" s="42">
        <f t="shared" si="18"/>
        <v>5308.6708860759491</v>
      </c>
      <c r="O786" s="3">
        <v>784</v>
      </c>
    </row>
    <row r="787" spans="1:15" x14ac:dyDescent="0.25">
      <c r="A787" s="3">
        <v>4</v>
      </c>
      <c r="B787" s="3" t="s">
        <v>174</v>
      </c>
      <c r="C787" s="1" t="s">
        <v>12</v>
      </c>
      <c r="D787" s="1" t="s">
        <v>444</v>
      </c>
      <c r="E787" s="11" t="s">
        <v>144</v>
      </c>
      <c r="F787" s="3" t="s">
        <v>8</v>
      </c>
      <c r="G787" s="66" t="s">
        <v>62</v>
      </c>
      <c r="H787" s="8"/>
      <c r="I787" s="8"/>
      <c r="J787" s="6" t="s">
        <v>106</v>
      </c>
      <c r="K787" s="38">
        <v>4500</v>
      </c>
      <c r="L787" s="4" t="s">
        <v>29</v>
      </c>
      <c r="M787" s="11">
        <f>_xlfn.NUMBERVALUE(LEFT(Table613612[[#This Row],[Fiscal Year]], 4))</f>
        <v>2015</v>
      </c>
      <c r="N787" s="42">
        <f t="shared" si="18"/>
        <v>4777.8037974683539</v>
      </c>
      <c r="O787" s="3">
        <v>785</v>
      </c>
    </row>
    <row r="788" spans="1:15" x14ac:dyDescent="0.25">
      <c r="A788" s="3">
        <v>4</v>
      </c>
      <c r="B788" s="3" t="s">
        <v>174</v>
      </c>
      <c r="C788" s="1" t="s">
        <v>12</v>
      </c>
      <c r="D788" s="1" t="s">
        <v>444</v>
      </c>
      <c r="E788" s="11" t="s">
        <v>144</v>
      </c>
      <c r="F788" s="3" t="s">
        <v>8</v>
      </c>
      <c r="G788" s="66" t="s">
        <v>211</v>
      </c>
      <c r="H788" s="8"/>
      <c r="I788" s="8"/>
      <c r="J788" s="6" t="s">
        <v>455</v>
      </c>
      <c r="K788" s="38" t="s">
        <v>827</v>
      </c>
      <c r="L788" s="4" t="s">
        <v>29</v>
      </c>
      <c r="M788" s="11">
        <f>_xlfn.NUMBERVALUE(LEFT(Table613612[[#This Row],[Fiscal Year]], 4))</f>
        <v>2015</v>
      </c>
      <c r="O788" s="3">
        <v>786</v>
      </c>
    </row>
    <row r="789" spans="1:15" x14ac:dyDescent="0.25">
      <c r="A789" s="3">
        <v>4</v>
      </c>
      <c r="B789" s="3" t="s">
        <v>174</v>
      </c>
      <c r="C789" s="1" t="s">
        <v>12</v>
      </c>
      <c r="D789" s="1" t="s">
        <v>444</v>
      </c>
      <c r="E789" s="11" t="s">
        <v>144</v>
      </c>
      <c r="F789" s="3" t="s">
        <v>8</v>
      </c>
      <c r="G789" s="66" t="s">
        <v>64</v>
      </c>
      <c r="H789" s="8"/>
      <c r="I789" s="8"/>
      <c r="J789" s="6" t="s">
        <v>76</v>
      </c>
      <c r="K789" s="38" t="s">
        <v>827</v>
      </c>
      <c r="L789" s="4" t="s">
        <v>29</v>
      </c>
      <c r="M789" s="11">
        <f>_xlfn.NUMBERVALUE(LEFT(Table613612[[#This Row],[Fiscal Year]], 4))</f>
        <v>2015</v>
      </c>
      <c r="O789" s="3">
        <v>787</v>
      </c>
    </row>
    <row r="790" spans="1:15" x14ac:dyDescent="0.25">
      <c r="A790" s="3">
        <v>4</v>
      </c>
      <c r="B790" s="3" t="s">
        <v>174</v>
      </c>
      <c r="C790" s="1" t="s">
        <v>12</v>
      </c>
      <c r="D790" s="1" t="s">
        <v>444</v>
      </c>
      <c r="E790" s="11" t="s">
        <v>144</v>
      </c>
      <c r="F790" s="3" t="s">
        <v>8</v>
      </c>
      <c r="G790" s="66" t="s">
        <v>65</v>
      </c>
      <c r="H790" s="8"/>
      <c r="I790" s="8"/>
      <c r="J790" s="6" t="s">
        <v>76</v>
      </c>
      <c r="K790" s="38" t="s">
        <v>827</v>
      </c>
      <c r="L790" s="4" t="s">
        <v>29</v>
      </c>
      <c r="M790" s="11">
        <f>_xlfn.NUMBERVALUE(LEFT(Table613612[[#This Row],[Fiscal Year]], 4))</f>
        <v>2015</v>
      </c>
      <c r="O790" s="3">
        <v>788</v>
      </c>
    </row>
    <row r="791" spans="1:15" x14ac:dyDescent="0.25">
      <c r="A791" s="3">
        <v>4</v>
      </c>
      <c r="B791" s="3" t="s">
        <v>174</v>
      </c>
      <c r="C791" s="1" t="s">
        <v>12</v>
      </c>
      <c r="D791" s="1" t="s">
        <v>444</v>
      </c>
      <c r="E791" s="11" t="s">
        <v>144</v>
      </c>
      <c r="F791" s="3" t="s">
        <v>8</v>
      </c>
      <c r="G791" s="66" t="s">
        <v>66</v>
      </c>
      <c r="H791" s="8"/>
      <c r="I791" s="8"/>
      <c r="J791" s="6" t="s">
        <v>76</v>
      </c>
      <c r="K791" s="38" t="s">
        <v>827</v>
      </c>
      <c r="L791" s="4" t="s">
        <v>29</v>
      </c>
      <c r="M791" s="11">
        <f>_xlfn.NUMBERVALUE(LEFT(Table613612[[#This Row],[Fiscal Year]], 4))</f>
        <v>2015</v>
      </c>
      <c r="O791" s="3">
        <v>789</v>
      </c>
    </row>
    <row r="792" spans="1:15" x14ac:dyDescent="0.25">
      <c r="A792" s="3">
        <v>4</v>
      </c>
      <c r="B792" s="3" t="s">
        <v>174</v>
      </c>
      <c r="C792" s="1" t="s">
        <v>12</v>
      </c>
      <c r="D792" s="1" t="s">
        <v>444</v>
      </c>
      <c r="E792" s="11" t="s">
        <v>144</v>
      </c>
      <c r="F792" s="3" t="s">
        <v>8</v>
      </c>
      <c r="G792" s="66" t="s">
        <v>33</v>
      </c>
      <c r="H792" s="8"/>
      <c r="I792" s="8"/>
      <c r="J792" s="6" t="s">
        <v>47</v>
      </c>
      <c r="K792" s="38">
        <v>229326</v>
      </c>
      <c r="L792" s="4" t="s">
        <v>29</v>
      </c>
      <c r="M792" s="11">
        <f>_xlfn.NUMBERVALUE(LEFT(Table613612[[#This Row],[Fiscal Year]], 4))</f>
        <v>2015</v>
      </c>
      <c r="N792" s="42">
        <f t="shared" si="18"/>
        <v>243483.25192405062</v>
      </c>
      <c r="O792" s="3">
        <v>790</v>
      </c>
    </row>
    <row r="793" spans="1:15" x14ac:dyDescent="0.25">
      <c r="A793" s="3">
        <v>4</v>
      </c>
      <c r="B793" s="3" t="s">
        <v>174</v>
      </c>
      <c r="C793" s="1" t="s">
        <v>12</v>
      </c>
      <c r="D793" s="1" t="s">
        <v>444</v>
      </c>
      <c r="E793" s="11" t="s">
        <v>144</v>
      </c>
      <c r="F793" s="3" t="s">
        <v>8</v>
      </c>
      <c r="G793" s="66" t="s">
        <v>67</v>
      </c>
      <c r="H793" s="8"/>
      <c r="I793" s="8"/>
      <c r="J793" s="6" t="s">
        <v>455</v>
      </c>
      <c r="K793" s="38">
        <v>5220</v>
      </c>
      <c r="L793" s="4" t="s">
        <v>29</v>
      </c>
      <c r="M793" s="11">
        <f>_xlfn.NUMBERVALUE(LEFT(Table613612[[#This Row],[Fiscal Year]], 4))</f>
        <v>2015</v>
      </c>
      <c r="N793" s="42">
        <f t="shared" si="18"/>
        <v>5542.252405063291</v>
      </c>
      <c r="O793" s="3">
        <v>791</v>
      </c>
    </row>
    <row r="794" spans="1:15" x14ac:dyDescent="0.25">
      <c r="C794" s="1"/>
      <c r="D794" s="1"/>
      <c r="G794" s="66"/>
      <c r="H794" s="8"/>
      <c r="I794" s="8"/>
      <c r="J794" s="6"/>
      <c r="L794" s="4"/>
      <c r="O794" s="3">
        <v>792</v>
      </c>
    </row>
    <row r="795" spans="1:15" x14ac:dyDescent="0.25">
      <c r="A795" s="3">
        <v>4</v>
      </c>
      <c r="B795" s="3" t="s">
        <v>430</v>
      </c>
      <c r="C795" s="1" t="s">
        <v>12</v>
      </c>
      <c r="D795" s="1" t="s">
        <v>444</v>
      </c>
      <c r="E795" s="11" t="s">
        <v>144</v>
      </c>
      <c r="F795" s="3" t="s">
        <v>8</v>
      </c>
      <c r="G795" s="56" t="s">
        <v>829</v>
      </c>
      <c r="H795" s="8"/>
      <c r="I795" s="8"/>
      <c r="J795" s="6" t="s">
        <v>110</v>
      </c>
      <c r="K795" s="38">
        <v>250000</v>
      </c>
      <c r="L795" s="4" t="s">
        <v>29</v>
      </c>
      <c r="M795" s="11">
        <f>_xlfn.NUMBERVALUE(LEFT(Table613612[[#This Row],[Fiscal Year]], 4))</f>
        <v>2015</v>
      </c>
      <c r="N795" s="42">
        <f t="shared" si="18"/>
        <v>265433.54430379748</v>
      </c>
      <c r="O795" s="3">
        <v>793</v>
      </c>
    </row>
    <row r="796" spans="1:15" x14ac:dyDescent="0.25">
      <c r="A796" s="3">
        <v>4</v>
      </c>
      <c r="B796" s="3" t="s">
        <v>430</v>
      </c>
      <c r="C796" s="1" t="s">
        <v>12</v>
      </c>
      <c r="D796" s="1" t="s">
        <v>444</v>
      </c>
      <c r="E796" s="11" t="s">
        <v>144</v>
      </c>
      <c r="F796" s="3" t="s">
        <v>8</v>
      </c>
      <c r="G796" s="66" t="s">
        <v>844</v>
      </c>
      <c r="H796" s="8"/>
      <c r="I796" s="8"/>
      <c r="J796" s="6" t="s">
        <v>453</v>
      </c>
      <c r="K796" s="38">
        <v>4000</v>
      </c>
      <c r="L796" s="4" t="s">
        <v>29</v>
      </c>
      <c r="M796" s="11">
        <f>_xlfn.NUMBERVALUE(LEFT(Table613612[[#This Row],[Fiscal Year]], 4))</f>
        <v>2015</v>
      </c>
      <c r="N796" s="42">
        <f t="shared" si="18"/>
        <v>4246.9367088607596</v>
      </c>
      <c r="O796" s="3">
        <v>794</v>
      </c>
    </row>
    <row r="797" spans="1:15" x14ac:dyDescent="0.25">
      <c r="A797" s="3">
        <v>4</v>
      </c>
      <c r="B797" s="3" t="s">
        <v>430</v>
      </c>
      <c r="C797" s="1" t="s">
        <v>12</v>
      </c>
      <c r="D797" s="1" t="s">
        <v>444</v>
      </c>
      <c r="E797" s="11" t="s">
        <v>144</v>
      </c>
      <c r="F797" s="3" t="s">
        <v>8</v>
      </c>
      <c r="G797" s="66" t="s">
        <v>921</v>
      </c>
      <c r="H797" s="8"/>
      <c r="I797" s="8"/>
      <c r="J797" s="6" t="s">
        <v>109</v>
      </c>
      <c r="K797" s="38">
        <v>15483</v>
      </c>
      <c r="L797" s="4" t="s">
        <v>29</v>
      </c>
      <c r="M797" s="11">
        <f>_xlfn.NUMBERVALUE(LEFT(Table613612[[#This Row],[Fiscal Year]], 4))</f>
        <v>2015</v>
      </c>
      <c r="N797" s="42">
        <f t="shared" si="18"/>
        <v>16438.830265822784</v>
      </c>
      <c r="O797" s="3">
        <v>795</v>
      </c>
    </row>
    <row r="798" spans="1:15" x14ac:dyDescent="0.25">
      <c r="A798" s="3">
        <v>4</v>
      </c>
      <c r="B798" s="3" t="s">
        <v>430</v>
      </c>
      <c r="C798" s="1" t="s">
        <v>12</v>
      </c>
      <c r="D798" s="1" t="s">
        <v>444</v>
      </c>
      <c r="E798" s="11" t="s">
        <v>144</v>
      </c>
      <c r="F798" s="3" t="s">
        <v>8</v>
      </c>
      <c r="G798" s="48" t="s">
        <v>846</v>
      </c>
      <c r="H798" s="8"/>
      <c r="I798" s="8"/>
      <c r="J798" s="6" t="s">
        <v>111</v>
      </c>
      <c r="K798" s="38">
        <v>10000</v>
      </c>
      <c r="L798" s="4" t="s">
        <v>29</v>
      </c>
      <c r="M798" s="11">
        <f>_xlfn.NUMBERVALUE(LEFT(Table613612[[#This Row],[Fiscal Year]], 4))</f>
        <v>2015</v>
      </c>
      <c r="N798" s="42">
        <f t="shared" si="18"/>
        <v>10617.341772151898</v>
      </c>
      <c r="O798" s="3">
        <v>796</v>
      </c>
    </row>
    <row r="799" spans="1:15" x14ac:dyDescent="0.25">
      <c r="A799" s="3">
        <v>4</v>
      </c>
      <c r="B799" s="3" t="s">
        <v>430</v>
      </c>
      <c r="C799" s="1" t="s">
        <v>12</v>
      </c>
      <c r="D799" s="1" t="s">
        <v>444</v>
      </c>
      <c r="E799" s="11" t="s">
        <v>144</v>
      </c>
      <c r="F799" s="3" t="s">
        <v>8</v>
      </c>
      <c r="G799" s="66" t="s">
        <v>847</v>
      </c>
      <c r="H799" s="8"/>
      <c r="I799" s="8"/>
      <c r="J799" s="6" t="s">
        <v>111</v>
      </c>
      <c r="K799" s="38">
        <v>10000</v>
      </c>
      <c r="L799" s="4" t="s">
        <v>29</v>
      </c>
      <c r="M799" s="11">
        <f>_xlfn.NUMBERVALUE(LEFT(Table613612[[#This Row],[Fiscal Year]], 4))</f>
        <v>2015</v>
      </c>
      <c r="N799" s="42">
        <f t="shared" si="18"/>
        <v>10617.341772151898</v>
      </c>
      <c r="O799" s="3">
        <v>797</v>
      </c>
    </row>
    <row r="800" spans="1:15" x14ac:dyDescent="0.25">
      <c r="A800" s="3">
        <v>4</v>
      </c>
      <c r="B800" s="3" t="s">
        <v>430</v>
      </c>
      <c r="C800" s="1" t="s">
        <v>12</v>
      </c>
      <c r="D800" s="1" t="s">
        <v>444</v>
      </c>
      <c r="E800" s="11" t="s">
        <v>144</v>
      </c>
      <c r="F800" s="3" t="s">
        <v>8</v>
      </c>
      <c r="G800" s="48" t="s">
        <v>857</v>
      </c>
      <c r="H800" s="8"/>
      <c r="I800" s="8"/>
      <c r="J800" s="6" t="s">
        <v>108</v>
      </c>
      <c r="K800" s="38">
        <v>52972</v>
      </c>
      <c r="L800" s="4" t="s">
        <v>29</v>
      </c>
      <c r="M800" s="11">
        <f>_xlfn.NUMBERVALUE(LEFT(Table613612[[#This Row],[Fiscal Year]], 4))</f>
        <v>2015</v>
      </c>
      <c r="N800" s="42">
        <f t="shared" si="18"/>
        <v>56242.182835443033</v>
      </c>
      <c r="O800" s="3">
        <v>798</v>
      </c>
    </row>
    <row r="801" spans="1:15" x14ac:dyDescent="0.25">
      <c r="A801" s="3">
        <v>4</v>
      </c>
      <c r="B801" s="3" t="s">
        <v>430</v>
      </c>
      <c r="C801" s="1" t="s">
        <v>12</v>
      </c>
      <c r="D801" s="1" t="s">
        <v>444</v>
      </c>
      <c r="E801" s="11" t="s">
        <v>144</v>
      </c>
      <c r="F801" s="3" t="s">
        <v>8</v>
      </c>
      <c r="G801" s="66" t="s">
        <v>849</v>
      </c>
      <c r="H801" s="8"/>
      <c r="I801" s="8"/>
      <c r="J801" s="6" t="s">
        <v>106</v>
      </c>
      <c r="K801" s="38">
        <v>50000</v>
      </c>
      <c r="L801" s="4" t="s">
        <v>29</v>
      </c>
      <c r="M801" s="11">
        <f>_xlfn.NUMBERVALUE(LEFT(Table613612[[#This Row],[Fiscal Year]], 4))</f>
        <v>2015</v>
      </c>
      <c r="N801" s="42">
        <f t="shared" si="18"/>
        <v>53086.708860759492</v>
      </c>
      <c r="O801" s="3">
        <v>799</v>
      </c>
    </row>
    <row r="802" spans="1:15" x14ac:dyDescent="0.25">
      <c r="A802" s="3">
        <v>4</v>
      </c>
      <c r="B802" s="3" t="s">
        <v>430</v>
      </c>
      <c r="C802" s="1" t="s">
        <v>12</v>
      </c>
      <c r="D802" s="1" t="s">
        <v>444</v>
      </c>
      <c r="E802" s="11" t="s">
        <v>144</v>
      </c>
      <c r="F802" s="3" t="s">
        <v>8</v>
      </c>
      <c r="G802" s="66" t="s">
        <v>922</v>
      </c>
      <c r="H802" s="8"/>
      <c r="I802" s="8"/>
      <c r="J802" s="6" t="s">
        <v>455</v>
      </c>
      <c r="K802" s="38">
        <v>0</v>
      </c>
      <c r="L802" s="4" t="s">
        <v>29</v>
      </c>
      <c r="M802" s="11">
        <f>_xlfn.NUMBERVALUE(LEFT(Table613612[[#This Row],[Fiscal Year]], 4))</f>
        <v>2015</v>
      </c>
      <c r="N802" s="43">
        <f t="shared" si="18"/>
        <v>0</v>
      </c>
      <c r="O802" s="3">
        <v>800</v>
      </c>
    </row>
    <row r="803" spans="1:15" x14ac:dyDescent="0.25">
      <c r="A803" s="3">
        <v>4</v>
      </c>
      <c r="B803" s="3" t="s">
        <v>430</v>
      </c>
      <c r="C803" s="1" t="s">
        <v>12</v>
      </c>
      <c r="D803" s="1" t="s">
        <v>444</v>
      </c>
      <c r="E803" s="11" t="s">
        <v>144</v>
      </c>
      <c r="F803" s="3" t="s">
        <v>8</v>
      </c>
      <c r="G803" s="66" t="s">
        <v>851</v>
      </c>
      <c r="H803" s="8"/>
      <c r="I803" s="8"/>
      <c r="J803" s="6" t="s">
        <v>76</v>
      </c>
      <c r="K803" s="38">
        <v>16000</v>
      </c>
      <c r="L803" s="4" t="s">
        <v>29</v>
      </c>
      <c r="M803" s="11">
        <f>_xlfn.NUMBERVALUE(LEFT(Table613612[[#This Row],[Fiscal Year]], 4))</f>
        <v>2015</v>
      </c>
      <c r="N803" s="42">
        <f t="shared" si="18"/>
        <v>16987.746835443038</v>
      </c>
      <c r="O803" s="3">
        <v>801</v>
      </c>
    </row>
    <row r="804" spans="1:15" x14ac:dyDescent="0.25">
      <c r="A804" s="3">
        <v>4</v>
      </c>
      <c r="B804" s="3" t="s">
        <v>430</v>
      </c>
      <c r="C804" s="1" t="s">
        <v>12</v>
      </c>
      <c r="D804" s="1" t="s">
        <v>444</v>
      </c>
      <c r="E804" s="11" t="s">
        <v>144</v>
      </c>
      <c r="F804" s="3" t="s">
        <v>8</v>
      </c>
      <c r="G804" s="66" t="s">
        <v>852</v>
      </c>
      <c r="H804" s="8"/>
      <c r="I804" s="8"/>
      <c r="J804" s="6" t="s">
        <v>76</v>
      </c>
      <c r="K804" s="38">
        <v>75000</v>
      </c>
      <c r="L804" s="4" t="s">
        <v>29</v>
      </c>
      <c r="M804" s="11">
        <f>_xlfn.NUMBERVALUE(LEFT(Table613612[[#This Row],[Fiscal Year]], 4))</f>
        <v>2015</v>
      </c>
      <c r="N804" s="42">
        <f t="shared" si="18"/>
        <v>79630.063291139231</v>
      </c>
      <c r="O804" s="3">
        <v>802</v>
      </c>
    </row>
    <row r="805" spans="1:15" x14ac:dyDescent="0.25">
      <c r="A805" s="3">
        <v>4</v>
      </c>
      <c r="B805" s="3" t="s">
        <v>430</v>
      </c>
      <c r="C805" s="1" t="s">
        <v>12</v>
      </c>
      <c r="D805" s="1" t="s">
        <v>444</v>
      </c>
      <c r="E805" s="11" t="s">
        <v>144</v>
      </c>
      <c r="F805" s="3" t="s">
        <v>8</v>
      </c>
      <c r="G805" s="66" t="s">
        <v>853</v>
      </c>
      <c r="H805" s="8"/>
      <c r="I805" s="8"/>
      <c r="J805" s="6" t="s">
        <v>76</v>
      </c>
      <c r="K805" s="38">
        <v>0</v>
      </c>
      <c r="L805" s="4" t="s">
        <v>29</v>
      </c>
      <c r="M805" s="11">
        <f>_xlfn.NUMBERVALUE(LEFT(Table613612[[#This Row],[Fiscal Year]], 4))</f>
        <v>2015</v>
      </c>
      <c r="N805" s="43">
        <f t="shared" si="18"/>
        <v>0</v>
      </c>
      <c r="O805" s="3">
        <v>803</v>
      </c>
    </row>
    <row r="806" spans="1:15" x14ac:dyDescent="0.25">
      <c r="A806" s="3">
        <v>4</v>
      </c>
      <c r="B806" s="3" t="s">
        <v>430</v>
      </c>
      <c r="C806" s="1" t="s">
        <v>12</v>
      </c>
      <c r="D806" s="1" t="s">
        <v>444</v>
      </c>
      <c r="E806" s="11" t="s">
        <v>144</v>
      </c>
      <c r="F806" s="3" t="s">
        <v>8</v>
      </c>
      <c r="G806" s="63" t="s">
        <v>854</v>
      </c>
      <c r="H806" s="8"/>
      <c r="I806" s="8"/>
      <c r="J806" s="6" t="s">
        <v>47</v>
      </c>
      <c r="K806" s="58">
        <v>73339</v>
      </c>
      <c r="L806" s="4" t="s">
        <v>29</v>
      </c>
      <c r="M806" s="11">
        <f>_xlfn.NUMBERVALUE(LEFT(Table613612[[#This Row],[Fiscal Year]], 4))</f>
        <v>2015</v>
      </c>
      <c r="N806" s="42">
        <f t="shared" si="18"/>
        <v>77866.522822784798</v>
      </c>
      <c r="O806" s="3">
        <v>804</v>
      </c>
    </row>
    <row r="807" spans="1:15" x14ac:dyDescent="0.25">
      <c r="A807" s="3">
        <v>4</v>
      </c>
      <c r="B807" s="3" t="s">
        <v>430</v>
      </c>
      <c r="C807" s="1" t="s">
        <v>12</v>
      </c>
      <c r="D807" s="1" t="s">
        <v>444</v>
      </c>
      <c r="E807" s="11" t="s">
        <v>144</v>
      </c>
      <c r="F807" s="3" t="s">
        <v>8</v>
      </c>
      <c r="G807" s="63" t="s">
        <v>855</v>
      </c>
      <c r="H807" s="8"/>
      <c r="I807" s="8"/>
      <c r="J807" s="6" t="s">
        <v>455</v>
      </c>
      <c r="K807" s="58">
        <v>358817</v>
      </c>
      <c r="L807" s="4" t="s">
        <v>29</v>
      </c>
      <c r="M807" s="11">
        <f>_xlfn.NUMBERVALUE(LEFT(Table613612[[#This Row],[Fiscal Year]], 4))</f>
        <v>2015</v>
      </c>
      <c r="N807" s="42">
        <f t="shared" si="18"/>
        <v>380968.27226582274</v>
      </c>
      <c r="O807" s="3">
        <v>805</v>
      </c>
    </row>
    <row r="808" spans="1:15" x14ac:dyDescent="0.25">
      <c r="C808" s="1"/>
      <c r="D808" s="1"/>
      <c r="G808" s="66"/>
      <c r="H808" s="8"/>
      <c r="I808" s="8"/>
      <c r="J808" s="6"/>
      <c r="L808" s="4"/>
      <c r="O808" s="3">
        <v>806</v>
      </c>
    </row>
    <row r="809" spans="1:15" x14ac:dyDescent="0.25">
      <c r="A809" s="3">
        <v>4</v>
      </c>
      <c r="B809" s="3" t="s">
        <v>175</v>
      </c>
      <c r="C809" s="1" t="s">
        <v>12</v>
      </c>
      <c r="D809" s="1" t="s">
        <v>444</v>
      </c>
      <c r="E809" s="11" t="s">
        <v>144</v>
      </c>
      <c r="F809" s="3" t="s">
        <v>8</v>
      </c>
      <c r="G809" s="56" t="s">
        <v>829</v>
      </c>
      <c r="H809" s="8"/>
      <c r="I809" s="8"/>
      <c r="J809" s="6" t="s">
        <v>110</v>
      </c>
      <c r="K809" s="38">
        <v>211994</v>
      </c>
      <c r="L809" s="4" t="s">
        <v>29</v>
      </c>
      <c r="M809" s="11">
        <f>_xlfn.NUMBERVALUE(LEFT(Table613612[[#This Row],[Fiscal Year]], 4))</f>
        <v>2015</v>
      </c>
      <c r="N809" s="42">
        <f t="shared" si="18"/>
        <v>225081.27516455695</v>
      </c>
      <c r="O809" s="3">
        <v>807</v>
      </c>
    </row>
    <row r="810" spans="1:15" x14ac:dyDescent="0.25">
      <c r="A810" s="3">
        <v>4</v>
      </c>
      <c r="B810" s="3" t="s">
        <v>175</v>
      </c>
      <c r="C810" s="1" t="s">
        <v>12</v>
      </c>
      <c r="D810" s="1" t="s">
        <v>444</v>
      </c>
      <c r="E810" s="11" t="s">
        <v>144</v>
      </c>
      <c r="F810" s="3" t="s">
        <v>8</v>
      </c>
      <c r="G810" s="66" t="s">
        <v>844</v>
      </c>
      <c r="H810" s="8"/>
      <c r="I810" s="8"/>
      <c r="J810" s="6" t="s">
        <v>453</v>
      </c>
      <c r="K810" s="38">
        <v>38253</v>
      </c>
      <c r="L810" s="4" t="s">
        <v>29</v>
      </c>
      <c r="M810" s="11">
        <f>_xlfn.NUMBERVALUE(LEFT(Table613612[[#This Row],[Fiscal Year]], 4))</f>
        <v>2015</v>
      </c>
      <c r="N810" s="42">
        <f t="shared" si="18"/>
        <v>40614.517481012655</v>
      </c>
      <c r="O810" s="3">
        <v>808</v>
      </c>
    </row>
    <row r="811" spans="1:15" x14ac:dyDescent="0.25">
      <c r="A811" s="3">
        <v>4</v>
      </c>
      <c r="B811" s="3" t="s">
        <v>175</v>
      </c>
      <c r="C811" s="1" t="s">
        <v>12</v>
      </c>
      <c r="D811" s="1" t="s">
        <v>444</v>
      </c>
      <c r="E811" s="11" t="s">
        <v>144</v>
      </c>
      <c r="F811" s="3" t="s">
        <v>8</v>
      </c>
      <c r="G811" s="66" t="s">
        <v>921</v>
      </c>
      <c r="H811" s="8"/>
      <c r="I811" s="8"/>
      <c r="J811" s="6" t="s">
        <v>109</v>
      </c>
      <c r="K811" s="38">
        <v>33253</v>
      </c>
      <c r="L811" s="4" t="s">
        <v>29</v>
      </c>
      <c r="M811" s="11">
        <f>_xlfn.NUMBERVALUE(LEFT(Table613612[[#This Row],[Fiscal Year]], 4))</f>
        <v>2015</v>
      </c>
      <c r="N811" s="42">
        <f t="shared" si="18"/>
        <v>35305.846594936709</v>
      </c>
      <c r="O811" s="3">
        <v>809</v>
      </c>
    </row>
    <row r="812" spans="1:15" x14ac:dyDescent="0.25">
      <c r="A812" s="3">
        <v>4</v>
      </c>
      <c r="B812" s="3" t="s">
        <v>175</v>
      </c>
      <c r="C812" s="1" t="s">
        <v>12</v>
      </c>
      <c r="D812" s="1" t="s">
        <v>444</v>
      </c>
      <c r="E812" s="11" t="s">
        <v>144</v>
      </c>
      <c r="F812" s="3" t="s">
        <v>8</v>
      </c>
      <c r="G812" s="48" t="s">
        <v>846</v>
      </c>
      <c r="H812" s="8"/>
      <c r="I812" s="8"/>
      <c r="J812" s="6" t="s">
        <v>111</v>
      </c>
      <c r="K812" s="38">
        <v>39386</v>
      </c>
      <c r="L812" s="4" t="s">
        <v>29</v>
      </c>
      <c r="M812" s="11">
        <f>_xlfn.NUMBERVALUE(LEFT(Table613612[[#This Row],[Fiscal Year]], 4))</f>
        <v>2015</v>
      </c>
      <c r="N812" s="42">
        <f t="shared" si="18"/>
        <v>41817.462303797467</v>
      </c>
      <c r="O812" s="3">
        <v>810</v>
      </c>
    </row>
    <row r="813" spans="1:15" x14ac:dyDescent="0.25">
      <c r="A813" s="3">
        <v>4</v>
      </c>
      <c r="B813" s="3" t="s">
        <v>175</v>
      </c>
      <c r="C813" s="1" t="s">
        <v>12</v>
      </c>
      <c r="D813" s="1" t="s">
        <v>444</v>
      </c>
      <c r="E813" s="11" t="s">
        <v>144</v>
      </c>
      <c r="F813" s="3" t="s">
        <v>8</v>
      </c>
      <c r="G813" s="66" t="s">
        <v>847</v>
      </c>
      <c r="H813" s="8"/>
      <c r="I813" s="8"/>
      <c r="J813" s="6" t="s">
        <v>111</v>
      </c>
      <c r="K813" s="38">
        <v>51655</v>
      </c>
      <c r="L813" s="4" t="s">
        <v>29</v>
      </c>
      <c r="M813" s="11">
        <f>_xlfn.NUMBERVALUE(LEFT(Table613612[[#This Row],[Fiscal Year]], 4))</f>
        <v>2015</v>
      </c>
      <c r="N813" s="42">
        <f t="shared" si="18"/>
        <v>54843.87892405063</v>
      </c>
      <c r="O813" s="3">
        <v>811</v>
      </c>
    </row>
    <row r="814" spans="1:15" x14ac:dyDescent="0.25">
      <c r="A814" s="3">
        <v>4</v>
      </c>
      <c r="B814" s="3" t="s">
        <v>175</v>
      </c>
      <c r="C814" s="1" t="s">
        <v>12</v>
      </c>
      <c r="D814" s="1" t="s">
        <v>444</v>
      </c>
      <c r="E814" s="11" t="s">
        <v>144</v>
      </c>
      <c r="F814" s="3" t="s">
        <v>8</v>
      </c>
      <c r="G814" s="48" t="s">
        <v>857</v>
      </c>
      <c r="H814" s="8"/>
      <c r="I814" s="8"/>
      <c r="J814" s="6" t="s">
        <v>108</v>
      </c>
      <c r="K814" s="38">
        <v>495189</v>
      </c>
      <c r="L814" s="4" t="s">
        <v>29</v>
      </c>
      <c r="M814" s="11">
        <f>_xlfn.NUMBERVALUE(LEFT(Table613612[[#This Row],[Fiscal Year]], 4))</f>
        <v>2015</v>
      </c>
      <c r="N814" s="42">
        <f t="shared" si="18"/>
        <v>525759.08548101259</v>
      </c>
      <c r="O814" s="3">
        <v>812</v>
      </c>
    </row>
    <row r="815" spans="1:15" x14ac:dyDescent="0.25">
      <c r="A815" s="3">
        <v>4</v>
      </c>
      <c r="B815" s="3" t="s">
        <v>175</v>
      </c>
      <c r="C815" s="1" t="s">
        <v>12</v>
      </c>
      <c r="D815" s="1" t="s">
        <v>444</v>
      </c>
      <c r="E815" s="11" t="s">
        <v>144</v>
      </c>
      <c r="F815" s="3" t="s">
        <v>8</v>
      </c>
      <c r="G815" s="66" t="s">
        <v>849</v>
      </c>
      <c r="H815" s="8"/>
      <c r="I815" s="8"/>
      <c r="J815" s="6" t="s">
        <v>106</v>
      </c>
      <c r="K815" s="38">
        <v>62132</v>
      </c>
      <c r="L815" s="4" t="s">
        <v>29</v>
      </c>
      <c r="M815" s="11">
        <f>_xlfn.NUMBERVALUE(LEFT(Table613612[[#This Row],[Fiscal Year]], 4))</f>
        <v>2015</v>
      </c>
      <c r="N815" s="42">
        <f t="shared" si="18"/>
        <v>65967.667898734173</v>
      </c>
      <c r="O815" s="3">
        <v>813</v>
      </c>
    </row>
    <row r="816" spans="1:15" x14ac:dyDescent="0.25">
      <c r="A816" s="3">
        <v>4</v>
      </c>
      <c r="B816" s="3" t="s">
        <v>175</v>
      </c>
      <c r="C816" s="1" t="s">
        <v>12</v>
      </c>
      <c r="D816" s="1" t="s">
        <v>444</v>
      </c>
      <c r="E816" s="11" t="s">
        <v>144</v>
      </c>
      <c r="F816" s="3" t="s">
        <v>8</v>
      </c>
      <c r="G816" s="66" t="s">
        <v>850</v>
      </c>
      <c r="H816" s="8"/>
      <c r="I816" s="8"/>
      <c r="J816" s="6" t="s">
        <v>455</v>
      </c>
      <c r="K816" s="38">
        <v>0</v>
      </c>
      <c r="L816" s="4" t="s">
        <v>29</v>
      </c>
      <c r="M816" s="11">
        <f>_xlfn.NUMBERVALUE(LEFT(Table613612[[#This Row],[Fiscal Year]], 4))</f>
        <v>2015</v>
      </c>
      <c r="N816" s="43">
        <f t="shared" si="18"/>
        <v>0</v>
      </c>
      <c r="O816" s="3">
        <v>814</v>
      </c>
    </row>
    <row r="817" spans="1:15" x14ac:dyDescent="0.25">
      <c r="A817" s="3">
        <v>4</v>
      </c>
      <c r="B817" s="3" t="s">
        <v>175</v>
      </c>
      <c r="C817" s="1" t="s">
        <v>12</v>
      </c>
      <c r="D817" s="1" t="s">
        <v>444</v>
      </c>
      <c r="E817" s="11" t="s">
        <v>144</v>
      </c>
      <c r="F817" s="3" t="s">
        <v>8</v>
      </c>
      <c r="G817" s="66" t="s">
        <v>851</v>
      </c>
      <c r="H817" s="8"/>
      <c r="I817" s="8"/>
      <c r="J817" s="6" t="s">
        <v>76</v>
      </c>
      <c r="K817" s="38">
        <v>0</v>
      </c>
      <c r="L817" s="4" t="s">
        <v>29</v>
      </c>
      <c r="M817" s="11">
        <f>_xlfn.NUMBERVALUE(LEFT(Table613612[[#This Row],[Fiscal Year]], 4))</f>
        <v>2015</v>
      </c>
      <c r="N817" s="43">
        <f t="shared" si="18"/>
        <v>0</v>
      </c>
      <c r="O817" s="3">
        <v>815</v>
      </c>
    </row>
    <row r="818" spans="1:15" x14ac:dyDescent="0.25">
      <c r="A818" s="3">
        <v>4</v>
      </c>
      <c r="B818" s="3" t="s">
        <v>175</v>
      </c>
      <c r="C818" s="1" t="s">
        <v>12</v>
      </c>
      <c r="D818" s="1" t="s">
        <v>444</v>
      </c>
      <c r="E818" s="11" t="s">
        <v>144</v>
      </c>
      <c r="F818" s="3" t="s">
        <v>8</v>
      </c>
      <c r="G818" s="66" t="s">
        <v>852</v>
      </c>
      <c r="H818" s="8"/>
      <c r="I818" s="8"/>
      <c r="J818" s="6" t="s">
        <v>76</v>
      </c>
      <c r="K818" s="38">
        <v>0</v>
      </c>
      <c r="L818" s="4" t="s">
        <v>29</v>
      </c>
      <c r="M818" s="11">
        <f>_xlfn.NUMBERVALUE(LEFT(Table613612[[#This Row],[Fiscal Year]], 4))</f>
        <v>2015</v>
      </c>
      <c r="N818" s="43">
        <f t="shared" si="18"/>
        <v>0</v>
      </c>
      <c r="O818" s="3">
        <v>816</v>
      </c>
    </row>
    <row r="819" spans="1:15" x14ac:dyDescent="0.25">
      <c r="A819" s="3">
        <v>4</v>
      </c>
      <c r="B819" s="3" t="s">
        <v>175</v>
      </c>
      <c r="C819" s="1" t="s">
        <v>12</v>
      </c>
      <c r="D819" s="1" t="s">
        <v>444</v>
      </c>
      <c r="E819" s="11" t="s">
        <v>144</v>
      </c>
      <c r="F819" s="3" t="s">
        <v>8</v>
      </c>
      <c r="G819" s="66" t="s">
        <v>853</v>
      </c>
      <c r="H819" s="8"/>
      <c r="I819" s="8"/>
      <c r="J819" s="6" t="s">
        <v>76</v>
      </c>
      <c r="K819" s="38">
        <v>0</v>
      </c>
      <c r="L819" s="4" t="s">
        <v>29</v>
      </c>
      <c r="M819" s="11">
        <f>_xlfn.NUMBERVALUE(LEFT(Table613612[[#This Row],[Fiscal Year]], 4))</f>
        <v>2015</v>
      </c>
      <c r="N819" s="43">
        <f t="shared" si="18"/>
        <v>0</v>
      </c>
      <c r="O819" s="3">
        <v>817</v>
      </c>
    </row>
    <row r="820" spans="1:15" x14ac:dyDescent="0.25">
      <c r="A820" s="3">
        <v>4</v>
      </c>
      <c r="B820" s="3" t="s">
        <v>175</v>
      </c>
      <c r="C820" s="1" t="s">
        <v>12</v>
      </c>
      <c r="D820" s="1" t="s">
        <v>444</v>
      </c>
      <c r="E820" s="11" t="s">
        <v>144</v>
      </c>
      <c r="F820" s="3" t="s">
        <v>8</v>
      </c>
      <c r="G820" s="63" t="s">
        <v>854</v>
      </c>
      <c r="H820" s="8"/>
      <c r="I820" s="8"/>
      <c r="J820" s="6" t="s">
        <v>47</v>
      </c>
      <c r="K820" s="38">
        <v>159611</v>
      </c>
      <c r="L820" s="4" t="s">
        <v>29</v>
      </c>
      <c r="M820" s="11">
        <f>_xlfn.NUMBERVALUE(LEFT(Table613612[[#This Row],[Fiscal Year]], 4))</f>
        <v>2015</v>
      </c>
      <c r="N820" s="42">
        <f t="shared" si="18"/>
        <v>169464.45375949366</v>
      </c>
      <c r="O820" s="3">
        <v>818</v>
      </c>
    </row>
    <row r="821" spans="1:15" x14ac:dyDescent="0.25">
      <c r="A821" s="3">
        <v>4</v>
      </c>
      <c r="B821" s="3" t="s">
        <v>175</v>
      </c>
      <c r="C821" s="1" t="s">
        <v>12</v>
      </c>
      <c r="D821" s="1" t="s">
        <v>444</v>
      </c>
      <c r="E821" s="11" t="s">
        <v>144</v>
      </c>
      <c r="F821" s="3" t="s">
        <v>8</v>
      </c>
      <c r="G821" s="63" t="s">
        <v>855</v>
      </c>
      <c r="H821" s="8"/>
      <c r="I821" s="8"/>
      <c r="J821" s="6" t="s">
        <v>455</v>
      </c>
      <c r="K821" s="38">
        <v>324966</v>
      </c>
      <c r="L821" s="4" t="s">
        <v>29</v>
      </c>
      <c r="M821" s="11">
        <f>_xlfn.NUMBERVALUE(LEFT(Table613612[[#This Row],[Fiscal Year]], 4))</f>
        <v>2015</v>
      </c>
      <c r="N821" s="42">
        <f t="shared" si="18"/>
        <v>345027.50863291137</v>
      </c>
      <c r="O821" s="3">
        <v>819</v>
      </c>
    </row>
    <row r="822" spans="1:15" x14ac:dyDescent="0.25">
      <c r="C822" s="1"/>
      <c r="D822" s="1"/>
      <c r="E822" s="11"/>
      <c r="G822" s="66"/>
      <c r="H822" s="8"/>
      <c r="I822" s="8"/>
      <c r="J822" s="6"/>
      <c r="L822" s="4"/>
      <c r="O822" s="3">
        <v>820</v>
      </c>
    </row>
    <row r="823" spans="1:15" x14ac:dyDescent="0.25">
      <c r="A823" s="3">
        <v>4</v>
      </c>
      <c r="B823" s="3" t="s">
        <v>176</v>
      </c>
      <c r="C823" s="1" t="s">
        <v>12</v>
      </c>
      <c r="D823" s="1" t="s">
        <v>444</v>
      </c>
      <c r="E823" s="11" t="s">
        <v>144</v>
      </c>
      <c r="F823" s="3" t="s">
        <v>8</v>
      </c>
      <c r="G823" s="56" t="s">
        <v>829</v>
      </c>
      <c r="H823" s="8"/>
      <c r="I823" s="8"/>
      <c r="J823" s="6" t="s">
        <v>110</v>
      </c>
      <c r="K823" s="38">
        <v>27127.5</v>
      </c>
      <c r="L823" s="4" t="s">
        <v>29</v>
      </c>
      <c r="M823" s="11">
        <f>_xlfn.NUMBERVALUE(LEFT(Table613612[[#This Row],[Fiscal Year]], 4))</f>
        <v>2015</v>
      </c>
      <c r="N823" s="42">
        <f t="shared" si="18"/>
        <v>28802.193892405063</v>
      </c>
      <c r="O823" s="3">
        <v>821</v>
      </c>
    </row>
    <row r="824" spans="1:15" x14ac:dyDescent="0.25">
      <c r="A824" s="3">
        <v>4</v>
      </c>
      <c r="B824" s="3" t="s">
        <v>176</v>
      </c>
      <c r="C824" s="1" t="s">
        <v>12</v>
      </c>
      <c r="D824" s="1" t="s">
        <v>444</v>
      </c>
      <c r="E824" s="11" t="s">
        <v>144</v>
      </c>
      <c r="F824" s="3" t="s">
        <v>8</v>
      </c>
      <c r="G824" s="66" t="s">
        <v>844</v>
      </c>
      <c r="H824" s="8"/>
      <c r="I824" s="8"/>
      <c r="J824" s="6" t="s">
        <v>453</v>
      </c>
      <c r="K824" s="38">
        <v>4667.5</v>
      </c>
      <c r="L824" s="4" t="s">
        <v>29</v>
      </c>
      <c r="M824" s="11">
        <f>_xlfn.NUMBERVALUE(LEFT(Table613612[[#This Row],[Fiscal Year]], 4))</f>
        <v>2015</v>
      </c>
      <c r="N824" s="42">
        <f t="shared" si="18"/>
        <v>4955.6442721518988</v>
      </c>
      <c r="O824" s="3">
        <v>822</v>
      </c>
    </row>
    <row r="825" spans="1:15" x14ac:dyDescent="0.25">
      <c r="A825" s="3">
        <v>4</v>
      </c>
      <c r="B825" s="3" t="s">
        <v>176</v>
      </c>
      <c r="C825" s="1" t="s">
        <v>12</v>
      </c>
      <c r="D825" s="1" t="s">
        <v>444</v>
      </c>
      <c r="E825" s="11" t="s">
        <v>144</v>
      </c>
      <c r="F825" s="3" t="s">
        <v>8</v>
      </c>
      <c r="G825" s="66" t="s">
        <v>845</v>
      </c>
      <c r="H825" s="8"/>
      <c r="I825" s="8"/>
      <c r="J825" s="6" t="s">
        <v>109</v>
      </c>
      <c r="K825" s="38">
        <v>502.5</v>
      </c>
      <c r="L825" s="4" t="s">
        <v>29</v>
      </c>
      <c r="M825" s="11">
        <f>_xlfn.NUMBERVALUE(LEFT(Table613612[[#This Row],[Fiscal Year]], 4))</f>
        <v>2015</v>
      </c>
      <c r="N825" s="42">
        <f t="shared" si="18"/>
        <v>533.52142405063285</v>
      </c>
      <c r="O825" s="3">
        <v>823</v>
      </c>
    </row>
    <row r="826" spans="1:15" x14ac:dyDescent="0.25">
      <c r="A826" s="3">
        <v>4</v>
      </c>
      <c r="B826" s="3" t="s">
        <v>176</v>
      </c>
      <c r="C826" s="1" t="s">
        <v>12</v>
      </c>
      <c r="D826" s="1" t="s">
        <v>444</v>
      </c>
      <c r="E826" s="11" t="s">
        <v>144</v>
      </c>
      <c r="F826" s="3" t="s">
        <v>8</v>
      </c>
      <c r="G826" s="48" t="s">
        <v>846</v>
      </c>
      <c r="H826" s="8"/>
      <c r="I826" s="8"/>
      <c r="J826" s="6" t="s">
        <v>111</v>
      </c>
      <c r="K826" s="38">
        <v>90</v>
      </c>
      <c r="L826" s="4" t="s">
        <v>29</v>
      </c>
      <c r="M826" s="11">
        <f>_xlfn.NUMBERVALUE(LEFT(Table613612[[#This Row],[Fiscal Year]], 4))</f>
        <v>2015</v>
      </c>
      <c r="N826" s="42">
        <f t="shared" si="18"/>
        <v>95.556075949367084</v>
      </c>
      <c r="O826" s="3">
        <v>824</v>
      </c>
    </row>
    <row r="827" spans="1:15" x14ac:dyDescent="0.25">
      <c r="A827" s="3">
        <v>4</v>
      </c>
      <c r="B827" s="3" t="s">
        <v>176</v>
      </c>
      <c r="C827" s="1" t="s">
        <v>12</v>
      </c>
      <c r="D827" s="1" t="s">
        <v>444</v>
      </c>
      <c r="E827" s="11" t="s">
        <v>144</v>
      </c>
      <c r="F827" s="3" t="s">
        <v>8</v>
      </c>
      <c r="G827" s="66" t="s">
        <v>847</v>
      </c>
      <c r="H827" s="8"/>
      <c r="I827" s="8"/>
      <c r="J827" s="6" t="s">
        <v>111</v>
      </c>
      <c r="K827" s="38">
        <v>0</v>
      </c>
      <c r="L827" s="4" t="s">
        <v>29</v>
      </c>
      <c r="M827" s="11">
        <f>_xlfn.NUMBERVALUE(LEFT(Table613612[[#This Row],[Fiscal Year]], 4))</f>
        <v>2015</v>
      </c>
      <c r="N827" s="43">
        <f t="shared" si="18"/>
        <v>0</v>
      </c>
      <c r="O827" s="3">
        <v>825</v>
      </c>
    </row>
    <row r="828" spans="1:15" x14ac:dyDescent="0.25">
      <c r="A828" s="3">
        <v>4</v>
      </c>
      <c r="B828" s="3" t="s">
        <v>176</v>
      </c>
      <c r="C828" s="1" t="s">
        <v>12</v>
      </c>
      <c r="D828" s="1" t="s">
        <v>444</v>
      </c>
      <c r="E828" s="11" t="s">
        <v>144</v>
      </c>
      <c r="F828" s="3" t="s">
        <v>8</v>
      </c>
      <c r="G828" s="48" t="s">
        <v>857</v>
      </c>
      <c r="H828" s="8"/>
      <c r="I828" s="8"/>
      <c r="J828" s="6" t="s">
        <v>108</v>
      </c>
      <c r="K828" s="38">
        <v>22127.5</v>
      </c>
      <c r="L828" s="4" t="s">
        <v>29</v>
      </c>
      <c r="M828" s="11">
        <f>_xlfn.NUMBERVALUE(LEFT(Table613612[[#This Row],[Fiscal Year]], 4))</f>
        <v>2015</v>
      </c>
      <c r="N828" s="42">
        <f t="shared" si="18"/>
        <v>23493.523006329113</v>
      </c>
      <c r="O828" s="3">
        <v>826</v>
      </c>
    </row>
    <row r="829" spans="1:15" x14ac:dyDescent="0.25">
      <c r="A829" s="3">
        <v>4</v>
      </c>
      <c r="B829" s="3" t="s">
        <v>176</v>
      </c>
      <c r="C829" s="1" t="s">
        <v>12</v>
      </c>
      <c r="D829" s="1" t="s">
        <v>444</v>
      </c>
      <c r="E829" s="11" t="s">
        <v>144</v>
      </c>
      <c r="F829" s="3" t="s">
        <v>8</v>
      </c>
      <c r="G829" s="66" t="s">
        <v>849</v>
      </c>
      <c r="H829" s="8"/>
      <c r="I829" s="8"/>
      <c r="J829" s="6" t="s">
        <v>106</v>
      </c>
      <c r="K829" s="38">
        <v>4840</v>
      </c>
      <c r="L829" s="4" t="s">
        <v>29</v>
      </c>
      <c r="M829" s="11">
        <f>_xlfn.NUMBERVALUE(LEFT(Table613612[[#This Row],[Fiscal Year]], 4))</f>
        <v>2015</v>
      </c>
      <c r="N829" s="42">
        <f t="shared" si="18"/>
        <v>5138.7934177215184</v>
      </c>
      <c r="O829" s="3">
        <v>827</v>
      </c>
    </row>
    <row r="830" spans="1:15" x14ac:dyDescent="0.25">
      <c r="A830" s="3">
        <v>4</v>
      </c>
      <c r="B830" s="3" t="s">
        <v>176</v>
      </c>
      <c r="C830" s="1" t="s">
        <v>12</v>
      </c>
      <c r="D830" s="1" t="s">
        <v>444</v>
      </c>
      <c r="E830" s="11" t="s">
        <v>144</v>
      </c>
      <c r="F830" s="3" t="s">
        <v>8</v>
      </c>
      <c r="G830" s="66" t="s">
        <v>850</v>
      </c>
      <c r="H830" s="8"/>
      <c r="I830" s="8"/>
      <c r="J830" s="6" t="s">
        <v>455</v>
      </c>
      <c r="K830" s="38">
        <v>0</v>
      </c>
      <c r="L830" s="4" t="s">
        <v>29</v>
      </c>
      <c r="M830" s="11">
        <f>_xlfn.NUMBERVALUE(LEFT(Table613612[[#This Row],[Fiscal Year]], 4))</f>
        <v>2015</v>
      </c>
      <c r="N830" s="43">
        <f t="shared" si="18"/>
        <v>0</v>
      </c>
      <c r="O830" s="3">
        <v>828</v>
      </c>
    </row>
    <row r="831" spans="1:15" x14ac:dyDescent="0.25">
      <c r="A831" s="3">
        <v>4</v>
      </c>
      <c r="B831" s="3" t="s">
        <v>176</v>
      </c>
      <c r="C831" s="1" t="s">
        <v>12</v>
      </c>
      <c r="D831" s="1" t="s">
        <v>444</v>
      </c>
      <c r="E831" s="11" t="s">
        <v>144</v>
      </c>
      <c r="F831" s="3" t="s">
        <v>8</v>
      </c>
      <c r="G831" s="66" t="s">
        <v>851</v>
      </c>
      <c r="H831" s="8"/>
      <c r="I831" s="8"/>
      <c r="J831" s="6" t="s">
        <v>76</v>
      </c>
      <c r="K831" s="38">
        <v>0</v>
      </c>
      <c r="L831" s="4" t="s">
        <v>29</v>
      </c>
      <c r="M831" s="11">
        <f>_xlfn.NUMBERVALUE(LEFT(Table613612[[#This Row],[Fiscal Year]], 4))</f>
        <v>2015</v>
      </c>
      <c r="N831" s="43">
        <f t="shared" si="18"/>
        <v>0</v>
      </c>
      <c r="O831" s="3">
        <v>829</v>
      </c>
    </row>
    <row r="832" spans="1:15" x14ac:dyDescent="0.25">
      <c r="A832" s="3">
        <v>4</v>
      </c>
      <c r="B832" s="3" t="s">
        <v>176</v>
      </c>
      <c r="C832" s="1" t="s">
        <v>12</v>
      </c>
      <c r="D832" s="1" t="s">
        <v>444</v>
      </c>
      <c r="E832" s="11" t="s">
        <v>144</v>
      </c>
      <c r="F832" s="3" t="s">
        <v>8</v>
      </c>
      <c r="G832" s="66" t="s">
        <v>852</v>
      </c>
      <c r="H832" s="8"/>
      <c r="I832" s="8"/>
      <c r="J832" s="6" t="s">
        <v>76</v>
      </c>
      <c r="K832" s="38">
        <v>0</v>
      </c>
      <c r="L832" s="4" t="s">
        <v>29</v>
      </c>
      <c r="M832" s="11">
        <f>_xlfn.NUMBERVALUE(LEFT(Table613612[[#This Row],[Fiscal Year]], 4))</f>
        <v>2015</v>
      </c>
      <c r="N832" s="43">
        <f t="shared" si="18"/>
        <v>0</v>
      </c>
      <c r="O832" s="3">
        <v>830</v>
      </c>
    </row>
    <row r="833" spans="1:15" x14ac:dyDescent="0.25">
      <c r="A833" s="3">
        <v>4</v>
      </c>
      <c r="B833" s="3" t="s">
        <v>176</v>
      </c>
      <c r="C833" s="1" t="s">
        <v>12</v>
      </c>
      <c r="D833" s="1" t="s">
        <v>444</v>
      </c>
      <c r="E833" s="11" t="s">
        <v>144</v>
      </c>
      <c r="F833" s="3" t="s">
        <v>8</v>
      </c>
      <c r="G833" s="66" t="s">
        <v>853</v>
      </c>
      <c r="H833" s="8"/>
      <c r="I833" s="8"/>
      <c r="J833" s="6" t="s">
        <v>76</v>
      </c>
      <c r="K833" s="38">
        <v>0</v>
      </c>
      <c r="L833" s="4" t="s">
        <v>29</v>
      </c>
      <c r="M833" s="11">
        <f>_xlfn.NUMBERVALUE(LEFT(Table613612[[#This Row],[Fiscal Year]], 4))</f>
        <v>2015</v>
      </c>
      <c r="N833" s="43">
        <f t="shared" si="18"/>
        <v>0</v>
      </c>
      <c r="O833" s="3">
        <v>831</v>
      </c>
    </row>
    <row r="834" spans="1:15" x14ac:dyDescent="0.25">
      <c r="A834" s="3">
        <v>4</v>
      </c>
      <c r="B834" s="3" t="s">
        <v>176</v>
      </c>
      <c r="C834" s="1" t="s">
        <v>12</v>
      </c>
      <c r="D834" s="1" t="s">
        <v>444</v>
      </c>
      <c r="E834" s="11" t="s">
        <v>144</v>
      </c>
      <c r="F834" s="3" t="s">
        <v>8</v>
      </c>
      <c r="G834" s="63" t="s">
        <v>854</v>
      </c>
      <c r="H834" s="8"/>
      <c r="I834" s="8"/>
      <c r="J834" s="6" t="s">
        <v>47</v>
      </c>
      <c r="K834" s="38">
        <v>15613</v>
      </c>
      <c r="L834" s="4" t="s">
        <v>29</v>
      </c>
      <c r="M834" s="11">
        <f>_xlfn.NUMBERVALUE(LEFT(Table613612[[#This Row],[Fiscal Year]], 4))</f>
        <v>2015</v>
      </c>
      <c r="N834" s="42">
        <f t="shared" si="18"/>
        <v>16576.855708860759</v>
      </c>
      <c r="O834" s="3">
        <v>832</v>
      </c>
    </row>
    <row r="835" spans="1:15" x14ac:dyDescent="0.25">
      <c r="A835" s="3">
        <v>4</v>
      </c>
      <c r="B835" s="3" t="s">
        <v>176</v>
      </c>
      <c r="C835" s="1" t="s">
        <v>12</v>
      </c>
      <c r="D835" s="1" t="s">
        <v>444</v>
      </c>
      <c r="E835" s="11" t="s">
        <v>144</v>
      </c>
      <c r="F835" s="3" t="s">
        <v>8</v>
      </c>
      <c r="G835" s="63" t="s">
        <v>924</v>
      </c>
      <c r="H835" s="8"/>
      <c r="I835" s="8"/>
      <c r="J835" s="6" t="s">
        <v>605</v>
      </c>
      <c r="K835" s="38">
        <v>24961</v>
      </c>
      <c r="L835" s="4" t="s">
        <v>29</v>
      </c>
      <c r="M835" s="11">
        <f>_xlfn.NUMBERVALUE(LEFT(Table613612[[#This Row],[Fiscal Year]], 4))</f>
        <v>2015</v>
      </c>
      <c r="N835" s="42">
        <f t="shared" si="18"/>
        <v>26501.946797468354</v>
      </c>
      <c r="O835" s="3">
        <v>833</v>
      </c>
    </row>
    <row r="836" spans="1:15" x14ac:dyDescent="0.25">
      <c r="C836" s="1"/>
      <c r="D836" s="1"/>
      <c r="E836" s="11"/>
      <c r="G836" s="66"/>
      <c r="H836" s="8"/>
      <c r="I836" s="8"/>
      <c r="J836" s="6"/>
      <c r="L836" s="4"/>
      <c r="O836" s="3">
        <v>834</v>
      </c>
    </row>
    <row r="837" spans="1:15" x14ac:dyDescent="0.25">
      <c r="A837" s="3">
        <v>4</v>
      </c>
      <c r="B837" s="3" t="s">
        <v>177</v>
      </c>
      <c r="C837" s="1" t="s">
        <v>12</v>
      </c>
      <c r="D837" s="1" t="s">
        <v>444</v>
      </c>
      <c r="E837" s="11" t="s">
        <v>144</v>
      </c>
      <c r="F837" s="3" t="s">
        <v>8</v>
      </c>
      <c r="G837" s="56" t="s">
        <v>829</v>
      </c>
      <c r="H837" s="8"/>
      <c r="I837" s="8"/>
      <c r="J837" s="6" t="s">
        <v>110</v>
      </c>
      <c r="K837" s="38">
        <v>26004.5</v>
      </c>
      <c r="L837" s="4" t="s">
        <v>29</v>
      </c>
      <c r="M837" s="11">
        <f>_xlfn.NUMBERVALUE(LEFT(Table613612[[#This Row],[Fiscal Year]], 4))</f>
        <v>2015</v>
      </c>
      <c r="N837" s="42">
        <f t="shared" si="18"/>
        <v>27609.866411392402</v>
      </c>
      <c r="O837" s="3">
        <v>835</v>
      </c>
    </row>
    <row r="838" spans="1:15" x14ac:dyDescent="0.25">
      <c r="A838" s="3">
        <v>4</v>
      </c>
      <c r="B838" s="3" t="s">
        <v>177</v>
      </c>
      <c r="C838" s="1" t="s">
        <v>12</v>
      </c>
      <c r="D838" s="1" t="s">
        <v>444</v>
      </c>
      <c r="E838" s="11" t="s">
        <v>144</v>
      </c>
      <c r="F838" s="3" t="s">
        <v>8</v>
      </c>
      <c r="G838" s="66" t="s">
        <v>925</v>
      </c>
      <c r="H838" s="8"/>
      <c r="I838" s="8"/>
      <c r="J838" s="6" t="s">
        <v>453</v>
      </c>
      <c r="K838" s="38">
        <v>5587.5</v>
      </c>
      <c r="L838" s="4" t="s">
        <v>29</v>
      </c>
      <c r="M838" s="11">
        <f>_xlfn.NUMBERVALUE(LEFT(Table613612[[#This Row],[Fiscal Year]], 4))</f>
        <v>2015</v>
      </c>
      <c r="N838" s="42">
        <f t="shared" si="18"/>
        <v>5932.4397151898729</v>
      </c>
      <c r="O838" s="3">
        <v>836</v>
      </c>
    </row>
    <row r="839" spans="1:15" x14ac:dyDescent="0.25">
      <c r="A839" s="3">
        <v>4</v>
      </c>
      <c r="B839" s="3" t="s">
        <v>177</v>
      </c>
      <c r="C839" s="1" t="s">
        <v>12</v>
      </c>
      <c r="D839" s="1" t="s">
        <v>444</v>
      </c>
      <c r="E839" s="11" t="s">
        <v>144</v>
      </c>
      <c r="F839" s="3" t="s">
        <v>8</v>
      </c>
      <c r="G839" s="66" t="s">
        <v>926</v>
      </c>
      <c r="H839" s="8"/>
      <c r="I839" s="8"/>
      <c r="J839" s="6" t="s">
        <v>109</v>
      </c>
      <c r="K839" s="38">
        <v>19743</v>
      </c>
      <c r="L839" s="4" t="s">
        <v>29</v>
      </c>
      <c r="M839" s="11">
        <f>_xlfn.NUMBERVALUE(LEFT(Table613612[[#This Row],[Fiscal Year]], 4))</f>
        <v>2015</v>
      </c>
      <c r="N839" s="42">
        <f t="shared" si="18"/>
        <v>20961.817860759493</v>
      </c>
      <c r="O839" s="3">
        <v>837</v>
      </c>
    </row>
    <row r="840" spans="1:15" x14ac:dyDescent="0.25">
      <c r="A840" s="3">
        <v>4</v>
      </c>
      <c r="B840" s="3" t="s">
        <v>177</v>
      </c>
      <c r="C840" s="1" t="s">
        <v>12</v>
      </c>
      <c r="D840" s="1" t="s">
        <v>444</v>
      </c>
      <c r="E840" s="11" t="s">
        <v>144</v>
      </c>
      <c r="F840" s="3" t="s">
        <v>8</v>
      </c>
      <c r="G840" s="48" t="s">
        <v>927</v>
      </c>
      <c r="H840" s="8"/>
      <c r="I840" s="8"/>
      <c r="J840" s="6" t="s">
        <v>111</v>
      </c>
      <c r="K840" s="38">
        <v>1185</v>
      </c>
      <c r="L840" s="4" t="s">
        <v>29</v>
      </c>
      <c r="M840" s="11">
        <f>_xlfn.NUMBERVALUE(LEFT(Table613612[[#This Row],[Fiscal Year]], 4))</f>
        <v>2015</v>
      </c>
      <c r="N840" s="42">
        <f t="shared" si="18"/>
        <v>1258.155</v>
      </c>
      <c r="O840" s="3">
        <v>838</v>
      </c>
    </row>
    <row r="841" spans="1:15" x14ac:dyDescent="0.25">
      <c r="A841" s="3">
        <v>4</v>
      </c>
      <c r="B841" s="3" t="s">
        <v>177</v>
      </c>
      <c r="C841" s="1" t="s">
        <v>12</v>
      </c>
      <c r="D841" s="1" t="s">
        <v>444</v>
      </c>
      <c r="E841" s="11" t="s">
        <v>144</v>
      </c>
      <c r="F841" s="3" t="s">
        <v>8</v>
      </c>
      <c r="G841" s="66" t="s">
        <v>928</v>
      </c>
      <c r="H841" s="8"/>
      <c r="I841" s="8"/>
      <c r="J841" s="6" t="s">
        <v>111</v>
      </c>
      <c r="K841" s="38">
        <v>13500</v>
      </c>
      <c r="L841" s="4" t="s">
        <v>29</v>
      </c>
      <c r="M841" s="11">
        <f>_xlfn.NUMBERVALUE(LEFT(Table613612[[#This Row],[Fiscal Year]], 4))</f>
        <v>2015</v>
      </c>
      <c r="N841" s="42">
        <f t="shared" si="18"/>
        <v>14333.411392405062</v>
      </c>
      <c r="O841" s="3">
        <v>839</v>
      </c>
    </row>
    <row r="842" spans="1:15" x14ac:dyDescent="0.25">
      <c r="A842" s="3">
        <v>4</v>
      </c>
      <c r="B842" s="3" t="s">
        <v>177</v>
      </c>
      <c r="C842" s="1" t="s">
        <v>12</v>
      </c>
      <c r="D842" s="1" t="s">
        <v>444</v>
      </c>
      <c r="E842" s="11" t="s">
        <v>144</v>
      </c>
      <c r="F842" s="3" t="s">
        <v>8</v>
      </c>
      <c r="G842" s="48" t="s">
        <v>929</v>
      </c>
      <c r="H842" s="8"/>
      <c r="I842" s="8"/>
      <c r="J842" s="6" t="s">
        <v>108</v>
      </c>
      <c r="K842" s="38">
        <v>189236.5</v>
      </c>
      <c r="L842" s="4" t="s">
        <v>29</v>
      </c>
      <c r="M842" s="11">
        <f>_xlfn.NUMBERVALUE(LEFT(Table613612[[#This Row],[Fiscal Year]], 4))</f>
        <v>2015</v>
      </c>
      <c r="N842" s="42">
        <f t="shared" si="18"/>
        <v>200918.85962658227</v>
      </c>
      <c r="O842" s="3">
        <v>840</v>
      </c>
    </row>
    <row r="843" spans="1:15" x14ac:dyDescent="0.25">
      <c r="A843" s="3">
        <v>4</v>
      </c>
      <c r="B843" s="3" t="s">
        <v>177</v>
      </c>
      <c r="C843" s="1" t="s">
        <v>12</v>
      </c>
      <c r="D843" s="1" t="s">
        <v>444</v>
      </c>
      <c r="E843" s="11" t="s">
        <v>144</v>
      </c>
      <c r="F843" s="3" t="s">
        <v>8</v>
      </c>
      <c r="G843" s="66" t="s">
        <v>930</v>
      </c>
      <c r="H843" s="8"/>
      <c r="I843" s="8"/>
      <c r="J843" s="6" t="s">
        <v>106</v>
      </c>
      <c r="K843" s="38">
        <v>36598</v>
      </c>
      <c r="L843" s="4" t="s">
        <v>29</v>
      </c>
      <c r="M843" s="11">
        <f>_xlfn.NUMBERVALUE(LEFT(Table613612[[#This Row],[Fiscal Year]], 4))</f>
        <v>2015</v>
      </c>
      <c r="N843" s="42">
        <f t="shared" si="18"/>
        <v>38857.347417721518</v>
      </c>
      <c r="O843" s="3">
        <v>841</v>
      </c>
    </row>
    <row r="844" spans="1:15" x14ac:dyDescent="0.25">
      <c r="A844" s="3">
        <v>4</v>
      </c>
      <c r="B844" s="3" t="s">
        <v>177</v>
      </c>
      <c r="C844" s="1" t="s">
        <v>12</v>
      </c>
      <c r="D844" s="1" t="s">
        <v>444</v>
      </c>
      <c r="E844" s="11" t="s">
        <v>144</v>
      </c>
      <c r="F844" s="3" t="s">
        <v>8</v>
      </c>
      <c r="G844" s="66" t="s">
        <v>931</v>
      </c>
      <c r="H844" s="8"/>
      <c r="I844" s="8"/>
      <c r="J844" s="6" t="s">
        <v>455</v>
      </c>
      <c r="K844" s="39" t="s">
        <v>215</v>
      </c>
      <c r="L844" s="4" t="s">
        <v>29</v>
      </c>
      <c r="M844" s="11">
        <f>_xlfn.NUMBERVALUE(LEFT(Table613612[[#This Row],[Fiscal Year]], 4))</f>
        <v>2015</v>
      </c>
      <c r="O844" s="3">
        <v>842</v>
      </c>
    </row>
    <row r="845" spans="1:15" x14ac:dyDescent="0.25">
      <c r="A845" s="3">
        <v>4</v>
      </c>
      <c r="B845" s="3" t="s">
        <v>177</v>
      </c>
      <c r="C845" s="1" t="s">
        <v>12</v>
      </c>
      <c r="D845" s="1" t="s">
        <v>444</v>
      </c>
      <c r="E845" s="11" t="s">
        <v>144</v>
      </c>
      <c r="F845" s="3" t="s">
        <v>8</v>
      </c>
      <c r="G845" s="66" t="s">
        <v>851</v>
      </c>
      <c r="H845" s="8"/>
      <c r="I845" s="8"/>
      <c r="J845" s="6" t="s">
        <v>76</v>
      </c>
      <c r="K845" s="38">
        <v>0</v>
      </c>
      <c r="L845" s="4" t="s">
        <v>29</v>
      </c>
      <c r="M845" s="11">
        <f>_xlfn.NUMBERVALUE(LEFT(Table613612[[#This Row],[Fiscal Year]], 4))</f>
        <v>2015</v>
      </c>
      <c r="N845" s="43">
        <f>K845*(1+VLOOKUP(M845,$AF$8:$AH$31,3,0))</f>
        <v>0</v>
      </c>
      <c r="O845" s="3">
        <v>843</v>
      </c>
    </row>
    <row r="846" spans="1:15" x14ac:dyDescent="0.25">
      <c r="A846" s="3">
        <v>4</v>
      </c>
      <c r="B846" s="3" t="s">
        <v>177</v>
      </c>
      <c r="C846" s="1" t="s">
        <v>12</v>
      </c>
      <c r="D846" s="1" t="s">
        <v>444</v>
      </c>
      <c r="E846" s="11" t="s">
        <v>144</v>
      </c>
      <c r="F846" s="3" t="s">
        <v>8</v>
      </c>
      <c r="G846" s="66" t="s">
        <v>852</v>
      </c>
      <c r="H846" s="8"/>
      <c r="I846" s="8"/>
      <c r="J846" s="6" t="s">
        <v>76</v>
      </c>
      <c r="K846" s="38">
        <v>0</v>
      </c>
      <c r="L846" s="4" t="s">
        <v>29</v>
      </c>
      <c r="M846" s="11">
        <f>_xlfn.NUMBERVALUE(LEFT(Table613612[[#This Row],[Fiscal Year]], 4))</f>
        <v>2015</v>
      </c>
      <c r="N846" s="43">
        <f>K846*(1+VLOOKUP(M846,$AF$8:$AH$31,3,0))</f>
        <v>0</v>
      </c>
      <c r="O846" s="3">
        <v>844</v>
      </c>
    </row>
    <row r="847" spans="1:15" x14ac:dyDescent="0.25">
      <c r="A847" s="3">
        <v>4</v>
      </c>
      <c r="B847" s="3" t="s">
        <v>177</v>
      </c>
      <c r="C847" s="1" t="s">
        <v>12</v>
      </c>
      <c r="D847" s="1" t="s">
        <v>444</v>
      </c>
      <c r="E847" s="11" t="s">
        <v>144</v>
      </c>
      <c r="F847" s="3" t="s">
        <v>8</v>
      </c>
      <c r="G847" s="66" t="s">
        <v>853</v>
      </c>
      <c r="H847" s="8"/>
      <c r="I847" s="8"/>
      <c r="J847" s="6" t="s">
        <v>76</v>
      </c>
      <c r="K847" s="38">
        <v>0</v>
      </c>
      <c r="L847" s="4" t="s">
        <v>29</v>
      </c>
      <c r="M847" s="11">
        <f>_xlfn.NUMBERVALUE(LEFT(Table613612[[#This Row],[Fiscal Year]], 4))</f>
        <v>2015</v>
      </c>
      <c r="N847" s="43">
        <f>K847*(1+VLOOKUP(M847,$AF$8:$AH$31,3,0))</f>
        <v>0</v>
      </c>
      <c r="O847" s="3">
        <v>845</v>
      </c>
    </row>
    <row r="848" spans="1:15" x14ac:dyDescent="0.25">
      <c r="A848" s="3">
        <v>4</v>
      </c>
      <c r="B848" s="3" t="s">
        <v>177</v>
      </c>
      <c r="C848" s="1" t="s">
        <v>12</v>
      </c>
      <c r="D848" s="1" t="s">
        <v>444</v>
      </c>
      <c r="E848" s="11" t="s">
        <v>144</v>
      </c>
      <c r="F848" s="3" t="s">
        <v>8</v>
      </c>
      <c r="G848" s="63" t="s">
        <v>854</v>
      </c>
      <c r="H848" s="8"/>
      <c r="I848" s="8"/>
      <c r="J848" s="6" t="s">
        <v>47</v>
      </c>
      <c r="K848" s="38">
        <v>47981.54</v>
      </c>
      <c r="L848" s="4" t="s">
        <v>29</v>
      </c>
      <c r="M848" s="11">
        <f>_xlfn.NUMBERVALUE(LEFT(Table613612[[#This Row],[Fiscal Year]], 4))</f>
        <v>2015</v>
      </c>
      <c r="N848" s="42">
        <f t="shared" ref="N848:N857" si="19">K848*(1+VLOOKUP(M848,$AF$8:$AH$31,3,0))</f>
        <v>50943.640893417716</v>
      </c>
      <c r="O848" s="3">
        <v>846</v>
      </c>
    </row>
    <row r="849" spans="1:15" x14ac:dyDescent="0.25">
      <c r="A849" s="3">
        <v>4</v>
      </c>
      <c r="B849" s="3" t="s">
        <v>177</v>
      </c>
      <c r="C849" s="1" t="s">
        <v>12</v>
      </c>
      <c r="D849" s="1" t="s">
        <v>444</v>
      </c>
      <c r="E849" s="11" t="s">
        <v>144</v>
      </c>
      <c r="F849" s="3" t="s">
        <v>8</v>
      </c>
      <c r="G849" s="63" t="s">
        <v>924</v>
      </c>
      <c r="H849" s="8"/>
      <c r="I849" s="8"/>
      <c r="J849" s="6" t="s">
        <v>605</v>
      </c>
      <c r="K849" s="38">
        <v>9520</v>
      </c>
      <c r="L849" s="4" t="s">
        <v>29</v>
      </c>
      <c r="M849" s="11">
        <f>_xlfn.NUMBERVALUE(LEFT(Table613612[[#This Row],[Fiscal Year]], 4))</f>
        <v>2015</v>
      </c>
      <c r="N849" s="42">
        <f t="shared" si="19"/>
        <v>10107.709367088608</v>
      </c>
      <c r="O849" s="3">
        <v>847</v>
      </c>
    </row>
    <row r="850" spans="1:15" x14ac:dyDescent="0.25">
      <c r="C850" s="1"/>
      <c r="D850" s="1"/>
      <c r="E850" s="11"/>
      <c r="G850" s="66"/>
      <c r="H850" s="8"/>
      <c r="I850" s="8"/>
      <c r="J850" s="6"/>
      <c r="L850" s="4"/>
      <c r="O850" s="3">
        <v>848</v>
      </c>
    </row>
    <row r="851" spans="1:15" x14ac:dyDescent="0.25">
      <c r="A851" s="3">
        <v>4</v>
      </c>
      <c r="B851" s="3" t="s">
        <v>178</v>
      </c>
      <c r="C851" s="1" t="s">
        <v>12</v>
      </c>
      <c r="D851" s="1" t="s">
        <v>444</v>
      </c>
      <c r="E851" s="11" t="s">
        <v>144</v>
      </c>
      <c r="F851" s="3" t="s">
        <v>8</v>
      </c>
      <c r="G851" s="48" t="s">
        <v>32</v>
      </c>
      <c r="H851" s="8"/>
      <c r="I851" s="8"/>
      <c r="J851" s="6" t="s">
        <v>110</v>
      </c>
      <c r="K851" s="38">
        <v>18280</v>
      </c>
      <c r="L851" s="4" t="s">
        <v>29</v>
      </c>
      <c r="M851" s="11">
        <f>_xlfn.NUMBERVALUE(LEFT(Table613612[[#This Row],[Fiscal Year]], 4))</f>
        <v>2015</v>
      </c>
      <c r="N851" s="42">
        <f t="shared" si="19"/>
        <v>19408.500759493669</v>
      </c>
      <c r="O851" s="3">
        <v>849</v>
      </c>
    </row>
    <row r="852" spans="1:15" x14ac:dyDescent="0.25">
      <c r="A852" s="3">
        <v>4</v>
      </c>
      <c r="B852" s="3" t="s">
        <v>178</v>
      </c>
      <c r="C852" s="1" t="s">
        <v>12</v>
      </c>
      <c r="D852" s="1" t="s">
        <v>444</v>
      </c>
      <c r="E852" s="11" t="s">
        <v>144</v>
      </c>
      <c r="F852" s="3" t="s">
        <v>8</v>
      </c>
      <c r="G852" s="66" t="s">
        <v>58</v>
      </c>
      <c r="H852" s="8"/>
      <c r="I852" s="8"/>
      <c r="J852" s="6" t="s">
        <v>453</v>
      </c>
      <c r="K852" s="38">
        <v>20910</v>
      </c>
      <c r="L852" s="4" t="s">
        <v>29</v>
      </c>
      <c r="M852" s="11">
        <f>_xlfn.NUMBERVALUE(LEFT(Table613612[[#This Row],[Fiscal Year]], 4))</f>
        <v>2015</v>
      </c>
      <c r="N852" s="42">
        <f t="shared" si="19"/>
        <v>22200.861645569617</v>
      </c>
      <c r="O852" s="3">
        <v>850</v>
      </c>
    </row>
    <row r="853" spans="1:15" x14ac:dyDescent="0.25">
      <c r="A853" s="3">
        <v>4</v>
      </c>
      <c r="B853" s="3" t="s">
        <v>178</v>
      </c>
      <c r="C853" s="1" t="s">
        <v>12</v>
      </c>
      <c r="D853" s="1" t="s">
        <v>444</v>
      </c>
      <c r="E853" s="11" t="s">
        <v>144</v>
      </c>
      <c r="F853" s="3" t="s">
        <v>8</v>
      </c>
      <c r="G853" s="66" t="s">
        <v>208</v>
      </c>
      <c r="H853" s="8"/>
      <c r="I853" s="8"/>
      <c r="J853" s="6" t="s">
        <v>109</v>
      </c>
      <c r="K853" s="38">
        <v>10902</v>
      </c>
      <c r="L853" s="4" t="s">
        <v>29</v>
      </c>
      <c r="M853" s="11">
        <f>_xlfn.NUMBERVALUE(LEFT(Table613612[[#This Row],[Fiscal Year]], 4))</f>
        <v>2015</v>
      </c>
      <c r="N853" s="42">
        <f t="shared" si="19"/>
        <v>11575.026</v>
      </c>
      <c r="O853" s="3">
        <v>851</v>
      </c>
    </row>
    <row r="854" spans="1:15" x14ac:dyDescent="0.25">
      <c r="A854" s="3">
        <v>4</v>
      </c>
      <c r="B854" s="3" t="s">
        <v>178</v>
      </c>
      <c r="C854" s="1" t="s">
        <v>12</v>
      </c>
      <c r="D854" s="1" t="s">
        <v>444</v>
      </c>
      <c r="E854" s="11" t="s">
        <v>144</v>
      </c>
      <c r="F854" s="3" t="s">
        <v>8</v>
      </c>
      <c r="G854" s="48" t="s">
        <v>59</v>
      </c>
      <c r="H854" s="8"/>
      <c r="I854" s="8"/>
      <c r="J854" s="6" t="s">
        <v>111</v>
      </c>
      <c r="K854" s="38">
        <v>933</v>
      </c>
      <c r="L854" s="4" t="s">
        <v>29</v>
      </c>
      <c r="M854" s="11">
        <f>_xlfn.NUMBERVALUE(LEFT(Table613612[[#This Row],[Fiscal Year]], 4))</f>
        <v>2015</v>
      </c>
      <c r="N854" s="42">
        <f t="shared" si="19"/>
        <v>990.59798734177207</v>
      </c>
      <c r="O854" s="3">
        <v>852</v>
      </c>
    </row>
    <row r="855" spans="1:15" x14ac:dyDescent="0.25">
      <c r="A855" s="3">
        <v>4</v>
      </c>
      <c r="B855" s="3" t="s">
        <v>178</v>
      </c>
      <c r="C855" s="1" t="s">
        <v>12</v>
      </c>
      <c r="D855" s="1" t="s">
        <v>444</v>
      </c>
      <c r="E855" s="11" t="s">
        <v>144</v>
      </c>
      <c r="F855" s="3" t="s">
        <v>8</v>
      </c>
      <c r="G855" s="66" t="s">
        <v>60</v>
      </c>
      <c r="H855" s="8"/>
      <c r="I855" s="8"/>
      <c r="J855" s="6" t="s">
        <v>111</v>
      </c>
      <c r="K855" s="38">
        <v>2676</v>
      </c>
      <c r="L855" s="4" t="s">
        <v>29</v>
      </c>
      <c r="M855" s="11">
        <f>_xlfn.NUMBERVALUE(LEFT(Table613612[[#This Row],[Fiscal Year]], 4))</f>
        <v>2015</v>
      </c>
      <c r="N855" s="42">
        <f t="shared" si="19"/>
        <v>2841.2006582278477</v>
      </c>
      <c r="O855" s="3">
        <v>853</v>
      </c>
    </row>
    <row r="856" spans="1:15" x14ac:dyDescent="0.25">
      <c r="A856" s="3">
        <v>4</v>
      </c>
      <c r="B856" s="3" t="s">
        <v>178</v>
      </c>
      <c r="C856" s="1" t="s">
        <v>12</v>
      </c>
      <c r="D856" s="1" t="s">
        <v>444</v>
      </c>
      <c r="E856" s="11" t="s">
        <v>144</v>
      </c>
      <c r="F856" s="3" t="s">
        <v>8</v>
      </c>
      <c r="G856" s="48" t="s">
        <v>61</v>
      </c>
      <c r="H856" s="8"/>
      <c r="I856" s="8"/>
      <c r="J856" s="6" t="s">
        <v>108</v>
      </c>
      <c r="K856" s="38">
        <v>224238</v>
      </c>
      <c r="L856" s="4" t="s">
        <v>29</v>
      </c>
      <c r="M856" s="11">
        <f>_xlfn.NUMBERVALUE(LEFT(Table613612[[#This Row],[Fiscal Year]], 4))</f>
        <v>2015</v>
      </c>
      <c r="N856" s="42">
        <f t="shared" si="19"/>
        <v>238081.14843037972</v>
      </c>
      <c r="O856" s="3">
        <v>854</v>
      </c>
    </row>
    <row r="857" spans="1:15" x14ac:dyDescent="0.25">
      <c r="A857" s="3">
        <v>4</v>
      </c>
      <c r="B857" s="3" t="s">
        <v>178</v>
      </c>
      <c r="C857" s="1" t="s">
        <v>12</v>
      </c>
      <c r="D857" s="1" t="s">
        <v>444</v>
      </c>
      <c r="E857" s="11" t="s">
        <v>144</v>
      </c>
      <c r="F857" s="3" t="s">
        <v>8</v>
      </c>
      <c r="G857" s="66" t="s">
        <v>62</v>
      </c>
      <c r="H857" s="8"/>
      <c r="I857" s="8"/>
      <c r="J857" s="6" t="s">
        <v>106</v>
      </c>
      <c r="K857" s="38">
        <v>56922</v>
      </c>
      <c r="L857" s="4" t="s">
        <v>29</v>
      </c>
      <c r="M857" s="11">
        <f>_xlfn.NUMBERVALUE(LEFT(Table613612[[#This Row],[Fiscal Year]], 4))</f>
        <v>2015</v>
      </c>
      <c r="N857" s="42">
        <f t="shared" si="19"/>
        <v>60436.032835443031</v>
      </c>
      <c r="O857" s="3">
        <v>855</v>
      </c>
    </row>
    <row r="858" spans="1:15" x14ac:dyDescent="0.25">
      <c r="A858" s="3">
        <v>4</v>
      </c>
      <c r="B858" s="3" t="s">
        <v>178</v>
      </c>
      <c r="C858" s="1" t="s">
        <v>12</v>
      </c>
      <c r="D858" s="1" t="s">
        <v>444</v>
      </c>
      <c r="E858" s="11" t="s">
        <v>144</v>
      </c>
      <c r="F858" s="3" t="s">
        <v>8</v>
      </c>
      <c r="G858" s="66" t="s">
        <v>211</v>
      </c>
      <c r="H858" s="8"/>
      <c r="I858" s="8"/>
      <c r="J858" s="6" t="s">
        <v>455</v>
      </c>
      <c r="K858" s="39" t="s">
        <v>216</v>
      </c>
      <c r="L858" s="4" t="s">
        <v>29</v>
      </c>
      <c r="M858" s="11">
        <f>_xlfn.NUMBERVALUE(LEFT(Table613612[[#This Row],[Fiscal Year]], 4))</f>
        <v>2015</v>
      </c>
      <c r="O858" s="3">
        <v>856</v>
      </c>
    </row>
    <row r="859" spans="1:15" x14ac:dyDescent="0.25">
      <c r="A859" s="3">
        <v>4</v>
      </c>
      <c r="B859" s="3" t="s">
        <v>178</v>
      </c>
      <c r="C859" s="1" t="s">
        <v>12</v>
      </c>
      <c r="D859" s="1" t="s">
        <v>444</v>
      </c>
      <c r="E859" s="11" t="s">
        <v>144</v>
      </c>
      <c r="F859" s="3" t="s">
        <v>8</v>
      </c>
      <c r="G859" s="66" t="s">
        <v>64</v>
      </c>
      <c r="H859" s="8"/>
      <c r="I859" s="8"/>
      <c r="J859" s="6" t="s">
        <v>76</v>
      </c>
      <c r="K859" s="38">
        <v>0</v>
      </c>
      <c r="L859" s="4" t="s">
        <v>29</v>
      </c>
      <c r="M859" s="11">
        <f>_xlfn.NUMBERVALUE(LEFT(Table613612[[#This Row],[Fiscal Year]], 4))</f>
        <v>2015</v>
      </c>
      <c r="N859" s="43">
        <f>K859*(1+VLOOKUP(M859,$AF$8:$AH$31,3,0))</f>
        <v>0</v>
      </c>
      <c r="O859" s="3">
        <v>857</v>
      </c>
    </row>
    <row r="860" spans="1:15" x14ac:dyDescent="0.25">
      <c r="A860" s="3">
        <v>4</v>
      </c>
      <c r="B860" s="3" t="s">
        <v>178</v>
      </c>
      <c r="C860" s="1" t="s">
        <v>12</v>
      </c>
      <c r="D860" s="1" t="s">
        <v>444</v>
      </c>
      <c r="E860" s="11" t="s">
        <v>144</v>
      </c>
      <c r="F860" s="3" t="s">
        <v>8</v>
      </c>
      <c r="G860" s="66" t="s">
        <v>65</v>
      </c>
      <c r="H860" s="8"/>
      <c r="I860" s="8"/>
      <c r="J860" s="6" t="s">
        <v>76</v>
      </c>
      <c r="K860" s="38">
        <v>0</v>
      </c>
      <c r="L860" s="4" t="s">
        <v>29</v>
      </c>
      <c r="M860" s="11">
        <f>_xlfn.NUMBERVALUE(LEFT(Table613612[[#This Row],[Fiscal Year]], 4))</f>
        <v>2015</v>
      </c>
      <c r="N860" s="43">
        <f>K860*(1+VLOOKUP(M860,$AF$8:$AH$31,3,0))</f>
        <v>0</v>
      </c>
      <c r="O860" s="3">
        <v>858</v>
      </c>
    </row>
    <row r="861" spans="1:15" x14ac:dyDescent="0.25">
      <c r="A861" s="3">
        <v>4</v>
      </c>
      <c r="B861" s="3" t="s">
        <v>178</v>
      </c>
      <c r="C861" s="1" t="s">
        <v>12</v>
      </c>
      <c r="D861" s="1" t="s">
        <v>444</v>
      </c>
      <c r="E861" s="11" t="s">
        <v>144</v>
      </c>
      <c r="F861" s="3" t="s">
        <v>8</v>
      </c>
      <c r="G861" s="66" t="s">
        <v>66</v>
      </c>
      <c r="H861" s="8"/>
      <c r="I861" s="8"/>
      <c r="J861" s="6" t="s">
        <v>76</v>
      </c>
      <c r="K861" s="38">
        <v>0</v>
      </c>
      <c r="L861" s="4" t="s">
        <v>29</v>
      </c>
      <c r="M861" s="11">
        <f>_xlfn.NUMBERVALUE(LEFT(Table613612[[#This Row],[Fiscal Year]], 4))</f>
        <v>2015</v>
      </c>
      <c r="N861" s="43">
        <f>K861*(1+VLOOKUP(M861,$AF$8:$AH$31,3,0))</f>
        <v>0</v>
      </c>
      <c r="O861" s="3">
        <v>859</v>
      </c>
    </row>
    <row r="862" spans="1:15" x14ac:dyDescent="0.25">
      <c r="A862" s="3">
        <v>4</v>
      </c>
      <c r="B862" s="3" t="s">
        <v>178</v>
      </c>
      <c r="C862" s="1" t="s">
        <v>12</v>
      </c>
      <c r="D862" s="1" t="s">
        <v>444</v>
      </c>
      <c r="E862" s="11" t="s">
        <v>144</v>
      </c>
      <c r="F862" s="3" t="s">
        <v>8</v>
      </c>
      <c r="G862" s="66" t="s">
        <v>33</v>
      </c>
      <c r="H862" s="8"/>
      <c r="I862" s="8"/>
      <c r="J862" s="6" t="s">
        <v>47</v>
      </c>
      <c r="K862" s="38">
        <v>68935</v>
      </c>
      <c r="L862" s="4" t="s">
        <v>29</v>
      </c>
      <c r="M862" s="11">
        <f>_xlfn.NUMBERVALUE(LEFT(Table613612[[#This Row],[Fiscal Year]], 4))</f>
        <v>2015</v>
      </c>
      <c r="N862" s="42">
        <f t="shared" ref="N862:N925" si="20">K862*(1+VLOOKUP(M862,$AF$8:$AH$31,3,0))</f>
        <v>73190.645506329107</v>
      </c>
      <c r="O862" s="3">
        <v>860</v>
      </c>
    </row>
    <row r="863" spans="1:15" x14ac:dyDescent="0.25">
      <c r="A863" s="3">
        <v>4</v>
      </c>
      <c r="B863" s="3" t="s">
        <v>178</v>
      </c>
      <c r="C863" s="1" t="s">
        <v>12</v>
      </c>
      <c r="D863" s="1" t="s">
        <v>444</v>
      </c>
      <c r="E863" s="11" t="s">
        <v>144</v>
      </c>
      <c r="F863" s="3" t="s">
        <v>8</v>
      </c>
      <c r="G863" s="66" t="s">
        <v>67</v>
      </c>
      <c r="H863" s="8"/>
      <c r="I863" s="8"/>
      <c r="J863" s="6" t="s">
        <v>455</v>
      </c>
      <c r="K863" s="38">
        <v>15624</v>
      </c>
      <c r="L863" s="4" t="s">
        <v>29</v>
      </c>
      <c r="M863" s="11">
        <f>_xlfn.NUMBERVALUE(LEFT(Table613612[[#This Row],[Fiscal Year]], 4))</f>
        <v>2015</v>
      </c>
      <c r="N863" s="42">
        <f t="shared" si="20"/>
        <v>16588.534784810126</v>
      </c>
      <c r="O863" s="3">
        <v>861</v>
      </c>
    </row>
    <row r="864" spans="1:15" x14ac:dyDescent="0.25">
      <c r="C864" s="1"/>
      <c r="D864" s="1"/>
      <c r="E864" s="11"/>
      <c r="G864" s="66"/>
      <c r="H864" s="8"/>
      <c r="I864" s="8"/>
      <c r="J864" s="6"/>
      <c r="L864" s="4"/>
      <c r="O864" s="3">
        <v>862</v>
      </c>
    </row>
    <row r="865" spans="1:15" x14ac:dyDescent="0.25">
      <c r="A865" s="3">
        <v>4</v>
      </c>
      <c r="B865" s="3" t="s">
        <v>179</v>
      </c>
      <c r="C865" s="1" t="s">
        <v>12</v>
      </c>
      <c r="D865" s="1" t="s">
        <v>444</v>
      </c>
      <c r="E865" s="11" t="s">
        <v>144</v>
      </c>
      <c r="F865" s="3" t="s">
        <v>8</v>
      </c>
      <c r="G865" s="66" t="s">
        <v>908</v>
      </c>
      <c r="H865" s="8"/>
      <c r="I865" s="8"/>
      <c r="J865" s="6" t="s">
        <v>110</v>
      </c>
      <c r="K865" s="38">
        <v>125900</v>
      </c>
      <c r="L865" s="4" t="s">
        <v>29</v>
      </c>
      <c r="M865" s="11">
        <f>_xlfn.NUMBERVALUE(LEFT(Table613612[[#This Row],[Fiscal Year]], 4))</f>
        <v>2015</v>
      </c>
      <c r="N865" s="42">
        <f t="shared" si="20"/>
        <v>133672.33291139238</v>
      </c>
      <c r="O865" s="3">
        <v>863</v>
      </c>
    </row>
    <row r="866" spans="1:15" x14ac:dyDescent="0.25">
      <c r="A866" s="3">
        <v>4</v>
      </c>
      <c r="B866" s="3" t="s">
        <v>179</v>
      </c>
      <c r="C866" s="1" t="s">
        <v>12</v>
      </c>
      <c r="D866" s="1" t="s">
        <v>444</v>
      </c>
      <c r="E866" s="11" t="s">
        <v>144</v>
      </c>
      <c r="F866" s="3" t="s">
        <v>8</v>
      </c>
      <c r="G866" s="48" t="s">
        <v>909</v>
      </c>
      <c r="H866" s="8"/>
      <c r="I866" s="8"/>
      <c r="J866" s="6" t="s">
        <v>110</v>
      </c>
      <c r="K866" s="38">
        <v>24000</v>
      </c>
      <c r="L866" s="4" t="s">
        <v>29</v>
      </c>
      <c r="M866" s="11">
        <f>_xlfn.NUMBERVALUE(LEFT(Table613612[[#This Row],[Fiscal Year]], 4))</f>
        <v>2015</v>
      </c>
      <c r="N866" s="42">
        <f t="shared" si="20"/>
        <v>25481.620253164554</v>
      </c>
      <c r="O866" s="3">
        <v>864</v>
      </c>
    </row>
    <row r="867" spans="1:15" x14ac:dyDescent="0.25">
      <c r="A867" s="3">
        <v>4</v>
      </c>
      <c r="B867" s="3" t="s">
        <v>179</v>
      </c>
      <c r="C867" s="1" t="s">
        <v>12</v>
      </c>
      <c r="D867" s="1" t="s">
        <v>444</v>
      </c>
      <c r="E867" s="11" t="s">
        <v>144</v>
      </c>
      <c r="F867" s="3" t="s">
        <v>8</v>
      </c>
      <c r="G867" s="66" t="s">
        <v>844</v>
      </c>
      <c r="H867" s="8"/>
      <c r="I867" s="8"/>
      <c r="J867" s="6" t="s">
        <v>453</v>
      </c>
      <c r="K867" s="38">
        <v>8000</v>
      </c>
      <c r="L867" s="4" t="s">
        <v>29</v>
      </c>
      <c r="M867" s="11">
        <f>_xlfn.NUMBERVALUE(LEFT(Table613612[[#This Row],[Fiscal Year]], 4))</f>
        <v>2015</v>
      </c>
      <c r="N867" s="42">
        <f t="shared" si="20"/>
        <v>8493.8734177215192</v>
      </c>
      <c r="O867" s="3">
        <v>865</v>
      </c>
    </row>
    <row r="868" spans="1:15" x14ac:dyDescent="0.25">
      <c r="A868" s="3">
        <v>4</v>
      </c>
      <c r="B868" s="3" t="s">
        <v>179</v>
      </c>
      <c r="C868" s="1" t="s">
        <v>12</v>
      </c>
      <c r="D868" s="1" t="s">
        <v>444</v>
      </c>
      <c r="E868" s="11" t="s">
        <v>144</v>
      </c>
      <c r="F868" s="3" t="s">
        <v>8</v>
      </c>
      <c r="G868" s="66" t="s">
        <v>845</v>
      </c>
      <c r="H868" s="8"/>
      <c r="I868" s="8"/>
      <c r="J868" s="6" t="s">
        <v>109</v>
      </c>
      <c r="K868" s="38">
        <v>22000</v>
      </c>
      <c r="L868" s="4" t="s">
        <v>29</v>
      </c>
      <c r="M868" s="11">
        <f>_xlfn.NUMBERVALUE(LEFT(Table613612[[#This Row],[Fiscal Year]], 4))</f>
        <v>2015</v>
      </c>
      <c r="N868" s="42">
        <f t="shared" si="20"/>
        <v>23358.151898734177</v>
      </c>
      <c r="O868" s="3">
        <v>866</v>
      </c>
    </row>
    <row r="869" spans="1:15" x14ac:dyDescent="0.25">
      <c r="A869" s="3">
        <v>4</v>
      </c>
      <c r="B869" s="3" t="s">
        <v>179</v>
      </c>
      <c r="C869" s="1" t="s">
        <v>12</v>
      </c>
      <c r="D869" s="1" t="s">
        <v>444</v>
      </c>
      <c r="E869" s="11" t="s">
        <v>144</v>
      </c>
      <c r="F869" s="3" t="s">
        <v>8</v>
      </c>
      <c r="G869" s="48" t="s">
        <v>846</v>
      </c>
      <c r="H869" s="8"/>
      <c r="I869" s="8"/>
      <c r="J869" s="6" t="s">
        <v>111</v>
      </c>
      <c r="K869" s="38">
        <v>10000</v>
      </c>
      <c r="L869" s="4" t="s">
        <v>29</v>
      </c>
      <c r="M869" s="11">
        <f>_xlfn.NUMBERVALUE(LEFT(Table613612[[#This Row],[Fiscal Year]], 4))</f>
        <v>2015</v>
      </c>
      <c r="N869" s="42">
        <f t="shared" si="20"/>
        <v>10617.341772151898</v>
      </c>
      <c r="O869" s="3">
        <v>867</v>
      </c>
    </row>
    <row r="870" spans="1:15" x14ac:dyDescent="0.25">
      <c r="A870" s="3">
        <v>4</v>
      </c>
      <c r="B870" s="3" t="s">
        <v>179</v>
      </c>
      <c r="C870" s="1" t="s">
        <v>12</v>
      </c>
      <c r="D870" s="1" t="s">
        <v>444</v>
      </c>
      <c r="E870" s="11" t="s">
        <v>144</v>
      </c>
      <c r="F870" s="3" t="s">
        <v>8</v>
      </c>
      <c r="G870" s="66" t="s">
        <v>847</v>
      </c>
      <c r="H870" s="8"/>
      <c r="I870" s="8"/>
      <c r="J870" s="6" t="s">
        <v>111</v>
      </c>
      <c r="K870" s="38">
        <v>5000</v>
      </c>
      <c r="L870" s="4" t="s">
        <v>29</v>
      </c>
      <c r="M870" s="11">
        <f>_xlfn.NUMBERVALUE(LEFT(Table613612[[#This Row],[Fiscal Year]], 4))</f>
        <v>2015</v>
      </c>
      <c r="N870" s="42">
        <f t="shared" si="20"/>
        <v>5308.6708860759491</v>
      </c>
      <c r="O870" s="3">
        <v>868</v>
      </c>
    </row>
    <row r="871" spans="1:15" x14ac:dyDescent="0.25">
      <c r="A871" s="3">
        <v>4</v>
      </c>
      <c r="B871" s="3" t="s">
        <v>179</v>
      </c>
      <c r="C871" s="1" t="s">
        <v>12</v>
      </c>
      <c r="D871" s="1" t="s">
        <v>444</v>
      </c>
      <c r="E871" s="11" t="s">
        <v>144</v>
      </c>
      <c r="F871" s="3" t="s">
        <v>8</v>
      </c>
      <c r="G871" s="48" t="s">
        <v>857</v>
      </c>
      <c r="H871" s="8"/>
      <c r="I871" s="8"/>
      <c r="J871" s="6" t="s">
        <v>108</v>
      </c>
      <c r="K871" s="38">
        <v>16000</v>
      </c>
      <c r="L871" s="4" t="s">
        <v>29</v>
      </c>
      <c r="M871" s="11">
        <f>_xlfn.NUMBERVALUE(LEFT(Table613612[[#This Row],[Fiscal Year]], 4))</f>
        <v>2015</v>
      </c>
      <c r="N871" s="42">
        <f t="shared" si="20"/>
        <v>16987.746835443038</v>
      </c>
      <c r="O871" s="3">
        <v>869</v>
      </c>
    </row>
    <row r="872" spans="1:15" x14ac:dyDescent="0.25">
      <c r="A872" s="3">
        <v>4</v>
      </c>
      <c r="B872" s="3" t="s">
        <v>179</v>
      </c>
      <c r="C872" s="1" t="s">
        <v>12</v>
      </c>
      <c r="D872" s="1" t="s">
        <v>444</v>
      </c>
      <c r="E872" s="11" t="s">
        <v>144</v>
      </c>
      <c r="F872" s="3" t="s">
        <v>8</v>
      </c>
      <c r="G872" s="48" t="s">
        <v>910</v>
      </c>
      <c r="H872" s="8"/>
      <c r="I872" s="8"/>
      <c r="J872" s="6" t="s">
        <v>108</v>
      </c>
      <c r="K872" s="38">
        <v>334000</v>
      </c>
      <c r="L872" s="4" t="s">
        <v>29</v>
      </c>
      <c r="M872" s="11">
        <f>_xlfn.NUMBERVALUE(LEFT(Table613612[[#This Row],[Fiscal Year]], 4))</f>
        <v>2015</v>
      </c>
      <c r="N872" s="42">
        <f t="shared" si="20"/>
        <v>354619.21518987342</v>
      </c>
      <c r="O872" s="3">
        <v>870</v>
      </c>
    </row>
    <row r="873" spans="1:15" x14ac:dyDescent="0.25">
      <c r="A873" s="3">
        <v>4</v>
      </c>
      <c r="B873" s="3" t="s">
        <v>179</v>
      </c>
      <c r="C873" s="1" t="s">
        <v>12</v>
      </c>
      <c r="D873" s="1" t="s">
        <v>444</v>
      </c>
      <c r="E873" s="11" t="s">
        <v>144</v>
      </c>
      <c r="F873" s="3" t="s">
        <v>8</v>
      </c>
      <c r="G873" s="66" t="s">
        <v>849</v>
      </c>
      <c r="H873" s="8"/>
      <c r="I873" s="8"/>
      <c r="J873" s="6" t="s">
        <v>106</v>
      </c>
      <c r="K873" s="38">
        <v>5000</v>
      </c>
      <c r="L873" s="4" t="s">
        <v>29</v>
      </c>
      <c r="M873" s="11">
        <f>_xlfn.NUMBERVALUE(LEFT(Table613612[[#This Row],[Fiscal Year]], 4))</f>
        <v>2015</v>
      </c>
      <c r="N873" s="42">
        <f t="shared" si="20"/>
        <v>5308.6708860759491</v>
      </c>
      <c r="O873" s="3">
        <v>871</v>
      </c>
    </row>
    <row r="874" spans="1:15" x14ac:dyDescent="0.25">
      <c r="A874" s="3">
        <v>4</v>
      </c>
      <c r="B874" s="3" t="s">
        <v>179</v>
      </c>
      <c r="C874" s="1" t="s">
        <v>12</v>
      </c>
      <c r="D874" s="1" t="s">
        <v>444</v>
      </c>
      <c r="E874" s="11" t="s">
        <v>144</v>
      </c>
      <c r="F874" s="3" t="s">
        <v>8</v>
      </c>
      <c r="G874" s="66" t="s">
        <v>850</v>
      </c>
      <c r="H874" s="8"/>
      <c r="I874" s="8"/>
      <c r="J874" s="6" t="s">
        <v>455</v>
      </c>
      <c r="K874" s="38">
        <v>10000</v>
      </c>
      <c r="L874" s="4" t="s">
        <v>29</v>
      </c>
      <c r="M874" s="11">
        <f>_xlfn.NUMBERVALUE(LEFT(Table613612[[#This Row],[Fiscal Year]], 4))</f>
        <v>2015</v>
      </c>
      <c r="N874" s="42">
        <f t="shared" si="20"/>
        <v>10617.341772151898</v>
      </c>
      <c r="O874" s="3">
        <v>872</v>
      </c>
    </row>
    <row r="875" spans="1:15" x14ac:dyDescent="0.25">
      <c r="A875" s="3">
        <v>4</v>
      </c>
      <c r="B875" s="3" t="s">
        <v>179</v>
      </c>
      <c r="C875" s="1" t="s">
        <v>12</v>
      </c>
      <c r="D875" s="1" t="s">
        <v>444</v>
      </c>
      <c r="E875" s="11" t="s">
        <v>144</v>
      </c>
      <c r="F875" s="3" t="s">
        <v>8</v>
      </c>
      <c r="G875" s="66" t="s">
        <v>851</v>
      </c>
      <c r="H875" s="8"/>
      <c r="I875" s="8"/>
      <c r="J875" s="6" t="s">
        <v>76</v>
      </c>
      <c r="K875" s="38">
        <v>15000</v>
      </c>
      <c r="L875" s="4" t="s">
        <v>29</v>
      </c>
      <c r="M875" s="11">
        <f>_xlfn.NUMBERVALUE(LEFT(Table613612[[#This Row],[Fiscal Year]], 4))</f>
        <v>2015</v>
      </c>
      <c r="N875" s="42">
        <f t="shared" si="20"/>
        <v>15926.012658227848</v>
      </c>
      <c r="O875" s="3">
        <v>873</v>
      </c>
    </row>
    <row r="876" spans="1:15" x14ac:dyDescent="0.25">
      <c r="A876" s="3">
        <v>4</v>
      </c>
      <c r="B876" s="3" t="s">
        <v>179</v>
      </c>
      <c r="C876" s="1" t="s">
        <v>12</v>
      </c>
      <c r="D876" s="1" t="s">
        <v>444</v>
      </c>
      <c r="E876" s="11" t="s">
        <v>144</v>
      </c>
      <c r="F876" s="3" t="s">
        <v>8</v>
      </c>
      <c r="G876" s="66" t="s">
        <v>852</v>
      </c>
      <c r="H876" s="8"/>
      <c r="I876" s="8"/>
      <c r="J876" s="6" t="s">
        <v>76</v>
      </c>
      <c r="K876" s="38">
        <v>0</v>
      </c>
      <c r="L876" s="4" t="s">
        <v>29</v>
      </c>
      <c r="M876" s="11">
        <f>_xlfn.NUMBERVALUE(LEFT(Table613612[[#This Row],[Fiscal Year]], 4))</f>
        <v>2015</v>
      </c>
      <c r="N876" s="43">
        <f t="shared" si="20"/>
        <v>0</v>
      </c>
      <c r="O876" s="3">
        <v>874</v>
      </c>
    </row>
    <row r="877" spans="1:15" x14ac:dyDescent="0.25">
      <c r="A877" s="3">
        <v>4</v>
      </c>
      <c r="B877" s="3" t="s">
        <v>179</v>
      </c>
      <c r="C877" s="1" t="s">
        <v>12</v>
      </c>
      <c r="D877" s="1" t="s">
        <v>444</v>
      </c>
      <c r="E877" s="11" t="s">
        <v>144</v>
      </c>
      <c r="F877" s="3" t="s">
        <v>8</v>
      </c>
      <c r="G877" s="66" t="s">
        <v>853</v>
      </c>
      <c r="H877" s="8"/>
      <c r="I877" s="8"/>
      <c r="J877" s="6" t="s">
        <v>76</v>
      </c>
      <c r="K877" s="38">
        <v>0</v>
      </c>
      <c r="L877" s="4" t="s">
        <v>29</v>
      </c>
      <c r="M877" s="11">
        <f>_xlfn.NUMBERVALUE(LEFT(Table613612[[#This Row],[Fiscal Year]], 4))</f>
        <v>2015</v>
      </c>
      <c r="N877" s="43">
        <f t="shared" si="20"/>
        <v>0</v>
      </c>
      <c r="O877" s="3">
        <v>875</v>
      </c>
    </row>
    <row r="878" spans="1:15" x14ac:dyDescent="0.25">
      <c r="A878" s="3">
        <v>4</v>
      </c>
      <c r="B878" s="3" t="s">
        <v>179</v>
      </c>
      <c r="C878" s="1" t="s">
        <v>12</v>
      </c>
      <c r="D878" s="1" t="s">
        <v>444</v>
      </c>
      <c r="E878" s="11" t="s">
        <v>144</v>
      </c>
      <c r="F878" s="3" t="s">
        <v>8</v>
      </c>
      <c r="G878" s="63" t="s">
        <v>854</v>
      </c>
      <c r="H878" s="8"/>
      <c r="I878" s="8"/>
      <c r="J878" s="6" t="s">
        <v>47</v>
      </c>
      <c r="K878" s="38">
        <v>113000</v>
      </c>
      <c r="L878" s="4" t="s">
        <v>29</v>
      </c>
      <c r="M878" s="11">
        <f>_xlfn.NUMBERVALUE(LEFT(Table613612[[#This Row],[Fiscal Year]], 4))</f>
        <v>2015</v>
      </c>
      <c r="N878" s="42">
        <f>K878*(1+VLOOKUP(M878,$AF$8:$AH$31,3,0))</f>
        <v>119975.96202531645</v>
      </c>
      <c r="O878" s="3">
        <v>876</v>
      </c>
    </row>
    <row r="879" spans="1:15" x14ac:dyDescent="0.25">
      <c r="A879" s="3">
        <v>4</v>
      </c>
      <c r="B879" s="3" t="s">
        <v>179</v>
      </c>
      <c r="C879" s="1" t="s">
        <v>12</v>
      </c>
      <c r="D879" s="1" t="s">
        <v>444</v>
      </c>
      <c r="E879" s="11" t="s">
        <v>144</v>
      </c>
      <c r="F879" s="3" t="s">
        <v>8</v>
      </c>
      <c r="G879" s="63" t="s">
        <v>932</v>
      </c>
      <c r="H879" s="8"/>
      <c r="I879" s="8"/>
      <c r="J879" s="6" t="s">
        <v>605</v>
      </c>
      <c r="K879" s="38">
        <v>0</v>
      </c>
      <c r="L879" s="4" t="s">
        <v>29</v>
      </c>
      <c r="M879" s="11">
        <f>_xlfn.NUMBERVALUE(LEFT(Table613612[[#This Row],[Fiscal Year]], 4))</f>
        <v>2015</v>
      </c>
      <c r="N879" s="43">
        <f t="shared" si="20"/>
        <v>0</v>
      </c>
      <c r="O879" s="3">
        <v>877</v>
      </c>
    </row>
    <row r="880" spans="1:15" x14ac:dyDescent="0.25">
      <c r="C880" s="1"/>
      <c r="E880" s="11"/>
      <c r="G880" s="66"/>
      <c r="H880" s="8"/>
      <c r="I880" s="8"/>
      <c r="J880" s="6"/>
      <c r="L880" s="4"/>
      <c r="O880" s="3">
        <v>878</v>
      </c>
    </row>
    <row r="881" spans="1:15" x14ac:dyDescent="0.25">
      <c r="A881" s="3">
        <v>4</v>
      </c>
      <c r="B881" s="3" t="s">
        <v>180</v>
      </c>
      <c r="C881" s="1" t="s">
        <v>12</v>
      </c>
      <c r="D881" s="1" t="s">
        <v>444</v>
      </c>
      <c r="E881" s="11" t="s">
        <v>144</v>
      </c>
      <c r="F881" s="3" t="s">
        <v>8</v>
      </c>
      <c r="G881" s="66" t="s">
        <v>908</v>
      </c>
      <c r="H881" s="8"/>
      <c r="I881" s="8"/>
      <c r="J881" s="6" t="s">
        <v>110</v>
      </c>
      <c r="K881" s="38">
        <v>12000</v>
      </c>
      <c r="L881" s="4" t="s">
        <v>29</v>
      </c>
      <c r="M881" s="11">
        <f>_xlfn.NUMBERVALUE(LEFT(Table613612[[#This Row],[Fiscal Year]], 4))</f>
        <v>2015</v>
      </c>
      <c r="N881" s="42">
        <f t="shared" si="20"/>
        <v>12740.810126582277</v>
      </c>
      <c r="O881" s="3">
        <v>879</v>
      </c>
    </row>
    <row r="882" spans="1:15" x14ac:dyDescent="0.25">
      <c r="A882" s="3">
        <v>4</v>
      </c>
      <c r="B882" s="3" t="s">
        <v>180</v>
      </c>
      <c r="C882" s="1" t="s">
        <v>12</v>
      </c>
      <c r="D882" s="1" t="s">
        <v>444</v>
      </c>
      <c r="E882" s="11" t="s">
        <v>144</v>
      </c>
      <c r="F882" s="3" t="s">
        <v>8</v>
      </c>
      <c r="G882" s="66" t="s">
        <v>909</v>
      </c>
      <c r="H882" s="8"/>
      <c r="I882" s="8"/>
      <c r="J882" s="6" t="s">
        <v>110</v>
      </c>
      <c r="K882" s="38">
        <v>22500</v>
      </c>
      <c r="L882" s="4" t="s">
        <v>29</v>
      </c>
      <c r="M882" s="11">
        <f>_xlfn.NUMBERVALUE(LEFT(Table613612[[#This Row],[Fiscal Year]], 4))</f>
        <v>2015</v>
      </c>
      <c r="N882" s="42">
        <f t="shared" si="20"/>
        <v>23889.018987341769</v>
      </c>
      <c r="O882" s="3">
        <v>880</v>
      </c>
    </row>
    <row r="883" spans="1:15" x14ac:dyDescent="0.25">
      <c r="A883" s="3">
        <v>4</v>
      </c>
      <c r="B883" s="3" t="s">
        <v>180</v>
      </c>
      <c r="C883" s="1" t="s">
        <v>12</v>
      </c>
      <c r="D883" s="1" t="s">
        <v>444</v>
      </c>
      <c r="E883" s="11" t="s">
        <v>144</v>
      </c>
      <c r="F883" s="3" t="s">
        <v>8</v>
      </c>
      <c r="G883" s="66" t="s">
        <v>844</v>
      </c>
      <c r="H883" s="8"/>
      <c r="I883" s="8"/>
      <c r="J883" s="6" t="s">
        <v>453</v>
      </c>
      <c r="K883" s="38">
        <v>22500</v>
      </c>
      <c r="L883" s="4" t="s">
        <v>29</v>
      </c>
      <c r="M883" s="11">
        <f>_xlfn.NUMBERVALUE(LEFT(Table613612[[#This Row],[Fiscal Year]], 4))</f>
        <v>2015</v>
      </c>
      <c r="N883" s="42">
        <f t="shared" si="20"/>
        <v>23889.018987341769</v>
      </c>
      <c r="O883" s="3">
        <v>881</v>
      </c>
    </row>
    <row r="884" spans="1:15" x14ac:dyDescent="0.25">
      <c r="A884" s="3">
        <v>4</v>
      </c>
      <c r="B884" s="3" t="s">
        <v>180</v>
      </c>
      <c r="C884" s="1" t="s">
        <v>12</v>
      </c>
      <c r="D884" s="1" t="s">
        <v>444</v>
      </c>
      <c r="E884" s="11" t="s">
        <v>144</v>
      </c>
      <c r="F884" s="3" t="s">
        <v>8</v>
      </c>
      <c r="G884" s="66" t="s">
        <v>845</v>
      </c>
      <c r="H884" s="8"/>
      <c r="I884" s="8"/>
      <c r="J884" s="6" t="s">
        <v>109</v>
      </c>
      <c r="K884" s="38">
        <v>35000</v>
      </c>
      <c r="L884" s="4" t="s">
        <v>29</v>
      </c>
      <c r="M884" s="11">
        <f>_xlfn.NUMBERVALUE(LEFT(Table613612[[#This Row],[Fiscal Year]], 4))</f>
        <v>2015</v>
      </c>
      <c r="N884" s="42">
        <f t="shared" si="20"/>
        <v>37160.696202531646</v>
      </c>
      <c r="O884" s="3">
        <v>882</v>
      </c>
    </row>
    <row r="885" spans="1:15" x14ac:dyDescent="0.25">
      <c r="A885" s="3">
        <v>4</v>
      </c>
      <c r="B885" s="3" t="s">
        <v>180</v>
      </c>
      <c r="C885" s="1" t="s">
        <v>12</v>
      </c>
      <c r="D885" s="1" t="s">
        <v>444</v>
      </c>
      <c r="E885" s="11" t="s">
        <v>144</v>
      </c>
      <c r="F885" s="3" t="s">
        <v>8</v>
      </c>
      <c r="G885" s="48" t="s">
        <v>846</v>
      </c>
      <c r="H885" s="8"/>
      <c r="I885" s="8"/>
      <c r="J885" s="6" t="s">
        <v>111</v>
      </c>
      <c r="K885" s="38">
        <v>6000</v>
      </c>
      <c r="L885" s="4" t="s">
        <v>29</v>
      </c>
      <c r="M885" s="11">
        <f>_xlfn.NUMBERVALUE(LEFT(Table613612[[#This Row],[Fiscal Year]], 4))</f>
        <v>2015</v>
      </c>
      <c r="N885" s="42">
        <f t="shared" si="20"/>
        <v>6370.4050632911385</v>
      </c>
      <c r="O885" s="3">
        <v>883</v>
      </c>
    </row>
    <row r="886" spans="1:15" x14ac:dyDescent="0.25">
      <c r="A886" s="3">
        <v>4</v>
      </c>
      <c r="B886" s="3" t="s">
        <v>180</v>
      </c>
      <c r="C886" s="1" t="s">
        <v>12</v>
      </c>
      <c r="D886" s="1" t="s">
        <v>444</v>
      </c>
      <c r="E886" s="11" t="s">
        <v>144</v>
      </c>
      <c r="F886" s="3" t="s">
        <v>8</v>
      </c>
      <c r="G886" s="66" t="s">
        <v>847</v>
      </c>
      <c r="H886" s="8"/>
      <c r="I886" s="8"/>
      <c r="J886" s="6" t="s">
        <v>111</v>
      </c>
      <c r="K886" s="38">
        <v>12000</v>
      </c>
      <c r="L886" s="4" t="s">
        <v>29</v>
      </c>
      <c r="M886" s="11">
        <f>_xlfn.NUMBERVALUE(LEFT(Table613612[[#This Row],[Fiscal Year]], 4))</f>
        <v>2015</v>
      </c>
      <c r="N886" s="42">
        <f t="shared" si="20"/>
        <v>12740.810126582277</v>
      </c>
      <c r="O886" s="3">
        <v>884</v>
      </c>
    </row>
    <row r="887" spans="1:15" x14ac:dyDescent="0.25">
      <c r="A887" s="3">
        <v>4</v>
      </c>
      <c r="B887" s="3" t="s">
        <v>180</v>
      </c>
      <c r="C887" s="1" t="s">
        <v>12</v>
      </c>
      <c r="D887" s="1" t="s">
        <v>444</v>
      </c>
      <c r="E887" s="11" t="s">
        <v>144</v>
      </c>
      <c r="F887" s="3" t="s">
        <v>8</v>
      </c>
      <c r="G887" s="48" t="s">
        <v>857</v>
      </c>
      <c r="H887" s="8"/>
      <c r="I887" s="8"/>
      <c r="J887" s="6" t="s">
        <v>108</v>
      </c>
      <c r="K887" s="38">
        <v>32000</v>
      </c>
      <c r="L887" s="4" t="s">
        <v>29</v>
      </c>
      <c r="M887" s="11">
        <f>_xlfn.NUMBERVALUE(LEFT(Table613612[[#This Row],[Fiscal Year]], 4))</f>
        <v>2015</v>
      </c>
      <c r="N887" s="42">
        <f t="shared" si="20"/>
        <v>33975.493670886077</v>
      </c>
      <c r="O887" s="3">
        <v>885</v>
      </c>
    </row>
    <row r="888" spans="1:15" x14ac:dyDescent="0.25">
      <c r="A888" s="3">
        <v>4</v>
      </c>
      <c r="B888" s="3" t="s">
        <v>180</v>
      </c>
      <c r="C888" s="1" t="s">
        <v>12</v>
      </c>
      <c r="D888" s="1" t="s">
        <v>444</v>
      </c>
      <c r="E888" s="11" t="s">
        <v>144</v>
      </c>
      <c r="F888" s="3" t="s">
        <v>8</v>
      </c>
      <c r="G888" s="48" t="s">
        <v>933</v>
      </c>
      <c r="H888" s="8"/>
      <c r="I888" s="8"/>
      <c r="J888" s="6" t="s">
        <v>108</v>
      </c>
      <c r="K888" s="38">
        <v>314000</v>
      </c>
      <c r="L888" s="4" t="s">
        <v>29</v>
      </c>
      <c r="M888" s="11">
        <f>_xlfn.NUMBERVALUE(LEFT(Table613612[[#This Row],[Fiscal Year]], 4))</f>
        <v>2015</v>
      </c>
      <c r="N888" s="42">
        <f t="shared" si="20"/>
        <v>333384.5316455696</v>
      </c>
      <c r="O888" s="3">
        <v>886</v>
      </c>
    </row>
    <row r="889" spans="1:15" x14ac:dyDescent="0.25">
      <c r="A889" s="3">
        <v>4</v>
      </c>
      <c r="B889" s="3" t="s">
        <v>180</v>
      </c>
      <c r="C889" s="1" t="s">
        <v>12</v>
      </c>
      <c r="D889" s="1" t="s">
        <v>444</v>
      </c>
      <c r="E889" s="11" t="s">
        <v>144</v>
      </c>
      <c r="F889" s="3" t="s">
        <v>8</v>
      </c>
      <c r="G889" s="66" t="s">
        <v>849</v>
      </c>
      <c r="H889" s="8"/>
      <c r="I889" s="8"/>
      <c r="J889" s="6" t="s">
        <v>106</v>
      </c>
      <c r="K889" s="38">
        <v>9000</v>
      </c>
      <c r="L889" s="4" t="s">
        <v>29</v>
      </c>
      <c r="M889" s="11">
        <f>_xlfn.NUMBERVALUE(LEFT(Table613612[[#This Row],[Fiscal Year]], 4))</f>
        <v>2015</v>
      </c>
      <c r="N889" s="42">
        <f t="shared" si="20"/>
        <v>9555.6075949367078</v>
      </c>
      <c r="O889" s="3">
        <v>887</v>
      </c>
    </row>
    <row r="890" spans="1:15" x14ac:dyDescent="0.25">
      <c r="A890" s="3">
        <v>4</v>
      </c>
      <c r="B890" s="3" t="s">
        <v>180</v>
      </c>
      <c r="C890" s="1" t="s">
        <v>12</v>
      </c>
      <c r="D890" s="1" t="s">
        <v>444</v>
      </c>
      <c r="E890" s="11" t="s">
        <v>144</v>
      </c>
      <c r="F890" s="3" t="s">
        <v>8</v>
      </c>
      <c r="G890" s="66" t="s">
        <v>850</v>
      </c>
      <c r="H890" s="8"/>
      <c r="I890" s="8"/>
      <c r="J890" s="6" t="s">
        <v>455</v>
      </c>
      <c r="K890" s="38">
        <v>15000</v>
      </c>
      <c r="L890" s="4" t="s">
        <v>29</v>
      </c>
      <c r="M890" s="11">
        <f>_xlfn.NUMBERVALUE(LEFT(Table613612[[#This Row],[Fiscal Year]], 4))</f>
        <v>2015</v>
      </c>
      <c r="N890" s="42">
        <f t="shared" si="20"/>
        <v>15926.012658227848</v>
      </c>
      <c r="O890" s="3">
        <v>888</v>
      </c>
    </row>
    <row r="891" spans="1:15" x14ac:dyDescent="0.25">
      <c r="A891" s="3">
        <v>4</v>
      </c>
      <c r="B891" s="3" t="s">
        <v>180</v>
      </c>
      <c r="C891" s="1" t="s">
        <v>12</v>
      </c>
      <c r="D891" s="1" t="s">
        <v>444</v>
      </c>
      <c r="E891" s="11" t="s">
        <v>144</v>
      </c>
      <c r="F891" s="3" t="s">
        <v>8</v>
      </c>
      <c r="G891" s="66" t="s">
        <v>851</v>
      </c>
      <c r="H891" s="8"/>
      <c r="I891" s="8"/>
      <c r="J891" s="6" t="s">
        <v>76</v>
      </c>
      <c r="K891" s="38">
        <v>0</v>
      </c>
      <c r="L891" s="4" t="s">
        <v>29</v>
      </c>
      <c r="M891" s="11">
        <f>_xlfn.NUMBERVALUE(LEFT(Table613612[[#This Row],[Fiscal Year]], 4))</f>
        <v>2015</v>
      </c>
      <c r="N891" s="43">
        <f t="shared" si="20"/>
        <v>0</v>
      </c>
      <c r="O891" s="3">
        <v>889</v>
      </c>
    </row>
    <row r="892" spans="1:15" x14ac:dyDescent="0.25">
      <c r="A892" s="3">
        <v>4</v>
      </c>
      <c r="B892" s="3" t="s">
        <v>180</v>
      </c>
      <c r="C892" s="1" t="s">
        <v>12</v>
      </c>
      <c r="D892" s="1" t="s">
        <v>444</v>
      </c>
      <c r="E892" s="11" t="s">
        <v>144</v>
      </c>
      <c r="F892" s="3" t="s">
        <v>8</v>
      </c>
      <c r="G892" s="66" t="s">
        <v>852</v>
      </c>
      <c r="H892" s="8"/>
      <c r="I892" s="8"/>
      <c r="J892" s="6" t="s">
        <v>76</v>
      </c>
      <c r="K892" s="38">
        <v>0</v>
      </c>
      <c r="L892" s="4" t="s">
        <v>29</v>
      </c>
      <c r="M892" s="11">
        <f>_xlfn.NUMBERVALUE(LEFT(Table613612[[#This Row],[Fiscal Year]], 4))</f>
        <v>2015</v>
      </c>
      <c r="N892" s="43">
        <f t="shared" si="20"/>
        <v>0</v>
      </c>
      <c r="O892" s="3">
        <v>890</v>
      </c>
    </row>
    <row r="893" spans="1:15" x14ac:dyDescent="0.25">
      <c r="A893" s="3">
        <v>4</v>
      </c>
      <c r="B893" s="3" t="s">
        <v>180</v>
      </c>
      <c r="C893" s="1" t="s">
        <v>12</v>
      </c>
      <c r="D893" s="1" t="s">
        <v>444</v>
      </c>
      <c r="E893" s="11" t="s">
        <v>144</v>
      </c>
      <c r="F893" s="3" t="s">
        <v>8</v>
      </c>
      <c r="G893" s="66" t="s">
        <v>853</v>
      </c>
      <c r="H893" s="8"/>
      <c r="I893" s="8"/>
      <c r="J893" s="6" t="s">
        <v>76</v>
      </c>
      <c r="K893" s="38">
        <v>0</v>
      </c>
      <c r="L893" s="4" t="s">
        <v>29</v>
      </c>
      <c r="M893" s="11">
        <f>_xlfn.NUMBERVALUE(LEFT(Table613612[[#This Row],[Fiscal Year]], 4))</f>
        <v>2015</v>
      </c>
      <c r="N893" s="43">
        <f t="shared" si="20"/>
        <v>0</v>
      </c>
      <c r="O893" s="3">
        <v>891</v>
      </c>
    </row>
    <row r="894" spans="1:15" x14ac:dyDescent="0.25">
      <c r="A894" s="3">
        <v>4</v>
      </c>
      <c r="B894" s="3" t="s">
        <v>180</v>
      </c>
      <c r="C894" s="1" t="s">
        <v>12</v>
      </c>
      <c r="D894" s="1" t="s">
        <v>444</v>
      </c>
      <c r="E894" s="11" t="s">
        <v>144</v>
      </c>
      <c r="F894" s="3" t="s">
        <v>8</v>
      </c>
      <c r="G894" s="63" t="s">
        <v>854</v>
      </c>
      <c r="H894" s="8"/>
      <c r="I894" s="8"/>
      <c r="J894" s="6" t="s">
        <v>47</v>
      </c>
      <c r="K894" s="38">
        <v>62500</v>
      </c>
      <c r="L894" s="4" t="s">
        <v>29</v>
      </c>
      <c r="M894" s="11">
        <f>_xlfn.NUMBERVALUE(LEFT(Table613612[[#This Row],[Fiscal Year]], 4))</f>
        <v>2015</v>
      </c>
      <c r="N894" s="42">
        <f>K894*(1+VLOOKUP(M894,$AF$8:$AH$31,3,0))</f>
        <v>66358.386075949369</v>
      </c>
      <c r="O894" s="3">
        <v>892</v>
      </c>
    </row>
    <row r="895" spans="1:15" x14ac:dyDescent="0.25">
      <c r="A895" s="3">
        <v>4</v>
      </c>
      <c r="B895" s="3" t="s">
        <v>180</v>
      </c>
      <c r="C895" s="1" t="s">
        <v>12</v>
      </c>
      <c r="D895" s="1" t="s">
        <v>444</v>
      </c>
      <c r="E895" s="11" t="s">
        <v>144</v>
      </c>
      <c r="F895" s="3" t="s">
        <v>8</v>
      </c>
      <c r="G895" s="63" t="s">
        <v>855</v>
      </c>
      <c r="H895" s="8"/>
      <c r="I895" s="8"/>
      <c r="J895" s="6" t="s">
        <v>455</v>
      </c>
      <c r="K895" s="38">
        <v>0</v>
      </c>
      <c r="L895" s="4" t="s">
        <v>29</v>
      </c>
      <c r="M895" s="11">
        <f>_xlfn.NUMBERVALUE(LEFT(Table613612[[#This Row],[Fiscal Year]], 4))</f>
        <v>2015</v>
      </c>
      <c r="N895" s="43">
        <f t="shared" si="20"/>
        <v>0</v>
      </c>
      <c r="O895" s="3">
        <v>893</v>
      </c>
    </row>
    <row r="896" spans="1:15" x14ac:dyDescent="0.25">
      <c r="C896" s="1"/>
      <c r="D896" s="1"/>
      <c r="E896" s="11"/>
      <c r="G896" s="66"/>
      <c r="H896" s="8"/>
      <c r="I896" s="8"/>
      <c r="J896" s="6"/>
      <c r="L896" s="4"/>
      <c r="O896" s="3">
        <v>894</v>
      </c>
    </row>
    <row r="897" spans="1:15" x14ac:dyDescent="0.25">
      <c r="A897" s="3">
        <v>4</v>
      </c>
      <c r="B897" s="3" t="s">
        <v>181</v>
      </c>
      <c r="C897" s="1" t="s">
        <v>12</v>
      </c>
      <c r="D897" s="1" t="s">
        <v>444</v>
      </c>
      <c r="E897" s="11" t="s">
        <v>144</v>
      </c>
      <c r="F897" s="3" t="s">
        <v>8</v>
      </c>
      <c r="G897" s="66" t="s">
        <v>908</v>
      </c>
      <c r="H897" s="8"/>
      <c r="I897" s="8"/>
      <c r="J897" s="6" t="s">
        <v>110</v>
      </c>
      <c r="K897" s="38">
        <v>125500</v>
      </c>
      <c r="L897" s="4" t="s">
        <v>29</v>
      </c>
      <c r="M897" s="11">
        <f>_xlfn.NUMBERVALUE(LEFT(Table613612[[#This Row],[Fiscal Year]], 4))</f>
        <v>2015</v>
      </c>
      <c r="N897" s="42">
        <f t="shared" si="20"/>
        <v>133247.63924050631</v>
      </c>
      <c r="O897" s="3">
        <v>895</v>
      </c>
    </row>
    <row r="898" spans="1:15" x14ac:dyDescent="0.25">
      <c r="A898" s="3">
        <v>4</v>
      </c>
      <c r="B898" s="3" t="s">
        <v>181</v>
      </c>
      <c r="C898" s="1" t="s">
        <v>12</v>
      </c>
      <c r="D898" s="1" t="s">
        <v>444</v>
      </c>
      <c r="E898" s="11" t="s">
        <v>144</v>
      </c>
      <c r="F898" s="3" t="s">
        <v>8</v>
      </c>
      <c r="G898" s="66" t="s">
        <v>909</v>
      </c>
      <c r="H898" s="8"/>
      <c r="I898" s="8"/>
      <c r="J898" s="6" t="s">
        <v>110</v>
      </c>
      <c r="K898" s="38">
        <v>6500</v>
      </c>
      <c r="L898" s="4" t="s">
        <v>29</v>
      </c>
      <c r="M898" s="11">
        <f>_xlfn.NUMBERVALUE(LEFT(Table613612[[#This Row],[Fiscal Year]], 4))</f>
        <v>2015</v>
      </c>
      <c r="N898" s="42">
        <f t="shared" si="20"/>
        <v>6901.2721518987337</v>
      </c>
      <c r="O898" s="3">
        <v>896</v>
      </c>
    </row>
    <row r="899" spans="1:15" x14ac:dyDescent="0.25">
      <c r="A899" s="3">
        <v>4</v>
      </c>
      <c r="B899" s="3" t="s">
        <v>181</v>
      </c>
      <c r="C899" s="1" t="s">
        <v>12</v>
      </c>
      <c r="D899" s="1" t="s">
        <v>444</v>
      </c>
      <c r="E899" s="11" t="s">
        <v>144</v>
      </c>
      <c r="F899" s="3" t="s">
        <v>8</v>
      </c>
      <c r="G899" s="66" t="s">
        <v>844</v>
      </c>
      <c r="H899" s="8"/>
      <c r="I899" s="8"/>
      <c r="J899" s="6" t="s">
        <v>453</v>
      </c>
      <c r="K899" s="38">
        <v>3000</v>
      </c>
      <c r="L899" s="4" t="s">
        <v>29</v>
      </c>
      <c r="M899" s="11">
        <f>_xlfn.NUMBERVALUE(LEFT(Table613612[[#This Row],[Fiscal Year]], 4))</f>
        <v>2015</v>
      </c>
      <c r="N899" s="42">
        <f t="shared" si="20"/>
        <v>3185.2025316455693</v>
      </c>
      <c r="O899" s="3">
        <v>897</v>
      </c>
    </row>
    <row r="900" spans="1:15" x14ac:dyDescent="0.25">
      <c r="A900" s="3">
        <v>4</v>
      </c>
      <c r="B900" s="3" t="s">
        <v>181</v>
      </c>
      <c r="C900" s="1" t="s">
        <v>12</v>
      </c>
      <c r="D900" s="1" t="s">
        <v>444</v>
      </c>
      <c r="E900" s="11" t="s">
        <v>144</v>
      </c>
      <c r="F900" s="3" t="s">
        <v>8</v>
      </c>
      <c r="G900" s="66" t="s">
        <v>845</v>
      </c>
      <c r="H900" s="8"/>
      <c r="I900" s="8"/>
      <c r="J900" s="6" t="s">
        <v>109</v>
      </c>
      <c r="K900" s="38">
        <v>0</v>
      </c>
      <c r="L900" s="4" t="s">
        <v>29</v>
      </c>
      <c r="M900" s="11">
        <f>_xlfn.NUMBERVALUE(LEFT(Table613612[[#This Row],[Fiscal Year]], 4))</f>
        <v>2015</v>
      </c>
      <c r="N900" s="43">
        <f t="shared" si="20"/>
        <v>0</v>
      </c>
      <c r="O900" s="3">
        <v>898</v>
      </c>
    </row>
    <row r="901" spans="1:15" x14ac:dyDescent="0.25">
      <c r="A901" s="3">
        <v>4</v>
      </c>
      <c r="B901" s="3" t="s">
        <v>181</v>
      </c>
      <c r="C901" s="1" t="s">
        <v>12</v>
      </c>
      <c r="D901" s="1" t="s">
        <v>444</v>
      </c>
      <c r="E901" s="11" t="s">
        <v>144</v>
      </c>
      <c r="F901" s="3" t="s">
        <v>8</v>
      </c>
      <c r="G901" s="48" t="s">
        <v>846</v>
      </c>
      <c r="H901" s="8"/>
      <c r="I901" s="8"/>
      <c r="J901" s="6" t="s">
        <v>111</v>
      </c>
      <c r="K901" s="38">
        <v>10000</v>
      </c>
      <c r="L901" s="4" t="s">
        <v>29</v>
      </c>
      <c r="M901" s="11">
        <f>_xlfn.NUMBERVALUE(LEFT(Table613612[[#This Row],[Fiscal Year]], 4))</f>
        <v>2015</v>
      </c>
      <c r="N901" s="42">
        <f t="shared" si="20"/>
        <v>10617.341772151898</v>
      </c>
      <c r="O901" s="3">
        <v>899</v>
      </c>
    </row>
    <row r="902" spans="1:15" x14ac:dyDescent="0.25">
      <c r="A902" s="3">
        <v>4</v>
      </c>
      <c r="B902" s="3" t="s">
        <v>181</v>
      </c>
      <c r="C902" s="1" t="s">
        <v>12</v>
      </c>
      <c r="D902" s="1" t="s">
        <v>444</v>
      </c>
      <c r="E902" s="11" t="s">
        <v>144</v>
      </c>
      <c r="F902" s="3" t="s">
        <v>8</v>
      </c>
      <c r="G902" s="66" t="s">
        <v>847</v>
      </c>
      <c r="H902" s="8"/>
      <c r="I902" s="8"/>
      <c r="J902" s="6" t="s">
        <v>111</v>
      </c>
      <c r="K902" s="58">
        <v>45000</v>
      </c>
      <c r="L902" s="4" t="s">
        <v>29</v>
      </c>
      <c r="M902" s="11">
        <f>_xlfn.NUMBERVALUE(LEFT(Table613612[[#This Row],[Fiscal Year]], 4))</f>
        <v>2015</v>
      </c>
      <c r="N902" s="42">
        <f t="shared" si="20"/>
        <v>47778.037974683539</v>
      </c>
      <c r="O902" s="3">
        <v>900</v>
      </c>
    </row>
    <row r="903" spans="1:15" x14ac:dyDescent="0.25">
      <c r="A903" s="3">
        <v>4</v>
      </c>
      <c r="B903" s="3" t="s">
        <v>181</v>
      </c>
      <c r="C903" s="1" t="s">
        <v>12</v>
      </c>
      <c r="D903" s="1" t="s">
        <v>444</v>
      </c>
      <c r="E903" s="11" t="s">
        <v>144</v>
      </c>
      <c r="F903" s="3" t="s">
        <v>8</v>
      </c>
      <c r="G903" s="48" t="s">
        <v>857</v>
      </c>
      <c r="H903" s="8"/>
      <c r="I903" s="8"/>
      <c r="J903" s="6" t="s">
        <v>108</v>
      </c>
      <c r="K903" s="38">
        <v>82000</v>
      </c>
      <c r="L903" s="4" t="s">
        <v>29</v>
      </c>
      <c r="M903" s="11">
        <f>_xlfn.NUMBERVALUE(LEFT(Table613612[[#This Row],[Fiscal Year]], 4))</f>
        <v>2015</v>
      </c>
      <c r="N903" s="42">
        <f t="shared" si="20"/>
        <v>87062.202531645569</v>
      </c>
      <c r="O903" s="3">
        <v>901</v>
      </c>
    </row>
    <row r="904" spans="1:15" x14ac:dyDescent="0.25">
      <c r="A904" s="3">
        <v>4</v>
      </c>
      <c r="B904" s="3" t="s">
        <v>181</v>
      </c>
      <c r="C904" s="1" t="s">
        <v>12</v>
      </c>
      <c r="D904" s="1" t="s">
        <v>444</v>
      </c>
      <c r="E904" s="11" t="s">
        <v>144</v>
      </c>
      <c r="F904" s="3" t="s">
        <v>8</v>
      </c>
      <c r="G904" s="56" t="s">
        <v>934</v>
      </c>
      <c r="H904" s="8"/>
      <c r="I904" s="8"/>
      <c r="J904" s="6" t="s">
        <v>108</v>
      </c>
      <c r="K904" s="38">
        <v>4143</v>
      </c>
      <c r="L904" s="4" t="s">
        <v>29</v>
      </c>
      <c r="M904" s="11">
        <f>_xlfn.NUMBERVALUE(LEFT(Table613612[[#This Row],[Fiscal Year]], 4))</f>
        <v>2015</v>
      </c>
      <c r="N904" s="42">
        <f t="shared" si="20"/>
        <v>4398.764696202531</v>
      </c>
      <c r="O904" s="3">
        <v>902</v>
      </c>
    </row>
    <row r="905" spans="1:15" x14ac:dyDescent="0.25">
      <c r="A905" s="3">
        <v>4</v>
      </c>
      <c r="B905" s="3" t="s">
        <v>181</v>
      </c>
      <c r="C905" s="1" t="s">
        <v>12</v>
      </c>
      <c r="D905" s="1" t="s">
        <v>444</v>
      </c>
      <c r="E905" s="11" t="s">
        <v>144</v>
      </c>
      <c r="F905" s="3" t="s">
        <v>8</v>
      </c>
      <c r="G905" s="66" t="s">
        <v>849</v>
      </c>
      <c r="H905" s="8"/>
      <c r="I905" s="8"/>
      <c r="J905" s="6" t="s">
        <v>106</v>
      </c>
      <c r="K905" s="38">
        <v>2000</v>
      </c>
      <c r="L905" s="4" t="s">
        <v>29</v>
      </c>
      <c r="M905" s="11">
        <f>_xlfn.NUMBERVALUE(LEFT(Table613612[[#This Row],[Fiscal Year]], 4))</f>
        <v>2015</v>
      </c>
      <c r="N905" s="42">
        <f t="shared" si="20"/>
        <v>2123.4683544303798</v>
      </c>
      <c r="O905" s="3">
        <v>903</v>
      </c>
    </row>
    <row r="906" spans="1:15" x14ac:dyDescent="0.25">
      <c r="A906" s="3">
        <v>4</v>
      </c>
      <c r="B906" s="3" t="s">
        <v>181</v>
      </c>
      <c r="C906" s="1" t="s">
        <v>12</v>
      </c>
      <c r="D906" s="1" t="s">
        <v>444</v>
      </c>
      <c r="E906" s="11" t="s">
        <v>144</v>
      </c>
      <c r="F906" s="3" t="s">
        <v>8</v>
      </c>
      <c r="G906" s="66" t="s">
        <v>850</v>
      </c>
      <c r="H906" s="8"/>
      <c r="I906" s="8"/>
      <c r="J906" s="6" t="s">
        <v>455</v>
      </c>
      <c r="K906" s="38">
        <v>2000</v>
      </c>
      <c r="L906" s="4" t="s">
        <v>29</v>
      </c>
      <c r="M906" s="11">
        <f>_xlfn.NUMBERVALUE(LEFT(Table613612[[#This Row],[Fiscal Year]], 4))</f>
        <v>2015</v>
      </c>
      <c r="N906" s="42">
        <f t="shared" si="20"/>
        <v>2123.4683544303798</v>
      </c>
      <c r="O906" s="3">
        <v>904</v>
      </c>
    </row>
    <row r="907" spans="1:15" x14ac:dyDescent="0.25">
      <c r="A907" s="3">
        <v>4</v>
      </c>
      <c r="B907" s="3" t="s">
        <v>181</v>
      </c>
      <c r="C907" s="1" t="s">
        <v>12</v>
      </c>
      <c r="D907" s="1" t="s">
        <v>444</v>
      </c>
      <c r="E907" s="11" t="s">
        <v>144</v>
      </c>
      <c r="F907" s="3" t="s">
        <v>8</v>
      </c>
      <c r="G907" s="66" t="s">
        <v>851</v>
      </c>
      <c r="H907" s="8"/>
      <c r="I907" s="8"/>
      <c r="J907" s="6" t="s">
        <v>76</v>
      </c>
      <c r="K907" s="38">
        <v>0</v>
      </c>
      <c r="L907" s="4" t="s">
        <v>29</v>
      </c>
      <c r="M907" s="11">
        <f>_xlfn.NUMBERVALUE(LEFT(Table613612[[#This Row],[Fiscal Year]], 4))</f>
        <v>2015</v>
      </c>
      <c r="N907" s="43">
        <f t="shared" si="20"/>
        <v>0</v>
      </c>
      <c r="O907" s="3">
        <v>905</v>
      </c>
    </row>
    <row r="908" spans="1:15" x14ac:dyDescent="0.25">
      <c r="A908" s="3">
        <v>4</v>
      </c>
      <c r="B908" s="3" t="s">
        <v>181</v>
      </c>
      <c r="C908" s="1" t="s">
        <v>12</v>
      </c>
      <c r="D908" s="1" t="s">
        <v>444</v>
      </c>
      <c r="E908" s="11" t="s">
        <v>144</v>
      </c>
      <c r="F908" s="3" t="s">
        <v>8</v>
      </c>
      <c r="G908" s="66" t="s">
        <v>852</v>
      </c>
      <c r="H908" s="8"/>
      <c r="I908" s="8"/>
      <c r="J908" s="6" t="s">
        <v>76</v>
      </c>
      <c r="K908" s="38">
        <v>0</v>
      </c>
      <c r="L908" s="4" t="s">
        <v>29</v>
      </c>
      <c r="M908" s="11">
        <f>_xlfn.NUMBERVALUE(LEFT(Table613612[[#This Row],[Fiscal Year]], 4))</f>
        <v>2015</v>
      </c>
      <c r="N908" s="43">
        <f t="shared" si="20"/>
        <v>0</v>
      </c>
      <c r="O908" s="3">
        <v>906</v>
      </c>
    </row>
    <row r="909" spans="1:15" x14ac:dyDescent="0.25">
      <c r="A909" s="3">
        <v>4</v>
      </c>
      <c r="B909" s="3" t="s">
        <v>181</v>
      </c>
      <c r="C909" s="1" t="s">
        <v>12</v>
      </c>
      <c r="D909" s="1" t="s">
        <v>444</v>
      </c>
      <c r="E909" s="11" t="s">
        <v>144</v>
      </c>
      <c r="F909" s="3" t="s">
        <v>8</v>
      </c>
      <c r="G909" s="66" t="s">
        <v>853</v>
      </c>
      <c r="H909" s="8"/>
      <c r="I909" s="8"/>
      <c r="J909" s="6" t="s">
        <v>76</v>
      </c>
      <c r="K909" s="38">
        <v>0</v>
      </c>
      <c r="L909" s="4" t="s">
        <v>29</v>
      </c>
      <c r="M909" s="11">
        <f>_xlfn.NUMBERVALUE(LEFT(Table613612[[#This Row],[Fiscal Year]], 4))</f>
        <v>2015</v>
      </c>
      <c r="N909" s="43">
        <f t="shared" si="20"/>
        <v>0</v>
      </c>
      <c r="O909" s="3">
        <v>907</v>
      </c>
    </row>
    <row r="910" spans="1:15" x14ac:dyDescent="0.25">
      <c r="A910" s="3">
        <v>4</v>
      </c>
      <c r="B910" s="3" t="s">
        <v>181</v>
      </c>
      <c r="C910" s="1" t="s">
        <v>12</v>
      </c>
      <c r="D910" s="1" t="s">
        <v>444</v>
      </c>
      <c r="E910" s="11" t="s">
        <v>144</v>
      </c>
      <c r="F910" s="3" t="s">
        <v>8</v>
      </c>
      <c r="G910" s="63" t="s">
        <v>854</v>
      </c>
      <c r="H910" s="8"/>
      <c r="I910" s="8"/>
      <c r="J910" s="6" t="s">
        <v>47</v>
      </c>
      <c r="K910" s="38">
        <v>40000</v>
      </c>
      <c r="L910" s="4" t="s">
        <v>29</v>
      </c>
      <c r="M910" s="11">
        <f>_xlfn.NUMBERVALUE(LEFT(Table613612[[#This Row],[Fiscal Year]], 4))</f>
        <v>2015</v>
      </c>
      <c r="N910" s="42">
        <f t="shared" si="20"/>
        <v>42469.367088607592</v>
      </c>
      <c r="O910" s="3">
        <v>908</v>
      </c>
    </row>
    <row r="911" spans="1:15" x14ac:dyDescent="0.25">
      <c r="A911" s="3">
        <v>4</v>
      </c>
      <c r="B911" s="3" t="s">
        <v>181</v>
      </c>
      <c r="C911" s="1" t="s">
        <v>12</v>
      </c>
      <c r="D911" s="1" t="s">
        <v>444</v>
      </c>
      <c r="E911" s="11" t="s">
        <v>144</v>
      </c>
      <c r="F911" s="3" t="s">
        <v>8</v>
      </c>
      <c r="G911" s="63" t="s">
        <v>855</v>
      </c>
      <c r="H911" s="8"/>
      <c r="I911" s="8"/>
      <c r="J911" s="6" t="s">
        <v>455</v>
      </c>
      <c r="K911" s="38">
        <v>12857</v>
      </c>
      <c r="L911" s="4" t="s">
        <v>29</v>
      </c>
      <c r="M911" s="11">
        <f>_xlfn.NUMBERVALUE(LEFT(Table613612[[#This Row],[Fiscal Year]], 4))</f>
        <v>2015</v>
      </c>
      <c r="N911" s="42">
        <f t="shared" si="20"/>
        <v>13650.716316455695</v>
      </c>
      <c r="O911" s="3">
        <v>909</v>
      </c>
    </row>
    <row r="912" spans="1:15" x14ac:dyDescent="0.25">
      <c r="C912" s="1"/>
      <c r="D912" s="1"/>
      <c r="E912" s="11"/>
      <c r="G912" s="66"/>
      <c r="H912" s="8"/>
      <c r="I912" s="8"/>
      <c r="J912" s="6"/>
      <c r="L912" s="4"/>
      <c r="O912" s="3">
        <v>910</v>
      </c>
    </row>
    <row r="913" spans="1:15" x14ac:dyDescent="0.25">
      <c r="A913" s="3">
        <v>4</v>
      </c>
      <c r="B913" s="3" t="s">
        <v>182</v>
      </c>
      <c r="C913" s="1" t="s">
        <v>12</v>
      </c>
      <c r="D913" s="1" t="s">
        <v>444</v>
      </c>
      <c r="E913" s="11" t="s">
        <v>144</v>
      </c>
      <c r="F913" s="3" t="s">
        <v>8</v>
      </c>
      <c r="G913" s="66" t="s">
        <v>908</v>
      </c>
      <c r="H913" s="8"/>
      <c r="I913" s="8"/>
      <c r="J913" s="6" t="s">
        <v>110</v>
      </c>
      <c r="K913" s="38">
        <v>90000</v>
      </c>
      <c r="L913" s="4" t="s">
        <v>29</v>
      </c>
      <c r="M913" s="11">
        <f>_xlfn.NUMBERVALUE(LEFT(Table613612[[#This Row],[Fiscal Year]], 4))</f>
        <v>2015</v>
      </c>
      <c r="N913" s="42">
        <f t="shared" si="20"/>
        <v>95556.075949367078</v>
      </c>
      <c r="O913" s="3">
        <v>911</v>
      </c>
    </row>
    <row r="914" spans="1:15" x14ac:dyDescent="0.25">
      <c r="A914" s="3">
        <v>4</v>
      </c>
      <c r="B914" s="3" t="s">
        <v>182</v>
      </c>
      <c r="C914" s="1" t="s">
        <v>12</v>
      </c>
      <c r="D914" s="1" t="s">
        <v>444</v>
      </c>
      <c r="E914" s="11" t="s">
        <v>144</v>
      </c>
      <c r="F914" s="3" t="s">
        <v>8</v>
      </c>
      <c r="G914" s="66" t="s">
        <v>909</v>
      </c>
      <c r="H914" s="8"/>
      <c r="I914" s="8"/>
      <c r="J914" s="6" t="s">
        <v>110</v>
      </c>
      <c r="K914" s="38">
        <v>10000</v>
      </c>
      <c r="L914" s="4" t="s">
        <v>29</v>
      </c>
      <c r="M914" s="11">
        <f>_xlfn.NUMBERVALUE(LEFT(Table613612[[#This Row],[Fiscal Year]], 4))</f>
        <v>2015</v>
      </c>
      <c r="N914" s="42">
        <f t="shared" si="20"/>
        <v>10617.341772151898</v>
      </c>
      <c r="O914" s="3">
        <v>912</v>
      </c>
    </row>
    <row r="915" spans="1:15" x14ac:dyDescent="0.25">
      <c r="A915" s="3">
        <v>4</v>
      </c>
      <c r="B915" s="3" t="s">
        <v>182</v>
      </c>
      <c r="C915" s="1" t="s">
        <v>12</v>
      </c>
      <c r="D915" s="1" t="s">
        <v>444</v>
      </c>
      <c r="E915" s="11" t="s">
        <v>144</v>
      </c>
      <c r="F915" s="3" t="s">
        <v>8</v>
      </c>
      <c r="G915" s="66" t="s">
        <v>844</v>
      </c>
      <c r="H915" s="8"/>
      <c r="I915" s="8"/>
      <c r="J915" s="6" t="s">
        <v>453</v>
      </c>
      <c r="K915" s="38">
        <v>10000</v>
      </c>
      <c r="L915" s="4" t="s">
        <v>29</v>
      </c>
      <c r="M915" s="11">
        <f>_xlfn.NUMBERVALUE(LEFT(Table613612[[#This Row],[Fiscal Year]], 4))</f>
        <v>2015</v>
      </c>
      <c r="N915" s="42">
        <f t="shared" si="20"/>
        <v>10617.341772151898</v>
      </c>
      <c r="O915" s="3">
        <v>913</v>
      </c>
    </row>
    <row r="916" spans="1:15" x14ac:dyDescent="0.25">
      <c r="A916" s="3">
        <v>4</v>
      </c>
      <c r="B916" s="3" t="s">
        <v>182</v>
      </c>
      <c r="C916" s="1" t="s">
        <v>12</v>
      </c>
      <c r="D916" s="1" t="s">
        <v>444</v>
      </c>
      <c r="E916" s="11" t="s">
        <v>144</v>
      </c>
      <c r="F916" s="3" t="s">
        <v>8</v>
      </c>
      <c r="G916" s="66" t="s">
        <v>845</v>
      </c>
      <c r="H916" s="8"/>
      <c r="I916" s="8"/>
      <c r="J916" s="6" t="s">
        <v>109</v>
      </c>
      <c r="K916" s="38">
        <v>15000</v>
      </c>
      <c r="L916" s="4" t="s">
        <v>29</v>
      </c>
      <c r="M916" s="11">
        <f>_xlfn.NUMBERVALUE(LEFT(Table613612[[#This Row],[Fiscal Year]], 4))</f>
        <v>2015</v>
      </c>
      <c r="N916" s="42">
        <f t="shared" si="20"/>
        <v>15926.012658227848</v>
      </c>
      <c r="O916" s="3">
        <v>914</v>
      </c>
    </row>
    <row r="917" spans="1:15" x14ac:dyDescent="0.25">
      <c r="A917" s="3">
        <v>4</v>
      </c>
      <c r="B917" s="3" t="s">
        <v>182</v>
      </c>
      <c r="C917" s="1" t="s">
        <v>12</v>
      </c>
      <c r="D917" s="1" t="s">
        <v>444</v>
      </c>
      <c r="E917" s="11" t="s">
        <v>144</v>
      </c>
      <c r="F917" s="3" t="s">
        <v>8</v>
      </c>
      <c r="G917" s="48" t="s">
        <v>846</v>
      </c>
      <c r="H917" s="8"/>
      <c r="I917" s="8"/>
      <c r="J917" s="6" t="s">
        <v>111</v>
      </c>
      <c r="K917" s="38">
        <v>6500</v>
      </c>
      <c r="L917" s="4" t="s">
        <v>29</v>
      </c>
      <c r="M917" s="11">
        <f>_xlfn.NUMBERVALUE(LEFT(Table613612[[#This Row],[Fiscal Year]], 4))</f>
        <v>2015</v>
      </c>
      <c r="N917" s="42">
        <f t="shared" si="20"/>
        <v>6901.2721518987337</v>
      </c>
      <c r="O917" s="3">
        <v>915</v>
      </c>
    </row>
    <row r="918" spans="1:15" x14ac:dyDescent="0.25">
      <c r="A918" s="3">
        <v>4</v>
      </c>
      <c r="B918" s="3" t="s">
        <v>182</v>
      </c>
      <c r="C918" s="1" t="s">
        <v>12</v>
      </c>
      <c r="D918" s="1" t="s">
        <v>444</v>
      </c>
      <c r="E918" s="11" t="s">
        <v>144</v>
      </c>
      <c r="F918" s="3" t="s">
        <v>8</v>
      </c>
      <c r="G918" s="66" t="s">
        <v>847</v>
      </c>
      <c r="H918" s="8"/>
      <c r="I918" s="8"/>
      <c r="J918" s="6" t="s">
        <v>111</v>
      </c>
      <c r="K918" s="38">
        <v>7600</v>
      </c>
      <c r="L918" s="4" t="s">
        <v>29</v>
      </c>
      <c r="M918" s="11">
        <f>_xlfn.NUMBERVALUE(LEFT(Table613612[[#This Row],[Fiscal Year]], 4))</f>
        <v>2015</v>
      </c>
      <c r="N918" s="42">
        <f t="shared" si="20"/>
        <v>8069.1797468354425</v>
      </c>
      <c r="O918" s="3">
        <v>916</v>
      </c>
    </row>
    <row r="919" spans="1:15" x14ac:dyDescent="0.25">
      <c r="A919" s="3">
        <v>4</v>
      </c>
      <c r="B919" s="3" t="s">
        <v>182</v>
      </c>
      <c r="C919" s="1" t="s">
        <v>12</v>
      </c>
      <c r="D919" s="1" t="s">
        <v>444</v>
      </c>
      <c r="E919" s="11" t="s">
        <v>144</v>
      </c>
      <c r="F919" s="3" t="s">
        <v>8</v>
      </c>
      <c r="G919" s="48" t="s">
        <v>857</v>
      </c>
      <c r="H919" s="8"/>
      <c r="I919" s="8"/>
      <c r="J919" s="6" t="s">
        <v>108</v>
      </c>
      <c r="K919" s="38">
        <v>506200</v>
      </c>
      <c r="L919" s="4" t="s">
        <v>29</v>
      </c>
      <c r="M919" s="11">
        <f>_xlfn.NUMBERVALUE(LEFT(Table613612[[#This Row],[Fiscal Year]], 4))</f>
        <v>2015</v>
      </c>
      <c r="N919" s="42">
        <f t="shared" si="20"/>
        <v>537449.84050632908</v>
      </c>
      <c r="O919" s="3">
        <v>917</v>
      </c>
    </row>
    <row r="920" spans="1:15" x14ac:dyDescent="0.25">
      <c r="A920" s="3">
        <v>4</v>
      </c>
      <c r="B920" s="3" t="s">
        <v>182</v>
      </c>
      <c r="C920" s="1" t="s">
        <v>12</v>
      </c>
      <c r="D920" s="1" t="s">
        <v>444</v>
      </c>
      <c r="E920" s="11" t="s">
        <v>144</v>
      </c>
      <c r="F920" s="3" t="s">
        <v>8</v>
      </c>
      <c r="G920" s="66" t="s">
        <v>849</v>
      </c>
      <c r="H920" s="8"/>
      <c r="I920" s="8"/>
      <c r="J920" s="6" t="s">
        <v>106</v>
      </c>
      <c r="K920" s="38">
        <v>6600</v>
      </c>
      <c r="L920" s="4" t="s">
        <v>29</v>
      </c>
      <c r="M920" s="11">
        <f>_xlfn.NUMBERVALUE(LEFT(Table613612[[#This Row],[Fiscal Year]], 4))</f>
        <v>2015</v>
      </c>
      <c r="N920" s="42">
        <f t="shared" si="20"/>
        <v>7007.4455696202531</v>
      </c>
      <c r="O920" s="3">
        <v>918</v>
      </c>
    </row>
    <row r="921" spans="1:15" x14ac:dyDescent="0.25">
      <c r="A921" s="3">
        <v>4</v>
      </c>
      <c r="B921" s="3" t="s">
        <v>182</v>
      </c>
      <c r="C921" s="1" t="s">
        <v>12</v>
      </c>
      <c r="D921" s="1" t="s">
        <v>444</v>
      </c>
      <c r="E921" s="11" t="s">
        <v>144</v>
      </c>
      <c r="F921" s="3" t="s">
        <v>8</v>
      </c>
      <c r="G921" s="66" t="s">
        <v>850</v>
      </c>
      <c r="H921" s="8"/>
      <c r="I921" s="8"/>
      <c r="J921" s="6" t="s">
        <v>455</v>
      </c>
      <c r="K921" s="38">
        <v>10000</v>
      </c>
      <c r="L921" s="4" t="s">
        <v>29</v>
      </c>
      <c r="M921" s="11">
        <f>_xlfn.NUMBERVALUE(LEFT(Table613612[[#This Row],[Fiscal Year]], 4))</f>
        <v>2015</v>
      </c>
      <c r="N921" s="42">
        <f t="shared" si="20"/>
        <v>10617.341772151898</v>
      </c>
      <c r="O921" s="3">
        <v>919</v>
      </c>
    </row>
    <row r="922" spans="1:15" x14ac:dyDescent="0.25">
      <c r="A922" s="3">
        <v>4</v>
      </c>
      <c r="B922" s="3" t="s">
        <v>182</v>
      </c>
      <c r="C922" s="1" t="s">
        <v>12</v>
      </c>
      <c r="D922" s="1" t="s">
        <v>444</v>
      </c>
      <c r="E922" s="11" t="s">
        <v>144</v>
      </c>
      <c r="F922" s="3" t="s">
        <v>8</v>
      </c>
      <c r="G922" s="66" t="s">
        <v>851</v>
      </c>
      <c r="H922" s="8"/>
      <c r="I922" s="8"/>
      <c r="J922" s="6" t="s">
        <v>76</v>
      </c>
      <c r="K922" s="38">
        <v>36000</v>
      </c>
      <c r="L922" s="4" t="s">
        <v>29</v>
      </c>
      <c r="M922" s="11">
        <f>_xlfn.NUMBERVALUE(LEFT(Table613612[[#This Row],[Fiscal Year]], 4))</f>
        <v>2015</v>
      </c>
      <c r="N922" s="42">
        <f t="shared" si="20"/>
        <v>38222.430379746831</v>
      </c>
      <c r="O922" s="3">
        <v>920</v>
      </c>
    </row>
    <row r="923" spans="1:15" x14ac:dyDescent="0.25">
      <c r="A923" s="3">
        <v>4</v>
      </c>
      <c r="B923" s="3" t="s">
        <v>182</v>
      </c>
      <c r="C923" s="1" t="s">
        <v>12</v>
      </c>
      <c r="D923" s="1" t="s">
        <v>444</v>
      </c>
      <c r="E923" s="11" t="s">
        <v>144</v>
      </c>
      <c r="F923" s="3" t="s">
        <v>8</v>
      </c>
      <c r="G923" s="66" t="s">
        <v>852</v>
      </c>
      <c r="H923" s="8"/>
      <c r="I923" s="8"/>
      <c r="J923" s="6" t="s">
        <v>76</v>
      </c>
      <c r="K923" s="38">
        <v>0</v>
      </c>
      <c r="L923" s="4" t="s">
        <v>29</v>
      </c>
      <c r="M923" s="11">
        <f>_xlfn.NUMBERVALUE(LEFT(Table613612[[#This Row],[Fiscal Year]], 4))</f>
        <v>2015</v>
      </c>
      <c r="N923" s="43">
        <f t="shared" si="20"/>
        <v>0</v>
      </c>
      <c r="O923" s="3">
        <v>921</v>
      </c>
    </row>
    <row r="924" spans="1:15" x14ac:dyDescent="0.25">
      <c r="A924" s="3">
        <v>4</v>
      </c>
      <c r="B924" s="3" t="s">
        <v>182</v>
      </c>
      <c r="C924" s="1" t="s">
        <v>12</v>
      </c>
      <c r="D924" s="1" t="s">
        <v>444</v>
      </c>
      <c r="E924" s="11" t="s">
        <v>144</v>
      </c>
      <c r="F924" s="3" t="s">
        <v>8</v>
      </c>
      <c r="G924" s="66" t="s">
        <v>853</v>
      </c>
      <c r="H924" s="8"/>
      <c r="I924" s="8"/>
      <c r="J924" s="6" t="s">
        <v>76</v>
      </c>
      <c r="K924" s="38">
        <v>0</v>
      </c>
      <c r="L924" s="4" t="s">
        <v>29</v>
      </c>
      <c r="M924" s="11">
        <f>_xlfn.NUMBERVALUE(LEFT(Table613612[[#This Row],[Fiscal Year]], 4))</f>
        <v>2015</v>
      </c>
      <c r="N924" s="43">
        <f t="shared" si="20"/>
        <v>0</v>
      </c>
      <c r="O924" s="3">
        <v>922</v>
      </c>
    </row>
    <row r="925" spans="1:15" x14ac:dyDescent="0.25">
      <c r="A925" s="3">
        <v>4</v>
      </c>
      <c r="B925" s="3" t="s">
        <v>182</v>
      </c>
      <c r="C925" s="1" t="s">
        <v>12</v>
      </c>
      <c r="D925" s="1" t="s">
        <v>444</v>
      </c>
      <c r="E925" s="11" t="s">
        <v>144</v>
      </c>
      <c r="F925" s="3" t="s">
        <v>8</v>
      </c>
      <c r="G925" s="63" t="s">
        <v>854</v>
      </c>
      <c r="H925" s="8"/>
      <c r="I925" s="8"/>
      <c r="J925" s="6" t="s">
        <v>47</v>
      </c>
      <c r="K925" s="38">
        <v>20000</v>
      </c>
      <c r="L925" s="4" t="s">
        <v>29</v>
      </c>
      <c r="M925" s="11">
        <f>_xlfn.NUMBERVALUE(LEFT(Table613612[[#This Row],[Fiscal Year]], 4))</f>
        <v>2015</v>
      </c>
      <c r="N925" s="42">
        <f t="shared" si="20"/>
        <v>21234.683544303796</v>
      </c>
      <c r="O925" s="3">
        <v>923</v>
      </c>
    </row>
    <row r="926" spans="1:15" x14ac:dyDescent="0.25">
      <c r="A926" s="3">
        <v>4</v>
      </c>
      <c r="B926" s="3" t="s">
        <v>182</v>
      </c>
      <c r="C926" s="1" t="s">
        <v>12</v>
      </c>
      <c r="D926" s="1" t="s">
        <v>444</v>
      </c>
      <c r="E926" s="11" t="s">
        <v>144</v>
      </c>
      <c r="F926" s="3" t="s">
        <v>8</v>
      </c>
      <c r="G926" s="63" t="s">
        <v>935</v>
      </c>
      <c r="H926" s="8"/>
      <c r="I926" s="8"/>
      <c r="J926" s="6" t="s">
        <v>605</v>
      </c>
      <c r="K926" s="38">
        <v>20000</v>
      </c>
      <c r="L926" s="4" t="s">
        <v>29</v>
      </c>
      <c r="M926" s="11">
        <f>_xlfn.NUMBERVALUE(LEFT(Table613612[[#This Row],[Fiscal Year]], 4))</f>
        <v>2015</v>
      </c>
      <c r="N926" s="42">
        <f t="shared" ref="N926:N989" si="21">K926*(1+VLOOKUP(M926,$AF$8:$AH$31,3,0))</f>
        <v>21234.683544303796</v>
      </c>
      <c r="O926" s="3">
        <v>924</v>
      </c>
    </row>
    <row r="927" spans="1:15" x14ac:dyDescent="0.25">
      <c r="C927" s="1"/>
      <c r="D927" s="1"/>
      <c r="E927" s="11"/>
      <c r="G927" s="66"/>
      <c r="H927" s="8"/>
      <c r="I927" s="8"/>
      <c r="J927" s="6"/>
      <c r="L927" s="4"/>
      <c r="O927" s="3">
        <v>925</v>
      </c>
    </row>
    <row r="928" spans="1:15" x14ac:dyDescent="0.25">
      <c r="A928" s="3">
        <v>4</v>
      </c>
      <c r="B928" s="3" t="s">
        <v>183</v>
      </c>
      <c r="C928" s="1" t="s">
        <v>12</v>
      </c>
      <c r="D928" s="1" t="s">
        <v>444</v>
      </c>
      <c r="E928" s="11" t="s">
        <v>144</v>
      </c>
      <c r="F928" s="3" t="s">
        <v>8</v>
      </c>
      <c r="G928" s="66" t="s">
        <v>908</v>
      </c>
      <c r="H928" s="8"/>
      <c r="I928" s="8"/>
      <c r="J928" s="6" t="s">
        <v>110</v>
      </c>
      <c r="K928" s="38">
        <v>46000</v>
      </c>
      <c r="L928" s="4" t="s">
        <v>29</v>
      </c>
      <c r="M928" s="11">
        <f>_xlfn.NUMBERVALUE(LEFT(Table613612[[#This Row],[Fiscal Year]], 4))</f>
        <v>2015</v>
      </c>
      <c r="N928" s="42">
        <f t="shared" si="21"/>
        <v>48839.772151898731</v>
      </c>
      <c r="O928" s="3">
        <v>926</v>
      </c>
    </row>
    <row r="929" spans="1:15" x14ac:dyDescent="0.25">
      <c r="A929" s="3">
        <v>4</v>
      </c>
      <c r="B929" s="3" t="s">
        <v>183</v>
      </c>
      <c r="C929" s="1" t="s">
        <v>12</v>
      </c>
      <c r="D929" s="1" t="s">
        <v>444</v>
      </c>
      <c r="E929" s="11" t="s">
        <v>144</v>
      </c>
      <c r="F929" s="3" t="s">
        <v>8</v>
      </c>
      <c r="G929" s="66" t="s">
        <v>909</v>
      </c>
      <c r="H929" s="8"/>
      <c r="I929" s="8"/>
      <c r="J929" s="6" t="s">
        <v>110</v>
      </c>
      <c r="K929" s="38">
        <v>16000</v>
      </c>
      <c r="L929" s="4" t="s">
        <v>29</v>
      </c>
      <c r="M929" s="11">
        <f>_xlfn.NUMBERVALUE(LEFT(Table613612[[#This Row],[Fiscal Year]], 4))</f>
        <v>2015</v>
      </c>
      <c r="N929" s="42">
        <f t="shared" si="21"/>
        <v>16987.746835443038</v>
      </c>
      <c r="O929" s="3">
        <v>927</v>
      </c>
    </row>
    <row r="930" spans="1:15" x14ac:dyDescent="0.25">
      <c r="A930" s="3">
        <v>4</v>
      </c>
      <c r="B930" s="3" t="s">
        <v>183</v>
      </c>
      <c r="C930" s="1" t="s">
        <v>12</v>
      </c>
      <c r="D930" s="1" t="s">
        <v>444</v>
      </c>
      <c r="E930" s="11" t="s">
        <v>144</v>
      </c>
      <c r="F930" s="3" t="s">
        <v>8</v>
      </c>
      <c r="G930" s="66" t="s">
        <v>844</v>
      </c>
      <c r="H930" s="8"/>
      <c r="I930" s="8"/>
      <c r="J930" s="6" t="s">
        <v>453</v>
      </c>
      <c r="K930" s="38">
        <v>16000</v>
      </c>
      <c r="L930" s="4" t="s">
        <v>29</v>
      </c>
      <c r="M930" s="11">
        <f>_xlfn.NUMBERVALUE(LEFT(Table613612[[#This Row],[Fiscal Year]], 4))</f>
        <v>2015</v>
      </c>
      <c r="N930" s="42">
        <f t="shared" si="21"/>
        <v>16987.746835443038</v>
      </c>
      <c r="O930" s="3">
        <v>928</v>
      </c>
    </row>
    <row r="931" spans="1:15" x14ac:dyDescent="0.25">
      <c r="A931" s="3">
        <v>4</v>
      </c>
      <c r="B931" s="3" t="s">
        <v>183</v>
      </c>
      <c r="C931" s="1" t="s">
        <v>12</v>
      </c>
      <c r="D931" s="1" t="s">
        <v>444</v>
      </c>
      <c r="E931" s="11" t="s">
        <v>144</v>
      </c>
      <c r="F931" s="3" t="s">
        <v>8</v>
      </c>
      <c r="G931" s="66" t="s">
        <v>845</v>
      </c>
      <c r="H931" s="8"/>
      <c r="I931" s="8"/>
      <c r="J931" s="6" t="s">
        <v>109</v>
      </c>
      <c r="K931" s="38">
        <v>31000</v>
      </c>
      <c r="L931" s="4" t="s">
        <v>29</v>
      </c>
      <c r="M931" s="11">
        <f>_xlfn.NUMBERVALUE(LEFT(Table613612[[#This Row],[Fiscal Year]], 4))</f>
        <v>2015</v>
      </c>
      <c r="N931" s="42">
        <f t="shared" si="21"/>
        <v>32913.759493670885</v>
      </c>
      <c r="O931" s="3">
        <v>929</v>
      </c>
    </row>
    <row r="932" spans="1:15" x14ac:dyDescent="0.25">
      <c r="A932" s="3">
        <v>4</v>
      </c>
      <c r="B932" s="3" t="s">
        <v>183</v>
      </c>
      <c r="C932" s="1" t="s">
        <v>12</v>
      </c>
      <c r="D932" s="1" t="s">
        <v>444</v>
      </c>
      <c r="E932" s="11" t="s">
        <v>144</v>
      </c>
      <c r="F932" s="3" t="s">
        <v>8</v>
      </c>
      <c r="G932" s="48" t="s">
        <v>846</v>
      </c>
      <c r="H932" s="8"/>
      <c r="I932" s="8"/>
      <c r="J932" s="6" t="s">
        <v>111</v>
      </c>
      <c r="K932" s="38">
        <v>5300</v>
      </c>
      <c r="L932" s="4" t="s">
        <v>29</v>
      </c>
      <c r="M932" s="11">
        <f>_xlfn.NUMBERVALUE(LEFT(Table613612[[#This Row],[Fiscal Year]], 4))</f>
        <v>2015</v>
      </c>
      <c r="N932" s="42">
        <f t="shared" si="21"/>
        <v>5627.1911392405063</v>
      </c>
      <c r="O932" s="3">
        <v>930</v>
      </c>
    </row>
    <row r="933" spans="1:15" x14ac:dyDescent="0.25">
      <c r="A933" s="3">
        <v>4</v>
      </c>
      <c r="B933" s="3" t="s">
        <v>183</v>
      </c>
      <c r="C933" s="1" t="s">
        <v>12</v>
      </c>
      <c r="D933" s="1" t="s">
        <v>444</v>
      </c>
      <c r="E933" s="11" t="s">
        <v>144</v>
      </c>
      <c r="F933" s="3" t="s">
        <v>8</v>
      </c>
      <c r="G933" s="66" t="s">
        <v>847</v>
      </c>
      <c r="H933" s="8"/>
      <c r="I933" s="8"/>
      <c r="J933" s="6" t="s">
        <v>111</v>
      </c>
      <c r="K933" s="38">
        <v>8600</v>
      </c>
      <c r="L933" s="4" t="s">
        <v>29</v>
      </c>
      <c r="M933" s="11">
        <f>_xlfn.NUMBERVALUE(LEFT(Table613612[[#This Row],[Fiscal Year]], 4))</f>
        <v>2015</v>
      </c>
      <c r="N933" s="42">
        <f t="shared" si="21"/>
        <v>9130.913924050632</v>
      </c>
      <c r="O933" s="3">
        <v>931</v>
      </c>
    </row>
    <row r="934" spans="1:15" x14ac:dyDescent="0.25">
      <c r="A934" s="3">
        <v>4</v>
      </c>
      <c r="B934" s="3" t="s">
        <v>183</v>
      </c>
      <c r="C934" s="1" t="s">
        <v>12</v>
      </c>
      <c r="D934" s="1" t="s">
        <v>444</v>
      </c>
      <c r="E934" s="11" t="s">
        <v>144</v>
      </c>
      <c r="F934" s="3" t="s">
        <v>8</v>
      </c>
      <c r="G934" s="48" t="s">
        <v>857</v>
      </c>
      <c r="H934" s="8"/>
      <c r="I934" s="8"/>
      <c r="J934" s="6" t="s">
        <v>108</v>
      </c>
      <c r="K934" s="38">
        <v>114000</v>
      </c>
      <c r="L934" s="4" t="s">
        <v>29</v>
      </c>
      <c r="M934" s="11">
        <f>_xlfn.NUMBERVALUE(LEFT(Table613612[[#This Row],[Fiscal Year]], 4))</f>
        <v>2015</v>
      </c>
      <c r="N934" s="42">
        <f t="shared" si="21"/>
        <v>121037.69620253163</v>
      </c>
      <c r="O934" s="3">
        <v>932</v>
      </c>
    </row>
    <row r="935" spans="1:15" x14ac:dyDescent="0.25">
      <c r="A935" s="3">
        <v>4</v>
      </c>
      <c r="B935" s="3" t="s">
        <v>183</v>
      </c>
      <c r="C935" s="1" t="s">
        <v>12</v>
      </c>
      <c r="D935" s="1" t="s">
        <v>444</v>
      </c>
      <c r="E935" s="11" t="s">
        <v>144</v>
      </c>
      <c r="F935" s="3" t="s">
        <v>8</v>
      </c>
      <c r="G935" s="56" t="s">
        <v>934</v>
      </c>
      <c r="H935" s="8"/>
      <c r="I935" s="8"/>
      <c r="J935" s="6" t="s">
        <v>108</v>
      </c>
      <c r="K935" s="38">
        <v>207000</v>
      </c>
      <c r="L935" s="4" t="s">
        <v>29</v>
      </c>
      <c r="M935" s="11">
        <f>_xlfn.NUMBERVALUE(LEFT(Table613612[[#This Row],[Fiscal Year]], 4))</f>
        <v>2015</v>
      </c>
      <c r="N935" s="42">
        <f t="shared" si="21"/>
        <v>219778.97468354428</v>
      </c>
      <c r="O935" s="3">
        <v>933</v>
      </c>
    </row>
    <row r="936" spans="1:15" x14ac:dyDescent="0.25">
      <c r="A936" s="3">
        <v>4</v>
      </c>
      <c r="B936" s="3" t="s">
        <v>183</v>
      </c>
      <c r="C936" s="1" t="s">
        <v>12</v>
      </c>
      <c r="D936" s="1" t="s">
        <v>444</v>
      </c>
      <c r="E936" s="11" t="s">
        <v>144</v>
      </c>
      <c r="F936" s="3" t="s">
        <v>8</v>
      </c>
      <c r="G936" s="66" t="s">
        <v>849</v>
      </c>
      <c r="H936" s="8"/>
      <c r="I936" s="8"/>
      <c r="J936" s="6" t="s">
        <v>106</v>
      </c>
      <c r="K936" s="38">
        <v>21000</v>
      </c>
      <c r="L936" s="4" t="s">
        <v>29</v>
      </c>
      <c r="M936" s="11">
        <f>_xlfn.NUMBERVALUE(LEFT(Table613612[[#This Row],[Fiscal Year]], 4))</f>
        <v>2015</v>
      </c>
      <c r="N936" s="42">
        <f t="shared" si="21"/>
        <v>22296.417721518985</v>
      </c>
      <c r="O936" s="3">
        <v>934</v>
      </c>
    </row>
    <row r="937" spans="1:15" x14ac:dyDescent="0.25">
      <c r="A937" s="3">
        <v>4</v>
      </c>
      <c r="B937" s="3" t="s">
        <v>183</v>
      </c>
      <c r="C937" s="1" t="s">
        <v>12</v>
      </c>
      <c r="D937" s="1" t="s">
        <v>444</v>
      </c>
      <c r="E937" s="11" t="s">
        <v>144</v>
      </c>
      <c r="F937" s="3" t="s">
        <v>8</v>
      </c>
      <c r="G937" s="66" t="s">
        <v>850</v>
      </c>
      <c r="H937" s="8"/>
      <c r="I937" s="8"/>
      <c r="J937" s="6" t="s">
        <v>455</v>
      </c>
      <c r="K937" s="38">
        <v>10000</v>
      </c>
      <c r="L937" s="4" t="s">
        <v>29</v>
      </c>
      <c r="M937" s="11">
        <f>_xlfn.NUMBERVALUE(LEFT(Table613612[[#This Row],[Fiscal Year]], 4))</f>
        <v>2015</v>
      </c>
      <c r="N937" s="42">
        <f t="shared" si="21"/>
        <v>10617.341772151898</v>
      </c>
      <c r="O937" s="3">
        <v>935</v>
      </c>
    </row>
    <row r="938" spans="1:15" x14ac:dyDescent="0.25">
      <c r="A938" s="3">
        <v>4</v>
      </c>
      <c r="B938" s="3" t="s">
        <v>183</v>
      </c>
      <c r="C938" s="1" t="s">
        <v>12</v>
      </c>
      <c r="D938" s="1" t="s">
        <v>444</v>
      </c>
      <c r="E938" s="11" t="s">
        <v>144</v>
      </c>
      <c r="F938" s="3" t="s">
        <v>8</v>
      </c>
      <c r="G938" s="66" t="s">
        <v>851</v>
      </c>
      <c r="H938" s="8"/>
      <c r="I938" s="8"/>
      <c r="J938" s="6" t="s">
        <v>76</v>
      </c>
      <c r="K938" s="38">
        <v>0</v>
      </c>
      <c r="L938" s="4" t="s">
        <v>29</v>
      </c>
      <c r="M938" s="11">
        <f>_xlfn.NUMBERVALUE(LEFT(Table613612[[#This Row],[Fiscal Year]], 4))</f>
        <v>2015</v>
      </c>
      <c r="N938" s="43">
        <f t="shared" si="21"/>
        <v>0</v>
      </c>
      <c r="O938" s="3">
        <v>936</v>
      </c>
    </row>
    <row r="939" spans="1:15" x14ac:dyDescent="0.25">
      <c r="A939" s="3">
        <v>4</v>
      </c>
      <c r="B939" s="3" t="s">
        <v>183</v>
      </c>
      <c r="C939" s="1" t="s">
        <v>12</v>
      </c>
      <c r="D939" s="1" t="s">
        <v>444</v>
      </c>
      <c r="E939" s="11" t="s">
        <v>144</v>
      </c>
      <c r="F939" s="3" t="s">
        <v>8</v>
      </c>
      <c r="G939" s="66" t="s">
        <v>852</v>
      </c>
      <c r="H939" s="8"/>
      <c r="I939" s="8"/>
      <c r="J939" s="6" t="s">
        <v>76</v>
      </c>
      <c r="K939" s="38">
        <v>0</v>
      </c>
      <c r="L939" s="4" t="s">
        <v>29</v>
      </c>
      <c r="M939" s="11">
        <f>_xlfn.NUMBERVALUE(LEFT(Table613612[[#This Row],[Fiscal Year]], 4))</f>
        <v>2015</v>
      </c>
      <c r="N939" s="43">
        <f t="shared" si="21"/>
        <v>0</v>
      </c>
      <c r="O939" s="3">
        <v>937</v>
      </c>
    </row>
    <row r="940" spans="1:15" x14ac:dyDescent="0.25">
      <c r="A940" s="3">
        <v>4</v>
      </c>
      <c r="B940" s="3" t="s">
        <v>183</v>
      </c>
      <c r="C940" s="1" t="s">
        <v>12</v>
      </c>
      <c r="D940" s="1" t="s">
        <v>444</v>
      </c>
      <c r="E940" s="11" t="s">
        <v>144</v>
      </c>
      <c r="F940" s="3" t="s">
        <v>8</v>
      </c>
      <c r="G940" s="66" t="s">
        <v>853</v>
      </c>
      <c r="H940" s="8"/>
      <c r="I940" s="8"/>
      <c r="J940" s="6" t="s">
        <v>76</v>
      </c>
      <c r="K940" s="38">
        <v>0</v>
      </c>
      <c r="L940" s="4" t="s">
        <v>29</v>
      </c>
      <c r="M940" s="11">
        <f>_xlfn.NUMBERVALUE(LEFT(Table613612[[#This Row],[Fiscal Year]], 4))</f>
        <v>2015</v>
      </c>
      <c r="N940" s="43">
        <f t="shared" si="21"/>
        <v>0</v>
      </c>
      <c r="O940" s="3">
        <v>938</v>
      </c>
    </row>
    <row r="941" spans="1:15" x14ac:dyDescent="0.25">
      <c r="A941" s="3">
        <v>4</v>
      </c>
      <c r="B941" s="3" t="s">
        <v>183</v>
      </c>
      <c r="C941" s="1" t="s">
        <v>12</v>
      </c>
      <c r="D941" s="1" t="s">
        <v>444</v>
      </c>
      <c r="E941" s="11" t="s">
        <v>144</v>
      </c>
      <c r="F941" s="3" t="s">
        <v>8</v>
      </c>
      <c r="G941" s="63" t="s">
        <v>854</v>
      </c>
      <c r="H941" s="8"/>
      <c r="I941" s="8"/>
      <c r="J941" s="6" t="s">
        <v>47</v>
      </c>
      <c r="K941" s="38">
        <v>139000</v>
      </c>
      <c r="L941" s="4" t="s">
        <v>29</v>
      </c>
      <c r="M941" s="11">
        <f>_xlfn.NUMBERVALUE(LEFT(Table613612[[#This Row],[Fiscal Year]], 4))</f>
        <v>2015</v>
      </c>
      <c r="N941" s="42">
        <f t="shared" si="21"/>
        <v>147581.05063291139</v>
      </c>
      <c r="O941" s="3">
        <v>939</v>
      </c>
    </row>
    <row r="942" spans="1:15" x14ac:dyDescent="0.25">
      <c r="A942" s="3">
        <v>4</v>
      </c>
      <c r="B942" s="3" t="s">
        <v>183</v>
      </c>
      <c r="C942" s="1" t="s">
        <v>12</v>
      </c>
      <c r="D942" s="1" t="s">
        <v>444</v>
      </c>
      <c r="E942" s="11" t="s">
        <v>144</v>
      </c>
      <c r="F942" s="3" t="s">
        <v>8</v>
      </c>
      <c r="G942" s="63" t="s">
        <v>855</v>
      </c>
      <c r="H942" s="8"/>
      <c r="I942" s="8"/>
      <c r="J942" s="6" t="s">
        <v>455</v>
      </c>
      <c r="K942" s="38">
        <v>100000</v>
      </c>
      <c r="L942" s="4" t="s">
        <v>29</v>
      </c>
      <c r="M942" s="11">
        <f>_xlfn.NUMBERVALUE(LEFT(Table613612[[#This Row],[Fiscal Year]], 4))</f>
        <v>2015</v>
      </c>
      <c r="N942" s="42">
        <f t="shared" si="21"/>
        <v>106173.41772151898</v>
      </c>
      <c r="O942" s="3">
        <v>940</v>
      </c>
    </row>
    <row r="943" spans="1:15" x14ac:dyDescent="0.25">
      <c r="C943" s="1"/>
      <c r="D943" s="1"/>
      <c r="E943" s="11"/>
      <c r="G943" s="66"/>
      <c r="H943" s="8"/>
      <c r="I943" s="8"/>
      <c r="J943" s="6"/>
      <c r="L943" s="4"/>
      <c r="O943" s="3">
        <v>941</v>
      </c>
    </row>
    <row r="944" spans="1:15" x14ac:dyDescent="0.25">
      <c r="A944" s="3">
        <v>4</v>
      </c>
      <c r="B944" s="3" t="s">
        <v>184</v>
      </c>
      <c r="C944" s="1" t="s">
        <v>12</v>
      </c>
      <c r="D944" s="1" t="s">
        <v>444</v>
      </c>
      <c r="E944" s="11" t="s">
        <v>144</v>
      </c>
      <c r="F944" s="3" t="s">
        <v>8</v>
      </c>
      <c r="G944" s="66" t="s">
        <v>908</v>
      </c>
      <c r="H944" s="8"/>
      <c r="I944" s="8"/>
      <c r="J944" s="6" t="s">
        <v>110</v>
      </c>
      <c r="K944" s="38">
        <v>129340</v>
      </c>
      <c r="L944" s="4" t="s">
        <v>29</v>
      </c>
      <c r="M944" s="11">
        <f>_xlfn.NUMBERVALUE(LEFT(Table613612[[#This Row],[Fiscal Year]], 4))</f>
        <v>2015</v>
      </c>
      <c r="N944" s="42">
        <f t="shared" si="21"/>
        <v>137324.69848101266</v>
      </c>
      <c r="O944" s="3">
        <v>942</v>
      </c>
    </row>
    <row r="945" spans="1:15" x14ac:dyDescent="0.25">
      <c r="A945" s="3">
        <v>4</v>
      </c>
      <c r="B945" s="3" t="s">
        <v>184</v>
      </c>
      <c r="C945" s="1" t="s">
        <v>12</v>
      </c>
      <c r="D945" s="1" t="s">
        <v>444</v>
      </c>
      <c r="E945" s="11" t="s">
        <v>144</v>
      </c>
      <c r="F945" s="3" t="s">
        <v>8</v>
      </c>
      <c r="G945" s="66" t="s">
        <v>909</v>
      </c>
      <c r="H945" s="8"/>
      <c r="I945" s="8"/>
      <c r="J945" s="6" t="s">
        <v>110</v>
      </c>
      <c r="K945" s="38">
        <v>16000</v>
      </c>
      <c r="L945" s="4" t="s">
        <v>29</v>
      </c>
      <c r="M945" s="11">
        <f>_xlfn.NUMBERVALUE(LEFT(Table613612[[#This Row],[Fiscal Year]], 4))</f>
        <v>2015</v>
      </c>
      <c r="N945" s="42">
        <f t="shared" si="21"/>
        <v>16987.746835443038</v>
      </c>
      <c r="O945" s="3">
        <v>943</v>
      </c>
    </row>
    <row r="946" spans="1:15" x14ac:dyDescent="0.25">
      <c r="A946" s="3">
        <v>4</v>
      </c>
      <c r="B946" s="3" t="s">
        <v>184</v>
      </c>
      <c r="C946" s="1" t="s">
        <v>12</v>
      </c>
      <c r="D946" s="1" t="s">
        <v>444</v>
      </c>
      <c r="E946" s="11" t="s">
        <v>144</v>
      </c>
      <c r="F946" s="3" t="s">
        <v>8</v>
      </c>
      <c r="G946" s="66" t="s">
        <v>844</v>
      </c>
      <c r="H946" s="8"/>
      <c r="I946" s="8"/>
      <c r="J946" s="6" t="s">
        <v>453</v>
      </c>
      <c r="K946" s="38">
        <v>500</v>
      </c>
      <c r="L946" s="4" t="s">
        <v>29</v>
      </c>
      <c r="M946" s="11">
        <f>_xlfn.NUMBERVALUE(LEFT(Table613612[[#This Row],[Fiscal Year]], 4))</f>
        <v>2015</v>
      </c>
      <c r="N946" s="42">
        <f t="shared" si="21"/>
        <v>530.86708860759495</v>
      </c>
      <c r="O946" s="3">
        <v>944</v>
      </c>
    </row>
    <row r="947" spans="1:15" x14ac:dyDescent="0.25">
      <c r="A947" s="3">
        <v>4</v>
      </c>
      <c r="B947" s="3" t="s">
        <v>184</v>
      </c>
      <c r="C947" s="1" t="s">
        <v>12</v>
      </c>
      <c r="D947" s="1" t="s">
        <v>444</v>
      </c>
      <c r="E947" s="11" t="s">
        <v>144</v>
      </c>
      <c r="F947" s="3" t="s">
        <v>8</v>
      </c>
      <c r="G947" s="66" t="s">
        <v>845</v>
      </c>
      <c r="H947" s="8"/>
      <c r="I947" s="8"/>
      <c r="J947" s="6" t="s">
        <v>109</v>
      </c>
      <c r="K947" s="38">
        <v>4450</v>
      </c>
      <c r="L947" s="4" t="s">
        <v>29</v>
      </c>
      <c r="M947" s="11">
        <f>_xlfn.NUMBERVALUE(LEFT(Table613612[[#This Row],[Fiscal Year]], 4))</f>
        <v>2015</v>
      </c>
      <c r="N947" s="42">
        <f t="shared" si="21"/>
        <v>4724.7170886075946</v>
      </c>
      <c r="O947" s="3">
        <v>945</v>
      </c>
    </row>
    <row r="948" spans="1:15" x14ac:dyDescent="0.25">
      <c r="A948" s="3">
        <v>4</v>
      </c>
      <c r="B948" s="3" t="s">
        <v>184</v>
      </c>
      <c r="C948" s="1" t="s">
        <v>12</v>
      </c>
      <c r="D948" s="1" t="s">
        <v>444</v>
      </c>
      <c r="E948" s="11" t="s">
        <v>144</v>
      </c>
      <c r="F948" s="3" t="s">
        <v>8</v>
      </c>
      <c r="G948" s="48" t="s">
        <v>846</v>
      </c>
      <c r="H948" s="8"/>
      <c r="I948" s="8"/>
      <c r="J948" s="6" t="s">
        <v>111</v>
      </c>
      <c r="K948" s="38">
        <v>4000</v>
      </c>
      <c r="L948" s="4" t="s">
        <v>29</v>
      </c>
      <c r="M948" s="11">
        <f>_xlfn.NUMBERVALUE(LEFT(Table613612[[#This Row],[Fiscal Year]], 4))</f>
        <v>2015</v>
      </c>
      <c r="N948" s="42">
        <f t="shared" si="21"/>
        <v>4246.9367088607596</v>
      </c>
      <c r="O948" s="3">
        <v>946</v>
      </c>
    </row>
    <row r="949" spans="1:15" x14ac:dyDescent="0.25">
      <c r="A949" s="3">
        <v>4</v>
      </c>
      <c r="B949" s="3" t="s">
        <v>184</v>
      </c>
      <c r="C949" s="1" t="s">
        <v>12</v>
      </c>
      <c r="D949" s="1" t="s">
        <v>444</v>
      </c>
      <c r="E949" s="11" t="s">
        <v>144</v>
      </c>
      <c r="F949" s="3" t="s">
        <v>8</v>
      </c>
      <c r="G949" s="66" t="s">
        <v>847</v>
      </c>
      <c r="H949" s="8"/>
      <c r="I949" s="8"/>
      <c r="J949" s="6" t="s">
        <v>111</v>
      </c>
      <c r="K949" s="38">
        <v>4000</v>
      </c>
      <c r="L949" s="4" t="s">
        <v>29</v>
      </c>
      <c r="M949" s="11">
        <f>_xlfn.NUMBERVALUE(LEFT(Table613612[[#This Row],[Fiscal Year]], 4))</f>
        <v>2015</v>
      </c>
      <c r="N949" s="42">
        <f t="shared" si="21"/>
        <v>4246.9367088607596</v>
      </c>
      <c r="O949" s="3">
        <v>947</v>
      </c>
    </row>
    <row r="950" spans="1:15" x14ac:dyDescent="0.25">
      <c r="A950" s="3">
        <v>4</v>
      </c>
      <c r="B950" s="3" t="s">
        <v>184</v>
      </c>
      <c r="C950" s="1" t="s">
        <v>12</v>
      </c>
      <c r="D950" s="1" t="s">
        <v>444</v>
      </c>
      <c r="E950" s="11" t="s">
        <v>144</v>
      </c>
      <c r="F950" s="3" t="s">
        <v>8</v>
      </c>
      <c r="G950" s="48" t="s">
        <v>857</v>
      </c>
      <c r="H950" s="8"/>
      <c r="I950" s="8"/>
      <c r="J950" s="6" t="s">
        <v>108</v>
      </c>
      <c r="K950" s="38">
        <v>750</v>
      </c>
      <c r="L950" s="4" t="s">
        <v>29</v>
      </c>
      <c r="M950" s="11">
        <f>_xlfn.NUMBERVALUE(LEFT(Table613612[[#This Row],[Fiscal Year]], 4))</f>
        <v>2015</v>
      </c>
      <c r="N950" s="42">
        <f t="shared" si="21"/>
        <v>796.30063291139231</v>
      </c>
      <c r="O950" s="3">
        <v>948</v>
      </c>
    </row>
    <row r="951" spans="1:15" x14ac:dyDescent="0.25">
      <c r="A951" s="3">
        <v>4</v>
      </c>
      <c r="B951" s="3" t="s">
        <v>184</v>
      </c>
      <c r="C951" s="1" t="s">
        <v>12</v>
      </c>
      <c r="D951" s="1" t="s">
        <v>444</v>
      </c>
      <c r="E951" s="11" t="s">
        <v>144</v>
      </c>
      <c r="F951" s="3" t="s">
        <v>8</v>
      </c>
      <c r="G951" s="56" t="s">
        <v>934</v>
      </c>
      <c r="H951" s="8"/>
      <c r="I951" s="8"/>
      <c r="J951" s="6" t="s">
        <v>108</v>
      </c>
      <c r="K951" s="38">
        <v>92000</v>
      </c>
      <c r="L951" s="4" t="s">
        <v>29</v>
      </c>
      <c r="M951" s="11">
        <f>_xlfn.NUMBERVALUE(LEFT(Table613612[[#This Row],[Fiscal Year]], 4))</f>
        <v>2015</v>
      </c>
      <c r="N951" s="42">
        <f t="shared" si="21"/>
        <v>97679.544303797462</v>
      </c>
      <c r="O951" s="3">
        <v>949</v>
      </c>
    </row>
    <row r="952" spans="1:15" x14ac:dyDescent="0.25">
      <c r="A952" s="3">
        <v>4</v>
      </c>
      <c r="B952" s="3" t="s">
        <v>184</v>
      </c>
      <c r="C952" s="1" t="s">
        <v>12</v>
      </c>
      <c r="D952" s="1" t="s">
        <v>444</v>
      </c>
      <c r="E952" s="11" t="s">
        <v>144</v>
      </c>
      <c r="F952" s="3" t="s">
        <v>8</v>
      </c>
      <c r="G952" s="66" t="s">
        <v>849</v>
      </c>
      <c r="H952" s="8"/>
      <c r="I952" s="8"/>
      <c r="J952" s="6" t="s">
        <v>106</v>
      </c>
      <c r="K952" s="39" t="s">
        <v>217</v>
      </c>
      <c r="L952" s="4" t="s">
        <v>29</v>
      </c>
      <c r="M952" s="11">
        <f>_xlfn.NUMBERVALUE(LEFT(Table613612[[#This Row],[Fiscal Year]], 4))</f>
        <v>2015</v>
      </c>
      <c r="O952" s="3">
        <v>950</v>
      </c>
    </row>
    <row r="953" spans="1:15" x14ac:dyDescent="0.25">
      <c r="A953" s="3">
        <v>4</v>
      </c>
      <c r="B953" s="3" t="s">
        <v>184</v>
      </c>
      <c r="C953" s="1" t="s">
        <v>12</v>
      </c>
      <c r="D953" s="1" t="s">
        <v>444</v>
      </c>
      <c r="E953" s="11" t="s">
        <v>144</v>
      </c>
      <c r="F953" s="3" t="s">
        <v>8</v>
      </c>
      <c r="G953" s="66" t="s">
        <v>850</v>
      </c>
      <c r="H953" s="8"/>
      <c r="I953" s="8"/>
      <c r="J953" s="6" t="s">
        <v>455</v>
      </c>
      <c r="K953" s="38">
        <v>5000</v>
      </c>
      <c r="L953" s="4" t="s">
        <v>29</v>
      </c>
      <c r="M953" s="11">
        <f>_xlfn.NUMBERVALUE(LEFT(Table613612[[#This Row],[Fiscal Year]], 4))</f>
        <v>2015</v>
      </c>
      <c r="N953" s="42">
        <f t="shared" si="21"/>
        <v>5308.6708860759491</v>
      </c>
      <c r="O953" s="3">
        <v>951</v>
      </c>
    </row>
    <row r="954" spans="1:15" x14ac:dyDescent="0.25">
      <c r="A954" s="3">
        <v>4</v>
      </c>
      <c r="B954" s="3" t="s">
        <v>184</v>
      </c>
      <c r="C954" s="1" t="s">
        <v>12</v>
      </c>
      <c r="D954" s="1" t="s">
        <v>444</v>
      </c>
      <c r="E954" s="11" t="s">
        <v>144</v>
      </c>
      <c r="F954" s="3" t="s">
        <v>8</v>
      </c>
      <c r="G954" s="66" t="s">
        <v>851</v>
      </c>
      <c r="H954" s="8"/>
      <c r="I954" s="8"/>
      <c r="J954" s="6" t="s">
        <v>76</v>
      </c>
      <c r="K954" s="38">
        <v>18000</v>
      </c>
      <c r="L954" s="4" t="s">
        <v>29</v>
      </c>
      <c r="M954" s="11">
        <f>_xlfn.NUMBERVALUE(LEFT(Table613612[[#This Row],[Fiscal Year]], 4))</f>
        <v>2015</v>
      </c>
      <c r="N954" s="42">
        <f t="shared" si="21"/>
        <v>19111.215189873416</v>
      </c>
      <c r="O954" s="3">
        <v>952</v>
      </c>
    </row>
    <row r="955" spans="1:15" x14ac:dyDescent="0.25">
      <c r="A955" s="3">
        <v>4</v>
      </c>
      <c r="B955" s="3" t="s">
        <v>184</v>
      </c>
      <c r="C955" s="1" t="s">
        <v>12</v>
      </c>
      <c r="D955" s="1" t="s">
        <v>444</v>
      </c>
      <c r="E955" s="11" t="s">
        <v>144</v>
      </c>
      <c r="F955" s="3" t="s">
        <v>8</v>
      </c>
      <c r="G955" s="66" t="s">
        <v>852</v>
      </c>
      <c r="H955" s="8"/>
      <c r="I955" s="8"/>
      <c r="J955" s="6" t="s">
        <v>76</v>
      </c>
      <c r="K955" s="38">
        <v>14402</v>
      </c>
      <c r="L955" s="4" t="s">
        <v>29</v>
      </c>
      <c r="M955" s="11">
        <f>_xlfn.NUMBERVALUE(LEFT(Table613612[[#This Row],[Fiscal Year]], 4))</f>
        <v>2015</v>
      </c>
      <c r="N955" s="42">
        <f t="shared" si="21"/>
        <v>15291.095620253163</v>
      </c>
      <c r="O955" s="3">
        <v>953</v>
      </c>
    </row>
    <row r="956" spans="1:15" x14ac:dyDescent="0.25">
      <c r="A956" s="3">
        <v>4</v>
      </c>
      <c r="B956" s="3" t="s">
        <v>184</v>
      </c>
      <c r="C956" s="1" t="s">
        <v>12</v>
      </c>
      <c r="D956" s="1" t="s">
        <v>444</v>
      </c>
      <c r="E956" s="11" t="s">
        <v>144</v>
      </c>
      <c r="F956" s="3" t="s">
        <v>8</v>
      </c>
      <c r="G956" s="66" t="s">
        <v>853</v>
      </c>
      <c r="H956" s="8"/>
      <c r="I956" s="8"/>
      <c r="J956" s="6" t="s">
        <v>76</v>
      </c>
      <c r="K956" s="38">
        <v>0</v>
      </c>
      <c r="L956" s="4" t="s">
        <v>29</v>
      </c>
      <c r="M956" s="11">
        <f>_xlfn.NUMBERVALUE(LEFT(Table613612[[#This Row],[Fiscal Year]], 4))</f>
        <v>2015</v>
      </c>
      <c r="N956" s="43">
        <f t="shared" si="21"/>
        <v>0</v>
      </c>
      <c r="O956" s="3">
        <v>954</v>
      </c>
    </row>
    <row r="957" spans="1:15" x14ac:dyDescent="0.25">
      <c r="A957" s="3">
        <v>4</v>
      </c>
      <c r="B957" s="3" t="s">
        <v>184</v>
      </c>
      <c r="C957" s="1" t="s">
        <v>12</v>
      </c>
      <c r="D957" s="1" t="s">
        <v>444</v>
      </c>
      <c r="E957" s="11" t="s">
        <v>144</v>
      </c>
      <c r="F957" s="3" t="s">
        <v>8</v>
      </c>
      <c r="G957" s="63" t="s">
        <v>854</v>
      </c>
      <c r="H957" s="8"/>
      <c r="I957" s="8"/>
      <c r="J957" s="6" t="s">
        <v>47</v>
      </c>
      <c r="K957" s="38">
        <v>42960</v>
      </c>
      <c r="L957" s="4" t="s">
        <v>29</v>
      </c>
      <c r="M957" s="11">
        <f>_xlfn.NUMBERVALUE(LEFT(Table613612[[#This Row],[Fiscal Year]], 4))</f>
        <v>2015</v>
      </c>
      <c r="N957" s="42">
        <f>K957*(1+VLOOKUP(M957,$AF$8:$AH$31,3,0))</f>
        <v>45612.100253164557</v>
      </c>
      <c r="O957" s="3">
        <v>955</v>
      </c>
    </row>
    <row r="958" spans="1:15" x14ac:dyDescent="0.25">
      <c r="A958" s="3">
        <v>4</v>
      </c>
      <c r="B958" s="3" t="s">
        <v>184</v>
      </c>
      <c r="C958" s="1" t="s">
        <v>12</v>
      </c>
      <c r="D958" s="1" t="s">
        <v>444</v>
      </c>
      <c r="E958" s="11" t="s">
        <v>144</v>
      </c>
      <c r="F958" s="3" t="s">
        <v>8</v>
      </c>
      <c r="G958" s="63" t="s">
        <v>855</v>
      </c>
      <c r="H958" s="8"/>
      <c r="I958" s="8"/>
      <c r="J958" s="6" t="s">
        <v>455</v>
      </c>
      <c r="K958" s="38">
        <v>0</v>
      </c>
      <c r="L958" s="4" t="s">
        <v>29</v>
      </c>
      <c r="M958" s="11">
        <f>_xlfn.NUMBERVALUE(LEFT(Table613612[[#This Row],[Fiscal Year]], 4))</f>
        <v>2015</v>
      </c>
      <c r="N958" s="43">
        <f t="shared" si="21"/>
        <v>0</v>
      </c>
      <c r="O958" s="3">
        <v>956</v>
      </c>
    </row>
    <row r="959" spans="1:15" x14ac:dyDescent="0.25">
      <c r="C959" s="1"/>
      <c r="D959" s="1"/>
      <c r="E959" s="11"/>
      <c r="G959" s="66"/>
      <c r="H959" s="8"/>
      <c r="I959" s="8"/>
      <c r="J959" s="6"/>
      <c r="L959" s="4"/>
      <c r="O959" s="3">
        <v>957</v>
      </c>
    </row>
    <row r="960" spans="1:15" x14ac:dyDescent="0.25">
      <c r="A960" s="3">
        <v>4</v>
      </c>
      <c r="B960" s="3" t="s">
        <v>185</v>
      </c>
      <c r="C960" s="1" t="s">
        <v>12</v>
      </c>
      <c r="D960" s="1" t="s">
        <v>444</v>
      </c>
      <c r="E960" s="11" t="s">
        <v>144</v>
      </c>
      <c r="F960" s="3" t="s">
        <v>8</v>
      </c>
      <c r="G960" s="56" t="s">
        <v>829</v>
      </c>
      <c r="H960" s="8"/>
      <c r="I960" s="8"/>
      <c r="J960" s="6" t="s">
        <v>110</v>
      </c>
      <c r="K960" s="38">
        <v>14720</v>
      </c>
      <c r="L960" s="4" t="s">
        <v>29</v>
      </c>
      <c r="M960" s="11">
        <f>_xlfn.NUMBERVALUE(LEFT(Table613612[[#This Row],[Fiscal Year]], 4))</f>
        <v>2015</v>
      </c>
      <c r="N960" s="42">
        <f t="shared" si="21"/>
        <v>15628.727088607595</v>
      </c>
      <c r="O960" s="3">
        <v>958</v>
      </c>
    </row>
    <row r="961" spans="1:15" x14ac:dyDescent="0.25">
      <c r="A961" s="3">
        <v>4</v>
      </c>
      <c r="B961" s="3" t="s">
        <v>185</v>
      </c>
      <c r="C961" s="1" t="s">
        <v>12</v>
      </c>
      <c r="D961" s="1" t="s">
        <v>444</v>
      </c>
      <c r="E961" s="11" t="s">
        <v>144</v>
      </c>
      <c r="F961" s="3" t="s">
        <v>8</v>
      </c>
      <c r="G961" s="66" t="s">
        <v>844</v>
      </c>
      <c r="H961" s="8"/>
      <c r="I961" s="8"/>
      <c r="J961" s="6" t="s">
        <v>453</v>
      </c>
      <c r="K961" s="38">
        <v>2717.5</v>
      </c>
      <c r="L961" s="4" t="s">
        <v>29</v>
      </c>
      <c r="M961" s="11">
        <f>_xlfn.NUMBERVALUE(LEFT(Table613612[[#This Row],[Fiscal Year]], 4))</f>
        <v>2015</v>
      </c>
      <c r="N961" s="42">
        <f t="shared" si="21"/>
        <v>2885.2626265822782</v>
      </c>
      <c r="O961" s="3">
        <v>959</v>
      </c>
    </row>
    <row r="962" spans="1:15" x14ac:dyDescent="0.25">
      <c r="A962" s="3">
        <v>4</v>
      </c>
      <c r="B962" s="3" t="s">
        <v>185</v>
      </c>
      <c r="C962" s="1" t="s">
        <v>12</v>
      </c>
      <c r="D962" s="1" t="s">
        <v>444</v>
      </c>
      <c r="E962" s="11" t="s">
        <v>144</v>
      </c>
      <c r="F962" s="3" t="s">
        <v>8</v>
      </c>
      <c r="G962" s="66" t="s">
        <v>845</v>
      </c>
      <c r="H962" s="8"/>
      <c r="I962" s="8"/>
      <c r="J962" s="6" t="s">
        <v>109</v>
      </c>
      <c r="K962" s="38" t="s">
        <v>28</v>
      </c>
      <c r="L962" s="4" t="s">
        <v>29</v>
      </c>
      <c r="M962" s="11">
        <f>_xlfn.NUMBERVALUE(LEFT(Table613612[[#This Row],[Fiscal Year]], 4))</f>
        <v>2015</v>
      </c>
      <c r="O962" s="3">
        <v>960</v>
      </c>
    </row>
    <row r="963" spans="1:15" x14ac:dyDescent="0.25">
      <c r="A963" s="3">
        <v>4</v>
      </c>
      <c r="B963" s="3" t="s">
        <v>185</v>
      </c>
      <c r="C963" s="1" t="s">
        <v>12</v>
      </c>
      <c r="D963" s="1" t="s">
        <v>444</v>
      </c>
      <c r="E963" s="11" t="s">
        <v>144</v>
      </c>
      <c r="F963" s="3" t="s">
        <v>8</v>
      </c>
      <c r="G963" s="48" t="s">
        <v>846</v>
      </c>
      <c r="H963" s="8"/>
      <c r="I963" s="8"/>
      <c r="J963" s="6" t="s">
        <v>111</v>
      </c>
      <c r="K963" s="38">
        <v>2302.5</v>
      </c>
      <c r="L963" s="4" t="s">
        <v>29</v>
      </c>
      <c r="M963" s="11">
        <f>_xlfn.NUMBERVALUE(LEFT(Table613612[[#This Row],[Fiscal Year]], 4))</f>
        <v>2015</v>
      </c>
      <c r="N963" s="42">
        <f t="shared" si="21"/>
        <v>2444.6429430379744</v>
      </c>
      <c r="O963" s="3">
        <v>961</v>
      </c>
    </row>
    <row r="964" spans="1:15" x14ac:dyDescent="0.25">
      <c r="A964" s="3">
        <v>4</v>
      </c>
      <c r="B964" s="3" t="s">
        <v>185</v>
      </c>
      <c r="C964" s="1" t="s">
        <v>12</v>
      </c>
      <c r="D964" s="1" t="s">
        <v>444</v>
      </c>
      <c r="E964" s="11" t="s">
        <v>144</v>
      </c>
      <c r="F964" s="3" t="s">
        <v>8</v>
      </c>
      <c r="G964" s="66" t="s">
        <v>847</v>
      </c>
      <c r="H964" s="8"/>
      <c r="I964" s="8"/>
      <c r="J964" s="6" t="s">
        <v>111</v>
      </c>
      <c r="K964" s="38">
        <v>0</v>
      </c>
      <c r="L964" s="4" t="s">
        <v>29</v>
      </c>
      <c r="M964" s="11">
        <f>_xlfn.NUMBERVALUE(LEFT(Table613612[[#This Row],[Fiscal Year]], 4))</f>
        <v>2015</v>
      </c>
      <c r="N964" s="43">
        <f t="shared" si="21"/>
        <v>0</v>
      </c>
      <c r="O964" s="3">
        <v>962</v>
      </c>
    </row>
    <row r="965" spans="1:15" x14ac:dyDescent="0.25">
      <c r="A965" s="3">
        <v>4</v>
      </c>
      <c r="B965" s="3" t="s">
        <v>185</v>
      </c>
      <c r="C965" s="1" t="s">
        <v>12</v>
      </c>
      <c r="D965" s="1" t="s">
        <v>444</v>
      </c>
      <c r="E965" s="11" t="s">
        <v>144</v>
      </c>
      <c r="F965" s="3" t="s">
        <v>8</v>
      </c>
      <c r="G965" s="48" t="s">
        <v>857</v>
      </c>
      <c r="H965" s="8"/>
      <c r="I965" s="8"/>
      <c r="J965" s="6" t="s">
        <v>108</v>
      </c>
      <c r="K965" s="38">
        <v>2420</v>
      </c>
      <c r="L965" s="4" t="s">
        <v>29</v>
      </c>
      <c r="M965" s="11">
        <f>_xlfn.NUMBERVALUE(LEFT(Table613612[[#This Row],[Fiscal Year]], 4))</f>
        <v>2015</v>
      </c>
      <c r="N965" s="42">
        <f t="shared" si="21"/>
        <v>2569.3967088607592</v>
      </c>
      <c r="O965" s="3">
        <v>963</v>
      </c>
    </row>
    <row r="966" spans="1:15" x14ac:dyDescent="0.25">
      <c r="A966" s="3">
        <v>4</v>
      </c>
      <c r="B966" s="3" t="s">
        <v>185</v>
      </c>
      <c r="C966" s="1" t="s">
        <v>12</v>
      </c>
      <c r="D966" s="1" t="s">
        <v>444</v>
      </c>
      <c r="E966" s="11" t="s">
        <v>144</v>
      </c>
      <c r="F966" s="3" t="s">
        <v>8</v>
      </c>
      <c r="G966" s="66" t="s">
        <v>849</v>
      </c>
      <c r="H966" s="8"/>
      <c r="I966" s="8"/>
      <c r="J966" s="6" t="s">
        <v>106</v>
      </c>
      <c r="K966" s="38">
        <v>0</v>
      </c>
      <c r="L966" s="4" t="s">
        <v>29</v>
      </c>
      <c r="M966" s="11">
        <f>_xlfn.NUMBERVALUE(LEFT(Table613612[[#This Row],[Fiscal Year]], 4))</f>
        <v>2015</v>
      </c>
      <c r="N966" s="43">
        <f t="shared" si="21"/>
        <v>0</v>
      </c>
      <c r="O966" s="3">
        <v>964</v>
      </c>
    </row>
    <row r="967" spans="1:15" x14ac:dyDescent="0.25">
      <c r="A967" s="3">
        <v>4</v>
      </c>
      <c r="B967" s="3" t="s">
        <v>185</v>
      </c>
      <c r="C967" s="1" t="s">
        <v>12</v>
      </c>
      <c r="D967" s="1" t="s">
        <v>444</v>
      </c>
      <c r="E967" s="11" t="s">
        <v>144</v>
      </c>
      <c r="F967" s="3" t="s">
        <v>8</v>
      </c>
      <c r="G967" s="66" t="s">
        <v>850</v>
      </c>
      <c r="H967" s="8"/>
      <c r="I967" s="8"/>
      <c r="J967" s="6" t="s">
        <v>455</v>
      </c>
      <c r="K967" s="39" t="s">
        <v>215</v>
      </c>
      <c r="L967" s="4" t="s">
        <v>29</v>
      </c>
      <c r="M967" s="11">
        <f>_xlfn.NUMBERVALUE(LEFT(Table613612[[#This Row],[Fiscal Year]], 4))</f>
        <v>2015</v>
      </c>
      <c r="O967" s="3">
        <v>965</v>
      </c>
    </row>
    <row r="968" spans="1:15" x14ac:dyDescent="0.25">
      <c r="A968" s="3">
        <v>4</v>
      </c>
      <c r="B968" s="3" t="s">
        <v>185</v>
      </c>
      <c r="C968" s="1" t="s">
        <v>12</v>
      </c>
      <c r="D968" s="1" t="s">
        <v>444</v>
      </c>
      <c r="E968" s="11" t="s">
        <v>144</v>
      </c>
      <c r="F968" s="3" t="s">
        <v>8</v>
      </c>
      <c r="G968" s="66" t="s">
        <v>851</v>
      </c>
      <c r="H968" s="8"/>
      <c r="I968" s="8"/>
      <c r="J968" s="6" t="s">
        <v>76</v>
      </c>
      <c r="K968" s="38">
        <v>0</v>
      </c>
      <c r="L968" s="4" t="s">
        <v>29</v>
      </c>
      <c r="M968" s="11">
        <f>_xlfn.NUMBERVALUE(LEFT(Table613612[[#This Row],[Fiscal Year]], 4))</f>
        <v>2015</v>
      </c>
      <c r="N968" s="43">
        <f t="shared" si="21"/>
        <v>0</v>
      </c>
      <c r="O968" s="3">
        <v>966</v>
      </c>
    </row>
    <row r="969" spans="1:15" x14ac:dyDescent="0.25">
      <c r="A969" s="3">
        <v>4</v>
      </c>
      <c r="B969" s="3" t="s">
        <v>185</v>
      </c>
      <c r="C969" s="1" t="s">
        <v>12</v>
      </c>
      <c r="D969" s="1" t="s">
        <v>444</v>
      </c>
      <c r="E969" s="11" t="s">
        <v>144</v>
      </c>
      <c r="F969" s="3" t="s">
        <v>8</v>
      </c>
      <c r="G969" s="66" t="s">
        <v>852</v>
      </c>
      <c r="H969" s="8"/>
      <c r="I969" s="8"/>
      <c r="J969" s="6" t="s">
        <v>76</v>
      </c>
      <c r="K969" s="38">
        <v>0</v>
      </c>
      <c r="L969" s="4" t="s">
        <v>29</v>
      </c>
      <c r="M969" s="11">
        <f>_xlfn.NUMBERVALUE(LEFT(Table613612[[#This Row],[Fiscal Year]], 4))</f>
        <v>2015</v>
      </c>
      <c r="N969" s="43">
        <f t="shared" si="21"/>
        <v>0</v>
      </c>
      <c r="O969" s="3">
        <v>967</v>
      </c>
    </row>
    <row r="970" spans="1:15" x14ac:dyDescent="0.25">
      <c r="A970" s="3">
        <v>4</v>
      </c>
      <c r="B970" s="3" t="s">
        <v>185</v>
      </c>
      <c r="C970" s="1" t="s">
        <v>12</v>
      </c>
      <c r="D970" s="1" t="s">
        <v>444</v>
      </c>
      <c r="E970" s="11" t="s">
        <v>144</v>
      </c>
      <c r="F970" s="3" t="s">
        <v>8</v>
      </c>
      <c r="G970" s="48" t="s">
        <v>853</v>
      </c>
      <c r="H970" s="8"/>
      <c r="I970" s="8"/>
      <c r="J970" s="6" t="s">
        <v>76</v>
      </c>
      <c r="K970" s="38">
        <v>0</v>
      </c>
      <c r="L970" s="4" t="s">
        <v>29</v>
      </c>
      <c r="M970" s="11">
        <f>_xlfn.NUMBERVALUE(LEFT(Table613612[[#This Row],[Fiscal Year]], 4))</f>
        <v>2015</v>
      </c>
      <c r="N970" s="43">
        <f t="shared" si="21"/>
        <v>0</v>
      </c>
      <c r="O970" s="3">
        <v>968</v>
      </c>
    </row>
    <row r="971" spans="1:15" x14ac:dyDescent="0.25">
      <c r="A971" s="3">
        <v>4</v>
      </c>
      <c r="B971" s="3" t="s">
        <v>185</v>
      </c>
      <c r="C971" s="1" t="s">
        <v>12</v>
      </c>
      <c r="D971" s="1" t="s">
        <v>444</v>
      </c>
      <c r="E971" s="11" t="s">
        <v>144</v>
      </c>
      <c r="F971" s="3" t="s">
        <v>8</v>
      </c>
      <c r="G971" s="63" t="s">
        <v>936</v>
      </c>
      <c r="H971" s="8"/>
      <c r="I971" s="8"/>
      <c r="J971" s="6" t="s">
        <v>47</v>
      </c>
      <c r="K971" s="38">
        <v>41106.83</v>
      </c>
      <c r="L971" s="4" t="s">
        <v>29</v>
      </c>
      <c r="M971" s="11">
        <f>_xlfn.NUMBERVALUE(LEFT(Table613612[[#This Row],[Fiscal Year]], 4))</f>
        <v>2015</v>
      </c>
      <c r="N971" s="42">
        <f t="shared" si="21"/>
        <v>43644.52632797468</v>
      </c>
      <c r="O971" s="3">
        <v>969</v>
      </c>
    </row>
    <row r="972" spans="1:15" x14ac:dyDescent="0.25">
      <c r="A972" s="3">
        <v>4</v>
      </c>
      <c r="B972" s="3" t="s">
        <v>185</v>
      </c>
      <c r="C972" s="1" t="s">
        <v>12</v>
      </c>
      <c r="D972" s="1" t="s">
        <v>444</v>
      </c>
      <c r="E972" s="11" t="s">
        <v>144</v>
      </c>
      <c r="F972" s="3" t="s">
        <v>8</v>
      </c>
      <c r="G972" s="63" t="s">
        <v>937</v>
      </c>
      <c r="H972" s="8" t="s">
        <v>938</v>
      </c>
      <c r="I972" s="8" t="s">
        <v>429</v>
      </c>
      <c r="J972" s="6" t="s">
        <v>605</v>
      </c>
      <c r="K972" s="38">
        <v>9626.5</v>
      </c>
      <c r="L972" s="4" t="s">
        <v>29</v>
      </c>
      <c r="M972" s="11">
        <f>_xlfn.NUMBERVALUE(LEFT(Table613612[[#This Row],[Fiscal Year]], 4))</f>
        <v>2015</v>
      </c>
      <c r="N972" s="42">
        <f t="shared" si="21"/>
        <v>10220.784056962024</v>
      </c>
      <c r="O972" s="3">
        <v>970</v>
      </c>
    </row>
    <row r="973" spans="1:15" x14ac:dyDescent="0.25">
      <c r="C973" s="1"/>
      <c r="D973" s="1"/>
      <c r="E973" s="11"/>
      <c r="G973" s="66"/>
      <c r="H973" s="8"/>
      <c r="I973" s="8"/>
      <c r="J973" s="6"/>
      <c r="L973" s="4"/>
      <c r="O973" s="3">
        <v>971</v>
      </c>
    </row>
    <row r="974" spans="1:15" x14ac:dyDescent="0.25">
      <c r="A974" s="3">
        <v>4</v>
      </c>
      <c r="B974" s="3" t="s">
        <v>186</v>
      </c>
      <c r="C974" s="1" t="s">
        <v>12</v>
      </c>
      <c r="D974" s="1" t="s">
        <v>444</v>
      </c>
      <c r="E974" s="11" t="s">
        <v>144</v>
      </c>
      <c r="F974" s="3" t="s">
        <v>8</v>
      </c>
      <c r="G974" s="48" t="s">
        <v>32</v>
      </c>
      <c r="H974" s="8"/>
      <c r="I974" s="8"/>
      <c r="J974" s="6" t="s">
        <v>110</v>
      </c>
      <c r="K974" s="38">
        <v>2676242</v>
      </c>
      <c r="L974" s="4" t="s">
        <v>29</v>
      </c>
      <c r="M974" s="11">
        <f>_xlfn.NUMBERVALUE(LEFT(Table613612[[#This Row],[Fiscal Year]], 4))</f>
        <v>2015</v>
      </c>
      <c r="N974" s="42">
        <f t="shared" si="21"/>
        <v>2841457.5978987338</v>
      </c>
      <c r="O974" s="3">
        <v>972</v>
      </c>
    </row>
    <row r="975" spans="1:15" x14ac:dyDescent="0.25">
      <c r="A975" s="3">
        <v>4</v>
      </c>
      <c r="B975" s="3" t="s">
        <v>186</v>
      </c>
      <c r="C975" s="1" t="s">
        <v>12</v>
      </c>
      <c r="D975" s="1" t="s">
        <v>444</v>
      </c>
      <c r="E975" s="11" t="s">
        <v>144</v>
      </c>
      <c r="F975" s="3" t="s">
        <v>8</v>
      </c>
      <c r="G975" s="66" t="s">
        <v>58</v>
      </c>
      <c r="H975" s="8"/>
      <c r="I975" s="8"/>
      <c r="J975" s="6" t="s">
        <v>453</v>
      </c>
      <c r="K975" s="38">
        <v>22249</v>
      </c>
      <c r="L975" s="4" t="s">
        <v>29</v>
      </c>
      <c r="M975" s="11">
        <f>_xlfn.NUMBERVALUE(LEFT(Table613612[[#This Row],[Fiscal Year]], 4))</f>
        <v>2015</v>
      </c>
      <c r="N975" s="42">
        <f t="shared" si="21"/>
        <v>23622.523708860757</v>
      </c>
      <c r="O975" s="3">
        <v>973</v>
      </c>
    </row>
    <row r="976" spans="1:15" x14ac:dyDescent="0.25">
      <c r="A976" s="3">
        <v>4</v>
      </c>
      <c r="B976" s="3" t="s">
        <v>186</v>
      </c>
      <c r="C976" s="1" t="s">
        <v>12</v>
      </c>
      <c r="D976" s="1" t="s">
        <v>444</v>
      </c>
      <c r="E976" s="11" t="s">
        <v>144</v>
      </c>
      <c r="F976" s="3" t="s">
        <v>8</v>
      </c>
      <c r="G976" s="66" t="s">
        <v>208</v>
      </c>
      <c r="H976" s="8"/>
      <c r="I976" s="8"/>
      <c r="J976" s="6" t="s">
        <v>109</v>
      </c>
      <c r="K976" s="38">
        <v>96752</v>
      </c>
      <c r="L976" s="4" t="s">
        <v>29</v>
      </c>
      <c r="M976" s="11">
        <f>_xlfn.NUMBERVALUE(LEFT(Table613612[[#This Row],[Fiscal Year]], 4))</f>
        <v>2015</v>
      </c>
      <c r="N976" s="42">
        <f t="shared" si="21"/>
        <v>102724.90511392405</v>
      </c>
      <c r="O976" s="3">
        <v>974</v>
      </c>
    </row>
    <row r="977" spans="1:15" x14ac:dyDescent="0.25">
      <c r="A977" s="3">
        <v>4</v>
      </c>
      <c r="B977" s="3" t="s">
        <v>186</v>
      </c>
      <c r="C977" s="1" t="s">
        <v>12</v>
      </c>
      <c r="D977" s="1" t="s">
        <v>444</v>
      </c>
      <c r="E977" s="11" t="s">
        <v>144</v>
      </c>
      <c r="F977" s="3" t="s">
        <v>8</v>
      </c>
      <c r="G977" s="48" t="s">
        <v>59</v>
      </c>
      <c r="H977" s="8"/>
      <c r="I977" s="8"/>
      <c r="J977" s="6" t="s">
        <v>111</v>
      </c>
      <c r="K977" s="38">
        <v>0</v>
      </c>
      <c r="L977" s="4" t="s">
        <v>29</v>
      </c>
      <c r="M977" s="11">
        <f>_xlfn.NUMBERVALUE(LEFT(Table613612[[#This Row],[Fiscal Year]], 4))</f>
        <v>2015</v>
      </c>
      <c r="N977" s="43">
        <f t="shared" si="21"/>
        <v>0</v>
      </c>
      <c r="O977" s="3">
        <v>975</v>
      </c>
    </row>
    <row r="978" spans="1:15" x14ac:dyDescent="0.25">
      <c r="A978" s="3">
        <v>4</v>
      </c>
      <c r="B978" s="3" t="s">
        <v>186</v>
      </c>
      <c r="C978" s="1" t="s">
        <v>12</v>
      </c>
      <c r="D978" s="1" t="s">
        <v>444</v>
      </c>
      <c r="E978" s="11" t="s">
        <v>144</v>
      </c>
      <c r="F978" s="3" t="s">
        <v>8</v>
      </c>
      <c r="G978" s="66" t="s">
        <v>60</v>
      </c>
      <c r="H978" s="8"/>
      <c r="I978" s="8"/>
      <c r="J978" s="6" t="s">
        <v>111</v>
      </c>
      <c r="K978" s="38">
        <v>0</v>
      </c>
      <c r="L978" s="4" t="s">
        <v>29</v>
      </c>
      <c r="M978" s="11">
        <f>_xlfn.NUMBERVALUE(LEFT(Table613612[[#This Row],[Fiscal Year]], 4))</f>
        <v>2015</v>
      </c>
      <c r="N978" s="43">
        <f t="shared" si="21"/>
        <v>0</v>
      </c>
      <c r="O978" s="3">
        <v>976</v>
      </c>
    </row>
    <row r="979" spans="1:15" x14ac:dyDescent="0.25">
      <c r="A979" s="3">
        <v>4</v>
      </c>
      <c r="B979" s="3" t="s">
        <v>186</v>
      </c>
      <c r="C979" s="1" t="s">
        <v>12</v>
      </c>
      <c r="D979" s="1" t="s">
        <v>444</v>
      </c>
      <c r="E979" s="11" t="s">
        <v>144</v>
      </c>
      <c r="F979" s="3" t="s">
        <v>8</v>
      </c>
      <c r="G979" s="48" t="s">
        <v>61</v>
      </c>
      <c r="H979" s="8"/>
      <c r="I979" s="8"/>
      <c r="J979" s="6" t="s">
        <v>108</v>
      </c>
      <c r="K979" s="38">
        <v>6474237</v>
      </c>
      <c r="L979" s="4" t="s">
        <v>29</v>
      </c>
      <c r="M979" s="11">
        <f>_xlfn.NUMBERVALUE(LEFT(Table613612[[#This Row],[Fiscal Year]], 4))</f>
        <v>2015</v>
      </c>
      <c r="N979" s="42">
        <f>K979*(1+VLOOKUP(M979,$AF$8:$AH$31,3,0))</f>
        <v>6873918.694291139</v>
      </c>
      <c r="O979" s="3">
        <v>977</v>
      </c>
    </row>
    <row r="980" spans="1:15" x14ac:dyDescent="0.25">
      <c r="A980" s="3">
        <v>4</v>
      </c>
      <c r="B980" s="3" t="s">
        <v>186</v>
      </c>
      <c r="C980" s="1" t="s">
        <v>12</v>
      </c>
      <c r="D980" s="1" t="s">
        <v>444</v>
      </c>
      <c r="E980" s="11" t="s">
        <v>144</v>
      </c>
      <c r="F980" s="3" t="s">
        <v>8</v>
      </c>
      <c r="G980" s="66" t="s">
        <v>62</v>
      </c>
      <c r="H980" s="8"/>
      <c r="I980" s="8"/>
      <c r="J980" s="6" t="s">
        <v>106</v>
      </c>
      <c r="K980" s="38">
        <v>0</v>
      </c>
      <c r="L980" s="4" t="s">
        <v>29</v>
      </c>
      <c r="M980" s="11">
        <f>_xlfn.NUMBERVALUE(LEFT(Table613612[[#This Row],[Fiscal Year]], 4))</f>
        <v>2015</v>
      </c>
      <c r="N980" s="43">
        <f t="shared" si="21"/>
        <v>0</v>
      </c>
      <c r="O980" s="3">
        <v>978</v>
      </c>
    </row>
    <row r="981" spans="1:15" x14ac:dyDescent="0.25">
      <c r="A981" s="3">
        <v>4</v>
      </c>
      <c r="B981" s="3" t="s">
        <v>186</v>
      </c>
      <c r="C981" s="1" t="s">
        <v>12</v>
      </c>
      <c r="D981" s="1" t="s">
        <v>444</v>
      </c>
      <c r="E981" s="11" t="s">
        <v>144</v>
      </c>
      <c r="F981" s="3" t="s">
        <v>8</v>
      </c>
      <c r="G981" s="66" t="s">
        <v>211</v>
      </c>
      <c r="H981" s="8"/>
      <c r="I981" s="8"/>
      <c r="J981" s="6" t="s">
        <v>455</v>
      </c>
      <c r="K981" s="38">
        <v>0</v>
      </c>
      <c r="L981" s="4" t="s">
        <v>29</v>
      </c>
      <c r="M981" s="11">
        <f>_xlfn.NUMBERVALUE(LEFT(Table613612[[#This Row],[Fiscal Year]], 4))</f>
        <v>2015</v>
      </c>
      <c r="N981" s="43">
        <f t="shared" si="21"/>
        <v>0</v>
      </c>
      <c r="O981" s="3">
        <v>979</v>
      </c>
    </row>
    <row r="982" spans="1:15" x14ac:dyDescent="0.25">
      <c r="A982" s="3">
        <v>4</v>
      </c>
      <c r="B982" s="3" t="s">
        <v>186</v>
      </c>
      <c r="C982" s="1" t="s">
        <v>12</v>
      </c>
      <c r="D982" s="1" t="s">
        <v>444</v>
      </c>
      <c r="E982" s="11" t="s">
        <v>144</v>
      </c>
      <c r="F982" s="3" t="s">
        <v>8</v>
      </c>
      <c r="G982" s="66" t="s">
        <v>64</v>
      </c>
      <c r="H982" s="8"/>
      <c r="I982" s="8"/>
      <c r="J982" s="6" t="s">
        <v>76</v>
      </c>
      <c r="K982" s="38">
        <v>712934</v>
      </c>
      <c r="L982" s="4" t="s">
        <v>29</v>
      </c>
      <c r="M982" s="11">
        <f>_xlfn.NUMBERVALUE(LEFT(Table613612[[#This Row],[Fiscal Year]], 4))</f>
        <v>2015</v>
      </c>
      <c r="N982" s="42">
        <f>K982*(1+VLOOKUP(M982,$AF$8:$AH$31,3,0))</f>
        <v>756946.39389873412</v>
      </c>
      <c r="O982" s="3">
        <v>980</v>
      </c>
    </row>
    <row r="983" spans="1:15" x14ac:dyDescent="0.25">
      <c r="A983" s="3">
        <v>4</v>
      </c>
      <c r="B983" s="3" t="s">
        <v>186</v>
      </c>
      <c r="C983" s="1" t="s">
        <v>12</v>
      </c>
      <c r="D983" s="1" t="s">
        <v>444</v>
      </c>
      <c r="E983" s="11" t="s">
        <v>144</v>
      </c>
      <c r="F983" s="3" t="s">
        <v>8</v>
      </c>
      <c r="G983" s="66" t="s">
        <v>65</v>
      </c>
      <c r="H983" s="8"/>
      <c r="I983" s="8"/>
      <c r="J983" s="6" t="s">
        <v>76</v>
      </c>
      <c r="K983" s="38">
        <v>0</v>
      </c>
      <c r="L983" s="4" t="s">
        <v>29</v>
      </c>
      <c r="M983" s="11">
        <f>_xlfn.NUMBERVALUE(LEFT(Table613612[[#This Row],[Fiscal Year]], 4))</f>
        <v>2015</v>
      </c>
      <c r="N983" s="43">
        <f t="shared" si="21"/>
        <v>0</v>
      </c>
      <c r="O983" s="3">
        <v>981</v>
      </c>
    </row>
    <row r="984" spans="1:15" x14ac:dyDescent="0.25">
      <c r="A984" s="3">
        <v>4</v>
      </c>
      <c r="B984" s="3" t="s">
        <v>186</v>
      </c>
      <c r="C984" s="1" t="s">
        <v>12</v>
      </c>
      <c r="D984" s="1" t="s">
        <v>444</v>
      </c>
      <c r="E984" s="11" t="s">
        <v>144</v>
      </c>
      <c r="F984" s="3" t="s">
        <v>8</v>
      </c>
      <c r="G984" s="48" t="s">
        <v>66</v>
      </c>
      <c r="H984" s="8"/>
      <c r="I984" s="8"/>
      <c r="J984" s="6" t="s">
        <v>76</v>
      </c>
      <c r="K984" s="38">
        <v>0</v>
      </c>
      <c r="L984" s="4" t="s">
        <v>29</v>
      </c>
      <c r="M984" s="11">
        <f>_xlfn.NUMBERVALUE(LEFT(Table613612[[#This Row],[Fiscal Year]], 4))</f>
        <v>2015</v>
      </c>
      <c r="N984" s="43">
        <f t="shared" si="21"/>
        <v>0</v>
      </c>
      <c r="O984" s="3">
        <v>982</v>
      </c>
    </row>
    <row r="985" spans="1:15" x14ac:dyDescent="0.25">
      <c r="A985" s="3">
        <v>4</v>
      </c>
      <c r="B985" s="3" t="s">
        <v>186</v>
      </c>
      <c r="C985" s="1" t="s">
        <v>12</v>
      </c>
      <c r="D985" s="1" t="s">
        <v>444</v>
      </c>
      <c r="E985" s="11" t="s">
        <v>144</v>
      </c>
      <c r="F985" s="3" t="s">
        <v>8</v>
      </c>
      <c r="G985" s="66" t="s">
        <v>33</v>
      </c>
      <c r="H985" s="8"/>
      <c r="I985" s="8"/>
      <c r="J985" s="6" t="s">
        <v>47</v>
      </c>
      <c r="K985" s="38">
        <v>202893</v>
      </c>
      <c r="L985" s="4" t="s">
        <v>29</v>
      </c>
      <c r="M985" s="11">
        <f>_xlfn.NUMBERVALUE(LEFT(Table613612[[#This Row],[Fiscal Year]], 4))</f>
        <v>2015</v>
      </c>
      <c r="N985" s="42">
        <f t="shared" si="21"/>
        <v>215418.43241772152</v>
      </c>
      <c r="O985" s="3">
        <v>983</v>
      </c>
    </row>
    <row r="986" spans="1:15" x14ac:dyDescent="0.25">
      <c r="A986" s="3">
        <v>4</v>
      </c>
      <c r="B986" s="3" t="s">
        <v>186</v>
      </c>
      <c r="C986" s="1" t="s">
        <v>12</v>
      </c>
      <c r="D986" s="1" t="s">
        <v>444</v>
      </c>
      <c r="E986" s="11" t="s">
        <v>144</v>
      </c>
      <c r="F986" s="3" t="s">
        <v>8</v>
      </c>
      <c r="G986" s="66" t="s">
        <v>67</v>
      </c>
      <c r="H986" s="8"/>
      <c r="I986" s="8"/>
      <c r="J986" s="6" t="s">
        <v>455</v>
      </c>
      <c r="K986" s="38">
        <v>432650</v>
      </c>
      <c r="L986" s="4" t="s">
        <v>29</v>
      </c>
      <c r="M986" s="11">
        <f>_xlfn.NUMBERVALUE(LEFT(Table613612[[#This Row],[Fiscal Year]], 4))</f>
        <v>2015</v>
      </c>
      <c r="N986" s="42">
        <f t="shared" si="21"/>
        <v>459359.29177215189</v>
      </c>
      <c r="O986" s="3">
        <v>984</v>
      </c>
    </row>
    <row r="987" spans="1:15" x14ac:dyDescent="0.25">
      <c r="C987" s="1"/>
      <c r="D987" s="1"/>
      <c r="E987" s="11"/>
      <c r="G987" s="66"/>
      <c r="H987" s="8"/>
      <c r="I987" s="8"/>
      <c r="J987" s="6"/>
      <c r="L987" s="4"/>
      <c r="O987" s="3">
        <v>985</v>
      </c>
    </row>
    <row r="988" spans="1:15" x14ac:dyDescent="0.25">
      <c r="A988" s="3">
        <v>4</v>
      </c>
      <c r="B988" s="3" t="s">
        <v>187</v>
      </c>
      <c r="C988" s="1" t="s">
        <v>12</v>
      </c>
      <c r="D988" s="1" t="s">
        <v>444</v>
      </c>
      <c r="E988" s="11" t="s">
        <v>144</v>
      </c>
      <c r="F988" s="3" t="s">
        <v>8</v>
      </c>
      <c r="G988" s="48" t="s">
        <v>32</v>
      </c>
      <c r="H988" s="8"/>
      <c r="I988" s="8"/>
      <c r="J988" s="6" t="s">
        <v>110</v>
      </c>
      <c r="K988" s="38">
        <v>161389</v>
      </c>
      <c r="L988" s="4" t="s">
        <v>29</v>
      </c>
      <c r="M988" s="11">
        <f>_xlfn.NUMBERVALUE(LEFT(Table613612[[#This Row],[Fiscal Year]], 4))</f>
        <v>2015</v>
      </c>
      <c r="N988" s="42">
        <f t="shared" si="21"/>
        <v>171352.21712658225</v>
      </c>
      <c r="O988" s="3">
        <v>986</v>
      </c>
    </row>
    <row r="989" spans="1:15" x14ac:dyDescent="0.25">
      <c r="A989" s="3">
        <v>4</v>
      </c>
      <c r="B989" s="3" t="s">
        <v>187</v>
      </c>
      <c r="C989" s="1" t="s">
        <v>12</v>
      </c>
      <c r="D989" s="1" t="s">
        <v>444</v>
      </c>
      <c r="E989" s="11" t="s">
        <v>144</v>
      </c>
      <c r="F989" s="3" t="s">
        <v>8</v>
      </c>
      <c r="G989" s="66" t="s">
        <v>58</v>
      </c>
      <c r="H989" s="8"/>
      <c r="I989" s="8"/>
      <c r="J989" s="6" t="s">
        <v>453</v>
      </c>
      <c r="K989" s="38">
        <v>1200</v>
      </c>
      <c r="L989" s="4" t="s">
        <v>29</v>
      </c>
      <c r="M989" s="11">
        <f>_xlfn.NUMBERVALUE(LEFT(Table613612[[#This Row],[Fiscal Year]], 4))</f>
        <v>2015</v>
      </c>
      <c r="N989" s="42">
        <f t="shared" si="21"/>
        <v>1274.0810126582278</v>
      </c>
      <c r="O989" s="3">
        <v>987</v>
      </c>
    </row>
    <row r="990" spans="1:15" x14ac:dyDescent="0.25">
      <c r="A990" s="3">
        <v>4</v>
      </c>
      <c r="B990" s="3" t="s">
        <v>187</v>
      </c>
      <c r="C990" s="1" t="s">
        <v>12</v>
      </c>
      <c r="D990" s="1" t="s">
        <v>444</v>
      </c>
      <c r="E990" s="11" t="s">
        <v>144</v>
      </c>
      <c r="F990" s="3" t="s">
        <v>8</v>
      </c>
      <c r="G990" s="66" t="s">
        <v>208</v>
      </c>
      <c r="H990" s="8"/>
      <c r="I990" s="8"/>
      <c r="J990" s="6" t="s">
        <v>109</v>
      </c>
      <c r="K990" s="38">
        <v>9300</v>
      </c>
      <c r="L990" s="4" t="s">
        <v>29</v>
      </c>
      <c r="M990" s="11">
        <f>_xlfn.NUMBERVALUE(LEFT(Table613612[[#This Row],[Fiscal Year]], 4))</f>
        <v>2015</v>
      </c>
      <c r="N990" s="42">
        <f t="shared" ref="N990:N1053" si="22">K990*(1+VLOOKUP(M990,$AF$8:$AH$31,3,0))</f>
        <v>9874.127848101265</v>
      </c>
      <c r="O990" s="3">
        <v>988</v>
      </c>
    </row>
    <row r="991" spans="1:15" x14ac:dyDescent="0.25">
      <c r="A991" s="3">
        <v>4</v>
      </c>
      <c r="B991" s="3" t="s">
        <v>187</v>
      </c>
      <c r="C991" s="1" t="s">
        <v>12</v>
      </c>
      <c r="D991" s="1" t="s">
        <v>444</v>
      </c>
      <c r="E991" s="11" t="s">
        <v>144</v>
      </c>
      <c r="F991" s="3" t="s">
        <v>8</v>
      </c>
      <c r="G991" s="48" t="s">
        <v>59</v>
      </c>
      <c r="H991" s="8"/>
      <c r="I991" s="8"/>
      <c r="J991" s="6" t="s">
        <v>111</v>
      </c>
      <c r="K991" s="38">
        <v>9556</v>
      </c>
      <c r="L991" s="4" t="s">
        <v>29</v>
      </c>
      <c r="M991" s="11">
        <f>_xlfn.NUMBERVALUE(LEFT(Table613612[[#This Row],[Fiscal Year]], 4))</f>
        <v>2015</v>
      </c>
      <c r="N991" s="42">
        <f t="shared" si="22"/>
        <v>10145.931797468354</v>
      </c>
      <c r="O991" s="3">
        <v>989</v>
      </c>
    </row>
    <row r="992" spans="1:15" x14ac:dyDescent="0.25">
      <c r="A992" s="3">
        <v>4</v>
      </c>
      <c r="B992" s="3" t="s">
        <v>187</v>
      </c>
      <c r="C992" s="1" t="s">
        <v>12</v>
      </c>
      <c r="D992" s="1" t="s">
        <v>444</v>
      </c>
      <c r="E992" s="11" t="s">
        <v>144</v>
      </c>
      <c r="F992" s="3" t="s">
        <v>8</v>
      </c>
      <c r="G992" s="66" t="s">
        <v>60</v>
      </c>
      <c r="H992" s="8"/>
      <c r="I992" s="8"/>
      <c r="J992" s="6" t="s">
        <v>111</v>
      </c>
      <c r="K992" s="38">
        <v>7497</v>
      </c>
      <c r="L992" s="4" t="s">
        <v>29</v>
      </c>
      <c r="M992" s="11">
        <f>_xlfn.NUMBERVALUE(LEFT(Table613612[[#This Row],[Fiscal Year]], 4))</f>
        <v>2015</v>
      </c>
      <c r="N992" s="42">
        <f t="shared" si="22"/>
        <v>7959.8211265822783</v>
      </c>
      <c r="O992" s="3">
        <v>990</v>
      </c>
    </row>
    <row r="993" spans="1:15" x14ac:dyDescent="0.25">
      <c r="A993" s="3">
        <v>4</v>
      </c>
      <c r="B993" s="3" t="s">
        <v>187</v>
      </c>
      <c r="C993" s="1" t="s">
        <v>12</v>
      </c>
      <c r="D993" s="1" t="s">
        <v>444</v>
      </c>
      <c r="E993" s="11" t="s">
        <v>144</v>
      </c>
      <c r="F993" s="3" t="s">
        <v>8</v>
      </c>
      <c r="G993" s="48" t="s">
        <v>61</v>
      </c>
      <c r="H993" s="8"/>
      <c r="I993" s="8"/>
      <c r="J993" s="6" t="s">
        <v>108</v>
      </c>
      <c r="K993" s="38">
        <v>404974</v>
      </c>
      <c r="L993" s="4" t="s">
        <v>29</v>
      </c>
      <c r="M993" s="11">
        <f>_xlfn.NUMBERVALUE(LEFT(Table613612[[#This Row],[Fiscal Year]], 4))</f>
        <v>2015</v>
      </c>
      <c r="N993" s="42">
        <f t="shared" si="22"/>
        <v>429974.7366835443</v>
      </c>
      <c r="O993" s="3">
        <v>991</v>
      </c>
    </row>
    <row r="994" spans="1:15" x14ac:dyDescent="0.25">
      <c r="A994" s="3">
        <v>4</v>
      </c>
      <c r="B994" s="3" t="s">
        <v>187</v>
      </c>
      <c r="C994" s="1" t="s">
        <v>12</v>
      </c>
      <c r="D994" s="1" t="s">
        <v>444</v>
      </c>
      <c r="E994" s="11" t="s">
        <v>144</v>
      </c>
      <c r="F994" s="3" t="s">
        <v>8</v>
      </c>
      <c r="G994" s="66" t="s">
        <v>62</v>
      </c>
      <c r="H994" s="8"/>
      <c r="I994" s="8"/>
      <c r="J994" s="6" t="s">
        <v>106</v>
      </c>
      <c r="K994" s="38">
        <v>29378</v>
      </c>
      <c r="L994" s="4" t="s">
        <v>29</v>
      </c>
      <c r="M994" s="11">
        <f>_xlfn.NUMBERVALUE(LEFT(Table613612[[#This Row],[Fiscal Year]], 4))</f>
        <v>2015</v>
      </c>
      <c r="N994" s="42">
        <f t="shared" si="22"/>
        <v>31191.626658227848</v>
      </c>
      <c r="O994" s="3">
        <v>992</v>
      </c>
    </row>
    <row r="995" spans="1:15" x14ac:dyDescent="0.25">
      <c r="A995" s="3">
        <v>4</v>
      </c>
      <c r="B995" s="3" t="s">
        <v>187</v>
      </c>
      <c r="C995" s="1" t="s">
        <v>12</v>
      </c>
      <c r="D995" s="1" t="s">
        <v>444</v>
      </c>
      <c r="E995" s="11" t="s">
        <v>144</v>
      </c>
      <c r="F995" s="3" t="s">
        <v>8</v>
      </c>
      <c r="G995" s="66" t="s">
        <v>211</v>
      </c>
      <c r="H995" s="8"/>
      <c r="I995" s="8"/>
      <c r="J995" s="6" t="s">
        <v>455</v>
      </c>
      <c r="K995" s="38">
        <v>25000</v>
      </c>
      <c r="L995" s="4" t="s">
        <v>29</v>
      </c>
      <c r="M995" s="11">
        <f>_xlfn.NUMBERVALUE(LEFT(Table613612[[#This Row],[Fiscal Year]], 4))</f>
        <v>2015</v>
      </c>
      <c r="N995" s="42">
        <f t="shared" si="22"/>
        <v>26543.354430379746</v>
      </c>
      <c r="O995" s="3">
        <v>993</v>
      </c>
    </row>
    <row r="996" spans="1:15" x14ac:dyDescent="0.25">
      <c r="A996" s="3">
        <v>4</v>
      </c>
      <c r="B996" s="3" t="s">
        <v>187</v>
      </c>
      <c r="C996" s="1" t="s">
        <v>12</v>
      </c>
      <c r="D996" s="1" t="s">
        <v>444</v>
      </c>
      <c r="E996" s="11" t="s">
        <v>144</v>
      </c>
      <c r="F996" s="3" t="s">
        <v>8</v>
      </c>
      <c r="G996" s="66" t="s">
        <v>64</v>
      </c>
      <c r="H996" s="8"/>
      <c r="I996" s="8"/>
      <c r="J996" s="6" t="s">
        <v>76</v>
      </c>
      <c r="K996" s="38">
        <v>0</v>
      </c>
      <c r="L996" s="4" t="s">
        <v>29</v>
      </c>
      <c r="M996" s="11">
        <f>_xlfn.NUMBERVALUE(LEFT(Table613612[[#This Row],[Fiscal Year]], 4))</f>
        <v>2015</v>
      </c>
      <c r="N996" s="43">
        <f t="shared" si="22"/>
        <v>0</v>
      </c>
      <c r="O996" s="3">
        <v>994</v>
      </c>
    </row>
    <row r="997" spans="1:15" x14ac:dyDescent="0.25">
      <c r="A997" s="3">
        <v>4</v>
      </c>
      <c r="B997" s="3" t="s">
        <v>187</v>
      </c>
      <c r="C997" s="1" t="s">
        <v>12</v>
      </c>
      <c r="D997" s="1" t="s">
        <v>444</v>
      </c>
      <c r="E997" s="11" t="s">
        <v>144</v>
      </c>
      <c r="F997" s="3" t="s">
        <v>8</v>
      </c>
      <c r="G997" s="66" t="s">
        <v>65</v>
      </c>
      <c r="H997" s="8"/>
      <c r="I997" s="8"/>
      <c r="J997" s="6" t="s">
        <v>76</v>
      </c>
      <c r="K997" s="38">
        <v>0</v>
      </c>
      <c r="L997" s="4" t="s">
        <v>29</v>
      </c>
      <c r="M997" s="11">
        <f>_xlfn.NUMBERVALUE(LEFT(Table613612[[#This Row],[Fiscal Year]], 4))</f>
        <v>2015</v>
      </c>
      <c r="N997" s="43">
        <f t="shared" si="22"/>
        <v>0</v>
      </c>
      <c r="O997" s="3">
        <v>995</v>
      </c>
    </row>
    <row r="998" spans="1:15" x14ac:dyDescent="0.25">
      <c r="A998" s="3">
        <v>4</v>
      </c>
      <c r="B998" s="3" t="s">
        <v>187</v>
      </c>
      <c r="C998" s="1" t="s">
        <v>12</v>
      </c>
      <c r="D998" s="1" t="s">
        <v>444</v>
      </c>
      <c r="E998" s="11" t="s">
        <v>144</v>
      </c>
      <c r="F998" s="3" t="s">
        <v>8</v>
      </c>
      <c r="G998" s="48" t="s">
        <v>66</v>
      </c>
      <c r="H998" s="8"/>
      <c r="I998" s="8"/>
      <c r="J998" s="6" t="s">
        <v>76</v>
      </c>
      <c r="K998" s="38">
        <v>0</v>
      </c>
      <c r="L998" s="4" t="s">
        <v>29</v>
      </c>
      <c r="M998" s="11">
        <f>_xlfn.NUMBERVALUE(LEFT(Table613612[[#This Row],[Fiscal Year]], 4))</f>
        <v>2015</v>
      </c>
      <c r="N998" s="43">
        <f t="shared" si="22"/>
        <v>0</v>
      </c>
      <c r="O998" s="3">
        <v>996</v>
      </c>
    </row>
    <row r="999" spans="1:15" x14ac:dyDescent="0.25">
      <c r="A999" s="3">
        <v>4</v>
      </c>
      <c r="B999" s="3" t="s">
        <v>187</v>
      </c>
      <c r="C999" s="1" t="s">
        <v>12</v>
      </c>
      <c r="D999" s="1" t="s">
        <v>444</v>
      </c>
      <c r="E999" s="11" t="s">
        <v>144</v>
      </c>
      <c r="F999" s="3" t="s">
        <v>8</v>
      </c>
      <c r="G999" s="66" t="s">
        <v>33</v>
      </c>
      <c r="H999" s="8"/>
      <c r="I999" s="8"/>
      <c r="J999" s="6" t="s">
        <v>47</v>
      </c>
      <c r="K999" s="38">
        <v>72891</v>
      </c>
      <c r="L999" s="4" t="s">
        <v>29</v>
      </c>
      <c r="M999" s="11">
        <f>_xlfn.NUMBERVALUE(LEFT(Table613612[[#This Row],[Fiscal Year]], 4))</f>
        <v>2015</v>
      </c>
      <c r="N999" s="42">
        <f>K999*(1+VLOOKUP(M999,$AF$8:$AH$31,3,0))</f>
        <v>77390.865911392408</v>
      </c>
      <c r="O999" s="3">
        <v>997</v>
      </c>
    </row>
    <row r="1000" spans="1:15" x14ac:dyDescent="0.25">
      <c r="A1000" s="3">
        <v>4</v>
      </c>
      <c r="B1000" s="3" t="s">
        <v>187</v>
      </c>
      <c r="C1000" s="1" t="s">
        <v>12</v>
      </c>
      <c r="D1000" s="1" t="s">
        <v>444</v>
      </c>
      <c r="E1000" s="11" t="s">
        <v>144</v>
      </c>
      <c r="F1000" s="3" t="s">
        <v>8</v>
      </c>
      <c r="G1000" s="66" t="s">
        <v>67</v>
      </c>
      <c r="H1000" s="8"/>
      <c r="I1000" s="8"/>
      <c r="J1000" s="6" t="s">
        <v>455</v>
      </c>
      <c r="K1000" s="38">
        <v>0</v>
      </c>
      <c r="L1000" s="4" t="s">
        <v>29</v>
      </c>
      <c r="M1000" s="11">
        <f>_xlfn.NUMBERVALUE(LEFT(Table613612[[#This Row],[Fiscal Year]], 4))</f>
        <v>2015</v>
      </c>
      <c r="N1000" s="43">
        <f t="shared" si="22"/>
        <v>0</v>
      </c>
      <c r="O1000" s="3">
        <v>998</v>
      </c>
    </row>
    <row r="1001" spans="1:15" x14ac:dyDescent="0.25">
      <c r="C1001" s="1"/>
      <c r="D1001" s="1"/>
      <c r="E1001" s="11"/>
      <c r="G1001" s="66"/>
      <c r="H1001" s="8"/>
      <c r="I1001" s="8"/>
      <c r="J1001" s="6"/>
      <c r="L1001" s="4"/>
      <c r="O1001" s="3">
        <v>999</v>
      </c>
    </row>
    <row r="1002" spans="1:15" x14ac:dyDescent="0.25">
      <c r="A1002" s="3">
        <v>4</v>
      </c>
      <c r="B1002" s="3" t="s">
        <v>188</v>
      </c>
      <c r="C1002" s="1" t="s">
        <v>12</v>
      </c>
      <c r="D1002" s="1" t="s">
        <v>444</v>
      </c>
      <c r="E1002" s="11" t="s">
        <v>144</v>
      </c>
      <c r="F1002" s="3" t="s">
        <v>8</v>
      </c>
      <c r="G1002" s="56" t="s">
        <v>829</v>
      </c>
      <c r="H1002" s="8"/>
      <c r="I1002" s="8"/>
      <c r="J1002" s="6" t="s">
        <v>110</v>
      </c>
      <c r="K1002" s="38">
        <v>244064</v>
      </c>
      <c r="L1002" s="4" t="s">
        <v>29</v>
      </c>
      <c r="M1002" s="11">
        <f>_xlfn.NUMBERVALUE(LEFT(Table613612[[#This Row],[Fiscal Year]], 4))</f>
        <v>2015</v>
      </c>
      <c r="N1002" s="42">
        <f t="shared" si="22"/>
        <v>259131.09022784809</v>
      </c>
      <c r="O1002" s="3">
        <v>1000</v>
      </c>
    </row>
    <row r="1003" spans="1:15" x14ac:dyDescent="0.25">
      <c r="A1003" s="3">
        <v>4</v>
      </c>
      <c r="B1003" s="3" t="s">
        <v>188</v>
      </c>
      <c r="C1003" s="1" t="s">
        <v>12</v>
      </c>
      <c r="D1003" s="1" t="s">
        <v>444</v>
      </c>
      <c r="E1003" s="11" t="s">
        <v>144</v>
      </c>
      <c r="F1003" s="3" t="s">
        <v>8</v>
      </c>
      <c r="G1003" s="66" t="s">
        <v>844</v>
      </c>
      <c r="H1003" s="8"/>
      <c r="I1003" s="8"/>
      <c r="J1003" s="6" t="s">
        <v>453</v>
      </c>
      <c r="K1003" s="38">
        <v>204113</v>
      </c>
      <c r="L1003" s="4" t="s">
        <v>29</v>
      </c>
      <c r="M1003" s="11">
        <f>_xlfn.NUMBERVALUE(LEFT(Table613612[[#This Row],[Fiscal Year]], 4))</f>
        <v>2015</v>
      </c>
      <c r="N1003" s="42">
        <f t="shared" si="22"/>
        <v>216713.74811392403</v>
      </c>
      <c r="O1003" s="3">
        <v>1001</v>
      </c>
    </row>
    <row r="1004" spans="1:15" x14ac:dyDescent="0.25">
      <c r="A1004" s="3">
        <v>4</v>
      </c>
      <c r="B1004" s="3" t="s">
        <v>188</v>
      </c>
      <c r="C1004" s="1" t="s">
        <v>12</v>
      </c>
      <c r="D1004" s="1" t="s">
        <v>444</v>
      </c>
      <c r="E1004" s="11" t="s">
        <v>144</v>
      </c>
      <c r="F1004" s="3" t="s">
        <v>8</v>
      </c>
      <c r="G1004" s="66" t="s">
        <v>845</v>
      </c>
      <c r="H1004" s="8"/>
      <c r="I1004" s="8"/>
      <c r="J1004" s="6" t="s">
        <v>109</v>
      </c>
      <c r="K1004" s="38">
        <v>109637</v>
      </c>
      <c r="L1004" s="4" t="s">
        <v>29</v>
      </c>
      <c r="M1004" s="11">
        <f>_xlfn.NUMBERVALUE(LEFT(Table613612[[#This Row],[Fiscal Year]], 4))</f>
        <v>2015</v>
      </c>
      <c r="N1004" s="42">
        <f t="shared" si="22"/>
        <v>116405.34998734176</v>
      </c>
      <c r="O1004" s="3">
        <v>1002</v>
      </c>
    </row>
    <row r="1005" spans="1:15" x14ac:dyDescent="0.25">
      <c r="A1005" s="3">
        <v>4</v>
      </c>
      <c r="B1005" s="3" t="s">
        <v>188</v>
      </c>
      <c r="C1005" s="1" t="s">
        <v>12</v>
      </c>
      <c r="D1005" s="1" t="s">
        <v>444</v>
      </c>
      <c r="E1005" s="11" t="s">
        <v>144</v>
      </c>
      <c r="F1005" s="3" t="s">
        <v>8</v>
      </c>
      <c r="G1005" s="48" t="s">
        <v>846</v>
      </c>
      <c r="H1005" s="8"/>
      <c r="I1005" s="8"/>
      <c r="J1005" s="6" t="s">
        <v>111</v>
      </c>
      <c r="K1005" s="38">
        <v>69683</v>
      </c>
      <c r="L1005" s="4" t="s">
        <v>29</v>
      </c>
      <c r="M1005" s="11">
        <f>_xlfn.NUMBERVALUE(LEFT(Table613612[[#This Row],[Fiscal Year]], 4))</f>
        <v>2015</v>
      </c>
      <c r="N1005" s="42">
        <f t="shared" si="22"/>
        <v>73984.822670886075</v>
      </c>
      <c r="O1005" s="3">
        <v>1003</v>
      </c>
    </row>
    <row r="1006" spans="1:15" x14ac:dyDescent="0.25">
      <c r="A1006" s="3">
        <v>4</v>
      </c>
      <c r="B1006" s="3" t="s">
        <v>188</v>
      </c>
      <c r="C1006" s="1" t="s">
        <v>12</v>
      </c>
      <c r="D1006" s="1" t="s">
        <v>444</v>
      </c>
      <c r="E1006" s="11" t="s">
        <v>144</v>
      </c>
      <c r="F1006" s="3" t="s">
        <v>8</v>
      </c>
      <c r="G1006" s="66" t="s">
        <v>847</v>
      </c>
      <c r="H1006" s="8"/>
      <c r="I1006" s="8"/>
      <c r="J1006" s="6" t="s">
        <v>111</v>
      </c>
      <c r="K1006" s="38">
        <v>69683</v>
      </c>
      <c r="L1006" s="4" t="s">
        <v>29</v>
      </c>
      <c r="M1006" s="11">
        <f>_xlfn.NUMBERVALUE(LEFT(Table613612[[#This Row],[Fiscal Year]], 4))</f>
        <v>2015</v>
      </c>
      <c r="N1006" s="42">
        <f t="shared" si="22"/>
        <v>73984.822670886075</v>
      </c>
      <c r="O1006" s="3">
        <v>1004</v>
      </c>
    </row>
    <row r="1007" spans="1:15" x14ac:dyDescent="0.25">
      <c r="A1007" s="3">
        <v>4</v>
      </c>
      <c r="B1007" s="3" t="s">
        <v>188</v>
      </c>
      <c r="C1007" s="1" t="s">
        <v>12</v>
      </c>
      <c r="D1007" s="1" t="s">
        <v>444</v>
      </c>
      <c r="E1007" s="11" t="s">
        <v>144</v>
      </c>
      <c r="F1007" s="3" t="s">
        <v>8</v>
      </c>
      <c r="G1007" s="48" t="s">
        <v>857</v>
      </c>
      <c r="H1007" s="8"/>
      <c r="I1007" s="8"/>
      <c r="J1007" s="6" t="s">
        <v>108</v>
      </c>
      <c r="K1007" s="38">
        <v>996831</v>
      </c>
      <c r="L1007" s="4" t="s">
        <v>29</v>
      </c>
      <c r="M1007" s="11">
        <f>_xlfn.NUMBERVALUE(LEFT(Table613612[[#This Row],[Fiscal Year]], 4))</f>
        <v>2015</v>
      </c>
      <c r="N1007" s="42">
        <f t="shared" si="22"/>
        <v>1058369.5416075948</v>
      </c>
      <c r="O1007" s="3">
        <v>1005</v>
      </c>
    </row>
    <row r="1008" spans="1:15" x14ac:dyDescent="0.25">
      <c r="A1008" s="3">
        <v>4</v>
      </c>
      <c r="B1008" s="3" t="s">
        <v>188</v>
      </c>
      <c r="C1008" s="1" t="s">
        <v>12</v>
      </c>
      <c r="D1008" s="1" t="s">
        <v>444</v>
      </c>
      <c r="E1008" s="11" t="s">
        <v>144</v>
      </c>
      <c r="F1008" s="3" t="s">
        <v>8</v>
      </c>
      <c r="G1008" s="66" t="s">
        <v>849</v>
      </c>
      <c r="H1008" s="8"/>
      <c r="I1008" s="8"/>
      <c r="J1008" s="6" t="s">
        <v>106</v>
      </c>
      <c r="K1008" s="38">
        <v>132489</v>
      </c>
      <c r="L1008" s="4" t="s">
        <v>29</v>
      </c>
      <c r="M1008" s="11">
        <f>_xlfn.NUMBERVALUE(LEFT(Table613612[[#This Row],[Fiscal Year]], 4))</f>
        <v>2015</v>
      </c>
      <c r="N1008" s="42">
        <f t="shared" si="22"/>
        <v>140668.09940506329</v>
      </c>
      <c r="O1008" s="3">
        <v>1006</v>
      </c>
    </row>
    <row r="1009" spans="1:15" x14ac:dyDescent="0.25">
      <c r="A1009" s="3">
        <v>4</v>
      </c>
      <c r="B1009" s="3" t="s">
        <v>188</v>
      </c>
      <c r="C1009" s="1" t="s">
        <v>12</v>
      </c>
      <c r="D1009" s="1" t="s">
        <v>444</v>
      </c>
      <c r="E1009" s="11" t="s">
        <v>144</v>
      </c>
      <c r="F1009" s="3" t="s">
        <v>8</v>
      </c>
      <c r="G1009" s="66" t="s">
        <v>850</v>
      </c>
      <c r="H1009" s="8"/>
      <c r="I1009" s="8"/>
      <c r="J1009" s="6" t="s">
        <v>455</v>
      </c>
      <c r="K1009" s="38">
        <v>1586895</v>
      </c>
      <c r="L1009" s="4" t="s">
        <v>29</v>
      </c>
      <c r="M1009" s="11">
        <f>_xlfn.NUMBERVALUE(LEFT(Table613612[[#This Row],[Fiscal Year]], 4))</f>
        <v>2015</v>
      </c>
      <c r="N1009" s="42">
        <f t="shared" si="22"/>
        <v>1684860.6571518986</v>
      </c>
      <c r="O1009" s="3">
        <v>1007</v>
      </c>
    </row>
    <row r="1010" spans="1:15" x14ac:dyDescent="0.25">
      <c r="A1010" s="3">
        <v>4</v>
      </c>
      <c r="B1010" s="3" t="s">
        <v>188</v>
      </c>
      <c r="C1010" s="1" t="s">
        <v>12</v>
      </c>
      <c r="D1010" s="1" t="s">
        <v>444</v>
      </c>
      <c r="E1010" s="11" t="s">
        <v>144</v>
      </c>
      <c r="F1010" s="3" t="s">
        <v>8</v>
      </c>
      <c r="G1010" s="66" t="s">
        <v>851</v>
      </c>
      <c r="H1010" s="8"/>
      <c r="I1010" s="8"/>
      <c r="J1010" s="6" t="s">
        <v>76</v>
      </c>
      <c r="K1010" s="38">
        <v>44595</v>
      </c>
      <c r="L1010" s="4" t="s">
        <v>29</v>
      </c>
      <c r="M1010" s="11">
        <f>_xlfn.NUMBERVALUE(LEFT(Table613612[[#This Row],[Fiscal Year]], 4))</f>
        <v>2015</v>
      </c>
      <c r="N1010" s="42">
        <f t="shared" si="22"/>
        <v>47348.035632911393</v>
      </c>
      <c r="O1010" s="3">
        <v>1008</v>
      </c>
    </row>
    <row r="1011" spans="1:15" x14ac:dyDescent="0.25">
      <c r="A1011" s="3">
        <v>4</v>
      </c>
      <c r="B1011" s="3" t="s">
        <v>188</v>
      </c>
      <c r="C1011" s="1" t="s">
        <v>12</v>
      </c>
      <c r="D1011" s="1" t="s">
        <v>444</v>
      </c>
      <c r="E1011" s="11" t="s">
        <v>144</v>
      </c>
      <c r="F1011" s="3" t="s">
        <v>8</v>
      </c>
      <c r="G1011" s="66" t="s">
        <v>852</v>
      </c>
      <c r="H1011" s="8"/>
      <c r="I1011" s="8"/>
      <c r="J1011" s="6" t="s">
        <v>76</v>
      </c>
      <c r="K1011" s="38">
        <v>25432</v>
      </c>
      <c r="L1011" s="4" t="s">
        <v>29</v>
      </c>
      <c r="M1011" s="11">
        <f>_xlfn.NUMBERVALUE(LEFT(Table613612[[#This Row],[Fiscal Year]], 4))</f>
        <v>2015</v>
      </c>
      <c r="N1011" s="42">
        <f t="shared" si="22"/>
        <v>27002.023594936709</v>
      </c>
      <c r="O1011" s="3">
        <v>1009</v>
      </c>
    </row>
    <row r="1012" spans="1:15" x14ac:dyDescent="0.25">
      <c r="A1012" s="3">
        <v>4</v>
      </c>
      <c r="B1012" s="3" t="s">
        <v>188</v>
      </c>
      <c r="C1012" s="1" t="s">
        <v>12</v>
      </c>
      <c r="D1012" s="1" t="s">
        <v>444</v>
      </c>
      <c r="E1012" s="11" t="s">
        <v>144</v>
      </c>
      <c r="F1012" s="3" t="s">
        <v>8</v>
      </c>
      <c r="G1012" s="48" t="s">
        <v>853</v>
      </c>
      <c r="H1012" s="8"/>
      <c r="I1012" s="8"/>
      <c r="J1012" s="6" t="s">
        <v>76</v>
      </c>
      <c r="K1012" s="38">
        <v>0</v>
      </c>
      <c r="L1012" s="4" t="s">
        <v>29</v>
      </c>
      <c r="M1012" s="11">
        <f>_xlfn.NUMBERVALUE(LEFT(Table613612[[#This Row],[Fiscal Year]], 4))</f>
        <v>2015</v>
      </c>
      <c r="N1012" s="43">
        <f t="shared" si="22"/>
        <v>0</v>
      </c>
      <c r="O1012" s="3">
        <v>1010</v>
      </c>
    </row>
    <row r="1013" spans="1:15" x14ac:dyDescent="0.25">
      <c r="A1013" s="3">
        <v>4</v>
      </c>
      <c r="B1013" s="3" t="s">
        <v>188</v>
      </c>
      <c r="C1013" s="1" t="s">
        <v>12</v>
      </c>
      <c r="D1013" s="1" t="s">
        <v>444</v>
      </c>
      <c r="E1013" s="11" t="s">
        <v>144</v>
      </c>
      <c r="F1013" s="3" t="s">
        <v>8</v>
      </c>
      <c r="G1013" s="63" t="s">
        <v>854</v>
      </c>
      <c r="H1013" s="8"/>
      <c r="I1013" s="8"/>
      <c r="J1013" s="6" t="s">
        <v>47</v>
      </c>
      <c r="K1013" s="38">
        <v>54892</v>
      </c>
      <c r="L1013" s="4" t="s">
        <v>29</v>
      </c>
      <c r="M1013" s="11">
        <f>_xlfn.NUMBERVALUE(LEFT(Table613612[[#This Row],[Fiscal Year]], 4))</f>
        <v>2015</v>
      </c>
      <c r="N1013" s="42">
        <f t="shared" si="22"/>
        <v>58280.712455696201</v>
      </c>
      <c r="O1013" s="3">
        <v>1011</v>
      </c>
    </row>
    <row r="1014" spans="1:15" x14ac:dyDescent="0.25">
      <c r="A1014" s="3">
        <v>4</v>
      </c>
      <c r="B1014" s="3" t="s">
        <v>188</v>
      </c>
      <c r="C1014" s="1" t="s">
        <v>12</v>
      </c>
      <c r="D1014" s="1" t="s">
        <v>444</v>
      </c>
      <c r="E1014" s="11" t="s">
        <v>144</v>
      </c>
      <c r="F1014" s="3" t="s">
        <v>8</v>
      </c>
      <c r="G1014" s="63" t="s">
        <v>855</v>
      </c>
      <c r="H1014" s="8"/>
      <c r="I1014" s="8"/>
      <c r="J1014" s="6" t="s">
        <v>455</v>
      </c>
      <c r="K1014" s="38">
        <v>72535</v>
      </c>
      <c r="L1014" s="4" t="s">
        <v>29</v>
      </c>
      <c r="M1014" s="11">
        <f>_xlfn.NUMBERVALUE(LEFT(Table613612[[#This Row],[Fiscal Year]], 4))</f>
        <v>2015</v>
      </c>
      <c r="N1014" s="42">
        <f t="shared" si="22"/>
        <v>77012.888544303787</v>
      </c>
      <c r="O1014" s="3">
        <v>1012</v>
      </c>
    </row>
    <row r="1015" spans="1:15" x14ac:dyDescent="0.25">
      <c r="C1015" s="1"/>
      <c r="D1015" s="1"/>
      <c r="E1015" s="11"/>
      <c r="G1015" s="66"/>
      <c r="H1015" s="8"/>
      <c r="I1015" s="8"/>
      <c r="J1015" s="6"/>
      <c r="L1015" s="4"/>
      <c r="O1015" s="3">
        <v>1013</v>
      </c>
    </row>
    <row r="1016" spans="1:15" x14ac:dyDescent="0.25">
      <c r="A1016" s="3">
        <v>4</v>
      </c>
      <c r="B1016" s="25" t="s">
        <v>189</v>
      </c>
      <c r="C1016" s="1" t="s">
        <v>12</v>
      </c>
      <c r="D1016" s="1" t="s">
        <v>444</v>
      </c>
      <c r="E1016" s="11" t="s">
        <v>144</v>
      </c>
      <c r="F1016" s="3" t="s">
        <v>8</v>
      </c>
      <c r="G1016" s="48" t="s">
        <v>32</v>
      </c>
      <c r="H1016" s="8"/>
      <c r="I1016" s="8"/>
      <c r="J1016" s="6" t="s">
        <v>110</v>
      </c>
      <c r="K1016" s="38">
        <v>300000</v>
      </c>
      <c r="L1016" s="4" t="s">
        <v>29</v>
      </c>
      <c r="M1016" s="11">
        <f>_xlfn.NUMBERVALUE(LEFT(Table613612[[#This Row],[Fiscal Year]], 4))</f>
        <v>2015</v>
      </c>
      <c r="N1016" s="42">
        <f t="shared" si="22"/>
        <v>318520.25316455693</v>
      </c>
      <c r="O1016" s="3">
        <v>1014</v>
      </c>
    </row>
    <row r="1017" spans="1:15" x14ac:dyDescent="0.25">
      <c r="A1017" s="3">
        <v>4</v>
      </c>
      <c r="B1017" s="25" t="s">
        <v>189</v>
      </c>
      <c r="C1017" s="1" t="s">
        <v>12</v>
      </c>
      <c r="D1017" s="1" t="s">
        <v>444</v>
      </c>
      <c r="E1017" s="11" t="s">
        <v>144</v>
      </c>
      <c r="F1017" s="3" t="s">
        <v>8</v>
      </c>
      <c r="G1017" s="66" t="s">
        <v>58</v>
      </c>
      <c r="H1017" s="8"/>
      <c r="I1017" s="8"/>
      <c r="J1017" s="6" t="s">
        <v>453</v>
      </c>
      <c r="K1017" s="38">
        <v>1000</v>
      </c>
      <c r="L1017" s="4" t="s">
        <v>29</v>
      </c>
      <c r="M1017" s="11">
        <f>_xlfn.NUMBERVALUE(LEFT(Table613612[[#This Row],[Fiscal Year]], 4))</f>
        <v>2015</v>
      </c>
      <c r="N1017" s="42">
        <f t="shared" si="22"/>
        <v>1061.7341772151899</v>
      </c>
      <c r="O1017" s="3">
        <v>1015</v>
      </c>
    </row>
    <row r="1018" spans="1:15" x14ac:dyDescent="0.25">
      <c r="A1018" s="3">
        <v>4</v>
      </c>
      <c r="B1018" s="25" t="s">
        <v>189</v>
      </c>
      <c r="C1018" s="1" t="s">
        <v>12</v>
      </c>
      <c r="D1018" s="1" t="s">
        <v>444</v>
      </c>
      <c r="E1018" s="11" t="s">
        <v>144</v>
      </c>
      <c r="F1018" s="3" t="s">
        <v>8</v>
      </c>
      <c r="G1018" s="66" t="s">
        <v>208</v>
      </c>
      <c r="H1018" s="8"/>
      <c r="I1018" s="8"/>
      <c r="J1018" s="6" t="s">
        <v>109</v>
      </c>
      <c r="K1018" s="38">
        <v>30000</v>
      </c>
      <c r="L1018" s="4" t="s">
        <v>29</v>
      </c>
      <c r="M1018" s="11">
        <f>_xlfn.NUMBERVALUE(LEFT(Table613612[[#This Row],[Fiscal Year]], 4))</f>
        <v>2015</v>
      </c>
      <c r="N1018" s="42">
        <f t="shared" si="22"/>
        <v>31852.025316455696</v>
      </c>
      <c r="O1018" s="3">
        <v>1016</v>
      </c>
    </row>
    <row r="1019" spans="1:15" x14ac:dyDescent="0.25">
      <c r="A1019" s="3">
        <v>4</v>
      </c>
      <c r="B1019" s="25" t="s">
        <v>189</v>
      </c>
      <c r="C1019" s="1" t="s">
        <v>12</v>
      </c>
      <c r="D1019" s="1" t="s">
        <v>444</v>
      </c>
      <c r="E1019" s="11" t="s">
        <v>144</v>
      </c>
      <c r="F1019" s="3" t="s">
        <v>8</v>
      </c>
      <c r="G1019" s="48" t="s">
        <v>59</v>
      </c>
      <c r="H1019" s="8"/>
      <c r="I1019" s="8"/>
      <c r="J1019" s="6" t="s">
        <v>111</v>
      </c>
      <c r="K1019" s="38">
        <v>30000</v>
      </c>
      <c r="L1019" s="4" t="s">
        <v>29</v>
      </c>
      <c r="M1019" s="11">
        <f>_xlfn.NUMBERVALUE(LEFT(Table613612[[#This Row],[Fiscal Year]], 4))</f>
        <v>2015</v>
      </c>
      <c r="N1019" s="42">
        <f t="shared" si="22"/>
        <v>31852.025316455696</v>
      </c>
      <c r="O1019" s="3">
        <v>1017</v>
      </c>
    </row>
    <row r="1020" spans="1:15" x14ac:dyDescent="0.25">
      <c r="A1020" s="3">
        <v>4</v>
      </c>
      <c r="B1020" s="25" t="s">
        <v>189</v>
      </c>
      <c r="C1020" s="1" t="s">
        <v>12</v>
      </c>
      <c r="D1020" s="1" t="s">
        <v>444</v>
      </c>
      <c r="E1020" s="11" t="s">
        <v>144</v>
      </c>
      <c r="F1020" s="3" t="s">
        <v>8</v>
      </c>
      <c r="G1020" s="66" t="s">
        <v>60</v>
      </c>
      <c r="H1020" s="8"/>
      <c r="I1020" s="8"/>
      <c r="J1020" s="6" t="s">
        <v>111</v>
      </c>
      <c r="K1020" s="38">
        <v>20000</v>
      </c>
      <c r="L1020" s="4" t="s">
        <v>29</v>
      </c>
      <c r="M1020" s="11">
        <f>_xlfn.NUMBERVALUE(LEFT(Table613612[[#This Row],[Fiscal Year]], 4))</f>
        <v>2015</v>
      </c>
      <c r="N1020" s="42">
        <f t="shared" si="22"/>
        <v>21234.683544303796</v>
      </c>
      <c r="O1020" s="3">
        <v>1018</v>
      </c>
    </row>
    <row r="1021" spans="1:15" x14ac:dyDescent="0.25">
      <c r="A1021" s="3">
        <v>4</v>
      </c>
      <c r="B1021" s="25" t="s">
        <v>189</v>
      </c>
      <c r="C1021" s="1" t="s">
        <v>12</v>
      </c>
      <c r="D1021" s="1" t="s">
        <v>444</v>
      </c>
      <c r="E1021" s="11" t="s">
        <v>144</v>
      </c>
      <c r="F1021" s="3" t="s">
        <v>8</v>
      </c>
      <c r="G1021" s="48" t="s">
        <v>61</v>
      </c>
      <c r="H1021" s="8"/>
      <c r="I1021" s="8"/>
      <c r="J1021" s="6" t="s">
        <v>108</v>
      </c>
      <c r="K1021" s="38">
        <v>200000</v>
      </c>
      <c r="L1021" s="4" t="s">
        <v>29</v>
      </c>
      <c r="M1021" s="11">
        <f>_xlfn.NUMBERVALUE(LEFT(Table613612[[#This Row],[Fiscal Year]], 4))</f>
        <v>2015</v>
      </c>
      <c r="N1021" s="42">
        <f t="shared" si="22"/>
        <v>212346.83544303797</v>
      </c>
      <c r="O1021" s="3">
        <v>1019</v>
      </c>
    </row>
    <row r="1022" spans="1:15" x14ac:dyDescent="0.25">
      <c r="A1022" s="3">
        <v>4</v>
      </c>
      <c r="B1022" s="25" t="s">
        <v>189</v>
      </c>
      <c r="C1022" s="1" t="s">
        <v>12</v>
      </c>
      <c r="D1022" s="1" t="s">
        <v>444</v>
      </c>
      <c r="E1022" s="11" t="s">
        <v>144</v>
      </c>
      <c r="F1022" s="3" t="s">
        <v>8</v>
      </c>
      <c r="G1022" s="66" t="s">
        <v>62</v>
      </c>
      <c r="H1022" s="8"/>
      <c r="I1022" s="8"/>
      <c r="J1022" s="6" t="s">
        <v>106</v>
      </c>
      <c r="K1022" s="38">
        <v>10000</v>
      </c>
      <c r="L1022" s="4" t="s">
        <v>29</v>
      </c>
      <c r="M1022" s="11">
        <f>_xlfn.NUMBERVALUE(LEFT(Table613612[[#This Row],[Fiscal Year]], 4))</f>
        <v>2015</v>
      </c>
      <c r="N1022" s="42">
        <f t="shared" si="22"/>
        <v>10617.341772151898</v>
      </c>
      <c r="O1022" s="3">
        <v>1020</v>
      </c>
    </row>
    <row r="1023" spans="1:15" x14ac:dyDescent="0.25">
      <c r="A1023" s="3">
        <v>4</v>
      </c>
      <c r="B1023" s="25" t="s">
        <v>189</v>
      </c>
      <c r="C1023" s="1" t="s">
        <v>12</v>
      </c>
      <c r="D1023" s="1" t="s">
        <v>444</v>
      </c>
      <c r="E1023" s="11" t="s">
        <v>144</v>
      </c>
      <c r="F1023" s="3" t="s">
        <v>8</v>
      </c>
      <c r="G1023" s="66" t="s">
        <v>211</v>
      </c>
      <c r="H1023" s="8"/>
      <c r="I1023" s="8"/>
      <c r="J1023" s="6" t="s">
        <v>455</v>
      </c>
      <c r="K1023" s="38">
        <v>5000</v>
      </c>
      <c r="L1023" s="4" t="s">
        <v>29</v>
      </c>
      <c r="M1023" s="11">
        <f>_xlfn.NUMBERVALUE(LEFT(Table613612[[#This Row],[Fiscal Year]], 4))</f>
        <v>2015</v>
      </c>
      <c r="N1023" s="42">
        <f t="shared" si="22"/>
        <v>5308.6708860759491</v>
      </c>
      <c r="O1023" s="3">
        <v>1021</v>
      </c>
    </row>
    <row r="1024" spans="1:15" x14ac:dyDescent="0.25">
      <c r="A1024" s="3">
        <v>4</v>
      </c>
      <c r="B1024" s="25" t="s">
        <v>189</v>
      </c>
      <c r="C1024" s="1" t="s">
        <v>12</v>
      </c>
      <c r="D1024" s="1" t="s">
        <v>444</v>
      </c>
      <c r="E1024" s="11" t="s">
        <v>144</v>
      </c>
      <c r="F1024" s="3" t="s">
        <v>8</v>
      </c>
      <c r="G1024" s="66" t="s">
        <v>64</v>
      </c>
      <c r="H1024" s="8"/>
      <c r="I1024" s="8"/>
      <c r="J1024" s="6" t="s">
        <v>76</v>
      </c>
      <c r="K1024" s="38" t="s">
        <v>827</v>
      </c>
      <c r="L1024" s="4" t="s">
        <v>29</v>
      </c>
      <c r="M1024" s="11">
        <f>_xlfn.NUMBERVALUE(LEFT(Table613612[[#This Row],[Fiscal Year]], 4))</f>
        <v>2015</v>
      </c>
      <c r="O1024" s="3">
        <v>1022</v>
      </c>
    </row>
    <row r="1025" spans="1:15" x14ac:dyDescent="0.25">
      <c r="A1025" s="3">
        <v>4</v>
      </c>
      <c r="B1025" s="25" t="s">
        <v>189</v>
      </c>
      <c r="C1025" s="1" t="s">
        <v>12</v>
      </c>
      <c r="D1025" s="1" t="s">
        <v>444</v>
      </c>
      <c r="E1025" s="11" t="s">
        <v>144</v>
      </c>
      <c r="F1025" s="3" t="s">
        <v>8</v>
      </c>
      <c r="G1025" s="66" t="s">
        <v>65</v>
      </c>
      <c r="H1025" s="8"/>
      <c r="I1025" s="8"/>
      <c r="J1025" s="6" t="s">
        <v>76</v>
      </c>
      <c r="K1025" s="38" t="s">
        <v>827</v>
      </c>
      <c r="L1025" s="4" t="s">
        <v>29</v>
      </c>
      <c r="M1025" s="11">
        <f>_xlfn.NUMBERVALUE(LEFT(Table613612[[#This Row],[Fiscal Year]], 4))</f>
        <v>2015</v>
      </c>
      <c r="O1025" s="3">
        <v>1023</v>
      </c>
    </row>
    <row r="1026" spans="1:15" x14ac:dyDescent="0.25">
      <c r="A1026" s="3">
        <v>4</v>
      </c>
      <c r="B1026" s="25" t="s">
        <v>189</v>
      </c>
      <c r="C1026" s="1" t="s">
        <v>12</v>
      </c>
      <c r="D1026" s="1" t="s">
        <v>444</v>
      </c>
      <c r="E1026" s="11" t="s">
        <v>144</v>
      </c>
      <c r="F1026" s="3" t="s">
        <v>8</v>
      </c>
      <c r="G1026" s="48" t="s">
        <v>66</v>
      </c>
      <c r="H1026" s="8"/>
      <c r="I1026" s="8"/>
      <c r="J1026" s="6" t="s">
        <v>76</v>
      </c>
      <c r="K1026" s="38" t="s">
        <v>827</v>
      </c>
      <c r="L1026" s="4" t="s">
        <v>29</v>
      </c>
      <c r="M1026" s="11">
        <f>_xlfn.NUMBERVALUE(LEFT(Table613612[[#This Row],[Fiscal Year]], 4))</f>
        <v>2015</v>
      </c>
      <c r="O1026" s="3">
        <v>1024</v>
      </c>
    </row>
    <row r="1027" spans="1:15" x14ac:dyDescent="0.25">
      <c r="A1027" s="3">
        <v>4</v>
      </c>
      <c r="B1027" s="25" t="s">
        <v>189</v>
      </c>
      <c r="C1027" s="1" t="s">
        <v>12</v>
      </c>
      <c r="D1027" s="1" t="s">
        <v>444</v>
      </c>
      <c r="E1027" s="11" t="s">
        <v>144</v>
      </c>
      <c r="F1027" s="3" t="s">
        <v>8</v>
      </c>
      <c r="G1027" s="66" t="s">
        <v>33</v>
      </c>
      <c r="H1027" s="8"/>
      <c r="I1027" s="8"/>
      <c r="J1027" s="6" t="s">
        <v>47</v>
      </c>
      <c r="K1027" s="38">
        <v>97000</v>
      </c>
      <c r="L1027" s="4" t="s">
        <v>29</v>
      </c>
      <c r="M1027" s="11">
        <f>_xlfn.NUMBERVALUE(LEFT(Table613612[[#This Row],[Fiscal Year]], 4))</f>
        <v>2015</v>
      </c>
      <c r="N1027" s="42">
        <f t="shared" si="22"/>
        <v>102988.21518987342</v>
      </c>
      <c r="O1027" s="3">
        <v>1025</v>
      </c>
    </row>
    <row r="1028" spans="1:15" x14ac:dyDescent="0.25">
      <c r="A1028" s="3">
        <v>4</v>
      </c>
      <c r="B1028" s="25" t="s">
        <v>189</v>
      </c>
      <c r="C1028" s="1" t="s">
        <v>12</v>
      </c>
      <c r="D1028" s="1" t="s">
        <v>444</v>
      </c>
      <c r="E1028" s="11" t="s">
        <v>144</v>
      </c>
      <c r="F1028" s="3" t="s">
        <v>8</v>
      </c>
      <c r="G1028" s="66" t="s">
        <v>67</v>
      </c>
      <c r="H1028" s="8"/>
      <c r="I1028" s="8"/>
      <c r="J1028" s="6" t="s">
        <v>455</v>
      </c>
      <c r="K1028" s="38">
        <v>30000</v>
      </c>
      <c r="L1028" s="4" t="s">
        <v>29</v>
      </c>
      <c r="M1028" s="11">
        <f>_xlfn.NUMBERVALUE(LEFT(Table613612[[#This Row],[Fiscal Year]], 4))</f>
        <v>2015</v>
      </c>
      <c r="N1028" s="42">
        <f t="shared" si="22"/>
        <v>31852.025316455696</v>
      </c>
      <c r="O1028" s="3">
        <v>1026</v>
      </c>
    </row>
    <row r="1029" spans="1:15" x14ac:dyDescent="0.25">
      <c r="C1029" s="1"/>
      <c r="D1029" s="1"/>
      <c r="E1029" s="11"/>
      <c r="G1029" s="66"/>
      <c r="H1029" s="8"/>
      <c r="I1029" s="8"/>
      <c r="J1029" s="6"/>
      <c r="L1029" s="4"/>
      <c r="O1029" s="3">
        <v>1027</v>
      </c>
    </row>
    <row r="1030" spans="1:15" x14ac:dyDescent="0.25">
      <c r="A1030" s="3">
        <v>4</v>
      </c>
      <c r="B1030" s="3" t="s">
        <v>190</v>
      </c>
      <c r="C1030" s="1" t="s">
        <v>12</v>
      </c>
      <c r="D1030" s="1" t="s">
        <v>444</v>
      </c>
      <c r="E1030" s="11" t="s">
        <v>144</v>
      </c>
      <c r="F1030" s="3" t="s">
        <v>8</v>
      </c>
      <c r="G1030" s="48" t="s">
        <v>32</v>
      </c>
      <c r="H1030" s="8"/>
      <c r="I1030" s="8"/>
      <c r="J1030" s="6" t="s">
        <v>110</v>
      </c>
      <c r="K1030" s="38">
        <v>35000</v>
      </c>
      <c r="L1030" s="4" t="s">
        <v>29</v>
      </c>
      <c r="M1030" s="11">
        <f>_xlfn.NUMBERVALUE(LEFT(Table613612[[#This Row],[Fiscal Year]], 4))</f>
        <v>2015</v>
      </c>
      <c r="N1030" s="42">
        <f t="shared" si="22"/>
        <v>37160.696202531646</v>
      </c>
      <c r="O1030" s="3">
        <v>1028</v>
      </c>
    </row>
    <row r="1031" spans="1:15" x14ac:dyDescent="0.25">
      <c r="A1031" s="3">
        <v>4</v>
      </c>
      <c r="B1031" s="3" t="s">
        <v>190</v>
      </c>
      <c r="C1031" s="1" t="s">
        <v>12</v>
      </c>
      <c r="D1031" s="1" t="s">
        <v>444</v>
      </c>
      <c r="E1031" s="11" t="s">
        <v>144</v>
      </c>
      <c r="F1031" s="3" t="s">
        <v>8</v>
      </c>
      <c r="G1031" s="66" t="s">
        <v>58</v>
      </c>
      <c r="H1031" s="8"/>
      <c r="I1031" s="8"/>
      <c r="J1031" s="6" t="s">
        <v>453</v>
      </c>
      <c r="K1031" s="38">
        <v>4565</v>
      </c>
      <c r="L1031" s="4" t="s">
        <v>29</v>
      </c>
      <c r="M1031" s="11">
        <f>_xlfn.NUMBERVALUE(LEFT(Table613612[[#This Row],[Fiscal Year]], 4))</f>
        <v>2015</v>
      </c>
      <c r="N1031" s="42">
        <f t="shared" si="22"/>
        <v>4846.8165189873416</v>
      </c>
      <c r="O1031" s="3">
        <v>1029</v>
      </c>
    </row>
    <row r="1032" spans="1:15" x14ac:dyDescent="0.25">
      <c r="A1032" s="3">
        <v>4</v>
      </c>
      <c r="B1032" s="3" t="s">
        <v>190</v>
      </c>
      <c r="C1032" s="1" t="s">
        <v>12</v>
      </c>
      <c r="D1032" s="1" t="s">
        <v>444</v>
      </c>
      <c r="E1032" s="11" t="s">
        <v>144</v>
      </c>
      <c r="F1032" s="3" t="s">
        <v>8</v>
      </c>
      <c r="G1032" s="66" t="s">
        <v>208</v>
      </c>
      <c r="H1032" s="8"/>
      <c r="I1032" s="8"/>
      <c r="J1032" s="6" t="s">
        <v>109</v>
      </c>
      <c r="K1032" s="38">
        <v>16850</v>
      </c>
      <c r="L1032" s="4" t="s">
        <v>29</v>
      </c>
      <c r="M1032" s="11">
        <f>_xlfn.NUMBERVALUE(LEFT(Table613612[[#This Row],[Fiscal Year]], 4))</f>
        <v>2015</v>
      </c>
      <c r="N1032" s="42">
        <f t="shared" si="22"/>
        <v>17890.220886075949</v>
      </c>
      <c r="O1032" s="3">
        <v>1030</v>
      </c>
    </row>
    <row r="1033" spans="1:15" x14ac:dyDescent="0.25">
      <c r="A1033" s="3">
        <v>4</v>
      </c>
      <c r="B1033" s="3" t="s">
        <v>190</v>
      </c>
      <c r="C1033" s="1" t="s">
        <v>12</v>
      </c>
      <c r="D1033" s="1" t="s">
        <v>444</v>
      </c>
      <c r="E1033" s="11" t="s">
        <v>144</v>
      </c>
      <c r="F1033" s="3" t="s">
        <v>8</v>
      </c>
      <c r="G1033" s="48" t="s">
        <v>59</v>
      </c>
      <c r="H1033" s="8"/>
      <c r="I1033" s="8"/>
      <c r="J1033" s="6" t="s">
        <v>111</v>
      </c>
      <c r="K1033" s="38">
        <v>0</v>
      </c>
      <c r="L1033" s="4" t="s">
        <v>29</v>
      </c>
      <c r="M1033" s="11">
        <f>_xlfn.NUMBERVALUE(LEFT(Table613612[[#This Row],[Fiscal Year]], 4))</f>
        <v>2015</v>
      </c>
      <c r="N1033" s="43">
        <f t="shared" si="22"/>
        <v>0</v>
      </c>
      <c r="O1033" s="3">
        <v>1031</v>
      </c>
    </row>
    <row r="1034" spans="1:15" x14ac:dyDescent="0.25">
      <c r="A1034" s="3">
        <v>4</v>
      </c>
      <c r="B1034" s="3" t="s">
        <v>190</v>
      </c>
      <c r="C1034" s="1" t="s">
        <v>12</v>
      </c>
      <c r="D1034" s="1" t="s">
        <v>444</v>
      </c>
      <c r="E1034" s="11" t="s">
        <v>144</v>
      </c>
      <c r="F1034" s="3" t="s">
        <v>8</v>
      </c>
      <c r="G1034" s="66" t="s">
        <v>60</v>
      </c>
      <c r="H1034" s="8"/>
      <c r="I1034" s="8"/>
      <c r="J1034" s="6" t="s">
        <v>111</v>
      </c>
      <c r="K1034" s="38">
        <v>50000</v>
      </c>
      <c r="L1034" s="4" t="s">
        <v>29</v>
      </c>
      <c r="M1034" s="11">
        <f>_xlfn.NUMBERVALUE(LEFT(Table613612[[#This Row],[Fiscal Year]], 4))</f>
        <v>2015</v>
      </c>
      <c r="N1034" s="42">
        <f t="shared" si="22"/>
        <v>53086.708860759492</v>
      </c>
      <c r="O1034" s="3">
        <v>1032</v>
      </c>
    </row>
    <row r="1035" spans="1:15" x14ac:dyDescent="0.25">
      <c r="A1035" s="3">
        <v>4</v>
      </c>
      <c r="B1035" s="3" t="s">
        <v>190</v>
      </c>
      <c r="C1035" s="1" t="s">
        <v>12</v>
      </c>
      <c r="D1035" s="1" t="s">
        <v>444</v>
      </c>
      <c r="E1035" s="11" t="s">
        <v>144</v>
      </c>
      <c r="F1035" s="3" t="s">
        <v>8</v>
      </c>
      <c r="G1035" s="48" t="s">
        <v>61</v>
      </c>
      <c r="H1035" s="8"/>
      <c r="I1035" s="8"/>
      <c r="J1035" s="6" t="s">
        <v>108</v>
      </c>
      <c r="K1035" s="38">
        <v>288000</v>
      </c>
      <c r="L1035" s="4" t="s">
        <v>29</v>
      </c>
      <c r="M1035" s="11">
        <f>_xlfn.NUMBERVALUE(LEFT(Table613612[[#This Row],[Fiscal Year]], 4))</f>
        <v>2015</v>
      </c>
      <c r="N1035" s="42">
        <f t="shared" si="22"/>
        <v>305779.44303797465</v>
      </c>
      <c r="O1035" s="3">
        <v>1033</v>
      </c>
    </row>
    <row r="1036" spans="1:15" x14ac:dyDescent="0.25">
      <c r="A1036" s="3">
        <v>4</v>
      </c>
      <c r="B1036" s="3" t="s">
        <v>190</v>
      </c>
      <c r="C1036" s="1" t="s">
        <v>12</v>
      </c>
      <c r="D1036" s="1" t="s">
        <v>444</v>
      </c>
      <c r="E1036" s="11" t="s">
        <v>144</v>
      </c>
      <c r="F1036" s="3" t="s">
        <v>8</v>
      </c>
      <c r="G1036" s="66" t="s">
        <v>62</v>
      </c>
      <c r="H1036" s="8"/>
      <c r="I1036" s="8"/>
      <c r="J1036" s="6" t="s">
        <v>106</v>
      </c>
      <c r="K1036" s="38">
        <v>2500</v>
      </c>
      <c r="L1036" s="4" t="s">
        <v>29</v>
      </c>
      <c r="M1036" s="11">
        <f>_xlfn.NUMBERVALUE(LEFT(Table613612[[#This Row],[Fiscal Year]], 4))</f>
        <v>2015</v>
      </c>
      <c r="N1036" s="42">
        <f t="shared" si="22"/>
        <v>2654.3354430379745</v>
      </c>
      <c r="O1036" s="3">
        <v>1034</v>
      </c>
    </row>
    <row r="1037" spans="1:15" x14ac:dyDescent="0.25">
      <c r="A1037" s="3">
        <v>4</v>
      </c>
      <c r="B1037" s="3" t="s">
        <v>190</v>
      </c>
      <c r="C1037" s="1" t="s">
        <v>12</v>
      </c>
      <c r="D1037" s="1" t="s">
        <v>444</v>
      </c>
      <c r="E1037" s="11" t="s">
        <v>144</v>
      </c>
      <c r="F1037" s="3" t="s">
        <v>8</v>
      </c>
      <c r="G1037" s="66" t="s">
        <v>211</v>
      </c>
      <c r="H1037" s="8"/>
      <c r="I1037" s="8"/>
      <c r="J1037" s="6" t="s">
        <v>455</v>
      </c>
      <c r="K1037" s="38" t="s">
        <v>827</v>
      </c>
      <c r="L1037" s="4" t="s">
        <v>29</v>
      </c>
      <c r="M1037" s="11">
        <f>_xlfn.NUMBERVALUE(LEFT(Table613612[[#This Row],[Fiscal Year]], 4))</f>
        <v>2015</v>
      </c>
      <c r="O1037" s="3">
        <v>1035</v>
      </c>
    </row>
    <row r="1038" spans="1:15" x14ac:dyDescent="0.25">
      <c r="A1038" s="3">
        <v>4</v>
      </c>
      <c r="B1038" s="3" t="s">
        <v>190</v>
      </c>
      <c r="C1038" s="1" t="s">
        <v>12</v>
      </c>
      <c r="D1038" s="1" t="s">
        <v>444</v>
      </c>
      <c r="E1038" s="11" t="s">
        <v>144</v>
      </c>
      <c r="F1038" s="3" t="s">
        <v>8</v>
      </c>
      <c r="G1038" s="66" t="s">
        <v>64</v>
      </c>
      <c r="H1038" s="8"/>
      <c r="I1038" s="8"/>
      <c r="J1038" s="6" t="s">
        <v>76</v>
      </c>
      <c r="K1038" s="38">
        <v>25000</v>
      </c>
      <c r="L1038" s="4" t="s">
        <v>29</v>
      </c>
      <c r="M1038" s="11">
        <f>_xlfn.NUMBERVALUE(LEFT(Table613612[[#This Row],[Fiscal Year]], 4))</f>
        <v>2015</v>
      </c>
      <c r="N1038" s="42">
        <f t="shared" si="22"/>
        <v>26543.354430379746</v>
      </c>
      <c r="O1038" s="3">
        <v>1036</v>
      </c>
    </row>
    <row r="1039" spans="1:15" x14ac:dyDescent="0.25">
      <c r="A1039" s="3">
        <v>4</v>
      </c>
      <c r="B1039" s="3" t="s">
        <v>190</v>
      </c>
      <c r="C1039" s="1" t="s">
        <v>12</v>
      </c>
      <c r="D1039" s="1" t="s">
        <v>444</v>
      </c>
      <c r="E1039" s="11" t="s">
        <v>144</v>
      </c>
      <c r="F1039" s="3" t="s">
        <v>8</v>
      </c>
      <c r="G1039" s="66" t="s">
        <v>65</v>
      </c>
      <c r="H1039" s="8"/>
      <c r="I1039" s="8"/>
      <c r="J1039" s="6" t="s">
        <v>76</v>
      </c>
      <c r="K1039" s="38" t="s">
        <v>827</v>
      </c>
      <c r="L1039" s="4" t="s">
        <v>29</v>
      </c>
      <c r="M1039" s="11">
        <f>_xlfn.NUMBERVALUE(LEFT(Table613612[[#This Row],[Fiscal Year]], 4))</f>
        <v>2015</v>
      </c>
      <c r="O1039" s="3">
        <v>1037</v>
      </c>
    </row>
    <row r="1040" spans="1:15" x14ac:dyDescent="0.25">
      <c r="A1040" s="3">
        <v>4</v>
      </c>
      <c r="B1040" s="3" t="s">
        <v>190</v>
      </c>
      <c r="C1040" s="1" t="s">
        <v>12</v>
      </c>
      <c r="D1040" s="1" t="s">
        <v>444</v>
      </c>
      <c r="E1040" s="11" t="s">
        <v>144</v>
      </c>
      <c r="F1040" s="3" t="s">
        <v>8</v>
      </c>
      <c r="G1040" s="48" t="s">
        <v>66</v>
      </c>
      <c r="H1040" s="8"/>
      <c r="I1040" s="8"/>
      <c r="J1040" s="6" t="s">
        <v>76</v>
      </c>
      <c r="K1040" s="38" t="s">
        <v>827</v>
      </c>
      <c r="L1040" s="4" t="s">
        <v>29</v>
      </c>
      <c r="M1040" s="11">
        <f>_xlfn.NUMBERVALUE(LEFT(Table613612[[#This Row],[Fiscal Year]], 4))</f>
        <v>2015</v>
      </c>
      <c r="O1040" s="3">
        <v>1038</v>
      </c>
    </row>
    <row r="1041" spans="1:15" x14ac:dyDescent="0.25">
      <c r="A1041" s="3">
        <v>4</v>
      </c>
      <c r="B1041" s="3" t="s">
        <v>190</v>
      </c>
      <c r="C1041" s="1" t="s">
        <v>12</v>
      </c>
      <c r="D1041" s="1" t="s">
        <v>444</v>
      </c>
      <c r="E1041" s="11" t="s">
        <v>144</v>
      </c>
      <c r="F1041" s="3" t="s">
        <v>8</v>
      </c>
      <c r="G1041" s="66" t="s">
        <v>33</v>
      </c>
      <c r="H1041" s="8"/>
      <c r="I1041" s="8"/>
      <c r="J1041" s="6" t="s">
        <v>47</v>
      </c>
      <c r="K1041" s="38">
        <v>82421</v>
      </c>
      <c r="L1041" s="4" t="s">
        <v>29</v>
      </c>
      <c r="M1041" s="11">
        <f>_xlfn.NUMBERVALUE(LEFT(Table613612[[#This Row],[Fiscal Year]], 4))</f>
        <v>2015</v>
      </c>
      <c r="N1041" s="42">
        <f t="shared" si="22"/>
        <v>87509.192620253161</v>
      </c>
      <c r="O1041" s="3">
        <v>1039</v>
      </c>
    </row>
    <row r="1042" spans="1:15" x14ac:dyDescent="0.25">
      <c r="A1042" s="3">
        <v>4</v>
      </c>
      <c r="B1042" s="3" t="s">
        <v>190</v>
      </c>
      <c r="C1042" s="1" t="s">
        <v>12</v>
      </c>
      <c r="D1042" s="1" t="s">
        <v>444</v>
      </c>
      <c r="E1042" s="11" t="s">
        <v>144</v>
      </c>
      <c r="F1042" s="3" t="s">
        <v>8</v>
      </c>
      <c r="G1042" s="66" t="s">
        <v>67</v>
      </c>
      <c r="H1042" s="8"/>
      <c r="I1042" s="8"/>
      <c r="J1042" s="6" t="s">
        <v>455</v>
      </c>
      <c r="K1042" s="38" t="s">
        <v>827</v>
      </c>
      <c r="L1042" s="4" t="s">
        <v>29</v>
      </c>
      <c r="M1042" s="11">
        <f>_xlfn.NUMBERVALUE(LEFT(Table613612[[#This Row],[Fiscal Year]], 4))</f>
        <v>2015</v>
      </c>
      <c r="O1042" s="3">
        <v>1040</v>
      </c>
    </row>
    <row r="1043" spans="1:15" x14ac:dyDescent="0.25">
      <c r="C1043" s="1"/>
      <c r="D1043" s="1"/>
      <c r="E1043" s="11"/>
      <c r="G1043" s="66"/>
      <c r="H1043" s="8"/>
      <c r="I1043" s="8"/>
      <c r="J1043" s="6"/>
      <c r="L1043" s="4"/>
      <c r="O1043" s="3">
        <v>1041</v>
      </c>
    </row>
    <row r="1044" spans="1:15" x14ac:dyDescent="0.25">
      <c r="A1044" s="3">
        <v>4</v>
      </c>
      <c r="B1044" s="3" t="s">
        <v>191</v>
      </c>
      <c r="C1044" s="1" t="s">
        <v>12</v>
      </c>
      <c r="D1044" s="1" t="s">
        <v>444</v>
      </c>
      <c r="E1044" s="11" t="s">
        <v>144</v>
      </c>
      <c r="F1044" s="3" t="s">
        <v>8</v>
      </c>
      <c r="G1044" s="48" t="s">
        <v>32</v>
      </c>
      <c r="H1044" s="8"/>
      <c r="I1044" s="8"/>
      <c r="J1044" s="6" t="s">
        <v>110</v>
      </c>
      <c r="K1044" s="38">
        <v>40000</v>
      </c>
      <c r="L1044" s="4" t="s">
        <v>29</v>
      </c>
      <c r="M1044" s="11">
        <f>_xlfn.NUMBERVALUE(LEFT(Table613612[[#This Row],[Fiscal Year]], 4))</f>
        <v>2015</v>
      </c>
      <c r="N1044" s="42">
        <f t="shared" si="22"/>
        <v>42469.367088607592</v>
      </c>
      <c r="O1044" s="3">
        <v>1042</v>
      </c>
    </row>
    <row r="1045" spans="1:15" x14ac:dyDescent="0.25">
      <c r="A1045" s="3">
        <v>4</v>
      </c>
      <c r="B1045" s="3" t="s">
        <v>191</v>
      </c>
      <c r="C1045" s="1" t="s">
        <v>12</v>
      </c>
      <c r="D1045" s="1" t="s">
        <v>444</v>
      </c>
      <c r="E1045" s="11" t="s">
        <v>144</v>
      </c>
      <c r="F1045" s="3" t="s">
        <v>8</v>
      </c>
      <c r="G1045" s="66" t="s">
        <v>58</v>
      </c>
      <c r="H1045" s="8"/>
      <c r="I1045" s="8"/>
      <c r="J1045" s="6" t="s">
        <v>453</v>
      </c>
      <c r="K1045" s="38">
        <v>1000</v>
      </c>
      <c r="L1045" s="4" t="s">
        <v>29</v>
      </c>
      <c r="M1045" s="11">
        <f>_xlfn.NUMBERVALUE(LEFT(Table613612[[#This Row],[Fiscal Year]], 4))</f>
        <v>2015</v>
      </c>
      <c r="N1045" s="42">
        <f t="shared" si="22"/>
        <v>1061.7341772151899</v>
      </c>
      <c r="O1045" s="3">
        <v>1043</v>
      </c>
    </row>
    <row r="1046" spans="1:15" x14ac:dyDescent="0.25">
      <c r="A1046" s="3">
        <v>4</v>
      </c>
      <c r="B1046" s="3" t="s">
        <v>191</v>
      </c>
      <c r="C1046" s="1" t="s">
        <v>12</v>
      </c>
      <c r="D1046" s="1" t="s">
        <v>444</v>
      </c>
      <c r="E1046" s="11" t="s">
        <v>144</v>
      </c>
      <c r="F1046" s="3" t="s">
        <v>8</v>
      </c>
      <c r="G1046" s="66" t="s">
        <v>208</v>
      </c>
      <c r="H1046" s="8"/>
      <c r="I1046" s="8"/>
      <c r="J1046" s="6" t="s">
        <v>109</v>
      </c>
      <c r="K1046" s="38">
        <v>2500</v>
      </c>
      <c r="L1046" s="4" t="s">
        <v>29</v>
      </c>
      <c r="M1046" s="11">
        <f>_xlfn.NUMBERVALUE(LEFT(Table613612[[#This Row],[Fiscal Year]], 4))</f>
        <v>2015</v>
      </c>
      <c r="N1046" s="42">
        <f t="shared" si="22"/>
        <v>2654.3354430379745</v>
      </c>
      <c r="O1046" s="3">
        <v>1044</v>
      </c>
    </row>
    <row r="1047" spans="1:15" x14ac:dyDescent="0.25">
      <c r="A1047" s="3">
        <v>4</v>
      </c>
      <c r="B1047" s="3" t="s">
        <v>191</v>
      </c>
      <c r="C1047" s="1" t="s">
        <v>12</v>
      </c>
      <c r="D1047" s="1" t="s">
        <v>444</v>
      </c>
      <c r="E1047" s="11" t="s">
        <v>144</v>
      </c>
      <c r="F1047" s="3" t="s">
        <v>8</v>
      </c>
      <c r="G1047" s="48" t="s">
        <v>59</v>
      </c>
      <c r="H1047" s="8"/>
      <c r="I1047" s="8"/>
      <c r="J1047" s="6" t="s">
        <v>111</v>
      </c>
      <c r="K1047" s="38">
        <v>0</v>
      </c>
      <c r="L1047" s="4" t="s">
        <v>29</v>
      </c>
      <c r="M1047" s="11">
        <f>_xlfn.NUMBERVALUE(LEFT(Table613612[[#This Row],[Fiscal Year]], 4))</f>
        <v>2015</v>
      </c>
      <c r="N1047" s="43">
        <f t="shared" si="22"/>
        <v>0</v>
      </c>
      <c r="O1047" s="3">
        <v>1045</v>
      </c>
    </row>
    <row r="1048" spans="1:15" x14ac:dyDescent="0.25">
      <c r="A1048" s="3">
        <v>4</v>
      </c>
      <c r="B1048" s="3" t="s">
        <v>191</v>
      </c>
      <c r="C1048" s="1" t="s">
        <v>12</v>
      </c>
      <c r="D1048" s="1" t="s">
        <v>444</v>
      </c>
      <c r="E1048" s="11" t="s">
        <v>144</v>
      </c>
      <c r="F1048" s="3" t="s">
        <v>8</v>
      </c>
      <c r="G1048" s="66" t="s">
        <v>60</v>
      </c>
      <c r="H1048" s="8"/>
      <c r="I1048" s="8"/>
      <c r="J1048" s="6" t="s">
        <v>111</v>
      </c>
      <c r="K1048" s="38">
        <v>0</v>
      </c>
      <c r="L1048" s="4" t="s">
        <v>29</v>
      </c>
      <c r="M1048" s="11">
        <f>_xlfn.NUMBERVALUE(LEFT(Table613612[[#This Row],[Fiscal Year]], 4))</f>
        <v>2015</v>
      </c>
      <c r="N1048" s="43">
        <f t="shared" si="22"/>
        <v>0</v>
      </c>
      <c r="O1048" s="3">
        <v>1046</v>
      </c>
    </row>
    <row r="1049" spans="1:15" x14ac:dyDescent="0.25">
      <c r="A1049" s="3">
        <v>4</v>
      </c>
      <c r="B1049" s="3" t="s">
        <v>191</v>
      </c>
      <c r="C1049" s="1" t="s">
        <v>12</v>
      </c>
      <c r="D1049" s="1" t="s">
        <v>444</v>
      </c>
      <c r="E1049" s="11" t="s">
        <v>144</v>
      </c>
      <c r="F1049" s="3" t="s">
        <v>8</v>
      </c>
      <c r="G1049" s="48" t="s">
        <v>61</v>
      </c>
      <c r="H1049" s="8"/>
      <c r="I1049" s="8"/>
      <c r="J1049" s="6" t="s">
        <v>108</v>
      </c>
      <c r="K1049" s="38">
        <v>3916533</v>
      </c>
      <c r="L1049" s="4" t="s">
        <v>29</v>
      </c>
      <c r="M1049" s="11">
        <f>_xlfn.NUMBERVALUE(LEFT(Table613612[[#This Row],[Fiscal Year]], 4))</f>
        <v>2015</v>
      </c>
      <c r="N1049" s="42">
        <f>K1049*(1+VLOOKUP(M1049,$AF$8:$AH$31,3,0))</f>
        <v>4158316.9422911392</v>
      </c>
      <c r="O1049" s="3">
        <v>1047</v>
      </c>
    </row>
    <row r="1050" spans="1:15" x14ac:dyDescent="0.25">
      <c r="A1050" s="3">
        <v>4</v>
      </c>
      <c r="B1050" s="3" t="s">
        <v>191</v>
      </c>
      <c r="C1050" s="1" t="s">
        <v>12</v>
      </c>
      <c r="D1050" s="1" t="s">
        <v>444</v>
      </c>
      <c r="E1050" s="11" t="s">
        <v>144</v>
      </c>
      <c r="F1050" s="3" t="s">
        <v>8</v>
      </c>
      <c r="G1050" s="66" t="s">
        <v>62</v>
      </c>
      <c r="H1050" s="8"/>
      <c r="I1050" s="8"/>
      <c r="J1050" s="6" t="s">
        <v>106</v>
      </c>
      <c r="K1050" s="38">
        <v>0</v>
      </c>
      <c r="L1050" s="4" t="s">
        <v>29</v>
      </c>
      <c r="M1050" s="11">
        <f>_xlfn.NUMBERVALUE(LEFT(Table613612[[#This Row],[Fiscal Year]], 4))</f>
        <v>2015</v>
      </c>
      <c r="N1050" s="43">
        <f t="shared" si="22"/>
        <v>0</v>
      </c>
      <c r="O1050" s="3">
        <v>1048</v>
      </c>
    </row>
    <row r="1051" spans="1:15" x14ac:dyDescent="0.25">
      <c r="A1051" s="3">
        <v>4</v>
      </c>
      <c r="B1051" s="3" t="s">
        <v>191</v>
      </c>
      <c r="C1051" s="1" t="s">
        <v>12</v>
      </c>
      <c r="D1051" s="1" t="s">
        <v>444</v>
      </c>
      <c r="E1051" s="11" t="s">
        <v>144</v>
      </c>
      <c r="F1051" s="3" t="s">
        <v>8</v>
      </c>
      <c r="G1051" s="66" t="s">
        <v>211</v>
      </c>
      <c r="H1051" s="8"/>
      <c r="I1051" s="8"/>
      <c r="J1051" s="6" t="s">
        <v>455</v>
      </c>
      <c r="K1051" s="38">
        <v>0</v>
      </c>
      <c r="L1051" s="4" t="s">
        <v>29</v>
      </c>
      <c r="M1051" s="11">
        <f>_xlfn.NUMBERVALUE(LEFT(Table613612[[#This Row],[Fiscal Year]], 4))</f>
        <v>2015</v>
      </c>
      <c r="N1051" s="43">
        <f t="shared" si="22"/>
        <v>0</v>
      </c>
      <c r="O1051" s="3">
        <v>1049</v>
      </c>
    </row>
    <row r="1052" spans="1:15" x14ac:dyDescent="0.25">
      <c r="A1052" s="3">
        <v>4</v>
      </c>
      <c r="B1052" s="3" t="s">
        <v>191</v>
      </c>
      <c r="C1052" s="1" t="s">
        <v>12</v>
      </c>
      <c r="D1052" s="1" t="s">
        <v>444</v>
      </c>
      <c r="E1052" s="11" t="s">
        <v>144</v>
      </c>
      <c r="F1052" s="3" t="s">
        <v>8</v>
      </c>
      <c r="G1052" s="66" t="s">
        <v>64</v>
      </c>
      <c r="H1052" s="8"/>
      <c r="I1052" s="8"/>
      <c r="J1052" s="6" t="s">
        <v>76</v>
      </c>
      <c r="K1052" s="38">
        <v>0</v>
      </c>
      <c r="L1052" s="4" t="s">
        <v>29</v>
      </c>
      <c r="M1052" s="11">
        <f>_xlfn.NUMBERVALUE(LEFT(Table613612[[#This Row],[Fiscal Year]], 4))</f>
        <v>2015</v>
      </c>
      <c r="N1052" s="43">
        <f t="shared" si="22"/>
        <v>0</v>
      </c>
      <c r="O1052" s="3">
        <v>1050</v>
      </c>
    </row>
    <row r="1053" spans="1:15" x14ac:dyDescent="0.25">
      <c r="A1053" s="3">
        <v>4</v>
      </c>
      <c r="B1053" s="3" t="s">
        <v>191</v>
      </c>
      <c r="C1053" s="1" t="s">
        <v>12</v>
      </c>
      <c r="D1053" s="1" t="s">
        <v>444</v>
      </c>
      <c r="E1053" s="11" t="s">
        <v>144</v>
      </c>
      <c r="F1053" s="3" t="s">
        <v>8</v>
      </c>
      <c r="G1053" s="66" t="s">
        <v>65</v>
      </c>
      <c r="H1053" s="8"/>
      <c r="I1053" s="8"/>
      <c r="J1053" s="6" t="s">
        <v>76</v>
      </c>
      <c r="K1053" s="38">
        <v>0</v>
      </c>
      <c r="L1053" s="4" t="s">
        <v>29</v>
      </c>
      <c r="M1053" s="11">
        <f>_xlfn.NUMBERVALUE(LEFT(Table613612[[#This Row],[Fiscal Year]], 4))</f>
        <v>2015</v>
      </c>
      <c r="N1053" s="43">
        <f t="shared" si="22"/>
        <v>0</v>
      </c>
      <c r="O1053" s="3">
        <v>1051</v>
      </c>
    </row>
    <row r="1054" spans="1:15" x14ac:dyDescent="0.25">
      <c r="A1054" s="3">
        <v>4</v>
      </c>
      <c r="B1054" s="3" t="s">
        <v>191</v>
      </c>
      <c r="C1054" s="1" t="s">
        <v>12</v>
      </c>
      <c r="D1054" s="1" t="s">
        <v>444</v>
      </c>
      <c r="E1054" s="11" t="s">
        <v>144</v>
      </c>
      <c r="F1054" s="3" t="s">
        <v>8</v>
      </c>
      <c r="G1054" s="48" t="s">
        <v>66</v>
      </c>
      <c r="H1054" s="8"/>
      <c r="I1054" s="8"/>
      <c r="J1054" s="6" t="s">
        <v>76</v>
      </c>
      <c r="K1054" s="38">
        <v>0</v>
      </c>
      <c r="L1054" s="4" t="s">
        <v>29</v>
      </c>
      <c r="M1054" s="11">
        <f>_xlfn.NUMBERVALUE(LEFT(Table613612[[#This Row],[Fiscal Year]], 4))</f>
        <v>2015</v>
      </c>
      <c r="N1054" s="43">
        <f t="shared" ref="N1054:N1098" si="23">K1054*(1+VLOOKUP(M1054,$AF$8:$AH$31,3,0))</f>
        <v>0</v>
      </c>
      <c r="O1054" s="3">
        <v>1052</v>
      </c>
    </row>
    <row r="1055" spans="1:15" x14ac:dyDescent="0.25">
      <c r="A1055" s="3">
        <v>4</v>
      </c>
      <c r="B1055" s="3" t="s">
        <v>191</v>
      </c>
      <c r="C1055" s="1" t="s">
        <v>12</v>
      </c>
      <c r="D1055" s="1" t="s">
        <v>444</v>
      </c>
      <c r="E1055" s="11" t="s">
        <v>144</v>
      </c>
      <c r="F1055" s="3" t="s">
        <v>8</v>
      </c>
      <c r="G1055" s="66" t="s">
        <v>33</v>
      </c>
      <c r="H1055" s="8"/>
      <c r="I1055" s="8"/>
      <c r="J1055" s="6" t="s">
        <v>47</v>
      </c>
      <c r="K1055" s="38">
        <v>2500</v>
      </c>
      <c r="L1055" s="4" t="s">
        <v>29</v>
      </c>
      <c r="M1055" s="11">
        <f>_xlfn.NUMBERVALUE(LEFT(Table613612[[#This Row],[Fiscal Year]], 4))</f>
        <v>2015</v>
      </c>
      <c r="N1055" s="42">
        <f t="shared" si="23"/>
        <v>2654.3354430379745</v>
      </c>
      <c r="O1055" s="3">
        <v>1053</v>
      </c>
    </row>
    <row r="1056" spans="1:15" x14ac:dyDescent="0.25">
      <c r="A1056" s="3">
        <v>4</v>
      </c>
      <c r="B1056" s="3" t="s">
        <v>191</v>
      </c>
      <c r="C1056" s="1" t="s">
        <v>12</v>
      </c>
      <c r="D1056" s="1" t="s">
        <v>444</v>
      </c>
      <c r="E1056" s="11" t="s">
        <v>144</v>
      </c>
      <c r="F1056" s="3" t="s">
        <v>8</v>
      </c>
      <c r="G1056" s="66" t="s">
        <v>67</v>
      </c>
      <c r="H1056" s="8"/>
      <c r="I1056" s="8"/>
      <c r="J1056" s="6" t="s">
        <v>455</v>
      </c>
      <c r="K1056" s="38">
        <v>15000</v>
      </c>
      <c r="L1056" s="4" t="s">
        <v>29</v>
      </c>
      <c r="M1056" s="11">
        <f>_xlfn.NUMBERVALUE(LEFT(Table613612[[#This Row],[Fiscal Year]], 4))</f>
        <v>2015</v>
      </c>
      <c r="N1056" s="42">
        <f t="shared" si="23"/>
        <v>15926.012658227848</v>
      </c>
      <c r="O1056" s="3">
        <v>1054</v>
      </c>
    </row>
    <row r="1057" spans="1:15" x14ac:dyDescent="0.25">
      <c r="C1057" s="1"/>
      <c r="D1057" s="1"/>
      <c r="E1057" s="11"/>
      <c r="G1057" s="66"/>
      <c r="H1057" s="8"/>
      <c r="I1057" s="8"/>
      <c r="J1057" s="6"/>
      <c r="L1057" s="4"/>
      <c r="O1057" s="3">
        <v>1055</v>
      </c>
    </row>
    <row r="1058" spans="1:15" x14ac:dyDescent="0.25">
      <c r="A1058" s="3">
        <v>4</v>
      </c>
      <c r="B1058" s="3" t="s">
        <v>192</v>
      </c>
      <c r="C1058" s="1" t="s">
        <v>12</v>
      </c>
      <c r="D1058" s="1" t="s">
        <v>444</v>
      </c>
      <c r="E1058" s="11" t="s">
        <v>144</v>
      </c>
      <c r="F1058" s="3" t="s">
        <v>8</v>
      </c>
      <c r="G1058" s="48" t="s">
        <v>32</v>
      </c>
      <c r="H1058" s="8"/>
      <c r="I1058" s="8"/>
      <c r="J1058" s="6" t="s">
        <v>110</v>
      </c>
      <c r="K1058" s="38">
        <v>55003</v>
      </c>
      <c r="L1058" s="4" t="s">
        <v>29</v>
      </c>
      <c r="M1058" s="11">
        <f>_xlfn.NUMBERVALUE(LEFT(Table613612[[#This Row],[Fiscal Year]], 4))</f>
        <v>2015</v>
      </c>
      <c r="N1058" s="42">
        <f t="shared" si="23"/>
        <v>58398.564949367086</v>
      </c>
      <c r="O1058" s="3">
        <v>1056</v>
      </c>
    </row>
    <row r="1059" spans="1:15" x14ac:dyDescent="0.25">
      <c r="A1059" s="3">
        <v>4</v>
      </c>
      <c r="B1059" s="3" t="s">
        <v>192</v>
      </c>
      <c r="C1059" s="1" t="s">
        <v>12</v>
      </c>
      <c r="D1059" s="1" t="s">
        <v>444</v>
      </c>
      <c r="E1059" s="11" t="s">
        <v>144</v>
      </c>
      <c r="F1059" s="3" t="s">
        <v>8</v>
      </c>
      <c r="G1059" s="66" t="s">
        <v>58</v>
      </c>
      <c r="H1059" s="8"/>
      <c r="I1059" s="8"/>
      <c r="J1059" s="6" t="s">
        <v>453</v>
      </c>
      <c r="K1059" s="38">
        <v>146779</v>
      </c>
      <c r="L1059" s="4" t="s">
        <v>29</v>
      </c>
      <c r="M1059" s="11">
        <f>_xlfn.NUMBERVALUE(LEFT(Table613612[[#This Row],[Fiscal Year]], 4))</f>
        <v>2015</v>
      </c>
      <c r="N1059" s="42">
        <f t="shared" si="23"/>
        <v>155840.28079746835</v>
      </c>
      <c r="O1059" s="3">
        <v>1057</v>
      </c>
    </row>
    <row r="1060" spans="1:15" x14ac:dyDescent="0.25">
      <c r="A1060" s="3">
        <v>4</v>
      </c>
      <c r="B1060" s="3" t="s">
        <v>192</v>
      </c>
      <c r="C1060" s="1" t="s">
        <v>12</v>
      </c>
      <c r="D1060" s="1" t="s">
        <v>444</v>
      </c>
      <c r="E1060" s="11" t="s">
        <v>144</v>
      </c>
      <c r="F1060" s="3" t="s">
        <v>8</v>
      </c>
      <c r="G1060" s="66" t="s">
        <v>208</v>
      </c>
      <c r="H1060" s="8"/>
      <c r="I1060" s="8"/>
      <c r="J1060" s="6" t="s">
        <v>109</v>
      </c>
      <c r="K1060" s="38">
        <v>32530</v>
      </c>
      <c r="L1060" s="4" t="s">
        <v>29</v>
      </c>
      <c r="M1060" s="11">
        <f>_xlfn.NUMBERVALUE(LEFT(Table613612[[#This Row],[Fiscal Year]], 4))</f>
        <v>2015</v>
      </c>
      <c r="N1060" s="42">
        <f t="shared" si="23"/>
        <v>34538.212784810123</v>
      </c>
      <c r="O1060" s="3">
        <v>1058</v>
      </c>
    </row>
    <row r="1061" spans="1:15" x14ac:dyDescent="0.25">
      <c r="A1061" s="3">
        <v>4</v>
      </c>
      <c r="B1061" s="3" t="s">
        <v>192</v>
      </c>
      <c r="C1061" s="1" t="s">
        <v>12</v>
      </c>
      <c r="D1061" s="1" t="s">
        <v>444</v>
      </c>
      <c r="E1061" s="11" t="s">
        <v>144</v>
      </c>
      <c r="F1061" s="3" t="s">
        <v>8</v>
      </c>
      <c r="G1061" s="48" t="s">
        <v>59</v>
      </c>
      <c r="H1061" s="8"/>
      <c r="I1061" s="8"/>
      <c r="J1061" s="6" t="s">
        <v>111</v>
      </c>
      <c r="K1061" s="38">
        <v>38224</v>
      </c>
      <c r="L1061" s="4" t="s">
        <v>29</v>
      </c>
      <c r="M1061" s="11">
        <f>_xlfn.NUMBERVALUE(LEFT(Table613612[[#This Row],[Fiscal Year]], 4))</f>
        <v>2015</v>
      </c>
      <c r="N1061" s="42">
        <f t="shared" si="23"/>
        <v>40583.727189873418</v>
      </c>
      <c r="O1061" s="3">
        <v>1059</v>
      </c>
    </row>
    <row r="1062" spans="1:15" x14ac:dyDescent="0.25">
      <c r="A1062" s="3">
        <v>4</v>
      </c>
      <c r="B1062" s="3" t="s">
        <v>192</v>
      </c>
      <c r="C1062" s="1" t="s">
        <v>12</v>
      </c>
      <c r="D1062" s="1" t="s">
        <v>444</v>
      </c>
      <c r="E1062" s="11" t="s">
        <v>144</v>
      </c>
      <c r="F1062" s="3" t="s">
        <v>8</v>
      </c>
      <c r="G1062" s="66" t="s">
        <v>60</v>
      </c>
      <c r="H1062" s="8"/>
      <c r="I1062" s="8"/>
      <c r="J1062" s="6" t="s">
        <v>111</v>
      </c>
      <c r="K1062" s="38">
        <v>3966</v>
      </c>
      <c r="L1062" s="4" t="s">
        <v>29</v>
      </c>
      <c r="M1062" s="11">
        <f>_xlfn.NUMBERVALUE(LEFT(Table613612[[#This Row],[Fiscal Year]], 4))</f>
        <v>2015</v>
      </c>
      <c r="N1062" s="42">
        <f t="shared" si="23"/>
        <v>4210.8377468354429</v>
      </c>
      <c r="O1062" s="3">
        <v>1060</v>
      </c>
    </row>
    <row r="1063" spans="1:15" x14ac:dyDescent="0.25">
      <c r="A1063" s="3">
        <v>4</v>
      </c>
      <c r="B1063" s="3" t="s">
        <v>192</v>
      </c>
      <c r="C1063" s="1" t="s">
        <v>12</v>
      </c>
      <c r="D1063" s="1" t="s">
        <v>444</v>
      </c>
      <c r="E1063" s="11" t="s">
        <v>144</v>
      </c>
      <c r="F1063" s="3" t="s">
        <v>8</v>
      </c>
      <c r="G1063" s="48" t="s">
        <v>61</v>
      </c>
      <c r="H1063" s="8"/>
      <c r="I1063" s="8"/>
      <c r="J1063" s="6" t="s">
        <v>108</v>
      </c>
      <c r="K1063" s="38">
        <v>333928</v>
      </c>
      <c r="L1063" s="4" t="s">
        <v>29</v>
      </c>
      <c r="M1063" s="11">
        <f>_xlfn.NUMBERVALUE(LEFT(Table613612[[#This Row],[Fiscal Year]], 4))</f>
        <v>2015</v>
      </c>
      <c r="N1063" s="42">
        <f t="shared" si="23"/>
        <v>354542.77032911388</v>
      </c>
      <c r="O1063" s="3">
        <v>1061</v>
      </c>
    </row>
    <row r="1064" spans="1:15" x14ac:dyDescent="0.25">
      <c r="A1064" s="3">
        <v>4</v>
      </c>
      <c r="B1064" s="3" t="s">
        <v>192</v>
      </c>
      <c r="C1064" s="1" t="s">
        <v>12</v>
      </c>
      <c r="D1064" s="1" t="s">
        <v>444</v>
      </c>
      <c r="E1064" s="11" t="s">
        <v>144</v>
      </c>
      <c r="F1064" s="3" t="s">
        <v>8</v>
      </c>
      <c r="G1064" s="66" t="s">
        <v>62</v>
      </c>
      <c r="H1064" s="8"/>
      <c r="I1064" s="8"/>
      <c r="J1064" s="6" t="s">
        <v>106</v>
      </c>
      <c r="K1064" s="38">
        <v>332.5</v>
      </c>
      <c r="L1064" s="4" t="s">
        <v>29</v>
      </c>
      <c r="M1064" s="11">
        <f>_xlfn.NUMBERVALUE(LEFT(Table613612[[#This Row],[Fiscal Year]], 4))</f>
        <v>2015</v>
      </c>
      <c r="N1064" s="42">
        <f t="shared" si="23"/>
        <v>353.02661392405059</v>
      </c>
      <c r="O1064" s="3">
        <v>1062</v>
      </c>
    </row>
    <row r="1065" spans="1:15" x14ac:dyDescent="0.25">
      <c r="A1065" s="3">
        <v>4</v>
      </c>
      <c r="B1065" s="3" t="s">
        <v>192</v>
      </c>
      <c r="C1065" s="1" t="s">
        <v>12</v>
      </c>
      <c r="D1065" s="1" t="s">
        <v>444</v>
      </c>
      <c r="E1065" s="11" t="s">
        <v>144</v>
      </c>
      <c r="F1065" s="3" t="s">
        <v>8</v>
      </c>
      <c r="G1065" s="66" t="s">
        <v>211</v>
      </c>
      <c r="H1065" s="8"/>
      <c r="I1065" s="8"/>
      <c r="J1065" s="6" t="s">
        <v>455</v>
      </c>
      <c r="K1065" s="38">
        <v>31370</v>
      </c>
      <c r="L1065" s="4" t="s">
        <v>29</v>
      </c>
      <c r="M1065" s="11">
        <f>_xlfn.NUMBERVALUE(LEFT(Table613612[[#This Row],[Fiscal Year]], 4))</f>
        <v>2015</v>
      </c>
      <c r="N1065" s="42">
        <f t="shared" si="23"/>
        <v>33306.601139240505</v>
      </c>
      <c r="O1065" s="3">
        <v>1063</v>
      </c>
    </row>
    <row r="1066" spans="1:15" x14ac:dyDescent="0.25">
      <c r="A1066" s="3">
        <v>4</v>
      </c>
      <c r="B1066" s="3" t="s">
        <v>192</v>
      </c>
      <c r="C1066" s="1" t="s">
        <v>12</v>
      </c>
      <c r="D1066" s="1" t="s">
        <v>444</v>
      </c>
      <c r="E1066" s="11" t="s">
        <v>144</v>
      </c>
      <c r="F1066" s="3" t="s">
        <v>8</v>
      </c>
      <c r="G1066" s="66" t="s">
        <v>64</v>
      </c>
      <c r="H1066" s="8"/>
      <c r="I1066" s="8"/>
      <c r="J1066" s="6" t="s">
        <v>76</v>
      </c>
      <c r="K1066" s="38" t="s">
        <v>827</v>
      </c>
      <c r="L1066" s="4" t="s">
        <v>29</v>
      </c>
      <c r="M1066" s="11">
        <f>_xlfn.NUMBERVALUE(LEFT(Table613612[[#This Row],[Fiscal Year]], 4))</f>
        <v>2015</v>
      </c>
      <c r="O1066" s="3">
        <v>1064</v>
      </c>
    </row>
    <row r="1067" spans="1:15" x14ac:dyDescent="0.25">
      <c r="A1067" s="3">
        <v>4</v>
      </c>
      <c r="B1067" s="3" t="s">
        <v>192</v>
      </c>
      <c r="C1067" s="1" t="s">
        <v>12</v>
      </c>
      <c r="D1067" s="1" t="s">
        <v>444</v>
      </c>
      <c r="E1067" s="11" t="s">
        <v>144</v>
      </c>
      <c r="F1067" s="3" t="s">
        <v>8</v>
      </c>
      <c r="G1067" s="66" t="s">
        <v>65</v>
      </c>
      <c r="H1067" s="8"/>
      <c r="I1067" s="8"/>
      <c r="J1067" s="6" t="s">
        <v>76</v>
      </c>
      <c r="K1067" s="38" t="s">
        <v>827</v>
      </c>
      <c r="L1067" s="4" t="s">
        <v>29</v>
      </c>
      <c r="M1067" s="11">
        <f>_xlfn.NUMBERVALUE(LEFT(Table613612[[#This Row],[Fiscal Year]], 4))</f>
        <v>2015</v>
      </c>
      <c r="O1067" s="3">
        <v>1065</v>
      </c>
    </row>
    <row r="1068" spans="1:15" x14ac:dyDescent="0.25">
      <c r="A1068" s="3">
        <v>4</v>
      </c>
      <c r="B1068" s="3" t="s">
        <v>192</v>
      </c>
      <c r="C1068" s="1" t="s">
        <v>12</v>
      </c>
      <c r="D1068" s="1" t="s">
        <v>444</v>
      </c>
      <c r="E1068" s="11" t="s">
        <v>144</v>
      </c>
      <c r="F1068" s="3" t="s">
        <v>8</v>
      </c>
      <c r="G1068" s="48" t="s">
        <v>66</v>
      </c>
      <c r="H1068" s="8"/>
      <c r="I1068" s="8"/>
      <c r="J1068" s="6" t="s">
        <v>76</v>
      </c>
      <c r="K1068" s="38" t="s">
        <v>827</v>
      </c>
      <c r="L1068" s="4" t="s">
        <v>29</v>
      </c>
      <c r="M1068" s="11">
        <f>_xlfn.NUMBERVALUE(LEFT(Table613612[[#This Row],[Fiscal Year]], 4))</f>
        <v>2015</v>
      </c>
      <c r="O1068" s="3">
        <v>1066</v>
      </c>
    </row>
    <row r="1069" spans="1:15" x14ac:dyDescent="0.25">
      <c r="A1069" s="3">
        <v>4</v>
      </c>
      <c r="B1069" s="3" t="s">
        <v>192</v>
      </c>
      <c r="C1069" s="1" t="s">
        <v>12</v>
      </c>
      <c r="D1069" s="1" t="s">
        <v>444</v>
      </c>
      <c r="E1069" s="11" t="s">
        <v>144</v>
      </c>
      <c r="F1069" s="3" t="s">
        <v>8</v>
      </c>
      <c r="G1069" s="66" t="s">
        <v>33</v>
      </c>
      <c r="H1069" s="8"/>
      <c r="I1069" s="8"/>
      <c r="J1069" s="6" t="s">
        <v>47</v>
      </c>
      <c r="K1069" s="38">
        <v>58090</v>
      </c>
      <c r="L1069" s="4" t="s">
        <v>29</v>
      </c>
      <c r="M1069" s="11">
        <f>_xlfn.NUMBERVALUE(LEFT(Table613612[[#This Row],[Fiscal Year]], 4))</f>
        <v>2015</v>
      </c>
      <c r="N1069" s="42">
        <f t="shared" si="23"/>
        <v>61676.138354430375</v>
      </c>
      <c r="O1069" s="3">
        <v>1067</v>
      </c>
    </row>
    <row r="1070" spans="1:15" x14ac:dyDescent="0.25">
      <c r="A1070" s="3">
        <v>4</v>
      </c>
      <c r="B1070" s="3" t="s">
        <v>192</v>
      </c>
      <c r="C1070" s="1" t="s">
        <v>12</v>
      </c>
      <c r="D1070" s="1" t="s">
        <v>444</v>
      </c>
      <c r="E1070" s="11" t="s">
        <v>144</v>
      </c>
      <c r="F1070" s="3" t="s">
        <v>8</v>
      </c>
      <c r="G1070" s="66" t="s">
        <v>67</v>
      </c>
      <c r="H1070" s="8" t="s">
        <v>939</v>
      </c>
      <c r="I1070" s="8" t="s">
        <v>429</v>
      </c>
      <c r="J1070" s="6" t="s">
        <v>455</v>
      </c>
      <c r="K1070" s="38">
        <v>44850</v>
      </c>
      <c r="L1070" s="4" t="s">
        <v>29</v>
      </c>
      <c r="M1070" s="11">
        <f>_xlfn.NUMBERVALUE(LEFT(Table613612[[#This Row],[Fiscal Year]], 4))</f>
        <v>2015</v>
      </c>
      <c r="N1070" s="42">
        <f t="shared" si="23"/>
        <v>47618.777848101265</v>
      </c>
      <c r="O1070" s="3">
        <v>1068</v>
      </c>
    </row>
    <row r="1071" spans="1:15" x14ac:dyDescent="0.25">
      <c r="C1071" s="1"/>
      <c r="D1071" s="1"/>
      <c r="E1071" s="11"/>
      <c r="G1071" s="66"/>
      <c r="H1071" s="8"/>
      <c r="I1071" s="8"/>
      <c r="J1071" s="6"/>
      <c r="L1071" s="4"/>
      <c r="O1071" s="3">
        <v>1069</v>
      </c>
    </row>
    <row r="1072" spans="1:15" x14ac:dyDescent="0.25">
      <c r="A1072" s="3">
        <v>4</v>
      </c>
      <c r="B1072" s="3" t="s">
        <v>193</v>
      </c>
      <c r="C1072" s="1" t="s">
        <v>12</v>
      </c>
      <c r="D1072" s="1" t="s">
        <v>444</v>
      </c>
      <c r="E1072" s="11" t="s">
        <v>144</v>
      </c>
      <c r="F1072" s="3" t="s">
        <v>8</v>
      </c>
      <c r="G1072" s="48" t="s">
        <v>32</v>
      </c>
      <c r="H1072" s="8"/>
      <c r="I1072" s="8"/>
      <c r="J1072" s="6" t="s">
        <v>110</v>
      </c>
      <c r="K1072" s="38">
        <v>230000</v>
      </c>
      <c r="L1072" s="4" t="s">
        <v>29</v>
      </c>
      <c r="M1072" s="11">
        <f>_xlfn.NUMBERVALUE(LEFT(Table613612[[#This Row],[Fiscal Year]], 4))</f>
        <v>2015</v>
      </c>
      <c r="N1072" s="42">
        <f t="shared" si="23"/>
        <v>244198.86075949366</v>
      </c>
      <c r="O1072" s="3">
        <v>1070</v>
      </c>
    </row>
    <row r="1073" spans="1:15" x14ac:dyDescent="0.25">
      <c r="A1073" s="3">
        <v>4</v>
      </c>
      <c r="B1073" s="3" t="s">
        <v>193</v>
      </c>
      <c r="C1073" s="1" t="s">
        <v>12</v>
      </c>
      <c r="D1073" s="1" t="s">
        <v>444</v>
      </c>
      <c r="E1073" s="11" t="s">
        <v>144</v>
      </c>
      <c r="F1073" s="3" t="s">
        <v>8</v>
      </c>
      <c r="G1073" s="66" t="s">
        <v>58</v>
      </c>
      <c r="H1073" s="8"/>
      <c r="I1073" s="8"/>
      <c r="J1073" s="6" t="s">
        <v>453</v>
      </c>
      <c r="K1073" s="38">
        <v>40000</v>
      </c>
      <c r="L1073" s="4" t="s">
        <v>29</v>
      </c>
      <c r="M1073" s="11">
        <f>_xlfn.NUMBERVALUE(LEFT(Table613612[[#This Row],[Fiscal Year]], 4))</f>
        <v>2015</v>
      </c>
      <c r="N1073" s="42">
        <f t="shared" si="23"/>
        <v>42469.367088607592</v>
      </c>
      <c r="O1073" s="3">
        <v>1071</v>
      </c>
    </row>
    <row r="1074" spans="1:15" x14ac:dyDescent="0.25">
      <c r="A1074" s="3">
        <v>4</v>
      </c>
      <c r="B1074" s="3" t="s">
        <v>193</v>
      </c>
      <c r="C1074" s="1" t="s">
        <v>12</v>
      </c>
      <c r="D1074" s="1" t="s">
        <v>444</v>
      </c>
      <c r="E1074" s="11" t="s">
        <v>144</v>
      </c>
      <c r="F1074" s="3" t="s">
        <v>8</v>
      </c>
      <c r="G1074" s="66" t="s">
        <v>208</v>
      </c>
      <c r="H1074" s="8"/>
      <c r="I1074" s="8"/>
      <c r="J1074" s="6" t="s">
        <v>109</v>
      </c>
      <c r="K1074" s="38">
        <v>45000</v>
      </c>
      <c r="L1074" s="4" t="s">
        <v>29</v>
      </c>
      <c r="M1074" s="11">
        <f>_xlfn.NUMBERVALUE(LEFT(Table613612[[#This Row],[Fiscal Year]], 4))</f>
        <v>2015</v>
      </c>
      <c r="N1074" s="42">
        <f t="shared" si="23"/>
        <v>47778.037974683539</v>
      </c>
      <c r="O1074" s="3">
        <v>1072</v>
      </c>
    </row>
    <row r="1075" spans="1:15" x14ac:dyDescent="0.25">
      <c r="A1075" s="3">
        <v>4</v>
      </c>
      <c r="B1075" s="3" t="s">
        <v>193</v>
      </c>
      <c r="C1075" s="1" t="s">
        <v>12</v>
      </c>
      <c r="D1075" s="1" t="s">
        <v>444</v>
      </c>
      <c r="E1075" s="11" t="s">
        <v>144</v>
      </c>
      <c r="F1075" s="3" t="s">
        <v>8</v>
      </c>
      <c r="G1075" s="48" t="s">
        <v>59</v>
      </c>
      <c r="H1075" s="8"/>
      <c r="I1075" s="8"/>
      <c r="J1075" s="6" t="s">
        <v>111</v>
      </c>
      <c r="K1075" s="38">
        <v>170000</v>
      </c>
      <c r="L1075" s="4" t="s">
        <v>29</v>
      </c>
      <c r="M1075" s="11">
        <f>_xlfn.NUMBERVALUE(LEFT(Table613612[[#This Row],[Fiscal Year]], 4))</f>
        <v>2015</v>
      </c>
      <c r="N1075" s="42">
        <f t="shared" si="23"/>
        <v>180494.81012658228</v>
      </c>
      <c r="O1075" s="3">
        <v>1073</v>
      </c>
    </row>
    <row r="1076" spans="1:15" x14ac:dyDescent="0.25">
      <c r="A1076" s="3">
        <v>4</v>
      </c>
      <c r="B1076" s="3" t="s">
        <v>193</v>
      </c>
      <c r="C1076" s="1" t="s">
        <v>12</v>
      </c>
      <c r="D1076" s="1" t="s">
        <v>444</v>
      </c>
      <c r="E1076" s="11" t="s">
        <v>144</v>
      </c>
      <c r="F1076" s="3" t="s">
        <v>8</v>
      </c>
      <c r="G1076" s="66" t="s">
        <v>60</v>
      </c>
      <c r="H1076" s="8"/>
      <c r="I1076" s="8"/>
      <c r="J1076" s="6" t="s">
        <v>111</v>
      </c>
      <c r="K1076" s="38">
        <v>80000</v>
      </c>
      <c r="L1076" s="4" t="s">
        <v>29</v>
      </c>
      <c r="M1076" s="11">
        <f>_xlfn.NUMBERVALUE(LEFT(Table613612[[#This Row],[Fiscal Year]], 4))</f>
        <v>2015</v>
      </c>
      <c r="N1076" s="42">
        <f t="shared" si="23"/>
        <v>84938.734177215185</v>
      </c>
      <c r="O1076" s="3">
        <v>1074</v>
      </c>
    </row>
    <row r="1077" spans="1:15" x14ac:dyDescent="0.25">
      <c r="A1077" s="3">
        <v>4</v>
      </c>
      <c r="B1077" s="3" t="s">
        <v>193</v>
      </c>
      <c r="C1077" s="1" t="s">
        <v>12</v>
      </c>
      <c r="D1077" s="1" t="s">
        <v>444</v>
      </c>
      <c r="E1077" s="11" t="s">
        <v>144</v>
      </c>
      <c r="F1077" s="3" t="s">
        <v>8</v>
      </c>
      <c r="G1077" s="48" t="s">
        <v>61</v>
      </c>
      <c r="H1077" s="8"/>
      <c r="I1077" s="8"/>
      <c r="J1077" s="6" t="s">
        <v>108</v>
      </c>
      <c r="K1077" s="38">
        <v>15300000</v>
      </c>
      <c r="L1077" s="4" t="s">
        <v>29</v>
      </c>
      <c r="M1077" s="11">
        <f>_xlfn.NUMBERVALUE(LEFT(Table613612[[#This Row],[Fiscal Year]], 4))</f>
        <v>2015</v>
      </c>
      <c r="N1077" s="42">
        <f t="shared" si="23"/>
        <v>16244532.911392404</v>
      </c>
      <c r="O1077" s="3">
        <v>1075</v>
      </c>
    </row>
    <row r="1078" spans="1:15" x14ac:dyDescent="0.25">
      <c r="A1078" s="3">
        <v>4</v>
      </c>
      <c r="B1078" s="3" t="s">
        <v>193</v>
      </c>
      <c r="C1078" s="1" t="s">
        <v>12</v>
      </c>
      <c r="D1078" s="1" t="s">
        <v>444</v>
      </c>
      <c r="E1078" s="11" t="s">
        <v>144</v>
      </c>
      <c r="F1078" s="3" t="s">
        <v>8</v>
      </c>
      <c r="G1078" s="66" t="s">
        <v>62</v>
      </c>
      <c r="H1078" s="8"/>
      <c r="I1078" s="8"/>
      <c r="J1078" s="6" t="s">
        <v>106</v>
      </c>
      <c r="K1078" s="38">
        <v>500000</v>
      </c>
      <c r="L1078" s="4" t="s">
        <v>29</v>
      </c>
      <c r="M1078" s="11">
        <f>_xlfn.NUMBERVALUE(LEFT(Table613612[[#This Row],[Fiscal Year]], 4))</f>
        <v>2015</v>
      </c>
      <c r="N1078" s="42">
        <f t="shared" si="23"/>
        <v>530867.08860759495</v>
      </c>
      <c r="O1078" s="3">
        <v>1076</v>
      </c>
    </row>
    <row r="1079" spans="1:15" x14ac:dyDescent="0.25">
      <c r="A1079" s="3">
        <v>4</v>
      </c>
      <c r="B1079" s="3" t="s">
        <v>193</v>
      </c>
      <c r="C1079" s="1" t="s">
        <v>12</v>
      </c>
      <c r="D1079" s="1" t="s">
        <v>444</v>
      </c>
      <c r="E1079" s="11" t="s">
        <v>144</v>
      </c>
      <c r="F1079" s="3" t="s">
        <v>8</v>
      </c>
      <c r="G1079" s="66" t="s">
        <v>211</v>
      </c>
      <c r="H1079" s="8"/>
      <c r="I1079" s="8"/>
      <c r="J1079" s="6" t="s">
        <v>455</v>
      </c>
      <c r="K1079" s="38">
        <v>100000</v>
      </c>
      <c r="L1079" s="4" t="s">
        <v>29</v>
      </c>
      <c r="M1079" s="11">
        <f>_xlfn.NUMBERVALUE(LEFT(Table613612[[#This Row],[Fiscal Year]], 4))</f>
        <v>2015</v>
      </c>
      <c r="N1079" s="42">
        <f t="shared" si="23"/>
        <v>106173.41772151898</v>
      </c>
      <c r="O1079" s="3">
        <v>1077</v>
      </c>
    </row>
    <row r="1080" spans="1:15" x14ac:dyDescent="0.25">
      <c r="A1080" s="3">
        <v>4</v>
      </c>
      <c r="B1080" s="3" t="s">
        <v>193</v>
      </c>
      <c r="C1080" s="1" t="s">
        <v>12</v>
      </c>
      <c r="D1080" s="1" t="s">
        <v>444</v>
      </c>
      <c r="E1080" s="11" t="s">
        <v>144</v>
      </c>
      <c r="F1080" s="3" t="s">
        <v>8</v>
      </c>
      <c r="G1080" s="66" t="s">
        <v>64</v>
      </c>
      <c r="H1080" s="8"/>
      <c r="I1080" s="8"/>
      <c r="J1080" s="6" t="s">
        <v>76</v>
      </c>
      <c r="K1080" s="38">
        <v>20000</v>
      </c>
      <c r="L1080" s="4" t="s">
        <v>29</v>
      </c>
      <c r="M1080" s="11">
        <f>_xlfn.NUMBERVALUE(LEFT(Table613612[[#This Row],[Fiscal Year]], 4))</f>
        <v>2015</v>
      </c>
      <c r="N1080" s="42">
        <f t="shared" si="23"/>
        <v>21234.683544303796</v>
      </c>
      <c r="O1080" s="3">
        <v>1078</v>
      </c>
    </row>
    <row r="1081" spans="1:15" x14ac:dyDescent="0.25">
      <c r="A1081" s="3">
        <v>4</v>
      </c>
      <c r="B1081" s="3" t="s">
        <v>193</v>
      </c>
      <c r="C1081" s="1" t="s">
        <v>12</v>
      </c>
      <c r="D1081" s="1" t="s">
        <v>444</v>
      </c>
      <c r="E1081" s="11" t="s">
        <v>144</v>
      </c>
      <c r="F1081" s="3" t="s">
        <v>8</v>
      </c>
      <c r="G1081" s="66" t="s">
        <v>65</v>
      </c>
      <c r="H1081" s="8"/>
      <c r="I1081" s="8"/>
      <c r="J1081" s="6" t="s">
        <v>76</v>
      </c>
      <c r="K1081" s="38" t="s">
        <v>827</v>
      </c>
      <c r="L1081" s="4" t="s">
        <v>29</v>
      </c>
      <c r="M1081" s="11">
        <f>_xlfn.NUMBERVALUE(LEFT(Table613612[[#This Row],[Fiscal Year]], 4))</f>
        <v>2015</v>
      </c>
      <c r="O1081" s="3">
        <v>1079</v>
      </c>
    </row>
    <row r="1082" spans="1:15" x14ac:dyDescent="0.25">
      <c r="A1082" s="3">
        <v>4</v>
      </c>
      <c r="B1082" s="3" t="s">
        <v>193</v>
      </c>
      <c r="C1082" s="1" t="s">
        <v>12</v>
      </c>
      <c r="D1082" s="1" t="s">
        <v>444</v>
      </c>
      <c r="E1082" s="11" t="s">
        <v>144</v>
      </c>
      <c r="F1082" s="3" t="s">
        <v>8</v>
      </c>
      <c r="G1082" s="48" t="s">
        <v>66</v>
      </c>
      <c r="H1082" s="8"/>
      <c r="I1082" s="8"/>
      <c r="J1082" s="6" t="s">
        <v>76</v>
      </c>
      <c r="K1082" s="38" t="s">
        <v>827</v>
      </c>
      <c r="L1082" s="4" t="s">
        <v>29</v>
      </c>
      <c r="M1082" s="11">
        <f>_xlfn.NUMBERVALUE(LEFT(Table613612[[#This Row],[Fiscal Year]], 4))</f>
        <v>2015</v>
      </c>
      <c r="O1082" s="3">
        <v>1080</v>
      </c>
    </row>
    <row r="1083" spans="1:15" x14ac:dyDescent="0.25">
      <c r="A1083" s="3">
        <v>4</v>
      </c>
      <c r="B1083" s="3" t="s">
        <v>193</v>
      </c>
      <c r="C1083" s="1" t="s">
        <v>12</v>
      </c>
      <c r="D1083" s="1" t="s">
        <v>444</v>
      </c>
      <c r="E1083" s="11" t="s">
        <v>144</v>
      </c>
      <c r="F1083" s="3" t="s">
        <v>8</v>
      </c>
      <c r="G1083" s="66" t="s">
        <v>33</v>
      </c>
      <c r="H1083" s="8"/>
      <c r="I1083" s="8"/>
      <c r="J1083" s="6" t="s">
        <v>47</v>
      </c>
      <c r="K1083" s="38">
        <v>220000</v>
      </c>
      <c r="L1083" s="4" t="s">
        <v>29</v>
      </c>
      <c r="M1083" s="11">
        <f>_xlfn.NUMBERVALUE(LEFT(Table613612[[#This Row],[Fiscal Year]], 4))</f>
        <v>2015</v>
      </c>
      <c r="N1083" s="42">
        <f t="shared" si="23"/>
        <v>233581.51898734175</v>
      </c>
      <c r="O1083" s="3">
        <v>1081</v>
      </c>
    </row>
    <row r="1084" spans="1:15" x14ac:dyDescent="0.25">
      <c r="A1084" s="3">
        <v>4</v>
      </c>
      <c r="B1084" s="3" t="s">
        <v>193</v>
      </c>
      <c r="C1084" s="1" t="s">
        <v>12</v>
      </c>
      <c r="D1084" s="1" t="s">
        <v>444</v>
      </c>
      <c r="E1084" s="11" t="s">
        <v>144</v>
      </c>
      <c r="F1084" s="3" t="s">
        <v>8</v>
      </c>
      <c r="G1084" s="66" t="s">
        <v>67</v>
      </c>
      <c r="H1084" s="8"/>
      <c r="I1084" s="8"/>
      <c r="J1084" s="6" t="s">
        <v>455</v>
      </c>
      <c r="K1084" s="38" t="s">
        <v>827</v>
      </c>
      <c r="L1084" s="4" t="s">
        <v>29</v>
      </c>
      <c r="M1084" s="11">
        <f>_xlfn.NUMBERVALUE(LEFT(Table613612[[#This Row],[Fiscal Year]], 4))</f>
        <v>2015</v>
      </c>
      <c r="O1084" s="3">
        <v>1082</v>
      </c>
    </row>
    <row r="1085" spans="1:15" x14ac:dyDescent="0.25">
      <c r="C1085" s="1"/>
      <c r="D1085" s="1"/>
      <c r="E1085" s="11"/>
      <c r="G1085" s="66"/>
      <c r="H1085" s="8"/>
      <c r="I1085" s="8"/>
      <c r="J1085" s="6"/>
      <c r="L1085" s="4"/>
      <c r="O1085" s="3">
        <v>1083</v>
      </c>
    </row>
    <row r="1086" spans="1:15" x14ac:dyDescent="0.25">
      <c r="A1086" s="3">
        <v>4</v>
      </c>
      <c r="B1086" s="3" t="s">
        <v>194</v>
      </c>
      <c r="C1086" s="1" t="s">
        <v>12</v>
      </c>
      <c r="D1086" s="1" t="s">
        <v>444</v>
      </c>
      <c r="E1086" s="11" t="s">
        <v>144</v>
      </c>
      <c r="F1086" s="3" t="s">
        <v>8</v>
      </c>
      <c r="G1086" s="48" t="s">
        <v>32</v>
      </c>
      <c r="H1086" s="8"/>
      <c r="I1086" s="8"/>
      <c r="J1086" s="6" t="s">
        <v>110</v>
      </c>
      <c r="K1086" s="38">
        <v>114536.26</v>
      </c>
      <c r="L1086" s="4" t="s">
        <v>29</v>
      </c>
      <c r="M1086" s="11">
        <f>_xlfn.NUMBERVALUE(LEFT(Table613612[[#This Row],[Fiscal Year]], 4))</f>
        <v>2015</v>
      </c>
      <c r="N1086" s="42">
        <f t="shared" si="23"/>
        <v>121607.06177240505</v>
      </c>
      <c r="O1086" s="3">
        <v>1084</v>
      </c>
    </row>
    <row r="1087" spans="1:15" x14ac:dyDescent="0.25">
      <c r="A1087" s="3">
        <v>4</v>
      </c>
      <c r="B1087" s="3" t="s">
        <v>194</v>
      </c>
      <c r="C1087" s="1" t="s">
        <v>12</v>
      </c>
      <c r="D1087" s="1" t="s">
        <v>444</v>
      </c>
      <c r="E1087" s="11" t="s">
        <v>144</v>
      </c>
      <c r="F1087" s="3" t="s">
        <v>8</v>
      </c>
      <c r="G1087" s="66" t="s">
        <v>58</v>
      </c>
      <c r="H1087" s="8"/>
      <c r="I1087" s="8"/>
      <c r="J1087" s="6" t="s">
        <v>453</v>
      </c>
      <c r="K1087" s="38" t="s">
        <v>827</v>
      </c>
      <c r="L1087" s="4" t="s">
        <v>29</v>
      </c>
      <c r="M1087" s="11">
        <f>_xlfn.NUMBERVALUE(LEFT(Table613612[[#This Row],[Fiscal Year]], 4))</f>
        <v>2015</v>
      </c>
      <c r="O1087" s="3">
        <v>1085</v>
      </c>
    </row>
    <row r="1088" spans="1:15" x14ac:dyDescent="0.25">
      <c r="A1088" s="3">
        <v>4</v>
      </c>
      <c r="B1088" s="3" t="s">
        <v>194</v>
      </c>
      <c r="C1088" s="1" t="s">
        <v>12</v>
      </c>
      <c r="D1088" s="1" t="s">
        <v>444</v>
      </c>
      <c r="E1088" s="11" t="s">
        <v>144</v>
      </c>
      <c r="F1088" s="3" t="s">
        <v>8</v>
      </c>
      <c r="G1088" s="66" t="s">
        <v>208</v>
      </c>
      <c r="H1088" s="8"/>
      <c r="I1088" s="8"/>
      <c r="J1088" s="6" t="s">
        <v>109</v>
      </c>
      <c r="K1088" s="38" t="s">
        <v>827</v>
      </c>
      <c r="L1088" s="4" t="s">
        <v>29</v>
      </c>
      <c r="M1088" s="11">
        <f>_xlfn.NUMBERVALUE(LEFT(Table613612[[#This Row],[Fiscal Year]], 4))</f>
        <v>2015</v>
      </c>
      <c r="O1088" s="3">
        <v>1086</v>
      </c>
    </row>
    <row r="1089" spans="1:15" x14ac:dyDescent="0.25">
      <c r="A1089" s="3">
        <v>4</v>
      </c>
      <c r="B1089" s="3" t="s">
        <v>194</v>
      </c>
      <c r="C1089" s="1" t="s">
        <v>12</v>
      </c>
      <c r="D1089" s="1" t="s">
        <v>444</v>
      </c>
      <c r="E1089" s="11" t="s">
        <v>144</v>
      </c>
      <c r="F1089" s="3" t="s">
        <v>8</v>
      </c>
      <c r="G1089" s="48" t="s">
        <v>59</v>
      </c>
      <c r="H1089" s="8"/>
      <c r="I1089" s="8"/>
      <c r="J1089" s="6" t="s">
        <v>111</v>
      </c>
      <c r="K1089" s="38" t="s">
        <v>827</v>
      </c>
      <c r="L1089" s="4" t="s">
        <v>29</v>
      </c>
      <c r="M1089" s="11">
        <f>_xlfn.NUMBERVALUE(LEFT(Table613612[[#This Row],[Fiscal Year]], 4))</f>
        <v>2015</v>
      </c>
      <c r="O1089" s="3">
        <v>1087</v>
      </c>
    </row>
    <row r="1090" spans="1:15" x14ac:dyDescent="0.25">
      <c r="A1090" s="3">
        <v>4</v>
      </c>
      <c r="B1090" s="3" t="s">
        <v>194</v>
      </c>
      <c r="C1090" s="1" t="s">
        <v>12</v>
      </c>
      <c r="D1090" s="1" t="s">
        <v>444</v>
      </c>
      <c r="E1090" s="11" t="s">
        <v>144</v>
      </c>
      <c r="F1090" s="3" t="s">
        <v>8</v>
      </c>
      <c r="G1090" s="66" t="s">
        <v>60</v>
      </c>
      <c r="H1090" s="8"/>
      <c r="I1090" s="8"/>
      <c r="J1090" s="6" t="s">
        <v>111</v>
      </c>
      <c r="K1090" s="38" t="s">
        <v>827</v>
      </c>
      <c r="L1090" s="4" t="s">
        <v>29</v>
      </c>
      <c r="M1090" s="11">
        <f>_xlfn.NUMBERVALUE(LEFT(Table613612[[#This Row],[Fiscal Year]], 4))</f>
        <v>2015</v>
      </c>
      <c r="O1090" s="3">
        <v>1088</v>
      </c>
    </row>
    <row r="1091" spans="1:15" x14ac:dyDescent="0.25">
      <c r="A1091" s="3">
        <v>4</v>
      </c>
      <c r="B1091" s="3" t="s">
        <v>194</v>
      </c>
      <c r="C1091" s="1" t="s">
        <v>12</v>
      </c>
      <c r="D1091" s="1" t="s">
        <v>444</v>
      </c>
      <c r="E1091" s="11" t="s">
        <v>144</v>
      </c>
      <c r="F1091" s="3" t="s">
        <v>8</v>
      </c>
      <c r="G1091" s="48" t="s">
        <v>61</v>
      </c>
      <c r="H1091" s="8"/>
      <c r="I1091" s="8"/>
      <c r="J1091" s="6" t="s">
        <v>108</v>
      </c>
      <c r="K1091" s="38">
        <v>232970</v>
      </c>
      <c r="L1091" s="4" t="s">
        <v>29</v>
      </c>
      <c r="M1091" s="11">
        <f>_xlfn.NUMBERVALUE(LEFT(Table613612[[#This Row],[Fiscal Year]], 4))</f>
        <v>2015</v>
      </c>
      <c r="N1091" s="42">
        <f t="shared" si="23"/>
        <v>247352.21126582276</v>
      </c>
      <c r="O1091" s="3">
        <v>1089</v>
      </c>
    </row>
    <row r="1092" spans="1:15" x14ac:dyDescent="0.25">
      <c r="A1092" s="3">
        <v>4</v>
      </c>
      <c r="B1092" s="3" t="s">
        <v>194</v>
      </c>
      <c r="C1092" s="1" t="s">
        <v>12</v>
      </c>
      <c r="D1092" s="1" t="s">
        <v>444</v>
      </c>
      <c r="E1092" s="11" t="s">
        <v>144</v>
      </c>
      <c r="F1092" s="3" t="s">
        <v>8</v>
      </c>
      <c r="G1092" s="66" t="s">
        <v>62</v>
      </c>
      <c r="H1092" s="8"/>
      <c r="I1092" s="8"/>
      <c r="J1092" s="6" t="s">
        <v>106</v>
      </c>
      <c r="K1092" s="38" t="s">
        <v>827</v>
      </c>
      <c r="L1092" s="4" t="s">
        <v>29</v>
      </c>
      <c r="M1092" s="11">
        <f>_xlfn.NUMBERVALUE(LEFT(Table613612[[#This Row],[Fiscal Year]], 4))</f>
        <v>2015</v>
      </c>
      <c r="O1092" s="3">
        <v>1090</v>
      </c>
    </row>
    <row r="1093" spans="1:15" x14ac:dyDescent="0.25">
      <c r="A1093" s="3">
        <v>4</v>
      </c>
      <c r="B1093" s="3" t="s">
        <v>194</v>
      </c>
      <c r="C1093" s="1" t="s">
        <v>12</v>
      </c>
      <c r="D1093" s="1" t="s">
        <v>444</v>
      </c>
      <c r="E1093" s="11" t="s">
        <v>144</v>
      </c>
      <c r="F1093" s="3" t="s">
        <v>8</v>
      </c>
      <c r="G1093" s="66" t="s">
        <v>211</v>
      </c>
      <c r="H1093" s="8"/>
      <c r="I1093" s="8"/>
      <c r="J1093" s="6" t="s">
        <v>455</v>
      </c>
      <c r="K1093" s="38" t="s">
        <v>827</v>
      </c>
      <c r="L1093" s="4" t="s">
        <v>29</v>
      </c>
      <c r="M1093" s="11">
        <f>_xlfn.NUMBERVALUE(LEFT(Table613612[[#This Row],[Fiscal Year]], 4))</f>
        <v>2015</v>
      </c>
      <c r="O1093" s="3">
        <v>1091</v>
      </c>
    </row>
    <row r="1094" spans="1:15" x14ac:dyDescent="0.25">
      <c r="A1094" s="3">
        <v>4</v>
      </c>
      <c r="B1094" s="3" t="s">
        <v>194</v>
      </c>
      <c r="C1094" s="1" t="s">
        <v>12</v>
      </c>
      <c r="D1094" s="1" t="s">
        <v>444</v>
      </c>
      <c r="E1094" s="11" t="s">
        <v>144</v>
      </c>
      <c r="F1094" s="3" t="s">
        <v>8</v>
      </c>
      <c r="G1094" s="66" t="s">
        <v>64</v>
      </c>
      <c r="H1094" s="8"/>
      <c r="I1094" s="8"/>
      <c r="J1094" s="6" t="s">
        <v>76</v>
      </c>
      <c r="K1094" s="38" t="s">
        <v>28</v>
      </c>
      <c r="L1094" s="4" t="s">
        <v>29</v>
      </c>
      <c r="M1094" s="11">
        <f>_xlfn.NUMBERVALUE(LEFT(Table613612[[#This Row],[Fiscal Year]], 4))</f>
        <v>2015</v>
      </c>
      <c r="O1094" s="3">
        <v>1092</v>
      </c>
    </row>
    <row r="1095" spans="1:15" x14ac:dyDescent="0.25">
      <c r="A1095" s="3">
        <v>4</v>
      </c>
      <c r="B1095" s="3" t="s">
        <v>194</v>
      </c>
      <c r="C1095" s="1" t="s">
        <v>12</v>
      </c>
      <c r="D1095" s="1" t="s">
        <v>444</v>
      </c>
      <c r="E1095" s="11" t="s">
        <v>144</v>
      </c>
      <c r="F1095" s="3" t="s">
        <v>8</v>
      </c>
      <c r="G1095" s="66" t="s">
        <v>65</v>
      </c>
      <c r="H1095" s="8"/>
      <c r="I1095" s="8"/>
      <c r="J1095" s="6" t="s">
        <v>76</v>
      </c>
      <c r="K1095" s="38" t="s">
        <v>827</v>
      </c>
      <c r="L1095" s="4" t="s">
        <v>29</v>
      </c>
      <c r="M1095" s="11">
        <f>_xlfn.NUMBERVALUE(LEFT(Table613612[[#This Row],[Fiscal Year]], 4))</f>
        <v>2015</v>
      </c>
      <c r="O1095" s="3">
        <v>1093</v>
      </c>
    </row>
    <row r="1096" spans="1:15" x14ac:dyDescent="0.25">
      <c r="A1096" s="3">
        <v>4</v>
      </c>
      <c r="B1096" s="3" t="s">
        <v>194</v>
      </c>
      <c r="C1096" s="1" t="s">
        <v>12</v>
      </c>
      <c r="D1096" s="1" t="s">
        <v>444</v>
      </c>
      <c r="E1096" s="11" t="s">
        <v>144</v>
      </c>
      <c r="F1096" s="3" t="s">
        <v>8</v>
      </c>
      <c r="G1096" s="48" t="s">
        <v>66</v>
      </c>
      <c r="H1096" s="8"/>
      <c r="I1096" s="8"/>
      <c r="J1096" s="6" t="s">
        <v>76</v>
      </c>
      <c r="K1096" s="38" t="s">
        <v>827</v>
      </c>
      <c r="L1096" s="4" t="s">
        <v>29</v>
      </c>
      <c r="M1096" s="11">
        <f>_xlfn.NUMBERVALUE(LEFT(Table613612[[#This Row],[Fiscal Year]], 4))</f>
        <v>2015</v>
      </c>
      <c r="O1096" s="3">
        <v>1094</v>
      </c>
    </row>
    <row r="1097" spans="1:15" x14ac:dyDescent="0.25">
      <c r="A1097" s="3">
        <v>4</v>
      </c>
      <c r="B1097" s="3" t="s">
        <v>194</v>
      </c>
      <c r="C1097" s="1" t="s">
        <v>12</v>
      </c>
      <c r="D1097" s="1" t="s">
        <v>444</v>
      </c>
      <c r="E1097" s="11" t="s">
        <v>144</v>
      </c>
      <c r="F1097" s="3" t="s">
        <v>8</v>
      </c>
      <c r="G1097" s="66" t="s">
        <v>33</v>
      </c>
      <c r="H1097" s="8"/>
      <c r="I1097" s="8"/>
      <c r="J1097" s="6" t="s">
        <v>47</v>
      </c>
      <c r="K1097" s="38">
        <v>44190</v>
      </c>
      <c r="L1097" s="4" t="s">
        <v>29</v>
      </c>
      <c r="M1097" s="11">
        <f>_xlfn.NUMBERVALUE(LEFT(Table613612[[#This Row],[Fiscal Year]], 4))</f>
        <v>2015</v>
      </c>
      <c r="N1097" s="42">
        <f t="shared" si="23"/>
        <v>46918.03329113924</v>
      </c>
      <c r="O1097" s="3">
        <v>1095</v>
      </c>
    </row>
    <row r="1098" spans="1:15" x14ac:dyDescent="0.25">
      <c r="A1098" s="3">
        <v>4</v>
      </c>
      <c r="B1098" s="3" t="s">
        <v>194</v>
      </c>
      <c r="C1098" s="1" t="s">
        <v>12</v>
      </c>
      <c r="D1098" s="1" t="s">
        <v>444</v>
      </c>
      <c r="E1098" s="11" t="s">
        <v>144</v>
      </c>
      <c r="F1098" s="3" t="s">
        <v>8</v>
      </c>
      <c r="G1098" s="66" t="s">
        <v>67</v>
      </c>
      <c r="H1098" s="8" t="s">
        <v>940</v>
      </c>
      <c r="I1098" s="8" t="s">
        <v>429</v>
      </c>
      <c r="J1098" s="6" t="s">
        <v>455</v>
      </c>
      <c r="K1098" s="38">
        <v>2755.74</v>
      </c>
      <c r="L1098" s="4" t="s">
        <v>29</v>
      </c>
      <c r="M1098" s="11">
        <f>_xlfn.NUMBERVALUE(LEFT(Table613612[[#This Row],[Fiscal Year]], 4))</f>
        <v>2015</v>
      </c>
      <c r="N1098" s="42">
        <f t="shared" si="23"/>
        <v>2925.863341518987</v>
      </c>
      <c r="O1098" s="3">
        <v>1096</v>
      </c>
    </row>
    <row r="1099" spans="1:15" x14ac:dyDescent="0.25">
      <c r="C1099" s="1"/>
      <c r="D1099" s="1"/>
      <c r="E1099" s="11"/>
      <c r="G1099" s="66"/>
      <c r="H1099" s="8"/>
      <c r="I1099" s="8"/>
      <c r="J1099" s="6"/>
      <c r="L1099" s="4"/>
      <c r="O1099" s="3">
        <v>1097</v>
      </c>
    </row>
    <row r="1100" spans="1:15" x14ac:dyDescent="0.25">
      <c r="A1100" s="3">
        <v>4</v>
      </c>
      <c r="B1100" s="3" t="s">
        <v>195</v>
      </c>
      <c r="C1100" s="1" t="s">
        <v>12</v>
      </c>
      <c r="D1100" s="1" t="s">
        <v>444</v>
      </c>
      <c r="E1100" s="11" t="s">
        <v>144</v>
      </c>
      <c r="F1100" s="3" t="s">
        <v>8</v>
      </c>
      <c r="G1100" s="48" t="s">
        <v>32</v>
      </c>
      <c r="H1100" s="8"/>
      <c r="I1100" s="8"/>
      <c r="J1100" s="6" t="s">
        <v>110</v>
      </c>
      <c r="K1100" s="38">
        <v>30000</v>
      </c>
      <c r="L1100" s="4" t="s">
        <v>29</v>
      </c>
      <c r="M1100" s="11">
        <f>_xlfn.NUMBERVALUE(LEFT(Table613612[[#This Row],[Fiscal Year]], 4))</f>
        <v>2015</v>
      </c>
      <c r="N1100" s="42">
        <f t="shared" ref="N1100:N1163" si="24">K1100*(1+VLOOKUP(M1100,$AF$8:$AH$31,3,0))</f>
        <v>31852.025316455696</v>
      </c>
      <c r="O1100" s="3">
        <v>1098</v>
      </c>
    </row>
    <row r="1101" spans="1:15" x14ac:dyDescent="0.25">
      <c r="A1101" s="3">
        <v>4</v>
      </c>
      <c r="B1101" s="3" t="s">
        <v>195</v>
      </c>
      <c r="C1101" s="1" t="s">
        <v>12</v>
      </c>
      <c r="D1101" s="1" t="s">
        <v>444</v>
      </c>
      <c r="E1101" s="11" t="s">
        <v>144</v>
      </c>
      <c r="F1101" s="3" t="s">
        <v>8</v>
      </c>
      <c r="G1101" s="66" t="s">
        <v>58</v>
      </c>
      <c r="H1101" s="8"/>
      <c r="I1101" s="8"/>
      <c r="J1101" s="6" t="s">
        <v>453</v>
      </c>
      <c r="K1101" s="38">
        <v>7500</v>
      </c>
      <c r="L1101" s="4" t="s">
        <v>29</v>
      </c>
      <c r="M1101" s="11">
        <f>_xlfn.NUMBERVALUE(LEFT(Table613612[[#This Row],[Fiscal Year]], 4))</f>
        <v>2015</v>
      </c>
      <c r="N1101" s="42">
        <f t="shared" si="24"/>
        <v>7963.006329113924</v>
      </c>
      <c r="O1101" s="3">
        <v>1099</v>
      </c>
    </row>
    <row r="1102" spans="1:15" x14ac:dyDescent="0.25">
      <c r="A1102" s="3">
        <v>4</v>
      </c>
      <c r="B1102" s="3" t="s">
        <v>195</v>
      </c>
      <c r="C1102" s="1" t="s">
        <v>12</v>
      </c>
      <c r="D1102" s="1" t="s">
        <v>444</v>
      </c>
      <c r="E1102" s="11" t="s">
        <v>144</v>
      </c>
      <c r="F1102" s="3" t="s">
        <v>8</v>
      </c>
      <c r="G1102" s="66" t="s">
        <v>208</v>
      </c>
      <c r="H1102" s="8"/>
      <c r="I1102" s="8"/>
      <c r="J1102" s="6" t="s">
        <v>109</v>
      </c>
      <c r="K1102" s="38">
        <v>20000</v>
      </c>
      <c r="L1102" s="4" t="s">
        <v>29</v>
      </c>
      <c r="M1102" s="11">
        <f>_xlfn.NUMBERVALUE(LEFT(Table613612[[#This Row],[Fiscal Year]], 4))</f>
        <v>2015</v>
      </c>
      <c r="N1102" s="42">
        <f t="shared" si="24"/>
        <v>21234.683544303796</v>
      </c>
      <c r="O1102" s="3">
        <v>1100</v>
      </c>
    </row>
    <row r="1103" spans="1:15" x14ac:dyDescent="0.25">
      <c r="A1103" s="3">
        <v>4</v>
      </c>
      <c r="B1103" s="3" t="s">
        <v>195</v>
      </c>
      <c r="C1103" s="1" t="s">
        <v>12</v>
      </c>
      <c r="D1103" s="1" t="s">
        <v>444</v>
      </c>
      <c r="E1103" s="11" t="s">
        <v>144</v>
      </c>
      <c r="F1103" s="3" t="s">
        <v>8</v>
      </c>
      <c r="G1103" s="48" t="s">
        <v>59</v>
      </c>
      <c r="H1103" s="8"/>
      <c r="I1103" s="8"/>
      <c r="J1103" s="6" t="s">
        <v>111</v>
      </c>
      <c r="K1103" s="38">
        <v>15000</v>
      </c>
      <c r="L1103" s="4" t="s">
        <v>29</v>
      </c>
      <c r="M1103" s="11">
        <f>_xlfn.NUMBERVALUE(LEFT(Table613612[[#This Row],[Fiscal Year]], 4))</f>
        <v>2015</v>
      </c>
      <c r="N1103" s="42">
        <f t="shared" si="24"/>
        <v>15926.012658227848</v>
      </c>
      <c r="O1103" s="3">
        <v>1101</v>
      </c>
    </row>
    <row r="1104" spans="1:15" x14ac:dyDescent="0.25">
      <c r="A1104" s="3">
        <v>4</v>
      </c>
      <c r="B1104" s="3" t="s">
        <v>195</v>
      </c>
      <c r="C1104" s="1" t="s">
        <v>12</v>
      </c>
      <c r="D1104" s="1" t="s">
        <v>444</v>
      </c>
      <c r="E1104" s="11" t="s">
        <v>144</v>
      </c>
      <c r="F1104" s="3" t="s">
        <v>8</v>
      </c>
      <c r="G1104" s="66" t="s">
        <v>60</v>
      </c>
      <c r="H1104" s="8"/>
      <c r="I1104" s="8"/>
      <c r="J1104" s="6" t="s">
        <v>111</v>
      </c>
      <c r="K1104" s="38">
        <v>5000</v>
      </c>
      <c r="L1104" s="4" t="s">
        <v>29</v>
      </c>
      <c r="M1104" s="11">
        <f>_xlfn.NUMBERVALUE(LEFT(Table613612[[#This Row],[Fiscal Year]], 4))</f>
        <v>2015</v>
      </c>
      <c r="N1104" s="42">
        <f t="shared" si="24"/>
        <v>5308.6708860759491</v>
      </c>
      <c r="O1104" s="3">
        <v>1102</v>
      </c>
    </row>
    <row r="1105" spans="1:15" x14ac:dyDescent="0.25">
      <c r="A1105" s="3">
        <v>4</v>
      </c>
      <c r="B1105" s="3" t="s">
        <v>195</v>
      </c>
      <c r="C1105" s="1" t="s">
        <v>12</v>
      </c>
      <c r="D1105" s="1" t="s">
        <v>444</v>
      </c>
      <c r="E1105" s="11" t="s">
        <v>144</v>
      </c>
      <c r="F1105" s="3" t="s">
        <v>8</v>
      </c>
      <c r="G1105" s="48" t="s">
        <v>61</v>
      </c>
      <c r="H1105" s="8"/>
      <c r="I1105" s="8"/>
      <c r="J1105" s="6" t="s">
        <v>108</v>
      </c>
      <c r="K1105" s="38">
        <v>289000</v>
      </c>
      <c r="L1105" s="4" t="s">
        <v>29</v>
      </c>
      <c r="M1105" s="11">
        <f>_xlfn.NUMBERVALUE(LEFT(Table613612[[#This Row],[Fiscal Year]], 4))</f>
        <v>2015</v>
      </c>
      <c r="N1105" s="42">
        <f t="shared" si="24"/>
        <v>306841.17721518985</v>
      </c>
      <c r="O1105" s="3">
        <v>1103</v>
      </c>
    </row>
    <row r="1106" spans="1:15" x14ac:dyDescent="0.25">
      <c r="A1106" s="3">
        <v>4</v>
      </c>
      <c r="B1106" s="3" t="s">
        <v>195</v>
      </c>
      <c r="C1106" s="1" t="s">
        <v>12</v>
      </c>
      <c r="D1106" s="1" t="s">
        <v>444</v>
      </c>
      <c r="E1106" s="11" t="s">
        <v>144</v>
      </c>
      <c r="F1106" s="3" t="s">
        <v>8</v>
      </c>
      <c r="G1106" s="66" t="s">
        <v>62</v>
      </c>
      <c r="H1106" s="8"/>
      <c r="I1106" s="8"/>
      <c r="J1106" s="6" t="s">
        <v>106</v>
      </c>
      <c r="K1106" s="38">
        <v>8000</v>
      </c>
      <c r="L1106" s="4" t="s">
        <v>29</v>
      </c>
      <c r="M1106" s="11">
        <f>_xlfn.NUMBERVALUE(LEFT(Table613612[[#This Row],[Fiscal Year]], 4))</f>
        <v>2015</v>
      </c>
      <c r="N1106" s="42">
        <f t="shared" si="24"/>
        <v>8493.8734177215192</v>
      </c>
      <c r="O1106" s="3">
        <v>1104</v>
      </c>
    </row>
    <row r="1107" spans="1:15" x14ac:dyDescent="0.25">
      <c r="A1107" s="3">
        <v>4</v>
      </c>
      <c r="B1107" s="3" t="s">
        <v>195</v>
      </c>
      <c r="C1107" s="1" t="s">
        <v>12</v>
      </c>
      <c r="D1107" s="1" t="s">
        <v>444</v>
      </c>
      <c r="E1107" s="11" t="s">
        <v>144</v>
      </c>
      <c r="F1107" s="3" t="s">
        <v>8</v>
      </c>
      <c r="G1107" s="66" t="s">
        <v>211</v>
      </c>
      <c r="H1107" s="8"/>
      <c r="I1107" s="8"/>
      <c r="J1107" s="6" t="s">
        <v>455</v>
      </c>
      <c r="K1107" s="38" t="s">
        <v>827</v>
      </c>
      <c r="L1107" s="4" t="s">
        <v>29</v>
      </c>
      <c r="M1107" s="11">
        <f>_xlfn.NUMBERVALUE(LEFT(Table613612[[#This Row],[Fiscal Year]], 4))</f>
        <v>2015</v>
      </c>
      <c r="O1107" s="3">
        <v>1105</v>
      </c>
    </row>
    <row r="1108" spans="1:15" x14ac:dyDescent="0.25">
      <c r="A1108" s="3">
        <v>4</v>
      </c>
      <c r="B1108" s="3" t="s">
        <v>195</v>
      </c>
      <c r="C1108" s="1" t="s">
        <v>12</v>
      </c>
      <c r="D1108" s="1" t="s">
        <v>444</v>
      </c>
      <c r="E1108" s="11" t="s">
        <v>144</v>
      </c>
      <c r="F1108" s="3" t="s">
        <v>8</v>
      </c>
      <c r="G1108" s="66" t="s">
        <v>64</v>
      </c>
      <c r="H1108" s="8"/>
      <c r="I1108" s="8"/>
      <c r="J1108" s="6" t="s">
        <v>76</v>
      </c>
      <c r="K1108" s="38" t="s">
        <v>827</v>
      </c>
      <c r="L1108" s="4" t="s">
        <v>29</v>
      </c>
      <c r="M1108" s="11">
        <f>_xlfn.NUMBERVALUE(LEFT(Table613612[[#This Row],[Fiscal Year]], 4))</f>
        <v>2015</v>
      </c>
      <c r="O1108" s="3">
        <v>1106</v>
      </c>
    </row>
    <row r="1109" spans="1:15" x14ac:dyDescent="0.25">
      <c r="A1109" s="3">
        <v>4</v>
      </c>
      <c r="B1109" s="3" t="s">
        <v>195</v>
      </c>
      <c r="C1109" s="1" t="s">
        <v>12</v>
      </c>
      <c r="D1109" s="1" t="s">
        <v>444</v>
      </c>
      <c r="E1109" s="11" t="s">
        <v>144</v>
      </c>
      <c r="F1109" s="3" t="s">
        <v>8</v>
      </c>
      <c r="G1109" s="66" t="s">
        <v>65</v>
      </c>
      <c r="H1109" s="8"/>
      <c r="I1109" s="8"/>
      <c r="J1109" s="6" t="s">
        <v>76</v>
      </c>
      <c r="K1109" s="38" t="s">
        <v>827</v>
      </c>
      <c r="L1109" s="4" t="s">
        <v>29</v>
      </c>
      <c r="M1109" s="11">
        <f>_xlfn.NUMBERVALUE(LEFT(Table613612[[#This Row],[Fiscal Year]], 4))</f>
        <v>2015</v>
      </c>
      <c r="O1109" s="3">
        <v>1107</v>
      </c>
    </row>
    <row r="1110" spans="1:15" x14ac:dyDescent="0.25">
      <c r="A1110" s="3">
        <v>4</v>
      </c>
      <c r="B1110" s="3" t="s">
        <v>195</v>
      </c>
      <c r="C1110" s="1" t="s">
        <v>12</v>
      </c>
      <c r="D1110" s="1" t="s">
        <v>444</v>
      </c>
      <c r="E1110" s="11" t="s">
        <v>144</v>
      </c>
      <c r="F1110" s="3" t="s">
        <v>8</v>
      </c>
      <c r="G1110" s="48" t="s">
        <v>66</v>
      </c>
      <c r="H1110" s="8"/>
      <c r="I1110" s="8"/>
      <c r="J1110" s="6" t="s">
        <v>76</v>
      </c>
      <c r="K1110" s="38" t="s">
        <v>827</v>
      </c>
      <c r="L1110" s="4" t="s">
        <v>29</v>
      </c>
      <c r="M1110" s="11">
        <f>_xlfn.NUMBERVALUE(LEFT(Table613612[[#This Row],[Fiscal Year]], 4))</f>
        <v>2015</v>
      </c>
      <c r="O1110" s="3">
        <v>1108</v>
      </c>
    </row>
    <row r="1111" spans="1:15" x14ac:dyDescent="0.25">
      <c r="A1111" s="3">
        <v>4</v>
      </c>
      <c r="B1111" s="3" t="s">
        <v>195</v>
      </c>
      <c r="C1111" s="1" t="s">
        <v>12</v>
      </c>
      <c r="D1111" s="1" t="s">
        <v>444</v>
      </c>
      <c r="E1111" s="11" t="s">
        <v>144</v>
      </c>
      <c r="F1111" s="3" t="s">
        <v>8</v>
      </c>
      <c r="G1111" s="66" t="s">
        <v>33</v>
      </c>
      <c r="H1111" s="8"/>
      <c r="I1111" s="8"/>
      <c r="J1111" s="6" t="s">
        <v>47</v>
      </c>
      <c r="K1111" s="38">
        <v>10000</v>
      </c>
      <c r="L1111" s="4" t="s">
        <v>29</v>
      </c>
      <c r="M1111" s="11">
        <f>_xlfn.NUMBERVALUE(LEFT(Table613612[[#This Row],[Fiscal Year]], 4))</f>
        <v>2015</v>
      </c>
      <c r="N1111" s="42">
        <f t="shared" si="24"/>
        <v>10617.341772151898</v>
      </c>
      <c r="O1111" s="3">
        <v>1109</v>
      </c>
    </row>
    <row r="1112" spans="1:15" x14ac:dyDescent="0.25">
      <c r="A1112" s="3">
        <v>4</v>
      </c>
      <c r="B1112" s="3" t="s">
        <v>195</v>
      </c>
      <c r="C1112" s="1" t="s">
        <v>12</v>
      </c>
      <c r="D1112" s="1" t="s">
        <v>444</v>
      </c>
      <c r="E1112" s="11" t="s">
        <v>144</v>
      </c>
      <c r="F1112" s="3" t="s">
        <v>8</v>
      </c>
      <c r="G1112" s="66" t="s">
        <v>67</v>
      </c>
      <c r="H1112" s="8"/>
      <c r="I1112" s="8"/>
      <c r="J1112" s="6" t="s">
        <v>455</v>
      </c>
      <c r="K1112" s="38" t="s">
        <v>827</v>
      </c>
      <c r="L1112" s="4" t="s">
        <v>29</v>
      </c>
      <c r="M1112" s="11">
        <f>_xlfn.NUMBERVALUE(LEFT(Table613612[[#This Row],[Fiscal Year]], 4))</f>
        <v>2015</v>
      </c>
      <c r="O1112" s="3">
        <v>1110</v>
      </c>
    </row>
    <row r="1113" spans="1:15" x14ac:dyDescent="0.25">
      <c r="C1113" s="1"/>
      <c r="D1113" s="1"/>
      <c r="E1113" s="11"/>
      <c r="G1113" s="66"/>
      <c r="H1113" s="8"/>
      <c r="I1113" s="8"/>
      <c r="J1113" s="6"/>
      <c r="L1113" s="4"/>
      <c r="O1113" s="3">
        <v>1111</v>
      </c>
    </row>
    <row r="1114" spans="1:15" x14ac:dyDescent="0.25">
      <c r="A1114" s="3">
        <v>4</v>
      </c>
      <c r="B1114" s="3" t="s">
        <v>196</v>
      </c>
      <c r="C1114" s="1" t="s">
        <v>12</v>
      </c>
      <c r="D1114" s="1" t="s">
        <v>444</v>
      </c>
      <c r="E1114" s="11" t="s">
        <v>144</v>
      </c>
      <c r="F1114" s="3" t="s">
        <v>8</v>
      </c>
      <c r="G1114" s="48" t="s">
        <v>32</v>
      </c>
      <c r="H1114" s="8"/>
      <c r="I1114" s="8"/>
      <c r="J1114" s="6" t="s">
        <v>110</v>
      </c>
      <c r="K1114" s="38" t="s">
        <v>827</v>
      </c>
      <c r="L1114" s="4" t="s">
        <v>29</v>
      </c>
      <c r="M1114" s="11">
        <f>_xlfn.NUMBERVALUE(LEFT(Table613612[[#This Row],[Fiscal Year]], 4))</f>
        <v>2015</v>
      </c>
      <c r="O1114" s="3">
        <v>1112</v>
      </c>
    </row>
    <row r="1115" spans="1:15" x14ac:dyDescent="0.25">
      <c r="A1115" s="3">
        <v>4</v>
      </c>
      <c r="B1115" s="3" t="s">
        <v>196</v>
      </c>
      <c r="C1115" s="1" t="s">
        <v>12</v>
      </c>
      <c r="D1115" s="1" t="s">
        <v>444</v>
      </c>
      <c r="E1115" s="11" t="s">
        <v>144</v>
      </c>
      <c r="F1115" s="3" t="s">
        <v>8</v>
      </c>
      <c r="G1115" s="66" t="s">
        <v>58</v>
      </c>
      <c r="H1115" s="8"/>
      <c r="I1115" s="8"/>
      <c r="J1115" s="6" t="s">
        <v>453</v>
      </c>
      <c r="K1115" s="38" t="s">
        <v>827</v>
      </c>
      <c r="L1115" s="4" t="s">
        <v>29</v>
      </c>
      <c r="M1115" s="11">
        <f>_xlfn.NUMBERVALUE(LEFT(Table613612[[#This Row],[Fiscal Year]], 4))</f>
        <v>2015</v>
      </c>
      <c r="O1115" s="3">
        <v>1113</v>
      </c>
    </row>
    <row r="1116" spans="1:15" x14ac:dyDescent="0.25">
      <c r="A1116" s="3">
        <v>4</v>
      </c>
      <c r="B1116" s="3" t="s">
        <v>196</v>
      </c>
      <c r="C1116" s="1" t="s">
        <v>12</v>
      </c>
      <c r="D1116" s="1" t="s">
        <v>444</v>
      </c>
      <c r="E1116" s="11" t="s">
        <v>144</v>
      </c>
      <c r="F1116" s="3" t="s">
        <v>8</v>
      </c>
      <c r="G1116" s="66" t="s">
        <v>208</v>
      </c>
      <c r="H1116" s="8"/>
      <c r="I1116" s="8"/>
      <c r="J1116" s="6" t="s">
        <v>109</v>
      </c>
      <c r="K1116" s="38">
        <v>16000</v>
      </c>
      <c r="L1116" s="4" t="s">
        <v>29</v>
      </c>
      <c r="M1116" s="11">
        <f>_xlfn.NUMBERVALUE(LEFT(Table613612[[#This Row],[Fiscal Year]], 4))</f>
        <v>2015</v>
      </c>
      <c r="N1116" s="42">
        <f t="shared" si="24"/>
        <v>16987.746835443038</v>
      </c>
      <c r="O1116" s="3">
        <v>1114</v>
      </c>
    </row>
    <row r="1117" spans="1:15" x14ac:dyDescent="0.25">
      <c r="A1117" s="3">
        <v>4</v>
      </c>
      <c r="B1117" s="3" t="s">
        <v>196</v>
      </c>
      <c r="C1117" s="1" t="s">
        <v>12</v>
      </c>
      <c r="D1117" s="1" t="s">
        <v>444</v>
      </c>
      <c r="E1117" s="11" t="s">
        <v>144</v>
      </c>
      <c r="F1117" s="3" t="s">
        <v>8</v>
      </c>
      <c r="G1117" s="48" t="s">
        <v>59</v>
      </c>
      <c r="H1117" s="8"/>
      <c r="I1117" s="8"/>
      <c r="J1117" s="6" t="s">
        <v>111</v>
      </c>
      <c r="K1117" s="38" t="s">
        <v>827</v>
      </c>
      <c r="L1117" s="4" t="s">
        <v>29</v>
      </c>
      <c r="M1117" s="11">
        <f>_xlfn.NUMBERVALUE(LEFT(Table613612[[#This Row],[Fiscal Year]], 4))</f>
        <v>2015</v>
      </c>
      <c r="O1117" s="3">
        <v>1115</v>
      </c>
    </row>
    <row r="1118" spans="1:15" x14ac:dyDescent="0.25">
      <c r="A1118" s="3">
        <v>4</v>
      </c>
      <c r="B1118" s="3" t="s">
        <v>196</v>
      </c>
      <c r="C1118" s="1" t="s">
        <v>12</v>
      </c>
      <c r="D1118" s="1" t="s">
        <v>444</v>
      </c>
      <c r="E1118" s="11" t="s">
        <v>144</v>
      </c>
      <c r="F1118" s="3" t="s">
        <v>8</v>
      </c>
      <c r="G1118" s="66" t="s">
        <v>60</v>
      </c>
      <c r="H1118" s="8"/>
      <c r="I1118" s="8"/>
      <c r="J1118" s="6" t="s">
        <v>111</v>
      </c>
      <c r="K1118" s="38">
        <v>25000</v>
      </c>
      <c r="L1118" s="4" t="s">
        <v>29</v>
      </c>
      <c r="M1118" s="11">
        <f>_xlfn.NUMBERVALUE(LEFT(Table613612[[#This Row],[Fiscal Year]], 4))</f>
        <v>2015</v>
      </c>
      <c r="N1118" s="42">
        <f t="shared" si="24"/>
        <v>26543.354430379746</v>
      </c>
      <c r="O1118" s="3">
        <v>1116</v>
      </c>
    </row>
    <row r="1119" spans="1:15" x14ac:dyDescent="0.25">
      <c r="A1119" s="3">
        <v>4</v>
      </c>
      <c r="B1119" s="3" t="s">
        <v>196</v>
      </c>
      <c r="C1119" s="1" t="s">
        <v>12</v>
      </c>
      <c r="D1119" s="1" t="s">
        <v>444</v>
      </c>
      <c r="E1119" s="11" t="s">
        <v>144</v>
      </c>
      <c r="F1119" s="3" t="s">
        <v>8</v>
      </c>
      <c r="G1119" s="48" t="s">
        <v>61</v>
      </c>
      <c r="H1119" s="8"/>
      <c r="I1119" s="8"/>
      <c r="J1119" s="6" t="s">
        <v>108</v>
      </c>
      <c r="K1119" s="38">
        <v>224000</v>
      </c>
      <c r="L1119" s="4" t="s">
        <v>29</v>
      </c>
      <c r="M1119" s="11">
        <f>_xlfn.NUMBERVALUE(LEFT(Table613612[[#This Row],[Fiscal Year]], 4))</f>
        <v>2015</v>
      </c>
      <c r="N1119" s="42">
        <f t="shared" si="24"/>
        <v>237828.45569620252</v>
      </c>
      <c r="O1119" s="3">
        <v>1117</v>
      </c>
    </row>
    <row r="1120" spans="1:15" x14ac:dyDescent="0.25">
      <c r="A1120" s="3">
        <v>4</v>
      </c>
      <c r="B1120" s="3" t="s">
        <v>196</v>
      </c>
      <c r="C1120" s="1" t="s">
        <v>12</v>
      </c>
      <c r="D1120" s="1" t="s">
        <v>444</v>
      </c>
      <c r="E1120" s="11" t="s">
        <v>144</v>
      </c>
      <c r="F1120" s="3" t="s">
        <v>8</v>
      </c>
      <c r="G1120" s="66" t="s">
        <v>62</v>
      </c>
      <c r="H1120" s="8"/>
      <c r="I1120" s="8"/>
      <c r="J1120" s="6" t="s">
        <v>106</v>
      </c>
      <c r="K1120" s="38">
        <v>10000</v>
      </c>
      <c r="L1120" s="4" t="s">
        <v>29</v>
      </c>
      <c r="M1120" s="11">
        <f>_xlfn.NUMBERVALUE(LEFT(Table613612[[#This Row],[Fiscal Year]], 4))</f>
        <v>2015</v>
      </c>
      <c r="N1120" s="42">
        <f t="shared" si="24"/>
        <v>10617.341772151898</v>
      </c>
      <c r="O1120" s="3">
        <v>1118</v>
      </c>
    </row>
    <row r="1121" spans="1:15" x14ac:dyDescent="0.25">
      <c r="A1121" s="3">
        <v>4</v>
      </c>
      <c r="B1121" s="3" t="s">
        <v>196</v>
      </c>
      <c r="C1121" s="1" t="s">
        <v>12</v>
      </c>
      <c r="D1121" s="1" t="s">
        <v>444</v>
      </c>
      <c r="E1121" s="11" t="s">
        <v>144</v>
      </c>
      <c r="F1121" s="3" t="s">
        <v>8</v>
      </c>
      <c r="G1121" s="66" t="s">
        <v>211</v>
      </c>
      <c r="H1121" s="8"/>
      <c r="I1121" s="8"/>
      <c r="J1121" s="6" t="s">
        <v>455</v>
      </c>
      <c r="K1121" s="38" t="s">
        <v>827</v>
      </c>
      <c r="L1121" s="4" t="s">
        <v>29</v>
      </c>
      <c r="M1121" s="11">
        <f>_xlfn.NUMBERVALUE(LEFT(Table613612[[#This Row],[Fiscal Year]], 4))</f>
        <v>2015</v>
      </c>
      <c r="O1121" s="3">
        <v>1119</v>
      </c>
    </row>
    <row r="1122" spans="1:15" x14ac:dyDescent="0.25">
      <c r="A1122" s="3">
        <v>4</v>
      </c>
      <c r="B1122" s="3" t="s">
        <v>196</v>
      </c>
      <c r="C1122" s="1" t="s">
        <v>12</v>
      </c>
      <c r="D1122" s="1" t="s">
        <v>444</v>
      </c>
      <c r="E1122" s="11" t="s">
        <v>144</v>
      </c>
      <c r="F1122" s="3" t="s">
        <v>8</v>
      </c>
      <c r="G1122" s="66" t="s">
        <v>64</v>
      </c>
      <c r="H1122" s="8"/>
      <c r="I1122" s="8"/>
      <c r="J1122" s="6" t="s">
        <v>76</v>
      </c>
      <c r="K1122" s="38">
        <v>20000</v>
      </c>
      <c r="L1122" s="4" t="s">
        <v>29</v>
      </c>
      <c r="M1122" s="11">
        <f>_xlfn.NUMBERVALUE(LEFT(Table613612[[#This Row],[Fiscal Year]], 4))</f>
        <v>2015</v>
      </c>
      <c r="N1122" s="42">
        <f t="shared" si="24"/>
        <v>21234.683544303796</v>
      </c>
      <c r="O1122" s="3">
        <v>1120</v>
      </c>
    </row>
    <row r="1123" spans="1:15" x14ac:dyDescent="0.25">
      <c r="A1123" s="3">
        <v>4</v>
      </c>
      <c r="B1123" s="3" t="s">
        <v>196</v>
      </c>
      <c r="C1123" s="1" t="s">
        <v>12</v>
      </c>
      <c r="D1123" s="1" t="s">
        <v>444</v>
      </c>
      <c r="E1123" s="11" t="s">
        <v>144</v>
      </c>
      <c r="F1123" s="3" t="s">
        <v>8</v>
      </c>
      <c r="G1123" s="66" t="s">
        <v>65</v>
      </c>
      <c r="H1123" s="8"/>
      <c r="I1123" s="8"/>
      <c r="J1123" s="6" t="s">
        <v>76</v>
      </c>
      <c r="K1123" s="38" t="s">
        <v>827</v>
      </c>
      <c r="L1123" s="4" t="s">
        <v>29</v>
      </c>
      <c r="M1123" s="11">
        <f>_xlfn.NUMBERVALUE(LEFT(Table613612[[#This Row],[Fiscal Year]], 4))</f>
        <v>2015</v>
      </c>
      <c r="O1123" s="3">
        <v>1121</v>
      </c>
    </row>
    <row r="1124" spans="1:15" x14ac:dyDescent="0.25">
      <c r="A1124" s="3">
        <v>4</v>
      </c>
      <c r="B1124" s="3" t="s">
        <v>196</v>
      </c>
      <c r="C1124" s="1" t="s">
        <v>12</v>
      </c>
      <c r="D1124" s="1" t="s">
        <v>444</v>
      </c>
      <c r="E1124" s="11" t="s">
        <v>144</v>
      </c>
      <c r="F1124" s="3" t="s">
        <v>8</v>
      </c>
      <c r="G1124" s="48" t="s">
        <v>66</v>
      </c>
      <c r="H1124" s="8"/>
      <c r="I1124" s="8"/>
      <c r="J1124" s="6" t="s">
        <v>76</v>
      </c>
      <c r="K1124" s="38" t="s">
        <v>827</v>
      </c>
      <c r="L1124" s="4" t="s">
        <v>29</v>
      </c>
      <c r="M1124" s="11">
        <f>_xlfn.NUMBERVALUE(LEFT(Table613612[[#This Row],[Fiscal Year]], 4))</f>
        <v>2015</v>
      </c>
      <c r="O1124" s="3">
        <v>1122</v>
      </c>
    </row>
    <row r="1125" spans="1:15" x14ac:dyDescent="0.25">
      <c r="A1125" s="3">
        <v>4</v>
      </c>
      <c r="B1125" s="3" t="s">
        <v>196</v>
      </c>
      <c r="C1125" s="1" t="s">
        <v>12</v>
      </c>
      <c r="D1125" s="1" t="s">
        <v>444</v>
      </c>
      <c r="E1125" s="11" t="s">
        <v>144</v>
      </c>
      <c r="F1125" s="3" t="s">
        <v>8</v>
      </c>
      <c r="G1125" s="66" t="s">
        <v>33</v>
      </c>
      <c r="H1125" s="8"/>
      <c r="I1125" s="8"/>
      <c r="J1125" s="6" t="s">
        <v>47</v>
      </c>
      <c r="K1125" s="38">
        <v>66597.3</v>
      </c>
      <c r="L1125" s="4" t="s">
        <v>29</v>
      </c>
      <c r="M1125" s="11">
        <f>_xlfn.NUMBERVALUE(LEFT(Table613612[[#This Row],[Fiscal Year]], 4))</f>
        <v>2015</v>
      </c>
      <c r="N1125" s="42">
        <f t="shared" si="24"/>
        <v>70708.629520253162</v>
      </c>
      <c r="O1125" s="3">
        <v>1123</v>
      </c>
    </row>
    <row r="1126" spans="1:15" x14ac:dyDescent="0.25">
      <c r="A1126" s="3">
        <v>4</v>
      </c>
      <c r="B1126" s="3" t="s">
        <v>196</v>
      </c>
      <c r="C1126" s="1" t="s">
        <v>12</v>
      </c>
      <c r="D1126" s="1" t="s">
        <v>444</v>
      </c>
      <c r="E1126" s="11" t="s">
        <v>144</v>
      </c>
      <c r="F1126" s="3" t="s">
        <v>8</v>
      </c>
      <c r="G1126" s="66" t="s">
        <v>67</v>
      </c>
      <c r="H1126" s="8"/>
      <c r="I1126" s="8"/>
      <c r="J1126" s="6" t="s">
        <v>455</v>
      </c>
      <c r="K1126" s="38">
        <v>47235</v>
      </c>
      <c r="L1126" s="4" t="s">
        <v>29</v>
      </c>
      <c r="M1126" s="11">
        <f>_xlfn.NUMBERVALUE(LEFT(Table613612[[#This Row],[Fiscal Year]], 4))</f>
        <v>2015</v>
      </c>
      <c r="N1126" s="42">
        <f t="shared" si="24"/>
        <v>50151.013860759493</v>
      </c>
      <c r="O1126" s="3">
        <v>1124</v>
      </c>
    </row>
    <row r="1127" spans="1:15" x14ac:dyDescent="0.25">
      <c r="C1127" s="1"/>
      <c r="D1127" s="1"/>
      <c r="E1127" s="11"/>
      <c r="G1127" s="66"/>
      <c r="H1127" s="8"/>
      <c r="I1127" s="8"/>
      <c r="J1127" s="6"/>
      <c r="L1127" s="4"/>
      <c r="O1127" s="3">
        <v>1125</v>
      </c>
    </row>
    <row r="1128" spans="1:15" x14ac:dyDescent="0.25">
      <c r="A1128" s="3">
        <v>4</v>
      </c>
      <c r="B1128" s="3" t="s">
        <v>197</v>
      </c>
      <c r="C1128" s="1" t="s">
        <v>12</v>
      </c>
      <c r="D1128" s="1" t="s">
        <v>444</v>
      </c>
      <c r="E1128" s="11" t="s">
        <v>144</v>
      </c>
      <c r="F1128" s="3" t="s">
        <v>8</v>
      </c>
      <c r="G1128" s="48" t="s">
        <v>32</v>
      </c>
      <c r="H1128" s="8"/>
      <c r="I1128" s="8"/>
      <c r="J1128" s="6" t="s">
        <v>110</v>
      </c>
      <c r="K1128" s="38">
        <v>164080</v>
      </c>
      <c r="L1128" s="4" t="s">
        <v>29</v>
      </c>
      <c r="M1128" s="11">
        <f>_xlfn.NUMBERVALUE(LEFT(Table613612[[#This Row],[Fiscal Year]], 4))</f>
        <v>2015</v>
      </c>
      <c r="N1128" s="42">
        <f t="shared" si="24"/>
        <v>174209.34379746835</v>
      </c>
      <c r="O1128" s="3">
        <v>1126</v>
      </c>
    </row>
    <row r="1129" spans="1:15" x14ac:dyDescent="0.25">
      <c r="A1129" s="3">
        <v>4</v>
      </c>
      <c r="B1129" s="3" t="s">
        <v>197</v>
      </c>
      <c r="C1129" s="1" t="s">
        <v>12</v>
      </c>
      <c r="D1129" s="1" t="s">
        <v>444</v>
      </c>
      <c r="E1129" s="11" t="s">
        <v>144</v>
      </c>
      <c r="F1129" s="3" t="s">
        <v>8</v>
      </c>
      <c r="G1129" s="66" t="s">
        <v>58</v>
      </c>
      <c r="H1129" s="8"/>
      <c r="I1129" s="8"/>
      <c r="J1129" s="6" t="s">
        <v>453</v>
      </c>
      <c r="K1129" s="38">
        <v>1500</v>
      </c>
      <c r="L1129" s="4" t="s">
        <v>29</v>
      </c>
      <c r="M1129" s="11">
        <f>_xlfn.NUMBERVALUE(LEFT(Table613612[[#This Row],[Fiscal Year]], 4))</f>
        <v>2015</v>
      </c>
      <c r="N1129" s="42">
        <f t="shared" si="24"/>
        <v>1592.6012658227846</v>
      </c>
      <c r="O1129" s="3">
        <v>1127</v>
      </c>
    </row>
    <row r="1130" spans="1:15" x14ac:dyDescent="0.25">
      <c r="A1130" s="3">
        <v>4</v>
      </c>
      <c r="B1130" s="3" t="s">
        <v>197</v>
      </c>
      <c r="C1130" s="1" t="s">
        <v>12</v>
      </c>
      <c r="D1130" s="1" t="s">
        <v>444</v>
      </c>
      <c r="E1130" s="11" t="s">
        <v>144</v>
      </c>
      <c r="F1130" s="3" t="s">
        <v>8</v>
      </c>
      <c r="G1130" s="66" t="s">
        <v>208</v>
      </c>
      <c r="H1130" s="8"/>
      <c r="I1130" s="8"/>
      <c r="J1130" s="6" t="s">
        <v>109</v>
      </c>
      <c r="K1130" s="38" t="s">
        <v>827</v>
      </c>
      <c r="L1130" s="4" t="s">
        <v>29</v>
      </c>
      <c r="M1130" s="11">
        <f>_xlfn.NUMBERVALUE(LEFT(Table613612[[#This Row],[Fiscal Year]], 4))</f>
        <v>2015</v>
      </c>
      <c r="O1130" s="3">
        <v>1128</v>
      </c>
    </row>
    <row r="1131" spans="1:15" x14ac:dyDescent="0.25">
      <c r="A1131" s="3">
        <v>4</v>
      </c>
      <c r="B1131" s="3" t="s">
        <v>197</v>
      </c>
      <c r="C1131" s="1" t="s">
        <v>12</v>
      </c>
      <c r="D1131" s="1" t="s">
        <v>444</v>
      </c>
      <c r="E1131" s="11" t="s">
        <v>144</v>
      </c>
      <c r="F1131" s="3" t="s">
        <v>8</v>
      </c>
      <c r="G1131" s="48" t="s">
        <v>59</v>
      </c>
      <c r="H1131" s="8"/>
      <c r="I1131" s="8"/>
      <c r="J1131" s="6" t="s">
        <v>111</v>
      </c>
      <c r="K1131" s="38" t="s">
        <v>827</v>
      </c>
      <c r="L1131" s="4" t="s">
        <v>29</v>
      </c>
      <c r="M1131" s="11">
        <f>_xlfn.NUMBERVALUE(LEFT(Table613612[[#This Row],[Fiscal Year]], 4))</f>
        <v>2015</v>
      </c>
      <c r="O1131" s="3">
        <v>1129</v>
      </c>
    </row>
    <row r="1132" spans="1:15" x14ac:dyDescent="0.25">
      <c r="A1132" s="3">
        <v>4</v>
      </c>
      <c r="B1132" s="3" t="s">
        <v>197</v>
      </c>
      <c r="C1132" s="1" t="s">
        <v>12</v>
      </c>
      <c r="D1132" s="1" t="s">
        <v>444</v>
      </c>
      <c r="E1132" s="11" t="s">
        <v>144</v>
      </c>
      <c r="F1132" s="3" t="s">
        <v>8</v>
      </c>
      <c r="G1132" s="66" t="s">
        <v>60</v>
      </c>
      <c r="H1132" s="8"/>
      <c r="I1132" s="8"/>
      <c r="J1132" s="6" t="s">
        <v>111</v>
      </c>
      <c r="K1132" s="38" t="s">
        <v>827</v>
      </c>
      <c r="L1132" s="4" t="s">
        <v>29</v>
      </c>
      <c r="M1132" s="11">
        <f>_xlfn.NUMBERVALUE(LEFT(Table613612[[#This Row],[Fiscal Year]], 4))</f>
        <v>2015</v>
      </c>
      <c r="O1132" s="3">
        <v>1130</v>
      </c>
    </row>
    <row r="1133" spans="1:15" x14ac:dyDescent="0.25">
      <c r="A1133" s="3">
        <v>4</v>
      </c>
      <c r="B1133" s="3" t="s">
        <v>197</v>
      </c>
      <c r="C1133" s="1" t="s">
        <v>12</v>
      </c>
      <c r="D1133" s="1" t="s">
        <v>444</v>
      </c>
      <c r="E1133" s="11" t="s">
        <v>144</v>
      </c>
      <c r="F1133" s="3" t="s">
        <v>8</v>
      </c>
      <c r="G1133" s="48" t="s">
        <v>61</v>
      </c>
      <c r="H1133" s="8"/>
      <c r="I1133" s="8"/>
      <c r="J1133" s="6" t="s">
        <v>108</v>
      </c>
      <c r="K1133" s="38">
        <v>135000</v>
      </c>
      <c r="L1133" s="4" t="s">
        <v>29</v>
      </c>
      <c r="M1133" s="11">
        <f>_xlfn.NUMBERVALUE(LEFT(Table613612[[#This Row],[Fiscal Year]], 4))</f>
        <v>2015</v>
      </c>
      <c r="N1133" s="42">
        <f t="shared" si="24"/>
        <v>143334.11392405062</v>
      </c>
      <c r="O1133" s="3">
        <v>1131</v>
      </c>
    </row>
    <row r="1134" spans="1:15" x14ac:dyDescent="0.25">
      <c r="A1134" s="3">
        <v>4</v>
      </c>
      <c r="B1134" s="3" t="s">
        <v>197</v>
      </c>
      <c r="C1134" s="1" t="s">
        <v>12</v>
      </c>
      <c r="D1134" s="1" t="s">
        <v>444</v>
      </c>
      <c r="E1134" s="11" t="s">
        <v>144</v>
      </c>
      <c r="F1134" s="3" t="s">
        <v>8</v>
      </c>
      <c r="G1134" s="66" t="s">
        <v>62</v>
      </c>
      <c r="H1134" s="8"/>
      <c r="I1134" s="8"/>
      <c r="J1134" s="6" t="s">
        <v>106</v>
      </c>
      <c r="K1134" s="38" t="s">
        <v>827</v>
      </c>
      <c r="L1134" s="4" t="s">
        <v>29</v>
      </c>
      <c r="M1134" s="11">
        <f>_xlfn.NUMBERVALUE(LEFT(Table613612[[#This Row],[Fiscal Year]], 4))</f>
        <v>2015</v>
      </c>
      <c r="O1134" s="3">
        <v>1132</v>
      </c>
    </row>
    <row r="1135" spans="1:15" x14ac:dyDescent="0.25">
      <c r="A1135" s="3">
        <v>4</v>
      </c>
      <c r="B1135" s="3" t="s">
        <v>197</v>
      </c>
      <c r="C1135" s="1" t="s">
        <v>12</v>
      </c>
      <c r="D1135" s="1" t="s">
        <v>444</v>
      </c>
      <c r="E1135" s="11" t="s">
        <v>144</v>
      </c>
      <c r="F1135" s="3" t="s">
        <v>8</v>
      </c>
      <c r="G1135" s="66" t="s">
        <v>211</v>
      </c>
      <c r="H1135" s="8"/>
      <c r="I1135" s="8"/>
      <c r="J1135" s="6" t="s">
        <v>455</v>
      </c>
      <c r="K1135" s="38" t="s">
        <v>827</v>
      </c>
      <c r="L1135" s="4" t="s">
        <v>29</v>
      </c>
      <c r="M1135" s="11">
        <f>_xlfn.NUMBERVALUE(LEFT(Table613612[[#This Row],[Fiscal Year]], 4))</f>
        <v>2015</v>
      </c>
      <c r="O1135" s="3">
        <v>1133</v>
      </c>
    </row>
    <row r="1136" spans="1:15" x14ac:dyDescent="0.25">
      <c r="A1136" s="3">
        <v>4</v>
      </c>
      <c r="B1136" s="3" t="s">
        <v>197</v>
      </c>
      <c r="C1136" s="1" t="s">
        <v>12</v>
      </c>
      <c r="D1136" s="1" t="s">
        <v>444</v>
      </c>
      <c r="E1136" s="11" t="s">
        <v>144</v>
      </c>
      <c r="F1136" s="3" t="s">
        <v>8</v>
      </c>
      <c r="G1136" s="66" t="s">
        <v>64</v>
      </c>
      <c r="H1136" s="8"/>
      <c r="I1136" s="8"/>
      <c r="J1136" s="6" t="s">
        <v>76</v>
      </c>
      <c r="K1136" s="38">
        <v>35000</v>
      </c>
      <c r="L1136" s="4" t="s">
        <v>29</v>
      </c>
      <c r="M1136" s="11">
        <f>_xlfn.NUMBERVALUE(LEFT(Table613612[[#This Row],[Fiscal Year]], 4))</f>
        <v>2015</v>
      </c>
      <c r="N1136" s="42">
        <f t="shared" si="24"/>
        <v>37160.696202531646</v>
      </c>
      <c r="O1136" s="3">
        <v>1134</v>
      </c>
    </row>
    <row r="1137" spans="1:15" x14ac:dyDescent="0.25">
      <c r="A1137" s="3">
        <v>4</v>
      </c>
      <c r="B1137" s="3" t="s">
        <v>197</v>
      </c>
      <c r="C1137" s="1" t="s">
        <v>12</v>
      </c>
      <c r="D1137" s="1" t="s">
        <v>444</v>
      </c>
      <c r="E1137" s="11" t="s">
        <v>144</v>
      </c>
      <c r="F1137" s="3" t="s">
        <v>8</v>
      </c>
      <c r="G1137" s="66" t="s">
        <v>65</v>
      </c>
      <c r="H1137" s="8" t="s">
        <v>941</v>
      </c>
      <c r="I1137" s="8" t="s">
        <v>429</v>
      </c>
      <c r="J1137" s="6" t="s">
        <v>76</v>
      </c>
      <c r="K1137" s="38">
        <v>65287</v>
      </c>
      <c r="L1137" s="4" t="s">
        <v>29</v>
      </c>
      <c r="M1137" s="11">
        <f>_xlfn.NUMBERVALUE(LEFT(Table613612[[#This Row],[Fiscal Year]], 4))</f>
        <v>2015</v>
      </c>
      <c r="N1137" s="42">
        <f t="shared" si="24"/>
        <v>69317.439227848095</v>
      </c>
      <c r="O1137" s="3">
        <v>1135</v>
      </c>
    </row>
    <row r="1138" spans="1:15" x14ac:dyDescent="0.25">
      <c r="A1138" s="3">
        <v>4</v>
      </c>
      <c r="B1138" s="3" t="s">
        <v>197</v>
      </c>
      <c r="C1138" s="1" t="s">
        <v>12</v>
      </c>
      <c r="D1138" s="1" t="s">
        <v>444</v>
      </c>
      <c r="E1138" s="11" t="s">
        <v>144</v>
      </c>
      <c r="F1138" s="3" t="s">
        <v>8</v>
      </c>
      <c r="G1138" s="48" t="s">
        <v>66</v>
      </c>
      <c r="H1138" s="8"/>
      <c r="I1138" s="8"/>
      <c r="J1138" s="6" t="s">
        <v>76</v>
      </c>
      <c r="K1138" s="38">
        <v>115000</v>
      </c>
      <c r="L1138" s="4" t="s">
        <v>29</v>
      </c>
      <c r="M1138" s="11">
        <f>_xlfn.NUMBERVALUE(LEFT(Table613612[[#This Row],[Fiscal Year]], 4))</f>
        <v>2015</v>
      </c>
      <c r="N1138" s="42">
        <f t="shared" si="24"/>
        <v>122099.43037974683</v>
      </c>
      <c r="O1138" s="3">
        <v>1136</v>
      </c>
    </row>
    <row r="1139" spans="1:15" x14ac:dyDescent="0.25">
      <c r="A1139" s="3">
        <v>4</v>
      </c>
      <c r="B1139" s="3" t="s">
        <v>197</v>
      </c>
      <c r="C1139" s="1" t="s">
        <v>12</v>
      </c>
      <c r="D1139" s="1" t="s">
        <v>444</v>
      </c>
      <c r="E1139" s="11" t="s">
        <v>144</v>
      </c>
      <c r="F1139" s="3" t="s">
        <v>8</v>
      </c>
      <c r="G1139" s="66" t="s">
        <v>33</v>
      </c>
      <c r="H1139" s="8"/>
      <c r="I1139" s="8"/>
      <c r="J1139" s="6" t="s">
        <v>47</v>
      </c>
      <c r="K1139" s="38" t="s">
        <v>827</v>
      </c>
      <c r="L1139" s="4" t="s">
        <v>29</v>
      </c>
      <c r="M1139" s="11">
        <f>_xlfn.NUMBERVALUE(LEFT(Table613612[[#This Row],[Fiscal Year]], 4))</f>
        <v>2015</v>
      </c>
      <c r="O1139" s="3">
        <v>1137</v>
      </c>
    </row>
    <row r="1140" spans="1:15" x14ac:dyDescent="0.25">
      <c r="A1140" s="3">
        <v>4</v>
      </c>
      <c r="B1140" s="3" t="s">
        <v>197</v>
      </c>
      <c r="C1140" s="1" t="s">
        <v>12</v>
      </c>
      <c r="D1140" s="1" t="s">
        <v>444</v>
      </c>
      <c r="E1140" s="11" t="s">
        <v>144</v>
      </c>
      <c r="F1140" s="3" t="s">
        <v>8</v>
      </c>
      <c r="G1140" s="66" t="s">
        <v>67</v>
      </c>
      <c r="H1140" s="8"/>
      <c r="I1140" s="8"/>
      <c r="J1140" s="6" t="s">
        <v>455</v>
      </c>
      <c r="K1140" s="38">
        <v>18354</v>
      </c>
      <c r="L1140" s="4" t="s">
        <v>29</v>
      </c>
      <c r="M1140" s="11">
        <f>_xlfn.NUMBERVALUE(LEFT(Table613612[[#This Row],[Fiscal Year]], 4))</f>
        <v>2015</v>
      </c>
      <c r="N1140" s="42">
        <f t="shared" si="24"/>
        <v>19487.069088607594</v>
      </c>
      <c r="O1140" s="3">
        <v>1138</v>
      </c>
    </row>
    <row r="1141" spans="1:15" x14ac:dyDescent="0.25">
      <c r="C1141" s="1"/>
      <c r="D1141" s="1"/>
      <c r="E1141" s="11"/>
      <c r="G1141" s="66"/>
      <c r="H1141" s="8"/>
      <c r="I1141" s="8"/>
      <c r="J1141" s="6"/>
      <c r="L1141" s="4"/>
      <c r="O1141" s="3">
        <v>1139</v>
      </c>
    </row>
    <row r="1142" spans="1:15" x14ac:dyDescent="0.25">
      <c r="A1142" s="3">
        <v>4</v>
      </c>
      <c r="B1142" s="3" t="s">
        <v>198</v>
      </c>
      <c r="C1142" s="1" t="s">
        <v>12</v>
      </c>
      <c r="D1142" s="1" t="s">
        <v>444</v>
      </c>
      <c r="E1142" s="11" t="s">
        <v>144</v>
      </c>
      <c r="F1142" s="3" t="s">
        <v>8</v>
      </c>
      <c r="G1142" s="48" t="s">
        <v>32</v>
      </c>
      <c r="H1142" s="8"/>
      <c r="I1142" s="8"/>
      <c r="J1142" s="6" t="s">
        <v>110</v>
      </c>
      <c r="K1142" s="38">
        <v>20000</v>
      </c>
      <c r="L1142" s="4" t="s">
        <v>29</v>
      </c>
      <c r="M1142" s="11">
        <f>_xlfn.NUMBERVALUE(LEFT(Table613612[[#This Row],[Fiscal Year]], 4))</f>
        <v>2015</v>
      </c>
      <c r="N1142" s="42">
        <f t="shared" si="24"/>
        <v>21234.683544303796</v>
      </c>
      <c r="O1142" s="3">
        <v>1140</v>
      </c>
    </row>
    <row r="1143" spans="1:15" x14ac:dyDescent="0.25">
      <c r="A1143" s="3">
        <v>4</v>
      </c>
      <c r="B1143" s="3" t="s">
        <v>198</v>
      </c>
      <c r="C1143" s="1" t="s">
        <v>12</v>
      </c>
      <c r="D1143" s="1" t="s">
        <v>444</v>
      </c>
      <c r="E1143" s="11" t="s">
        <v>144</v>
      </c>
      <c r="F1143" s="3" t="s">
        <v>8</v>
      </c>
      <c r="G1143" s="66" t="s">
        <v>58</v>
      </c>
      <c r="H1143" s="8"/>
      <c r="I1143" s="8"/>
      <c r="J1143" s="6" t="s">
        <v>453</v>
      </c>
      <c r="K1143" s="38">
        <v>2000</v>
      </c>
      <c r="L1143" s="4" t="s">
        <v>29</v>
      </c>
      <c r="M1143" s="11">
        <f>_xlfn.NUMBERVALUE(LEFT(Table613612[[#This Row],[Fiscal Year]], 4))</f>
        <v>2015</v>
      </c>
      <c r="N1143" s="42">
        <f t="shared" si="24"/>
        <v>2123.4683544303798</v>
      </c>
      <c r="O1143" s="3">
        <v>1141</v>
      </c>
    </row>
    <row r="1144" spans="1:15" x14ac:dyDescent="0.25">
      <c r="A1144" s="3">
        <v>4</v>
      </c>
      <c r="B1144" s="3" t="s">
        <v>198</v>
      </c>
      <c r="C1144" s="1" t="s">
        <v>12</v>
      </c>
      <c r="D1144" s="1" t="s">
        <v>444</v>
      </c>
      <c r="E1144" s="11" t="s">
        <v>144</v>
      </c>
      <c r="F1144" s="3" t="s">
        <v>8</v>
      </c>
      <c r="G1144" s="66" t="s">
        <v>208</v>
      </c>
      <c r="H1144" s="8"/>
      <c r="I1144" s="8"/>
      <c r="J1144" s="6" t="s">
        <v>109</v>
      </c>
      <c r="K1144" s="38">
        <v>2500</v>
      </c>
      <c r="L1144" s="4" t="s">
        <v>29</v>
      </c>
      <c r="M1144" s="11">
        <f>_xlfn.NUMBERVALUE(LEFT(Table613612[[#This Row],[Fiscal Year]], 4))</f>
        <v>2015</v>
      </c>
      <c r="N1144" s="42">
        <f t="shared" si="24"/>
        <v>2654.3354430379745</v>
      </c>
      <c r="O1144" s="3">
        <v>1142</v>
      </c>
    </row>
    <row r="1145" spans="1:15" x14ac:dyDescent="0.25">
      <c r="A1145" s="3">
        <v>4</v>
      </c>
      <c r="B1145" s="3" t="s">
        <v>198</v>
      </c>
      <c r="C1145" s="1" t="s">
        <v>12</v>
      </c>
      <c r="D1145" s="1" t="s">
        <v>444</v>
      </c>
      <c r="E1145" s="11" t="s">
        <v>144</v>
      </c>
      <c r="F1145" s="3" t="s">
        <v>8</v>
      </c>
      <c r="G1145" s="48" t="s">
        <v>59</v>
      </c>
      <c r="H1145" s="8"/>
      <c r="I1145" s="8"/>
      <c r="J1145" s="6" t="s">
        <v>111</v>
      </c>
      <c r="K1145" s="38">
        <v>1000</v>
      </c>
      <c r="L1145" s="4" t="s">
        <v>29</v>
      </c>
      <c r="M1145" s="11">
        <f>_xlfn.NUMBERVALUE(LEFT(Table613612[[#This Row],[Fiscal Year]], 4))</f>
        <v>2015</v>
      </c>
      <c r="N1145" s="42">
        <f t="shared" si="24"/>
        <v>1061.7341772151899</v>
      </c>
      <c r="O1145" s="3">
        <v>1143</v>
      </c>
    </row>
    <row r="1146" spans="1:15" x14ac:dyDescent="0.25">
      <c r="A1146" s="3">
        <v>4</v>
      </c>
      <c r="B1146" s="3" t="s">
        <v>198</v>
      </c>
      <c r="C1146" s="1" t="s">
        <v>12</v>
      </c>
      <c r="D1146" s="1" t="s">
        <v>444</v>
      </c>
      <c r="E1146" s="11" t="s">
        <v>144</v>
      </c>
      <c r="F1146" s="3" t="s">
        <v>8</v>
      </c>
      <c r="G1146" s="66" t="s">
        <v>60</v>
      </c>
      <c r="H1146" s="8"/>
      <c r="I1146" s="8"/>
      <c r="J1146" s="6" t="s">
        <v>111</v>
      </c>
      <c r="K1146" s="38">
        <v>2500</v>
      </c>
      <c r="L1146" s="4" t="s">
        <v>29</v>
      </c>
      <c r="M1146" s="11">
        <f>_xlfn.NUMBERVALUE(LEFT(Table613612[[#This Row],[Fiscal Year]], 4))</f>
        <v>2015</v>
      </c>
      <c r="N1146" s="42">
        <f t="shared" si="24"/>
        <v>2654.3354430379745</v>
      </c>
      <c r="O1146" s="3">
        <v>1144</v>
      </c>
    </row>
    <row r="1147" spans="1:15" x14ac:dyDescent="0.25">
      <c r="A1147" s="3">
        <v>4</v>
      </c>
      <c r="B1147" s="3" t="s">
        <v>198</v>
      </c>
      <c r="C1147" s="1" t="s">
        <v>12</v>
      </c>
      <c r="D1147" s="1" t="s">
        <v>444</v>
      </c>
      <c r="E1147" s="11" t="s">
        <v>144</v>
      </c>
      <c r="F1147" s="3" t="s">
        <v>8</v>
      </c>
      <c r="G1147" s="48" t="s">
        <v>61</v>
      </c>
      <c r="H1147" s="8"/>
      <c r="I1147" s="8"/>
      <c r="J1147" s="6" t="s">
        <v>108</v>
      </c>
      <c r="K1147" s="38">
        <v>150000</v>
      </c>
      <c r="L1147" s="4" t="s">
        <v>29</v>
      </c>
      <c r="M1147" s="11">
        <f>_xlfn.NUMBERVALUE(LEFT(Table613612[[#This Row],[Fiscal Year]], 4))</f>
        <v>2015</v>
      </c>
      <c r="N1147" s="42">
        <f t="shared" si="24"/>
        <v>159260.12658227846</v>
      </c>
      <c r="O1147" s="3">
        <v>1145</v>
      </c>
    </row>
    <row r="1148" spans="1:15" x14ac:dyDescent="0.25">
      <c r="A1148" s="3">
        <v>4</v>
      </c>
      <c r="B1148" s="3" t="s">
        <v>198</v>
      </c>
      <c r="C1148" s="1" t="s">
        <v>12</v>
      </c>
      <c r="D1148" s="1" t="s">
        <v>444</v>
      </c>
      <c r="E1148" s="11" t="s">
        <v>144</v>
      </c>
      <c r="F1148" s="3" t="s">
        <v>8</v>
      </c>
      <c r="G1148" s="66" t="s">
        <v>62</v>
      </c>
      <c r="H1148" s="8"/>
      <c r="I1148" s="8"/>
      <c r="J1148" s="6" t="s">
        <v>106</v>
      </c>
      <c r="K1148" s="38">
        <v>1000</v>
      </c>
      <c r="L1148" s="4" t="s">
        <v>29</v>
      </c>
      <c r="M1148" s="11">
        <f>_xlfn.NUMBERVALUE(LEFT(Table613612[[#This Row],[Fiscal Year]], 4))</f>
        <v>2015</v>
      </c>
      <c r="N1148" s="42">
        <f t="shared" si="24"/>
        <v>1061.7341772151899</v>
      </c>
      <c r="O1148" s="3">
        <v>1146</v>
      </c>
    </row>
    <row r="1149" spans="1:15" x14ac:dyDescent="0.25">
      <c r="A1149" s="3">
        <v>4</v>
      </c>
      <c r="B1149" s="3" t="s">
        <v>198</v>
      </c>
      <c r="C1149" s="1" t="s">
        <v>12</v>
      </c>
      <c r="D1149" s="1" t="s">
        <v>444</v>
      </c>
      <c r="E1149" s="11" t="s">
        <v>144</v>
      </c>
      <c r="F1149" s="3" t="s">
        <v>8</v>
      </c>
      <c r="G1149" s="66" t="s">
        <v>211</v>
      </c>
      <c r="H1149" s="8"/>
      <c r="I1149" s="8"/>
      <c r="J1149" s="6" t="s">
        <v>455</v>
      </c>
      <c r="K1149" s="38">
        <v>0</v>
      </c>
      <c r="L1149" s="4" t="s">
        <v>29</v>
      </c>
      <c r="M1149" s="11">
        <f>_xlfn.NUMBERVALUE(LEFT(Table613612[[#This Row],[Fiscal Year]], 4))</f>
        <v>2015</v>
      </c>
      <c r="N1149" s="43">
        <f t="shared" si="24"/>
        <v>0</v>
      </c>
      <c r="O1149" s="3">
        <v>1147</v>
      </c>
    </row>
    <row r="1150" spans="1:15" x14ac:dyDescent="0.25">
      <c r="A1150" s="3">
        <v>4</v>
      </c>
      <c r="B1150" s="3" t="s">
        <v>198</v>
      </c>
      <c r="C1150" s="1" t="s">
        <v>12</v>
      </c>
      <c r="D1150" s="1" t="s">
        <v>444</v>
      </c>
      <c r="E1150" s="11" t="s">
        <v>144</v>
      </c>
      <c r="F1150" s="3" t="s">
        <v>8</v>
      </c>
      <c r="G1150" s="66" t="s">
        <v>64</v>
      </c>
      <c r="H1150" s="8"/>
      <c r="I1150" s="8"/>
      <c r="J1150" s="6" t="s">
        <v>76</v>
      </c>
      <c r="K1150" s="38">
        <v>0</v>
      </c>
      <c r="L1150" s="4" t="s">
        <v>29</v>
      </c>
      <c r="M1150" s="11">
        <f>_xlfn.NUMBERVALUE(LEFT(Table613612[[#This Row],[Fiscal Year]], 4))</f>
        <v>2015</v>
      </c>
      <c r="N1150" s="43">
        <f t="shared" si="24"/>
        <v>0</v>
      </c>
      <c r="O1150" s="3">
        <v>1148</v>
      </c>
    </row>
    <row r="1151" spans="1:15" x14ac:dyDescent="0.25">
      <c r="A1151" s="3">
        <v>4</v>
      </c>
      <c r="B1151" s="3" t="s">
        <v>198</v>
      </c>
      <c r="C1151" s="1" t="s">
        <v>12</v>
      </c>
      <c r="D1151" s="1" t="s">
        <v>444</v>
      </c>
      <c r="E1151" s="11" t="s">
        <v>144</v>
      </c>
      <c r="F1151" s="3" t="s">
        <v>8</v>
      </c>
      <c r="G1151" s="66" t="s">
        <v>65</v>
      </c>
      <c r="H1151" s="8"/>
      <c r="I1151" s="8"/>
      <c r="J1151" s="6" t="s">
        <v>76</v>
      </c>
      <c r="K1151" s="38">
        <v>0</v>
      </c>
      <c r="L1151" s="4" t="s">
        <v>29</v>
      </c>
      <c r="M1151" s="11">
        <f>_xlfn.NUMBERVALUE(LEFT(Table613612[[#This Row],[Fiscal Year]], 4))</f>
        <v>2015</v>
      </c>
      <c r="N1151" s="43">
        <f t="shared" si="24"/>
        <v>0</v>
      </c>
      <c r="O1151" s="3">
        <v>1149</v>
      </c>
    </row>
    <row r="1152" spans="1:15" x14ac:dyDescent="0.25">
      <c r="A1152" s="3">
        <v>4</v>
      </c>
      <c r="B1152" s="3" t="s">
        <v>198</v>
      </c>
      <c r="C1152" s="1" t="s">
        <v>12</v>
      </c>
      <c r="D1152" s="1" t="s">
        <v>444</v>
      </c>
      <c r="E1152" s="11" t="s">
        <v>144</v>
      </c>
      <c r="F1152" s="3" t="s">
        <v>8</v>
      </c>
      <c r="G1152" s="48" t="s">
        <v>66</v>
      </c>
      <c r="H1152" s="8"/>
      <c r="I1152" s="8"/>
      <c r="J1152" s="6" t="s">
        <v>76</v>
      </c>
      <c r="K1152" s="38">
        <v>0</v>
      </c>
      <c r="L1152" s="4" t="s">
        <v>29</v>
      </c>
      <c r="M1152" s="11">
        <f>_xlfn.NUMBERVALUE(LEFT(Table613612[[#This Row],[Fiscal Year]], 4))</f>
        <v>2015</v>
      </c>
      <c r="N1152" s="43">
        <f t="shared" si="24"/>
        <v>0</v>
      </c>
      <c r="O1152" s="3">
        <v>1150</v>
      </c>
    </row>
    <row r="1153" spans="1:15" x14ac:dyDescent="0.25">
      <c r="A1153" s="3">
        <v>4</v>
      </c>
      <c r="B1153" s="3" t="s">
        <v>198</v>
      </c>
      <c r="C1153" s="1" t="s">
        <v>12</v>
      </c>
      <c r="D1153" s="1" t="s">
        <v>444</v>
      </c>
      <c r="E1153" s="11" t="s">
        <v>144</v>
      </c>
      <c r="F1153" s="3" t="s">
        <v>8</v>
      </c>
      <c r="G1153" s="66" t="s">
        <v>33</v>
      </c>
      <c r="H1153" s="8"/>
      <c r="I1153" s="8"/>
      <c r="J1153" s="6" t="s">
        <v>47</v>
      </c>
      <c r="K1153" s="38">
        <v>0</v>
      </c>
      <c r="L1153" s="4" t="s">
        <v>29</v>
      </c>
      <c r="M1153" s="11">
        <f>_xlfn.NUMBERVALUE(LEFT(Table613612[[#This Row],[Fiscal Year]], 4))</f>
        <v>2015</v>
      </c>
      <c r="N1153" s="43">
        <f t="shared" si="24"/>
        <v>0</v>
      </c>
      <c r="O1153" s="3">
        <v>1151</v>
      </c>
    </row>
    <row r="1154" spans="1:15" x14ac:dyDescent="0.25">
      <c r="A1154" s="3">
        <v>4</v>
      </c>
      <c r="B1154" s="3" t="s">
        <v>198</v>
      </c>
      <c r="C1154" s="1" t="s">
        <v>12</v>
      </c>
      <c r="D1154" s="1" t="s">
        <v>444</v>
      </c>
      <c r="E1154" s="11" t="s">
        <v>144</v>
      </c>
      <c r="F1154" s="3" t="s">
        <v>8</v>
      </c>
      <c r="G1154" s="48" t="s">
        <v>67</v>
      </c>
      <c r="H1154" s="8" t="s">
        <v>942</v>
      </c>
      <c r="I1154" s="8" t="s">
        <v>429</v>
      </c>
      <c r="J1154" s="6" t="s">
        <v>455</v>
      </c>
      <c r="K1154" s="38">
        <v>28000</v>
      </c>
      <c r="L1154" s="4" t="s">
        <v>29</v>
      </c>
      <c r="M1154" s="11">
        <f>_xlfn.NUMBERVALUE(LEFT(Table613612[[#This Row],[Fiscal Year]], 4))</f>
        <v>2015</v>
      </c>
      <c r="N1154" s="42">
        <f t="shared" si="24"/>
        <v>29728.556962025315</v>
      </c>
      <c r="O1154" s="3">
        <v>1152</v>
      </c>
    </row>
    <row r="1155" spans="1:15" x14ac:dyDescent="0.25">
      <c r="C1155" s="1"/>
      <c r="D1155" s="1"/>
      <c r="E1155" s="11"/>
      <c r="G1155" s="66"/>
      <c r="H1155" s="8"/>
      <c r="I1155" s="8"/>
      <c r="J1155" s="6"/>
      <c r="L1155" s="4"/>
      <c r="O1155" s="3">
        <v>1153</v>
      </c>
    </row>
    <row r="1156" spans="1:15" x14ac:dyDescent="0.25">
      <c r="A1156" s="3">
        <v>4</v>
      </c>
      <c r="B1156" s="3" t="s">
        <v>199</v>
      </c>
      <c r="C1156" s="1" t="s">
        <v>12</v>
      </c>
      <c r="D1156" s="1" t="s">
        <v>444</v>
      </c>
      <c r="E1156" s="11" t="s">
        <v>144</v>
      </c>
      <c r="F1156" s="3" t="s">
        <v>8</v>
      </c>
      <c r="G1156" s="48" t="s">
        <v>32</v>
      </c>
      <c r="H1156" s="8"/>
      <c r="I1156" s="8"/>
      <c r="J1156" s="6" t="s">
        <v>110</v>
      </c>
      <c r="K1156" s="38">
        <v>5000</v>
      </c>
      <c r="L1156" s="4" t="s">
        <v>29</v>
      </c>
      <c r="M1156" s="11">
        <f>_xlfn.NUMBERVALUE(LEFT(Table613612[[#This Row],[Fiscal Year]], 4))</f>
        <v>2015</v>
      </c>
      <c r="N1156" s="42">
        <f t="shared" si="24"/>
        <v>5308.6708860759491</v>
      </c>
      <c r="O1156" s="3">
        <v>1154</v>
      </c>
    </row>
    <row r="1157" spans="1:15" x14ac:dyDescent="0.25">
      <c r="A1157" s="3">
        <v>4</v>
      </c>
      <c r="B1157" s="3" t="s">
        <v>199</v>
      </c>
      <c r="C1157" s="1" t="s">
        <v>12</v>
      </c>
      <c r="D1157" s="1" t="s">
        <v>444</v>
      </c>
      <c r="E1157" s="11" t="s">
        <v>144</v>
      </c>
      <c r="F1157" s="3" t="s">
        <v>8</v>
      </c>
      <c r="G1157" s="66" t="s">
        <v>58</v>
      </c>
      <c r="H1157" s="8"/>
      <c r="I1157" s="8"/>
      <c r="J1157" s="6" t="s">
        <v>453</v>
      </c>
      <c r="K1157" s="38">
        <v>5000</v>
      </c>
      <c r="L1157" s="4" t="s">
        <v>29</v>
      </c>
      <c r="M1157" s="11">
        <f>_xlfn.NUMBERVALUE(LEFT(Table613612[[#This Row],[Fiscal Year]], 4))</f>
        <v>2015</v>
      </c>
      <c r="N1157" s="42">
        <f t="shared" si="24"/>
        <v>5308.6708860759491</v>
      </c>
      <c r="O1157" s="3">
        <v>1155</v>
      </c>
    </row>
    <row r="1158" spans="1:15" x14ac:dyDescent="0.25">
      <c r="A1158" s="3">
        <v>4</v>
      </c>
      <c r="B1158" s="3" t="s">
        <v>199</v>
      </c>
      <c r="C1158" s="1" t="s">
        <v>12</v>
      </c>
      <c r="D1158" s="1" t="s">
        <v>444</v>
      </c>
      <c r="E1158" s="11" t="s">
        <v>144</v>
      </c>
      <c r="F1158" s="3" t="s">
        <v>8</v>
      </c>
      <c r="G1158" s="66" t="s">
        <v>208</v>
      </c>
      <c r="H1158" s="8"/>
      <c r="I1158" s="8"/>
      <c r="J1158" s="6" t="s">
        <v>109</v>
      </c>
      <c r="K1158" s="38">
        <v>15000</v>
      </c>
      <c r="L1158" s="4" t="s">
        <v>29</v>
      </c>
      <c r="M1158" s="11">
        <f>_xlfn.NUMBERVALUE(LEFT(Table613612[[#This Row],[Fiscal Year]], 4))</f>
        <v>2015</v>
      </c>
      <c r="N1158" s="42">
        <f t="shared" si="24"/>
        <v>15926.012658227848</v>
      </c>
      <c r="O1158" s="3">
        <v>1156</v>
      </c>
    </row>
    <row r="1159" spans="1:15" x14ac:dyDescent="0.25">
      <c r="A1159" s="3">
        <v>4</v>
      </c>
      <c r="B1159" s="3" t="s">
        <v>199</v>
      </c>
      <c r="C1159" s="1" t="s">
        <v>12</v>
      </c>
      <c r="D1159" s="1" t="s">
        <v>444</v>
      </c>
      <c r="E1159" s="11" t="s">
        <v>144</v>
      </c>
      <c r="F1159" s="3" t="s">
        <v>8</v>
      </c>
      <c r="G1159" s="48" t="s">
        <v>59</v>
      </c>
      <c r="H1159" s="8"/>
      <c r="I1159" s="8"/>
      <c r="J1159" s="6" t="s">
        <v>111</v>
      </c>
      <c r="K1159" s="38">
        <v>500</v>
      </c>
      <c r="L1159" s="4" t="s">
        <v>29</v>
      </c>
      <c r="M1159" s="11">
        <f>_xlfn.NUMBERVALUE(LEFT(Table613612[[#This Row],[Fiscal Year]], 4))</f>
        <v>2015</v>
      </c>
      <c r="N1159" s="42">
        <f t="shared" si="24"/>
        <v>530.86708860759495</v>
      </c>
      <c r="O1159" s="3">
        <v>1157</v>
      </c>
    </row>
    <row r="1160" spans="1:15" x14ac:dyDescent="0.25">
      <c r="A1160" s="3">
        <v>4</v>
      </c>
      <c r="B1160" s="3" t="s">
        <v>199</v>
      </c>
      <c r="C1160" s="1" t="s">
        <v>12</v>
      </c>
      <c r="D1160" s="1" t="s">
        <v>444</v>
      </c>
      <c r="E1160" s="11" t="s">
        <v>144</v>
      </c>
      <c r="F1160" s="3" t="s">
        <v>8</v>
      </c>
      <c r="G1160" s="66" t="s">
        <v>60</v>
      </c>
      <c r="H1160" s="8"/>
      <c r="I1160" s="8"/>
      <c r="J1160" s="6" t="s">
        <v>111</v>
      </c>
      <c r="K1160" s="38">
        <v>14500</v>
      </c>
      <c r="L1160" s="4" t="s">
        <v>29</v>
      </c>
      <c r="M1160" s="11">
        <f>_xlfn.NUMBERVALUE(LEFT(Table613612[[#This Row],[Fiscal Year]], 4))</f>
        <v>2015</v>
      </c>
      <c r="N1160" s="42">
        <f t="shared" si="24"/>
        <v>15395.145569620252</v>
      </c>
      <c r="O1160" s="3">
        <v>1158</v>
      </c>
    </row>
    <row r="1161" spans="1:15" x14ac:dyDescent="0.25">
      <c r="A1161" s="3">
        <v>4</v>
      </c>
      <c r="B1161" s="3" t="s">
        <v>199</v>
      </c>
      <c r="C1161" s="1" t="s">
        <v>12</v>
      </c>
      <c r="D1161" s="1" t="s">
        <v>444</v>
      </c>
      <c r="E1161" s="11" t="s">
        <v>144</v>
      </c>
      <c r="F1161" s="3" t="s">
        <v>8</v>
      </c>
      <c r="G1161" s="48" t="s">
        <v>61</v>
      </c>
      <c r="H1161" s="8"/>
      <c r="I1161" s="8"/>
      <c r="J1161" s="6" t="s">
        <v>108</v>
      </c>
      <c r="K1161" s="38">
        <v>211000</v>
      </c>
      <c r="L1161" s="4" t="s">
        <v>29</v>
      </c>
      <c r="M1161" s="11">
        <f>_xlfn.NUMBERVALUE(LEFT(Table613612[[#This Row],[Fiscal Year]], 4))</f>
        <v>2015</v>
      </c>
      <c r="N1161" s="42">
        <f t="shared" si="24"/>
        <v>224025.91139240505</v>
      </c>
      <c r="O1161" s="3">
        <v>1159</v>
      </c>
    </row>
    <row r="1162" spans="1:15" x14ac:dyDescent="0.25">
      <c r="A1162" s="3">
        <v>4</v>
      </c>
      <c r="B1162" s="3" t="s">
        <v>199</v>
      </c>
      <c r="C1162" s="1" t="s">
        <v>12</v>
      </c>
      <c r="D1162" s="1" t="s">
        <v>444</v>
      </c>
      <c r="E1162" s="11" t="s">
        <v>144</v>
      </c>
      <c r="F1162" s="3" t="s">
        <v>8</v>
      </c>
      <c r="G1162" s="66" t="s">
        <v>62</v>
      </c>
      <c r="H1162" s="8"/>
      <c r="I1162" s="8"/>
      <c r="J1162" s="6" t="s">
        <v>106</v>
      </c>
      <c r="K1162" s="38">
        <v>1500</v>
      </c>
      <c r="L1162" s="4" t="s">
        <v>29</v>
      </c>
      <c r="M1162" s="11">
        <f>_xlfn.NUMBERVALUE(LEFT(Table613612[[#This Row],[Fiscal Year]], 4))</f>
        <v>2015</v>
      </c>
      <c r="N1162" s="42">
        <f t="shared" si="24"/>
        <v>1592.6012658227846</v>
      </c>
      <c r="O1162" s="3">
        <v>1160</v>
      </c>
    </row>
    <row r="1163" spans="1:15" x14ac:dyDescent="0.25">
      <c r="A1163" s="3">
        <v>4</v>
      </c>
      <c r="B1163" s="3" t="s">
        <v>199</v>
      </c>
      <c r="C1163" s="1" t="s">
        <v>12</v>
      </c>
      <c r="D1163" s="1" t="s">
        <v>444</v>
      </c>
      <c r="E1163" s="11" t="s">
        <v>144</v>
      </c>
      <c r="F1163" s="3" t="s">
        <v>8</v>
      </c>
      <c r="G1163" s="66" t="s">
        <v>211</v>
      </c>
      <c r="H1163" s="8"/>
      <c r="I1163" s="8"/>
      <c r="J1163" s="6" t="s">
        <v>455</v>
      </c>
      <c r="K1163" s="38">
        <v>24000</v>
      </c>
      <c r="L1163" s="4" t="s">
        <v>29</v>
      </c>
      <c r="M1163" s="11">
        <f>_xlfn.NUMBERVALUE(LEFT(Table613612[[#This Row],[Fiscal Year]], 4))</f>
        <v>2015</v>
      </c>
      <c r="N1163" s="42">
        <f t="shared" si="24"/>
        <v>25481.620253164554</v>
      </c>
      <c r="O1163" s="3">
        <v>1161</v>
      </c>
    </row>
    <row r="1164" spans="1:15" x14ac:dyDescent="0.25">
      <c r="A1164" s="3">
        <v>4</v>
      </c>
      <c r="B1164" s="3" t="s">
        <v>199</v>
      </c>
      <c r="C1164" s="1" t="s">
        <v>12</v>
      </c>
      <c r="D1164" s="1" t="s">
        <v>444</v>
      </c>
      <c r="E1164" s="11" t="s">
        <v>144</v>
      </c>
      <c r="F1164" s="3" t="s">
        <v>8</v>
      </c>
      <c r="G1164" s="66" t="s">
        <v>64</v>
      </c>
      <c r="H1164" s="8"/>
      <c r="I1164" s="8"/>
      <c r="J1164" s="6" t="s">
        <v>76</v>
      </c>
      <c r="K1164" s="38" t="s">
        <v>827</v>
      </c>
      <c r="L1164" s="4" t="s">
        <v>29</v>
      </c>
      <c r="M1164" s="11">
        <f>_xlfn.NUMBERVALUE(LEFT(Table613612[[#This Row],[Fiscal Year]], 4))</f>
        <v>2015</v>
      </c>
      <c r="O1164" s="3">
        <v>1162</v>
      </c>
    </row>
    <row r="1165" spans="1:15" x14ac:dyDescent="0.25">
      <c r="A1165" s="3">
        <v>4</v>
      </c>
      <c r="B1165" s="3" t="s">
        <v>199</v>
      </c>
      <c r="C1165" s="1" t="s">
        <v>12</v>
      </c>
      <c r="D1165" s="1" t="s">
        <v>444</v>
      </c>
      <c r="E1165" s="11" t="s">
        <v>144</v>
      </c>
      <c r="F1165" s="3" t="s">
        <v>8</v>
      </c>
      <c r="G1165" s="66" t="s">
        <v>65</v>
      </c>
      <c r="H1165" s="8"/>
      <c r="I1165" s="8"/>
      <c r="J1165" s="6" t="s">
        <v>76</v>
      </c>
      <c r="K1165" s="38" t="s">
        <v>827</v>
      </c>
      <c r="L1165" s="4" t="s">
        <v>29</v>
      </c>
      <c r="M1165" s="11">
        <f>_xlfn.NUMBERVALUE(LEFT(Table613612[[#This Row],[Fiscal Year]], 4))</f>
        <v>2015</v>
      </c>
      <c r="O1165" s="3">
        <v>1163</v>
      </c>
    </row>
    <row r="1166" spans="1:15" x14ac:dyDescent="0.25">
      <c r="A1166" s="3">
        <v>4</v>
      </c>
      <c r="B1166" s="3" t="s">
        <v>199</v>
      </c>
      <c r="C1166" s="1" t="s">
        <v>12</v>
      </c>
      <c r="D1166" s="1" t="s">
        <v>444</v>
      </c>
      <c r="E1166" s="11" t="s">
        <v>144</v>
      </c>
      <c r="F1166" s="3" t="s">
        <v>8</v>
      </c>
      <c r="G1166" s="48" t="s">
        <v>66</v>
      </c>
      <c r="H1166" s="8"/>
      <c r="I1166" s="8"/>
      <c r="J1166" s="6" t="s">
        <v>76</v>
      </c>
      <c r="K1166" s="38" t="s">
        <v>827</v>
      </c>
      <c r="L1166" s="4" t="s">
        <v>29</v>
      </c>
      <c r="M1166" s="11">
        <f>_xlfn.NUMBERVALUE(LEFT(Table613612[[#This Row],[Fiscal Year]], 4))</f>
        <v>2015</v>
      </c>
      <c r="O1166" s="3">
        <v>1164</v>
      </c>
    </row>
    <row r="1167" spans="1:15" x14ac:dyDescent="0.25">
      <c r="A1167" s="3">
        <v>4</v>
      </c>
      <c r="B1167" s="3" t="s">
        <v>199</v>
      </c>
      <c r="C1167" s="1" t="s">
        <v>12</v>
      </c>
      <c r="D1167" s="1" t="s">
        <v>444</v>
      </c>
      <c r="E1167" s="11" t="s">
        <v>144</v>
      </c>
      <c r="F1167" s="3" t="s">
        <v>8</v>
      </c>
      <c r="G1167" s="66" t="s">
        <v>33</v>
      </c>
      <c r="H1167" s="8"/>
      <c r="I1167" s="8"/>
      <c r="J1167" s="6" t="s">
        <v>47</v>
      </c>
      <c r="K1167" s="38">
        <v>34500</v>
      </c>
      <c r="L1167" s="4" t="s">
        <v>29</v>
      </c>
      <c r="M1167" s="11">
        <f>_xlfn.NUMBERVALUE(LEFT(Table613612[[#This Row],[Fiscal Year]], 4))</f>
        <v>2015</v>
      </c>
      <c r="N1167" s="42">
        <f t="shared" ref="N1167:N1229" si="25">K1167*(1+VLOOKUP(M1167,$AF$8:$AH$31,3,0))</f>
        <v>36629.829113924046</v>
      </c>
      <c r="O1167" s="3">
        <v>1165</v>
      </c>
    </row>
    <row r="1168" spans="1:15" x14ac:dyDescent="0.25">
      <c r="A1168" s="3">
        <v>4</v>
      </c>
      <c r="B1168" s="3" t="s">
        <v>199</v>
      </c>
      <c r="C1168" s="1" t="s">
        <v>12</v>
      </c>
      <c r="D1168" s="1" t="s">
        <v>444</v>
      </c>
      <c r="E1168" s="11" t="s">
        <v>144</v>
      </c>
      <c r="F1168" s="3" t="s">
        <v>8</v>
      </c>
      <c r="G1168" s="48" t="s">
        <v>67</v>
      </c>
      <c r="H1168" s="8" t="s">
        <v>943</v>
      </c>
      <c r="I1168" s="8" t="s">
        <v>429</v>
      </c>
      <c r="J1168" s="6" t="s">
        <v>455</v>
      </c>
      <c r="K1168" s="38">
        <v>18000</v>
      </c>
      <c r="L1168" s="4" t="s">
        <v>29</v>
      </c>
      <c r="M1168" s="11">
        <f>_xlfn.NUMBERVALUE(LEFT(Table613612[[#This Row],[Fiscal Year]], 4))</f>
        <v>2015</v>
      </c>
      <c r="N1168" s="42">
        <f t="shared" si="25"/>
        <v>19111.215189873416</v>
      </c>
      <c r="O1168" s="3">
        <v>1166</v>
      </c>
    </row>
    <row r="1169" spans="1:15" x14ac:dyDescent="0.25">
      <c r="C1169" s="1"/>
      <c r="D1169" s="1"/>
      <c r="E1169" s="11"/>
      <c r="G1169" s="66"/>
      <c r="H1169" s="8"/>
      <c r="I1169" s="8"/>
      <c r="J1169" s="6"/>
      <c r="L1169" s="4"/>
      <c r="O1169" s="3">
        <v>1167</v>
      </c>
    </row>
    <row r="1170" spans="1:15" x14ac:dyDescent="0.25">
      <c r="A1170" s="3">
        <v>4</v>
      </c>
      <c r="B1170" s="3" t="s">
        <v>200</v>
      </c>
      <c r="C1170" s="1" t="s">
        <v>12</v>
      </c>
      <c r="D1170" s="1" t="s">
        <v>444</v>
      </c>
      <c r="E1170" s="11" t="s">
        <v>144</v>
      </c>
      <c r="F1170" s="3" t="s">
        <v>8</v>
      </c>
      <c r="G1170" s="48" t="s">
        <v>32</v>
      </c>
      <c r="H1170" s="8" t="s">
        <v>945</v>
      </c>
      <c r="I1170" s="8" t="s">
        <v>429</v>
      </c>
      <c r="J1170" s="6" t="s">
        <v>110</v>
      </c>
      <c r="K1170" s="38">
        <v>80000</v>
      </c>
      <c r="L1170" s="4" t="s">
        <v>29</v>
      </c>
      <c r="M1170" s="11">
        <f>_xlfn.NUMBERVALUE(LEFT(Table613612[[#This Row],[Fiscal Year]], 4))</f>
        <v>2015</v>
      </c>
      <c r="N1170" s="42">
        <f t="shared" si="25"/>
        <v>84938.734177215185</v>
      </c>
      <c r="O1170" s="3">
        <v>1168</v>
      </c>
    </row>
    <row r="1171" spans="1:15" x14ac:dyDescent="0.25">
      <c r="A1171" s="3">
        <v>4</v>
      </c>
      <c r="B1171" s="3" t="s">
        <v>200</v>
      </c>
      <c r="C1171" s="1" t="s">
        <v>12</v>
      </c>
      <c r="D1171" s="1" t="s">
        <v>444</v>
      </c>
      <c r="E1171" s="11" t="s">
        <v>144</v>
      </c>
      <c r="F1171" s="3" t="s">
        <v>8</v>
      </c>
      <c r="G1171" s="66" t="s">
        <v>58</v>
      </c>
      <c r="H1171" s="8"/>
      <c r="I1171" s="8"/>
      <c r="J1171" s="6" t="s">
        <v>453</v>
      </c>
      <c r="K1171" s="38">
        <v>2000</v>
      </c>
      <c r="L1171" s="4" t="s">
        <v>29</v>
      </c>
      <c r="M1171" s="11">
        <f>_xlfn.NUMBERVALUE(LEFT(Table613612[[#This Row],[Fiscal Year]], 4))</f>
        <v>2015</v>
      </c>
      <c r="N1171" s="42">
        <f t="shared" si="25"/>
        <v>2123.4683544303798</v>
      </c>
      <c r="O1171" s="3">
        <v>1169</v>
      </c>
    </row>
    <row r="1172" spans="1:15" x14ac:dyDescent="0.25">
      <c r="A1172" s="3">
        <v>4</v>
      </c>
      <c r="B1172" s="3" t="s">
        <v>200</v>
      </c>
      <c r="C1172" s="1" t="s">
        <v>12</v>
      </c>
      <c r="D1172" s="1" t="s">
        <v>444</v>
      </c>
      <c r="E1172" s="11" t="s">
        <v>144</v>
      </c>
      <c r="F1172" s="3" t="s">
        <v>8</v>
      </c>
      <c r="G1172" s="66" t="s">
        <v>208</v>
      </c>
      <c r="H1172" s="8"/>
      <c r="I1172" s="8"/>
      <c r="J1172" s="6" t="s">
        <v>109</v>
      </c>
      <c r="K1172" s="38">
        <v>20000</v>
      </c>
      <c r="L1172" s="4" t="s">
        <v>29</v>
      </c>
      <c r="M1172" s="11">
        <f>_xlfn.NUMBERVALUE(LEFT(Table613612[[#This Row],[Fiscal Year]], 4))</f>
        <v>2015</v>
      </c>
      <c r="N1172" s="42">
        <f t="shared" si="25"/>
        <v>21234.683544303796</v>
      </c>
      <c r="O1172" s="3">
        <v>1170</v>
      </c>
    </row>
    <row r="1173" spans="1:15" x14ac:dyDescent="0.25">
      <c r="A1173" s="3">
        <v>4</v>
      </c>
      <c r="B1173" s="3" t="s">
        <v>200</v>
      </c>
      <c r="C1173" s="1" t="s">
        <v>12</v>
      </c>
      <c r="D1173" s="1" t="s">
        <v>444</v>
      </c>
      <c r="E1173" s="11" t="s">
        <v>144</v>
      </c>
      <c r="F1173" s="3" t="s">
        <v>8</v>
      </c>
      <c r="G1173" s="48" t="s">
        <v>59</v>
      </c>
      <c r="H1173" s="8"/>
      <c r="I1173" s="8"/>
      <c r="J1173" s="6" t="s">
        <v>111</v>
      </c>
      <c r="K1173" s="38">
        <v>5000</v>
      </c>
      <c r="L1173" s="4" t="s">
        <v>29</v>
      </c>
      <c r="M1173" s="11">
        <f>_xlfn.NUMBERVALUE(LEFT(Table613612[[#This Row],[Fiscal Year]], 4))</f>
        <v>2015</v>
      </c>
      <c r="N1173" s="42">
        <f t="shared" si="25"/>
        <v>5308.6708860759491</v>
      </c>
      <c r="O1173" s="3">
        <v>1171</v>
      </c>
    </row>
    <row r="1174" spans="1:15" x14ac:dyDescent="0.25">
      <c r="A1174" s="3">
        <v>4</v>
      </c>
      <c r="B1174" s="3" t="s">
        <v>200</v>
      </c>
      <c r="C1174" s="1" t="s">
        <v>12</v>
      </c>
      <c r="D1174" s="1" t="s">
        <v>444</v>
      </c>
      <c r="E1174" s="11" t="s">
        <v>144</v>
      </c>
      <c r="F1174" s="3" t="s">
        <v>8</v>
      </c>
      <c r="G1174" s="66" t="s">
        <v>60</v>
      </c>
      <c r="H1174" s="8"/>
      <c r="I1174" s="8"/>
      <c r="J1174" s="6" t="s">
        <v>111</v>
      </c>
      <c r="K1174" s="38">
        <v>2000</v>
      </c>
      <c r="L1174" s="4" t="s">
        <v>29</v>
      </c>
      <c r="M1174" s="11">
        <f>_xlfn.NUMBERVALUE(LEFT(Table613612[[#This Row],[Fiscal Year]], 4))</f>
        <v>2015</v>
      </c>
      <c r="N1174" s="42">
        <f t="shared" si="25"/>
        <v>2123.4683544303798</v>
      </c>
      <c r="O1174" s="3">
        <v>1172</v>
      </c>
    </row>
    <row r="1175" spans="1:15" x14ac:dyDescent="0.25">
      <c r="A1175" s="3">
        <v>4</v>
      </c>
      <c r="B1175" s="3" t="s">
        <v>200</v>
      </c>
      <c r="C1175" s="1" t="s">
        <v>12</v>
      </c>
      <c r="D1175" s="1" t="s">
        <v>444</v>
      </c>
      <c r="E1175" s="11" t="s">
        <v>144</v>
      </c>
      <c r="F1175" s="3" t="s">
        <v>8</v>
      </c>
      <c r="G1175" s="48" t="s">
        <v>61</v>
      </c>
      <c r="H1175" s="8"/>
      <c r="I1175" s="8"/>
      <c r="J1175" s="6" t="s">
        <v>108</v>
      </c>
      <c r="K1175" s="38">
        <v>2750000</v>
      </c>
      <c r="L1175" s="4" t="s">
        <v>29</v>
      </c>
      <c r="M1175" s="11">
        <f>_xlfn.NUMBERVALUE(LEFT(Table613612[[#This Row],[Fiscal Year]], 4))</f>
        <v>2015</v>
      </c>
      <c r="N1175" s="42">
        <f t="shared" si="25"/>
        <v>2919768.9873417718</v>
      </c>
      <c r="O1175" s="3">
        <v>1173</v>
      </c>
    </row>
    <row r="1176" spans="1:15" x14ac:dyDescent="0.25">
      <c r="A1176" s="3">
        <v>4</v>
      </c>
      <c r="B1176" s="3" t="s">
        <v>200</v>
      </c>
      <c r="C1176" s="1" t="s">
        <v>12</v>
      </c>
      <c r="D1176" s="1" t="s">
        <v>444</v>
      </c>
      <c r="E1176" s="11" t="s">
        <v>144</v>
      </c>
      <c r="F1176" s="3" t="s">
        <v>8</v>
      </c>
      <c r="G1176" s="66" t="s">
        <v>62</v>
      </c>
      <c r="H1176" s="8"/>
      <c r="I1176" s="8"/>
      <c r="J1176" s="6" t="s">
        <v>106</v>
      </c>
      <c r="K1176" s="38">
        <v>30000</v>
      </c>
      <c r="L1176" s="4" t="s">
        <v>29</v>
      </c>
      <c r="M1176" s="11">
        <f>_xlfn.NUMBERVALUE(LEFT(Table613612[[#This Row],[Fiscal Year]], 4))</f>
        <v>2015</v>
      </c>
      <c r="N1176" s="42">
        <f t="shared" si="25"/>
        <v>31852.025316455696</v>
      </c>
      <c r="O1176" s="3">
        <v>1174</v>
      </c>
    </row>
    <row r="1177" spans="1:15" x14ac:dyDescent="0.25">
      <c r="A1177" s="3">
        <v>4</v>
      </c>
      <c r="B1177" s="3" t="s">
        <v>200</v>
      </c>
      <c r="C1177" s="1" t="s">
        <v>12</v>
      </c>
      <c r="D1177" s="1" t="s">
        <v>444</v>
      </c>
      <c r="E1177" s="11" t="s">
        <v>144</v>
      </c>
      <c r="F1177" s="3" t="s">
        <v>8</v>
      </c>
      <c r="G1177" s="66" t="s">
        <v>211</v>
      </c>
      <c r="H1177" s="8"/>
      <c r="I1177" s="8"/>
      <c r="J1177" s="6" t="s">
        <v>455</v>
      </c>
      <c r="K1177" s="38">
        <v>0</v>
      </c>
      <c r="L1177" s="4" t="s">
        <v>29</v>
      </c>
      <c r="M1177" s="11">
        <f>_xlfn.NUMBERVALUE(LEFT(Table613612[[#This Row],[Fiscal Year]], 4))</f>
        <v>2015</v>
      </c>
      <c r="N1177" s="43">
        <f t="shared" si="25"/>
        <v>0</v>
      </c>
      <c r="O1177" s="3">
        <v>1175</v>
      </c>
    </row>
    <row r="1178" spans="1:15" x14ac:dyDescent="0.25">
      <c r="A1178" s="3">
        <v>4</v>
      </c>
      <c r="B1178" s="3" t="s">
        <v>200</v>
      </c>
      <c r="C1178" s="1" t="s">
        <v>12</v>
      </c>
      <c r="D1178" s="1" t="s">
        <v>444</v>
      </c>
      <c r="E1178" s="11" t="s">
        <v>144</v>
      </c>
      <c r="F1178" s="3" t="s">
        <v>8</v>
      </c>
      <c r="G1178" s="66" t="s">
        <v>64</v>
      </c>
      <c r="H1178" s="8"/>
      <c r="I1178" s="8"/>
      <c r="J1178" s="6" t="s">
        <v>76</v>
      </c>
      <c r="K1178" s="38">
        <v>1000000</v>
      </c>
      <c r="L1178" s="4" t="s">
        <v>29</v>
      </c>
      <c r="M1178" s="11">
        <f>_xlfn.NUMBERVALUE(LEFT(Table613612[[#This Row],[Fiscal Year]], 4))</f>
        <v>2015</v>
      </c>
      <c r="N1178" s="42">
        <f>K1178*(1+VLOOKUP(M1178,$AF$8:$AH$31,3,0))</f>
        <v>1061734.1772151899</v>
      </c>
      <c r="O1178" s="3">
        <v>1176</v>
      </c>
    </row>
    <row r="1179" spans="1:15" x14ac:dyDescent="0.25">
      <c r="A1179" s="3">
        <v>4</v>
      </c>
      <c r="B1179" s="3" t="s">
        <v>200</v>
      </c>
      <c r="C1179" s="1" t="s">
        <v>12</v>
      </c>
      <c r="D1179" s="1" t="s">
        <v>444</v>
      </c>
      <c r="E1179" s="11" t="s">
        <v>144</v>
      </c>
      <c r="F1179" s="3" t="s">
        <v>8</v>
      </c>
      <c r="G1179" s="66" t="s">
        <v>65</v>
      </c>
      <c r="H1179" s="8"/>
      <c r="I1179" s="8"/>
      <c r="J1179" s="6" t="s">
        <v>76</v>
      </c>
      <c r="K1179" s="38">
        <v>0</v>
      </c>
      <c r="L1179" s="4" t="s">
        <v>29</v>
      </c>
      <c r="M1179" s="11">
        <f>_xlfn.NUMBERVALUE(LEFT(Table613612[[#This Row],[Fiscal Year]], 4))</f>
        <v>2015</v>
      </c>
      <c r="N1179" s="43">
        <f t="shared" si="25"/>
        <v>0</v>
      </c>
      <c r="O1179" s="3">
        <v>1177</v>
      </c>
    </row>
    <row r="1180" spans="1:15" x14ac:dyDescent="0.25">
      <c r="A1180" s="3">
        <v>4</v>
      </c>
      <c r="B1180" s="3" t="s">
        <v>200</v>
      </c>
      <c r="C1180" s="1" t="s">
        <v>12</v>
      </c>
      <c r="D1180" s="1" t="s">
        <v>444</v>
      </c>
      <c r="E1180" s="11" t="s">
        <v>144</v>
      </c>
      <c r="F1180" s="3" t="s">
        <v>8</v>
      </c>
      <c r="G1180" s="48" t="s">
        <v>66</v>
      </c>
      <c r="H1180" s="8"/>
      <c r="I1180" s="8"/>
      <c r="J1180" s="6" t="s">
        <v>76</v>
      </c>
      <c r="K1180" s="38">
        <v>0</v>
      </c>
      <c r="L1180" s="4" t="s">
        <v>29</v>
      </c>
      <c r="M1180" s="11">
        <f>_xlfn.NUMBERVALUE(LEFT(Table613612[[#This Row],[Fiscal Year]], 4))</f>
        <v>2015</v>
      </c>
      <c r="N1180" s="43">
        <f t="shared" si="25"/>
        <v>0</v>
      </c>
      <c r="O1180" s="3">
        <v>1178</v>
      </c>
    </row>
    <row r="1181" spans="1:15" x14ac:dyDescent="0.25">
      <c r="A1181" s="3">
        <v>4</v>
      </c>
      <c r="B1181" s="3" t="s">
        <v>200</v>
      </c>
      <c r="C1181" s="1" t="s">
        <v>12</v>
      </c>
      <c r="D1181" s="1" t="s">
        <v>444</v>
      </c>
      <c r="E1181" s="11" t="s">
        <v>144</v>
      </c>
      <c r="F1181" s="3" t="s">
        <v>8</v>
      </c>
      <c r="G1181" s="66" t="s">
        <v>33</v>
      </c>
      <c r="H1181" s="8"/>
      <c r="I1181" s="8"/>
      <c r="J1181" s="6" t="s">
        <v>47</v>
      </c>
      <c r="K1181" s="38">
        <v>40000</v>
      </c>
      <c r="L1181" s="4" t="s">
        <v>29</v>
      </c>
      <c r="M1181" s="11">
        <f>_xlfn.NUMBERVALUE(LEFT(Table613612[[#This Row],[Fiscal Year]], 4))</f>
        <v>2015</v>
      </c>
      <c r="N1181" s="42">
        <f t="shared" si="25"/>
        <v>42469.367088607592</v>
      </c>
      <c r="O1181" s="3">
        <v>1179</v>
      </c>
    </row>
    <row r="1182" spans="1:15" x14ac:dyDescent="0.25">
      <c r="A1182" s="3">
        <v>4</v>
      </c>
      <c r="B1182" s="3" t="s">
        <v>200</v>
      </c>
      <c r="C1182" s="1" t="s">
        <v>12</v>
      </c>
      <c r="D1182" s="1" t="s">
        <v>444</v>
      </c>
      <c r="E1182" s="11" t="s">
        <v>144</v>
      </c>
      <c r="F1182" s="3" t="s">
        <v>8</v>
      </c>
      <c r="G1182" s="66" t="s">
        <v>67</v>
      </c>
      <c r="H1182" s="8" t="s">
        <v>944</v>
      </c>
      <c r="I1182" s="8" t="s">
        <v>429</v>
      </c>
      <c r="J1182" s="6" t="s">
        <v>455</v>
      </c>
      <c r="K1182" s="38">
        <v>80000</v>
      </c>
      <c r="L1182" s="4" t="s">
        <v>29</v>
      </c>
      <c r="M1182" s="11">
        <f>_xlfn.NUMBERVALUE(LEFT(Table613612[[#This Row],[Fiscal Year]], 4))</f>
        <v>2015</v>
      </c>
      <c r="N1182" s="42">
        <f t="shared" si="25"/>
        <v>84938.734177215185</v>
      </c>
      <c r="O1182" s="3">
        <v>1180</v>
      </c>
    </row>
    <row r="1183" spans="1:15" x14ac:dyDescent="0.25">
      <c r="C1183" s="1"/>
      <c r="D1183" s="1"/>
      <c r="E1183" s="11"/>
      <c r="G1183" s="66"/>
      <c r="H1183" s="8"/>
      <c r="I1183" s="8"/>
      <c r="J1183" s="6"/>
      <c r="L1183" s="4"/>
      <c r="O1183" s="3">
        <v>1181</v>
      </c>
    </row>
    <row r="1184" spans="1:15" x14ac:dyDescent="0.25">
      <c r="A1184" s="3">
        <v>4</v>
      </c>
      <c r="B1184" s="3" t="s">
        <v>201</v>
      </c>
      <c r="C1184" s="1" t="s">
        <v>12</v>
      </c>
      <c r="D1184" s="1" t="s">
        <v>444</v>
      </c>
      <c r="E1184" s="11" t="s">
        <v>144</v>
      </c>
      <c r="F1184" s="3" t="s">
        <v>8</v>
      </c>
      <c r="G1184" s="48" t="s">
        <v>32</v>
      </c>
      <c r="H1184" s="8"/>
      <c r="I1184" s="8"/>
      <c r="J1184" s="6" t="s">
        <v>110</v>
      </c>
      <c r="K1184" s="38">
        <v>146623</v>
      </c>
      <c r="L1184" s="4" t="s">
        <v>29</v>
      </c>
      <c r="M1184" s="11">
        <f>_xlfn.NUMBERVALUE(LEFT(Table613612[[#This Row],[Fiscal Year]], 4))</f>
        <v>2015</v>
      </c>
      <c r="N1184" s="42">
        <f t="shared" si="25"/>
        <v>155674.65026582277</v>
      </c>
      <c r="O1184" s="3">
        <v>1182</v>
      </c>
    </row>
    <row r="1185" spans="1:15" x14ac:dyDescent="0.25">
      <c r="A1185" s="3">
        <v>4</v>
      </c>
      <c r="B1185" s="3" t="s">
        <v>201</v>
      </c>
      <c r="C1185" s="1" t="s">
        <v>12</v>
      </c>
      <c r="D1185" s="1" t="s">
        <v>444</v>
      </c>
      <c r="E1185" s="11" t="s">
        <v>144</v>
      </c>
      <c r="F1185" s="3" t="s">
        <v>8</v>
      </c>
      <c r="G1185" s="66" t="s">
        <v>58</v>
      </c>
      <c r="H1185" s="8"/>
      <c r="I1185" s="8"/>
      <c r="J1185" s="6" t="s">
        <v>453</v>
      </c>
      <c r="K1185" s="38">
        <v>22986</v>
      </c>
      <c r="L1185" s="4" t="s">
        <v>29</v>
      </c>
      <c r="M1185" s="11">
        <f>_xlfn.NUMBERVALUE(LEFT(Table613612[[#This Row],[Fiscal Year]], 4))</f>
        <v>2015</v>
      </c>
      <c r="N1185" s="42">
        <f t="shared" si="25"/>
        <v>24405.021797468355</v>
      </c>
      <c r="O1185" s="3">
        <v>1183</v>
      </c>
    </row>
    <row r="1186" spans="1:15" x14ac:dyDescent="0.25">
      <c r="A1186" s="3">
        <v>4</v>
      </c>
      <c r="B1186" s="3" t="s">
        <v>201</v>
      </c>
      <c r="C1186" s="1" t="s">
        <v>12</v>
      </c>
      <c r="D1186" s="1" t="s">
        <v>444</v>
      </c>
      <c r="E1186" s="11" t="s">
        <v>144</v>
      </c>
      <c r="F1186" s="3" t="s">
        <v>8</v>
      </c>
      <c r="G1186" s="66" t="s">
        <v>208</v>
      </c>
      <c r="H1186" s="8"/>
      <c r="I1186" s="8"/>
      <c r="J1186" s="6" t="s">
        <v>109</v>
      </c>
      <c r="K1186" s="38">
        <v>17507</v>
      </c>
      <c r="L1186" s="4" t="s">
        <v>29</v>
      </c>
      <c r="M1186" s="11">
        <f>_xlfn.NUMBERVALUE(LEFT(Table613612[[#This Row],[Fiscal Year]], 4))</f>
        <v>2015</v>
      </c>
      <c r="N1186" s="42">
        <f t="shared" si="25"/>
        <v>18587.780240506327</v>
      </c>
      <c r="O1186" s="3">
        <v>1184</v>
      </c>
    </row>
    <row r="1187" spans="1:15" x14ac:dyDescent="0.25">
      <c r="A1187" s="3">
        <v>4</v>
      </c>
      <c r="B1187" s="3" t="s">
        <v>201</v>
      </c>
      <c r="C1187" s="1" t="s">
        <v>12</v>
      </c>
      <c r="D1187" s="1" t="s">
        <v>444</v>
      </c>
      <c r="E1187" s="11" t="s">
        <v>144</v>
      </c>
      <c r="F1187" s="3" t="s">
        <v>8</v>
      </c>
      <c r="G1187" s="48" t="s">
        <v>59</v>
      </c>
      <c r="H1187" s="8"/>
      <c r="I1187" s="8"/>
      <c r="J1187" s="6" t="s">
        <v>111</v>
      </c>
      <c r="K1187" s="38">
        <v>50701</v>
      </c>
      <c r="L1187" s="4" t="s">
        <v>29</v>
      </c>
      <c r="M1187" s="11">
        <f>_xlfn.NUMBERVALUE(LEFT(Table613612[[#This Row],[Fiscal Year]], 4))</f>
        <v>2015</v>
      </c>
      <c r="N1187" s="42">
        <f t="shared" si="25"/>
        <v>53830.984518987338</v>
      </c>
      <c r="O1187" s="3">
        <v>1185</v>
      </c>
    </row>
    <row r="1188" spans="1:15" x14ac:dyDescent="0.25">
      <c r="A1188" s="3">
        <v>4</v>
      </c>
      <c r="B1188" s="3" t="s">
        <v>201</v>
      </c>
      <c r="C1188" s="1" t="s">
        <v>12</v>
      </c>
      <c r="D1188" s="1" t="s">
        <v>444</v>
      </c>
      <c r="E1188" s="11" t="s">
        <v>144</v>
      </c>
      <c r="F1188" s="3" t="s">
        <v>8</v>
      </c>
      <c r="G1188" s="66" t="s">
        <v>60</v>
      </c>
      <c r="H1188" s="8"/>
      <c r="I1188" s="8"/>
      <c r="J1188" s="6" t="s">
        <v>111</v>
      </c>
      <c r="K1188" s="38">
        <v>11588</v>
      </c>
      <c r="L1188" s="4" t="s">
        <v>29</v>
      </c>
      <c r="M1188" s="11">
        <f>_xlfn.NUMBERVALUE(LEFT(Table613612[[#This Row],[Fiscal Year]], 4))</f>
        <v>2015</v>
      </c>
      <c r="N1188" s="42">
        <f t="shared" si="25"/>
        <v>12303.37564556962</v>
      </c>
      <c r="O1188" s="3">
        <v>1186</v>
      </c>
    </row>
    <row r="1189" spans="1:15" x14ac:dyDescent="0.25">
      <c r="A1189" s="3">
        <v>4</v>
      </c>
      <c r="B1189" s="3" t="s">
        <v>201</v>
      </c>
      <c r="C1189" s="1" t="s">
        <v>12</v>
      </c>
      <c r="D1189" s="1" t="s">
        <v>444</v>
      </c>
      <c r="E1189" s="11" t="s">
        <v>144</v>
      </c>
      <c r="F1189" s="3" t="s">
        <v>8</v>
      </c>
      <c r="G1189" s="48" t="s">
        <v>61</v>
      </c>
      <c r="H1189" s="8"/>
      <c r="I1189" s="8"/>
      <c r="J1189" s="6" t="s">
        <v>108</v>
      </c>
      <c r="K1189" s="38">
        <v>200164</v>
      </c>
      <c r="L1189" s="4" t="s">
        <v>29</v>
      </c>
      <c r="M1189" s="11">
        <f>_xlfn.NUMBERVALUE(LEFT(Table613612[[#This Row],[Fiscal Year]], 4))</f>
        <v>2015</v>
      </c>
      <c r="N1189" s="42">
        <f t="shared" si="25"/>
        <v>212520.95984810125</v>
      </c>
      <c r="O1189" s="3">
        <v>1187</v>
      </c>
    </row>
    <row r="1190" spans="1:15" x14ac:dyDescent="0.25">
      <c r="A1190" s="3">
        <v>4</v>
      </c>
      <c r="B1190" s="3" t="s">
        <v>201</v>
      </c>
      <c r="C1190" s="1" t="s">
        <v>12</v>
      </c>
      <c r="D1190" s="1" t="s">
        <v>444</v>
      </c>
      <c r="E1190" s="11" t="s">
        <v>144</v>
      </c>
      <c r="F1190" s="3" t="s">
        <v>8</v>
      </c>
      <c r="G1190" s="66" t="s">
        <v>62</v>
      </c>
      <c r="H1190" s="8"/>
      <c r="I1190" s="8"/>
      <c r="J1190" s="6" t="s">
        <v>106</v>
      </c>
      <c r="K1190" s="38">
        <v>30000</v>
      </c>
      <c r="L1190" s="4" t="s">
        <v>29</v>
      </c>
      <c r="M1190" s="11">
        <f>_xlfn.NUMBERVALUE(LEFT(Table613612[[#This Row],[Fiscal Year]], 4))</f>
        <v>2015</v>
      </c>
      <c r="N1190" s="42">
        <f t="shared" si="25"/>
        <v>31852.025316455696</v>
      </c>
      <c r="O1190" s="3">
        <v>1188</v>
      </c>
    </row>
    <row r="1191" spans="1:15" x14ac:dyDescent="0.25">
      <c r="A1191" s="3">
        <v>4</v>
      </c>
      <c r="B1191" s="3" t="s">
        <v>201</v>
      </c>
      <c r="C1191" s="1" t="s">
        <v>12</v>
      </c>
      <c r="D1191" s="1" t="s">
        <v>444</v>
      </c>
      <c r="E1191" s="11" t="s">
        <v>144</v>
      </c>
      <c r="F1191" s="3" t="s">
        <v>8</v>
      </c>
      <c r="G1191" s="66" t="s">
        <v>211</v>
      </c>
      <c r="H1191" s="8"/>
      <c r="I1191" s="8"/>
      <c r="J1191" s="6" t="s">
        <v>455</v>
      </c>
      <c r="K1191" s="38">
        <v>151309</v>
      </c>
      <c r="L1191" s="4" t="s">
        <v>29</v>
      </c>
      <c r="M1191" s="11">
        <f>_xlfn.NUMBERVALUE(LEFT(Table613612[[#This Row],[Fiscal Year]], 4))</f>
        <v>2015</v>
      </c>
      <c r="N1191" s="42">
        <f t="shared" si="25"/>
        <v>160649.93662025317</v>
      </c>
      <c r="O1191" s="3">
        <v>1189</v>
      </c>
    </row>
    <row r="1192" spans="1:15" x14ac:dyDescent="0.25">
      <c r="A1192" s="3">
        <v>4</v>
      </c>
      <c r="B1192" s="3" t="s">
        <v>201</v>
      </c>
      <c r="C1192" s="1" t="s">
        <v>12</v>
      </c>
      <c r="D1192" s="1" t="s">
        <v>444</v>
      </c>
      <c r="E1192" s="11" t="s">
        <v>144</v>
      </c>
      <c r="F1192" s="3" t="s">
        <v>8</v>
      </c>
      <c r="G1192" s="66" t="s">
        <v>64</v>
      </c>
      <c r="H1192" s="8"/>
      <c r="I1192" s="8"/>
      <c r="J1192" s="6" t="s">
        <v>76</v>
      </c>
      <c r="K1192" s="38">
        <v>0</v>
      </c>
      <c r="L1192" s="4" t="s">
        <v>29</v>
      </c>
      <c r="M1192" s="11">
        <f>_xlfn.NUMBERVALUE(LEFT(Table613612[[#This Row],[Fiscal Year]], 4))</f>
        <v>2015</v>
      </c>
      <c r="N1192" s="43">
        <f t="shared" si="25"/>
        <v>0</v>
      </c>
      <c r="O1192" s="3">
        <v>1190</v>
      </c>
    </row>
    <row r="1193" spans="1:15" x14ac:dyDescent="0.25">
      <c r="A1193" s="3">
        <v>4</v>
      </c>
      <c r="B1193" s="3" t="s">
        <v>201</v>
      </c>
      <c r="C1193" s="1" t="s">
        <v>12</v>
      </c>
      <c r="D1193" s="1" t="s">
        <v>444</v>
      </c>
      <c r="E1193" s="11" t="s">
        <v>144</v>
      </c>
      <c r="F1193" s="3" t="s">
        <v>8</v>
      </c>
      <c r="G1193" s="66" t="s">
        <v>65</v>
      </c>
      <c r="H1193" s="8"/>
      <c r="I1193" s="8"/>
      <c r="J1193" s="6" t="s">
        <v>76</v>
      </c>
      <c r="K1193" s="38">
        <v>0</v>
      </c>
      <c r="L1193" s="4" t="s">
        <v>29</v>
      </c>
      <c r="M1193" s="11">
        <f>_xlfn.NUMBERVALUE(LEFT(Table613612[[#This Row],[Fiscal Year]], 4))</f>
        <v>2015</v>
      </c>
      <c r="N1193" s="43">
        <f t="shared" si="25"/>
        <v>0</v>
      </c>
      <c r="O1193" s="3">
        <v>1191</v>
      </c>
    </row>
    <row r="1194" spans="1:15" x14ac:dyDescent="0.25">
      <c r="A1194" s="3">
        <v>4</v>
      </c>
      <c r="B1194" s="3" t="s">
        <v>201</v>
      </c>
      <c r="C1194" s="1" t="s">
        <v>12</v>
      </c>
      <c r="D1194" s="1" t="s">
        <v>444</v>
      </c>
      <c r="E1194" s="11" t="s">
        <v>144</v>
      </c>
      <c r="F1194" s="3" t="s">
        <v>8</v>
      </c>
      <c r="G1194" s="48" t="s">
        <v>66</v>
      </c>
      <c r="H1194" s="8"/>
      <c r="I1194" s="8"/>
      <c r="J1194" s="6" t="s">
        <v>76</v>
      </c>
      <c r="K1194" s="38">
        <v>0</v>
      </c>
      <c r="L1194" s="4" t="s">
        <v>29</v>
      </c>
      <c r="M1194" s="11">
        <f>_xlfn.NUMBERVALUE(LEFT(Table613612[[#This Row],[Fiscal Year]], 4))</f>
        <v>2015</v>
      </c>
      <c r="N1194" s="43">
        <f t="shared" si="25"/>
        <v>0</v>
      </c>
      <c r="O1194" s="3">
        <v>1192</v>
      </c>
    </row>
    <row r="1195" spans="1:15" x14ac:dyDescent="0.25">
      <c r="A1195" s="3">
        <v>4</v>
      </c>
      <c r="B1195" s="3" t="s">
        <v>201</v>
      </c>
      <c r="C1195" s="1" t="s">
        <v>12</v>
      </c>
      <c r="D1195" s="1" t="s">
        <v>444</v>
      </c>
      <c r="E1195" s="11" t="s">
        <v>144</v>
      </c>
      <c r="F1195" s="3" t="s">
        <v>8</v>
      </c>
      <c r="G1195" s="66" t="s">
        <v>33</v>
      </c>
      <c r="H1195" s="8"/>
      <c r="I1195" s="8"/>
      <c r="J1195" s="6" t="s">
        <v>47</v>
      </c>
      <c r="K1195" s="38">
        <v>67666</v>
      </c>
      <c r="L1195" s="4" t="s">
        <v>29</v>
      </c>
      <c r="M1195" s="11">
        <f>_xlfn.NUMBERVALUE(LEFT(Table613612[[#This Row],[Fiscal Year]], 4))</f>
        <v>2015</v>
      </c>
      <c r="N1195" s="42">
        <f t="shared" si="25"/>
        <v>71843.304835443036</v>
      </c>
      <c r="O1195" s="3">
        <v>1193</v>
      </c>
    </row>
    <row r="1196" spans="1:15" x14ac:dyDescent="0.25">
      <c r="A1196" s="3">
        <v>4</v>
      </c>
      <c r="B1196" s="3" t="s">
        <v>201</v>
      </c>
      <c r="C1196" s="1" t="s">
        <v>12</v>
      </c>
      <c r="D1196" s="1" t="s">
        <v>444</v>
      </c>
      <c r="E1196" s="11" t="s">
        <v>144</v>
      </c>
      <c r="F1196" s="3" t="s">
        <v>8</v>
      </c>
      <c r="G1196" s="66" t="s">
        <v>67</v>
      </c>
      <c r="H1196" s="8" t="s">
        <v>946</v>
      </c>
      <c r="I1196" s="8" t="s">
        <v>429</v>
      </c>
      <c r="J1196" s="6" t="s">
        <v>455</v>
      </c>
      <c r="K1196" s="38">
        <v>42587</v>
      </c>
      <c r="L1196" s="4" t="s">
        <v>29</v>
      </c>
      <c r="M1196" s="11">
        <f>_xlfn.NUMBERVALUE(LEFT(Table613612[[#This Row],[Fiscal Year]], 4))</f>
        <v>2015</v>
      </c>
      <c r="N1196" s="42">
        <f t="shared" si="25"/>
        <v>45216.073405063289</v>
      </c>
      <c r="O1196" s="3">
        <v>1194</v>
      </c>
    </row>
    <row r="1197" spans="1:15" x14ac:dyDescent="0.25">
      <c r="C1197" s="1"/>
      <c r="D1197" s="1"/>
      <c r="E1197" s="11"/>
      <c r="G1197" s="66"/>
      <c r="H1197" s="8"/>
      <c r="I1197" s="8"/>
      <c r="J1197" s="6"/>
      <c r="L1197" s="4"/>
      <c r="O1197" s="3">
        <v>1195</v>
      </c>
    </row>
    <row r="1198" spans="1:15" x14ac:dyDescent="0.25">
      <c r="A1198" s="3">
        <v>4</v>
      </c>
      <c r="B1198" s="3" t="s">
        <v>202</v>
      </c>
      <c r="C1198" s="1" t="s">
        <v>12</v>
      </c>
      <c r="D1198" s="1" t="s">
        <v>444</v>
      </c>
      <c r="E1198" s="11" t="s">
        <v>144</v>
      </c>
      <c r="F1198" s="3" t="s">
        <v>8</v>
      </c>
      <c r="G1198" s="48" t="s">
        <v>32</v>
      </c>
      <c r="H1198" s="8"/>
      <c r="I1198" s="8"/>
      <c r="J1198" s="6" t="s">
        <v>110</v>
      </c>
      <c r="K1198" s="38">
        <v>100000</v>
      </c>
      <c r="L1198" s="4" t="s">
        <v>29</v>
      </c>
      <c r="M1198" s="11">
        <f>_xlfn.NUMBERVALUE(LEFT(Table613612[[#This Row],[Fiscal Year]], 4))</f>
        <v>2015</v>
      </c>
      <c r="N1198" s="42">
        <f t="shared" si="25"/>
        <v>106173.41772151898</v>
      </c>
      <c r="O1198" s="3">
        <v>1196</v>
      </c>
    </row>
    <row r="1199" spans="1:15" x14ac:dyDescent="0.25">
      <c r="A1199" s="3">
        <v>4</v>
      </c>
      <c r="B1199" s="3" t="s">
        <v>202</v>
      </c>
      <c r="C1199" s="1" t="s">
        <v>12</v>
      </c>
      <c r="D1199" s="1" t="s">
        <v>444</v>
      </c>
      <c r="E1199" s="11" t="s">
        <v>144</v>
      </c>
      <c r="F1199" s="3" t="s">
        <v>8</v>
      </c>
      <c r="G1199" s="66" t="s">
        <v>58</v>
      </c>
      <c r="H1199" s="8"/>
      <c r="I1199" s="8"/>
      <c r="J1199" s="6" t="s">
        <v>453</v>
      </c>
      <c r="K1199" s="38">
        <v>1000</v>
      </c>
      <c r="L1199" s="4" t="s">
        <v>29</v>
      </c>
      <c r="M1199" s="11">
        <f>_xlfn.NUMBERVALUE(LEFT(Table613612[[#This Row],[Fiscal Year]], 4))</f>
        <v>2015</v>
      </c>
      <c r="N1199" s="42">
        <f t="shared" si="25"/>
        <v>1061.7341772151899</v>
      </c>
      <c r="O1199" s="3">
        <v>1197</v>
      </c>
    </row>
    <row r="1200" spans="1:15" x14ac:dyDescent="0.25">
      <c r="A1200" s="3">
        <v>4</v>
      </c>
      <c r="B1200" s="3" t="s">
        <v>202</v>
      </c>
      <c r="C1200" s="1" t="s">
        <v>12</v>
      </c>
      <c r="D1200" s="1" t="s">
        <v>444</v>
      </c>
      <c r="E1200" s="11" t="s">
        <v>144</v>
      </c>
      <c r="F1200" s="3" t="s">
        <v>8</v>
      </c>
      <c r="G1200" s="66" t="s">
        <v>208</v>
      </c>
      <c r="H1200" s="8"/>
      <c r="I1200" s="8"/>
      <c r="J1200" s="6" t="s">
        <v>109</v>
      </c>
      <c r="K1200" s="38">
        <v>25000</v>
      </c>
      <c r="L1200" s="4" t="s">
        <v>29</v>
      </c>
      <c r="M1200" s="11">
        <f>_xlfn.NUMBERVALUE(LEFT(Table613612[[#This Row],[Fiscal Year]], 4))</f>
        <v>2015</v>
      </c>
      <c r="N1200" s="42">
        <f t="shared" si="25"/>
        <v>26543.354430379746</v>
      </c>
      <c r="O1200" s="3">
        <v>1198</v>
      </c>
    </row>
    <row r="1201" spans="1:15" x14ac:dyDescent="0.25">
      <c r="A1201" s="3">
        <v>4</v>
      </c>
      <c r="B1201" s="3" t="s">
        <v>202</v>
      </c>
      <c r="C1201" s="1" t="s">
        <v>12</v>
      </c>
      <c r="D1201" s="1" t="s">
        <v>444</v>
      </c>
      <c r="E1201" s="11" t="s">
        <v>144</v>
      </c>
      <c r="F1201" s="3" t="s">
        <v>8</v>
      </c>
      <c r="G1201" s="48" t="s">
        <v>59</v>
      </c>
      <c r="H1201" s="8"/>
      <c r="I1201" s="8"/>
      <c r="J1201" s="6" t="s">
        <v>111</v>
      </c>
      <c r="K1201" s="38">
        <v>20000</v>
      </c>
      <c r="L1201" s="4" t="s">
        <v>29</v>
      </c>
      <c r="M1201" s="11">
        <f>_xlfn.NUMBERVALUE(LEFT(Table613612[[#This Row],[Fiscal Year]], 4))</f>
        <v>2015</v>
      </c>
      <c r="N1201" s="42">
        <f t="shared" si="25"/>
        <v>21234.683544303796</v>
      </c>
      <c r="O1201" s="3">
        <v>1199</v>
      </c>
    </row>
    <row r="1202" spans="1:15" x14ac:dyDescent="0.25">
      <c r="A1202" s="3">
        <v>4</v>
      </c>
      <c r="B1202" s="3" t="s">
        <v>202</v>
      </c>
      <c r="C1202" s="1" t="s">
        <v>12</v>
      </c>
      <c r="D1202" s="1" t="s">
        <v>444</v>
      </c>
      <c r="E1202" s="11" t="s">
        <v>144</v>
      </c>
      <c r="F1202" s="3" t="s">
        <v>8</v>
      </c>
      <c r="G1202" s="66" t="s">
        <v>60</v>
      </c>
      <c r="H1202" s="8"/>
      <c r="I1202" s="8"/>
      <c r="J1202" s="6" t="s">
        <v>111</v>
      </c>
      <c r="K1202" s="38">
        <v>30000</v>
      </c>
      <c r="L1202" s="4" t="s">
        <v>29</v>
      </c>
      <c r="M1202" s="11">
        <f>_xlfn.NUMBERVALUE(LEFT(Table613612[[#This Row],[Fiscal Year]], 4))</f>
        <v>2015</v>
      </c>
      <c r="N1202" s="42">
        <f t="shared" si="25"/>
        <v>31852.025316455696</v>
      </c>
      <c r="O1202" s="3">
        <v>1200</v>
      </c>
    </row>
    <row r="1203" spans="1:15" x14ac:dyDescent="0.25">
      <c r="A1203" s="3">
        <v>4</v>
      </c>
      <c r="B1203" s="3" t="s">
        <v>202</v>
      </c>
      <c r="C1203" s="1" t="s">
        <v>12</v>
      </c>
      <c r="D1203" s="1" t="s">
        <v>444</v>
      </c>
      <c r="E1203" s="11" t="s">
        <v>144</v>
      </c>
      <c r="F1203" s="3" t="s">
        <v>8</v>
      </c>
      <c r="G1203" s="48" t="s">
        <v>61</v>
      </c>
      <c r="H1203" s="8" t="s">
        <v>947</v>
      </c>
      <c r="I1203" s="8" t="s">
        <v>429</v>
      </c>
      <c r="J1203" s="6" t="s">
        <v>108</v>
      </c>
      <c r="K1203" s="38">
        <v>26500</v>
      </c>
      <c r="L1203" s="4" t="s">
        <v>29</v>
      </c>
      <c r="M1203" s="11">
        <f>_xlfn.NUMBERVALUE(LEFT(Table613612[[#This Row],[Fiscal Year]], 4))</f>
        <v>2015</v>
      </c>
      <c r="N1203" s="42">
        <f t="shared" si="25"/>
        <v>28135.955696202531</v>
      </c>
      <c r="O1203" s="3">
        <v>1201</v>
      </c>
    </row>
    <row r="1204" spans="1:15" x14ac:dyDescent="0.25">
      <c r="A1204" s="3">
        <v>4</v>
      </c>
      <c r="B1204" s="3" t="s">
        <v>202</v>
      </c>
      <c r="C1204" s="1" t="s">
        <v>12</v>
      </c>
      <c r="D1204" s="1" t="s">
        <v>444</v>
      </c>
      <c r="E1204" s="11" t="s">
        <v>144</v>
      </c>
      <c r="F1204" s="3" t="s">
        <v>8</v>
      </c>
      <c r="G1204" s="66" t="s">
        <v>62</v>
      </c>
      <c r="H1204" s="8"/>
      <c r="I1204" s="8"/>
      <c r="J1204" s="6" t="s">
        <v>106</v>
      </c>
      <c r="K1204" s="38">
        <v>50000</v>
      </c>
      <c r="L1204" s="4" t="s">
        <v>29</v>
      </c>
      <c r="M1204" s="11">
        <f>_xlfn.NUMBERVALUE(LEFT(Table613612[[#This Row],[Fiscal Year]], 4))</f>
        <v>2015</v>
      </c>
      <c r="N1204" s="42">
        <f t="shared" si="25"/>
        <v>53086.708860759492</v>
      </c>
      <c r="O1204" s="3">
        <v>1202</v>
      </c>
    </row>
    <row r="1205" spans="1:15" x14ac:dyDescent="0.25">
      <c r="A1205" s="3">
        <v>4</v>
      </c>
      <c r="B1205" s="3" t="s">
        <v>202</v>
      </c>
      <c r="C1205" s="1" t="s">
        <v>12</v>
      </c>
      <c r="D1205" s="1" t="s">
        <v>444</v>
      </c>
      <c r="E1205" s="11" t="s">
        <v>144</v>
      </c>
      <c r="F1205" s="3" t="s">
        <v>8</v>
      </c>
      <c r="G1205" s="66" t="s">
        <v>211</v>
      </c>
      <c r="H1205" s="8"/>
      <c r="I1205" s="8"/>
      <c r="J1205" s="6" t="s">
        <v>455</v>
      </c>
      <c r="K1205" s="38">
        <v>0</v>
      </c>
      <c r="L1205" s="4" t="s">
        <v>29</v>
      </c>
      <c r="M1205" s="11">
        <f>_xlfn.NUMBERVALUE(LEFT(Table613612[[#This Row],[Fiscal Year]], 4))</f>
        <v>2015</v>
      </c>
      <c r="N1205" s="43">
        <f t="shared" si="25"/>
        <v>0</v>
      </c>
      <c r="O1205" s="3">
        <v>1203</v>
      </c>
    </row>
    <row r="1206" spans="1:15" x14ac:dyDescent="0.25">
      <c r="A1206" s="3">
        <v>4</v>
      </c>
      <c r="B1206" s="3" t="s">
        <v>202</v>
      </c>
      <c r="C1206" s="1" t="s">
        <v>12</v>
      </c>
      <c r="D1206" s="1" t="s">
        <v>444</v>
      </c>
      <c r="E1206" s="11" t="s">
        <v>144</v>
      </c>
      <c r="F1206" s="3" t="s">
        <v>8</v>
      </c>
      <c r="G1206" s="66" t="s">
        <v>64</v>
      </c>
      <c r="H1206" s="8"/>
      <c r="I1206" s="8"/>
      <c r="J1206" s="6" t="s">
        <v>76</v>
      </c>
      <c r="K1206" s="38">
        <v>12000</v>
      </c>
      <c r="L1206" s="4" t="s">
        <v>29</v>
      </c>
      <c r="M1206" s="11">
        <f>_xlfn.NUMBERVALUE(LEFT(Table613612[[#This Row],[Fiscal Year]], 4))</f>
        <v>2015</v>
      </c>
      <c r="N1206" s="42">
        <f>K1206*(1+VLOOKUP(M1206,$AF$8:$AH$31,3,0))</f>
        <v>12740.810126582277</v>
      </c>
      <c r="O1206" s="3">
        <v>1204</v>
      </c>
    </row>
    <row r="1207" spans="1:15" x14ac:dyDescent="0.25">
      <c r="A1207" s="3">
        <v>4</v>
      </c>
      <c r="B1207" s="3" t="s">
        <v>202</v>
      </c>
      <c r="C1207" s="1" t="s">
        <v>12</v>
      </c>
      <c r="D1207" s="1" t="s">
        <v>444</v>
      </c>
      <c r="E1207" s="11" t="s">
        <v>144</v>
      </c>
      <c r="F1207" s="3" t="s">
        <v>8</v>
      </c>
      <c r="G1207" s="66" t="s">
        <v>65</v>
      </c>
      <c r="H1207" s="8"/>
      <c r="I1207" s="8"/>
      <c r="J1207" s="6" t="s">
        <v>76</v>
      </c>
      <c r="K1207" s="38">
        <v>0</v>
      </c>
      <c r="L1207" s="4" t="s">
        <v>29</v>
      </c>
      <c r="M1207" s="11">
        <f>_xlfn.NUMBERVALUE(LEFT(Table613612[[#This Row],[Fiscal Year]], 4))</f>
        <v>2015</v>
      </c>
      <c r="N1207" s="43">
        <f t="shared" si="25"/>
        <v>0</v>
      </c>
      <c r="O1207" s="3">
        <v>1205</v>
      </c>
    </row>
    <row r="1208" spans="1:15" x14ac:dyDescent="0.25">
      <c r="A1208" s="3">
        <v>4</v>
      </c>
      <c r="B1208" s="3" t="s">
        <v>202</v>
      </c>
      <c r="C1208" s="1" t="s">
        <v>12</v>
      </c>
      <c r="D1208" s="1" t="s">
        <v>444</v>
      </c>
      <c r="E1208" s="11" t="s">
        <v>144</v>
      </c>
      <c r="F1208" s="3" t="s">
        <v>8</v>
      </c>
      <c r="G1208" s="48" t="s">
        <v>66</v>
      </c>
      <c r="H1208" s="8"/>
      <c r="I1208" s="8"/>
      <c r="J1208" s="6" t="s">
        <v>76</v>
      </c>
      <c r="K1208" s="38">
        <v>0</v>
      </c>
      <c r="L1208" s="4" t="s">
        <v>29</v>
      </c>
      <c r="M1208" s="11">
        <f>_xlfn.NUMBERVALUE(LEFT(Table613612[[#This Row],[Fiscal Year]], 4))</f>
        <v>2015</v>
      </c>
      <c r="N1208" s="43">
        <f t="shared" si="25"/>
        <v>0</v>
      </c>
      <c r="O1208" s="3">
        <v>1206</v>
      </c>
    </row>
    <row r="1209" spans="1:15" x14ac:dyDescent="0.25">
      <c r="A1209" s="3">
        <v>4</v>
      </c>
      <c r="B1209" s="3" t="s">
        <v>202</v>
      </c>
      <c r="C1209" s="1" t="s">
        <v>12</v>
      </c>
      <c r="D1209" s="1" t="s">
        <v>444</v>
      </c>
      <c r="E1209" s="11" t="s">
        <v>144</v>
      </c>
      <c r="F1209" s="3" t="s">
        <v>8</v>
      </c>
      <c r="G1209" s="66" t="s">
        <v>33</v>
      </c>
      <c r="H1209" s="8"/>
      <c r="I1209" s="8"/>
      <c r="J1209" s="6" t="s">
        <v>47</v>
      </c>
      <c r="K1209" s="38">
        <v>5000</v>
      </c>
      <c r="L1209" s="4" t="s">
        <v>29</v>
      </c>
      <c r="M1209" s="11">
        <f>_xlfn.NUMBERVALUE(LEFT(Table613612[[#This Row],[Fiscal Year]], 4))</f>
        <v>2015</v>
      </c>
      <c r="N1209" s="42">
        <f t="shared" si="25"/>
        <v>5308.6708860759491</v>
      </c>
      <c r="O1209" s="3">
        <v>1207</v>
      </c>
    </row>
    <row r="1210" spans="1:15" x14ac:dyDescent="0.25">
      <c r="A1210" s="3">
        <v>4</v>
      </c>
      <c r="B1210" s="3" t="s">
        <v>202</v>
      </c>
      <c r="C1210" s="1" t="s">
        <v>12</v>
      </c>
      <c r="D1210" s="1" t="s">
        <v>444</v>
      </c>
      <c r="E1210" s="11" t="s">
        <v>144</v>
      </c>
      <c r="F1210" s="3" t="s">
        <v>8</v>
      </c>
      <c r="G1210" s="48" t="s">
        <v>67</v>
      </c>
      <c r="H1210" s="8" t="s">
        <v>948</v>
      </c>
      <c r="I1210" s="8" t="s">
        <v>429</v>
      </c>
      <c r="J1210" s="6" t="s">
        <v>455</v>
      </c>
      <c r="K1210" s="38">
        <v>200000</v>
      </c>
      <c r="L1210" s="4" t="s">
        <v>29</v>
      </c>
      <c r="M1210" s="11">
        <f>_xlfn.NUMBERVALUE(LEFT(Table613612[[#This Row],[Fiscal Year]], 4))</f>
        <v>2015</v>
      </c>
      <c r="N1210" s="42">
        <f t="shared" si="25"/>
        <v>212346.83544303797</v>
      </c>
      <c r="O1210" s="3">
        <v>1208</v>
      </c>
    </row>
    <row r="1211" spans="1:15" x14ac:dyDescent="0.25">
      <c r="C1211" s="1"/>
      <c r="D1211" s="1"/>
      <c r="E1211" s="11"/>
      <c r="G1211" s="66"/>
      <c r="H1211" s="8"/>
      <c r="I1211" s="8"/>
      <c r="J1211" s="6"/>
      <c r="L1211" s="4"/>
      <c r="O1211" s="3">
        <v>1209</v>
      </c>
    </row>
    <row r="1212" spans="1:15" x14ac:dyDescent="0.25">
      <c r="A1212" s="3">
        <v>4</v>
      </c>
      <c r="B1212" s="3" t="s">
        <v>203</v>
      </c>
      <c r="C1212" s="1" t="s">
        <v>12</v>
      </c>
      <c r="D1212" s="1" t="s">
        <v>444</v>
      </c>
      <c r="E1212" s="11" t="s">
        <v>144</v>
      </c>
      <c r="F1212" s="3" t="s">
        <v>8</v>
      </c>
      <c r="G1212" s="48" t="s">
        <v>32</v>
      </c>
      <c r="H1212" s="8"/>
      <c r="I1212" s="8"/>
      <c r="J1212" s="6" t="s">
        <v>110</v>
      </c>
      <c r="K1212" s="38">
        <v>197502</v>
      </c>
      <c r="L1212" s="4" t="s">
        <v>29</v>
      </c>
      <c r="M1212" s="11">
        <f>_xlfn.NUMBERVALUE(LEFT(Table613612[[#This Row],[Fiscal Year]], 4))</f>
        <v>2015</v>
      </c>
      <c r="N1212" s="42">
        <f t="shared" si="25"/>
        <v>209694.62346835443</v>
      </c>
      <c r="O1212" s="3">
        <v>1210</v>
      </c>
    </row>
    <row r="1213" spans="1:15" x14ac:dyDescent="0.25">
      <c r="A1213" s="3">
        <v>4</v>
      </c>
      <c r="B1213" s="3" t="s">
        <v>203</v>
      </c>
      <c r="C1213" s="1" t="s">
        <v>12</v>
      </c>
      <c r="D1213" s="1" t="s">
        <v>444</v>
      </c>
      <c r="E1213" s="11" t="s">
        <v>144</v>
      </c>
      <c r="F1213" s="3" t="s">
        <v>8</v>
      </c>
      <c r="G1213" s="66" t="s">
        <v>58</v>
      </c>
      <c r="H1213" s="8"/>
      <c r="I1213" s="8"/>
      <c r="J1213" s="6" t="s">
        <v>453</v>
      </c>
      <c r="K1213" s="38">
        <v>2071</v>
      </c>
      <c r="L1213" s="4" t="s">
        <v>29</v>
      </c>
      <c r="M1213" s="11">
        <f>_xlfn.NUMBERVALUE(LEFT(Table613612[[#This Row],[Fiscal Year]], 4))</f>
        <v>2015</v>
      </c>
      <c r="N1213" s="42">
        <f t="shared" si="25"/>
        <v>2198.851481012658</v>
      </c>
      <c r="O1213" s="3">
        <v>1211</v>
      </c>
    </row>
    <row r="1214" spans="1:15" x14ac:dyDescent="0.25">
      <c r="A1214" s="3">
        <v>4</v>
      </c>
      <c r="B1214" s="3" t="s">
        <v>203</v>
      </c>
      <c r="C1214" s="1" t="s">
        <v>12</v>
      </c>
      <c r="D1214" s="1" t="s">
        <v>444</v>
      </c>
      <c r="E1214" s="11" t="s">
        <v>144</v>
      </c>
      <c r="F1214" s="3" t="s">
        <v>8</v>
      </c>
      <c r="G1214" s="66" t="s">
        <v>208</v>
      </c>
      <c r="H1214" s="8"/>
      <c r="I1214" s="8"/>
      <c r="J1214" s="6" t="s">
        <v>109</v>
      </c>
      <c r="K1214" s="38">
        <v>92952</v>
      </c>
      <c r="L1214" s="4" t="s">
        <v>29</v>
      </c>
      <c r="M1214" s="11">
        <f>_xlfn.NUMBERVALUE(LEFT(Table613612[[#This Row],[Fiscal Year]], 4))</f>
        <v>2015</v>
      </c>
      <c r="N1214" s="42">
        <f t="shared" si="25"/>
        <v>98690.31524050633</v>
      </c>
      <c r="O1214" s="3">
        <v>1212</v>
      </c>
    </row>
    <row r="1215" spans="1:15" x14ac:dyDescent="0.25">
      <c r="A1215" s="3">
        <v>4</v>
      </c>
      <c r="B1215" s="3" t="s">
        <v>203</v>
      </c>
      <c r="C1215" s="1" t="s">
        <v>12</v>
      </c>
      <c r="D1215" s="1" t="s">
        <v>444</v>
      </c>
      <c r="E1215" s="11" t="s">
        <v>144</v>
      </c>
      <c r="F1215" s="3" t="s">
        <v>8</v>
      </c>
      <c r="G1215" s="48" t="s">
        <v>59</v>
      </c>
      <c r="H1215" s="8"/>
      <c r="I1215" s="8"/>
      <c r="J1215" s="6" t="s">
        <v>111</v>
      </c>
      <c r="K1215" s="38">
        <v>48281</v>
      </c>
      <c r="L1215" s="4" t="s">
        <v>29</v>
      </c>
      <c r="M1215" s="11">
        <f>_xlfn.NUMBERVALUE(LEFT(Table613612[[#This Row],[Fiscal Year]], 4))</f>
        <v>2015</v>
      </c>
      <c r="N1215" s="42">
        <f t="shared" si="25"/>
        <v>51261.587810126577</v>
      </c>
      <c r="O1215" s="3">
        <v>1213</v>
      </c>
    </row>
    <row r="1216" spans="1:15" x14ac:dyDescent="0.25">
      <c r="A1216" s="3">
        <v>4</v>
      </c>
      <c r="B1216" s="3" t="s">
        <v>203</v>
      </c>
      <c r="C1216" s="1" t="s">
        <v>12</v>
      </c>
      <c r="D1216" s="1" t="s">
        <v>444</v>
      </c>
      <c r="E1216" s="11" t="s">
        <v>144</v>
      </c>
      <c r="F1216" s="3" t="s">
        <v>8</v>
      </c>
      <c r="G1216" s="66" t="s">
        <v>60</v>
      </c>
      <c r="H1216" s="8"/>
      <c r="I1216" s="8"/>
      <c r="J1216" s="6" t="s">
        <v>111</v>
      </c>
      <c r="K1216" s="38">
        <v>80022</v>
      </c>
      <c r="L1216" s="4" t="s">
        <v>29</v>
      </c>
      <c r="M1216" s="11">
        <f>_xlfn.NUMBERVALUE(LEFT(Table613612[[#This Row],[Fiscal Year]], 4))</f>
        <v>2015</v>
      </c>
      <c r="N1216" s="42">
        <f t="shared" si="25"/>
        <v>84962.092329113919</v>
      </c>
      <c r="O1216" s="3">
        <v>1214</v>
      </c>
    </row>
    <row r="1217" spans="1:15" x14ac:dyDescent="0.25">
      <c r="A1217" s="3">
        <v>4</v>
      </c>
      <c r="B1217" s="3" t="s">
        <v>203</v>
      </c>
      <c r="C1217" s="1" t="s">
        <v>12</v>
      </c>
      <c r="D1217" s="1" t="s">
        <v>444</v>
      </c>
      <c r="E1217" s="11" t="s">
        <v>144</v>
      </c>
      <c r="F1217" s="3" t="s">
        <v>8</v>
      </c>
      <c r="G1217" s="48" t="s">
        <v>61</v>
      </c>
      <c r="H1217" s="8"/>
      <c r="I1217" s="8"/>
      <c r="J1217" s="6" t="s">
        <v>108</v>
      </c>
      <c r="K1217" s="38">
        <v>4443527</v>
      </c>
      <c r="L1217" s="4" t="s">
        <v>29</v>
      </c>
      <c r="M1217" s="11">
        <f>_xlfn.NUMBERVALUE(LEFT(Table613612[[#This Row],[Fiscal Year]], 4))</f>
        <v>2015</v>
      </c>
      <c r="N1217" s="42">
        <f t="shared" si="25"/>
        <v>4717844.4832784804</v>
      </c>
      <c r="O1217" s="3">
        <v>1215</v>
      </c>
    </row>
    <row r="1218" spans="1:15" x14ac:dyDescent="0.25">
      <c r="A1218" s="3">
        <v>4</v>
      </c>
      <c r="B1218" s="3" t="s">
        <v>203</v>
      </c>
      <c r="C1218" s="1" t="s">
        <v>12</v>
      </c>
      <c r="D1218" s="1" t="s">
        <v>444</v>
      </c>
      <c r="E1218" s="11" t="s">
        <v>144</v>
      </c>
      <c r="F1218" s="3" t="s">
        <v>8</v>
      </c>
      <c r="G1218" s="66" t="s">
        <v>62</v>
      </c>
      <c r="H1218" s="8"/>
      <c r="I1218" s="8"/>
      <c r="J1218" s="6" t="s">
        <v>106</v>
      </c>
      <c r="K1218" s="38">
        <v>5864</v>
      </c>
      <c r="L1218" s="4" t="s">
        <v>29</v>
      </c>
      <c r="M1218" s="11">
        <f>_xlfn.NUMBERVALUE(LEFT(Table613612[[#This Row],[Fiscal Year]], 4))</f>
        <v>2015</v>
      </c>
      <c r="N1218" s="42">
        <f t="shared" si="25"/>
        <v>6226.0092151898734</v>
      </c>
      <c r="O1218" s="3">
        <v>1216</v>
      </c>
    </row>
    <row r="1219" spans="1:15" x14ac:dyDescent="0.25">
      <c r="A1219" s="3">
        <v>4</v>
      </c>
      <c r="B1219" s="3" t="s">
        <v>203</v>
      </c>
      <c r="C1219" s="1" t="s">
        <v>12</v>
      </c>
      <c r="D1219" s="1" t="s">
        <v>444</v>
      </c>
      <c r="E1219" s="11" t="s">
        <v>144</v>
      </c>
      <c r="F1219" s="3" t="s">
        <v>8</v>
      </c>
      <c r="G1219" s="66" t="s">
        <v>211</v>
      </c>
      <c r="H1219" s="8"/>
      <c r="I1219" s="8"/>
      <c r="J1219" s="6" t="s">
        <v>455</v>
      </c>
      <c r="K1219" s="38">
        <v>8796</v>
      </c>
      <c r="L1219" s="4" t="s">
        <v>29</v>
      </c>
      <c r="M1219" s="11">
        <f>_xlfn.NUMBERVALUE(LEFT(Table613612[[#This Row],[Fiscal Year]], 4))</f>
        <v>2015</v>
      </c>
      <c r="N1219" s="42">
        <f t="shared" si="25"/>
        <v>9339.0138227848092</v>
      </c>
      <c r="O1219" s="3">
        <v>1217</v>
      </c>
    </row>
    <row r="1220" spans="1:15" x14ac:dyDescent="0.25">
      <c r="A1220" s="3">
        <v>4</v>
      </c>
      <c r="B1220" s="3" t="s">
        <v>203</v>
      </c>
      <c r="C1220" s="1" t="s">
        <v>12</v>
      </c>
      <c r="D1220" s="1" t="s">
        <v>444</v>
      </c>
      <c r="E1220" s="11" t="s">
        <v>144</v>
      </c>
      <c r="F1220" s="3" t="s">
        <v>8</v>
      </c>
      <c r="G1220" s="66" t="s">
        <v>64</v>
      </c>
      <c r="H1220" s="8"/>
      <c r="I1220" s="8"/>
      <c r="J1220" s="6" t="s">
        <v>76</v>
      </c>
      <c r="K1220" s="38">
        <v>0</v>
      </c>
      <c r="L1220" s="4" t="s">
        <v>29</v>
      </c>
      <c r="M1220" s="11">
        <f>_xlfn.NUMBERVALUE(LEFT(Table613612[[#This Row],[Fiscal Year]], 4))</f>
        <v>2015</v>
      </c>
      <c r="N1220" s="43">
        <f t="shared" si="25"/>
        <v>0</v>
      </c>
      <c r="O1220" s="3">
        <v>1218</v>
      </c>
    </row>
    <row r="1221" spans="1:15" x14ac:dyDescent="0.25">
      <c r="A1221" s="3">
        <v>4</v>
      </c>
      <c r="B1221" s="3" t="s">
        <v>203</v>
      </c>
      <c r="C1221" s="1" t="s">
        <v>12</v>
      </c>
      <c r="D1221" s="1" t="s">
        <v>444</v>
      </c>
      <c r="E1221" s="11" t="s">
        <v>144</v>
      </c>
      <c r="F1221" s="3" t="s">
        <v>8</v>
      </c>
      <c r="G1221" s="66" t="s">
        <v>65</v>
      </c>
      <c r="H1221" s="8"/>
      <c r="I1221" s="8"/>
      <c r="J1221" s="6" t="s">
        <v>76</v>
      </c>
      <c r="K1221" s="38">
        <v>0</v>
      </c>
      <c r="L1221" s="4" t="s">
        <v>29</v>
      </c>
      <c r="M1221" s="11">
        <f>_xlfn.NUMBERVALUE(LEFT(Table613612[[#This Row],[Fiscal Year]], 4))</f>
        <v>2015</v>
      </c>
      <c r="N1221" s="43">
        <f t="shared" si="25"/>
        <v>0</v>
      </c>
      <c r="O1221" s="3">
        <v>1219</v>
      </c>
    </row>
    <row r="1222" spans="1:15" x14ac:dyDescent="0.25">
      <c r="A1222" s="3">
        <v>4</v>
      </c>
      <c r="B1222" s="3" t="s">
        <v>203</v>
      </c>
      <c r="C1222" s="1" t="s">
        <v>12</v>
      </c>
      <c r="D1222" s="1" t="s">
        <v>444</v>
      </c>
      <c r="E1222" s="11" t="s">
        <v>144</v>
      </c>
      <c r="F1222" s="3" t="s">
        <v>8</v>
      </c>
      <c r="G1222" s="48" t="s">
        <v>66</v>
      </c>
      <c r="H1222" s="8"/>
      <c r="I1222" s="8"/>
      <c r="J1222" s="6" t="s">
        <v>76</v>
      </c>
      <c r="K1222" s="38">
        <v>0</v>
      </c>
      <c r="L1222" s="4" t="s">
        <v>29</v>
      </c>
      <c r="M1222" s="11">
        <f>_xlfn.NUMBERVALUE(LEFT(Table613612[[#This Row],[Fiscal Year]], 4))</f>
        <v>2015</v>
      </c>
      <c r="N1222" s="43">
        <f t="shared" si="25"/>
        <v>0</v>
      </c>
      <c r="O1222" s="3">
        <v>1220</v>
      </c>
    </row>
    <row r="1223" spans="1:15" x14ac:dyDescent="0.25">
      <c r="A1223" s="3">
        <v>4</v>
      </c>
      <c r="B1223" s="3" t="s">
        <v>203</v>
      </c>
      <c r="C1223" s="1" t="s">
        <v>12</v>
      </c>
      <c r="D1223" s="1" t="s">
        <v>444</v>
      </c>
      <c r="E1223" s="11" t="s">
        <v>144</v>
      </c>
      <c r="F1223" s="3" t="s">
        <v>8</v>
      </c>
      <c r="G1223" s="66" t="s">
        <v>33</v>
      </c>
      <c r="H1223" s="8"/>
      <c r="I1223" s="8"/>
      <c r="J1223" s="6" t="s">
        <v>47</v>
      </c>
      <c r="K1223" s="38">
        <v>108500</v>
      </c>
      <c r="L1223" s="4" t="s">
        <v>29</v>
      </c>
      <c r="M1223" s="11">
        <f>_xlfn.NUMBERVALUE(LEFT(Table613612[[#This Row],[Fiscal Year]], 4))</f>
        <v>2015</v>
      </c>
      <c r="N1223" s="42">
        <f>K1223*(1+VLOOKUP(M1223,$AF$8:$AH$31,3,0))</f>
        <v>115198.15822784809</v>
      </c>
      <c r="O1223" s="3">
        <v>1221</v>
      </c>
    </row>
    <row r="1224" spans="1:15" x14ac:dyDescent="0.25">
      <c r="A1224" s="3">
        <v>4</v>
      </c>
      <c r="B1224" s="3" t="s">
        <v>203</v>
      </c>
      <c r="C1224" s="1" t="s">
        <v>12</v>
      </c>
      <c r="D1224" s="1" t="s">
        <v>444</v>
      </c>
      <c r="E1224" s="11" t="s">
        <v>144</v>
      </c>
      <c r="F1224" s="3" t="s">
        <v>8</v>
      </c>
      <c r="G1224" s="66" t="s">
        <v>67</v>
      </c>
      <c r="H1224" s="8"/>
      <c r="I1224" s="8"/>
      <c r="J1224" s="6" t="s">
        <v>455</v>
      </c>
      <c r="K1224" s="38">
        <v>0</v>
      </c>
      <c r="L1224" s="4" t="s">
        <v>29</v>
      </c>
      <c r="M1224" s="11">
        <f>_xlfn.NUMBERVALUE(LEFT(Table613612[[#This Row],[Fiscal Year]], 4))</f>
        <v>2015</v>
      </c>
      <c r="N1224" s="43">
        <f t="shared" si="25"/>
        <v>0</v>
      </c>
      <c r="O1224" s="3">
        <v>1222</v>
      </c>
    </row>
    <row r="1225" spans="1:15" x14ac:dyDescent="0.25">
      <c r="C1225" s="1"/>
      <c r="D1225" s="1"/>
      <c r="E1225" s="11"/>
      <c r="G1225" s="66"/>
      <c r="H1225" s="8"/>
      <c r="I1225" s="8"/>
      <c r="J1225" s="6"/>
      <c r="L1225" s="4"/>
      <c r="O1225" s="3">
        <v>1223</v>
      </c>
    </row>
    <row r="1226" spans="1:15" x14ac:dyDescent="0.25">
      <c r="A1226" s="3">
        <v>4</v>
      </c>
      <c r="B1226" s="3" t="s">
        <v>204</v>
      </c>
      <c r="C1226" s="1" t="s">
        <v>12</v>
      </c>
      <c r="D1226" s="1" t="s">
        <v>444</v>
      </c>
      <c r="E1226" s="11" t="s">
        <v>144</v>
      </c>
      <c r="F1226" s="3" t="s">
        <v>8</v>
      </c>
      <c r="G1226" s="48" t="s">
        <v>32</v>
      </c>
      <c r="H1226" s="8"/>
      <c r="I1226" s="8"/>
      <c r="J1226" s="6" t="s">
        <v>110</v>
      </c>
      <c r="K1226" s="38">
        <v>13030</v>
      </c>
      <c r="L1226" s="4" t="s">
        <v>29</v>
      </c>
      <c r="M1226" s="11">
        <f>_xlfn.NUMBERVALUE(LEFT(Table613612[[#This Row],[Fiscal Year]], 4))</f>
        <v>2015</v>
      </c>
      <c r="N1226" s="42">
        <f t="shared" si="25"/>
        <v>13834.396329113923</v>
      </c>
      <c r="O1226" s="3">
        <v>1224</v>
      </c>
    </row>
    <row r="1227" spans="1:15" x14ac:dyDescent="0.25">
      <c r="A1227" s="3">
        <v>4</v>
      </c>
      <c r="B1227" s="3" t="s">
        <v>204</v>
      </c>
      <c r="C1227" s="1" t="s">
        <v>12</v>
      </c>
      <c r="D1227" s="1" t="s">
        <v>444</v>
      </c>
      <c r="E1227" s="11" t="s">
        <v>144</v>
      </c>
      <c r="F1227" s="3" t="s">
        <v>8</v>
      </c>
      <c r="G1227" s="48" t="s">
        <v>58</v>
      </c>
      <c r="H1227" s="8"/>
      <c r="I1227" s="8"/>
      <c r="J1227" s="6" t="s">
        <v>453</v>
      </c>
      <c r="K1227" s="38">
        <v>1750</v>
      </c>
      <c r="L1227" s="4" t="s">
        <v>29</v>
      </c>
      <c r="M1227" s="11">
        <f>_xlfn.NUMBERVALUE(LEFT(Table613612[[#This Row],[Fiscal Year]], 4))</f>
        <v>2015</v>
      </c>
      <c r="N1227" s="42">
        <f t="shared" si="25"/>
        <v>1858.0348101265822</v>
      </c>
      <c r="O1227" s="3">
        <v>1225</v>
      </c>
    </row>
    <row r="1228" spans="1:15" x14ac:dyDescent="0.25">
      <c r="A1228" s="3">
        <v>4</v>
      </c>
      <c r="B1228" s="3" t="s">
        <v>204</v>
      </c>
      <c r="C1228" s="1" t="s">
        <v>12</v>
      </c>
      <c r="D1228" s="1" t="s">
        <v>444</v>
      </c>
      <c r="E1228" s="11" t="s">
        <v>144</v>
      </c>
      <c r="F1228" s="3" t="s">
        <v>8</v>
      </c>
      <c r="G1228" s="66" t="s">
        <v>208</v>
      </c>
      <c r="H1228" s="8"/>
      <c r="I1228" s="8"/>
      <c r="J1228" s="6" t="s">
        <v>109</v>
      </c>
      <c r="K1228" s="38">
        <v>0</v>
      </c>
      <c r="L1228" s="4" t="s">
        <v>29</v>
      </c>
      <c r="M1228" s="11">
        <f>_xlfn.NUMBERVALUE(LEFT(Table613612[[#This Row],[Fiscal Year]], 4))</f>
        <v>2015</v>
      </c>
      <c r="N1228" s="43">
        <f t="shared" si="25"/>
        <v>0</v>
      </c>
      <c r="O1228" s="3">
        <v>1226</v>
      </c>
    </row>
    <row r="1229" spans="1:15" x14ac:dyDescent="0.25">
      <c r="A1229" s="3">
        <v>4</v>
      </c>
      <c r="B1229" s="3" t="s">
        <v>204</v>
      </c>
      <c r="C1229" s="1" t="s">
        <v>12</v>
      </c>
      <c r="D1229" s="1" t="s">
        <v>444</v>
      </c>
      <c r="E1229" s="11" t="s">
        <v>144</v>
      </c>
      <c r="F1229" s="3" t="s">
        <v>8</v>
      </c>
      <c r="G1229" s="48" t="s">
        <v>59</v>
      </c>
      <c r="H1229" s="8"/>
      <c r="I1229" s="8"/>
      <c r="J1229" s="6" t="s">
        <v>111</v>
      </c>
      <c r="K1229" s="38">
        <v>0</v>
      </c>
      <c r="L1229" s="4" t="s">
        <v>29</v>
      </c>
      <c r="M1229" s="11">
        <f>_xlfn.NUMBERVALUE(LEFT(Table613612[[#This Row],[Fiscal Year]], 4))</f>
        <v>2015</v>
      </c>
      <c r="N1229" s="43">
        <f t="shared" si="25"/>
        <v>0</v>
      </c>
      <c r="O1229" s="3">
        <v>1227</v>
      </c>
    </row>
    <row r="1230" spans="1:15" x14ac:dyDescent="0.25">
      <c r="A1230" s="3">
        <v>4</v>
      </c>
      <c r="B1230" s="3" t="s">
        <v>204</v>
      </c>
      <c r="C1230" s="1" t="s">
        <v>12</v>
      </c>
      <c r="D1230" s="1" t="s">
        <v>444</v>
      </c>
      <c r="E1230" s="11" t="s">
        <v>144</v>
      </c>
      <c r="F1230" s="3" t="s">
        <v>8</v>
      </c>
      <c r="G1230" s="66" t="s">
        <v>60</v>
      </c>
      <c r="H1230" s="8"/>
      <c r="I1230" s="8"/>
      <c r="J1230" s="6" t="s">
        <v>111</v>
      </c>
      <c r="K1230" s="38">
        <v>995</v>
      </c>
      <c r="L1230" s="4" t="s">
        <v>29</v>
      </c>
      <c r="M1230" s="11">
        <f>_xlfn.NUMBERVALUE(LEFT(Table613612[[#This Row],[Fiscal Year]], 4))</f>
        <v>2015</v>
      </c>
      <c r="N1230" s="42">
        <f>K1230*(1+VLOOKUP(M1230,$AF$8:$AH$31,3,0))</f>
        <v>1056.4255063291139</v>
      </c>
      <c r="O1230" s="3">
        <v>1228</v>
      </c>
    </row>
    <row r="1231" spans="1:15" x14ac:dyDescent="0.25">
      <c r="A1231" s="3">
        <v>4</v>
      </c>
      <c r="B1231" s="3" t="s">
        <v>204</v>
      </c>
      <c r="C1231" s="1" t="s">
        <v>12</v>
      </c>
      <c r="D1231" s="1" t="s">
        <v>444</v>
      </c>
      <c r="E1231" s="11" t="s">
        <v>144</v>
      </c>
      <c r="F1231" s="3" t="s">
        <v>8</v>
      </c>
      <c r="G1231" s="48" t="s">
        <v>61</v>
      </c>
      <c r="H1231" s="8"/>
      <c r="I1231" s="8"/>
      <c r="J1231" s="6" t="s">
        <v>108</v>
      </c>
      <c r="K1231" s="38">
        <v>0</v>
      </c>
      <c r="L1231" s="4" t="s">
        <v>29</v>
      </c>
      <c r="M1231" s="11">
        <f>_xlfn.NUMBERVALUE(LEFT(Table613612[[#This Row],[Fiscal Year]], 4))</f>
        <v>2015</v>
      </c>
      <c r="N1231" s="43">
        <f t="shared" ref="N1231:N1293" si="26">K1231*(1+VLOOKUP(M1231,$AF$8:$AH$31,3,0))</f>
        <v>0</v>
      </c>
      <c r="O1231" s="3">
        <v>1229</v>
      </c>
    </row>
    <row r="1232" spans="1:15" x14ac:dyDescent="0.25">
      <c r="A1232" s="3">
        <v>4</v>
      </c>
      <c r="B1232" s="3" t="s">
        <v>204</v>
      </c>
      <c r="C1232" s="1" t="s">
        <v>12</v>
      </c>
      <c r="D1232" s="1" t="s">
        <v>444</v>
      </c>
      <c r="E1232" s="11" t="s">
        <v>144</v>
      </c>
      <c r="F1232" s="3" t="s">
        <v>8</v>
      </c>
      <c r="G1232" s="66" t="s">
        <v>62</v>
      </c>
      <c r="H1232" s="8"/>
      <c r="I1232" s="8"/>
      <c r="J1232" s="6" t="s">
        <v>106</v>
      </c>
      <c r="K1232" s="38">
        <v>0</v>
      </c>
      <c r="L1232" s="4" t="s">
        <v>29</v>
      </c>
      <c r="M1232" s="11">
        <f>_xlfn.NUMBERVALUE(LEFT(Table613612[[#This Row],[Fiscal Year]], 4))</f>
        <v>2015</v>
      </c>
      <c r="N1232" s="43">
        <f t="shared" si="26"/>
        <v>0</v>
      </c>
      <c r="O1232" s="3">
        <v>1230</v>
      </c>
    </row>
    <row r="1233" spans="1:15" x14ac:dyDescent="0.25">
      <c r="A1233" s="3">
        <v>4</v>
      </c>
      <c r="B1233" s="3" t="s">
        <v>204</v>
      </c>
      <c r="C1233" s="1" t="s">
        <v>12</v>
      </c>
      <c r="D1233" s="1" t="s">
        <v>444</v>
      </c>
      <c r="E1233" s="11" t="s">
        <v>144</v>
      </c>
      <c r="F1233" s="3" t="s">
        <v>8</v>
      </c>
      <c r="G1233" s="66" t="s">
        <v>211</v>
      </c>
      <c r="H1233" s="8"/>
      <c r="I1233" s="8"/>
      <c r="J1233" s="6" t="s">
        <v>455</v>
      </c>
      <c r="K1233" s="38">
        <v>0</v>
      </c>
      <c r="L1233" s="4" t="s">
        <v>29</v>
      </c>
      <c r="M1233" s="11">
        <f>_xlfn.NUMBERVALUE(LEFT(Table613612[[#This Row],[Fiscal Year]], 4))</f>
        <v>2015</v>
      </c>
      <c r="N1233" s="43">
        <f t="shared" si="26"/>
        <v>0</v>
      </c>
      <c r="O1233" s="3">
        <v>1231</v>
      </c>
    </row>
    <row r="1234" spans="1:15" x14ac:dyDescent="0.25">
      <c r="A1234" s="3">
        <v>4</v>
      </c>
      <c r="B1234" s="3" t="s">
        <v>204</v>
      </c>
      <c r="C1234" s="1" t="s">
        <v>12</v>
      </c>
      <c r="D1234" s="1" t="s">
        <v>444</v>
      </c>
      <c r="E1234" s="11" t="s">
        <v>144</v>
      </c>
      <c r="F1234" s="3" t="s">
        <v>8</v>
      </c>
      <c r="G1234" s="66" t="s">
        <v>64</v>
      </c>
      <c r="H1234" s="8"/>
      <c r="I1234" s="8"/>
      <c r="J1234" s="6" t="s">
        <v>76</v>
      </c>
      <c r="K1234" s="38">
        <v>0</v>
      </c>
      <c r="L1234" s="4" t="s">
        <v>29</v>
      </c>
      <c r="M1234" s="11">
        <f>_xlfn.NUMBERVALUE(LEFT(Table613612[[#This Row],[Fiscal Year]], 4))</f>
        <v>2015</v>
      </c>
      <c r="N1234" s="43">
        <f t="shared" si="26"/>
        <v>0</v>
      </c>
      <c r="O1234" s="3">
        <v>1232</v>
      </c>
    </row>
    <row r="1235" spans="1:15" x14ac:dyDescent="0.25">
      <c r="A1235" s="3">
        <v>4</v>
      </c>
      <c r="B1235" s="3" t="s">
        <v>204</v>
      </c>
      <c r="C1235" s="1" t="s">
        <v>12</v>
      </c>
      <c r="D1235" s="1" t="s">
        <v>444</v>
      </c>
      <c r="E1235" s="11" t="s">
        <v>144</v>
      </c>
      <c r="F1235" s="3" t="s">
        <v>8</v>
      </c>
      <c r="G1235" s="66" t="s">
        <v>65</v>
      </c>
      <c r="H1235" s="8"/>
      <c r="I1235" s="8"/>
      <c r="J1235" s="6" t="s">
        <v>76</v>
      </c>
      <c r="K1235" s="38">
        <v>2000</v>
      </c>
      <c r="L1235" s="4" t="s">
        <v>29</v>
      </c>
      <c r="M1235" s="11">
        <f>_xlfn.NUMBERVALUE(LEFT(Table613612[[#This Row],[Fiscal Year]], 4))</f>
        <v>2015</v>
      </c>
      <c r="N1235" s="42">
        <f>K1235*(1+VLOOKUP(M1235,$AF$8:$AH$31,3,0))</f>
        <v>2123.4683544303798</v>
      </c>
      <c r="O1235" s="3">
        <v>1233</v>
      </c>
    </row>
    <row r="1236" spans="1:15" x14ac:dyDescent="0.25">
      <c r="A1236" s="3">
        <v>4</v>
      </c>
      <c r="B1236" s="3" t="s">
        <v>204</v>
      </c>
      <c r="C1236" s="1" t="s">
        <v>12</v>
      </c>
      <c r="D1236" s="1" t="s">
        <v>444</v>
      </c>
      <c r="E1236" s="11" t="s">
        <v>144</v>
      </c>
      <c r="F1236" s="3" t="s">
        <v>8</v>
      </c>
      <c r="G1236" s="48" t="s">
        <v>66</v>
      </c>
      <c r="H1236" s="8"/>
      <c r="I1236" s="8"/>
      <c r="J1236" s="6" t="s">
        <v>76</v>
      </c>
      <c r="K1236" s="38">
        <v>0</v>
      </c>
      <c r="L1236" s="4" t="s">
        <v>29</v>
      </c>
      <c r="M1236" s="11">
        <f>_xlfn.NUMBERVALUE(LEFT(Table613612[[#This Row],[Fiscal Year]], 4))</f>
        <v>2015</v>
      </c>
      <c r="N1236" s="43">
        <f t="shared" si="26"/>
        <v>0</v>
      </c>
      <c r="O1236" s="3">
        <v>1234</v>
      </c>
    </row>
    <row r="1237" spans="1:15" x14ac:dyDescent="0.25">
      <c r="A1237" s="3">
        <v>4</v>
      </c>
      <c r="B1237" s="3" t="s">
        <v>204</v>
      </c>
      <c r="C1237" s="1" t="s">
        <v>12</v>
      </c>
      <c r="D1237" s="1" t="s">
        <v>444</v>
      </c>
      <c r="E1237" s="11" t="s">
        <v>144</v>
      </c>
      <c r="F1237" s="3" t="s">
        <v>8</v>
      </c>
      <c r="G1237" s="66" t="s">
        <v>33</v>
      </c>
      <c r="H1237" s="8"/>
      <c r="I1237" s="8"/>
      <c r="J1237" s="6" t="s">
        <v>47</v>
      </c>
      <c r="K1237" s="38">
        <v>32311</v>
      </c>
      <c r="L1237" s="4" t="s">
        <v>29</v>
      </c>
      <c r="M1237" s="11">
        <f>_xlfn.NUMBERVALUE(LEFT(Table613612[[#This Row],[Fiscal Year]], 4))</f>
        <v>2015</v>
      </c>
      <c r="N1237" s="42">
        <f>K1237*(1+VLOOKUP(M1237,$AF$8:$AH$31,3,0))</f>
        <v>34305.692999999999</v>
      </c>
      <c r="O1237" s="3">
        <v>1235</v>
      </c>
    </row>
    <row r="1238" spans="1:15" x14ac:dyDescent="0.25">
      <c r="A1238" s="3">
        <v>4</v>
      </c>
      <c r="B1238" s="3" t="s">
        <v>204</v>
      </c>
      <c r="C1238" s="1" t="s">
        <v>12</v>
      </c>
      <c r="D1238" s="1" t="s">
        <v>444</v>
      </c>
      <c r="E1238" s="11" t="s">
        <v>144</v>
      </c>
      <c r="F1238" s="3" t="s">
        <v>8</v>
      </c>
      <c r="G1238" s="66" t="s">
        <v>67</v>
      </c>
      <c r="H1238" s="8" t="s">
        <v>949</v>
      </c>
      <c r="I1238" s="8" t="s">
        <v>429</v>
      </c>
      <c r="J1238" s="6" t="s">
        <v>455</v>
      </c>
      <c r="K1238" s="38">
        <v>0</v>
      </c>
      <c r="L1238" s="4" t="s">
        <v>29</v>
      </c>
      <c r="M1238" s="11">
        <f>_xlfn.NUMBERVALUE(LEFT(Table613612[[#This Row],[Fiscal Year]], 4))</f>
        <v>2015</v>
      </c>
      <c r="N1238" s="43">
        <f t="shared" si="26"/>
        <v>0</v>
      </c>
      <c r="O1238" s="3">
        <v>1236</v>
      </c>
    </row>
    <row r="1239" spans="1:15" x14ac:dyDescent="0.25">
      <c r="C1239" s="1"/>
      <c r="D1239" s="1"/>
      <c r="E1239" s="11"/>
      <c r="G1239" s="66"/>
      <c r="H1239" s="8"/>
      <c r="I1239" s="8"/>
      <c r="J1239" s="6"/>
      <c r="L1239" s="4"/>
      <c r="O1239" s="3">
        <v>1237</v>
      </c>
    </row>
    <row r="1240" spans="1:15" x14ac:dyDescent="0.25">
      <c r="A1240" s="3">
        <v>4</v>
      </c>
      <c r="B1240" s="3" t="s">
        <v>205</v>
      </c>
      <c r="C1240" s="1" t="s">
        <v>12</v>
      </c>
      <c r="D1240" s="1" t="s">
        <v>444</v>
      </c>
      <c r="E1240" s="11" t="s">
        <v>144</v>
      </c>
      <c r="F1240" s="3" t="s">
        <v>8</v>
      </c>
      <c r="G1240" s="48" t="s">
        <v>32</v>
      </c>
      <c r="H1240" s="8"/>
      <c r="I1240" s="8"/>
      <c r="J1240" s="6" t="s">
        <v>110</v>
      </c>
      <c r="K1240" s="38">
        <v>2244</v>
      </c>
      <c r="L1240" s="4" t="s">
        <v>29</v>
      </c>
      <c r="M1240" s="11">
        <f>_xlfn.NUMBERVALUE(LEFT(Table613612[[#This Row],[Fiscal Year]], 4))</f>
        <v>2015</v>
      </c>
      <c r="N1240" s="42">
        <f t="shared" si="26"/>
        <v>2382.531493670886</v>
      </c>
      <c r="O1240" s="3">
        <v>1238</v>
      </c>
    </row>
    <row r="1241" spans="1:15" x14ac:dyDescent="0.25">
      <c r="A1241" s="3">
        <v>4</v>
      </c>
      <c r="B1241" s="3" t="s">
        <v>205</v>
      </c>
      <c r="C1241" s="1" t="s">
        <v>12</v>
      </c>
      <c r="D1241" s="1" t="s">
        <v>444</v>
      </c>
      <c r="E1241" s="11" t="s">
        <v>144</v>
      </c>
      <c r="F1241" s="3" t="s">
        <v>8</v>
      </c>
      <c r="G1241" s="48" t="s">
        <v>58</v>
      </c>
      <c r="H1241" s="8"/>
      <c r="I1241" s="8"/>
      <c r="J1241" s="6" t="s">
        <v>453</v>
      </c>
      <c r="K1241" s="38">
        <v>3068.65</v>
      </c>
      <c r="L1241" s="4" t="s">
        <v>29</v>
      </c>
      <c r="M1241" s="11">
        <f>_xlfn.NUMBERVALUE(LEFT(Table613612[[#This Row],[Fiscal Year]], 4))</f>
        <v>2015</v>
      </c>
      <c r="N1241" s="42">
        <f t="shared" si="26"/>
        <v>3258.0905829113922</v>
      </c>
      <c r="O1241" s="3">
        <v>1239</v>
      </c>
    </row>
    <row r="1242" spans="1:15" x14ac:dyDescent="0.25">
      <c r="A1242" s="3">
        <v>4</v>
      </c>
      <c r="B1242" s="3" t="s">
        <v>205</v>
      </c>
      <c r="C1242" s="1" t="s">
        <v>12</v>
      </c>
      <c r="D1242" s="1" t="s">
        <v>444</v>
      </c>
      <c r="E1242" s="11" t="s">
        <v>144</v>
      </c>
      <c r="F1242" s="3" t="s">
        <v>8</v>
      </c>
      <c r="G1242" s="66" t="s">
        <v>208</v>
      </c>
      <c r="H1242" s="8"/>
      <c r="I1242" s="8"/>
      <c r="J1242" s="6" t="s">
        <v>109</v>
      </c>
      <c r="K1242" s="38">
        <v>60186.2</v>
      </c>
      <c r="L1242" s="4" t="s">
        <v>29</v>
      </c>
      <c r="M1242" s="11">
        <f>_xlfn.NUMBERVALUE(LEFT(Table613612[[#This Row],[Fiscal Year]], 4))</f>
        <v>2015</v>
      </c>
      <c r="N1242" s="42">
        <f t="shared" si="26"/>
        <v>63901.745536708855</v>
      </c>
      <c r="O1242" s="3">
        <v>1240</v>
      </c>
    </row>
    <row r="1243" spans="1:15" x14ac:dyDescent="0.25">
      <c r="A1243" s="3">
        <v>4</v>
      </c>
      <c r="B1243" s="3" t="s">
        <v>205</v>
      </c>
      <c r="C1243" s="1" t="s">
        <v>12</v>
      </c>
      <c r="D1243" s="1" t="s">
        <v>444</v>
      </c>
      <c r="E1243" s="11" t="s">
        <v>144</v>
      </c>
      <c r="F1243" s="3" t="s">
        <v>8</v>
      </c>
      <c r="G1243" s="48" t="s">
        <v>59</v>
      </c>
      <c r="H1243" s="8"/>
      <c r="I1243" s="8"/>
      <c r="J1243" s="6" t="s">
        <v>111</v>
      </c>
      <c r="K1243" s="38">
        <v>2895</v>
      </c>
      <c r="L1243" s="4" t="s">
        <v>29</v>
      </c>
      <c r="M1243" s="11">
        <f>_xlfn.NUMBERVALUE(LEFT(Table613612[[#This Row],[Fiscal Year]], 4))</f>
        <v>2015</v>
      </c>
      <c r="N1243" s="42">
        <f t="shared" si="26"/>
        <v>3073.7204430379743</v>
      </c>
      <c r="O1243" s="3">
        <v>1241</v>
      </c>
    </row>
    <row r="1244" spans="1:15" x14ac:dyDescent="0.25">
      <c r="A1244" s="3">
        <v>4</v>
      </c>
      <c r="B1244" s="3" t="s">
        <v>205</v>
      </c>
      <c r="C1244" s="1" t="s">
        <v>12</v>
      </c>
      <c r="D1244" s="1" t="s">
        <v>444</v>
      </c>
      <c r="E1244" s="11" t="s">
        <v>144</v>
      </c>
      <c r="F1244" s="3" t="s">
        <v>8</v>
      </c>
      <c r="G1244" s="66" t="s">
        <v>60</v>
      </c>
      <c r="H1244" s="8"/>
      <c r="I1244" s="8"/>
      <c r="J1244" s="6" t="s">
        <v>111</v>
      </c>
      <c r="K1244" s="38">
        <v>7685</v>
      </c>
      <c r="L1244" s="4" t="s">
        <v>29</v>
      </c>
      <c r="M1244" s="11">
        <f>_xlfn.NUMBERVALUE(LEFT(Table613612[[#This Row],[Fiscal Year]], 4))</f>
        <v>2015</v>
      </c>
      <c r="N1244" s="42">
        <f t="shared" si="26"/>
        <v>8159.4271518987334</v>
      </c>
      <c r="O1244" s="3">
        <v>1242</v>
      </c>
    </row>
    <row r="1245" spans="1:15" x14ac:dyDescent="0.25">
      <c r="A1245" s="3">
        <v>4</v>
      </c>
      <c r="B1245" s="3" t="s">
        <v>205</v>
      </c>
      <c r="C1245" s="1" t="s">
        <v>12</v>
      </c>
      <c r="D1245" s="1" t="s">
        <v>444</v>
      </c>
      <c r="E1245" s="11" t="s">
        <v>144</v>
      </c>
      <c r="F1245" s="3" t="s">
        <v>8</v>
      </c>
      <c r="G1245" s="48" t="s">
        <v>61</v>
      </c>
      <c r="H1245" s="8"/>
      <c r="I1245" s="8"/>
      <c r="J1245" s="6" t="s">
        <v>108</v>
      </c>
      <c r="K1245" s="38">
        <v>548736.25</v>
      </c>
      <c r="L1245" s="4" t="s">
        <v>29</v>
      </c>
      <c r="M1245" s="11">
        <f>_xlfn.NUMBERVALUE(LEFT(Table613612[[#This Row],[Fiscal Year]], 4))</f>
        <v>2015</v>
      </c>
      <c r="N1245" s="42">
        <f t="shared" si="26"/>
        <v>582612.03090189875</v>
      </c>
      <c r="O1245" s="3">
        <v>1243</v>
      </c>
    </row>
    <row r="1246" spans="1:15" x14ac:dyDescent="0.25">
      <c r="A1246" s="3">
        <v>4</v>
      </c>
      <c r="B1246" s="3" t="s">
        <v>205</v>
      </c>
      <c r="C1246" s="1" t="s">
        <v>12</v>
      </c>
      <c r="D1246" s="1" t="s">
        <v>444</v>
      </c>
      <c r="E1246" s="11" t="s">
        <v>144</v>
      </c>
      <c r="F1246" s="3" t="s">
        <v>8</v>
      </c>
      <c r="G1246" s="66" t="s">
        <v>62</v>
      </c>
      <c r="H1246" s="8"/>
      <c r="I1246" s="8"/>
      <c r="J1246" s="6" t="s">
        <v>106</v>
      </c>
      <c r="K1246" s="38">
        <v>4878.75</v>
      </c>
      <c r="L1246" s="4" t="s">
        <v>29</v>
      </c>
      <c r="M1246" s="11">
        <f>_xlfn.NUMBERVALUE(LEFT(Table613612[[#This Row],[Fiscal Year]], 4))</f>
        <v>2015</v>
      </c>
      <c r="N1246" s="42">
        <f t="shared" si="26"/>
        <v>5179.9356170886076</v>
      </c>
      <c r="O1246" s="3">
        <v>1244</v>
      </c>
    </row>
    <row r="1247" spans="1:15" x14ac:dyDescent="0.25">
      <c r="A1247" s="3">
        <v>4</v>
      </c>
      <c r="B1247" s="3" t="s">
        <v>205</v>
      </c>
      <c r="C1247" s="1" t="s">
        <v>12</v>
      </c>
      <c r="D1247" s="1" t="s">
        <v>444</v>
      </c>
      <c r="E1247" s="11" t="s">
        <v>144</v>
      </c>
      <c r="F1247" s="3" t="s">
        <v>8</v>
      </c>
      <c r="G1247" s="66" t="s">
        <v>211</v>
      </c>
      <c r="H1247" s="8"/>
      <c r="I1247" s="8"/>
      <c r="J1247" s="6" t="s">
        <v>455</v>
      </c>
      <c r="K1247" s="38">
        <v>40546</v>
      </c>
      <c r="L1247" s="4" t="s">
        <v>29</v>
      </c>
      <c r="M1247" s="11">
        <f>_xlfn.NUMBERVALUE(LEFT(Table613612[[#This Row],[Fiscal Year]], 4))</f>
        <v>2015</v>
      </c>
      <c r="N1247" s="42">
        <f t="shared" si="26"/>
        <v>43049.073949367084</v>
      </c>
      <c r="O1247" s="3">
        <v>1245</v>
      </c>
    </row>
    <row r="1248" spans="1:15" x14ac:dyDescent="0.25">
      <c r="A1248" s="3">
        <v>4</v>
      </c>
      <c r="B1248" s="3" t="s">
        <v>205</v>
      </c>
      <c r="C1248" s="1" t="s">
        <v>12</v>
      </c>
      <c r="D1248" s="1" t="s">
        <v>444</v>
      </c>
      <c r="E1248" s="11" t="s">
        <v>144</v>
      </c>
      <c r="F1248" s="3" t="s">
        <v>8</v>
      </c>
      <c r="G1248" s="66" t="s">
        <v>64</v>
      </c>
      <c r="H1248" s="8"/>
      <c r="I1248" s="8"/>
      <c r="J1248" s="6" t="s">
        <v>76</v>
      </c>
      <c r="K1248" s="38" t="s">
        <v>827</v>
      </c>
      <c r="L1248" s="4" t="s">
        <v>29</v>
      </c>
      <c r="M1248" s="11">
        <f>_xlfn.NUMBERVALUE(LEFT(Table613612[[#This Row],[Fiscal Year]], 4))</f>
        <v>2015</v>
      </c>
      <c r="O1248" s="3">
        <v>1246</v>
      </c>
    </row>
    <row r="1249" spans="1:15" x14ac:dyDescent="0.25">
      <c r="A1249" s="3">
        <v>4</v>
      </c>
      <c r="B1249" s="3" t="s">
        <v>205</v>
      </c>
      <c r="C1249" s="1" t="s">
        <v>12</v>
      </c>
      <c r="D1249" s="1" t="s">
        <v>444</v>
      </c>
      <c r="E1249" s="11" t="s">
        <v>144</v>
      </c>
      <c r="F1249" s="3" t="s">
        <v>8</v>
      </c>
      <c r="G1249" s="66" t="s">
        <v>65</v>
      </c>
      <c r="H1249" s="8"/>
      <c r="I1249" s="8"/>
      <c r="J1249" s="6" t="s">
        <v>76</v>
      </c>
      <c r="K1249" s="38" t="s">
        <v>827</v>
      </c>
      <c r="L1249" s="4" t="s">
        <v>29</v>
      </c>
      <c r="M1249" s="11">
        <f>_xlfn.NUMBERVALUE(LEFT(Table613612[[#This Row],[Fiscal Year]], 4))</f>
        <v>2015</v>
      </c>
      <c r="O1249" s="3">
        <v>1247</v>
      </c>
    </row>
    <row r="1250" spans="1:15" x14ac:dyDescent="0.25">
      <c r="A1250" s="3">
        <v>4</v>
      </c>
      <c r="B1250" s="3" t="s">
        <v>205</v>
      </c>
      <c r="C1250" s="1" t="s">
        <v>12</v>
      </c>
      <c r="D1250" s="1" t="s">
        <v>444</v>
      </c>
      <c r="E1250" s="11" t="s">
        <v>144</v>
      </c>
      <c r="F1250" s="3" t="s">
        <v>8</v>
      </c>
      <c r="G1250" s="48" t="s">
        <v>66</v>
      </c>
      <c r="H1250" s="8"/>
      <c r="I1250" s="8"/>
      <c r="J1250" s="6" t="s">
        <v>76</v>
      </c>
      <c r="K1250" s="38" t="s">
        <v>827</v>
      </c>
      <c r="L1250" s="4" t="s">
        <v>29</v>
      </c>
      <c r="M1250" s="11">
        <f>_xlfn.NUMBERVALUE(LEFT(Table613612[[#This Row],[Fiscal Year]], 4))</f>
        <v>2015</v>
      </c>
      <c r="O1250" s="3">
        <v>1248</v>
      </c>
    </row>
    <row r="1251" spans="1:15" x14ac:dyDescent="0.25">
      <c r="A1251" s="3">
        <v>4</v>
      </c>
      <c r="B1251" s="3" t="s">
        <v>205</v>
      </c>
      <c r="C1251" s="1" t="s">
        <v>12</v>
      </c>
      <c r="D1251" s="1" t="s">
        <v>444</v>
      </c>
      <c r="E1251" s="11" t="s">
        <v>144</v>
      </c>
      <c r="F1251" s="3" t="s">
        <v>8</v>
      </c>
      <c r="G1251" s="66" t="s">
        <v>33</v>
      </c>
      <c r="H1251" s="8"/>
      <c r="I1251" s="8"/>
      <c r="J1251" s="6" t="s">
        <v>47</v>
      </c>
      <c r="K1251" s="38">
        <v>199864.5</v>
      </c>
      <c r="L1251" s="4" t="s">
        <v>29</v>
      </c>
      <c r="M1251" s="11">
        <f>_xlfn.NUMBERVALUE(LEFT(Table613612[[#This Row],[Fiscal Year]], 4))</f>
        <v>2015</v>
      </c>
      <c r="N1251" s="42">
        <f t="shared" si="26"/>
        <v>212202.97046202532</v>
      </c>
      <c r="O1251" s="3">
        <v>1249</v>
      </c>
    </row>
    <row r="1252" spans="1:15" x14ac:dyDescent="0.25">
      <c r="A1252" s="3">
        <v>4</v>
      </c>
      <c r="B1252" s="3" t="s">
        <v>205</v>
      </c>
      <c r="C1252" s="1" t="s">
        <v>12</v>
      </c>
      <c r="D1252" s="1" t="s">
        <v>444</v>
      </c>
      <c r="E1252" s="11" t="s">
        <v>144</v>
      </c>
      <c r="F1252" s="3" t="s">
        <v>8</v>
      </c>
      <c r="G1252" s="66" t="s">
        <v>67</v>
      </c>
      <c r="H1252" s="8" t="s">
        <v>950</v>
      </c>
      <c r="I1252" s="8"/>
      <c r="J1252" s="6" t="s">
        <v>455</v>
      </c>
      <c r="K1252" s="38">
        <v>160917.5</v>
      </c>
      <c r="L1252" s="4" t="s">
        <v>29</v>
      </c>
      <c r="M1252" s="11">
        <f>_xlfn.NUMBERVALUE(LEFT(Table613612[[#This Row],[Fiscal Year]], 4))</f>
        <v>2015</v>
      </c>
      <c r="N1252" s="42">
        <f t="shared" si="26"/>
        <v>170851.60946202531</v>
      </c>
      <c r="O1252" s="3">
        <v>1250</v>
      </c>
    </row>
    <row r="1253" spans="1:15" x14ac:dyDescent="0.25">
      <c r="C1253" s="1"/>
      <c r="D1253" s="1"/>
      <c r="E1253" s="11"/>
      <c r="G1253" s="66"/>
      <c r="H1253" s="8"/>
      <c r="I1253" s="8"/>
      <c r="J1253" s="6"/>
      <c r="L1253" s="4"/>
      <c r="O1253" s="3">
        <v>1251</v>
      </c>
    </row>
    <row r="1254" spans="1:15" x14ac:dyDescent="0.25">
      <c r="A1254" s="3">
        <v>4</v>
      </c>
      <c r="B1254" s="3" t="s">
        <v>206</v>
      </c>
      <c r="C1254" s="1" t="s">
        <v>12</v>
      </c>
      <c r="D1254" s="1" t="s">
        <v>444</v>
      </c>
      <c r="E1254" s="11" t="s">
        <v>144</v>
      </c>
      <c r="F1254" s="3" t="s">
        <v>8</v>
      </c>
      <c r="G1254" s="48" t="s">
        <v>32</v>
      </c>
      <c r="H1254" s="8"/>
      <c r="I1254" s="8"/>
      <c r="J1254" s="6" t="s">
        <v>110</v>
      </c>
      <c r="K1254" s="38">
        <v>1097434</v>
      </c>
      <c r="L1254" s="4" t="s">
        <v>29</v>
      </c>
      <c r="M1254" s="11">
        <f>_xlfn.NUMBERVALUE(LEFT(Table613612[[#This Row],[Fiscal Year]], 4))</f>
        <v>2015</v>
      </c>
      <c r="N1254" s="42">
        <f t="shared" si="26"/>
        <v>1165183.1850379745</v>
      </c>
      <c r="O1254" s="3">
        <v>1252</v>
      </c>
    </row>
    <row r="1255" spans="1:15" x14ac:dyDescent="0.25">
      <c r="A1255" s="3">
        <v>4</v>
      </c>
      <c r="B1255" s="3" t="s">
        <v>206</v>
      </c>
      <c r="C1255" s="1" t="s">
        <v>12</v>
      </c>
      <c r="D1255" s="1" t="s">
        <v>444</v>
      </c>
      <c r="E1255" s="11" t="s">
        <v>144</v>
      </c>
      <c r="F1255" s="3" t="s">
        <v>8</v>
      </c>
      <c r="G1255" s="48" t="s">
        <v>58</v>
      </c>
      <c r="H1255" s="8"/>
      <c r="I1255" s="8"/>
      <c r="J1255" s="6" t="s">
        <v>453</v>
      </c>
      <c r="K1255" s="38">
        <v>36514</v>
      </c>
      <c r="L1255" s="4" t="s">
        <v>29</v>
      </c>
      <c r="M1255" s="11">
        <f>_xlfn.NUMBERVALUE(LEFT(Table613612[[#This Row],[Fiscal Year]], 4))</f>
        <v>2015</v>
      </c>
      <c r="N1255" s="42">
        <f t="shared" si="26"/>
        <v>38768.161746835438</v>
      </c>
      <c r="O1255" s="3">
        <v>1253</v>
      </c>
    </row>
    <row r="1256" spans="1:15" x14ac:dyDescent="0.25">
      <c r="A1256" s="3">
        <v>4</v>
      </c>
      <c r="B1256" s="3" t="s">
        <v>206</v>
      </c>
      <c r="C1256" s="1" t="s">
        <v>12</v>
      </c>
      <c r="D1256" s="1" t="s">
        <v>444</v>
      </c>
      <c r="E1256" s="11" t="s">
        <v>144</v>
      </c>
      <c r="F1256" s="3" t="s">
        <v>8</v>
      </c>
      <c r="G1256" s="66" t="s">
        <v>208</v>
      </c>
      <c r="H1256" s="8"/>
      <c r="I1256" s="8"/>
      <c r="J1256" s="6" t="s">
        <v>109</v>
      </c>
      <c r="K1256" s="38">
        <v>155172</v>
      </c>
      <c r="L1256" s="4" t="s">
        <v>29</v>
      </c>
      <c r="M1256" s="11">
        <f>_xlfn.NUMBERVALUE(LEFT(Table613612[[#This Row],[Fiscal Year]], 4))</f>
        <v>2015</v>
      </c>
      <c r="N1256" s="42">
        <f t="shared" si="26"/>
        <v>164751.41574683544</v>
      </c>
      <c r="O1256" s="3">
        <v>1254</v>
      </c>
    </row>
    <row r="1257" spans="1:15" x14ac:dyDescent="0.25">
      <c r="A1257" s="3">
        <v>4</v>
      </c>
      <c r="B1257" s="3" t="s">
        <v>206</v>
      </c>
      <c r="C1257" s="1" t="s">
        <v>12</v>
      </c>
      <c r="D1257" s="1" t="s">
        <v>444</v>
      </c>
      <c r="E1257" s="11" t="s">
        <v>144</v>
      </c>
      <c r="F1257" s="3" t="s">
        <v>8</v>
      </c>
      <c r="G1257" s="48" t="s">
        <v>59</v>
      </c>
      <c r="H1257" s="8"/>
      <c r="I1257" s="8"/>
      <c r="J1257" s="6" t="s">
        <v>111</v>
      </c>
      <c r="K1257" s="38">
        <v>1333</v>
      </c>
      <c r="L1257" s="4" t="s">
        <v>29</v>
      </c>
      <c r="M1257" s="11">
        <f>_xlfn.NUMBERVALUE(LEFT(Table613612[[#This Row],[Fiscal Year]], 4))</f>
        <v>2015</v>
      </c>
      <c r="N1257" s="42">
        <f t="shared" si="26"/>
        <v>1415.2916582278481</v>
      </c>
      <c r="O1257" s="3">
        <v>1255</v>
      </c>
    </row>
    <row r="1258" spans="1:15" x14ac:dyDescent="0.25">
      <c r="A1258" s="3">
        <v>4</v>
      </c>
      <c r="B1258" s="3" t="s">
        <v>206</v>
      </c>
      <c r="C1258" s="1" t="s">
        <v>12</v>
      </c>
      <c r="D1258" s="1" t="s">
        <v>444</v>
      </c>
      <c r="E1258" s="11" t="s">
        <v>144</v>
      </c>
      <c r="F1258" s="3" t="s">
        <v>8</v>
      </c>
      <c r="G1258" s="66" t="s">
        <v>60</v>
      </c>
      <c r="H1258" s="8"/>
      <c r="I1258" s="8"/>
      <c r="J1258" s="6" t="s">
        <v>111</v>
      </c>
      <c r="K1258" s="38">
        <v>61169</v>
      </c>
      <c r="L1258" s="4" t="s">
        <v>29</v>
      </c>
      <c r="M1258" s="11">
        <f>_xlfn.NUMBERVALUE(LEFT(Table613612[[#This Row],[Fiscal Year]], 4))</f>
        <v>2015</v>
      </c>
      <c r="N1258" s="42">
        <f t="shared" si="26"/>
        <v>64945.217886075945</v>
      </c>
      <c r="O1258" s="3">
        <v>1256</v>
      </c>
    </row>
    <row r="1259" spans="1:15" x14ac:dyDescent="0.25">
      <c r="A1259" s="3">
        <v>4</v>
      </c>
      <c r="B1259" s="3" t="s">
        <v>206</v>
      </c>
      <c r="C1259" s="1" t="s">
        <v>12</v>
      </c>
      <c r="D1259" s="1" t="s">
        <v>444</v>
      </c>
      <c r="E1259" s="11" t="s">
        <v>144</v>
      </c>
      <c r="F1259" s="3" t="s">
        <v>8</v>
      </c>
      <c r="G1259" s="48" t="s">
        <v>61</v>
      </c>
      <c r="H1259" s="8"/>
      <c r="I1259" s="8"/>
      <c r="J1259" s="6" t="s">
        <v>108</v>
      </c>
      <c r="K1259" s="38">
        <v>571542</v>
      </c>
      <c r="L1259" s="4" t="s">
        <v>29</v>
      </c>
      <c r="M1259" s="11">
        <f>_xlfn.NUMBERVALUE(LEFT(Table613612[[#This Row],[Fiscal Year]], 4))</f>
        <v>2015</v>
      </c>
      <c r="N1259" s="42">
        <f t="shared" si="26"/>
        <v>606825.67511392396</v>
      </c>
      <c r="O1259" s="3">
        <v>1257</v>
      </c>
    </row>
    <row r="1260" spans="1:15" x14ac:dyDescent="0.25">
      <c r="A1260" s="3">
        <v>4</v>
      </c>
      <c r="B1260" s="3" t="s">
        <v>206</v>
      </c>
      <c r="C1260" s="1" t="s">
        <v>12</v>
      </c>
      <c r="D1260" s="1" t="s">
        <v>444</v>
      </c>
      <c r="E1260" s="11" t="s">
        <v>144</v>
      </c>
      <c r="F1260" s="3" t="s">
        <v>8</v>
      </c>
      <c r="G1260" s="66" t="s">
        <v>62</v>
      </c>
      <c r="H1260" s="8"/>
      <c r="I1260" s="8"/>
      <c r="J1260" s="6" t="s">
        <v>106</v>
      </c>
      <c r="K1260" s="38">
        <v>91754</v>
      </c>
      <c r="L1260" s="4" t="s">
        <v>29</v>
      </c>
      <c r="M1260" s="11">
        <f>_xlfn.NUMBERVALUE(LEFT(Table613612[[#This Row],[Fiscal Year]], 4))</f>
        <v>2015</v>
      </c>
      <c r="N1260" s="42">
        <f t="shared" si="26"/>
        <v>97418.357696202525</v>
      </c>
      <c r="O1260" s="3">
        <v>1258</v>
      </c>
    </row>
    <row r="1261" spans="1:15" x14ac:dyDescent="0.25">
      <c r="A1261" s="3">
        <v>4</v>
      </c>
      <c r="B1261" s="3" t="s">
        <v>206</v>
      </c>
      <c r="C1261" s="1" t="s">
        <v>12</v>
      </c>
      <c r="D1261" s="1" t="s">
        <v>444</v>
      </c>
      <c r="E1261" s="11" t="s">
        <v>144</v>
      </c>
      <c r="F1261" s="3" t="s">
        <v>8</v>
      </c>
      <c r="G1261" s="66" t="s">
        <v>211</v>
      </c>
      <c r="H1261" s="8"/>
      <c r="I1261" s="8"/>
      <c r="J1261" s="6" t="s">
        <v>455</v>
      </c>
      <c r="K1261" s="38" t="s">
        <v>827</v>
      </c>
      <c r="L1261" s="4" t="s">
        <v>29</v>
      </c>
      <c r="M1261" s="11">
        <f>_xlfn.NUMBERVALUE(LEFT(Table613612[[#This Row],[Fiscal Year]], 4))</f>
        <v>2015</v>
      </c>
      <c r="O1261" s="3">
        <v>1259</v>
      </c>
    </row>
    <row r="1262" spans="1:15" x14ac:dyDescent="0.25">
      <c r="A1262" s="3">
        <v>4</v>
      </c>
      <c r="B1262" s="3" t="s">
        <v>206</v>
      </c>
      <c r="C1262" s="1" t="s">
        <v>12</v>
      </c>
      <c r="D1262" s="1" t="s">
        <v>444</v>
      </c>
      <c r="E1262" s="11" t="s">
        <v>144</v>
      </c>
      <c r="F1262" s="3" t="s">
        <v>8</v>
      </c>
      <c r="G1262" s="66" t="s">
        <v>64</v>
      </c>
      <c r="H1262" s="8"/>
      <c r="I1262" s="8"/>
      <c r="J1262" s="6" t="s">
        <v>76</v>
      </c>
      <c r="K1262" s="38" t="s">
        <v>827</v>
      </c>
      <c r="L1262" s="4" t="s">
        <v>29</v>
      </c>
      <c r="M1262" s="11">
        <f>_xlfn.NUMBERVALUE(LEFT(Table613612[[#This Row],[Fiscal Year]], 4))</f>
        <v>2015</v>
      </c>
      <c r="O1262" s="3">
        <v>1260</v>
      </c>
    </row>
    <row r="1263" spans="1:15" x14ac:dyDescent="0.25">
      <c r="A1263" s="3">
        <v>4</v>
      </c>
      <c r="B1263" s="3" t="s">
        <v>206</v>
      </c>
      <c r="C1263" s="1" t="s">
        <v>12</v>
      </c>
      <c r="D1263" s="1" t="s">
        <v>444</v>
      </c>
      <c r="E1263" s="11" t="s">
        <v>144</v>
      </c>
      <c r="F1263" s="3" t="s">
        <v>8</v>
      </c>
      <c r="G1263" s="66" t="s">
        <v>65</v>
      </c>
      <c r="H1263" s="8"/>
      <c r="I1263" s="8"/>
      <c r="J1263" s="6" t="s">
        <v>76</v>
      </c>
      <c r="K1263" s="38" t="s">
        <v>827</v>
      </c>
      <c r="L1263" s="4" t="s">
        <v>29</v>
      </c>
      <c r="M1263" s="11">
        <f>_xlfn.NUMBERVALUE(LEFT(Table613612[[#This Row],[Fiscal Year]], 4))</f>
        <v>2015</v>
      </c>
      <c r="O1263" s="3">
        <v>1261</v>
      </c>
    </row>
    <row r="1264" spans="1:15" x14ac:dyDescent="0.25">
      <c r="A1264" s="3">
        <v>4</v>
      </c>
      <c r="B1264" s="3" t="s">
        <v>206</v>
      </c>
      <c r="C1264" s="1" t="s">
        <v>12</v>
      </c>
      <c r="D1264" s="1" t="s">
        <v>444</v>
      </c>
      <c r="E1264" s="11" t="s">
        <v>144</v>
      </c>
      <c r="F1264" s="3" t="s">
        <v>8</v>
      </c>
      <c r="G1264" s="48" t="s">
        <v>66</v>
      </c>
      <c r="H1264" s="8"/>
      <c r="I1264" s="8"/>
      <c r="J1264" s="6" t="s">
        <v>76</v>
      </c>
      <c r="K1264" s="38" t="s">
        <v>827</v>
      </c>
      <c r="L1264" s="4" t="s">
        <v>29</v>
      </c>
      <c r="M1264" s="11">
        <f>_xlfn.NUMBERVALUE(LEFT(Table613612[[#This Row],[Fiscal Year]], 4))</f>
        <v>2015</v>
      </c>
      <c r="O1264" s="3">
        <v>1262</v>
      </c>
    </row>
    <row r="1265" spans="1:15" x14ac:dyDescent="0.25">
      <c r="A1265" s="3">
        <v>4</v>
      </c>
      <c r="B1265" s="3" t="s">
        <v>206</v>
      </c>
      <c r="C1265" s="1" t="s">
        <v>12</v>
      </c>
      <c r="D1265" s="1" t="s">
        <v>444</v>
      </c>
      <c r="E1265" s="11" t="s">
        <v>144</v>
      </c>
      <c r="F1265" s="3" t="s">
        <v>8</v>
      </c>
      <c r="G1265" s="66" t="s">
        <v>33</v>
      </c>
      <c r="H1265" s="8"/>
      <c r="I1265" s="8"/>
      <c r="J1265" s="6" t="s">
        <v>47</v>
      </c>
      <c r="K1265" s="38">
        <v>196991</v>
      </c>
      <c r="L1265" s="4" t="s">
        <v>29</v>
      </c>
      <c r="M1265" s="11">
        <f>_xlfn.NUMBERVALUE(LEFT(Table613612[[#This Row],[Fiscal Year]], 4))</f>
        <v>2015</v>
      </c>
      <c r="N1265" s="42">
        <f t="shared" si="26"/>
        <v>209152.07730379744</v>
      </c>
      <c r="O1265" s="3">
        <v>1263</v>
      </c>
    </row>
    <row r="1266" spans="1:15" x14ac:dyDescent="0.25">
      <c r="A1266" s="3">
        <v>4</v>
      </c>
      <c r="B1266" s="3" t="s">
        <v>206</v>
      </c>
      <c r="C1266" s="1" t="s">
        <v>12</v>
      </c>
      <c r="D1266" s="1" t="s">
        <v>444</v>
      </c>
      <c r="E1266" s="11" t="s">
        <v>144</v>
      </c>
      <c r="F1266" s="3" t="s">
        <v>8</v>
      </c>
      <c r="G1266" s="66" t="s">
        <v>67</v>
      </c>
      <c r="H1266" s="8" t="s">
        <v>951</v>
      </c>
      <c r="I1266" s="8"/>
      <c r="J1266" s="6" t="s">
        <v>455</v>
      </c>
      <c r="K1266" s="38">
        <v>759266</v>
      </c>
      <c r="L1266" s="4" t="s">
        <v>29</v>
      </c>
      <c r="M1266" s="11">
        <f>_xlfn.NUMBERVALUE(LEFT(Table613612[[#This Row],[Fiscal Year]], 4))</f>
        <v>2015</v>
      </c>
      <c r="N1266" s="42">
        <f t="shared" si="26"/>
        <v>806138.66179746832</v>
      </c>
      <c r="O1266" s="3">
        <v>1264</v>
      </c>
    </row>
    <row r="1267" spans="1:15" x14ac:dyDescent="0.25">
      <c r="C1267" s="1"/>
      <c r="D1267" s="1"/>
      <c r="E1267" s="11"/>
      <c r="G1267" s="66"/>
      <c r="H1267" s="8"/>
      <c r="I1267" s="8"/>
      <c r="J1267" s="6"/>
      <c r="L1267" s="4"/>
      <c r="O1267" s="3">
        <v>1265</v>
      </c>
    </row>
    <row r="1268" spans="1:15" x14ac:dyDescent="0.25">
      <c r="A1268" s="3">
        <v>4</v>
      </c>
      <c r="B1268" s="3" t="s">
        <v>207</v>
      </c>
      <c r="C1268" s="1" t="s">
        <v>12</v>
      </c>
      <c r="D1268" s="1" t="s">
        <v>444</v>
      </c>
      <c r="E1268" s="11" t="s">
        <v>144</v>
      </c>
      <c r="F1268" s="3" t="s">
        <v>8</v>
      </c>
      <c r="G1268" s="56" t="s">
        <v>829</v>
      </c>
      <c r="H1268" s="8"/>
      <c r="I1268" s="8"/>
      <c r="J1268" s="6" t="s">
        <v>110</v>
      </c>
      <c r="K1268" s="38">
        <v>35000</v>
      </c>
      <c r="L1268" s="4" t="s">
        <v>29</v>
      </c>
      <c r="M1268" s="11">
        <f>_xlfn.NUMBERVALUE(LEFT(Table613612[[#This Row],[Fiscal Year]], 4))</f>
        <v>2015</v>
      </c>
      <c r="N1268" s="42">
        <f t="shared" si="26"/>
        <v>37160.696202531646</v>
      </c>
      <c r="O1268" s="3">
        <v>1266</v>
      </c>
    </row>
    <row r="1269" spans="1:15" x14ac:dyDescent="0.25">
      <c r="A1269" s="3">
        <v>4</v>
      </c>
      <c r="B1269" s="3" t="s">
        <v>207</v>
      </c>
      <c r="C1269" s="1" t="s">
        <v>12</v>
      </c>
      <c r="D1269" s="1" t="s">
        <v>444</v>
      </c>
      <c r="E1269" s="11" t="s">
        <v>144</v>
      </c>
      <c r="F1269" s="3" t="s">
        <v>8</v>
      </c>
      <c r="G1269" s="48" t="s">
        <v>844</v>
      </c>
      <c r="H1269" s="8"/>
      <c r="I1269" s="8"/>
      <c r="J1269" s="6" t="s">
        <v>453</v>
      </c>
      <c r="K1269" s="38">
        <v>4000</v>
      </c>
      <c r="L1269" s="4" t="s">
        <v>29</v>
      </c>
      <c r="M1269" s="11">
        <f>_xlfn.NUMBERVALUE(LEFT(Table613612[[#This Row],[Fiscal Year]], 4))</f>
        <v>2015</v>
      </c>
      <c r="N1269" s="42">
        <f t="shared" si="26"/>
        <v>4246.9367088607596</v>
      </c>
      <c r="O1269" s="3">
        <v>1267</v>
      </c>
    </row>
    <row r="1270" spans="1:15" x14ac:dyDescent="0.25">
      <c r="A1270" s="3">
        <v>4</v>
      </c>
      <c r="B1270" s="3" t="s">
        <v>207</v>
      </c>
      <c r="C1270" s="1" t="s">
        <v>12</v>
      </c>
      <c r="D1270" s="1" t="s">
        <v>444</v>
      </c>
      <c r="E1270" s="11" t="s">
        <v>144</v>
      </c>
      <c r="F1270" s="3" t="s">
        <v>8</v>
      </c>
      <c r="G1270" s="66" t="s">
        <v>845</v>
      </c>
      <c r="H1270" s="8"/>
      <c r="I1270" s="8"/>
      <c r="J1270" s="6" t="s">
        <v>109</v>
      </c>
      <c r="K1270" s="38">
        <v>2000</v>
      </c>
      <c r="L1270" s="4" t="s">
        <v>29</v>
      </c>
      <c r="M1270" s="11">
        <f>_xlfn.NUMBERVALUE(LEFT(Table613612[[#This Row],[Fiscal Year]], 4))</f>
        <v>2015</v>
      </c>
      <c r="N1270" s="42">
        <f t="shared" si="26"/>
        <v>2123.4683544303798</v>
      </c>
      <c r="O1270" s="3">
        <v>1268</v>
      </c>
    </row>
    <row r="1271" spans="1:15" x14ac:dyDescent="0.25">
      <c r="A1271" s="3">
        <v>4</v>
      </c>
      <c r="B1271" s="3" t="s">
        <v>207</v>
      </c>
      <c r="C1271" s="1" t="s">
        <v>12</v>
      </c>
      <c r="D1271" s="1" t="s">
        <v>444</v>
      </c>
      <c r="E1271" s="11" t="s">
        <v>144</v>
      </c>
      <c r="F1271" s="3" t="s">
        <v>8</v>
      </c>
      <c r="G1271" s="48" t="s">
        <v>846</v>
      </c>
      <c r="H1271" s="8"/>
      <c r="I1271" s="8"/>
      <c r="J1271" s="6" t="s">
        <v>111</v>
      </c>
      <c r="K1271" s="38">
        <v>3000</v>
      </c>
      <c r="L1271" s="4" t="s">
        <v>29</v>
      </c>
      <c r="M1271" s="11">
        <f>_xlfn.NUMBERVALUE(LEFT(Table613612[[#This Row],[Fiscal Year]], 4))</f>
        <v>2015</v>
      </c>
      <c r="N1271" s="42">
        <f t="shared" si="26"/>
        <v>3185.2025316455693</v>
      </c>
      <c r="O1271" s="3">
        <v>1269</v>
      </c>
    </row>
    <row r="1272" spans="1:15" x14ac:dyDescent="0.25">
      <c r="A1272" s="3">
        <v>4</v>
      </c>
      <c r="B1272" s="3" t="s">
        <v>207</v>
      </c>
      <c r="C1272" s="1" t="s">
        <v>12</v>
      </c>
      <c r="D1272" s="1" t="s">
        <v>444</v>
      </c>
      <c r="E1272" s="11" t="s">
        <v>144</v>
      </c>
      <c r="F1272" s="3" t="s">
        <v>8</v>
      </c>
      <c r="G1272" s="66" t="s">
        <v>847</v>
      </c>
      <c r="H1272" s="8"/>
      <c r="I1272" s="8"/>
      <c r="J1272" s="6" t="s">
        <v>111</v>
      </c>
      <c r="K1272" s="38">
        <v>3000</v>
      </c>
      <c r="L1272" s="4" t="s">
        <v>29</v>
      </c>
      <c r="M1272" s="11">
        <f>_xlfn.NUMBERVALUE(LEFT(Table613612[[#This Row],[Fiscal Year]], 4))</f>
        <v>2015</v>
      </c>
      <c r="N1272" s="42">
        <f t="shared" si="26"/>
        <v>3185.2025316455693</v>
      </c>
      <c r="O1272" s="3">
        <v>1270</v>
      </c>
    </row>
    <row r="1273" spans="1:15" x14ac:dyDescent="0.25">
      <c r="A1273" s="3">
        <v>4</v>
      </c>
      <c r="B1273" s="3" t="s">
        <v>207</v>
      </c>
      <c r="C1273" s="1" t="s">
        <v>12</v>
      </c>
      <c r="D1273" s="1" t="s">
        <v>444</v>
      </c>
      <c r="E1273" s="11" t="s">
        <v>144</v>
      </c>
      <c r="F1273" s="3" t="s">
        <v>8</v>
      </c>
      <c r="G1273" s="48" t="s">
        <v>857</v>
      </c>
      <c r="H1273" s="8"/>
      <c r="I1273" s="8"/>
      <c r="J1273" s="6" t="s">
        <v>108</v>
      </c>
      <c r="K1273" s="38">
        <v>20000</v>
      </c>
      <c r="L1273" s="4" t="s">
        <v>29</v>
      </c>
      <c r="M1273" s="11">
        <f>_xlfn.NUMBERVALUE(LEFT(Table613612[[#This Row],[Fiscal Year]], 4))</f>
        <v>2015</v>
      </c>
      <c r="N1273" s="42">
        <f t="shared" si="26"/>
        <v>21234.683544303796</v>
      </c>
      <c r="O1273" s="3">
        <v>1271</v>
      </c>
    </row>
    <row r="1274" spans="1:15" x14ac:dyDescent="0.25">
      <c r="A1274" s="3">
        <v>4</v>
      </c>
      <c r="B1274" s="3" t="s">
        <v>207</v>
      </c>
      <c r="C1274" s="1" t="s">
        <v>12</v>
      </c>
      <c r="D1274" s="1" t="s">
        <v>444</v>
      </c>
      <c r="E1274" s="11" t="s">
        <v>144</v>
      </c>
      <c r="F1274" s="3" t="s">
        <v>8</v>
      </c>
      <c r="G1274" s="66" t="s">
        <v>849</v>
      </c>
      <c r="H1274" s="8"/>
      <c r="I1274" s="8"/>
      <c r="J1274" s="6" t="s">
        <v>106</v>
      </c>
      <c r="K1274" s="38">
        <v>1000</v>
      </c>
      <c r="L1274" s="4" t="s">
        <v>29</v>
      </c>
      <c r="M1274" s="11">
        <f>_xlfn.NUMBERVALUE(LEFT(Table613612[[#This Row],[Fiscal Year]], 4))</f>
        <v>2015</v>
      </c>
      <c r="N1274" s="42">
        <f t="shared" si="26"/>
        <v>1061.7341772151899</v>
      </c>
      <c r="O1274" s="3">
        <v>1272</v>
      </c>
    </row>
    <row r="1275" spans="1:15" x14ac:dyDescent="0.25">
      <c r="A1275" s="3">
        <v>4</v>
      </c>
      <c r="B1275" s="3" t="s">
        <v>207</v>
      </c>
      <c r="C1275" s="1" t="s">
        <v>12</v>
      </c>
      <c r="D1275" s="1" t="s">
        <v>444</v>
      </c>
      <c r="E1275" s="11" t="s">
        <v>144</v>
      </c>
      <c r="F1275" s="3" t="s">
        <v>8</v>
      </c>
      <c r="G1275" s="66" t="s">
        <v>850</v>
      </c>
      <c r="H1275" s="8"/>
      <c r="I1275" s="8"/>
      <c r="J1275" s="6" t="s">
        <v>455</v>
      </c>
      <c r="K1275" s="38">
        <v>0</v>
      </c>
      <c r="L1275" s="4" t="s">
        <v>29</v>
      </c>
      <c r="M1275" s="11">
        <f>_xlfn.NUMBERVALUE(LEFT(Table613612[[#This Row],[Fiscal Year]], 4))</f>
        <v>2015</v>
      </c>
      <c r="N1275" s="43">
        <f t="shared" si="26"/>
        <v>0</v>
      </c>
      <c r="O1275" s="3">
        <v>1273</v>
      </c>
    </row>
    <row r="1276" spans="1:15" x14ac:dyDescent="0.25">
      <c r="A1276" s="3">
        <v>4</v>
      </c>
      <c r="B1276" s="3" t="s">
        <v>207</v>
      </c>
      <c r="C1276" s="1" t="s">
        <v>12</v>
      </c>
      <c r="D1276" s="1" t="s">
        <v>444</v>
      </c>
      <c r="E1276" s="11" t="s">
        <v>144</v>
      </c>
      <c r="F1276" s="3" t="s">
        <v>8</v>
      </c>
      <c r="G1276" s="66" t="s">
        <v>851</v>
      </c>
      <c r="H1276" s="8"/>
      <c r="I1276" s="8"/>
      <c r="J1276" s="6" t="s">
        <v>76</v>
      </c>
      <c r="K1276" s="38">
        <v>0</v>
      </c>
      <c r="L1276" s="4" t="s">
        <v>29</v>
      </c>
      <c r="M1276" s="11">
        <f>_xlfn.NUMBERVALUE(LEFT(Table613612[[#This Row],[Fiscal Year]], 4))</f>
        <v>2015</v>
      </c>
      <c r="N1276" s="43">
        <f t="shared" si="26"/>
        <v>0</v>
      </c>
      <c r="O1276" s="3">
        <v>1274</v>
      </c>
    </row>
    <row r="1277" spans="1:15" x14ac:dyDescent="0.25">
      <c r="A1277" s="3">
        <v>4</v>
      </c>
      <c r="B1277" s="3" t="s">
        <v>207</v>
      </c>
      <c r="C1277" s="1" t="s">
        <v>12</v>
      </c>
      <c r="D1277" s="1" t="s">
        <v>444</v>
      </c>
      <c r="E1277" s="11" t="s">
        <v>144</v>
      </c>
      <c r="F1277" s="3" t="s">
        <v>8</v>
      </c>
      <c r="G1277" s="66" t="s">
        <v>852</v>
      </c>
      <c r="H1277" s="8"/>
      <c r="I1277" s="8"/>
      <c r="J1277" s="6" t="s">
        <v>76</v>
      </c>
      <c r="K1277" s="38">
        <v>0</v>
      </c>
      <c r="L1277" s="4" t="s">
        <v>29</v>
      </c>
      <c r="M1277" s="11">
        <f>_xlfn.NUMBERVALUE(LEFT(Table613612[[#This Row],[Fiscal Year]], 4))</f>
        <v>2015</v>
      </c>
      <c r="N1277" s="43">
        <f t="shared" si="26"/>
        <v>0</v>
      </c>
      <c r="O1277" s="3">
        <v>1275</v>
      </c>
    </row>
    <row r="1278" spans="1:15" x14ac:dyDescent="0.25">
      <c r="A1278" s="3">
        <v>4</v>
      </c>
      <c r="B1278" s="3" t="s">
        <v>207</v>
      </c>
      <c r="C1278" s="1" t="s">
        <v>12</v>
      </c>
      <c r="D1278" s="1" t="s">
        <v>444</v>
      </c>
      <c r="E1278" s="11" t="s">
        <v>144</v>
      </c>
      <c r="F1278" s="3" t="s">
        <v>8</v>
      </c>
      <c r="G1278" s="48" t="s">
        <v>853</v>
      </c>
      <c r="H1278" s="8"/>
      <c r="I1278" s="8"/>
      <c r="J1278" s="6" t="s">
        <v>76</v>
      </c>
      <c r="K1278" s="38">
        <v>0</v>
      </c>
      <c r="L1278" s="4" t="s">
        <v>29</v>
      </c>
      <c r="M1278" s="11">
        <f>_xlfn.NUMBERVALUE(LEFT(Table613612[[#This Row],[Fiscal Year]], 4))</f>
        <v>2015</v>
      </c>
      <c r="N1278" s="43">
        <f t="shared" si="26"/>
        <v>0</v>
      </c>
      <c r="O1278" s="3">
        <v>1276</v>
      </c>
    </row>
    <row r="1279" spans="1:15" x14ac:dyDescent="0.25">
      <c r="A1279" s="3">
        <v>4</v>
      </c>
      <c r="B1279" s="3" t="s">
        <v>207</v>
      </c>
      <c r="C1279" s="1" t="s">
        <v>12</v>
      </c>
      <c r="D1279" s="1" t="s">
        <v>444</v>
      </c>
      <c r="E1279" s="11" t="s">
        <v>144</v>
      </c>
      <c r="F1279" s="3" t="s">
        <v>8</v>
      </c>
      <c r="G1279" s="63" t="s">
        <v>854</v>
      </c>
      <c r="H1279" s="8"/>
      <c r="I1279" s="8"/>
      <c r="J1279" s="6" t="s">
        <v>47</v>
      </c>
      <c r="K1279" s="38">
        <v>80000</v>
      </c>
      <c r="L1279" s="4" t="s">
        <v>29</v>
      </c>
      <c r="M1279" s="11">
        <f>_xlfn.NUMBERVALUE(LEFT(Table613612[[#This Row],[Fiscal Year]], 4))</f>
        <v>2015</v>
      </c>
      <c r="N1279" s="42">
        <f t="shared" si="26"/>
        <v>84938.734177215185</v>
      </c>
      <c r="O1279" s="3">
        <v>1277</v>
      </c>
    </row>
    <row r="1280" spans="1:15" x14ac:dyDescent="0.25">
      <c r="A1280" s="3">
        <v>4</v>
      </c>
      <c r="B1280" s="3" t="s">
        <v>207</v>
      </c>
      <c r="C1280" s="1" t="s">
        <v>12</v>
      </c>
      <c r="D1280" s="1" t="s">
        <v>444</v>
      </c>
      <c r="E1280" s="11" t="s">
        <v>144</v>
      </c>
      <c r="F1280" s="3" t="s">
        <v>8</v>
      </c>
      <c r="G1280" s="63" t="s">
        <v>855</v>
      </c>
      <c r="H1280" s="8"/>
      <c r="I1280" s="8"/>
      <c r="J1280" s="6" t="s">
        <v>455</v>
      </c>
      <c r="K1280" s="38">
        <v>33400</v>
      </c>
      <c r="L1280" s="4" t="s">
        <v>29</v>
      </c>
      <c r="M1280" s="11">
        <f>_xlfn.NUMBERVALUE(LEFT(Table613612[[#This Row],[Fiscal Year]], 4))</f>
        <v>2015</v>
      </c>
      <c r="N1280" s="42">
        <f t="shared" si="26"/>
        <v>35461.921518987343</v>
      </c>
      <c r="O1280" s="3">
        <v>1278</v>
      </c>
    </row>
    <row r="1281" spans="1:15" x14ac:dyDescent="0.25">
      <c r="C1281" s="1"/>
      <c r="D1281" s="1"/>
      <c r="E1281" s="11"/>
      <c r="G1281" s="66"/>
      <c r="H1281" s="8"/>
      <c r="I1281" s="8"/>
      <c r="J1281" s="6"/>
      <c r="L1281" s="4"/>
      <c r="O1281" s="3">
        <v>1279</v>
      </c>
    </row>
    <row r="1282" spans="1:15" x14ac:dyDescent="0.25">
      <c r="A1282" s="3">
        <v>4</v>
      </c>
      <c r="B1282" s="3" t="s">
        <v>253</v>
      </c>
      <c r="C1282" s="1" t="s">
        <v>13</v>
      </c>
      <c r="D1282" s="1" t="s">
        <v>444</v>
      </c>
      <c r="E1282" s="11" t="s">
        <v>144</v>
      </c>
      <c r="F1282" s="3" t="s">
        <v>8</v>
      </c>
      <c r="G1282" s="48" t="s">
        <v>32</v>
      </c>
      <c r="H1282" s="8" t="s">
        <v>608</v>
      </c>
      <c r="I1282" s="70" t="s">
        <v>609</v>
      </c>
      <c r="J1282" s="6" t="s">
        <v>110</v>
      </c>
      <c r="K1282" s="38">
        <v>268092</v>
      </c>
      <c r="L1282" s="4" t="s">
        <v>26</v>
      </c>
      <c r="M1282" s="11">
        <f>_xlfn.NUMBERVALUE(LEFT(Table613612[[#This Row],[Fiscal Year]], 4))</f>
        <v>2018</v>
      </c>
      <c r="N1282" s="42">
        <f t="shared" si="26"/>
        <v>268092</v>
      </c>
      <c r="O1282" s="3">
        <v>1280</v>
      </c>
    </row>
    <row r="1283" spans="1:15" x14ac:dyDescent="0.25">
      <c r="A1283" s="3">
        <v>4</v>
      </c>
      <c r="B1283" s="3" t="s">
        <v>253</v>
      </c>
      <c r="C1283" s="1" t="s">
        <v>13</v>
      </c>
      <c r="D1283" s="1" t="s">
        <v>444</v>
      </c>
      <c r="E1283" s="11" t="s">
        <v>144</v>
      </c>
      <c r="F1283" s="3" t="s">
        <v>8</v>
      </c>
      <c r="G1283" s="66" t="s">
        <v>68</v>
      </c>
      <c r="H1283" s="6"/>
      <c r="I1283" s="8"/>
      <c r="J1283" s="6" t="s">
        <v>42</v>
      </c>
      <c r="K1283" s="38">
        <v>52422</v>
      </c>
      <c r="L1283" s="4" t="s">
        <v>26</v>
      </c>
      <c r="M1283" s="11">
        <f>_xlfn.NUMBERVALUE(LEFT(Table613612[[#This Row],[Fiscal Year]], 4))</f>
        <v>2018</v>
      </c>
      <c r="N1283" s="42">
        <f t="shared" si="26"/>
        <v>52422</v>
      </c>
      <c r="O1283" s="3">
        <v>1281</v>
      </c>
    </row>
    <row r="1284" spans="1:15" x14ac:dyDescent="0.25">
      <c r="A1284" s="3">
        <v>4</v>
      </c>
      <c r="B1284" s="3" t="s">
        <v>253</v>
      </c>
      <c r="C1284" s="1" t="s">
        <v>13</v>
      </c>
      <c r="D1284" s="1" t="s">
        <v>444</v>
      </c>
      <c r="E1284" s="11" t="s">
        <v>144</v>
      </c>
      <c r="F1284" s="3" t="s">
        <v>8</v>
      </c>
      <c r="G1284" s="48" t="s">
        <v>69</v>
      </c>
      <c r="H1284" s="8"/>
      <c r="I1284" s="8"/>
      <c r="J1284" s="6" t="s">
        <v>109</v>
      </c>
      <c r="K1284" s="38">
        <v>108949</v>
      </c>
      <c r="L1284" s="4" t="s">
        <v>26</v>
      </c>
      <c r="M1284" s="11">
        <f>_xlfn.NUMBERVALUE(LEFT(Table613612[[#This Row],[Fiscal Year]], 4))</f>
        <v>2018</v>
      </c>
      <c r="N1284" s="42">
        <f t="shared" si="26"/>
        <v>108949</v>
      </c>
      <c r="O1284" s="3">
        <v>1282</v>
      </c>
    </row>
    <row r="1285" spans="1:15" x14ac:dyDescent="0.25">
      <c r="A1285" s="3">
        <v>4</v>
      </c>
      <c r="B1285" s="3" t="s">
        <v>253</v>
      </c>
      <c r="C1285" s="1" t="s">
        <v>13</v>
      </c>
      <c r="D1285" s="1" t="s">
        <v>444</v>
      </c>
      <c r="E1285" s="11" t="s">
        <v>144</v>
      </c>
      <c r="F1285" s="3" t="s">
        <v>8</v>
      </c>
      <c r="G1285" s="48" t="s">
        <v>59</v>
      </c>
      <c r="H1285" s="8"/>
      <c r="I1285" s="8"/>
      <c r="J1285" s="6" t="s">
        <v>111</v>
      </c>
      <c r="K1285" s="38">
        <v>55783</v>
      </c>
      <c r="L1285" s="4" t="s">
        <v>26</v>
      </c>
      <c r="M1285" s="11">
        <f>_xlfn.NUMBERVALUE(LEFT(Table613612[[#This Row],[Fiscal Year]], 4))</f>
        <v>2018</v>
      </c>
      <c r="N1285" s="42">
        <f t="shared" si="26"/>
        <v>55783</v>
      </c>
      <c r="O1285" s="3">
        <v>1283</v>
      </c>
    </row>
    <row r="1286" spans="1:15" x14ac:dyDescent="0.25">
      <c r="A1286" s="3">
        <v>4</v>
      </c>
      <c r="B1286" s="3" t="s">
        <v>253</v>
      </c>
      <c r="C1286" s="1" t="s">
        <v>13</v>
      </c>
      <c r="D1286" s="1" t="s">
        <v>444</v>
      </c>
      <c r="E1286" s="11" t="s">
        <v>144</v>
      </c>
      <c r="F1286" s="3" t="s">
        <v>8</v>
      </c>
      <c r="G1286" s="66" t="s">
        <v>70</v>
      </c>
      <c r="H1286" s="8"/>
      <c r="I1286" s="8"/>
      <c r="J1286" s="6" t="s">
        <v>107</v>
      </c>
      <c r="K1286" s="38">
        <v>106278</v>
      </c>
      <c r="L1286" s="4" t="s">
        <v>26</v>
      </c>
      <c r="M1286" s="11">
        <f>_xlfn.NUMBERVALUE(LEFT(Table613612[[#This Row],[Fiscal Year]], 4))</f>
        <v>2018</v>
      </c>
      <c r="N1286" s="42">
        <f t="shared" si="26"/>
        <v>106278</v>
      </c>
      <c r="O1286" s="3">
        <v>1284</v>
      </c>
    </row>
    <row r="1287" spans="1:15" x14ac:dyDescent="0.25">
      <c r="A1287" s="3">
        <v>4</v>
      </c>
      <c r="B1287" s="3" t="s">
        <v>253</v>
      </c>
      <c r="C1287" s="1" t="s">
        <v>13</v>
      </c>
      <c r="D1287" s="1" t="s">
        <v>444</v>
      </c>
      <c r="E1287" s="11" t="s">
        <v>144</v>
      </c>
      <c r="F1287" s="3" t="s">
        <v>8</v>
      </c>
      <c r="G1287" s="48" t="s">
        <v>72</v>
      </c>
      <c r="H1287" s="8" t="s">
        <v>610</v>
      </c>
      <c r="I1287" s="8" t="s">
        <v>458</v>
      </c>
      <c r="J1287" s="6" t="s">
        <v>108</v>
      </c>
      <c r="K1287" s="38" t="s">
        <v>827</v>
      </c>
      <c r="L1287" s="4" t="s">
        <v>26</v>
      </c>
      <c r="M1287" s="11">
        <f>_xlfn.NUMBERVALUE(LEFT(Table613612[[#This Row],[Fiscal Year]], 4))</f>
        <v>2018</v>
      </c>
      <c r="O1287" s="3">
        <v>1285</v>
      </c>
    </row>
    <row r="1288" spans="1:15" x14ac:dyDescent="0.25">
      <c r="A1288" s="3">
        <v>4</v>
      </c>
      <c r="B1288" s="3" t="s">
        <v>253</v>
      </c>
      <c r="C1288" s="1" t="s">
        <v>13</v>
      </c>
      <c r="D1288" s="1" t="s">
        <v>444</v>
      </c>
      <c r="E1288" s="11" t="s">
        <v>144</v>
      </c>
      <c r="F1288" s="3" t="s">
        <v>8</v>
      </c>
      <c r="G1288" s="66" t="s">
        <v>71</v>
      </c>
      <c r="H1288" s="8" t="s">
        <v>484</v>
      </c>
      <c r="I1288" s="8" t="s">
        <v>458</v>
      </c>
      <c r="J1288" s="6" t="s">
        <v>108</v>
      </c>
      <c r="K1288" s="38">
        <v>410976</v>
      </c>
      <c r="L1288" s="4" t="s">
        <v>26</v>
      </c>
      <c r="M1288" s="11">
        <f>_xlfn.NUMBERVALUE(LEFT(Table613612[[#This Row],[Fiscal Year]], 4))</f>
        <v>2018</v>
      </c>
      <c r="N1288" s="42">
        <f t="shared" si="26"/>
        <v>410976</v>
      </c>
      <c r="O1288" s="3">
        <v>1286</v>
      </c>
    </row>
    <row r="1289" spans="1:15" x14ac:dyDescent="0.25">
      <c r="A1289" s="3">
        <v>4</v>
      </c>
      <c r="B1289" s="3" t="s">
        <v>253</v>
      </c>
      <c r="C1289" s="1" t="s">
        <v>13</v>
      </c>
      <c r="D1289" s="1" t="s">
        <v>444</v>
      </c>
      <c r="E1289" s="11" t="s">
        <v>144</v>
      </c>
      <c r="F1289" s="3" t="s">
        <v>8</v>
      </c>
      <c r="G1289" s="48" t="s">
        <v>73</v>
      </c>
      <c r="H1289" s="8"/>
      <c r="I1289" s="8"/>
      <c r="J1289" s="6" t="s">
        <v>108</v>
      </c>
      <c r="K1289" s="38">
        <v>130000</v>
      </c>
      <c r="L1289" s="4" t="s">
        <v>26</v>
      </c>
      <c r="M1289" s="11">
        <f>_xlfn.NUMBERVALUE(LEFT(Table613612[[#This Row],[Fiscal Year]], 4))</f>
        <v>2018</v>
      </c>
      <c r="N1289" s="42">
        <f t="shared" si="26"/>
        <v>130000</v>
      </c>
      <c r="O1289" s="3">
        <v>1287</v>
      </c>
    </row>
    <row r="1290" spans="1:15" x14ac:dyDescent="0.25">
      <c r="A1290" s="3">
        <v>4</v>
      </c>
      <c r="B1290" s="3" t="s">
        <v>253</v>
      </c>
      <c r="C1290" s="1" t="s">
        <v>13</v>
      </c>
      <c r="D1290" s="1" t="s">
        <v>444</v>
      </c>
      <c r="E1290" s="11" t="s">
        <v>144</v>
      </c>
      <c r="F1290" s="3" t="s">
        <v>8</v>
      </c>
      <c r="G1290" s="48" t="s">
        <v>74</v>
      </c>
      <c r="H1290" s="8" t="s">
        <v>611</v>
      </c>
      <c r="I1290" s="8" t="s">
        <v>458</v>
      </c>
      <c r="J1290" s="6" t="s">
        <v>108</v>
      </c>
      <c r="K1290" s="38">
        <v>7259</v>
      </c>
      <c r="L1290" s="4" t="s">
        <v>26</v>
      </c>
      <c r="M1290" s="11">
        <f>_xlfn.NUMBERVALUE(LEFT(Table613612[[#This Row],[Fiscal Year]], 4))</f>
        <v>2018</v>
      </c>
      <c r="N1290" s="42">
        <f t="shared" si="26"/>
        <v>7259</v>
      </c>
      <c r="O1290" s="3">
        <v>1288</v>
      </c>
    </row>
    <row r="1291" spans="1:15" x14ac:dyDescent="0.25">
      <c r="A1291" s="3">
        <v>4</v>
      </c>
      <c r="B1291" s="3" t="s">
        <v>253</v>
      </c>
      <c r="C1291" s="1" t="s">
        <v>13</v>
      </c>
      <c r="D1291" s="1" t="s">
        <v>444</v>
      </c>
      <c r="E1291" s="11" t="s">
        <v>144</v>
      </c>
      <c r="F1291" s="3" t="s">
        <v>8</v>
      </c>
      <c r="G1291" s="48" t="s">
        <v>75</v>
      </c>
      <c r="H1291" s="8" t="s">
        <v>485</v>
      </c>
      <c r="I1291" s="8" t="s">
        <v>458</v>
      </c>
      <c r="J1291" s="6" t="s">
        <v>108</v>
      </c>
      <c r="K1291" s="38">
        <v>21398</v>
      </c>
      <c r="L1291" s="4" t="s">
        <v>26</v>
      </c>
      <c r="M1291" s="11">
        <f>_xlfn.NUMBERVALUE(LEFT(Table613612[[#This Row],[Fiscal Year]], 4))</f>
        <v>2018</v>
      </c>
      <c r="N1291" s="42">
        <f t="shared" si="26"/>
        <v>21398</v>
      </c>
      <c r="O1291" s="3">
        <v>1289</v>
      </c>
    </row>
    <row r="1292" spans="1:15" x14ac:dyDescent="0.25">
      <c r="A1292" s="3">
        <v>4</v>
      </c>
      <c r="B1292" s="3" t="s">
        <v>253</v>
      </c>
      <c r="C1292" s="1" t="s">
        <v>13</v>
      </c>
      <c r="D1292" s="1" t="s">
        <v>444</v>
      </c>
      <c r="E1292" s="11" t="s">
        <v>144</v>
      </c>
      <c r="F1292" s="3" t="s">
        <v>8</v>
      </c>
      <c r="G1292" s="48" t="s">
        <v>76</v>
      </c>
      <c r="H1292" s="8"/>
      <c r="I1292" s="8"/>
      <c r="J1292" s="6" t="s">
        <v>76</v>
      </c>
      <c r="K1292" s="38">
        <v>25000</v>
      </c>
      <c r="L1292" s="4" t="s">
        <v>26</v>
      </c>
      <c r="M1292" s="11">
        <f>_xlfn.NUMBERVALUE(LEFT(Table613612[[#This Row],[Fiscal Year]], 4))</f>
        <v>2018</v>
      </c>
      <c r="N1292" s="42">
        <f t="shared" si="26"/>
        <v>25000</v>
      </c>
      <c r="O1292" s="3">
        <v>1290</v>
      </c>
    </row>
    <row r="1293" spans="1:15" x14ac:dyDescent="0.25">
      <c r="A1293" s="3">
        <v>4</v>
      </c>
      <c r="B1293" s="3" t="s">
        <v>253</v>
      </c>
      <c r="C1293" s="1" t="s">
        <v>13</v>
      </c>
      <c r="D1293" s="1" t="s">
        <v>444</v>
      </c>
      <c r="E1293" s="11" t="s">
        <v>144</v>
      </c>
      <c r="F1293" s="3" t="s">
        <v>8</v>
      </c>
      <c r="G1293" s="48" t="s">
        <v>77</v>
      </c>
      <c r="H1293" s="8"/>
      <c r="I1293" s="8"/>
      <c r="J1293" s="6" t="s">
        <v>106</v>
      </c>
      <c r="K1293" s="38">
        <v>112303</v>
      </c>
      <c r="L1293" s="4" t="s">
        <v>26</v>
      </c>
      <c r="M1293" s="11">
        <f>_xlfn.NUMBERVALUE(LEFT(Table613612[[#This Row],[Fiscal Year]], 4))</f>
        <v>2018</v>
      </c>
      <c r="N1293" s="42">
        <f t="shared" si="26"/>
        <v>112303</v>
      </c>
      <c r="O1293" s="3">
        <v>1291</v>
      </c>
    </row>
    <row r="1294" spans="1:15" x14ac:dyDescent="0.25">
      <c r="A1294" s="3">
        <v>4</v>
      </c>
      <c r="B1294" s="3" t="s">
        <v>253</v>
      </c>
      <c r="C1294" s="1" t="s">
        <v>13</v>
      </c>
      <c r="D1294" s="1" t="s">
        <v>444</v>
      </c>
      <c r="E1294" s="11" t="s">
        <v>144</v>
      </c>
      <c r="F1294" s="3" t="s">
        <v>8</v>
      </c>
      <c r="G1294" s="48" t="s">
        <v>78</v>
      </c>
      <c r="H1294" s="8"/>
      <c r="I1294" s="8"/>
      <c r="J1294" s="6" t="s">
        <v>47</v>
      </c>
      <c r="K1294" s="38" t="s">
        <v>827</v>
      </c>
      <c r="L1294" s="4" t="s">
        <v>26</v>
      </c>
      <c r="M1294" s="11">
        <f>_xlfn.NUMBERVALUE(LEFT(Table613612[[#This Row],[Fiscal Year]], 4))</f>
        <v>2018</v>
      </c>
      <c r="O1294" s="3">
        <v>1292</v>
      </c>
    </row>
    <row r="1295" spans="1:15" x14ac:dyDescent="0.25">
      <c r="A1295" s="3">
        <v>4</v>
      </c>
      <c r="B1295" s="3" t="s">
        <v>253</v>
      </c>
      <c r="C1295" s="1" t="s">
        <v>13</v>
      </c>
      <c r="D1295" s="1" t="s">
        <v>444</v>
      </c>
      <c r="E1295" s="11" t="s">
        <v>144</v>
      </c>
      <c r="F1295" s="3" t="s">
        <v>8</v>
      </c>
      <c r="G1295" s="48" t="s">
        <v>79</v>
      </c>
      <c r="H1295" s="8" t="s">
        <v>483</v>
      </c>
      <c r="I1295" s="8" t="s">
        <v>458</v>
      </c>
      <c r="J1295" s="6" t="s">
        <v>455</v>
      </c>
      <c r="K1295" s="38">
        <v>95000</v>
      </c>
      <c r="L1295" s="4" t="s">
        <v>26</v>
      </c>
      <c r="M1295" s="11">
        <f>_xlfn.NUMBERVALUE(LEFT(Table613612[[#This Row],[Fiscal Year]], 4))</f>
        <v>2018</v>
      </c>
      <c r="N1295" s="42">
        <f t="shared" ref="N1295:N1354" si="27">K1295*(1+VLOOKUP(M1295,$AF$8:$AH$31,3,0))</f>
        <v>95000</v>
      </c>
      <c r="O1295" s="3">
        <v>1293</v>
      </c>
    </row>
    <row r="1296" spans="1:15" x14ac:dyDescent="0.25">
      <c r="A1296" s="3">
        <v>4</v>
      </c>
      <c r="B1296" s="3" t="s">
        <v>253</v>
      </c>
      <c r="C1296" s="1" t="s">
        <v>13</v>
      </c>
      <c r="D1296" s="1" t="s">
        <v>444</v>
      </c>
      <c r="E1296" s="11" t="s">
        <v>144</v>
      </c>
      <c r="F1296" s="3" t="s">
        <v>8</v>
      </c>
      <c r="G1296" s="48" t="s">
        <v>80</v>
      </c>
      <c r="H1296" s="8"/>
      <c r="I1296" s="8"/>
      <c r="J1296" s="6" t="s">
        <v>605</v>
      </c>
      <c r="K1296" s="38">
        <v>118702</v>
      </c>
      <c r="L1296" s="4" t="s">
        <v>26</v>
      </c>
      <c r="M1296" s="11">
        <f>_xlfn.NUMBERVALUE(LEFT(Table613612[[#This Row],[Fiscal Year]], 4))</f>
        <v>2018</v>
      </c>
      <c r="N1296" s="42">
        <f t="shared" si="27"/>
        <v>118702</v>
      </c>
      <c r="O1296" s="3">
        <v>1294</v>
      </c>
    </row>
    <row r="1297" spans="1:15" x14ac:dyDescent="0.25">
      <c r="A1297" s="3">
        <v>4</v>
      </c>
      <c r="B1297" s="3" t="s">
        <v>253</v>
      </c>
      <c r="C1297" s="1" t="s">
        <v>13</v>
      </c>
      <c r="D1297" s="1" t="s">
        <v>444</v>
      </c>
      <c r="E1297" s="11" t="s">
        <v>144</v>
      </c>
      <c r="F1297" s="3" t="s">
        <v>8</v>
      </c>
      <c r="G1297" s="48" t="s">
        <v>67</v>
      </c>
      <c r="H1297" s="8"/>
      <c r="I1297" s="8"/>
      <c r="J1297" s="6" t="s">
        <v>455</v>
      </c>
      <c r="K1297" s="38" t="s">
        <v>827</v>
      </c>
      <c r="L1297" s="4" t="s">
        <v>26</v>
      </c>
      <c r="M1297" s="11">
        <f>_xlfn.NUMBERVALUE(LEFT(Table613612[[#This Row],[Fiscal Year]], 4))</f>
        <v>2018</v>
      </c>
      <c r="O1297" s="3">
        <v>1295</v>
      </c>
    </row>
    <row r="1298" spans="1:15" x14ac:dyDescent="0.25">
      <c r="C1298" s="1"/>
      <c r="D1298" s="1"/>
      <c r="E1298" s="11"/>
      <c r="G1298" s="66"/>
      <c r="H1298" s="8"/>
      <c r="I1298" s="8"/>
      <c r="J1298" s="6"/>
      <c r="L1298" s="4"/>
      <c r="O1298" s="3">
        <v>1296</v>
      </c>
    </row>
    <row r="1299" spans="1:15" x14ac:dyDescent="0.25">
      <c r="A1299" s="3">
        <v>4</v>
      </c>
      <c r="B1299" s="3" t="s">
        <v>13</v>
      </c>
      <c r="C1299" s="1" t="s">
        <v>13</v>
      </c>
      <c r="D1299" s="1" t="s">
        <v>444</v>
      </c>
      <c r="E1299" s="11" t="s">
        <v>144</v>
      </c>
      <c r="F1299" s="3" t="s">
        <v>5</v>
      </c>
      <c r="G1299" s="48" t="s">
        <v>32</v>
      </c>
      <c r="H1299" s="8" t="s">
        <v>608</v>
      </c>
      <c r="I1299" s="70" t="s">
        <v>609</v>
      </c>
      <c r="J1299" s="6" t="s">
        <v>110</v>
      </c>
      <c r="K1299" s="38">
        <v>349985</v>
      </c>
      <c r="L1299" s="4" t="s">
        <v>26</v>
      </c>
      <c r="M1299" s="11">
        <f>_xlfn.NUMBERVALUE(LEFT(Table613612[[#This Row],[Fiscal Year]], 4))</f>
        <v>2018</v>
      </c>
      <c r="N1299" s="42">
        <f t="shared" si="27"/>
        <v>349985</v>
      </c>
      <c r="O1299" s="3">
        <v>1297</v>
      </c>
    </row>
    <row r="1300" spans="1:15" x14ac:dyDescent="0.25">
      <c r="A1300" s="3">
        <v>4</v>
      </c>
      <c r="B1300" s="3" t="s">
        <v>13</v>
      </c>
      <c r="C1300" s="1" t="s">
        <v>13</v>
      </c>
      <c r="D1300" s="1" t="s">
        <v>444</v>
      </c>
      <c r="E1300" s="11" t="s">
        <v>144</v>
      </c>
      <c r="F1300" s="3" t="s">
        <v>5</v>
      </c>
      <c r="G1300" s="66" t="s">
        <v>68</v>
      </c>
      <c r="H1300" s="6"/>
      <c r="I1300" s="8"/>
      <c r="J1300" s="6" t="s">
        <v>42</v>
      </c>
      <c r="K1300" s="38">
        <v>117685</v>
      </c>
      <c r="L1300" s="4" t="s">
        <v>26</v>
      </c>
      <c r="M1300" s="11">
        <f>_xlfn.NUMBERVALUE(LEFT(Table613612[[#This Row],[Fiscal Year]], 4))</f>
        <v>2018</v>
      </c>
      <c r="N1300" s="42">
        <f t="shared" si="27"/>
        <v>117685</v>
      </c>
      <c r="O1300" s="3">
        <v>1298</v>
      </c>
    </row>
    <row r="1301" spans="1:15" x14ac:dyDescent="0.25">
      <c r="A1301" s="3">
        <v>4</v>
      </c>
      <c r="B1301" s="3" t="s">
        <v>13</v>
      </c>
      <c r="C1301" s="1" t="s">
        <v>13</v>
      </c>
      <c r="D1301" s="1" t="s">
        <v>444</v>
      </c>
      <c r="E1301" s="11" t="s">
        <v>144</v>
      </c>
      <c r="F1301" s="3" t="s">
        <v>5</v>
      </c>
      <c r="G1301" s="48" t="s">
        <v>69</v>
      </c>
      <c r="H1301" s="8"/>
      <c r="I1301" s="8"/>
      <c r="J1301" s="6" t="s">
        <v>109</v>
      </c>
      <c r="K1301" s="38">
        <v>143580</v>
      </c>
      <c r="L1301" s="4" t="s">
        <v>26</v>
      </c>
      <c r="M1301" s="11">
        <f>_xlfn.NUMBERVALUE(LEFT(Table613612[[#This Row],[Fiscal Year]], 4))</f>
        <v>2018</v>
      </c>
      <c r="N1301" s="42">
        <f t="shared" si="27"/>
        <v>143580</v>
      </c>
      <c r="O1301" s="3">
        <v>1299</v>
      </c>
    </row>
    <row r="1302" spans="1:15" x14ac:dyDescent="0.25">
      <c r="A1302" s="3">
        <v>4</v>
      </c>
      <c r="B1302" s="3" t="s">
        <v>13</v>
      </c>
      <c r="C1302" s="1" t="s">
        <v>13</v>
      </c>
      <c r="D1302" s="1" t="s">
        <v>444</v>
      </c>
      <c r="E1302" s="11" t="s">
        <v>144</v>
      </c>
      <c r="F1302" s="3" t="s">
        <v>5</v>
      </c>
      <c r="G1302" s="48" t="s">
        <v>59</v>
      </c>
      <c r="H1302" s="8"/>
      <c r="I1302" s="8"/>
      <c r="J1302" s="6" t="s">
        <v>111</v>
      </c>
      <c r="K1302" s="38">
        <v>157685</v>
      </c>
      <c r="L1302" s="4" t="s">
        <v>26</v>
      </c>
      <c r="M1302" s="11">
        <f>_xlfn.NUMBERVALUE(LEFT(Table613612[[#This Row],[Fiscal Year]], 4))</f>
        <v>2018</v>
      </c>
      <c r="N1302" s="42">
        <f t="shared" si="27"/>
        <v>157685</v>
      </c>
      <c r="O1302" s="3">
        <v>1300</v>
      </c>
    </row>
    <row r="1303" spans="1:15" x14ac:dyDescent="0.25">
      <c r="A1303" s="3">
        <v>4</v>
      </c>
      <c r="B1303" s="3" t="s">
        <v>13</v>
      </c>
      <c r="C1303" s="1" t="s">
        <v>13</v>
      </c>
      <c r="D1303" s="1" t="s">
        <v>444</v>
      </c>
      <c r="E1303" s="11" t="s">
        <v>144</v>
      </c>
      <c r="F1303" s="3" t="s">
        <v>5</v>
      </c>
      <c r="G1303" s="66" t="s">
        <v>70</v>
      </c>
      <c r="H1303" s="8"/>
      <c r="I1303" s="8"/>
      <c r="J1303" s="6" t="s">
        <v>107</v>
      </c>
      <c r="K1303" s="38" t="s">
        <v>827</v>
      </c>
      <c r="L1303" s="4" t="s">
        <v>26</v>
      </c>
      <c r="M1303" s="11">
        <f>_xlfn.NUMBERVALUE(LEFT(Table613612[[#This Row],[Fiscal Year]], 4))</f>
        <v>2018</v>
      </c>
      <c r="O1303" s="3">
        <v>1301</v>
      </c>
    </row>
    <row r="1304" spans="1:15" x14ac:dyDescent="0.25">
      <c r="A1304" s="3">
        <v>4</v>
      </c>
      <c r="B1304" s="3" t="s">
        <v>13</v>
      </c>
      <c r="C1304" s="1" t="s">
        <v>13</v>
      </c>
      <c r="D1304" s="1" t="s">
        <v>444</v>
      </c>
      <c r="E1304" s="11" t="s">
        <v>144</v>
      </c>
      <c r="F1304" s="3" t="s">
        <v>5</v>
      </c>
      <c r="G1304" s="48" t="s">
        <v>72</v>
      </c>
      <c r="H1304" s="8" t="s">
        <v>610</v>
      </c>
      <c r="I1304" s="8" t="s">
        <v>458</v>
      </c>
      <c r="J1304" s="6" t="s">
        <v>108</v>
      </c>
      <c r="K1304" s="38">
        <v>167000</v>
      </c>
      <c r="L1304" s="4" t="s">
        <v>26</v>
      </c>
      <c r="M1304" s="11">
        <f>_xlfn.NUMBERVALUE(LEFT(Table613612[[#This Row],[Fiscal Year]], 4))</f>
        <v>2018</v>
      </c>
      <c r="N1304" s="42">
        <f t="shared" si="27"/>
        <v>167000</v>
      </c>
      <c r="O1304" s="3">
        <v>1302</v>
      </c>
    </row>
    <row r="1305" spans="1:15" x14ac:dyDescent="0.25">
      <c r="A1305" s="3">
        <v>4</v>
      </c>
      <c r="B1305" s="3" t="s">
        <v>13</v>
      </c>
      <c r="C1305" s="1" t="s">
        <v>13</v>
      </c>
      <c r="D1305" s="1" t="s">
        <v>444</v>
      </c>
      <c r="E1305" s="11" t="s">
        <v>144</v>
      </c>
      <c r="F1305" s="3" t="s">
        <v>5</v>
      </c>
      <c r="G1305" s="66" t="s">
        <v>71</v>
      </c>
      <c r="H1305" s="8" t="s">
        <v>484</v>
      </c>
      <c r="I1305" s="8" t="s">
        <v>458</v>
      </c>
      <c r="J1305" s="6" t="s">
        <v>108</v>
      </c>
      <c r="K1305" s="38" t="s">
        <v>431</v>
      </c>
      <c r="L1305" s="4" t="s">
        <v>26</v>
      </c>
      <c r="M1305" s="11">
        <f>_xlfn.NUMBERVALUE(LEFT(Table613612[[#This Row],[Fiscal Year]], 4))</f>
        <v>2018</v>
      </c>
      <c r="O1305" s="3">
        <v>1303</v>
      </c>
    </row>
    <row r="1306" spans="1:15" x14ac:dyDescent="0.25">
      <c r="A1306" s="3">
        <v>4</v>
      </c>
      <c r="B1306" s="3" t="s">
        <v>13</v>
      </c>
      <c r="C1306" s="1" t="s">
        <v>13</v>
      </c>
      <c r="D1306" s="1" t="s">
        <v>444</v>
      </c>
      <c r="E1306" s="11" t="s">
        <v>144</v>
      </c>
      <c r="F1306" s="3" t="s">
        <v>5</v>
      </c>
      <c r="G1306" s="48" t="s">
        <v>73</v>
      </c>
      <c r="H1306" s="8"/>
      <c r="I1306" s="8"/>
      <c r="J1306" s="6" t="s">
        <v>108</v>
      </c>
      <c r="K1306" s="38" t="s">
        <v>431</v>
      </c>
      <c r="L1306" s="4" t="s">
        <v>26</v>
      </c>
      <c r="M1306" s="11">
        <f>_xlfn.NUMBERVALUE(LEFT(Table613612[[#This Row],[Fiscal Year]], 4))</f>
        <v>2018</v>
      </c>
      <c r="O1306" s="3">
        <v>1304</v>
      </c>
    </row>
    <row r="1307" spans="1:15" x14ac:dyDescent="0.25">
      <c r="A1307" s="3">
        <v>4</v>
      </c>
      <c r="B1307" s="3" t="s">
        <v>13</v>
      </c>
      <c r="C1307" s="1" t="s">
        <v>13</v>
      </c>
      <c r="D1307" s="1" t="s">
        <v>444</v>
      </c>
      <c r="E1307" s="11" t="s">
        <v>144</v>
      </c>
      <c r="F1307" s="3" t="s">
        <v>5</v>
      </c>
      <c r="G1307" s="48" t="s">
        <v>74</v>
      </c>
      <c r="H1307" s="8" t="s">
        <v>611</v>
      </c>
      <c r="I1307" s="8" t="s">
        <v>458</v>
      </c>
      <c r="J1307" s="6" t="s">
        <v>108</v>
      </c>
      <c r="K1307" s="38" t="s">
        <v>431</v>
      </c>
      <c r="L1307" s="4" t="s">
        <v>26</v>
      </c>
      <c r="M1307" s="11">
        <f>_xlfn.NUMBERVALUE(LEFT(Table613612[[#This Row],[Fiscal Year]], 4))</f>
        <v>2018</v>
      </c>
      <c r="O1307" s="3">
        <v>1305</v>
      </c>
    </row>
    <row r="1308" spans="1:15" x14ac:dyDescent="0.25">
      <c r="A1308" s="3">
        <v>4</v>
      </c>
      <c r="B1308" s="3" t="s">
        <v>13</v>
      </c>
      <c r="C1308" s="1" t="s">
        <v>13</v>
      </c>
      <c r="D1308" s="1" t="s">
        <v>444</v>
      </c>
      <c r="E1308" s="11" t="s">
        <v>144</v>
      </c>
      <c r="F1308" s="3" t="s">
        <v>5</v>
      </c>
      <c r="G1308" s="66" t="s">
        <v>75</v>
      </c>
      <c r="H1308" s="8" t="s">
        <v>485</v>
      </c>
      <c r="I1308" s="8" t="s">
        <v>458</v>
      </c>
      <c r="J1308" s="6" t="s">
        <v>108</v>
      </c>
      <c r="K1308" s="38" t="s">
        <v>431</v>
      </c>
      <c r="L1308" s="4" t="s">
        <v>26</v>
      </c>
      <c r="M1308" s="11">
        <f>_xlfn.NUMBERVALUE(LEFT(Table613612[[#This Row],[Fiscal Year]], 4))</f>
        <v>2018</v>
      </c>
      <c r="O1308" s="3">
        <v>1306</v>
      </c>
    </row>
    <row r="1309" spans="1:15" x14ac:dyDescent="0.25">
      <c r="A1309" s="3">
        <v>4</v>
      </c>
      <c r="B1309" s="3" t="s">
        <v>13</v>
      </c>
      <c r="C1309" s="1" t="s">
        <v>13</v>
      </c>
      <c r="D1309" s="1" t="s">
        <v>444</v>
      </c>
      <c r="E1309" s="11" t="s">
        <v>144</v>
      </c>
      <c r="F1309" s="3" t="s">
        <v>5</v>
      </c>
      <c r="G1309" s="48" t="s">
        <v>76</v>
      </c>
      <c r="H1309" s="8"/>
      <c r="I1309" s="8"/>
      <c r="J1309" s="6" t="s">
        <v>76</v>
      </c>
      <c r="K1309" s="38">
        <v>1460000</v>
      </c>
      <c r="L1309" s="4" t="s">
        <v>26</v>
      </c>
      <c r="M1309" s="11">
        <f>_xlfn.NUMBERVALUE(LEFT(Table613612[[#This Row],[Fiscal Year]], 4))</f>
        <v>2018</v>
      </c>
      <c r="N1309" s="42">
        <f t="shared" si="27"/>
        <v>1460000</v>
      </c>
      <c r="O1309" s="3">
        <v>1307</v>
      </c>
    </row>
    <row r="1310" spans="1:15" x14ac:dyDescent="0.25">
      <c r="A1310" s="3">
        <v>4</v>
      </c>
      <c r="B1310" s="3" t="s">
        <v>13</v>
      </c>
      <c r="C1310" s="1" t="s">
        <v>13</v>
      </c>
      <c r="D1310" s="1" t="s">
        <v>444</v>
      </c>
      <c r="E1310" s="11" t="s">
        <v>144</v>
      </c>
      <c r="F1310" s="3" t="s">
        <v>5</v>
      </c>
      <c r="G1310" s="66" t="s">
        <v>77</v>
      </c>
      <c r="H1310" s="8"/>
      <c r="I1310" s="8"/>
      <c r="J1310" s="6" t="s">
        <v>106</v>
      </c>
      <c r="K1310" s="38">
        <v>143580</v>
      </c>
      <c r="L1310" s="4" t="s">
        <v>26</v>
      </c>
      <c r="M1310" s="11">
        <f>_xlfn.NUMBERVALUE(LEFT(Table613612[[#This Row],[Fiscal Year]], 4))</f>
        <v>2018</v>
      </c>
      <c r="N1310" s="42">
        <f t="shared" si="27"/>
        <v>143580</v>
      </c>
      <c r="O1310" s="3">
        <v>1308</v>
      </c>
    </row>
    <row r="1311" spans="1:15" x14ac:dyDescent="0.25">
      <c r="A1311" s="3">
        <v>4</v>
      </c>
      <c r="B1311" s="3" t="s">
        <v>13</v>
      </c>
      <c r="C1311" s="1" t="s">
        <v>13</v>
      </c>
      <c r="D1311" s="1" t="s">
        <v>444</v>
      </c>
      <c r="E1311" s="11" t="s">
        <v>144</v>
      </c>
      <c r="F1311" s="3" t="s">
        <v>5</v>
      </c>
      <c r="G1311" s="66" t="s">
        <v>78</v>
      </c>
      <c r="H1311" s="8"/>
      <c r="I1311" s="8"/>
      <c r="J1311" s="6" t="s">
        <v>47</v>
      </c>
      <c r="K1311" s="38">
        <v>0</v>
      </c>
      <c r="L1311" s="4" t="s">
        <v>26</v>
      </c>
      <c r="M1311" s="11">
        <f>_xlfn.NUMBERVALUE(LEFT(Table613612[[#This Row],[Fiscal Year]], 4))</f>
        <v>2018</v>
      </c>
      <c r="N1311" s="43">
        <f t="shared" si="27"/>
        <v>0</v>
      </c>
      <c r="O1311" s="3">
        <v>1309</v>
      </c>
    </row>
    <row r="1312" spans="1:15" x14ac:dyDescent="0.25">
      <c r="A1312" s="3">
        <v>4</v>
      </c>
      <c r="B1312" s="3" t="s">
        <v>13</v>
      </c>
      <c r="C1312" s="1" t="s">
        <v>13</v>
      </c>
      <c r="D1312" s="1" t="s">
        <v>444</v>
      </c>
      <c r="E1312" s="11" t="s">
        <v>144</v>
      </c>
      <c r="F1312" s="3" t="s">
        <v>5</v>
      </c>
      <c r="G1312" s="48" t="s">
        <v>79</v>
      </c>
      <c r="H1312" s="8" t="s">
        <v>483</v>
      </c>
      <c r="I1312" s="8" t="s">
        <v>458</v>
      </c>
      <c r="J1312" s="6" t="s">
        <v>455</v>
      </c>
      <c r="K1312" s="38">
        <v>224000</v>
      </c>
      <c r="L1312" s="4" t="s">
        <v>26</v>
      </c>
      <c r="M1312" s="11">
        <f>_xlfn.NUMBERVALUE(LEFT(Table613612[[#This Row],[Fiscal Year]], 4))</f>
        <v>2018</v>
      </c>
      <c r="N1312" s="42">
        <f t="shared" si="27"/>
        <v>224000</v>
      </c>
      <c r="O1312" s="3">
        <v>1310</v>
      </c>
    </row>
    <row r="1313" spans="1:15" x14ac:dyDescent="0.25">
      <c r="A1313" s="3">
        <v>4</v>
      </c>
      <c r="B1313" s="3" t="s">
        <v>13</v>
      </c>
      <c r="C1313" s="1" t="s">
        <v>13</v>
      </c>
      <c r="D1313" s="1" t="s">
        <v>444</v>
      </c>
      <c r="E1313" s="11" t="s">
        <v>144</v>
      </c>
      <c r="F1313" s="3" t="s">
        <v>5</v>
      </c>
      <c r="G1313" s="66" t="s">
        <v>80</v>
      </c>
      <c r="H1313" s="8"/>
      <c r="I1313" s="8"/>
      <c r="J1313" s="6" t="s">
        <v>605</v>
      </c>
      <c r="K1313" s="38">
        <v>172685</v>
      </c>
      <c r="L1313" s="4" t="s">
        <v>26</v>
      </c>
      <c r="M1313" s="11">
        <f>_xlfn.NUMBERVALUE(LEFT(Table613612[[#This Row],[Fiscal Year]], 4))</f>
        <v>2018</v>
      </c>
      <c r="N1313" s="42">
        <f t="shared" si="27"/>
        <v>172685</v>
      </c>
      <c r="O1313" s="3">
        <v>1311</v>
      </c>
    </row>
    <row r="1314" spans="1:15" x14ac:dyDescent="0.25">
      <c r="A1314" s="3">
        <v>4</v>
      </c>
      <c r="B1314" s="3" t="s">
        <v>13</v>
      </c>
      <c r="C1314" s="1" t="s">
        <v>13</v>
      </c>
      <c r="D1314" s="1" t="s">
        <v>444</v>
      </c>
      <c r="E1314" s="11" t="s">
        <v>144</v>
      </c>
      <c r="F1314" s="3" t="s">
        <v>5</v>
      </c>
      <c r="G1314" s="48" t="s">
        <v>67</v>
      </c>
      <c r="H1314" s="8"/>
      <c r="I1314" s="8"/>
      <c r="J1314" s="6" t="s">
        <v>455</v>
      </c>
      <c r="K1314" s="38" t="s">
        <v>827</v>
      </c>
      <c r="L1314" s="4" t="s">
        <v>26</v>
      </c>
      <c r="M1314" s="11">
        <f>_xlfn.NUMBERVALUE(LEFT(Table613612[[#This Row],[Fiscal Year]], 4))</f>
        <v>2018</v>
      </c>
      <c r="O1314" s="3">
        <v>1312</v>
      </c>
    </row>
    <row r="1315" spans="1:15" x14ac:dyDescent="0.25">
      <c r="C1315" s="1"/>
      <c r="D1315" s="1"/>
      <c r="E1315" s="11"/>
      <c r="G1315" s="66"/>
      <c r="H1315" s="8"/>
      <c r="I1315" s="8"/>
      <c r="J1315" s="6"/>
      <c r="L1315" s="4"/>
      <c r="O1315" s="3">
        <v>1313</v>
      </c>
    </row>
    <row r="1316" spans="1:15" x14ac:dyDescent="0.25">
      <c r="A1316" s="3">
        <v>4</v>
      </c>
      <c r="B1316" s="3" t="s">
        <v>254</v>
      </c>
      <c r="C1316" s="1" t="s">
        <v>13</v>
      </c>
      <c r="D1316" s="1" t="s">
        <v>444</v>
      </c>
      <c r="E1316" s="11" t="s">
        <v>144</v>
      </c>
      <c r="F1316" s="3" t="s">
        <v>8</v>
      </c>
      <c r="G1316" s="48" t="s">
        <v>32</v>
      </c>
      <c r="H1316" s="8" t="s">
        <v>608</v>
      </c>
      <c r="I1316" s="70" t="s">
        <v>609</v>
      </c>
      <c r="J1316" s="6" t="s">
        <v>110</v>
      </c>
      <c r="K1316" s="38">
        <v>10456</v>
      </c>
      <c r="L1316" s="4" t="s">
        <v>26</v>
      </c>
      <c r="M1316" s="11">
        <f>_xlfn.NUMBERVALUE(LEFT(Table613612[[#This Row],[Fiscal Year]], 4))</f>
        <v>2018</v>
      </c>
      <c r="N1316" s="42">
        <f t="shared" si="27"/>
        <v>10456</v>
      </c>
      <c r="O1316" s="3">
        <v>1314</v>
      </c>
    </row>
    <row r="1317" spans="1:15" x14ac:dyDescent="0.25">
      <c r="A1317" s="3">
        <v>4</v>
      </c>
      <c r="B1317" s="3" t="s">
        <v>254</v>
      </c>
      <c r="C1317" s="1" t="s">
        <v>13</v>
      </c>
      <c r="D1317" s="1" t="s">
        <v>444</v>
      </c>
      <c r="E1317" s="11" t="s">
        <v>144</v>
      </c>
      <c r="F1317" s="3" t="s">
        <v>8</v>
      </c>
      <c r="G1317" s="66" t="s">
        <v>68</v>
      </c>
      <c r="H1317" s="6"/>
      <c r="I1317" s="8"/>
      <c r="J1317" s="6" t="s">
        <v>42</v>
      </c>
      <c r="K1317" s="38">
        <v>4000</v>
      </c>
      <c r="L1317" s="4" t="s">
        <v>26</v>
      </c>
      <c r="M1317" s="11">
        <f>_xlfn.NUMBERVALUE(LEFT(Table613612[[#This Row],[Fiscal Year]], 4))</f>
        <v>2018</v>
      </c>
      <c r="N1317" s="42">
        <f t="shared" si="27"/>
        <v>4000</v>
      </c>
      <c r="O1317" s="3">
        <v>1315</v>
      </c>
    </row>
    <row r="1318" spans="1:15" x14ac:dyDescent="0.25">
      <c r="A1318" s="3">
        <v>4</v>
      </c>
      <c r="B1318" s="3" t="s">
        <v>254</v>
      </c>
      <c r="C1318" s="1" t="s">
        <v>13</v>
      </c>
      <c r="D1318" s="1" t="s">
        <v>444</v>
      </c>
      <c r="E1318" s="11" t="s">
        <v>144</v>
      </c>
      <c r="F1318" s="3" t="s">
        <v>8</v>
      </c>
      <c r="G1318" s="48" t="s">
        <v>69</v>
      </c>
      <c r="H1318" s="8"/>
      <c r="I1318" s="8"/>
      <c r="J1318" s="6" t="s">
        <v>109</v>
      </c>
      <c r="K1318" s="38">
        <v>6000</v>
      </c>
      <c r="L1318" s="4" t="s">
        <v>26</v>
      </c>
      <c r="M1318" s="11">
        <f>_xlfn.NUMBERVALUE(LEFT(Table613612[[#This Row],[Fiscal Year]], 4))</f>
        <v>2018</v>
      </c>
      <c r="N1318" s="42">
        <f t="shared" si="27"/>
        <v>6000</v>
      </c>
      <c r="O1318" s="3">
        <v>1316</v>
      </c>
    </row>
    <row r="1319" spans="1:15" x14ac:dyDescent="0.25">
      <c r="A1319" s="3">
        <v>4</v>
      </c>
      <c r="B1319" s="3" t="s">
        <v>254</v>
      </c>
      <c r="C1319" s="1" t="s">
        <v>13</v>
      </c>
      <c r="D1319" s="1" t="s">
        <v>444</v>
      </c>
      <c r="E1319" s="11" t="s">
        <v>144</v>
      </c>
      <c r="F1319" s="3" t="s">
        <v>8</v>
      </c>
      <c r="G1319" s="48" t="s">
        <v>59</v>
      </c>
      <c r="H1319" s="8"/>
      <c r="I1319" s="8"/>
      <c r="J1319" s="6" t="s">
        <v>111</v>
      </c>
      <c r="K1319" s="38">
        <v>5000</v>
      </c>
      <c r="L1319" s="4" t="s">
        <v>26</v>
      </c>
      <c r="M1319" s="11">
        <f>_xlfn.NUMBERVALUE(LEFT(Table613612[[#This Row],[Fiscal Year]], 4))</f>
        <v>2018</v>
      </c>
      <c r="N1319" s="42">
        <f t="shared" si="27"/>
        <v>5000</v>
      </c>
      <c r="O1319" s="3">
        <v>1317</v>
      </c>
    </row>
    <row r="1320" spans="1:15" x14ac:dyDescent="0.25">
      <c r="A1320" s="3">
        <v>4</v>
      </c>
      <c r="B1320" s="3" t="s">
        <v>254</v>
      </c>
      <c r="C1320" s="1" t="s">
        <v>13</v>
      </c>
      <c r="D1320" s="1" t="s">
        <v>444</v>
      </c>
      <c r="E1320" s="11" t="s">
        <v>144</v>
      </c>
      <c r="F1320" s="3" t="s">
        <v>8</v>
      </c>
      <c r="G1320" s="66" t="s">
        <v>70</v>
      </c>
      <c r="H1320" s="8"/>
      <c r="I1320" s="8"/>
      <c r="J1320" s="6" t="s">
        <v>107</v>
      </c>
      <c r="K1320" s="38">
        <v>4000</v>
      </c>
      <c r="L1320" s="4" t="s">
        <v>26</v>
      </c>
      <c r="M1320" s="11">
        <f>_xlfn.NUMBERVALUE(LEFT(Table613612[[#This Row],[Fiscal Year]], 4))</f>
        <v>2018</v>
      </c>
      <c r="N1320" s="42">
        <f t="shared" si="27"/>
        <v>4000</v>
      </c>
      <c r="O1320" s="3">
        <v>1318</v>
      </c>
    </row>
    <row r="1321" spans="1:15" x14ac:dyDescent="0.25">
      <c r="A1321" s="3">
        <v>4</v>
      </c>
      <c r="B1321" s="3" t="s">
        <v>254</v>
      </c>
      <c r="C1321" s="1" t="s">
        <v>13</v>
      </c>
      <c r="D1321" s="1" t="s">
        <v>444</v>
      </c>
      <c r="E1321" s="11" t="s">
        <v>144</v>
      </c>
      <c r="F1321" s="3" t="s">
        <v>8</v>
      </c>
      <c r="G1321" s="48" t="s">
        <v>72</v>
      </c>
      <c r="H1321" s="8" t="s">
        <v>610</v>
      </c>
      <c r="I1321" s="8" t="s">
        <v>458</v>
      </c>
      <c r="J1321" s="6" t="s">
        <v>108</v>
      </c>
      <c r="K1321" s="38" t="s">
        <v>827</v>
      </c>
      <c r="L1321" s="4" t="s">
        <v>26</v>
      </c>
      <c r="M1321" s="11">
        <f>_xlfn.NUMBERVALUE(LEFT(Table613612[[#This Row],[Fiscal Year]], 4))</f>
        <v>2018</v>
      </c>
      <c r="O1321" s="3">
        <v>1319</v>
      </c>
    </row>
    <row r="1322" spans="1:15" x14ac:dyDescent="0.25">
      <c r="A1322" s="3">
        <v>4</v>
      </c>
      <c r="B1322" s="3" t="s">
        <v>254</v>
      </c>
      <c r="C1322" s="1" t="s">
        <v>13</v>
      </c>
      <c r="D1322" s="1" t="s">
        <v>444</v>
      </c>
      <c r="E1322" s="11" t="s">
        <v>144</v>
      </c>
      <c r="F1322" s="3" t="s">
        <v>8</v>
      </c>
      <c r="G1322" s="66" t="s">
        <v>71</v>
      </c>
      <c r="H1322" s="8" t="s">
        <v>484</v>
      </c>
      <c r="I1322" s="8" t="s">
        <v>458</v>
      </c>
      <c r="J1322" s="6" t="s">
        <v>108</v>
      </c>
      <c r="K1322" s="38">
        <v>10000</v>
      </c>
      <c r="L1322" s="4" t="s">
        <v>26</v>
      </c>
      <c r="M1322" s="11">
        <f>_xlfn.NUMBERVALUE(LEFT(Table613612[[#This Row],[Fiscal Year]], 4))</f>
        <v>2018</v>
      </c>
      <c r="N1322" s="42">
        <f t="shared" si="27"/>
        <v>10000</v>
      </c>
      <c r="O1322" s="3">
        <v>1320</v>
      </c>
    </row>
    <row r="1323" spans="1:15" x14ac:dyDescent="0.25">
      <c r="A1323" s="3">
        <v>4</v>
      </c>
      <c r="B1323" s="3" t="s">
        <v>254</v>
      </c>
      <c r="C1323" s="1" t="s">
        <v>13</v>
      </c>
      <c r="D1323" s="1" t="s">
        <v>444</v>
      </c>
      <c r="E1323" s="11" t="s">
        <v>144</v>
      </c>
      <c r="F1323" s="3" t="s">
        <v>8</v>
      </c>
      <c r="G1323" s="48" t="s">
        <v>73</v>
      </c>
      <c r="H1323" s="8"/>
      <c r="I1323" s="8"/>
      <c r="J1323" s="6" t="s">
        <v>108</v>
      </c>
      <c r="K1323" s="38" t="s">
        <v>827</v>
      </c>
      <c r="L1323" s="4" t="s">
        <v>26</v>
      </c>
      <c r="M1323" s="11">
        <f>_xlfn.NUMBERVALUE(LEFT(Table613612[[#This Row],[Fiscal Year]], 4))</f>
        <v>2018</v>
      </c>
      <c r="O1323" s="3">
        <v>1321</v>
      </c>
    </row>
    <row r="1324" spans="1:15" x14ac:dyDescent="0.25">
      <c r="A1324" s="3">
        <v>4</v>
      </c>
      <c r="B1324" s="3" t="s">
        <v>254</v>
      </c>
      <c r="C1324" s="1" t="s">
        <v>13</v>
      </c>
      <c r="D1324" s="1" t="s">
        <v>444</v>
      </c>
      <c r="E1324" s="11" t="s">
        <v>144</v>
      </c>
      <c r="F1324" s="3" t="s">
        <v>8</v>
      </c>
      <c r="G1324" s="48" t="s">
        <v>74</v>
      </c>
      <c r="H1324" s="8" t="s">
        <v>611</v>
      </c>
      <c r="I1324" s="8" t="s">
        <v>458</v>
      </c>
      <c r="J1324" s="6" t="s">
        <v>108</v>
      </c>
      <c r="K1324" s="38">
        <v>7000</v>
      </c>
      <c r="L1324" s="4" t="s">
        <v>26</v>
      </c>
      <c r="M1324" s="11">
        <f>_xlfn.NUMBERVALUE(LEFT(Table613612[[#This Row],[Fiscal Year]], 4))</f>
        <v>2018</v>
      </c>
      <c r="N1324" s="42">
        <f t="shared" si="27"/>
        <v>7000</v>
      </c>
      <c r="O1324" s="3">
        <v>1322</v>
      </c>
    </row>
    <row r="1325" spans="1:15" x14ac:dyDescent="0.25">
      <c r="A1325" s="3">
        <v>4</v>
      </c>
      <c r="B1325" s="3" t="s">
        <v>254</v>
      </c>
      <c r="C1325" s="1" t="s">
        <v>13</v>
      </c>
      <c r="D1325" s="1" t="s">
        <v>444</v>
      </c>
      <c r="E1325" s="11" t="s">
        <v>144</v>
      </c>
      <c r="F1325" s="3" t="s">
        <v>8</v>
      </c>
      <c r="G1325" s="66" t="s">
        <v>75</v>
      </c>
      <c r="H1325" s="8" t="s">
        <v>485</v>
      </c>
      <c r="I1325" s="8" t="s">
        <v>458</v>
      </c>
      <c r="J1325" s="6" t="s">
        <v>108</v>
      </c>
      <c r="K1325" s="38">
        <v>3000</v>
      </c>
      <c r="L1325" s="4" t="s">
        <v>26</v>
      </c>
      <c r="M1325" s="11">
        <f>_xlfn.NUMBERVALUE(LEFT(Table613612[[#This Row],[Fiscal Year]], 4))</f>
        <v>2018</v>
      </c>
      <c r="N1325" s="42">
        <f t="shared" si="27"/>
        <v>3000</v>
      </c>
      <c r="O1325" s="3">
        <v>1323</v>
      </c>
    </row>
    <row r="1326" spans="1:15" x14ac:dyDescent="0.25">
      <c r="A1326" s="3">
        <v>4</v>
      </c>
      <c r="B1326" s="3" t="s">
        <v>254</v>
      </c>
      <c r="C1326" s="1" t="s">
        <v>13</v>
      </c>
      <c r="D1326" s="1" t="s">
        <v>444</v>
      </c>
      <c r="E1326" s="11" t="s">
        <v>144</v>
      </c>
      <c r="F1326" s="3" t="s">
        <v>8</v>
      </c>
      <c r="G1326" s="48" t="s">
        <v>76</v>
      </c>
      <c r="H1326" s="8"/>
      <c r="I1326" s="8"/>
      <c r="J1326" s="6" t="s">
        <v>76</v>
      </c>
      <c r="K1326" s="38" t="s">
        <v>827</v>
      </c>
      <c r="L1326" s="4" t="s">
        <v>26</v>
      </c>
      <c r="M1326" s="11">
        <f>_xlfn.NUMBERVALUE(LEFT(Table613612[[#This Row],[Fiscal Year]], 4))</f>
        <v>2018</v>
      </c>
      <c r="O1326" s="3">
        <v>1324</v>
      </c>
    </row>
    <row r="1327" spans="1:15" x14ac:dyDescent="0.25">
      <c r="A1327" s="3">
        <v>4</v>
      </c>
      <c r="B1327" s="3" t="s">
        <v>254</v>
      </c>
      <c r="C1327" s="1" t="s">
        <v>13</v>
      </c>
      <c r="D1327" s="1" t="s">
        <v>444</v>
      </c>
      <c r="E1327" s="11" t="s">
        <v>144</v>
      </c>
      <c r="F1327" s="3" t="s">
        <v>8</v>
      </c>
      <c r="G1327" s="66" t="s">
        <v>77</v>
      </c>
      <c r="H1327" s="8"/>
      <c r="I1327" s="8"/>
      <c r="J1327" s="6" t="s">
        <v>106</v>
      </c>
      <c r="K1327" s="38">
        <v>3000</v>
      </c>
      <c r="L1327" s="4" t="s">
        <v>26</v>
      </c>
      <c r="M1327" s="11">
        <f>_xlfn.NUMBERVALUE(LEFT(Table613612[[#This Row],[Fiscal Year]], 4))</f>
        <v>2018</v>
      </c>
      <c r="N1327" s="42">
        <f t="shared" si="27"/>
        <v>3000</v>
      </c>
      <c r="O1327" s="3">
        <v>1325</v>
      </c>
    </row>
    <row r="1328" spans="1:15" x14ac:dyDescent="0.25">
      <c r="A1328" s="3">
        <v>4</v>
      </c>
      <c r="B1328" s="3" t="s">
        <v>254</v>
      </c>
      <c r="C1328" s="1" t="s">
        <v>13</v>
      </c>
      <c r="D1328" s="1" t="s">
        <v>444</v>
      </c>
      <c r="E1328" s="11" t="s">
        <v>144</v>
      </c>
      <c r="F1328" s="3" t="s">
        <v>8</v>
      </c>
      <c r="G1328" s="66" t="s">
        <v>78</v>
      </c>
      <c r="H1328" s="8"/>
      <c r="I1328" s="8"/>
      <c r="J1328" s="6" t="s">
        <v>47</v>
      </c>
      <c r="K1328" s="38" t="s">
        <v>827</v>
      </c>
      <c r="L1328" s="4" t="s">
        <v>26</v>
      </c>
      <c r="M1328" s="11">
        <f>_xlfn.NUMBERVALUE(LEFT(Table613612[[#This Row],[Fiscal Year]], 4))</f>
        <v>2018</v>
      </c>
      <c r="O1328" s="3">
        <v>1326</v>
      </c>
    </row>
    <row r="1329" spans="1:15" x14ac:dyDescent="0.25">
      <c r="A1329" s="3">
        <v>4</v>
      </c>
      <c r="B1329" s="3" t="s">
        <v>254</v>
      </c>
      <c r="C1329" s="1" t="s">
        <v>13</v>
      </c>
      <c r="D1329" s="1" t="s">
        <v>444</v>
      </c>
      <c r="E1329" s="11" t="s">
        <v>144</v>
      </c>
      <c r="F1329" s="3" t="s">
        <v>8</v>
      </c>
      <c r="G1329" s="48" t="s">
        <v>79</v>
      </c>
      <c r="H1329" s="8" t="s">
        <v>483</v>
      </c>
      <c r="I1329" s="8" t="s">
        <v>458</v>
      </c>
      <c r="J1329" s="6" t="s">
        <v>455</v>
      </c>
      <c r="K1329" s="38">
        <v>14600</v>
      </c>
      <c r="L1329" s="4" t="s">
        <v>26</v>
      </c>
      <c r="M1329" s="11">
        <f>_xlfn.NUMBERVALUE(LEFT(Table613612[[#This Row],[Fiscal Year]], 4))</f>
        <v>2018</v>
      </c>
      <c r="N1329" s="42">
        <f t="shared" si="27"/>
        <v>14600</v>
      </c>
      <c r="O1329" s="3">
        <v>1327</v>
      </c>
    </row>
    <row r="1330" spans="1:15" x14ac:dyDescent="0.25">
      <c r="A1330" s="3">
        <v>4</v>
      </c>
      <c r="B1330" s="3" t="s">
        <v>254</v>
      </c>
      <c r="C1330" s="1" t="s">
        <v>13</v>
      </c>
      <c r="D1330" s="1" t="s">
        <v>444</v>
      </c>
      <c r="E1330" s="11" t="s">
        <v>144</v>
      </c>
      <c r="F1330" s="3" t="s">
        <v>8</v>
      </c>
      <c r="G1330" s="66" t="s">
        <v>80</v>
      </c>
      <c r="H1330" s="8"/>
      <c r="I1330" s="8"/>
      <c r="J1330" s="6" t="s">
        <v>605</v>
      </c>
      <c r="K1330" s="38">
        <v>23418</v>
      </c>
      <c r="L1330" s="4" t="s">
        <v>26</v>
      </c>
      <c r="M1330" s="11">
        <f>_xlfn.NUMBERVALUE(LEFT(Table613612[[#This Row],[Fiscal Year]], 4))</f>
        <v>2018</v>
      </c>
      <c r="N1330" s="42">
        <f t="shared" si="27"/>
        <v>23418</v>
      </c>
      <c r="O1330" s="3">
        <v>1328</v>
      </c>
    </row>
    <row r="1331" spans="1:15" x14ac:dyDescent="0.25">
      <c r="A1331" s="3">
        <v>4</v>
      </c>
      <c r="B1331" s="3" t="s">
        <v>254</v>
      </c>
      <c r="C1331" s="1" t="s">
        <v>13</v>
      </c>
      <c r="D1331" s="1" t="s">
        <v>444</v>
      </c>
      <c r="E1331" s="11" t="s">
        <v>144</v>
      </c>
      <c r="F1331" s="3" t="s">
        <v>8</v>
      </c>
      <c r="G1331" s="66" t="s">
        <v>67</v>
      </c>
      <c r="H1331" s="8"/>
      <c r="I1331" s="8"/>
      <c r="J1331" s="6" t="s">
        <v>455</v>
      </c>
      <c r="K1331" s="38">
        <v>15600</v>
      </c>
      <c r="L1331" s="4" t="s">
        <v>26</v>
      </c>
      <c r="M1331" s="11">
        <f>_xlfn.NUMBERVALUE(LEFT(Table613612[[#This Row],[Fiscal Year]], 4))</f>
        <v>2018</v>
      </c>
      <c r="N1331" s="42">
        <f t="shared" si="27"/>
        <v>15600</v>
      </c>
      <c r="O1331" s="3">
        <v>1329</v>
      </c>
    </row>
    <row r="1332" spans="1:15" x14ac:dyDescent="0.25">
      <c r="C1332" s="1"/>
      <c r="D1332" s="1"/>
      <c r="E1332" s="11"/>
      <c r="G1332" s="66"/>
      <c r="H1332" s="8"/>
      <c r="I1332" s="8"/>
      <c r="J1332" s="6"/>
      <c r="L1332" s="4"/>
      <c r="O1332" s="3">
        <v>1330</v>
      </c>
    </row>
    <row r="1333" spans="1:15" x14ac:dyDescent="0.25">
      <c r="A1333" s="3">
        <v>4</v>
      </c>
      <c r="B1333" s="3" t="s">
        <v>255</v>
      </c>
      <c r="C1333" s="1" t="s">
        <v>13</v>
      </c>
      <c r="D1333" s="1" t="s">
        <v>444</v>
      </c>
      <c r="E1333" s="11" t="s">
        <v>144</v>
      </c>
      <c r="F1333" s="3" t="s">
        <v>8</v>
      </c>
      <c r="G1333" s="48" t="s">
        <v>32</v>
      </c>
      <c r="H1333" s="8" t="s">
        <v>608</v>
      </c>
      <c r="I1333" s="70" t="s">
        <v>609</v>
      </c>
      <c r="J1333" s="6" t="s">
        <v>110</v>
      </c>
      <c r="K1333" s="38">
        <v>63799</v>
      </c>
      <c r="L1333" s="4" t="s">
        <v>26</v>
      </c>
      <c r="M1333" s="11">
        <f>_xlfn.NUMBERVALUE(LEFT(Table613612[[#This Row],[Fiscal Year]], 4))</f>
        <v>2018</v>
      </c>
      <c r="N1333" s="42">
        <f t="shared" si="27"/>
        <v>63799</v>
      </c>
      <c r="O1333" s="3">
        <v>1331</v>
      </c>
    </row>
    <row r="1334" spans="1:15" x14ac:dyDescent="0.25">
      <c r="A1334" s="3">
        <v>4</v>
      </c>
      <c r="B1334" s="3" t="s">
        <v>255</v>
      </c>
      <c r="C1334" s="1" t="s">
        <v>13</v>
      </c>
      <c r="D1334" s="1" t="s">
        <v>444</v>
      </c>
      <c r="E1334" s="11" t="s">
        <v>144</v>
      </c>
      <c r="F1334" s="3" t="s">
        <v>8</v>
      </c>
      <c r="G1334" s="66" t="s">
        <v>68</v>
      </c>
      <c r="H1334" s="6"/>
      <c r="I1334" s="8"/>
      <c r="J1334" s="6" t="s">
        <v>42</v>
      </c>
      <c r="K1334" s="38">
        <v>2000</v>
      </c>
      <c r="L1334" s="4" t="s">
        <v>26</v>
      </c>
      <c r="M1334" s="11">
        <f>_xlfn.NUMBERVALUE(LEFT(Table613612[[#This Row],[Fiscal Year]], 4))</f>
        <v>2018</v>
      </c>
      <c r="N1334" s="42">
        <f t="shared" si="27"/>
        <v>2000</v>
      </c>
      <c r="O1334" s="3">
        <v>1332</v>
      </c>
    </row>
    <row r="1335" spans="1:15" x14ac:dyDescent="0.25">
      <c r="A1335" s="3">
        <v>4</v>
      </c>
      <c r="B1335" s="3" t="s">
        <v>255</v>
      </c>
      <c r="C1335" s="1" t="s">
        <v>13</v>
      </c>
      <c r="D1335" s="1" t="s">
        <v>444</v>
      </c>
      <c r="E1335" s="11" t="s">
        <v>144</v>
      </c>
      <c r="F1335" s="3" t="s">
        <v>8</v>
      </c>
      <c r="G1335" s="48" t="s">
        <v>69</v>
      </c>
      <c r="H1335" s="8"/>
      <c r="I1335" s="8"/>
      <c r="J1335" s="6" t="s">
        <v>109</v>
      </c>
      <c r="K1335" s="38">
        <v>22000</v>
      </c>
      <c r="L1335" s="4" t="s">
        <v>26</v>
      </c>
      <c r="M1335" s="11">
        <f>_xlfn.NUMBERVALUE(LEFT(Table613612[[#This Row],[Fiscal Year]], 4))</f>
        <v>2018</v>
      </c>
      <c r="N1335" s="42">
        <f t="shared" si="27"/>
        <v>22000</v>
      </c>
      <c r="O1335" s="3">
        <v>1333</v>
      </c>
    </row>
    <row r="1336" spans="1:15" x14ac:dyDescent="0.25">
      <c r="A1336" s="3">
        <v>4</v>
      </c>
      <c r="B1336" s="3" t="s">
        <v>255</v>
      </c>
      <c r="C1336" s="1" t="s">
        <v>13</v>
      </c>
      <c r="D1336" s="1" t="s">
        <v>444</v>
      </c>
      <c r="E1336" s="11" t="s">
        <v>144</v>
      </c>
      <c r="F1336" s="3" t="s">
        <v>8</v>
      </c>
      <c r="G1336" s="48" t="s">
        <v>59</v>
      </c>
      <c r="H1336" s="8"/>
      <c r="I1336" s="8"/>
      <c r="J1336" s="6" t="s">
        <v>111</v>
      </c>
      <c r="K1336" s="38">
        <v>85000</v>
      </c>
      <c r="L1336" s="4" t="s">
        <v>26</v>
      </c>
      <c r="M1336" s="11">
        <f>_xlfn.NUMBERVALUE(LEFT(Table613612[[#This Row],[Fiscal Year]], 4))</f>
        <v>2018</v>
      </c>
      <c r="N1336" s="42">
        <f t="shared" si="27"/>
        <v>85000</v>
      </c>
      <c r="O1336" s="3">
        <v>1334</v>
      </c>
    </row>
    <row r="1337" spans="1:15" x14ac:dyDescent="0.25">
      <c r="A1337" s="3">
        <v>4</v>
      </c>
      <c r="B1337" s="3" t="s">
        <v>255</v>
      </c>
      <c r="C1337" s="1" t="s">
        <v>13</v>
      </c>
      <c r="D1337" s="1" t="s">
        <v>444</v>
      </c>
      <c r="E1337" s="11" t="s">
        <v>144</v>
      </c>
      <c r="F1337" s="3" t="s">
        <v>8</v>
      </c>
      <c r="G1337" s="66" t="s">
        <v>70</v>
      </c>
      <c r="H1337" s="8"/>
      <c r="I1337" s="8"/>
      <c r="J1337" s="6" t="s">
        <v>107</v>
      </c>
      <c r="K1337" s="38">
        <v>75000</v>
      </c>
      <c r="L1337" s="4" t="s">
        <v>26</v>
      </c>
      <c r="M1337" s="11">
        <f>_xlfn.NUMBERVALUE(LEFT(Table613612[[#This Row],[Fiscal Year]], 4))</f>
        <v>2018</v>
      </c>
      <c r="N1337" s="42">
        <f t="shared" si="27"/>
        <v>75000</v>
      </c>
      <c r="O1337" s="3">
        <v>1335</v>
      </c>
    </row>
    <row r="1338" spans="1:15" x14ac:dyDescent="0.25">
      <c r="A1338" s="3">
        <v>4</v>
      </c>
      <c r="B1338" s="3" t="s">
        <v>255</v>
      </c>
      <c r="C1338" s="1" t="s">
        <v>13</v>
      </c>
      <c r="D1338" s="1" t="s">
        <v>444</v>
      </c>
      <c r="E1338" s="11" t="s">
        <v>144</v>
      </c>
      <c r="F1338" s="3" t="s">
        <v>8</v>
      </c>
      <c r="G1338" s="48" t="s">
        <v>72</v>
      </c>
      <c r="H1338" s="8" t="s">
        <v>610</v>
      </c>
      <c r="I1338" s="8" t="s">
        <v>458</v>
      </c>
      <c r="J1338" s="6" t="s">
        <v>108</v>
      </c>
      <c r="K1338" s="38" t="s">
        <v>827</v>
      </c>
      <c r="L1338" s="4" t="s">
        <v>26</v>
      </c>
      <c r="M1338" s="11">
        <f>_xlfn.NUMBERVALUE(LEFT(Table613612[[#This Row],[Fiscal Year]], 4))</f>
        <v>2018</v>
      </c>
      <c r="O1338" s="3">
        <v>1336</v>
      </c>
    </row>
    <row r="1339" spans="1:15" x14ac:dyDescent="0.25">
      <c r="A1339" s="3">
        <v>4</v>
      </c>
      <c r="B1339" s="3" t="s">
        <v>255</v>
      </c>
      <c r="C1339" s="1" t="s">
        <v>13</v>
      </c>
      <c r="D1339" s="1" t="s">
        <v>444</v>
      </c>
      <c r="E1339" s="11" t="s">
        <v>144</v>
      </c>
      <c r="F1339" s="3" t="s">
        <v>8</v>
      </c>
      <c r="G1339" s="66" t="s">
        <v>71</v>
      </c>
      <c r="H1339" s="8" t="s">
        <v>484</v>
      </c>
      <c r="I1339" s="8" t="s">
        <v>458</v>
      </c>
      <c r="J1339" s="6" t="s">
        <v>108</v>
      </c>
      <c r="K1339" s="38">
        <v>15750</v>
      </c>
      <c r="L1339" s="4" t="s">
        <v>26</v>
      </c>
      <c r="M1339" s="11">
        <f>_xlfn.NUMBERVALUE(LEFT(Table613612[[#This Row],[Fiscal Year]], 4))</f>
        <v>2018</v>
      </c>
      <c r="N1339" s="42">
        <f t="shared" si="27"/>
        <v>15750</v>
      </c>
      <c r="O1339" s="3">
        <v>1337</v>
      </c>
    </row>
    <row r="1340" spans="1:15" x14ac:dyDescent="0.25">
      <c r="A1340" s="3">
        <v>4</v>
      </c>
      <c r="B1340" s="3" t="s">
        <v>255</v>
      </c>
      <c r="C1340" s="1" t="s">
        <v>13</v>
      </c>
      <c r="D1340" s="1" t="s">
        <v>444</v>
      </c>
      <c r="E1340" s="11" t="s">
        <v>144</v>
      </c>
      <c r="F1340" s="3" t="s">
        <v>8</v>
      </c>
      <c r="G1340" s="48" t="s">
        <v>73</v>
      </c>
      <c r="H1340" s="8"/>
      <c r="I1340" s="8"/>
      <c r="J1340" s="6" t="s">
        <v>108</v>
      </c>
      <c r="K1340" s="38">
        <v>44700</v>
      </c>
      <c r="L1340" s="4" t="s">
        <v>26</v>
      </c>
      <c r="M1340" s="11">
        <f>_xlfn.NUMBERVALUE(LEFT(Table613612[[#This Row],[Fiscal Year]], 4))</f>
        <v>2018</v>
      </c>
      <c r="N1340" s="42">
        <f t="shared" si="27"/>
        <v>44700</v>
      </c>
      <c r="O1340" s="3">
        <v>1338</v>
      </c>
    </row>
    <row r="1341" spans="1:15" x14ac:dyDescent="0.25">
      <c r="A1341" s="3">
        <v>4</v>
      </c>
      <c r="B1341" s="3" t="s">
        <v>255</v>
      </c>
      <c r="C1341" s="1" t="s">
        <v>13</v>
      </c>
      <c r="D1341" s="1" t="s">
        <v>444</v>
      </c>
      <c r="E1341" s="11" t="s">
        <v>144</v>
      </c>
      <c r="F1341" s="3" t="s">
        <v>8</v>
      </c>
      <c r="G1341" s="48" t="s">
        <v>74</v>
      </c>
      <c r="H1341" s="8" t="s">
        <v>611</v>
      </c>
      <c r="I1341" s="8" t="s">
        <v>458</v>
      </c>
      <c r="J1341" s="6" t="s">
        <v>108</v>
      </c>
      <c r="K1341" s="38">
        <v>7920</v>
      </c>
      <c r="L1341" s="4" t="s">
        <v>26</v>
      </c>
      <c r="M1341" s="11">
        <f>_xlfn.NUMBERVALUE(LEFT(Table613612[[#This Row],[Fiscal Year]], 4))</f>
        <v>2018</v>
      </c>
      <c r="N1341" s="42">
        <f t="shared" si="27"/>
        <v>7920</v>
      </c>
      <c r="O1341" s="3">
        <v>1339</v>
      </c>
    </row>
    <row r="1342" spans="1:15" x14ac:dyDescent="0.25">
      <c r="A1342" s="3">
        <v>4</v>
      </c>
      <c r="B1342" s="3" t="s">
        <v>255</v>
      </c>
      <c r="C1342" s="1" t="s">
        <v>13</v>
      </c>
      <c r="D1342" s="1" t="s">
        <v>444</v>
      </c>
      <c r="E1342" s="11" t="s">
        <v>144</v>
      </c>
      <c r="F1342" s="3" t="s">
        <v>8</v>
      </c>
      <c r="G1342" s="66" t="s">
        <v>75</v>
      </c>
      <c r="H1342" s="8" t="s">
        <v>485</v>
      </c>
      <c r="I1342" s="8" t="s">
        <v>458</v>
      </c>
      <c r="J1342" s="6" t="s">
        <v>108</v>
      </c>
      <c r="K1342" s="38">
        <v>13000</v>
      </c>
      <c r="L1342" s="4" t="s">
        <v>26</v>
      </c>
      <c r="M1342" s="11">
        <f>_xlfn.NUMBERVALUE(LEFT(Table613612[[#This Row],[Fiscal Year]], 4))</f>
        <v>2018</v>
      </c>
      <c r="N1342" s="42">
        <f t="shared" si="27"/>
        <v>13000</v>
      </c>
      <c r="O1342" s="3">
        <v>1340</v>
      </c>
    </row>
    <row r="1343" spans="1:15" x14ac:dyDescent="0.25">
      <c r="A1343" s="3">
        <v>4</v>
      </c>
      <c r="B1343" s="3" t="s">
        <v>255</v>
      </c>
      <c r="C1343" s="1" t="s">
        <v>13</v>
      </c>
      <c r="D1343" s="1" t="s">
        <v>444</v>
      </c>
      <c r="E1343" s="11" t="s">
        <v>144</v>
      </c>
      <c r="F1343" s="3" t="s">
        <v>8</v>
      </c>
      <c r="G1343" s="48" t="s">
        <v>76</v>
      </c>
      <c r="H1343" s="8"/>
      <c r="I1343" s="8"/>
      <c r="J1343" s="6" t="s">
        <v>76</v>
      </c>
      <c r="K1343" s="38">
        <v>128700</v>
      </c>
      <c r="L1343" s="4" t="s">
        <v>26</v>
      </c>
      <c r="M1343" s="11">
        <f>_xlfn.NUMBERVALUE(LEFT(Table613612[[#This Row],[Fiscal Year]], 4))</f>
        <v>2018</v>
      </c>
      <c r="N1343" s="42">
        <f t="shared" si="27"/>
        <v>128700</v>
      </c>
      <c r="O1343" s="3">
        <v>1341</v>
      </c>
    </row>
    <row r="1344" spans="1:15" x14ac:dyDescent="0.25">
      <c r="A1344" s="3">
        <v>4</v>
      </c>
      <c r="B1344" s="3" t="s">
        <v>255</v>
      </c>
      <c r="C1344" s="1" t="s">
        <v>13</v>
      </c>
      <c r="D1344" s="1" t="s">
        <v>444</v>
      </c>
      <c r="E1344" s="11" t="s">
        <v>144</v>
      </c>
      <c r="F1344" s="3" t="s">
        <v>8</v>
      </c>
      <c r="G1344" s="66" t="s">
        <v>77</v>
      </c>
      <c r="H1344" s="8"/>
      <c r="I1344" s="8"/>
      <c r="J1344" s="6" t="s">
        <v>106</v>
      </c>
      <c r="K1344" s="38">
        <v>2000</v>
      </c>
      <c r="L1344" s="4" t="s">
        <v>26</v>
      </c>
      <c r="M1344" s="11">
        <f>_xlfn.NUMBERVALUE(LEFT(Table613612[[#This Row],[Fiscal Year]], 4))</f>
        <v>2018</v>
      </c>
      <c r="N1344" s="42">
        <f t="shared" si="27"/>
        <v>2000</v>
      </c>
      <c r="O1344" s="3">
        <v>1342</v>
      </c>
    </row>
    <row r="1345" spans="1:15" x14ac:dyDescent="0.25">
      <c r="A1345" s="3">
        <v>4</v>
      </c>
      <c r="B1345" s="3" t="s">
        <v>255</v>
      </c>
      <c r="C1345" s="1" t="s">
        <v>13</v>
      </c>
      <c r="D1345" s="1" t="s">
        <v>444</v>
      </c>
      <c r="E1345" s="11" t="s">
        <v>144</v>
      </c>
      <c r="F1345" s="3" t="s">
        <v>8</v>
      </c>
      <c r="G1345" s="66" t="s">
        <v>78</v>
      </c>
      <c r="H1345" s="8"/>
      <c r="I1345" s="8"/>
      <c r="J1345" s="6" t="s">
        <v>47</v>
      </c>
      <c r="K1345" s="38">
        <v>0</v>
      </c>
      <c r="L1345" s="4" t="s">
        <v>26</v>
      </c>
      <c r="M1345" s="11">
        <f>_xlfn.NUMBERVALUE(LEFT(Table613612[[#This Row],[Fiscal Year]], 4))</f>
        <v>2018</v>
      </c>
      <c r="N1345" s="43">
        <f t="shared" si="27"/>
        <v>0</v>
      </c>
      <c r="O1345" s="3">
        <v>1343</v>
      </c>
    </row>
    <row r="1346" spans="1:15" x14ac:dyDescent="0.25">
      <c r="A1346" s="3">
        <v>4</v>
      </c>
      <c r="B1346" s="3" t="s">
        <v>255</v>
      </c>
      <c r="C1346" s="1" t="s">
        <v>13</v>
      </c>
      <c r="D1346" s="1" t="s">
        <v>444</v>
      </c>
      <c r="E1346" s="11" t="s">
        <v>144</v>
      </c>
      <c r="F1346" s="3" t="s">
        <v>8</v>
      </c>
      <c r="G1346" s="48" t="s">
        <v>79</v>
      </c>
      <c r="H1346" s="8" t="s">
        <v>483</v>
      </c>
      <c r="I1346" s="8" t="s">
        <v>458</v>
      </c>
      <c r="J1346" s="6" t="s">
        <v>455</v>
      </c>
      <c r="K1346" s="38">
        <v>40000</v>
      </c>
      <c r="L1346" s="4" t="s">
        <v>26</v>
      </c>
      <c r="M1346" s="11">
        <f>_xlfn.NUMBERVALUE(LEFT(Table613612[[#This Row],[Fiscal Year]], 4))</f>
        <v>2018</v>
      </c>
      <c r="N1346" s="42">
        <f t="shared" si="27"/>
        <v>40000</v>
      </c>
      <c r="O1346" s="3">
        <v>1344</v>
      </c>
    </row>
    <row r="1347" spans="1:15" x14ac:dyDescent="0.25">
      <c r="A1347" s="3">
        <v>4</v>
      </c>
      <c r="B1347" s="3" t="s">
        <v>255</v>
      </c>
      <c r="C1347" s="1" t="s">
        <v>13</v>
      </c>
      <c r="D1347" s="1" t="s">
        <v>444</v>
      </c>
      <c r="E1347" s="11" t="s">
        <v>144</v>
      </c>
      <c r="F1347" s="3" t="s">
        <v>8</v>
      </c>
      <c r="G1347" s="66" t="s">
        <v>80</v>
      </c>
      <c r="H1347" s="8"/>
      <c r="I1347" s="8"/>
      <c r="J1347" s="6" t="s">
        <v>605</v>
      </c>
      <c r="K1347" s="38">
        <v>36000</v>
      </c>
      <c r="L1347" s="4" t="s">
        <v>26</v>
      </c>
      <c r="M1347" s="11">
        <f>_xlfn.NUMBERVALUE(LEFT(Table613612[[#This Row],[Fiscal Year]], 4))</f>
        <v>2018</v>
      </c>
      <c r="N1347" s="42">
        <f t="shared" si="27"/>
        <v>36000</v>
      </c>
      <c r="O1347" s="3">
        <v>1345</v>
      </c>
    </row>
    <row r="1348" spans="1:15" x14ac:dyDescent="0.25">
      <c r="A1348" s="3">
        <v>4</v>
      </c>
      <c r="B1348" s="3" t="s">
        <v>255</v>
      </c>
      <c r="C1348" s="1" t="s">
        <v>13</v>
      </c>
      <c r="D1348" s="1" t="s">
        <v>444</v>
      </c>
      <c r="E1348" s="11" t="s">
        <v>144</v>
      </c>
      <c r="F1348" s="3" t="s">
        <v>8</v>
      </c>
      <c r="G1348" s="66" t="s">
        <v>67</v>
      </c>
      <c r="H1348" s="8"/>
      <c r="I1348" s="8"/>
      <c r="J1348" s="6" t="s">
        <v>455</v>
      </c>
      <c r="K1348" s="38">
        <v>17000</v>
      </c>
      <c r="L1348" s="4" t="s">
        <v>26</v>
      </c>
      <c r="M1348" s="11">
        <f>_xlfn.NUMBERVALUE(LEFT(Table613612[[#This Row],[Fiscal Year]], 4))</f>
        <v>2018</v>
      </c>
      <c r="N1348" s="42">
        <f t="shared" si="27"/>
        <v>17000</v>
      </c>
      <c r="O1348" s="3">
        <v>1346</v>
      </c>
    </row>
    <row r="1349" spans="1:15" x14ac:dyDescent="0.25">
      <c r="C1349" s="1"/>
      <c r="D1349" s="1"/>
      <c r="E1349" s="11"/>
      <c r="G1349" s="66"/>
      <c r="H1349" s="8"/>
      <c r="I1349" s="8"/>
      <c r="J1349" s="6"/>
      <c r="L1349" s="4"/>
      <c r="O1349" s="3">
        <v>1347</v>
      </c>
    </row>
    <row r="1350" spans="1:15" x14ac:dyDescent="0.25">
      <c r="A1350" s="3">
        <v>4</v>
      </c>
      <c r="B1350" s="3" t="s">
        <v>256</v>
      </c>
      <c r="C1350" s="1" t="s">
        <v>13</v>
      </c>
      <c r="D1350" s="1" t="s">
        <v>444</v>
      </c>
      <c r="E1350" s="11" t="s">
        <v>144</v>
      </c>
      <c r="F1350" s="3" t="s">
        <v>8</v>
      </c>
      <c r="G1350" s="48" t="s">
        <v>32</v>
      </c>
      <c r="H1350" s="8" t="s">
        <v>608</v>
      </c>
      <c r="I1350" s="70" t="s">
        <v>609</v>
      </c>
      <c r="J1350" s="6" t="s">
        <v>110</v>
      </c>
      <c r="K1350" s="38">
        <v>12000</v>
      </c>
      <c r="L1350" s="4" t="s">
        <v>26</v>
      </c>
      <c r="M1350" s="11">
        <f>_xlfn.NUMBERVALUE(LEFT(Table613612[[#This Row],[Fiscal Year]], 4))</f>
        <v>2018</v>
      </c>
      <c r="N1350" s="42">
        <f t="shared" si="27"/>
        <v>12000</v>
      </c>
      <c r="O1350" s="3">
        <v>1348</v>
      </c>
    </row>
    <row r="1351" spans="1:15" x14ac:dyDescent="0.25">
      <c r="A1351" s="3">
        <v>4</v>
      </c>
      <c r="B1351" s="3" t="s">
        <v>256</v>
      </c>
      <c r="C1351" s="1" t="s">
        <v>13</v>
      </c>
      <c r="D1351" s="1" t="s">
        <v>444</v>
      </c>
      <c r="E1351" s="11" t="s">
        <v>144</v>
      </c>
      <c r="F1351" s="3" t="s">
        <v>8</v>
      </c>
      <c r="G1351" s="66" t="s">
        <v>68</v>
      </c>
      <c r="H1351" s="6"/>
      <c r="I1351" s="8"/>
      <c r="J1351" s="6" t="s">
        <v>42</v>
      </c>
      <c r="K1351" s="38">
        <v>1000</v>
      </c>
      <c r="L1351" s="4" t="s">
        <v>26</v>
      </c>
      <c r="M1351" s="11">
        <f>_xlfn.NUMBERVALUE(LEFT(Table613612[[#This Row],[Fiscal Year]], 4))</f>
        <v>2018</v>
      </c>
      <c r="N1351" s="42">
        <f t="shared" si="27"/>
        <v>1000</v>
      </c>
      <c r="O1351" s="3">
        <v>1349</v>
      </c>
    </row>
    <row r="1352" spans="1:15" x14ac:dyDescent="0.25">
      <c r="A1352" s="3">
        <v>4</v>
      </c>
      <c r="B1352" s="3" t="s">
        <v>256</v>
      </c>
      <c r="C1352" s="1" t="s">
        <v>13</v>
      </c>
      <c r="D1352" s="1" t="s">
        <v>444</v>
      </c>
      <c r="E1352" s="11" t="s">
        <v>144</v>
      </c>
      <c r="F1352" s="3" t="s">
        <v>8</v>
      </c>
      <c r="G1352" s="48" t="s">
        <v>69</v>
      </c>
      <c r="H1352" s="8"/>
      <c r="I1352" s="8"/>
      <c r="J1352" s="6" t="s">
        <v>109</v>
      </c>
      <c r="K1352" s="38">
        <v>5000</v>
      </c>
      <c r="L1352" s="4" t="s">
        <v>26</v>
      </c>
      <c r="M1352" s="11">
        <f>_xlfn.NUMBERVALUE(LEFT(Table613612[[#This Row],[Fiscal Year]], 4))</f>
        <v>2018</v>
      </c>
      <c r="N1352" s="42">
        <f t="shared" si="27"/>
        <v>5000</v>
      </c>
      <c r="O1352" s="3">
        <v>1350</v>
      </c>
    </row>
    <row r="1353" spans="1:15" x14ac:dyDescent="0.25">
      <c r="A1353" s="3">
        <v>4</v>
      </c>
      <c r="B1353" s="3" t="s">
        <v>256</v>
      </c>
      <c r="C1353" s="1" t="s">
        <v>13</v>
      </c>
      <c r="D1353" s="1" t="s">
        <v>444</v>
      </c>
      <c r="E1353" s="11" t="s">
        <v>144</v>
      </c>
      <c r="F1353" s="3" t="s">
        <v>8</v>
      </c>
      <c r="G1353" s="48" t="s">
        <v>59</v>
      </c>
      <c r="H1353" s="8"/>
      <c r="I1353" s="8"/>
      <c r="J1353" s="6" t="s">
        <v>111</v>
      </c>
      <c r="K1353" s="38">
        <v>5000</v>
      </c>
      <c r="L1353" s="4" t="s">
        <v>26</v>
      </c>
      <c r="M1353" s="11">
        <f>_xlfn.NUMBERVALUE(LEFT(Table613612[[#This Row],[Fiscal Year]], 4))</f>
        <v>2018</v>
      </c>
      <c r="N1353" s="42">
        <f t="shared" si="27"/>
        <v>5000</v>
      </c>
      <c r="O1353" s="3">
        <v>1351</v>
      </c>
    </row>
    <row r="1354" spans="1:15" x14ac:dyDescent="0.25">
      <c r="A1354" s="3">
        <v>4</v>
      </c>
      <c r="B1354" s="3" t="s">
        <v>256</v>
      </c>
      <c r="C1354" s="1" t="s">
        <v>13</v>
      </c>
      <c r="D1354" s="1" t="s">
        <v>444</v>
      </c>
      <c r="E1354" s="11" t="s">
        <v>144</v>
      </c>
      <c r="F1354" s="3" t="s">
        <v>8</v>
      </c>
      <c r="G1354" s="66" t="s">
        <v>70</v>
      </c>
      <c r="H1354" s="8"/>
      <c r="I1354" s="8"/>
      <c r="J1354" s="6" t="s">
        <v>107</v>
      </c>
      <c r="K1354" s="38">
        <v>3500</v>
      </c>
      <c r="L1354" s="4" t="s">
        <v>26</v>
      </c>
      <c r="M1354" s="11">
        <f>_xlfn.NUMBERVALUE(LEFT(Table613612[[#This Row],[Fiscal Year]], 4))</f>
        <v>2018</v>
      </c>
      <c r="N1354" s="42">
        <f t="shared" si="27"/>
        <v>3500</v>
      </c>
      <c r="O1354" s="3">
        <v>1352</v>
      </c>
    </row>
    <row r="1355" spans="1:15" x14ac:dyDescent="0.25">
      <c r="A1355" s="3">
        <v>4</v>
      </c>
      <c r="B1355" s="3" t="s">
        <v>256</v>
      </c>
      <c r="C1355" s="1" t="s">
        <v>13</v>
      </c>
      <c r="D1355" s="1" t="s">
        <v>444</v>
      </c>
      <c r="E1355" s="11" t="s">
        <v>144</v>
      </c>
      <c r="F1355" s="3" t="s">
        <v>8</v>
      </c>
      <c r="G1355" s="48" t="s">
        <v>72</v>
      </c>
      <c r="H1355" s="8" t="s">
        <v>610</v>
      </c>
      <c r="I1355" s="8" t="s">
        <v>458</v>
      </c>
      <c r="J1355" s="6" t="s">
        <v>108</v>
      </c>
      <c r="K1355" s="38" t="s">
        <v>827</v>
      </c>
      <c r="L1355" s="4" t="s">
        <v>26</v>
      </c>
      <c r="M1355" s="11">
        <f>_xlfn.NUMBERVALUE(LEFT(Table613612[[#This Row],[Fiscal Year]], 4))</f>
        <v>2018</v>
      </c>
      <c r="O1355" s="3">
        <v>1353</v>
      </c>
    </row>
    <row r="1356" spans="1:15" x14ac:dyDescent="0.25">
      <c r="A1356" s="3">
        <v>4</v>
      </c>
      <c r="B1356" s="3" t="s">
        <v>256</v>
      </c>
      <c r="C1356" s="1" t="s">
        <v>13</v>
      </c>
      <c r="D1356" s="1" t="s">
        <v>444</v>
      </c>
      <c r="E1356" s="11" t="s">
        <v>144</v>
      </c>
      <c r="F1356" s="3" t="s">
        <v>8</v>
      </c>
      <c r="G1356" s="66" t="s">
        <v>71</v>
      </c>
      <c r="H1356" s="8" t="s">
        <v>484</v>
      </c>
      <c r="I1356" s="8" t="s">
        <v>458</v>
      </c>
      <c r="J1356" s="6" t="s">
        <v>108</v>
      </c>
      <c r="K1356" s="38">
        <v>32690</v>
      </c>
      <c r="L1356" s="4" t="s">
        <v>26</v>
      </c>
      <c r="M1356" s="11">
        <f>_xlfn.NUMBERVALUE(LEFT(Table613612[[#This Row],[Fiscal Year]], 4))</f>
        <v>2018</v>
      </c>
      <c r="N1356" s="42">
        <f t="shared" ref="N1356:N1419" si="28">K1356*(1+VLOOKUP(M1356,$AF$8:$AH$31,3,0))</f>
        <v>32690</v>
      </c>
      <c r="O1356" s="3">
        <v>1354</v>
      </c>
    </row>
    <row r="1357" spans="1:15" x14ac:dyDescent="0.25">
      <c r="A1357" s="3">
        <v>4</v>
      </c>
      <c r="B1357" s="3" t="s">
        <v>256</v>
      </c>
      <c r="C1357" s="1" t="s">
        <v>13</v>
      </c>
      <c r="D1357" s="1" t="s">
        <v>444</v>
      </c>
      <c r="E1357" s="11" t="s">
        <v>144</v>
      </c>
      <c r="F1357" s="3" t="s">
        <v>8</v>
      </c>
      <c r="G1357" s="48" t="s">
        <v>73</v>
      </c>
      <c r="H1357" s="8"/>
      <c r="I1357" s="8"/>
      <c r="J1357" s="6" t="s">
        <v>108</v>
      </c>
      <c r="K1357" s="39" t="s">
        <v>432</v>
      </c>
      <c r="L1357" s="4" t="s">
        <v>26</v>
      </c>
      <c r="M1357" s="11">
        <f>_xlfn.NUMBERVALUE(LEFT(Table613612[[#This Row],[Fiscal Year]], 4))</f>
        <v>2018</v>
      </c>
      <c r="O1357" s="3">
        <v>1355</v>
      </c>
    </row>
    <row r="1358" spans="1:15" x14ac:dyDescent="0.25">
      <c r="A1358" s="3">
        <v>4</v>
      </c>
      <c r="B1358" s="3" t="s">
        <v>256</v>
      </c>
      <c r="C1358" s="1" t="s">
        <v>13</v>
      </c>
      <c r="D1358" s="1" t="s">
        <v>444</v>
      </c>
      <c r="E1358" s="11" t="s">
        <v>144</v>
      </c>
      <c r="F1358" s="3" t="s">
        <v>8</v>
      </c>
      <c r="G1358" s="48" t="s">
        <v>74</v>
      </c>
      <c r="H1358" s="8" t="s">
        <v>611</v>
      </c>
      <c r="I1358" s="8" t="s">
        <v>458</v>
      </c>
      <c r="J1358" s="6" t="s">
        <v>108</v>
      </c>
      <c r="K1358" s="38">
        <v>2500</v>
      </c>
      <c r="L1358" s="4" t="s">
        <v>26</v>
      </c>
      <c r="M1358" s="11">
        <f>_xlfn.NUMBERVALUE(LEFT(Table613612[[#This Row],[Fiscal Year]], 4))</f>
        <v>2018</v>
      </c>
      <c r="N1358" s="42">
        <f t="shared" si="28"/>
        <v>2500</v>
      </c>
      <c r="O1358" s="3">
        <v>1356</v>
      </c>
    </row>
    <row r="1359" spans="1:15" x14ac:dyDescent="0.25">
      <c r="A1359" s="3">
        <v>4</v>
      </c>
      <c r="B1359" s="3" t="s">
        <v>256</v>
      </c>
      <c r="C1359" s="1" t="s">
        <v>13</v>
      </c>
      <c r="D1359" s="1" t="s">
        <v>444</v>
      </c>
      <c r="E1359" s="11" t="s">
        <v>144</v>
      </c>
      <c r="F1359" s="3" t="s">
        <v>8</v>
      </c>
      <c r="G1359" s="66" t="s">
        <v>75</v>
      </c>
      <c r="H1359" s="8" t="s">
        <v>485</v>
      </c>
      <c r="I1359" s="8" t="s">
        <v>458</v>
      </c>
      <c r="J1359" s="6" t="s">
        <v>108</v>
      </c>
      <c r="K1359" s="38">
        <v>2500</v>
      </c>
      <c r="L1359" s="4" t="s">
        <v>26</v>
      </c>
      <c r="M1359" s="11">
        <f>_xlfn.NUMBERVALUE(LEFT(Table613612[[#This Row],[Fiscal Year]], 4))</f>
        <v>2018</v>
      </c>
      <c r="N1359" s="42">
        <f t="shared" si="28"/>
        <v>2500</v>
      </c>
      <c r="O1359" s="3">
        <v>1357</v>
      </c>
    </row>
    <row r="1360" spans="1:15" x14ac:dyDescent="0.25">
      <c r="A1360" s="3">
        <v>4</v>
      </c>
      <c r="B1360" s="3" t="s">
        <v>256</v>
      </c>
      <c r="C1360" s="1" t="s">
        <v>13</v>
      </c>
      <c r="D1360" s="1" t="s">
        <v>444</v>
      </c>
      <c r="E1360" s="11" t="s">
        <v>144</v>
      </c>
      <c r="F1360" s="3" t="s">
        <v>8</v>
      </c>
      <c r="G1360" s="48" t="s">
        <v>76</v>
      </c>
      <c r="H1360" s="8"/>
      <c r="I1360" s="8"/>
      <c r="J1360" s="6" t="s">
        <v>76</v>
      </c>
      <c r="K1360" s="38">
        <v>41700</v>
      </c>
      <c r="L1360" s="4" t="s">
        <v>26</v>
      </c>
      <c r="M1360" s="11">
        <f>_xlfn.NUMBERVALUE(LEFT(Table613612[[#This Row],[Fiscal Year]], 4))</f>
        <v>2018</v>
      </c>
      <c r="N1360" s="42">
        <f t="shared" si="28"/>
        <v>41700</v>
      </c>
      <c r="O1360" s="3">
        <v>1358</v>
      </c>
    </row>
    <row r="1361" spans="1:15" x14ac:dyDescent="0.25">
      <c r="A1361" s="3">
        <v>4</v>
      </c>
      <c r="B1361" s="3" t="s">
        <v>256</v>
      </c>
      <c r="C1361" s="1" t="s">
        <v>13</v>
      </c>
      <c r="D1361" s="1" t="s">
        <v>444</v>
      </c>
      <c r="E1361" s="11" t="s">
        <v>144</v>
      </c>
      <c r="F1361" s="3" t="s">
        <v>8</v>
      </c>
      <c r="G1361" s="66" t="s">
        <v>77</v>
      </c>
      <c r="H1361" s="8"/>
      <c r="I1361" s="8"/>
      <c r="J1361" s="6" t="s">
        <v>106</v>
      </c>
      <c r="K1361" s="38">
        <v>0</v>
      </c>
      <c r="L1361" s="4" t="s">
        <v>26</v>
      </c>
      <c r="M1361" s="11">
        <f>_xlfn.NUMBERVALUE(LEFT(Table613612[[#This Row],[Fiscal Year]], 4))</f>
        <v>2018</v>
      </c>
      <c r="N1361" s="43">
        <f t="shared" si="28"/>
        <v>0</v>
      </c>
      <c r="O1361" s="3">
        <v>1359</v>
      </c>
    </row>
    <row r="1362" spans="1:15" x14ac:dyDescent="0.25">
      <c r="A1362" s="3">
        <v>4</v>
      </c>
      <c r="B1362" s="3" t="s">
        <v>256</v>
      </c>
      <c r="C1362" s="1" t="s">
        <v>13</v>
      </c>
      <c r="D1362" s="1" t="s">
        <v>444</v>
      </c>
      <c r="E1362" s="11" t="s">
        <v>144</v>
      </c>
      <c r="F1362" s="3" t="s">
        <v>8</v>
      </c>
      <c r="G1362" s="66" t="s">
        <v>78</v>
      </c>
      <c r="H1362" s="8"/>
      <c r="I1362" s="8"/>
      <c r="J1362" s="6" t="s">
        <v>47</v>
      </c>
      <c r="K1362" s="38">
        <v>1100</v>
      </c>
      <c r="L1362" s="4" t="s">
        <v>26</v>
      </c>
      <c r="M1362" s="11">
        <f>_xlfn.NUMBERVALUE(LEFT(Table613612[[#This Row],[Fiscal Year]], 4))</f>
        <v>2018</v>
      </c>
      <c r="N1362" s="42">
        <f t="shared" si="28"/>
        <v>1100</v>
      </c>
      <c r="O1362" s="3">
        <v>1360</v>
      </c>
    </row>
    <row r="1363" spans="1:15" x14ac:dyDescent="0.25">
      <c r="A1363" s="3">
        <v>4</v>
      </c>
      <c r="B1363" s="3" t="s">
        <v>256</v>
      </c>
      <c r="C1363" s="1" t="s">
        <v>13</v>
      </c>
      <c r="D1363" s="1" t="s">
        <v>444</v>
      </c>
      <c r="E1363" s="11" t="s">
        <v>144</v>
      </c>
      <c r="F1363" s="3" t="s">
        <v>8</v>
      </c>
      <c r="G1363" s="48" t="s">
        <v>79</v>
      </c>
      <c r="H1363" s="8" t="s">
        <v>483</v>
      </c>
      <c r="I1363" s="8" t="s">
        <v>458</v>
      </c>
      <c r="J1363" s="6" t="s">
        <v>455</v>
      </c>
      <c r="K1363" s="38">
        <v>12800</v>
      </c>
      <c r="L1363" s="4" t="s">
        <v>26</v>
      </c>
      <c r="M1363" s="11">
        <f>_xlfn.NUMBERVALUE(LEFT(Table613612[[#This Row],[Fiscal Year]], 4))</f>
        <v>2018</v>
      </c>
      <c r="N1363" s="42">
        <f t="shared" si="28"/>
        <v>12800</v>
      </c>
      <c r="O1363" s="3">
        <v>1361</v>
      </c>
    </row>
    <row r="1364" spans="1:15" x14ac:dyDescent="0.25">
      <c r="A1364" s="3">
        <v>4</v>
      </c>
      <c r="B1364" s="3" t="s">
        <v>256</v>
      </c>
      <c r="C1364" s="1" t="s">
        <v>13</v>
      </c>
      <c r="D1364" s="1" t="s">
        <v>444</v>
      </c>
      <c r="E1364" s="11" t="s">
        <v>144</v>
      </c>
      <c r="F1364" s="3" t="s">
        <v>8</v>
      </c>
      <c r="G1364" s="66" t="s">
        <v>80</v>
      </c>
      <c r="H1364" s="8"/>
      <c r="I1364" s="8"/>
      <c r="J1364" s="6" t="s">
        <v>605</v>
      </c>
      <c r="K1364" s="38">
        <v>20000</v>
      </c>
      <c r="L1364" s="4" t="s">
        <v>26</v>
      </c>
      <c r="M1364" s="11">
        <f>_xlfn.NUMBERVALUE(LEFT(Table613612[[#This Row],[Fiscal Year]], 4))</f>
        <v>2018</v>
      </c>
      <c r="N1364" s="42">
        <f t="shared" si="28"/>
        <v>20000</v>
      </c>
      <c r="O1364" s="3">
        <v>1362</v>
      </c>
    </row>
    <row r="1365" spans="1:15" x14ac:dyDescent="0.25">
      <c r="A1365" s="3">
        <v>4</v>
      </c>
      <c r="B1365" s="3" t="s">
        <v>256</v>
      </c>
      <c r="C1365" s="1" t="s">
        <v>13</v>
      </c>
      <c r="D1365" s="1" t="s">
        <v>444</v>
      </c>
      <c r="E1365" s="11" t="s">
        <v>144</v>
      </c>
      <c r="F1365" s="3" t="s">
        <v>8</v>
      </c>
      <c r="G1365" s="66" t="s">
        <v>67</v>
      </c>
      <c r="H1365" s="8"/>
      <c r="I1365" s="8"/>
      <c r="J1365" s="6" t="s">
        <v>455</v>
      </c>
      <c r="K1365" s="38">
        <v>0</v>
      </c>
      <c r="L1365" s="4" t="s">
        <v>26</v>
      </c>
      <c r="M1365" s="11">
        <f>_xlfn.NUMBERVALUE(LEFT(Table613612[[#This Row],[Fiscal Year]], 4))</f>
        <v>2018</v>
      </c>
      <c r="N1365" s="43">
        <f t="shared" si="28"/>
        <v>0</v>
      </c>
      <c r="O1365" s="3">
        <v>1363</v>
      </c>
    </row>
    <row r="1366" spans="1:15" x14ac:dyDescent="0.25">
      <c r="C1366" s="1"/>
      <c r="D1366" s="1"/>
      <c r="E1366" s="11"/>
      <c r="G1366" s="66"/>
      <c r="H1366" s="8"/>
      <c r="I1366" s="8"/>
      <c r="J1366" s="6"/>
      <c r="L1366" s="4"/>
      <c r="O1366" s="3">
        <v>1364</v>
      </c>
    </row>
    <row r="1367" spans="1:15" x14ac:dyDescent="0.25">
      <c r="A1367" s="3">
        <v>4</v>
      </c>
      <c r="B1367" s="3" t="s">
        <v>257</v>
      </c>
      <c r="C1367" s="1" t="s">
        <v>13</v>
      </c>
      <c r="D1367" s="1" t="s">
        <v>444</v>
      </c>
      <c r="E1367" s="11" t="s">
        <v>144</v>
      </c>
      <c r="F1367" s="3" t="s">
        <v>8</v>
      </c>
      <c r="G1367" s="48" t="s">
        <v>32</v>
      </c>
      <c r="H1367" s="8" t="s">
        <v>608</v>
      </c>
      <c r="I1367" s="70" t="s">
        <v>609</v>
      </c>
      <c r="J1367" s="6" t="s">
        <v>110</v>
      </c>
      <c r="K1367" s="38">
        <v>89000</v>
      </c>
      <c r="L1367" s="4" t="s">
        <v>26</v>
      </c>
      <c r="M1367" s="11">
        <f>_xlfn.NUMBERVALUE(LEFT(Table613612[[#This Row],[Fiscal Year]], 4))</f>
        <v>2018</v>
      </c>
      <c r="N1367" s="42">
        <f t="shared" si="28"/>
        <v>89000</v>
      </c>
      <c r="O1367" s="3">
        <v>1365</v>
      </c>
    </row>
    <row r="1368" spans="1:15" x14ac:dyDescent="0.25">
      <c r="A1368" s="3">
        <v>4</v>
      </c>
      <c r="B1368" s="3" t="s">
        <v>257</v>
      </c>
      <c r="C1368" s="1" t="s">
        <v>13</v>
      </c>
      <c r="D1368" s="1" t="s">
        <v>444</v>
      </c>
      <c r="E1368" s="11" t="s">
        <v>144</v>
      </c>
      <c r="F1368" s="3" t="s">
        <v>8</v>
      </c>
      <c r="G1368" s="66" t="s">
        <v>68</v>
      </c>
      <c r="H1368" s="6"/>
      <c r="I1368" s="8"/>
      <c r="J1368" s="6" t="s">
        <v>42</v>
      </c>
      <c r="K1368" s="38">
        <v>30000</v>
      </c>
      <c r="L1368" s="4" t="s">
        <v>26</v>
      </c>
      <c r="M1368" s="11">
        <f>_xlfn.NUMBERVALUE(LEFT(Table613612[[#This Row],[Fiscal Year]], 4))</f>
        <v>2018</v>
      </c>
      <c r="N1368" s="42">
        <f t="shared" si="28"/>
        <v>30000</v>
      </c>
      <c r="O1368" s="3">
        <v>1366</v>
      </c>
    </row>
    <row r="1369" spans="1:15" x14ac:dyDescent="0.25">
      <c r="A1369" s="3">
        <v>4</v>
      </c>
      <c r="B1369" s="3" t="s">
        <v>257</v>
      </c>
      <c r="C1369" s="1" t="s">
        <v>13</v>
      </c>
      <c r="D1369" s="1" t="s">
        <v>444</v>
      </c>
      <c r="E1369" s="11" t="s">
        <v>144</v>
      </c>
      <c r="F1369" s="3" t="s">
        <v>8</v>
      </c>
      <c r="G1369" s="48" t="s">
        <v>69</v>
      </c>
      <c r="H1369" s="8"/>
      <c r="I1369" s="8"/>
      <c r="J1369" s="6" t="s">
        <v>109</v>
      </c>
      <c r="K1369" s="38">
        <v>382000</v>
      </c>
      <c r="L1369" s="4" t="s">
        <v>26</v>
      </c>
      <c r="M1369" s="11">
        <f>_xlfn.NUMBERVALUE(LEFT(Table613612[[#This Row],[Fiscal Year]], 4))</f>
        <v>2018</v>
      </c>
      <c r="N1369" s="42">
        <f t="shared" si="28"/>
        <v>382000</v>
      </c>
      <c r="O1369" s="3">
        <v>1367</v>
      </c>
    </row>
    <row r="1370" spans="1:15" x14ac:dyDescent="0.25">
      <c r="A1370" s="3">
        <v>4</v>
      </c>
      <c r="B1370" s="3" t="s">
        <v>257</v>
      </c>
      <c r="C1370" s="1" t="s">
        <v>13</v>
      </c>
      <c r="D1370" s="1" t="s">
        <v>444</v>
      </c>
      <c r="E1370" s="11" t="s">
        <v>144</v>
      </c>
      <c r="F1370" s="3" t="s">
        <v>8</v>
      </c>
      <c r="G1370" s="48" t="s">
        <v>59</v>
      </c>
      <c r="H1370" s="8"/>
      <c r="I1370" s="8"/>
      <c r="J1370" s="6" t="s">
        <v>111</v>
      </c>
      <c r="K1370" s="38">
        <v>0</v>
      </c>
      <c r="L1370" s="4" t="s">
        <v>26</v>
      </c>
      <c r="M1370" s="11">
        <f>_xlfn.NUMBERVALUE(LEFT(Table613612[[#This Row],[Fiscal Year]], 4))</f>
        <v>2018</v>
      </c>
      <c r="N1370" s="43">
        <f t="shared" si="28"/>
        <v>0</v>
      </c>
      <c r="O1370" s="3">
        <v>1368</v>
      </c>
    </row>
    <row r="1371" spans="1:15" x14ac:dyDescent="0.25">
      <c r="A1371" s="3">
        <v>4</v>
      </c>
      <c r="B1371" s="3" t="s">
        <v>257</v>
      </c>
      <c r="C1371" s="1" t="s">
        <v>13</v>
      </c>
      <c r="D1371" s="1" t="s">
        <v>444</v>
      </c>
      <c r="E1371" s="11" t="s">
        <v>144</v>
      </c>
      <c r="F1371" s="3" t="s">
        <v>8</v>
      </c>
      <c r="G1371" s="66" t="s">
        <v>70</v>
      </c>
      <c r="H1371" s="8"/>
      <c r="I1371" s="8"/>
      <c r="J1371" s="6" t="s">
        <v>107</v>
      </c>
      <c r="K1371" s="38">
        <v>40000</v>
      </c>
      <c r="L1371" s="4" t="s">
        <v>26</v>
      </c>
      <c r="M1371" s="11">
        <f>_xlfn.NUMBERVALUE(LEFT(Table613612[[#This Row],[Fiscal Year]], 4))</f>
        <v>2018</v>
      </c>
      <c r="N1371" s="42">
        <f t="shared" si="28"/>
        <v>40000</v>
      </c>
      <c r="O1371" s="3">
        <v>1369</v>
      </c>
    </row>
    <row r="1372" spans="1:15" x14ac:dyDescent="0.25">
      <c r="A1372" s="3">
        <v>4</v>
      </c>
      <c r="B1372" s="3" t="s">
        <v>257</v>
      </c>
      <c r="C1372" s="1" t="s">
        <v>13</v>
      </c>
      <c r="D1372" s="1" t="s">
        <v>444</v>
      </c>
      <c r="E1372" s="11" t="s">
        <v>144</v>
      </c>
      <c r="F1372" s="3" t="s">
        <v>8</v>
      </c>
      <c r="G1372" s="48" t="s">
        <v>72</v>
      </c>
      <c r="H1372" s="8" t="s">
        <v>610</v>
      </c>
      <c r="I1372" s="8" t="s">
        <v>458</v>
      </c>
      <c r="J1372" s="6" t="s">
        <v>108</v>
      </c>
      <c r="K1372" s="38" t="s">
        <v>827</v>
      </c>
      <c r="L1372" s="4" t="s">
        <v>26</v>
      </c>
      <c r="M1372" s="11">
        <f>_xlfn.NUMBERVALUE(LEFT(Table613612[[#This Row],[Fiscal Year]], 4))</f>
        <v>2018</v>
      </c>
      <c r="O1372" s="3">
        <v>1370</v>
      </c>
    </row>
    <row r="1373" spans="1:15" x14ac:dyDescent="0.25">
      <c r="A1373" s="3">
        <v>4</v>
      </c>
      <c r="B1373" s="3" t="s">
        <v>257</v>
      </c>
      <c r="C1373" s="1" t="s">
        <v>13</v>
      </c>
      <c r="D1373" s="1" t="s">
        <v>444</v>
      </c>
      <c r="E1373" s="11" t="s">
        <v>144</v>
      </c>
      <c r="F1373" s="3" t="s">
        <v>8</v>
      </c>
      <c r="G1373" s="66" t="s">
        <v>71</v>
      </c>
      <c r="H1373" s="8" t="s">
        <v>484</v>
      </c>
      <c r="I1373" s="8" t="s">
        <v>458</v>
      </c>
      <c r="J1373" s="6" t="s">
        <v>108</v>
      </c>
      <c r="K1373" s="38">
        <v>690000</v>
      </c>
      <c r="L1373" s="4" t="s">
        <v>26</v>
      </c>
      <c r="M1373" s="11">
        <f>_xlfn.NUMBERVALUE(LEFT(Table613612[[#This Row],[Fiscal Year]], 4))</f>
        <v>2018</v>
      </c>
      <c r="N1373" s="42">
        <f t="shared" si="28"/>
        <v>690000</v>
      </c>
      <c r="O1373" s="3">
        <v>1371</v>
      </c>
    </row>
    <row r="1374" spans="1:15" x14ac:dyDescent="0.25">
      <c r="A1374" s="3">
        <v>4</v>
      </c>
      <c r="B1374" s="3" t="s">
        <v>257</v>
      </c>
      <c r="C1374" s="1" t="s">
        <v>13</v>
      </c>
      <c r="D1374" s="1" t="s">
        <v>444</v>
      </c>
      <c r="E1374" s="11" t="s">
        <v>144</v>
      </c>
      <c r="F1374" s="3" t="s">
        <v>8</v>
      </c>
      <c r="G1374" s="48" t="s">
        <v>73</v>
      </c>
      <c r="H1374" s="8"/>
      <c r="I1374" s="8"/>
      <c r="J1374" s="6" t="s">
        <v>108</v>
      </c>
      <c r="K1374" s="38">
        <v>0</v>
      </c>
      <c r="L1374" s="4" t="s">
        <v>26</v>
      </c>
      <c r="M1374" s="11">
        <f>_xlfn.NUMBERVALUE(LEFT(Table613612[[#This Row],[Fiscal Year]], 4))</f>
        <v>2018</v>
      </c>
      <c r="N1374" s="43">
        <f t="shared" si="28"/>
        <v>0</v>
      </c>
      <c r="O1374" s="3">
        <v>1372</v>
      </c>
    </row>
    <row r="1375" spans="1:15" x14ac:dyDescent="0.25">
      <c r="A1375" s="3">
        <v>4</v>
      </c>
      <c r="B1375" s="3" t="s">
        <v>257</v>
      </c>
      <c r="C1375" s="1" t="s">
        <v>13</v>
      </c>
      <c r="D1375" s="1" t="s">
        <v>444</v>
      </c>
      <c r="E1375" s="11" t="s">
        <v>144</v>
      </c>
      <c r="F1375" s="3" t="s">
        <v>8</v>
      </c>
      <c r="G1375" s="48" t="s">
        <v>74</v>
      </c>
      <c r="H1375" s="8" t="s">
        <v>611</v>
      </c>
      <c r="I1375" s="8" t="s">
        <v>458</v>
      </c>
      <c r="J1375" s="6" t="s">
        <v>108</v>
      </c>
      <c r="K1375" s="38">
        <v>0</v>
      </c>
      <c r="L1375" s="4" t="s">
        <v>26</v>
      </c>
      <c r="M1375" s="11">
        <f>_xlfn.NUMBERVALUE(LEFT(Table613612[[#This Row],[Fiscal Year]], 4))</f>
        <v>2018</v>
      </c>
      <c r="N1375" s="43">
        <f t="shared" si="28"/>
        <v>0</v>
      </c>
      <c r="O1375" s="3">
        <v>1373</v>
      </c>
    </row>
    <row r="1376" spans="1:15" x14ac:dyDescent="0.25">
      <c r="A1376" s="3">
        <v>4</v>
      </c>
      <c r="B1376" s="3" t="s">
        <v>257</v>
      </c>
      <c r="C1376" s="1" t="s">
        <v>13</v>
      </c>
      <c r="D1376" s="1" t="s">
        <v>444</v>
      </c>
      <c r="E1376" s="11" t="s">
        <v>144</v>
      </c>
      <c r="F1376" s="3" t="s">
        <v>8</v>
      </c>
      <c r="G1376" s="66" t="s">
        <v>75</v>
      </c>
      <c r="H1376" s="8" t="s">
        <v>485</v>
      </c>
      <c r="I1376" s="8" t="s">
        <v>458</v>
      </c>
      <c r="J1376" s="6" t="s">
        <v>108</v>
      </c>
      <c r="K1376" s="38">
        <v>0</v>
      </c>
      <c r="L1376" s="4" t="s">
        <v>26</v>
      </c>
      <c r="M1376" s="11">
        <f>_xlfn.NUMBERVALUE(LEFT(Table613612[[#This Row],[Fiscal Year]], 4))</f>
        <v>2018</v>
      </c>
      <c r="N1376" s="43">
        <f t="shared" si="28"/>
        <v>0</v>
      </c>
      <c r="O1376" s="3">
        <v>1374</v>
      </c>
    </row>
    <row r="1377" spans="1:15" x14ac:dyDescent="0.25">
      <c r="A1377" s="3">
        <v>4</v>
      </c>
      <c r="B1377" s="3" t="s">
        <v>257</v>
      </c>
      <c r="C1377" s="1" t="s">
        <v>13</v>
      </c>
      <c r="D1377" s="1" t="s">
        <v>444</v>
      </c>
      <c r="E1377" s="11" t="s">
        <v>144</v>
      </c>
      <c r="F1377" s="3" t="s">
        <v>8</v>
      </c>
      <c r="G1377" s="48" t="s">
        <v>76</v>
      </c>
      <c r="H1377" s="8"/>
      <c r="I1377" s="8"/>
      <c r="J1377" s="6" t="s">
        <v>76</v>
      </c>
      <c r="K1377" s="38">
        <v>0</v>
      </c>
      <c r="L1377" s="4" t="s">
        <v>26</v>
      </c>
      <c r="M1377" s="11">
        <f>_xlfn.NUMBERVALUE(LEFT(Table613612[[#This Row],[Fiscal Year]], 4))</f>
        <v>2018</v>
      </c>
      <c r="N1377" s="43">
        <f t="shared" si="28"/>
        <v>0</v>
      </c>
      <c r="O1377" s="3">
        <v>1375</v>
      </c>
    </row>
    <row r="1378" spans="1:15" x14ac:dyDescent="0.25">
      <c r="A1378" s="3">
        <v>4</v>
      </c>
      <c r="B1378" s="3" t="s">
        <v>257</v>
      </c>
      <c r="C1378" s="1" t="s">
        <v>13</v>
      </c>
      <c r="D1378" s="1" t="s">
        <v>444</v>
      </c>
      <c r="E1378" s="11" t="s">
        <v>144</v>
      </c>
      <c r="F1378" s="3" t="s">
        <v>8</v>
      </c>
      <c r="G1378" s="66" t="s">
        <v>77</v>
      </c>
      <c r="H1378" s="8"/>
      <c r="I1378" s="8"/>
      <c r="J1378" s="6" t="s">
        <v>106</v>
      </c>
      <c r="K1378" s="38">
        <v>36000</v>
      </c>
      <c r="L1378" s="4" t="s">
        <v>26</v>
      </c>
      <c r="M1378" s="11">
        <f>_xlfn.NUMBERVALUE(LEFT(Table613612[[#This Row],[Fiscal Year]], 4))</f>
        <v>2018</v>
      </c>
      <c r="N1378" s="42">
        <f t="shared" si="28"/>
        <v>36000</v>
      </c>
      <c r="O1378" s="3">
        <v>1376</v>
      </c>
    </row>
    <row r="1379" spans="1:15" x14ac:dyDescent="0.25">
      <c r="A1379" s="3">
        <v>4</v>
      </c>
      <c r="B1379" s="3" t="s">
        <v>257</v>
      </c>
      <c r="C1379" s="1" t="s">
        <v>13</v>
      </c>
      <c r="D1379" s="1" t="s">
        <v>444</v>
      </c>
      <c r="E1379" s="11" t="s">
        <v>144</v>
      </c>
      <c r="F1379" s="3" t="s">
        <v>8</v>
      </c>
      <c r="G1379" s="66" t="s">
        <v>78</v>
      </c>
      <c r="H1379" s="8"/>
      <c r="I1379" s="8"/>
      <c r="J1379" s="6" t="s">
        <v>47</v>
      </c>
      <c r="K1379" s="38">
        <v>25000</v>
      </c>
      <c r="L1379" s="4" t="s">
        <v>26</v>
      </c>
      <c r="M1379" s="11">
        <f>_xlfn.NUMBERVALUE(LEFT(Table613612[[#This Row],[Fiscal Year]], 4))</f>
        <v>2018</v>
      </c>
      <c r="N1379" s="42">
        <f t="shared" si="28"/>
        <v>25000</v>
      </c>
      <c r="O1379" s="3">
        <v>1377</v>
      </c>
    </row>
    <row r="1380" spans="1:15" x14ac:dyDescent="0.25">
      <c r="A1380" s="3">
        <v>4</v>
      </c>
      <c r="B1380" s="3" t="s">
        <v>257</v>
      </c>
      <c r="C1380" s="1" t="s">
        <v>13</v>
      </c>
      <c r="D1380" s="1" t="s">
        <v>444</v>
      </c>
      <c r="E1380" s="11" t="s">
        <v>144</v>
      </c>
      <c r="F1380" s="3" t="s">
        <v>8</v>
      </c>
      <c r="G1380" s="48" t="s">
        <v>79</v>
      </c>
      <c r="H1380" s="8" t="s">
        <v>483</v>
      </c>
      <c r="I1380" s="8" t="s">
        <v>458</v>
      </c>
      <c r="J1380" s="6" t="s">
        <v>455</v>
      </c>
      <c r="K1380" s="38">
        <v>120000</v>
      </c>
      <c r="L1380" s="4" t="s">
        <v>26</v>
      </c>
      <c r="M1380" s="11">
        <f>_xlfn.NUMBERVALUE(LEFT(Table613612[[#This Row],[Fiscal Year]], 4))</f>
        <v>2018</v>
      </c>
      <c r="N1380" s="42">
        <f t="shared" si="28"/>
        <v>120000</v>
      </c>
      <c r="O1380" s="3">
        <v>1378</v>
      </c>
    </row>
    <row r="1381" spans="1:15" x14ac:dyDescent="0.25">
      <c r="A1381" s="3">
        <v>4</v>
      </c>
      <c r="B1381" s="3" t="s">
        <v>257</v>
      </c>
      <c r="C1381" s="1" t="s">
        <v>13</v>
      </c>
      <c r="D1381" s="1" t="s">
        <v>444</v>
      </c>
      <c r="E1381" s="11" t="s">
        <v>144</v>
      </c>
      <c r="F1381" s="3" t="s">
        <v>8</v>
      </c>
      <c r="G1381" s="66" t="s">
        <v>80</v>
      </c>
      <c r="H1381" s="8"/>
      <c r="I1381" s="8"/>
      <c r="J1381" s="6" t="s">
        <v>605</v>
      </c>
      <c r="K1381" s="38">
        <v>106000</v>
      </c>
      <c r="L1381" s="4" t="s">
        <v>26</v>
      </c>
      <c r="M1381" s="11">
        <f>_xlfn.NUMBERVALUE(LEFT(Table613612[[#This Row],[Fiscal Year]], 4))</f>
        <v>2018</v>
      </c>
      <c r="N1381" s="42">
        <f t="shared" si="28"/>
        <v>106000</v>
      </c>
      <c r="O1381" s="3">
        <v>1379</v>
      </c>
    </row>
    <row r="1382" spans="1:15" x14ac:dyDescent="0.25">
      <c r="A1382" s="3">
        <v>4</v>
      </c>
      <c r="B1382" s="3" t="s">
        <v>257</v>
      </c>
      <c r="C1382" s="1" t="s">
        <v>13</v>
      </c>
      <c r="D1382" s="1" t="s">
        <v>444</v>
      </c>
      <c r="E1382" s="11" t="s">
        <v>144</v>
      </c>
      <c r="F1382" s="3" t="s">
        <v>8</v>
      </c>
      <c r="G1382" s="66" t="s">
        <v>67</v>
      </c>
      <c r="H1382" s="8"/>
      <c r="I1382" s="8"/>
      <c r="J1382" s="6" t="s">
        <v>455</v>
      </c>
      <c r="K1382" s="38">
        <v>49000</v>
      </c>
      <c r="L1382" s="4" t="s">
        <v>26</v>
      </c>
      <c r="M1382" s="11">
        <f>_xlfn.NUMBERVALUE(LEFT(Table613612[[#This Row],[Fiscal Year]], 4))</f>
        <v>2018</v>
      </c>
      <c r="N1382" s="42">
        <f t="shared" si="28"/>
        <v>49000</v>
      </c>
      <c r="O1382" s="3">
        <v>1380</v>
      </c>
    </row>
    <row r="1383" spans="1:15" x14ac:dyDescent="0.25">
      <c r="C1383" s="1"/>
      <c r="D1383" s="1"/>
      <c r="E1383" s="11"/>
      <c r="G1383" s="66"/>
      <c r="H1383" s="8"/>
      <c r="I1383" s="8"/>
      <c r="J1383" s="6"/>
      <c r="L1383" s="4"/>
      <c r="O1383" s="3">
        <v>1381</v>
      </c>
    </row>
    <row r="1384" spans="1:15" x14ac:dyDescent="0.25">
      <c r="A1384" s="3">
        <v>4</v>
      </c>
      <c r="B1384" s="3" t="s">
        <v>258</v>
      </c>
      <c r="C1384" s="1" t="s">
        <v>13</v>
      </c>
      <c r="D1384" s="1" t="s">
        <v>444</v>
      </c>
      <c r="E1384" s="11" t="s">
        <v>144</v>
      </c>
      <c r="F1384" s="3" t="s">
        <v>8</v>
      </c>
      <c r="G1384" s="48" t="s">
        <v>32</v>
      </c>
      <c r="H1384" s="8" t="s">
        <v>608</v>
      </c>
      <c r="I1384" s="70" t="s">
        <v>609</v>
      </c>
      <c r="J1384" s="6" t="s">
        <v>110</v>
      </c>
      <c r="K1384" s="38">
        <v>20000</v>
      </c>
      <c r="L1384" s="4" t="s">
        <v>26</v>
      </c>
      <c r="M1384" s="11">
        <f>_xlfn.NUMBERVALUE(LEFT(Table613612[[#This Row],[Fiscal Year]], 4))</f>
        <v>2018</v>
      </c>
      <c r="N1384" s="42">
        <f t="shared" si="28"/>
        <v>20000</v>
      </c>
      <c r="O1384" s="3">
        <v>1382</v>
      </c>
    </row>
    <row r="1385" spans="1:15" x14ac:dyDescent="0.25">
      <c r="A1385" s="3">
        <v>4</v>
      </c>
      <c r="B1385" s="3" t="s">
        <v>258</v>
      </c>
      <c r="C1385" s="1" t="s">
        <v>13</v>
      </c>
      <c r="D1385" s="1" t="s">
        <v>444</v>
      </c>
      <c r="E1385" s="11" t="s">
        <v>144</v>
      </c>
      <c r="F1385" s="3" t="s">
        <v>8</v>
      </c>
      <c r="G1385" s="48" t="s">
        <v>68</v>
      </c>
      <c r="H1385" s="6"/>
      <c r="I1385" s="8"/>
      <c r="J1385" s="6" t="s">
        <v>42</v>
      </c>
      <c r="K1385" s="38">
        <v>500</v>
      </c>
      <c r="L1385" s="4" t="s">
        <v>26</v>
      </c>
      <c r="M1385" s="11">
        <f>_xlfn.NUMBERVALUE(LEFT(Table613612[[#This Row],[Fiscal Year]], 4))</f>
        <v>2018</v>
      </c>
      <c r="N1385" s="42">
        <f t="shared" si="28"/>
        <v>500</v>
      </c>
      <c r="O1385" s="3">
        <v>1383</v>
      </c>
    </row>
    <row r="1386" spans="1:15" x14ac:dyDescent="0.25">
      <c r="A1386" s="3">
        <v>4</v>
      </c>
      <c r="B1386" s="3" t="s">
        <v>258</v>
      </c>
      <c r="C1386" s="1" t="s">
        <v>13</v>
      </c>
      <c r="D1386" s="1" t="s">
        <v>444</v>
      </c>
      <c r="E1386" s="11" t="s">
        <v>144</v>
      </c>
      <c r="F1386" s="3" t="s">
        <v>8</v>
      </c>
      <c r="G1386" s="48" t="s">
        <v>69</v>
      </c>
      <c r="H1386" s="8"/>
      <c r="I1386" s="8"/>
      <c r="J1386" s="6" t="s">
        <v>109</v>
      </c>
      <c r="K1386" s="38">
        <v>1500</v>
      </c>
      <c r="L1386" s="4" t="s">
        <v>26</v>
      </c>
      <c r="M1386" s="11">
        <f>_xlfn.NUMBERVALUE(LEFT(Table613612[[#This Row],[Fiscal Year]], 4))</f>
        <v>2018</v>
      </c>
      <c r="N1386" s="42">
        <f t="shared" si="28"/>
        <v>1500</v>
      </c>
      <c r="O1386" s="3">
        <v>1384</v>
      </c>
    </row>
    <row r="1387" spans="1:15" x14ac:dyDescent="0.25">
      <c r="A1387" s="3">
        <v>4</v>
      </c>
      <c r="B1387" s="3" t="s">
        <v>258</v>
      </c>
      <c r="C1387" s="1" t="s">
        <v>13</v>
      </c>
      <c r="D1387" s="1" t="s">
        <v>444</v>
      </c>
      <c r="E1387" s="11" t="s">
        <v>144</v>
      </c>
      <c r="F1387" s="3" t="s">
        <v>8</v>
      </c>
      <c r="G1387" s="48" t="s">
        <v>59</v>
      </c>
      <c r="H1387" s="8"/>
      <c r="I1387" s="8"/>
      <c r="J1387" s="6" t="s">
        <v>111</v>
      </c>
      <c r="K1387" s="38">
        <v>3000</v>
      </c>
      <c r="L1387" s="4" t="s">
        <v>26</v>
      </c>
      <c r="M1387" s="11">
        <f>_xlfn.NUMBERVALUE(LEFT(Table613612[[#This Row],[Fiscal Year]], 4))</f>
        <v>2018</v>
      </c>
      <c r="N1387" s="42">
        <f t="shared" si="28"/>
        <v>3000</v>
      </c>
      <c r="O1387" s="3">
        <v>1385</v>
      </c>
    </row>
    <row r="1388" spans="1:15" x14ac:dyDescent="0.25">
      <c r="A1388" s="3">
        <v>4</v>
      </c>
      <c r="B1388" s="3" t="s">
        <v>258</v>
      </c>
      <c r="C1388" s="1" t="s">
        <v>13</v>
      </c>
      <c r="D1388" s="1" t="s">
        <v>444</v>
      </c>
      <c r="E1388" s="11" t="s">
        <v>144</v>
      </c>
      <c r="F1388" s="3" t="s">
        <v>8</v>
      </c>
      <c r="G1388" s="66" t="s">
        <v>70</v>
      </c>
      <c r="H1388" s="8"/>
      <c r="I1388" s="8"/>
      <c r="J1388" s="6" t="s">
        <v>107</v>
      </c>
      <c r="K1388" s="38">
        <v>3000</v>
      </c>
      <c r="L1388" s="4" t="s">
        <v>26</v>
      </c>
      <c r="M1388" s="11">
        <f>_xlfn.NUMBERVALUE(LEFT(Table613612[[#This Row],[Fiscal Year]], 4))</f>
        <v>2018</v>
      </c>
      <c r="N1388" s="42">
        <f t="shared" si="28"/>
        <v>3000</v>
      </c>
      <c r="O1388" s="3">
        <v>1386</v>
      </c>
    </row>
    <row r="1389" spans="1:15" x14ac:dyDescent="0.25">
      <c r="A1389" s="3">
        <v>4</v>
      </c>
      <c r="B1389" s="3" t="s">
        <v>258</v>
      </c>
      <c r="C1389" s="1" t="s">
        <v>13</v>
      </c>
      <c r="D1389" s="1" t="s">
        <v>444</v>
      </c>
      <c r="E1389" s="11" t="s">
        <v>144</v>
      </c>
      <c r="F1389" s="3" t="s">
        <v>8</v>
      </c>
      <c r="G1389" s="48" t="s">
        <v>72</v>
      </c>
      <c r="H1389" s="8" t="s">
        <v>610</v>
      </c>
      <c r="I1389" s="8" t="s">
        <v>458</v>
      </c>
      <c r="J1389" s="6" t="s">
        <v>108</v>
      </c>
      <c r="K1389" s="38" t="s">
        <v>827</v>
      </c>
      <c r="L1389" s="4" t="s">
        <v>26</v>
      </c>
      <c r="M1389" s="11">
        <f>_xlfn.NUMBERVALUE(LEFT(Table613612[[#This Row],[Fiscal Year]], 4))</f>
        <v>2018</v>
      </c>
      <c r="O1389" s="3">
        <v>1387</v>
      </c>
    </row>
    <row r="1390" spans="1:15" x14ac:dyDescent="0.25">
      <c r="A1390" s="3">
        <v>4</v>
      </c>
      <c r="B1390" s="3" t="s">
        <v>258</v>
      </c>
      <c r="C1390" s="1" t="s">
        <v>13</v>
      </c>
      <c r="D1390" s="1" t="s">
        <v>444</v>
      </c>
      <c r="E1390" s="11" t="s">
        <v>144</v>
      </c>
      <c r="F1390" s="3" t="s">
        <v>8</v>
      </c>
      <c r="G1390" s="66" t="s">
        <v>71</v>
      </c>
      <c r="H1390" s="8" t="s">
        <v>484</v>
      </c>
      <c r="I1390" s="8" t="s">
        <v>458</v>
      </c>
      <c r="J1390" s="6" t="s">
        <v>108</v>
      </c>
      <c r="K1390" s="38">
        <v>20000</v>
      </c>
      <c r="L1390" s="4" t="s">
        <v>26</v>
      </c>
      <c r="M1390" s="11">
        <f>_xlfn.NUMBERVALUE(LEFT(Table613612[[#This Row],[Fiscal Year]], 4))</f>
        <v>2018</v>
      </c>
      <c r="N1390" s="42">
        <f t="shared" si="28"/>
        <v>20000</v>
      </c>
      <c r="O1390" s="3">
        <v>1388</v>
      </c>
    </row>
    <row r="1391" spans="1:15" x14ac:dyDescent="0.25">
      <c r="A1391" s="3">
        <v>4</v>
      </c>
      <c r="B1391" s="3" t="s">
        <v>258</v>
      </c>
      <c r="C1391" s="1" t="s">
        <v>13</v>
      </c>
      <c r="D1391" s="1" t="s">
        <v>444</v>
      </c>
      <c r="E1391" s="11" t="s">
        <v>144</v>
      </c>
      <c r="F1391" s="3" t="s">
        <v>8</v>
      </c>
      <c r="G1391" s="48" t="s">
        <v>73</v>
      </c>
      <c r="H1391" s="8"/>
      <c r="I1391" s="8"/>
      <c r="J1391" s="6" t="s">
        <v>108</v>
      </c>
      <c r="K1391" s="38">
        <v>117000</v>
      </c>
      <c r="L1391" s="4" t="s">
        <v>26</v>
      </c>
      <c r="M1391" s="11">
        <f>_xlfn.NUMBERVALUE(LEFT(Table613612[[#This Row],[Fiscal Year]], 4))</f>
        <v>2018</v>
      </c>
      <c r="N1391" s="42">
        <f t="shared" si="28"/>
        <v>117000</v>
      </c>
      <c r="O1391" s="3">
        <v>1389</v>
      </c>
    </row>
    <row r="1392" spans="1:15" x14ac:dyDescent="0.25">
      <c r="A1392" s="3">
        <v>4</v>
      </c>
      <c r="B1392" s="3" t="s">
        <v>258</v>
      </c>
      <c r="C1392" s="1" t="s">
        <v>13</v>
      </c>
      <c r="D1392" s="1" t="s">
        <v>444</v>
      </c>
      <c r="E1392" s="11" t="s">
        <v>144</v>
      </c>
      <c r="F1392" s="3" t="s">
        <v>8</v>
      </c>
      <c r="G1392" s="48" t="s">
        <v>74</v>
      </c>
      <c r="H1392" s="8" t="s">
        <v>611</v>
      </c>
      <c r="I1392" s="8" t="s">
        <v>458</v>
      </c>
      <c r="J1392" s="6" t="s">
        <v>108</v>
      </c>
      <c r="K1392" s="38">
        <v>2000</v>
      </c>
      <c r="L1392" s="4" t="s">
        <v>26</v>
      </c>
      <c r="M1392" s="11">
        <f>_xlfn.NUMBERVALUE(LEFT(Table613612[[#This Row],[Fiscal Year]], 4))</f>
        <v>2018</v>
      </c>
      <c r="N1392" s="42">
        <f t="shared" si="28"/>
        <v>2000</v>
      </c>
      <c r="O1392" s="3">
        <v>1390</v>
      </c>
    </row>
    <row r="1393" spans="1:15" x14ac:dyDescent="0.25">
      <c r="A1393" s="3">
        <v>4</v>
      </c>
      <c r="B1393" s="3" t="s">
        <v>258</v>
      </c>
      <c r="C1393" s="1" t="s">
        <v>13</v>
      </c>
      <c r="D1393" s="1" t="s">
        <v>444</v>
      </c>
      <c r="E1393" s="11" t="s">
        <v>144</v>
      </c>
      <c r="F1393" s="3" t="s">
        <v>8</v>
      </c>
      <c r="G1393" s="66" t="s">
        <v>75</v>
      </c>
      <c r="H1393" s="8" t="s">
        <v>485</v>
      </c>
      <c r="I1393" s="8" t="s">
        <v>458</v>
      </c>
      <c r="J1393" s="6" t="s">
        <v>108</v>
      </c>
      <c r="K1393" s="38">
        <v>60000</v>
      </c>
      <c r="L1393" s="4" t="s">
        <v>26</v>
      </c>
      <c r="M1393" s="11">
        <f>_xlfn.NUMBERVALUE(LEFT(Table613612[[#This Row],[Fiscal Year]], 4))</f>
        <v>2018</v>
      </c>
      <c r="N1393" s="42">
        <f t="shared" si="28"/>
        <v>60000</v>
      </c>
      <c r="O1393" s="3">
        <v>1391</v>
      </c>
    </row>
    <row r="1394" spans="1:15" x14ac:dyDescent="0.25">
      <c r="A1394" s="3">
        <v>4</v>
      </c>
      <c r="B1394" s="3" t="s">
        <v>258</v>
      </c>
      <c r="C1394" s="1" t="s">
        <v>13</v>
      </c>
      <c r="D1394" s="1" t="s">
        <v>444</v>
      </c>
      <c r="E1394" s="11" t="s">
        <v>144</v>
      </c>
      <c r="F1394" s="3" t="s">
        <v>8</v>
      </c>
      <c r="G1394" s="48" t="s">
        <v>76</v>
      </c>
      <c r="H1394" s="8"/>
      <c r="I1394" s="8"/>
      <c r="J1394" s="6" t="s">
        <v>76</v>
      </c>
      <c r="K1394" s="38">
        <v>0</v>
      </c>
      <c r="L1394" s="4" t="s">
        <v>26</v>
      </c>
      <c r="M1394" s="11">
        <f>_xlfn.NUMBERVALUE(LEFT(Table613612[[#This Row],[Fiscal Year]], 4))</f>
        <v>2018</v>
      </c>
      <c r="N1394" s="43">
        <f t="shared" si="28"/>
        <v>0</v>
      </c>
      <c r="O1394" s="3">
        <v>1392</v>
      </c>
    </row>
    <row r="1395" spans="1:15" x14ac:dyDescent="0.25">
      <c r="A1395" s="3">
        <v>4</v>
      </c>
      <c r="B1395" s="3" t="s">
        <v>258</v>
      </c>
      <c r="C1395" s="1" t="s">
        <v>13</v>
      </c>
      <c r="D1395" s="1" t="s">
        <v>444</v>
      </c>
      <c r="E1395" s="11" t="s">
        <v>144</v>
      </c>
      <c r="F1395" s="3" t="s">
        <v>8</v>
      </c>
      <c r="G1395" s="66" t="s">
        <v>77</v>
      </c>
      <c r="H1395" s="8"/>
      <c r="I1395" s="8"/>
      <c r="J1395" s="6" t="s">
        <v>106</v>
      </c>
      <c r="K1395" s="38">
        <v>500</v>
      </c>
      <c r="L1395" s="4" t="s">
        <v>26</v>
      </c>
      <c r="M1395" s="11">
        <f>_xlfn.NUMBERVALUE(LEFT(Table613612[[#This Row],[Fiscal Year]], 4))</f>
        <v>2018</v>
      </c>
      <c r="N1395" s="42">
        <f t="shared" si="28"/>
        <v>500</v>
      </c>
      <c r="O1395" s="3">
        <v>1393</v>
      </c>
    </row>
    <row r="1396" spans="1:15" x14ac:dyDescent="0.25">
      <c r="A1396" s="3">
        <v>4</v>
      </c>
      <c r="B1396" s="3" t="s">
        <v>258</v>
      </c>
      <c r="C1396" s="1" t="s">
        <v>13</v>
      </c>
      <c r="D1396" s="1" t="s">
        <v>444</v>
      </c>
      <c r="E1396" s="11" t="s">
        <v>144</v>
      </c>
      <c r="F1396" s="3" t="s">
        <v>8</v>
      </c>
      <c r="G1396" s="66" t="s">
        <v>78</v>
      </c>
      <c r="H1396" s="8"/>
      <c r="I1396" s="8"/>
      <c r="J1396" s="6" t="s">
        <v>47</v>
      </c>
      <c r="K1396" s="38" t="s">
        <v>827</v>
      </c>
      <c r="L1396" s="4" t="s">
        <v>26</v>
      </c>
      <c r="M1396" s="11">
        <f>_xlfn.NUMBERVALUE(LEFT(Table613612[[#This Row],[Fiscal Year]], 4))</f>
        <v>2018</v>
      </c>
      <c r="O1396" s="3">
        <v>1394</v>
      </c>
    </row>
    <row r="1397" spans="1:15" x14ac:dyDescent="0.25">
      <c r="A1397" s="3">
        <v>4</v>
      </c>
      <c r="B1397" s="3" t="s">
        <v>258</v>
      </c>
      <c r="C1397" s="1" t="s">
        <v>13</v>
      </c>
      <c r="D1397" s="1" t="s">
        <v>444</v>
      </c>
      <c r="E1397" s="11" t="s">
        <v>144</v>
      </c>
      <c r="F1397" s="3" t="s">
        <v>8</v>
      </c>
      <c r="G1397" s="48" t="s">
        <v>79</v>
      </c>
      <c r="H1397" s="8" t="s">
        <v>483</v>
      </c>
      <c r="I1397" s="8" t="s">
        <v>458</v>
      </c>
      <c r="J1397" s="6" t="s">
        <v>455</v>
      </c>
      <c r="K1397" s="38">
        <v>14000</v>
      </c>
      <c r="L1397" s="4" t="s">
        <v>26</v>
      </c>
      <c r="M1397" s="11">
        <f>_xlfn.NUMBERVALUE(LEFT(Table613612[[#This Row],[Fiscal Year]], 4))</f>
        <v>2018</v>
      </c>
      <c r="N1397" s="42">
        <f t="shared" si="28"/>
        <v>14000</v>
      </c>
      <c r="O1397" s="3">
        <v>1395</v>
      </c>
    </row>
    <row r="1398" spans="1:15" x14ac:dyDescent="0.25">
      <c r="A1398" s="3">
        <v>4</v>
      </c>
      <c r="B1398" s="3" t="s">
        <v>258</v>
      </c>
      <c r="C1398" s="1" t="s">
        <v>13</v>
      </c>
      <c r="D1398" s="1" t="s">
        <v>444</v>
      </c>
      <c r="E1398" s="11" t="s">
        <v>144</v>
      </c>
      <c r="F1398" s="3" t="s">
        <v>8</v>
      </c>
      <c r="G1398" s="66" t="s">
        <v>80</v>
      </c>
      <c r="H1398" s="8"/>
      <c r="I1398" s="8"/>
      <c r="J1398" s="6" t="s">
        <v>605</v>
      </c>
      <c r="K1398" s="38" t="s">
        <v>827</v>
      </c>
      <c r="L1398" s="4" t="s">
        <v>26</v>
      </c>
      <c r="M1398" s="11">
        <f>_xlfn.NUMBERVALUE(LEFT(Table613612[[#This Row],[Fiscal Year]], 4))</f>
        <v>2018</v>
      </c>
      <c r="O1398" s="3">
        <v>1396</v>
      </c>
    </row>
    <row r="1399" spans="1:15" x14ac:dyDescent="0.25">
      <c r="A1399" s="3">
        <v>4</v>
      </c>
      <c r="B1399" s="3" t="s">
        <v>258</v>
      </c>
      <c r="C1399" s="1" t="s">
        <v>13</v>
      </c>
      <c r="D1399" s="1" t="s">
        <v>444</v>
      </c>
      <c r="E1399" s="11" t="s">
        <v>144</v>
      </c>
      <c r="F1399" s="3" t="s">
        <v>8</v>
      </c>
      <c r="G1399" s="66" t="s">
        <v>67</v>
      </c>
      <c r="H1399" s="8"/>
      <c r="I1399" s="8"/>
      <c r="J1399" s="6" t="s">
        <v>455</v>
      </c>
      <c r="K1399" s="38" t="s">
        <v>827</v>
      </c>
      <c r="L1399" s="4" t="s">
        <v>26</v>
      </c>
      <c r="M1399" s="11">
        <f>_xlfn.NUMBERVALUE(LEFT(Table613612[[#This Row],[Fiscal Year]], 4))</f>
        <v>2018</v>
      </c>
      <c r="O1399" s="3">
        <v>1397</v>
      </c>
    </row>
    <row r="1400" spans="1:15" x14ac:dyDescent="0.25">
      <c r="C1400" s="1"/>
      <c r="D1400" s="1"/>
      <c r="E1400" s="11"/>
      <c r="G1400" s="66"/>
      <c r="H1400" s="8"/>
      <c r="I1400" s="8"/>
      <c r="J1400" s="6"/>
      <c r="L1400" s="4"/>
      <c r="O1400" s="3">
        <v>1398</v>
      </c>
    </row>
    <row r="1401" spans="1:15" x14ac:dyDescent="0.25">
      <c r="A1401" s="3">
        <v>4</v>
      </c>
      <c r="B1401" s="3" t="s">
        <v>13</v>
      </c>
      <c r="C1401" s="1" t="s">
        <v>13</v>
      </c>
      <c r="D1401" s="1" t="s">
        <v>444</v>
      </c>
      <c r="E1401" s="11" t="s">
        <v>144</v>
      </c>
      <c r="F1401" s="3" t="s">
        <v>8</v>
      </c>
      <c r="G1401" s="48" t="s">
        <v>32</v>
      </c>
      <c r="H1401" s="8" t="s">
        <v>608</v>
      </c>
      <c r="I1401" s="70" t="s">
        <v>609</v>
      </c>
      <c r="J1401" s="6" t="s">
        <v>110</v>
      </c>
      <c r="K1401" s="38">
        <v>107000</v>
      </c>
      <c r="L1401" s="4" t="s">
        <v>26</v>
      </c>
      <c r="M1401" s="11">
        <f>_xlfn.NUMBERVALUE(LEFT(Table613612[[#This Row],[Fiscal Year]], 4))</f>
        <v>2018</v>
      </c>
      <c r="N1401" s="42">
        <f t="shared" si="28"/>
        <v>107000</v>
      </c>
      <c r="O1401" s="3">
        <v>1399</v>
      </c>
    </row>
    <row r="1402" spans="1:15" x14ac:dyDescent="0.25">
      <c r="A1402" s="3">
        <v>4</v>
      </c>
      <c r="B1402" s="3" t="s">
        <v>13</v>
      </c>
      <c r="C1402" s="1" t="s">
        <v>13</v>
      </c>
      <c r="D1402" s="1" t="s">
        <v>444</v>
      </c>
      <c r="E1402" s="11" t="s">
        <v>144</v>
      </c>
      <c r="F1402" s="3" t="s">
        <v>8</v>
      </c>
      <c r="G1402" s="48" t="s">
        <v>68</v>
      </c>
      <c r="H1402" s="6"/>
      <c r="I1402" s="8"/>
      <c r="J1402" s="6" t="s">
        <v>42</v>
      </c>
      <c r="K1402" s="38">
        <v>33000</v>
      </c>
      <c r="L1402" s="4" t="s">
        <v>26</v>
      </c>
      <c r="M1402" s="11">
        <f>_xlfn.NUMBERVALUE(LEFT(Table613612[[#This Row],[Fiscal Year]], 4))</f>
        <v>2018</v>
      </c>
      <c r="N1402" s="42">
        <f t="shared" si="28"/>
        <v>33000</v>
      </c>
      <c r="O1402" s="3">
        <v>1400</v>
      </c>
    </row>
    <row r="1403" spans="1:15" x14ac:dyDescent="0.25">
      <c r="A1403" s="3">
        <v>4</v>
      </c>
      <c r="B1403" s="3" t="s">
        <v>13</v>
      </c>
      <c r="C1403" s="1" t="s">
        <v>13</v>
      </c>
      <c r="D1403" s="1" t="s">
        <v>444</v>
      </c>
      <c r="E1403" s="11" t="s">
        <v>144</v>
      </c>
      <c r="F1403" s="3" t="s">
        <v>8</v>
      </c>
      <c r="G1403" s="48" t="s">
        <v>69</v>
      </c>
      <c r="H1403" s="8"/>
      <c r="I1403" s="8"/>
      <c r="J1403" s="6" t="s">
        <v>109</v>
      </c>
      <c r="K1403" s="38">
        <v>120000</v>
      </c>
      <c r="L1403" s="4" t="s">
        <v>26</v>
      </c>
      <c r="M1403" s="11">
        <f>_xlfn.NUMBERVALUE(LEFT(Table613612[[#This Row],[Fiscal Year]], 4))</f>
        <v>2018</v>
      </c>
      <c r="N1403" s="42">
        <f t="shared" si="28"/>
        <v>120000</v>
      </c>
      <c r="O1403" s="3">
        <v>1401</v>
      </c>
    </row>
    <row r="1404" spans="1:15" x14ac:dyDescent="0.25">
      <c r="A1404" s="3">
        <v>4</v>
      </c>
      <c r="B1404" s="3" t="s">
        <v>13</v>
      </c>
      <c r="C1404" s="1" t="s">
        <v>13</v>
      </c>
      <c r="D1404" s="1" t="s">
        <v>444</v>
      </c>
      <c r="E1404" s="11" t="s">
        <v>144</v>
      </c>
      <c r="F1404" s="3" t="s">
        <v>8</v>
      </c>
      <c r="G1404" s="48" t="s">
        <v>59</v>
      </c>
      <c r="H1404" s="8"/>
      <c r="I1404" s="8"/>
      <c r="J1404" s="6" t="s">
        <v>111</v>
      </c>
      <c r="K1404" s="38">
        <v>400000</v>
      </c>
      <c r="L1404" s="4" t="s">
        <v>26</v>
      </c>
      <c r="M1404" s="11">
        <f>_xlfn.NUMBERVALUE(LEFT(Table613612[[#This Row],[Fiscal Year]], 4))</f>
        <v>2018</v>
      </c>
      <c r="N1404" s="42">
        <f t="shared" si="28"/>
        <v>400000</v>
      </c>
      <c r="O1404" s="3">
        <v>1402</v>
      </c>
    </row>
    <row r="1405" spans="1:15" x14ac:dyDescent="0.25">
      <c r="A1405" s="3">
        <v>4</v>
      </c>
      <c r="B1405" s="3" t="s">
        <v>13</v>
      </c>
      <c r="C1405" s="1" t="s">
        <v>13</v>
      </c>
      <c r="D1405" s="1" t="s">
        <v>444</v>
      </c>
      <c r="E1405" s="11" t="s">
        <v>144</v>
      </c>
      <c r="F1405" s="3" t="s">
        <v>8</v>
      </c>
      <c r="G1405" s="66" t="s">
        <v>70</v>
      </c>
      <c r="H1405" s="8"/>
      <c r="I1405" s="8"/>
      <c r="J1405" s="6" t="s">
        <v>107</v>
      </c>
      <c r="K1405" s="38">
        <v>45000</v>
      </c>
      <c r="L1405" s="4" t="s">
        <v>26</v>
      </c>
      <c r="M1405" s="11">
        <f>_xlfn.NUMBERVALUE(LEFT(Table613612[[#This Row],[Fiscal Year]], 4))</f>
        <v>2018</v>
      </c>
      <c r="N1405" s="42">
        <f t="shared" si="28"/>
        <v>45000</v>
      </c>
      <c r="O1405" s="3">
        <v>1403</v>
      </c>
    </row>
    <row r="1406" spans="1:15" x14ac:dyDescent="0.25">
      <c r="A1406" s="3">
        <v>4</v>
      </c>
      <c r="B1406" s="3" t="s">
        <v>13</v>
      </c>
      <c r="C1406" s="1" t="s">
        <v>13</v>
      </c>
      <c r="D1406" s="1" t="s">
        <v>444</v>
      </c>
      <c r="E1406" s="11" t="s">
        <v>144</v>
      </c>
      <c r="F1406" s="3" t="s">
        <v>8</v>
      </c>
      <c r="G1406" s="48" t="s">
        <v>72</v>
      </c>
      <c r="H1406" s="8" t="s">
        <v>610</v>
      </c>
      <c r="I1406" s="8" t="s">
        <v>458</v>
      </c>
      <c r="J1406" s="6" t="s">
        <v>108</v>
      </c>
      <c r="K1406" s="38" t="s">
        <v>827</v>
      </c>
      <c r="L1406" s="4" t="s">
        <v>26</v>
      </c>
      <c r="M1406" s="11">
        <f>_xlfn.NUMBERVALUE(LEFT(Table613612[[#This Row],[Fiscal Year]], 4))</f>
        <v>2018</v>
      </c>
      <c r="O1406" s="3">
        <v>1404</v>
      </c>
    </row>
    <row r="1407" spans="1:15" x14ac:dyDescent="0.25">
      <c r="A1407" s="3">
        <v>4</v>
      </c>
      <c r="B1407" s="3" t="s">
        <v>13</v>
      </c>
      <c r="C1407" s="1" t="s">
        <v>13</v>
      </c>
      <c r="D1407" s="1" t="s">
        <v>444</v>
      </c>
      <c r="E1407" s="11" t="s">
        <v>144</v>
      </c>
      <c r="F1407" s="3" t="s">
        <v>8</v>
      </c>
      <c r="G1407" s="66" t="s">
        <v>71</v>
      </c>
      <c r="H1407" s="8" t="s">
        <v>484</v>
      </c>
      <c r="I1407" s="8" t="s">
        <v>458</v>
      </c>
      <c r="J1407" s="6" t="s">
        <v>108</v>
      </c>
      <c r="K1407" s="38">
        <v>325000</v>
      </c>
      <c r="L1407" s="4" t="s">
        <v>26</v>
      </c>
      <c r="M1407" s="11">
        <f>_xlfn.NUMBERVALUE(LEFT(Table613612[[#This Row],[Fiscal Year]], 4))</f>
        <v>2018</v>
      </c>
      <c r="N1407" s="42">
        <f t="shared" si="28"/>
        <v>325000</v>
      </c>
      <c r="O1407" s="3">
        <v>1405</v>
      </c>
    </row>
    <row r="1408" spans="1:15" x14ac:dyDescent="0.25">
      <c r="A1408" s="3">
        <v>4</v>
      </c>
      <c r="B1408" s="3" t="s">
        <v>13</v>
      </c>
      <c r="C1408" s="1" t="s">
        <v>13</v>
      </c>
      <c r="D1408" s="1" t="s">
        <v>444</v>
      </c>
      <c r="E1408" s="11" t="s">
        <v>144</v>
      </c>
      <c r="F1408" s="3" t="s">
        <v>8</v>
      </c>
      <c r="G1408" s="48" t="s">
        <v>73</v>
      </c>
      <c r="H1408" s="8"/>
      <c r="I1408" s="8"/>
      <c r="J1408" s="6" t="s">
        <v>108</v>
      </c>
      <c r="K1408" s="38">
        <v>50000</v>
      </c>
      <c r="L1408" s="4" t="s">
        <v>26</v>
      </c>
      <c r="M1408" s="11">
        <f>_xlfn.NUMBERVALUE(LEFT(Table613612[[#This Row],[Fiscal Year]], 4))</f>
        <v>2018</v>
      </c>
      <c r="N1408" s="42">
        <f t="shared" si="28"/>
        <v>50000</v>
      </c>
      <c r="O1408" s="3">
        <v>1406</v>
      </c>
    </row>
    <row r="1409" spans="1:15" x14ac:dyDescent="0.25">
      <c r="A1409" s="3">
        <v>4</v>
      </c>
      <c r="B1409" s="3" t="s">
        <v>13</v>
      </c>
      <c r="C1409" s="1" t="s">
        <v>13</v>
      </c>
      <c r="D1409" s="1" t="s">
        <v>444</v>
      </c>
      <c r="E1409" s="11" t="s">
        <v>144</v>
      </c>
      <c r="F1409" s="3" t="s">
        <v>8</v>
      </c>
      <c r="G1409" s="48" t="s">
        <v>74</v>
      </c>
      <c r="H1409" s="8" t="s">
        <v>611</v>
      </c>
      <c r="I1409" s="8" t="s">
        <v>458</v>
      </c>
      <c r="J1409" s="6" t="s">
        <v>108</v>
      </c>
      <c r="K1409" s="38">
        <v>10000</v>
      </c>
      <c r="L1409" s="4" t="s">
        <v>26</v>
      </c>
      <c r="M1409" s="11">
        <f>_xlfn.NUMBERVALUE(LEFT(Table613612[[#This Row],[Fiscal Year]], 4))</f>
        <v>2018</v>
      </c>
      <c r="N1409" s="42">
        <f t="shared" si="28"/>
        <v>10000</v>
      </c>
      <c r="O1409" s="3">
        <v>1407</v>
      </c>
    </row>
    <row r="1410" spans="1:15" x14ac:dyDescent="0.25">
      <c r="A1410" s="3">
        <v>4</v>
      </c>
      <c r="B1410" s="3" t="s">
        <v>13</v>
      </c>
      <c r="C1410" s="1" t="s">
        <v>13</v>
      </c>
      <c r="D1410" s="1" t="s">
        <v>444</v>
      </c>
      <c r="E1410" s="11" t="s">
        <v>144</v>
      </c>
      <c r="F1410" s="3" t="s">
        <v>8</v>
      </c>
      <c r="G1410" s="66" t="s">
        <v>75</v>
      </c>
      <c r="H1410" s="8" t="s">
        <v>485</v>
      </c>
      <c r="I1410" s="8" t="s">
        <v>458</v>
      </c>
      <c r="J1410" s="6" t="s">
        <v>108</v>
      </c>
      <c r="K1410" s="38">
        <v>40000</v>
      </c>
      <c r="L1410" s="4" t="s">
        <v>26</v>
      </c>
      <c r="M1410" s="11">
        <f>_xlfn.NUMBERVALUE(LEFT(Table613612[[#This Row],[Fiscal Year]], 4))</f>
        <v>2018</v>
      </c>
      <c r="N1410" s="42">
        <f t="shared" si="28"/>
        <v>40000</v>
      </c>
      <c r="O1410" s="3">
        <v>1408</v>
      </c>
    </row>
    <row r="1411" spans="1:15" x14ac:dyDescent="0.25">
      <c r="A1411" s="3">
        <v>4</v>
      </c>
      <c r="B1411" s="3" t="s">
        <v>13</v>
      </c>
      <c r="C1411" s="1" t="s">
        <v>13</v>
      </c>
      <c r="D1411" s="1" t="s">
        <v>444</v>
      </c>
      <c r="E1411" s="11" t="s">
        <v>144</v>
      </c>
      <c r="F1411" s="3" t="s">
        <v>8</v>
      </c>
      <c r="G1411" s="48" t="s">
        <v>76</v>
      </c>
      <c r="H1411" s="8"/>
      <c r="I1411" s="8"/>
      <c r="J1411" s="6" t="s">
        <v>76</v>
      </c>
      <c r="K1411" s="38">
        <v>100000</v>
      </c>
      <c r="L1411" s="4" t="s">
        <v>26</v>
      </c>
      <c r="M1411" s="11">
        <f>_xlfn.NUMBERVALUE(LEFT(Table613612[[#This Row],[Fiscal Year]], 4))</f>
        <v>2018</v>
      </c>
      <c r="N1411" s="42">
        <f t="shared" si="28"/>
        <v>100000</v>
      </c>
      <c r="O1411" s="3">
        <v>1409</v>
      </c>
    </row>
    <row r="1412" spans="1:15" x14ac:dyDescent="0.25">
      <c r="A1412" s="3">
        <v>4</v>
      </c>
      <c r="B1412" s="3" t="s">
        <v>13</v>
      </c>
      <c r="C1412" s="1" t="s">
        <v>13</v>
      </c>
      <c r="D1412" s="1" t="s">
        <v>444</v>
      </c>
      <c r="E1412" s="11" t="s">
        <v>144</v>
      </c>
      <c r="F1412" s="3" t="s">
        <v>8</v>
      </c>
      <c r="G1412" s="66" t="s">
        <v>77</v>
      </c>
      <c r="H1412" s="8"/>
      <c r="I1412" s="8"/>
      <c r="J1412" s="6" t="s">
        <v>106</v>
      </c>
      <c r="K1412" s="38">
        <v>30000</v>
      </c>
      <c r="L1412" s="4" t="s">
        <v>26</v>
      </c>
      <c r="M1412" s="11">
        <f>_xlfn.NUMBERVALUE(LEFT(Table613612[[#This Row],[Fiscal Year]], 4))</f>
        <v>2018</v>
      </c>
      <c r="N1412" s="42">
        <f t="shared" si="28"/>
        <v>30000</v>
      </c>
      <c r="O1412" s="3">
        <v>1410</v>
      </c>
    </row>
    <row r="1413" spans="1:15" x14ac:dyDescent="0.25">
      <c r="A1413" s="3">
        <v>4</v>
      </c>
      <c r="B1413" s="3" t="s">
        <v>13</v>
      </c>
      <c r="C1413" s="1" t="s">
        <v>13</v>
      </c>
      <c r="D1413" s="1" t="s">
        <v>444</v>
      </c>
      <c r="E1413" s="11" t="s">
        <v>144</v>
      </c>
      <c r="F1413" s="3" t="s">
        <v>8</v>
      </c>
      <c r="G1413" s="66" t="s">
        <v>78</v>
      </c>
      <c r="H1413" s="8"/>
      <c r="I1413" s="8"/>
      <c r="J1413" s="6" t="s">
        <v>47</v>
      </c>
      <c r="K1413" s="38" t="s">
        <v>827</v>
      </c>
      <c r="L1413" s="4" t="s">
        <v>26</v>
      </c>
      <c r="M1413" s="11">
        <f>_xlfn.NUMBERVALUE(LEFT(Table613612[[#This Row],[Fiscal Year]], 4))</f>
        <v>2018</v>
      </c>
      <c r="O1413" s="3">
        <v>1411</v>
      </c>
    </row>
    <row r="1414" spans="1:15" x14ac:dyDescent="0.25">
      <c r="A1414" s="3">
        <v>4</v>
      </c>
      <c r="B1414" s="3" t="s">
        <v>13</v>
      </c>
      <c r="C1414" s="1" t="s">
        <v>13</v>
      </c>
      <c r="D1414" s="1" t="s">
        <v>444</v>
      </c>
      <c r="E1414" s="11" t="s">
        <v>144</v>
      </c>
      <c r="F1414" s="3" t="s">
        <v>8</v>
      </c>
      <c r="G1414" s="48" t="s">
        <v>79</v>
      </c>
      <c r="H1414" s="8" t="s">
        <v>483</v>
      </c>
      <c r="I1414" s="8" t="s">
        <v>458</v>
      </c>
      <c r="J1414" s="6" t="s">
        <v>455</v>
      </c>
      <c r="K1414" s="38">
        <v>133000</v>
      </c>
      <c r="L1414" s="4" t="s">
        <v>26</v>
      </c>
      <c r="M1414" s="11">
        <f>_xlfn.NUMBERVALUE(LEFT(Table613612[[#This Row],[Fiscal Year]], 4))</f>
        <v>2018</v>
      </c>
      <c r="N1414" s="42">
        <f t="shared" si="28"/>
        <v>133000</v>
      </c>
      <c r="O1414" s="3">
        <v>1412</v>
      </c>
    </row>
    <row r="1415" spans="1:15" x14ac:dyDescent="0.25">
      <c r="A1415" s="3">
        <v>4</v>
      </c>
      <c r="B1415" s="3" t="s">
        <v>13</v>
      </c>
      <c r="C1415" s="1" t="s">
        <v>13</v>
      </c>
      <c r="D1415" s="1" t="s">
        <v>444</v>
      </c>
      <c r="E1415" s="11" t="s">
        <v>144</v>
      </c>
      <c r="F1415" s="3" t="s">
        <v>8</v>
      </c>
      <c r="G1415" s="66" t="s">
        <v>80</v>
      </c>
      <c r="H1415" s="8"/>
      <c r="I1415" s="8"/>
      <c r="J1415" s="6" t="s">
        <v>605</v>
      </c>
      <c r="K1415" s="38">
        <v>75000</v>
      </c>
      <c r="L1415" s="4" t="s">
        <v>26</v>
      </c>
      <c r="M1415" s="11">
        <f>_xlfn.NUMBERVALUE(LEFT(Table613612[[#This Row],[Fiscal Year]], 4))</f>
        <v>2018</v>
      </c>
      <c r="N1415" s="42">
        <f t="shared" si="28"/>
        <v>75000</v>
      </c>
      <c r="O1415" s="3">
        <v>1413</v>
      </c>
    </row>
    <row r="1416" spans="1:15" x14ac:dyDescent="0.25">
      <c r="A1416" s="3">
        <v>4</v>
      </c>
      <c r="B1416" s="3" t="s">
        <v>13</v>
      </c>
      <c r="C1416" s="1" t="s">
        <v>13</v>
      </c>
      <c r="D1416" s="1" t="s">
        <v>444</v>
      </c>
      <c r="E1416" s="11" t="s">
        <v>144</v>
      </c>
      <c r="F1416" s="3" t="s">
        <v>8</v>
      </c>
      <c r="G1416" s="66" t="s">
        <v>67</v>
      </c>
      <c r="H1416" s="8"/>
      <c r="I1416" s="8"/>
      <c r="J1416" s="6" t="s">
        <v>455</v>
      </c>
      <c r="K1416" s="38" t="s">
        <v>827</v>
      </c>
      <c r="L1416" s="4" t="s">
        <v>26</v>
      </c>
      <c r="M1416" s="11">
        <f>_xlfn.NUMBERVALUE(LEFT(Table613612[[#This Row],[Fiscal Year]], 4))</f>
        <v>2018</v>
      </c>
      <c r="O1416" s="3">
        <v>1414</v>
      </c>
    </row>
    <row r="1417" spans="1:15" x14ac:dyDescent="0.25">
      <c r="C1417" s="1"/>
      <c r="D1417" s="1"/>
      <c r="E1417" s="11"/>
      <c r="G1417" s="66"/>
      <c r="H1417" s="8"/>
      <c r="I1417" s="8"/>
      <c r="J1417" s="6"/>
      <c r="L1417" s="4"/>
      <c r="O1417" s="3">
        <v>1415</v>
      </c>
    </row>
    <row r="1418" spans="1:15" x14ac:dyDescent="0.25">
      <c r="A1418" s="3">
        <v>4</v>
      </c>
      <c r="B1418" s="3" t="s">
        <v>259</v>
      </c>
      <c r="C1418" s="1" t="s">
        <v>13</v>
      </c>
      <c r="D1418" s="1" t="s">
        <v>444</v>
      </c>
      <c r="E1418" s="11" t="s">
        <v>144</v>
      </c>
      <c r="F1418" s="3" t="s">
        <v>8</v>
      </c>
      <c r="G1418" s="48" t="s">
        <v>32</v>
      </c>
      <c r="H1418" s="8" t="s">
        <v>608</v>
      </c>
      <c r="I1418" s="70" t="s">
        <v>609</v>
      </c>
      <c r="J1418" s="6" t="s">
        <v>110</v>
      </c>
      <c r="K1418" s="38">
        <v>40000</v>
      </c>
      <c r="L1418" s="4" t="s">
        <v>26</v>
      </c>
      <c r="M1418" s="11">
        <f>_xlfn.NUMBERVALUE(LEFT(Table613612[[#This Row],[Fiscal Year]], 4))</f>
        <v>2018</v>
      </c>
      <c r="N1418" s="42">
        <f t="shared" si="28"/>
        <v>40000</v>
      </c>
      <c r="O1418" s="3">
        <v>1416</v>
      </c>
    </row>
    <row r="1419" spans="1:15" x14ac:dyDescent="0.25">
      <c r="A1419" s="3">
        <v>4</v>
      </c>
      <c r="B1419" s="3" t="s">
        <v>259</v>
      </c>
      <c r="C1419" s="1" t="s">
        <v>13</v>
      </c>
      <c r="D1419" s="1" t="s">
        <v>444</v>
      </c>
      <c r="E1419" s="11" t="s">
        <v>144</v>
      </c>
      <c r="F1419" s="3" t="s">
        <v>8</v>
      </c>
      <c r="G1419" s="48" t="s">
        <v>68</v>
      </c>
      <c r="H1419" s="6"/>
      <c r="I1419" s="8"/>
      <c r="J1419" s="6" t="s">
        <v>42</v>
      </c>
      <c r="K1419" s="38">
        <v>500</v>
      </c>
      <c r="L1419" s="4" t="s">
        <v>26</v>
      </c>
      <c r="M1419" s="11">
        <f>_xlfn.NUMBERVALUE(LEFT(Table613612[[#This Row],[Fiscal Year]], 4))</f>
        <v>2018</v>
      </c>
      <c r="N1419" s="42">
        <f t="shared" si="28"/>
        <v>500</v>
      </c>
      <c r="O1419" s="3">
        <v>1417</v>
      </c>
    </row>
    <row r="1420" spans="1:15" x14ac:dyDescent="0.25">
      <c r="A1420" s="3">
        <v>4</v>
      </c>
      <c r="B1420" s="3" t="s">
        <v>259</v>
      </c>
      <c r="C1420" s="1" t="s">
        <v>13</v>
      </c>
      <c r="D1420" s="1" t="s">
        <v>444</v>
      </c>
      <c r="E1420" s="11" t="s">
        <v>144</v>
      </c>
      <c r="F1420" s="3" t="s">
        <v>8</v>
      </c>
      <c r="G1420" s="48" t="s">
        <v>69</v>
      </c>
      <c r="H1420" s="8"/>
      <c r="I1420" s="8"/>
      <c r="J1420" s="6" t="s">
        <v>109</v>
      </c>
      <c r="K1420" s="38">
        <v>3000</v>
      </c>
      <c r="L1420" s="4" t="s">
        <v>26</v>
      </c>
      <c r="M1420" s="11">
        <f>_xlfn.NUMBERVALUE(LEFT(Table613612[[#This Row],[Fiscal Year]], 4))</f>
        <v>2018</v>
      </c>
      <c r="N1420" s="42">
        <f t="shared" ref="N1420:N1483" si="29">K1420*(1+VLOOKUP(M1420,$AF$8:$AH$31,3,0))</f>
        <v>3000</v>
      </c>
      <c r="O1420" s="3">
        <v>1418</v>
      </c>
    </row>
    <row r="1421" spans="1:15" x14ac:dyDescent="0.25">
      <c r="A1421" s="3">
        <v>4</v>
      </c>
      <c r="B1421" s="3" t="s">
        <v>259</v>
      </c>
      <c r="C1421" s="1" t="s">
        <v>13</v>
      </c>
      <c r="D1421" s="1" t="s">
        <v>444</v>
      </c>
      <c r="E1421" s="11" t="s">
        <v>144</v>
      </c>
      <c r="F1421" s="3" t="s">
        <v>8</v>
      </c>
      <c r="G1421" s="48" t="s">
        <v>59</v>
      </c>
      <c r="H1421" s="8"/>
      <c r="I1421" s="8"/>
      <c r="J1421" s="6" t="s">
        <v>111</v>
      </c>
      <c r="K1421" s="38">
        <v>0</v>
      </c>
      <c r="L1421" s="4" t="s">
        <v>26</v>
      </c>
      <c r="M1421" s="11">
        <f>_xlfn.NUMBERVALUE(LEFT(Table613612[[#This Row],[Fiscal Year]], 4))</f>
        <v>2018</v>
      </c>
      <c r="N1421" s="43">
        <f t="shared" si="29"/>
        <v>0</v>
      </c>
      <c r="O1421" s="3">
        <v>1419</v>
      </c>
    </row>
    <row r="1422" spans="1:15" x14ac:dyDescent="0.25">
      <c r="A1422" s="3">
        <v>4</v>
      </c>
      <c r="B1422" s="3" t="s">
        <v>259</v>
      </c>
      <c r="C1422" s="1" t="s">
        <v>13</v>
      </c>
      <c r="D1422" s="1" t="s">
        <v>444</v>
      </c>
      <c r="E1422" s="11" t="s">
        <v>144</v>
      </c>
      <c r="F1422" s="3" t="s">
        <v>8</v>
      </c>
      <c r="G1422" s="66" t="s">
        <v>70</v>
      </c>
      <c r="H1422" s="8"/>
      <c r="I1422" s="8"/>
      <c r="J1422" s="6" t="s">
        <v>107</v>
      </c>
      <c r="K1422" s="38">
        <v>20000</v>
      </c>
      <c r="L1422" s="4" t="s">
        <v>26</v>
      </c>
      <c r="M1422" s="11">
        <f>_xlfn.NUMBERVALUE(LEFT(Table613612[[#This Row],[Fiscal Year]], 4))</f>
        <v>2018</v>
      </c>
      <c r="N1422" s="42">
        <f t="shared" si="29"/>
        <v>20000</v>
      </c>
      <c r="O1422" s="3">
        <v>1420</v>
      </c>
    </row>
    <row r="1423" spans="1:15" x14ac:dyDescent="0.25">
      <c r="A1423" s="3">
        <v>4</v>
      </c>
      <c r="B1423" s="3" t="s">
        <v>259</v>
      </c>
      <c r="C1423" s="1" t="s">
        <v>13</v>
      </c>
      <c r="D1423" s="1" t="s">
        <v>444</v>
      </c>
      <c r="E1423" s="11" t="s">
        <v>144</v>
      </c>
      <c r="F1423" s="3" t="s">
        <v>8</v>
      </c>
      <c r="G1423" s="48" t="s">
        <v>72</v>
      </c>
      <c r="H1423" s="8" t="s">
        <v>610</v>
      </c>
      <c r="I1423" s="8" t="s">
        <v>458</v>
      </c>
      <c r="J1423" s="6" t="s">
        <v>108</v>
      </c>
      <c r="K1423" s="38" t="s">
        <v>827</v>
      </c>
      <c r="L1423" s="4" t="s">
        <v>26</v>
      </c>
      <c r="M1423" s="11">
        <f>_xlfn.NUMBERVALUE(LEFT(Table613612[[#This Row],[Fiscal Year]], 4))</f>
        <v>2018</v>
      </c>
      <c r="O1423" s="3">
        <v>1421</v>
      </c>
    </row>
    <row r="1424" spans="1:15" x14ac:dyDescent="0.25">
      <c r="A1424" s="3">
        <v>4</v>
      </c>
      <c r="B1424" s="3" t="s">
        <v>259</v>
      </c>
      <c r="C1424" s="1" t="s">
        <v>13</v>
      </c>
      <c r="D1424" s="1" t="s">
        <v>444</v>
      </c>
      <c r="E1424" s="11" t="s">
        <v>144</v>
      </c>
      <c r="F1424" s="3" t="s">
        <v>8</v>
      </c>
      <c r="G1424" s="66" t="s">
        <v>71</v>
      </c>
      <c r="H1424" s="8" t="s">
        <v>484</v>
      </c>
      <c r="I1424" s="8" t="s">
        <v>458</v>
      </c>
      <c r="J1424" s="6" t="s">
        <v>108</v>
      </c>
      <c r="K1424" s="38">
        <v>30000</v>
      </c>
      <c r="L1424" s="4" t="s">
        <v>26</v>
      </c>
      <c r="M1424" s="11">
        <f>_xlfn.NUMBERVALUE(LEFT(Table613612[[#This Row],[Fiscal Year]], 4))</f>
        <v>2018</v>
      </c>
      <c r="N1424" s="42">
        <f t="shared" si="29"/>
        <v>30000</v>
      </c>
      <c r="O1424" s="3">
        <v>1422</v>
      </c>
    </row>
    <row r="1425" spans="1:15" x14ac:dyDescent="0.25">
      <c r="A1425" s="3">
        <v>4</v>
      </c>
      <c r="B1425" s="3" t="s">
        <v>259</v>
      </c>
      <c r="C1425" s="1" t="s">
        <v>13</v>
      </c>
      <c r="D1425" s="1" t="s">
        <v>444</v>
      </c>
      <c r="E1425" s="11" t="s">
        <v>144</v>
      </c>
      <c r="F1425" s="3" t="s">
        <v>8</v>
      </c>
      <c r="G1425" s="48" t="s">
        <v>73</v>
      </c>
      <c r="H1425" s="8"/>
      <c r="I1425" s="8"/>
      <c r="J1425" s="6" t="s">
        <v>108</v>
      </c>
      <c r="K1425" s="38">
        <v>10000</v>
      </c>
      <c r="L1425" s="4" t="s">
        <v>26</v>
      </c>
      <c r="M1425" s="11">
        <f>_xlfn.NUMBERVALUE(LEFT(Table613612[[#This Row],[Fiscal Year]], 4))</f>
        <v>2018</v>
      </c>
      <c r="N1425" s="42">
        <f t="shared" si="29"/>
        <v>10000</v>
      </c>
      <c r="O1425" s="3">
        <v>1423</v>
      </c>
    </row>
    <row r="1426" spans="1:15" x14ac:dyDescent="0.25">
      <c r="A1426" s="3">
        <v>4</v>
      </c>
      <c r="B1426" s="3" t="s">
        <v>259</v>
      </c>
      <c r="C1426" s="1" t="s">
        <v>13</v>
      </c>
      <c r="D1426" s="1" t="s">
        <v>444</v>
      </c>
      <c r="E1426" s="11" t="s">
        <v>144</v>
      </c>
      <c r="F1426" s="3" t="s">
        <v>8</v>
      </c>
      <c r="G1426" s="48" t="s">
        <v>74</v>
      </c>
      <c r="H1426" s="8" t="s">
        <v>611</v>
      </c>
      <c r="I1426" s="8" t="s">
        <v>458</v>
      </c>
      <c r="J1426" s="6" t="s">
        <v>108</v>
      </c>
      <c r="K1426" s="38">
        <v>30000</v>
      </c>
      <c r="L1426" s="4" t="s">
        <v>26</v>
      </c>
      <c r="M1426" s="11">
        <f>_xlfn.NUMBERVALUE(LEFT(Table613612[[#This Row],[Fiscal Year]], 4))</f>
        <v>2018</v>
      </c>
      <c r="N1426" s="42">
        <f t="shared" si="29"/>
        <v>30000</v>
      </c>
      <c r="O1426" s="3">
        <v>1424</v>
      </c>
    </row>
    <row r="1427" spans="1:15" x14ac:dyDescent="0.25">
      <c r="A1427" s="3">
        <v>4</v>
      </c>
      <c r="B1427" s="3" t="s">
        <v>259</v>
      </c>
      <c r="C1427" s="1" t="s">
        <v>13</v>
      </c>
      <c r="D1427" s="1" t="s">
        <v>444</v>
      </c>
      <c r="E1427" s="11" t="s">
        <v>144</v>
      </c>
      <c r="F1427" s="3" t="s">
        <v>8</v>
      </c>
      <c r="G1427" s="66" t="s">
        <v>75</v>
      </c>
      <c r="H1427" s="8" t="s">
        <v>485</v>
      </c>
      <c r="I1427" s="8" t="s">
        <v>458</v>
      </c>
      <c r="J1427" s="6" t="s">
        <v>108</v>
      </c>
      <c r="K1427" s="38">
        <v>0</v>
      </c>
      <c r="L1427" s="4" t="s">
        <v>26</v>
      </c>
      <c r="M1427" s="11">
        <f>_xlfn.NUMBERVALUE(LEFT(Table613612[[#This Row],[Fiscal Year]], 4))</f>
        <v>2018</v>
      </c>
      <c r="N1427" s="43">
        <f t="shared" si="29"/>
        <v>0</v>
      </c>
      <c r="O1427" s="3">
        <v>1425</v>
      </c>
    </row>
    <row r="1428" spans="1:15" x14ac:dyDescent="0.25">
      <c r="A1428" s="3">
        <v>4</v>
      </c>
      <c r="B1428" s="3" t="s">
        <v>259</v>
      </c>
      <c r="C1428" s="1" t="s">
        <v>13</v>
      </c>
      <c r="D1428" s="1" t="s">
        <v>444</v>
      </c>
      <c r="E1428" s="11" t="s">
        <v>144</v>
      </c>
      <c r="F1428" s="3" t="s">
        <v>8</v>
      </c>
      <c r="G1428" s="48" t="s">
        <v>76</v>
      </c>
      <c r="H1428" s="8"/>
      <c r="I1428" s="8"/>
      <c r="J1428" s="6" t="s">
        <v>76</v>
      </c>
      <c r="K1428" s="38">
        <v>20000</v>
      </c>
      <c r="L1428" s="4" t="s">
        <v>26</v>
      </c>
      <c r="M1428" s="11">
        <f>_xlfn.NUMBERVALUE(LEFT(Table613612[[#This Row],[Fiscal Year]], 4))</f>
        <v>2018</v>
      </c>
      <c r="N1428" s="42">
        <f t="shared" si="29"/>
        <v>20000</v>
      </c>
      <c r="O1428" s="3">
        <v>1426</v>
      </c>
    </row>
    <row r="1429" spans="1:15" x14ac:dyDescent="0.25">
      <c r="A1429" s="3">
        <v>4</v>
      </c>
      <c r="B1429" s="3" t="s">
        <v>259</v>
      </c>
      <c r="C1429" s="1" t="s">
        <v>13</v>
      </c>
      <c r="D1429" s="1" t="s">
        <v>444</v>
      </c>
      <c r="E1429" s="11" t="s">
        <v>144</v>
      </c>
      <c r="F1429" s="3" t="s">
        <v>8</v>
      </c>
      <c r="G1429" s="48" t="s">
        <v>77</v>
      </c>
      <c r="H1429" s="8"/>
      <c r="I1429" s="8"/>
      <c r="J1429" s="6" t="s">
        <v>106</v>
      </c>
      <c r="K1429" s="38">
        <v>15000</v>
      </c>
      <c r="L1429" s="4" t="s">
        <v>26</v>
      </c>
      <c r="M1429" s="11">
        <f>_xlfn.NUMBERVALUE(LEFT(Table613612[[#This Row],[Fiscal Year]], 4))</f>
        <v>2018</v>
      </c>
      <c r="N1429" s="42">
        <f t="shared" si="29"/>
        <v>15000</v>
      </c>
      <c r="O1429" s="3">
        <v>1427</v>
      </c>
    </row>
    <row r="1430" spans="1:15" x14ac:dyDescent="0.25">
      <c r="A1430" s="3">
        <v>4</v>
      </c>
      <c r="B1430" s="3" t="s">
        <v>259</v>
      </c>
      <c r="C1430" s="1" t="s">
        <v>13</v>
      </c>
      <c r="D1430" s="1" t="s">
        <v>444</v>
      </c>
      <c r="E1430" s="11" t="s">
        <v>144</v>
      </c>
      <c r="F1430" s="3" t="s">
        <v>8</v>
      </c>
      <c r="G1430" s="48" t="s">
        <v>78</v>
      </c>
      <c r="H1430" s="8"/>
      <c r="I1430" s="8"/>
      <c r="J1430" s="6" t="s">
        <v>47</v>
      </c>
      <c r="K1430" s="38">
        <v>0</v>
      </c>
      <c r="L1430" s="4" t="s">
        <v>26</v>
      </c>
      <c r="M1430" s="11">
        <f>_xlfn.NUMBERVALUE(LEFT(Table613612[[#This Row],[Fiscal Year]], 4))</f>
        <v>2018</v>
      </c>
      <c r="N1430" s="43">
        <f t="shared" si="29"/>
        <v>0</v>
      </c>
      <c r="O1430" s="3">
        <v>1428</v>
      </c>
    </row>
    <row r="1431" spans="1:15" x14ac:dyDescent="0.25">
      <c r="A1431" s="3">
        <v>4</v>
      </c>
      <c r="B1431" s="3" t="s">
        <v>259</v>
      </c>
      <c r="C1431" s="1" t="s">
        <v>13</v>
      </c>
      <c r="D1431" s="1" t="s">
        <v>444</v>
      </c>
      <c r="E1431" s="11" t="s">
        <v>144</v>
      </c>
      <c r="F1431" s="3" t="s">
        <v>8</v>
      </c>
      <c r="G1431" s="48" t="s">
        <v>79</v>
      </c>
      <c r="H1431" s="8" t="s">
        <v>483</v>
      </c>
      <c r="I1431" s="8" t="s">
        <v>458</v>
      </c>
      <c r="J1431" s="6" t="s">
        <v>455</v>
      </c>
      <c r="K1431" s="38">
        <v>21000</v>
      </c>
      <c r="L1431" s="4" t="s">
        <v>26</v>
      </c>
      <c r="M1431" s="11">
        <f>_xlfn.NUMBERVALUE(LEFT(Table613612[[#This Row],[Fiscal Year]], 4))</f>
        <v>2018</v>
      </c>
      <c r="N1431" s="42">
        <f t="shared" si="29"/>
        <v>21000</v>
      </c>
      <c r="O1431" s="3">
        <v>1429</v>
      </c>
    </row>
    <row r="1432" spans="1:15" x14ac:dyDescent="0.25">
      <c r="A1432" s="3">
        <v>4</v>
      </c>
      <c r="B1432" s="3" t="s">
        <v>259</v>
      </c>
      <c r="C1432" s="1" t="s">
        <v>13</v>
      </c>
      <c r="D1432" s="1" t="s">
        <v>444</v>
      </c>
      <c r="E1432" s="11" t="s">
        <v>144</v>
      </c>
      <c r="F1432" s="3" t="s">
        <v>8</v>
      </c>
      <c r="G1432" s="66" t="s">
        <v>80</v>
      </c>
      <c r="H1432" s="8"/>
      <c r="I1432" s="8"/>
      <c r="J1432" s="6" t="s">
        <v>605</v>
      </c>
      <c r="K1432" s="38">
        <v>10000</v>
      </c>
      <c r="L1432" s="4" t="s">
        <v>26</v>
      </c>
      <c r="M1432" s="11">
        <f>_xlfn.NUMBERVALUE(LEFT(Table613612[[#This Row],[Fiscal Year]], 4))</f>
        <v>2018</v>
      </c>
      <c r="N1432" s="42">
        <f t="shared" si="29"/>
        <v>10000</v>
      </c>
      <c r="O1432" s="3">
        <v>1430</v>
      </c>
    </row>
    <row r="1433" spans="1:15" x14ac:dyDescent="0.25">
      <c r="A1433" s="3">
        <v>4</v>
      </c>
      <c r="B1433" s="3" t="s">
        <v>259</v>
      </c>
      <c r="C1433" s="1" t="s">
        <v>13</v>
      </c>
      <c r="D1433" s="1" t="s">
        <v>444</v>
      </c>
      <c r="E1433" s="11" t="s">
        <v>144</v>
      </c>
      <c r="F1433" s="3" t="s">
        <v>8</v>
      </c>
      <c r="G1433" s="66" t="s">
        <v>67</v>
      </c>
      <c r="H1433" s="8"/>
      <c r="I1433" s="8"/>
      <c r="J1433" s="6" t="s">
        <v>455</v>
      </c>
      <c r="K1433" s="38">
        <v>1000</v>
      </c>
      <c r="L1433" s="4" t="s">
        <v>26</v>
      </c>
      <c r="M1433" s="11">
        <f>_xlfn.NUMBERVALUE(LEFT(Table613612[[#This Row],[Fiscal Year]], 4))</f>
        <v>2018</v>
      </c>
      <c r="N1433" s="42">
        <f t="shared" si="29"/>
        <v>1000</v>
      </c>
      <c r="O1433" s="3">
        <v>1431</v>
      </c>
    </row>
    <row r="1434" spans="1:15" x14ac:dyDescent="0.25">
      <c r="C1434" s="1"/>
      <c r="D1434" s="1"/>
      <c r="E1434" s="11"/>
      <c r="G1434" s="66"/>
      <c r="H1434" s="8"/>
      <c r="I1434" s="8"/>
      <c r="J1434" s="6"/>
      <c r="L1434" s="4"/>
      <c r="O1434" s="3">
        <v>1432</v>
      </c>
    </row>
    <row r="1435" spans="1:15" x14ac:dyDescent="0.25">
      <c r="A1435" s="3">
        <v>4</v>
      </c>
      <c r="B1435" s="3" t="s">
        <v>260</v>
      </c>
      <c r="C1435" s="1" t="s">
        <v>13</v>
      </c>
      <c r="D1435" s="1" t="s">
        <v>444</v>
      </c>
      <c r="E1435" s="11" t="s">
        <v>144</v>
      </c>
      <c r="F1435" s="3" t="s">
        <v>8</v>
      </c>
      <c r="G1435" s="48" t="s">
        <v>32</v>
      </c>
      <c r="H1435" s="8" t="s">
        <v>608</v>
      </c>
      <c r="I1435" s="8"/>
      <c r="J1435" s="6" t="s">
        <v>110</v>
      </c>
      <c r="K1435" s="38">
        <v>162257</v>
      </c>
      <c r="L1435" s="4" t="s">
        <v>26</v>
      </c>
      <c r="M1435" s="11">
        <f>_xlfn.NUMBERVALUE(LEFT(Table613612[[#This Row],[Fiscal Year]], 4))</f>
        <v>2018</v>
      </c>
      <c r="N1435" s="42">
        <f t="shared" si="29"/>
        <v>162257</v>
      </c>
      <c r="O1435" s="3">
        <v>1433</v>
      </c>
    </row>
    <row r="1436" spans="1:15" x14ac:dyDescent="0.25">
      <c r="A1436" s="3">
        <v>4</v>
      </c>
      <c r="B1436" s="3" t="s">
        <v>260</v>
      </c>
      <c r="C1436" s="1" t="s">
        <v>13</v>
      </c>
      <c r="D1436" s="1" t="s">
        <v>444</v>
      </c>
      <c r="E1436" s="11" t="s">
        <v>144</v>
      </c>
      <c r="F1436" s="3" t="s">
        <v>8</v>
      </c>
      <c r="G1436" s="48" t="s">
        <v>68</v>
      </c>
      <c r="H1436" s="6"/>
      <c r="I1436" s="70" t="s">
        <v>609</v>
      </c>
      <c r="J1436" s="6" t="s">
        <v>42</v>
      </c>
      <c r="K1436" s="38">
        <v>47737</v>
      </c>
      <c r="L1436" s="4" t="s">
        <v>26</v>
      </c>
      <c r="M1436" s="11">
        <f>_xlfn.NUMBERVALUE(LEFT(Table613612[[#This Row],[Fiscal Year]], 4))</f>
        <v>2018</v>
      </c>
      <c r="N1436" s="42">
        <f t="shared" si="29"/>
        <v>47737</v>
      </c>
      <c r="O1436" s="3">
        <v>1434</v>
      </c>
    </row>
    <row r="1437" spans="1:15" x14ac:dyDescent="0.25">
      <c r="A1437" s="3">
        <v>4</v>
      </c>
      <c r="B1437" s="3" t="s">
        <v>260</v>
      </c>
      <c r="C1437" s="1" t="s">
        <v>13</v>
      </c>
      <c r="D1437" s="1" t="s">
        <v>444</v>
      </c>
      <c r="E1437" s="11" t="s">
        <v>144</v>
      </c>
      <c r="F1437" s="3" t="s">
        <v>8</v>
      </c>
      <c r="G1437" s="48" t="s">
        <v>69</v>
      </c>
      <c r="H1437" s="8"/>
      <c r="I1437" s="8"/>
      <c r="J1437" s="6" t="s">
        <v>109</v>
      </c>
      <c r="K1437" s="38">
        <v>112538</v>
      </c>
      <c r="L1437" s="4" t="s">
        <v>26</v>
      </c>
      <c r="M1437" s="11">
        <f>_xlfn.NUMBERVALUE(LEFT(Table613612[[#This Row],[Fiscal Year]], 4))</f>
        <v>2018</v>
      </c>
      <c r="N1437" s="42">
        <f t="shared" si="29"/>
        <v>112538</v>
      </c>
      <c r="O1437" s="3">
        <v>1435</v>
      </c>
    </row>
    <row r="1438" spans="1:15" x14ac:dyDescent="0.25">
      <c r="A1438" s="3">
        <v>4</v>
      </c>
      <c r="B1438" s="3" t="s">
        <v>260</v>
      </c>
      <c r="C1438" s="1" t="s">
        <v>13</v>
      </c>
      <c r="D1438" s="1" t="s">
        <v>444</v>
      </c>
      <c r="E1438" s="11" t="s">
        <v>144</v>
      </c>
      <c r="F1438" s="3" t="s">
        <v>8</v>
      </c>
      <c r="G1438" s="48" t="s">
        <v>59</v>
      </c>
      <c r="H1438" s="8"/>
      <c r="I1438" s="8"/>
      <c r="J1438" s="6" t="s">
        <v>111</v>
      </c>
      <c r="K1438" s="38">
        <v>25895</v>
      </c>
      <c r="L1438" s="4" t="s">
        <v>26</v>
      </c>
      <c r="M1438" s="11">
        <f>_xlfn.NUMBERVALUE(LEFT(Table613612[[#This Row],[Fiscal Year]], 4))</f>
        <v>2018</v>
      </c>
      <c r="N1438" s="42">
        <f t="shared" si="29"/>
        <v>25895</v>
      </c>
      <c r="O1438" s="3">
        <v>1436</v>
      </c>
    </row>
    <row r="1439" spans="1:15" x14ac:dyDescent="0.25">
      <c r="A1439" s="3">
        <v>4</v>
      </c>
      <c r="B1439" s="3" t="s">
        <v>260</v>
      </c>
      <c r="C1439" s="1" t="s">
        <v>13</v>
      </c>
      <c r="D1439" s="1" t="s">
        <v>444</v>
      </c>
      <c r="E1439" s="11" t="s">
        <v>144</v>
      </c>
      <c r="F1439" s="3" t="s">
        <v>8</v>
      </c>
      <c r="G1439" s="66" t="s">
        <v>70</v>
      </c>
      <c r="H1439" s="8"/>
      <c r="I1439" s="8"/>
      <c r="J1439" s="6" t="s">
        <v>107</v>
      </c>
      <c r="K1439" s="38">
        <v>199942</v>
      </c>
      <c r="L1439" s="4" t="s">
        <v>26</v>
      </c>
      <c r="M1439" s="11">
        <f>_xlfn.NUMBERVALUE(LEFT(Table613612[[#This Row],[Fiscal Year]], 4))</f>
        <v>2018</v>
      </c>
      <c r="N1439" s="42">
        <f t="shared" si="29"/>
        <v>199942</v>
      </c>
      <c r="O1439" s="3">
        <v>1437</v>
      </c>
    </row>
    <row r="1440" spans="1:15" x14ac:dyDescent="0.25">
      <c r="A1440" s="3">
        <v>4</v>
      </c>
      <c r="B1440" s="3" t="s">
        <v>260</v>
      </c>
      <c r="C1440" s="1" t="s">
        <v>13</v>
      </c>
      <c r="D1440" s="1" t="s">
        <v>444</v>
      </c>
      <c r="E1440" s="11" t="s">
        <v>144</v>
      </c>
      <c r="F1440" s="3" t="s">
        <v>8</v>
      </c>
      <c r="G1440" s="48" t="s">
        <v>72</v>
      </c>
      <c r="H1440" s="8" t="s">
        <v>610</v>
      </c>
      <c r="I1440" s="8" t="s">
        <v>458</v>
      </c>
      <c r="J1440" s="6" t="s">
        <v>108</v>
      </c>
      <c r="K1440" s="38" t="s">
        <v>827</v>
      </c>
      <c r="L1440" s="4" t="s">
        <v>26</v>
      </c>
      <c r="M1440" s="11">
        <f>_xlfn.NUMBERVALUE(LEFT(Table613612[[#This Row],[Fiscal Year]], 4))</f>
        <v>2018</v>
      </c>
      <c r="O1440" s="3">
        <v>1438</v>
      </c>
    </row>
    <row r="1441" spans="1:15" x14ac:dyDescent="0.25">
      <c r="A1441" s="3">
        <v>4</v>
      </c>
      <c r="B1441" s="3" t="s">
        <v>260</v>
      </c>
      <c r="C1441" s="1" t="s">
        <v>13</v>
      </c>
      <c r="D1441" s="1" t="s">
        <v>444</v>
      </c>
      <c r="E1441" s="11" t="s">
        <v>144</v>
      </c>
      <c r="F1441" s="3" t="s">
        <v>8</v>
      </c>
      <c r="G1441" s="66" t="s">
        <v>71</v>
      </c>
      <c r="H1441" s="8" t="s">
        <v>484</v>
      </c>
      <c r="I1441" s="8" t="s">
        <v>458</v>
      </c>
      <c r="J1441" s="6" t="s">
        <v>108</v>
      </c>
      <c r="K1441" s="38">
        <v>234775</v>
      </c>
      <c r="L1441" s="4" t="s">
        <v>26</v>
      </c>
      <c r="M1441" s="11">
        <f>_xlfn.NUMBERVALUE(LEFT(Table613612[[#This Row],[Fiscal Year]], 4))</f>
        <v>2018</v>
      </c>
      <c r="N1441" s="42">
        <f t="shared" si="29"/>
        <v>234775</v>
      </c>
      <c r="O1441" s="3">
        <v>1439</v>
      </c>
    </row>
    <row r="1442" spans="1:15" x14ac:dyDescent="0.25">
      <c r="A1442" s="3">
        <v>4</v>
      </c>
      <c r="B1442" s="3" t="s">
        <v>260</v>
      </c>
      <c r="C1442" s="1" t="s">
        <v>13</v>
      </c>
      <c r="D1442" s="1" t="s">
        <v>444</v>
      </c>
      <c r="E1442" s="11" t="s">
        <v>144</v>
      </c>
      <c r="F1442" s="3" t="s">
        <v>8</v>
      </c>
      <c r="G1442" s="48" t="s">
        <v>73</v>
      </c>
      <c r="H1442" s="8"/>
      <c r="I1442" s="8"/>
      <c r="J1442" s="6" t="s">
        <v>108</v>
      </c>
      <c r="K1442" s="38">
        <v>107593</v>
      </c>
      <c r="L1442" s="4" t="s">
        <v>26</v>
      </c>
      <c r="M1442" s="11">
        <f>_xlfn.NUMBERVALUE(LEFT(Table613612[[#This Row],[Fiscal Year]], 4))</f>
        <v>2018</v>
      </c>
      <c r="N1442" s="42">
        <f t="shared" si="29"/>
        <v>107593</v>
      </c>
      <c r="O1442" s="3">
        <v>1440</v>
      </c>
    </row>
    <row r="1443" spans="1:15" x14ac:dyDescent="0.25">
      <c r="A1443" s="3">
        <v>4</v>
      </c>
      <c r="B1443" s="3" t="s">
        <v>260</v>
      </c>
      <c r="C1443" s="1" t="s">
        <v>13</v>
      </c>
      <c r="D1443" s="1" t="s">
        <v>444</v>
      </c>
      <c r="E1443" s="11" t="s">
        <v>144</v>
      </c>
      <c r="F1443" s="3" t="s">
        <v>8</v>
      </c>
      <c r="G1443" s="48" t="s">
        <v>74</v>
      </c>
      <c r="H1443" s="8" t="s">
        <v>611</v>
      </c>
      <c r="I1443" s="8" t="s">
        <v>458</v>
      </c>
      <c r="J1443" s="6" t="s">
        <v>108</v>
      </c>
      <c r="K1443" s="38">
        <v>17591</v>
      </c>
      <c r="L1443" s="4" t="s">
        <v>26</v>
      </c>
      <c r="M1443" s="11">
        <f>_xlfn.NUMBERVALUE(LEFT(Table613612[[#This Row],[Fiscal Year]], 4))</f>
        <v>2018</v>
      </c>
      <c r="N1443" s="42">
        <f t="shared" si="29"/>
        <v>17591</v>
      </c>
      <c r="O1443" s="3">
        <v>1441</v>
      </c>
    </row>
    <row r="1444" spans="1:15" x14ac:dyDescent="0.25">
      <c r="A1444" s="3">
        <v>4</v>
      </c>
      <c r="B1444" s="3" t="s">
        <v>260</v>
      </c>
      <c r="C1444" s="1" t="s">
        <v>13</v>
      </c>
      <c r="D1444" s="1" t="s">
        <v>444</v>
      </c>
      <c r="E1444" s="11" t="s">
        <v>144</v>
      </c>
      <c r="F1444" s="3" t="s">
        <v>8</v>
      </c>
      <c r="G1444" s="66" t="s">
        <v>75</v>
      </c>
      <c r="H1444" s="8" t="s">
        <v>485</v>
      </c>
      <c r="I1444" s="8" t="s">
        <v>458</v>
      </c>
      <c r="J1444" s="6" t="s">
        <v>108</v>
      </c>
      <c r="K1444" s="38">
        <v>85813</v>
      </c>
      <c r="L1444" s="4" t="s">
        <v>26</v>
      </c>
      <c r="M1444" s="11">
        <f>_xlfn.NUMBERVALUE(LEFT(Table613612[[#This Row],[Fiscal Year]], 4))</f>
        <v>2018</v>
      </c>
      <c r="N1444" s="42">
        <f t="shared" si="29"/>
        <v>85813</v>
      </c>
      <c r="O1444" s="3">
        <v>1442</v>
      </c>
    </row>
    <row r="1445" spans="1:15" x14ac:dyDescent="0.25">
      <c r="A1445" s="3">
        <v>4</v>
      </c>
      <c r="B1445" s="3" t="s">
        <v>260</v>
      </c>
      <c r="C1445" s="1" t="s">
        <v>13</v>
      </c>
      <c r="D1445" s="1" t="s">
        <v>444</v>
      </c>
      <c r="E1445" s="11" t="s">
        <v>144</v>
      </c>
      <c r="F1445" s="3" t="s">
        <v>8</v>
      </c>
      <c r="G1445" s="48" t="s">
        <v>76</v>
      </c>
      <c r="H1445" s="8"/>
      <c r="I1445" s="8"/>
      <c r="J1445" s="6" t="s">
        <v>76</v>
      </c>
      <c r="K1445" s="38">
        <v>129469</v>
      </c>
      <c r="L1445" s="4" t="s">
        <v>26</v>
      </c>
      <c r="M1445" s="11">
        <f>_xlfn.NUMBERVALUE(LEFT(Table613612[[#This Row],[Fiscal Year]], 4))</f>
        <v>2018</v>
      </c>
      <c r="N1445" s="42">
        <f t="shared" si="29"/>
        <v>129469</v>
      </c>
      <c r="O1445" s="3">
        <v>1443</v>
      </c>
    </row>
    <row r="1446" spans="1:15" x14ac:dyDescent="0.25">
      <c r="A1446" s="3">
        <v>4</v>
      </c>
      <c r="B1446" s="3" t="s">
        <v>260</v>
      </c>
      <c r="C1446" s="1" t="s">
        <v>13</v>
      </c>
      <c r="D1446" s="1" t="s">
        <v>444</v>
      </c>
      <c r="E1446" s="11" t="s">
        <v>144</v>
      </c>
      <c r="F1446" s="3" t="s">
        <v>8</v>
      </c>
      <c r="G1446" s="48" t="s">
        <v>77</v>
      </c>
      <c r="H1446" s="8"/>
      <c r="I1446" s="8"/>
      <c r="J1446" s="6" t="s">
        <v>106</v>
      </c>
      <c r="K1446" s="38">
        <v>186342</v>
      </c>
      <c r="L1446" s="4" t="s">
        <v>26</v>
      </c>
      <c r="M1446" s="11">
        <f>_xlfn.NUMBERVALUE(LEFT(Table613612[[#This Row],[Fiscal Year]], 4))</f>
        <v>2018</v>
      </c>
      <c r="N1446" s="42">
        <f t="shared" si="29"/>
        <v>186342</v>
      </c>
      <c r="O1446" s="3">
        <v>1444</v>
      </c>
    </row>
    <row r="1447" spans="1:15" x14ac:dyDescent="0.25">
      <c r="A1447" s="3">
        <v>4</v>
      </c>
      <c r="B1447" s="3" t="s">
        <v>260</v>
      </c>
      <c r="C1447" s="1" t="s">
        <v>13</v>
      </c>
      <c r="D1447" s="1" t="s">
        <v>444</v>
      </c>
      <c r="E1447" s="11" t="s">
        <v>144</v>
      </c>
      <c r="F1447" s="3" t="s">
        <v>8</v>
      </c>
      <c r="G1447" s="48" t="s">
        <v>78</v>
      </c>
      <c r="H1447" s="8"/>
      <c r="I1447" s="8"/>
      <c r="J1447" s="6" t="s">
        <v>47</v>
      </c>
      <c r="K1447" s="38">
        <v>10073</v>
      </c>
      <c r="L1447" s="4" t="s">
        <v>26</v>
      </c>
      <c r="M1447" s="11">
        <f>_xlfn.NUMBERVALUE(LEFT(Table613612[[#This Row],[Fiscal Year]], 4))</f>
        <v>2018</v>
      </c>
      <c r="N1447" s="42">
        <f t="shared" si="29"/>
        <v>10073</v>
      </c>
      <c r="O1447" s="3">
        <v>1445</v>
      </c>
    </row>
    <row r="1448" spans="1:15" x14ac:dyDescent="0.25">
      <c r="A1448" s="3">
        <v>4</v>
      </c>
      <c r="B1448" s="3" t="s">
        <v>260</v>
      </c>
      <c r="C1448" s="1" t="s">
        <v>13</v>
      </c>
      <c r="D1448" s="1" t="s">
        <v>444</v>
      </c>
      <c r="E1448" s="11" t="s">
        <v>144</v>
      </c>
      <c r="F1448" s="3" t="s">
        <v>8</v>
      </c>
      <c r="G1448" s="48" t="s">
        <v>79</v>
      </c>
      <c r="H1448" s="8" t="s">
        <v>483</v>
      </c>
      <c r="I1448" s="8" t="s">
        <v>458</v>
      </c>
      <c r="J1448" s="6" t="s">
        <v>455</v>
      </c>
      <c r="K1448" s="38">
        <v>149500</v>
      </c>
      <c r="L1448" s="4" t="s">
        <v>26</v>
      </c>
      <c r="M1448" s="11">
        <f>_xlfn.NUMBERVALUE(LEFT(Table613612[[#This Row],[Fiscal Year]], 4))</f>
        <v>2018</v>
      </c>
      <c r="N1448" s="42">
        <f t="shared" si="29"/>
        <v>149500</v>
      </c>
      <c r="O1448" s="3">
        <v>1446</v>
      </c>
    </row>
    <row r="1449" spans="1:15" x14ac:dyDescent="0.25">
      <c r="A1449" s="3">
        <v>4</v>
      </c>
      <c r="B1449" s="3" t="s">
        <v>260</v>
      </c>
      <c r="C1449" s="1" t="s">
        <v>13</v>
      </c>
      <c r="D1449" s="1" t="s">
        <v>444</v>
      </c>
      <c r="E1449" s="11" t="s">
        <v>144</v>
      </c>
      <c r="F1449" s="3" t="s">
        <v>8</v>
      </c>
      <c r="G1449" s="48" t="s">
        <v>80</v>
      </c>
      <c r="H1449" s="8"/>
      <c r="I1449" s="8"/>
      <c r="J1449" s="6" t="s">
        <v>605</v>
      </c>
      <c r="K1449" s="38">
        <v>75000</v>
      </c>
      <c r="L1449" s="4" t="s">
        <v>26</v>
      </c>
      <c r="M1449" s="11">
        <f>_xlfn.NUMBERVALUE(LEFT(Table613612[[#This Row],[Fiscal Year]], 4))</f>
        <v>2018</v>
      </c>
      <c r="N1449" s="42">
        <f t="shared" si="29"/>
        <v>75000</v>
      </c>
      <c r="O1449" s="3">
        <v>1447</v>
      </c>
    </row>
    <row r="1450" spans="1:15" x14ac:dyDescent="0.25">
      <c r="A1450" s="3">
        <v>4</v>
      </c>
      <c r="B1450" s="3" t="s">
        <v>260</v>
      </c>
      <c r="C1450" s="1" t="s">
        <v>13</v>
      </c>
      <c r="D1450" s="1" t="s">
        <v>444</v>
      </c>
      <c r="E1450" s="11" t="s">
        <v>144</v>
      </c>
      <c r="F1450" s="3" t="s">
        <v>8</v>
      </c>
      <c r="G1450" s="66" t="s">
        <v>67</v>
      </c>
      <c r="H1450" s="8"/>
      <c r="I1450" s="8"/>
      <c r="J1450" s="6" t="s">
        <v>455</v>
      </c>
      <c r="K1450" s="38">
        <v>74803</v>
      </c>
      <c r="L1450" s="4" t="s">
        <v>26</v>
      </c>
      <c r="M1450" s="11">
        <f>_xlfn.NUMBERVALUE(LEFT(Table613612[[#This Row],[Fiscal Year]], 4))</f>
        <v>2018</v>
      </c>
      <c r="N1450" s="42">
        <f t="shared" si="29"/>
        <v>74803</v>
      </c>
      <c r="O1450" s="3">
        <v>1448</v>
      </c>
    </row>
    <row r="1451" spans="1:15" x14ac:dyDescent="0.25">
      <c r="C1451" s="1"/>
      <c r="D1451" s="1"/>
      <c r="E1451" s="11"/>
      <c r="G1451" s="66"/>
      <c r="H1451" s="8"/>
      <c r="I1451" s="8"/>
      <c r="J1451" s="6"/>
      <c r="L1451" s="4"/>
      <c r="O1451" s="3">
        <v>1449</v>
      </c>
    </row>
    <row r="1452" spans="1:15" x14ac:dyDescent="0.25">
      <c r="A1452" s="3">
        <v>4</v>
      </c>
      <c r="B1452" s="3" t="s">
        <v>261</v>
      </c>
      <c r="C1452" s="1" t="s">
        <v>13</v>
      </c>
      <c r="D1452" s="1" t="s">
        <v>444</v>
      </c>
      <c r="E1452" s="11" t="s">
        <v>144</v>
      </c>
      <c r="F1452" s="3" t="s">
        <v>8</v>
      </c>
      <c r="G1452" s="48" t="s">
        <v>32</v>
      </c>
      <c r="H1452" s="8" t="s">
        <v>608</v>
      </c>
      <c r="I1452" s="70" t="s">
        <v>609</v>
      </c>
      <c r="J1452" s="6" t="s">
        <v>110</v>
      </c>
      <c r="K1452" s="38">
        <v>160000</v>
      </c>
      <c r="L1452" s="4" t="s">
        <v>26</v>
      </c>
      <c r="M1452" s="11">
        <f>_xlfn.NUMBERVALUE(LEFT(Table613612[[#This Row],[Fiscal Year]], 4))</f>
        <v>2018</v>
      </c>
      <c r="N1452" s="42">
        <f t="shared" si="29"/>
        <v>160000</v>
      </c>
      <c r="O1452" s="3">
        <v>1450</v>
      </c>
    </row>
    <row r="1453" spans="1:15" x14ac:dyDescent="0.25">
      <c r="A1453" s="3">
        <v>4</v>
      </c>
      <c r="B1453" s="3" t="s">
        <v>261</v>
      </c>
      <c r="C1453" s="1" t="s">
        <v>13</v>
      </c>
      <c r="D1453" s="1" t="s">
        <v>444</v>
      </c>
      <c r="E1453" s="11" t="s">
        <v>144</v>
      </c>
      <c r="F1453" s="3" t="s">
        <v>8</v>
      </c>
      <c r="G1453" s="48" t="s">
        <v>68</v>
      </c>
      <c r="H1453" s="6"/>
      <c r="I1453" s="8"/>
      <c r="J1453" s="6" t="s">
        <v>42</v>
      </c>
      <c r="K1453" s="38">
        <v>60000</v>
      </c>
      <c r="L1453" s="4" t="s">
        <v>26</v>
      </c>
      <c r="M1453" s="11">
        <f>_xlfn.NUMBERVALUE(LEFT(Table613612[[#This Row],[Fiscal Year]], 4))</f>
        <v>2018</v>
      </c>
      <c r="N1453" s="42">
        <f t="shared" si="29"/>
        <v>60000</v>
      </c>
      <c r="O1453" s="3">
        <v>1451</v>
      </c>
    </row>
    <row r="1454" spans="1:15" x14ac:dyDescent="0.25">
      <c r="A1454" s="3">
        <v>4</v>
      </c>
      <c r="B1454" s="3" t="s">
        <v>261</v>
      </c>
      <c r="C1454" s="1" t="s">
        <v>13</v>
      </c>
      <c r="D1454" s="1" t="s">
        <v>444</v>
      </c>
      <c r="E1454" s="11" t="s">
        <v>144</v>
      </c>
      <c r="F1454" s="3" t="s">
        <v>8</v>
      </c>
      <c r="G1454" s="48" t="s">
        <v>69</v>
      </c>
      <c r="H1454" s="8"/>
      <c r="I1454" s="8"/>
      <c r="J1454" s="6" t="s">
        <v>109</v>
      </c>
      <c r="K1454" s="38">
        <v>40000</v>
      </c>
      <c r="L1454" s="4" t="s">
        <v>26</v>
      </c>
      <c r="M1454" s="11">
        <f>_xlfn.NUMBERVALUE(LEFT(Table613612[[#This Row],[Fiscal Year]], 4))</f>
        <v>2018</v>
      </c>
      <c r="N1454" s="42">
        <f t="shared" si="29"/>
        <v>40000</v>
      </c>
      <c r="O1454" s="3">
        <v>1452</v>
      </c>
    </row>
    <row r="1455" spans="1:15" ht="15" customHeight="1" x14ac:dyDescent="0.25">
      <c r="A1455" s="3">
        <v>4</v>
      </c>
      <c r="B1455" s="3" t="s">
        <v>261</v>
      </c>
      <c r="C1455" s="1" t="s">
        <v>13</v>
      </c>
      <c r="D1455" s="1" t="s">
        <v>444</v>
      </c>
      <c r="E1455" s="11" t="s">
        <v>144</v>
      </c>
      <c r="F1455" s="3" t="s">
        <v>8</v>
      </c>
      <c r="G1455" s="48" t="s">
        <v>59</v>
      </c>
      <c r="H1455" s="8"/>
      <c r="I1455" s="8"/>
      <c r="J1455" s="6" t="s">
        <v>111</v>
      </c>
      <c r="K1455" s="38">
        <v>70000</v>
      </c>
      <c r="L1455" s="4" t="s">
        <v>26</v>
      </c>
      <c r="M1455" s="11">
        <f>_xlfn.NUMBERVALUE(LEFT(Table613612[[#This Row],[Fiscal Year]], 4))</f>
        <v>2018</v>
      </c>
      <c r="N1455" s="42">
        <f t="shared" si="29"/>
        <v>70000</v>
      </c>
      <c r="O1455" s="3">
        <v>1453</v>
      </c>
    </row>
    <row r="1456" spans="1:15" x14ac:dyDescent="0.25">
      <c r="A1456" s="3">
        <v>4</v>
      </c>
      <c r="B1456" s="3" t="s">
        <v>261</v>
      </c>
      <c r="C1456" s="1" t="s">
        <v>13</v>
      </c>
      <c r="D1456" s="1" t="s">
        <v>444</v>
      </c>
      <c r="E1456" s="11" t="s">
        <v>144</v>
      </c>
      <c r="F1456" s="3" t="s">
        <v>8</v>
      </c>
      <c r="G1456" s="48" t="s">
        <v>70</v>
      </c>
      <c r="H1456" s="8"/>
      <c r="I1456" s="8"/>
      <c r="J1456" s="6" t="s">
        <v>107</v>
      </c>
      <c r="K1456" s="38">
        <v>50000</v>
      </c>
      <c r="L1456" s="4" t="s">
        <v>26</v>
      </c>
      <c r="M1456" s="11">
        <f>_xlfn.NUMBERVALUE(LEFT(Table613612[[#This Row],[Fiscal Year]], 4))</f>
        <v>2018</v>
      </c>
      <c r="N1456" s="42">
        <f t="shared" si="29"/>
        <v>50000</v>
      </c>
      <c r="O1456" s="3">
        <v>1454</v>
      </c>
    </row>
    <row r="1457" spans="1:15" x14ac:dyDescent="0.25">
      <c r="A1457" s="3">
        <v>4</v>
      </c>
      <c r="B1457" s="3" t="s">
        <v>261</v>
      </c>
      <c r="C1457" s="1" t="s">
        <v>13</v>
      </c>
      <c r="D1457" s="1" t="s">
        <v>444</v>
      </c>
      <c r="E1457" s="11" t="s">
        <v>144</v>
      </c>
      <c r="F1457" s="3" t="s">
        <v>8</v>
      </c>
      <c r="G1457" s="48" t="s">
        <v>72</v>
      </c>
      <c r="H1457" s="8" t="s">
        <v>610</v>
      </c>
      <c r="I1457" s="8" t="s">
        <v>458</v>
      </c>
      <c r="J1457" s="6" t="s">
        <v>108</v>
      </c>
      <c r="K1457" s="38" t="s">
        <v>827</v>
      </c>
      <c r="L1457" s="4" t="s">
        <v>26</v>
      </c>
      <c r="M1457" s="11">
        <f>_xlfn.NUMBERVALUE(LEFT(Table613612[[#This Row],[Fiscal Year]], 4))</f>
        <v>2018</v>
      </c>
      <c r="O1457" s="3">
        <v>1455</v>
      </c>
    </row>
    <row r="1458" spans="1:15" x14ac:dyDescent="0.25">
      <c r="A1458" s="3">
        <v>4</v>
      </c>
      <c r="B1458" s="3" t="s">
        <v>261</v>
      </c>
      <c r="C1458" s="1" t="s">
        <v>13</v>
      </c>
      <c r="D1458" s="1" t="s">
        <v>444</v>
      </c>
      <c r="E1458" s="11" t="s">
        <v>144</v>
      </c>
      <c r="F1458" s="3" t="s">
        <v>8</v>
      </c>
      <c r="G1458" s="66" t="s">
        <v>71</v>
      </c>
      <c r="H1458" s="8" t="s">
        <v>484</v>
      </c>
      <c r="I1458" s="8" t="s">
        <v>458</v>
      </c>
      <c r="J1458" s="6" t="s">
        <v>108</v>
      </c>
      <c r="K1458" s="38">
        <v>180000</v>
      </c>
      <c r="L1458" s="4" t="s">
        <v>26</v>
      </c>
      <c r="M1458" s="11">
        <f>_xlfn.NUMBERVALUE(LEFT(Table613612[[#This Row],[Fiscal Year]], 4))</f>
        <v>2018</v>
      </c>
      <c r="N1458" s="42">
        <f t="shared" si="29"/>
        <v>180000</v>
      </c>
      <c r="O1458" s="3">
        <v>1456</v>
      </c>
    </row>
    <row r="1459" spans="1:15" x14ac:dyDescent="0.25">
      <c r="A1459" s="3">
        <v>4</v>
      </c>
      <c r="B1459" s="3" t="s">
        <v>261</v>
      </c>
      <c r="C1459" s="1" t="s">
        <v>13</v>
      </c>
      <c r="D1459" s="1" t="s">
        <v>444</v>
      </c>
      <c r="E1459" s="11" t="s">
        <v>144</v>
      </c>
      <c r="F1459" s="3" t="s">
        <v>8</v>
      </c>
      <c r="G1459" s="48" t="s">
        <v>73</v>
      </c>
      <c r="H1459" s="8"/>
      <c r="I1459" s="8"/>
      <c r="J1459" s="6" t="s">
        <v>108</v>
      </c>
      <c r="K1459" s="38">
        <v>0</v>
      </c>
      <c r="L1459" s="4" t="s">
        <v>26</v>
      </c>
      <c r="M1459" s="11">
        <f>_xlfn.NUMBERVALUE(LEFT(Table613612[[#This Row],[Fiscal Year]], 4))</f>
        <v>2018</v>
      </c>
      <c r="N1459" s="43">
        <f t="shared" si="29"/>
        <v>0</v>
      </c>
      <c r="O1459" s="3">
        <v>1457</v>
      </c>
    </row>
    <row r="1460" spans="1:15" x14ac:dyDescent="0.25">
      <c r="A1460" s="3">
        <v>4</v>
      </c>
      <c r="B1460" s="3" t="s">
        <v>261</v>
      </c>
      <c r="C1460" s="1" t="s">
        <v>13</v>
      </c>
      <c r="D1460" s="1" t="s">
        <v>444</v>
      </c>
      <c r="E1460" s="11" t="s">
        <v>144</v>
      </c>
      <c r="F1460" s="3" t="s">
        <v>8</v>
      </c>
      <c r="G1460" s="48" t="s">
        <v>74</v>
      </c>
      <c r="H1460" s="8" t="s">
        <v>611</v>
      </c>
      <c r="I1460" s="8" t="s">
        <v>458</v>
      </c>
      <c r="J1460" s="6" t="s">
        <v>108</v>
      </c>
      <c r="K1460" s="38">
        <v>60000</v>
      </c>
      <c r="L1460" s="4" t="s">
        <v>26</v>
      </c>
      <c r="M1460" s="11">
        <f>_xlfn.NUMBERVALUE(LEFT(Table613612[[#This Row],[Fiscal Year]], 4))</f>
        <v>2018</v>
      </c>
      <c r="N1460" s="42">
        <f>K1460*(1+VLOOKUP(M1460,$AF$8:$AH$31,3,0))</f>
        <v>60000</v>
      </c>
      <c r="O1460" s="3">
        <v>1458</v>
      </c>
    </row>
    <row r="1461" spans="1:15" x14ac:dyDescent="0.25">
      <c r="A1461" s="3">
        <v>4</v>
      </c>
      <c r="B1461" s="3" t="s">
        <v>261</v>
      </c>
      <c r="C1461" s="1" t="s">
        <v>13</v>
      </c>
      <c r="D1461" s="1" t="s">
        <v>444</v>
      </c>
      <c r="E1461" s="11" t="s">
        <v>144</v>
      </c>
      <c r="F1461" s="3" t="s">
        <v>8</v>
      </c>
      <c r="G1461" s="66" t="s">
        <v>75</v>
      </c>
      <c r="H1461" s="8" t="s">
        <v>485</v>
      </c>
      <c r="I1461" s="8" t="s">
        <v>458</v>
      </c>
      <c r="J1461" s="6" t="s">
        <v>108</v>
      </c>
      <c r="K1461" s="38">
        <v>0</v>
      </c>
      <c r="L1461" s="4" t="s">
        <v>26</v>
      </c>
      <c r="M1461" s="11">
        <f>_xlfn.NUMBERVALUE(LEFT(Table613612[[#This Row],[Fiscal Year]], 4))</f>
        <v>2018</v>
      </c>
      <c r="N1461" s="43">
        <f t="shared" si="29"/>
        <v>0</v>
      </c>
      <c r="O1461" s="3">
        <v>1459</v>
      </c>
    </row>
    <row r="1462" spans="1:15" x14ac:dyDescent="0.25">
      <c r="A1462" s="3">
        <v>4</v>
      </c>
      <c r="B1462" s="3" t="s">
        <v>261</v>
      </c>
      <c r="C1462" s="1" t="s">
        <v>13</v>
      </c>
      <c r="D1462" s="1" t="s">
        <v>444</v>
      </c>
      <c r="E1462" s="11" t="s">
        <v>144</v>
      </c>
      <c r="F1462" s="3" t="s">
        <v>8</v>
      </c>
      <c r="G1462" s="48" t="s">
        <v>76</v>
      </c>
      <c r="H1462" s="8"/>
      <c r="I1462" s="8"/>
      <c r="J1462" s="6" t="s">
        <v>76</v>
      </c>
      <c r="K1462" s="38">
        <v>80000</v>
      </c>
      <c r="L1462" s="4" t="s">
        <v>26</v>
      </c>
      <c r="M1462" s="11">
        <f>_xlfn.NUMBERVALUE(LEFT(Table613612[[#This Row],[Fiscal Year]], 4))</f>
        <v>2018</v>
      </c>
      <c r="N1462" s="42">
        <f t="shared" si="29"/>
        <v>80000</v>
      </c>
      <c r="O1462" s="3">
        <v>1460</v>
      </c>
    </row>
    <row r="1463" spans="1:15" x14ac:dyDescent="0.25">
      <c r="A1463" s="3">
        <v>4</v>
      </c>
      <c r="B1463" s="3" t="s">
        <v>261</v>
      </c>
      <c r="C1463" s="1" t="s">
        <v>13</v>
      </c>
      <c r="D1463" s="1" t="s">
        <v>444</v>
      </c>
      <c r="E1463" s="11" t="s">
        <v>144</v>
      </c>
      <c r="F1463" s="3" t="s">
        <v>8</v>
      </c>
      <c r="G1463" s="48" t="s">
        <v>77</v>
      </c>
      <c r="H1463" s="8"/>
      <c r="I1463" s="8"/>
      <c r="J1463" s="6" t="s">
        <v>106</v>
      </c>
      <c r="K1463" s="38">
        <v>40000</v>
      </c>
      <c r="L1463" s="4" t="s">
        <v>26</v>
      </c>
      <c r="M1463" s="11">
        <f>_xlfn.NUMBERVALUE(LEFT(Table613612[[#This Row],[Fiscal Year]], 4))</f>
        <v>2018</v>
      </c>
      <c r="N1463" s="42">
        <f t="shared" si="29"/>
        <v>40000</v>
      </c>
      <c r="O1463" s="3">
        <v>1461</v>
      </c>
    </row>
    <row r="1464" spans="1:15" x14ac:dyDescent="0.25">
      <c r="A1464" s="3">
        <v>4</v>
      </c>
      <c r="B1464" s="3" t="s">
        <v>261</v>
      </c>
      <c r="C1464" s="1" t="s">
        <v>13</v>
      </c>
      <c r="D1464" s="1" t="s">
        <v>444</v>
      </c>
      <c r="E1464" s="11" t="s">
        <v>144</v>
      </c>
      <c r="F1464" s="3" t="s">
        <v>8</v>
      </c>
      <c r="G1464" s="66" t="s">
        <v>78</v>
      </c>
      <c r="H1464" s="8"/>
      <c r="I1464" s="8"/>
      <c r="J1464" s="6" t="s">
        <v>47</v>
      </c>
      <c r="K1464" s="38">
        <v>0</v>
      </c>
      <c r="L1464" s="4" t="s">
        <v>26</v>
      </c>
      <c r="M1464" s="11">
        <f>_xlfn.NUMBERVALUE(LEFT(Table613612[[#This Row],[Fiscal Year]], 4))</f>
        <v>2018</v>
      </c>
      <c r="N1464" s="43">
        <f t="shared" si="29"/>
        <v>0</v>
      </c>
      <c r="O1464" s="3">
        <v>1462</v>
      </c>
    </row>
    <row r="1465" spans="1:15" x14ac:dyDescent="0.25">
      <c r="A1465" s="3">
        <v>4</v>
      </c>
      <c r="B1465" s="3" t="s">
        <v>261</v>
      </c>
      <c r="C1465" s="1" t="s">
        <v>13</v>
      </c>
      <c r="D1465" s="1" t="s">
        <v>444</v>
      </c>
      <c r="E1465" s="11" t="s">
        <v>144</v>
      </c>
      <c r="F1465" s="3" t="s">
        <v>8</v>
      </c>
      <c r="G1465" s="48" t="s">
        <v>79</v>
      </c>
      <c r="H1465" s="8" t="s">
        <v>483</v>
      </c>
      <c r="I1465" s="8" t="s">
        <v>458</v>
      </c>
      <c r="J1465" s="6" t="s">
        <v>455</v>
      </c>
      <c r="K1465" s="38">
        <v>0</v>
      </c>
      <c r="L1465" s="4" t="s">
        <v>26</v>
      </c>
      <c r="M1465" s="11">
        <f>_xlfn.NUMBERVALUE(LEFT(Table613612[[#This Row],[Fiscal Year]], 4))</f>
        <v>2018</v>
      </c>
      <c r="N1465" s="43">
        <f t="shared" si="29"/>
        <v>0</v>
      </c>
      <c r="O1465" s="3">
        <v>1463</v>
      </c>
    </row>
    <row r="1466" spans="1:15" x14ac:dyDescent="0.25">
      <c r="A1466" s="3">
        <v>4</v>
      </c>
      <c r="B1466" s="3" t="s">
        <v>261</v>
      </c>
      <c r="C1466" s="1" t="s">
        <v>13</v>
      </c>
      <c r="D1466" s="1" t="s">
        <v>444</v>
      </c>
      <c r="E1466" s="11" t="s">
        <v>144</v>
      </c>
      <c r="F1466" s="3" t="s">
        <v>8</v>
      </c>
      <c r="G1466" s="66" t="s">
        <v>80</v>
      </c>
      <c r="H1466" s="8"/>
      <c r="I1466" s="8"/>
      <c r="J1466" s="6" t="s">
        <v>605</v>
      </c>
      <c r="K1466" s="38">
        <v>240000</v>
      </c>
      <c r="L1466" s="4" t="s">
        <v>26</v>
      </c>
      <c r="M1466" s="11">
        <f>_xlfn.NUMBERVALUE(LEFT(Table613612[[#This Row],[Fiscal Year]], 4))</f>
        <v>2018</v>
      </c>
      <c r="N1466" s="42">
        <f>K1466*(1+VLOOKUP(M1466,$AF$8:$AH$31,3,0))</f>
        <v>240000</v>
      </c>
      <c r="O1466" s="3">
        <v>1464</v>
      </c>
    </row>
    <row r="1467" spans="1:15" x14ac:dyDescent="0.25">
      <c r="A1467" s="3">
        <v>4</v>
      </c>
      <c r="B1467" s="3" t="s">
        <v>261</v>
      </c>
      <c r="C1467" s="1" t="s">
        <v>13</v>
      </c>
      <c r="D1467" s="1" t="s">
        <v>444</v>
      </c>
      <c r="E1467" s="11" t="s">
        <v>144</v>
      </c>
      <c r="F1467" s="3" t="s">
        <v>8</v>
      </c>
      <c r="G1467" s="66" t="s">
        <v>67</v>
      </c>
      <c r="H1467" s="8"/>
      <c r="I1467" s="8"/>
      <c r="J1467" s="6" t="s">
        <v>455</v>
      </c>
      <c r="K1467" s="38">
        <v>0</v>
      </c>
      <c r="L1467" s="4" t="s">
        <v>26</v>
      </c>
      <c r="M1467" s="11">
        <f>_xlfn.NUMBERVALUE(LEFT(Table613612[[#This Row],[Fiscal Year]], 4))</f>
        <v>2018</v>
      </c>
      <c r="N1467" s="43">
        <f t="shared" si="29"/>
        <v>0</v>
      </c>
      <c r="O1467" s="3">
        <v>1465</v>
      </c>
    </row>
    <row r="1468" spans="1:15" x14ac:dyDescent="0.25">
      <c r="C1468" s="1"/>
      <c r="D1468" s="1"/>
      <c r="E1468" s="11"/>
      <c r="G1468" s="66"/>
      <c r="H1468" s="8"/>
      <c r="I1468" s="8"/>
      <c r="J1468" s="6"/>
      <c r="L1468" s="4"/>
      <c r="O1468" s="3">
        <v>1466</v>
      </c>
    </row>
    <row r="1469" spans="1:15" x14ac:dyDescent="0.25">
      <c r="A1469" s="3">
        <v>4</v>
      </c>
      <c r="B1469" s="18" t="s">
        <v>424</v>
      </c>
      <c r="C1469" s="1" t="s">
        <v>13</v>
      </c>
      <c r="D1469" s="1" t="s">
        <v>444</v>
      </c>
      <c r="E1469" s="11"/>
      <c r="F1469" s="3" t="s">
        <v>122</v>
      </c>
      <c r="G1469" s="48" t="s">
        <v>32</v>
      </c>
      <c r="H1469" s="8" t="s">
        <v>608</v>
      </c>
      <c r="I1469" s="70" t="s">
        <v>609</v>
      </c>
      <c r="J1469" s="6" t="s">
        <v>110</v>
      </c>
      <c r="K1469" s="38" t="s">
        <v>827</v>
      </c>
      <c r="L1469" s="4" t="s">
        <v>26</v>
      </c>
      <c r="M1469" s="11">
        <f>_xlfn.NUMBERVALUE(LEFT(Table613612[[#This Row],[Fiscal Year]], 4))</f>
        <v>2018</v>
      </c>
      <c r="O1469" s="3">
        <v>1467</v>
      </c>
    </row>
    <row r="1470" spans="1:15" x14ac:dyDescent="0.25">
      <c r="A1470" s="3">
        <v>4</v>
      </c>
      <c r="B1470" s="3" t="s">
        <v>424</v>
      </c>
      <c r="C1470" s="1" t="s">
        <v>13</v>
      </c>
      <c r="D1470" s="1" t="s">
        <v>444</v>
      </c>
      <c r="E1470" s="11"/>
      <c r="F1470" s="3" t="s">
        <v>122</v>
      </c>
      <c r="G1470" s="48" t="s">
        <v>68</v>
      </c>
      <c r="H1470" s="6"/>
      <c r="I1470" s="8"/>
      <c r="J1470" s="6" t="s">
        <v>42</v>
      </c>
      <c r="K1470" s="38">
        <v>0</v>
      </c>
      <c r="L1470" s="4" t="s">
        <v>26</v>
      </c>
      <c r="M1470" s="11">
        <f>_xlfn.NUMBERVALUE(LEFT(Table613612[[#This Row],[Fiscal Year]], 4))</f>
        <v>2018</v>
      </c>
      <c r="N1470" s="43">
        <f t="shared" si="29"/>
        <v>0</v>
      </c>
      <c r="O1470" s="3">
        <v>1468</v>
      </c>
    </row>
    <row r="1471" spans="1:15" x14ac:dyDescent="0.25">
      <c r="A1471" s="3">
        <v>4</v>
      </c>
      <c r="B1471" s="3" t="s">
        <v>424</v>
      </c>
      <c r="C1471" s="1" t="s">
        <v>13</v>
      </c>
      <c r="D1471" s="1" t="s">
        <v>444</v>
      </c>
      <c r="E1471" s="11"/>
      <c r="F1471" s="3" t="s">
        <v>122</v>
      </c>
      <c r="G1471" s="48" t="s">
        <v>69</v>
      </c>
      <c r="H1471" s="8"/>
      <c r="I1471" s="8"/>
      <c r="J1471" s="6" t="s">
        <v>109</v>
      </c>
      <c r="K1471" s="38">
        <v>0</v>
      </c>
      <c r="L1471" s="4" t="s">
        <v>26</v>
      </c>
      <c r="M1471" s="11">
        <f>_xlfn.NUMBERVALUE(LEFT(Table613612[[#This Row],[Fiscal Year]], 4))</f>
        <v>2018</v>
      </c>
      <c r="N1471" s="43">
        <f t="shared" si="29"/>
        <v>0</v>
      </c>
      <c r="O1471" s="3">
        <v>1469</v>
      </c>
    </row>
    <row r="1472" spans="1:15" x14ac:dyDescent="0.25">
      <c r="A1472" s="3">
        <v>4</v>
      </c>
      <c r="B1472" s="3" t="s">
        <v>424</v>
      </c>
      <c r="C1472" s="1" t="s">
        <v>13</v>
      </c>
      <c r="D1472" s="1" t="s">
        <v>444</v>
      </c>
      <c r="E1472" s="11"/>
      <c r="F1472" s="3" t="s">
        <v>122</v>
      </c>
      <c r="G1472" s="48" t="s">
        <v>59</v>
      </c>
      <c r="H1472" s="8"/>
      <c r="I1472" s="8"/>
      <c r="J1472" s="6" t="s">
        <v>111</v>
      </c>
      <c r="K1472" s="38">
        <v>0</v>
      </c>
      <c r="L1472" s="4" t="s">
        <v>26</v>
      </c>
      <c r="M1472" s="11">
        <f>_xlfn.NUMBERVALUE(LEFT(Table613612[[#This Row],[Fiscal Year]], 4))</f>
        <v>2018</v>
      </c>
      <c r="N1472" s="43">
        <f t="shared" si="29"/>
        <v>0</v>
      </c>
      <c r="O1472" s="3">
        <v>1470</v>
      </c>
    </row>
    <row r="1473" spans="1:15" x14ac:dyDescent="0.25">
      <c r="A1473" s="3">
        <v>4</v>
      </c>
      <c r="B1473" s="3" t="s">
        <v>424</v>
      </c>
      <c r="C1473" s="1" t="s">
        <v>13</v>
      </c>
      <c r="D1473" s="1" t="s">
        <v>444</v>
      </c>
      <c r="E1473" s="11"/>
      <c r="F1473" s="3" t="s">
        <v>122</v>
      </c>
      <c r="G1473" s="48" t="s">
        <v>70</v>
      </c>
      <c r="H1473" s="8"/>
      <c r="I1473" s="8"/>
      <c r="J1473" s="6" t="s">
        <v>107</v>
      </c>
      <c r="K1473" s="38" t="s">
        <v>827</v>
      </c>
      <c r="L1473" s="4" t="s">
        <v>26</v>
      </c>
      <c r="M1473" s="11">
        <f>_xlfn.NUMBERVALUE(LEFT(Table613612[[#This Row],[Fiscal Year]], 4))</f>
        <v>2018</v>
      </c>
      <c r="O1473" s="3">
        <v>1471</v>
      </c>
    </row>
    <row r="1474" spans="1:15" x14ac:dyDescent="0.25">
      <c r="A1474" s="3">
        <v>4</v>
      </c>
      <c r="B1474" s="3" t="s">
        <v>424</v>
      </c>
      <c r="C1474" s="1" t="s">
        <v>13</v>
      </c>
      <c r="D1474" s="1" t="s">
        <v>444</v>
      </c>
      <c r="E1474" s="11"/>
      <c r="F1474" s="3" t="s">
        <v>122</v>
      </c>
      <c r="G1474" s="48" t="s">
        <v>72</v>
      </c>
      <c r="H1474" s="8" t="s">
        <v>610</v>
      </c>
      <c r="I1474" s="8" t="s">
        <v>458</v>
      </c>
      <c r="J1474" s="6" t="s">
        <v>108</v>
      </c>
      <c r="K1474" s="38" t="s">
        <v>827</v>
      </c>
      <c r="L1474" s="4" t="s">
        <v>26</v>
      </c>
      <c r="M1474" s="11">
        <f>_xlfn.NUMBERVALUE(LEFT(Table613612[[#This Row],[Fiscal Year]], 4))</f>
        <v>2018</v>
      </c>
      <c r="O1474" s="3">
        <v>1472</v>
      </c>
    </row>
    <row r="1475" spans="1:15" x14ac:dyDescent="0.25">
      <c r="A1475" s="3">
        <v>4</v>
      </c>
      <c r="B1475" s="3" t="s">
        <v>424</v>
      </c>
      <c r="C1475" s="1" t="s">
        <v>13</v>
      </c>
      <c r="D1475" s="1" t="s">
        <v>444</v>
      </c>
      <c r="E1475" s="11"/>
      <c r="F1475" s="3" t="s">
        <v>122</v>
      </c>
      <c r="G1475" s="66" t="s">
        <v>71</v>
      </c>
      <c r="H1475" s="8" t="s">
        <v>484</v>
      </c>
      <c r="I1475" s="8" t="s">
        <v>458</v>
      </c>
      <c r="J1475" s="6" t="s">
        <v>108</v>
      </c>
      <c r="K1475" s="38">
        <v>1500000</v>
      </c>
      <c r="L1475" s="4" t="s">
        <v>26</v>
      </c>
      <c r="M1475" s="11">
        <f>_xlfn.NUMBERVALUE(LEFT(Table613612[[#This Row],[Fiscal Year]], 4))</f>
        <v>2018</v>
      </c>
      <c r="N1475" s="42">
        <f t="shared" si="29"/>
        <v>1500000</v>
      </c>
      <c r="O1475" s="3">
        <v>1473</v>
      </c>
    </row>
    <row r="1476" spans="1:15" x14ac:dyDescent="0.25">
      <c r="A1476" s="3">
        <v>4</v>
      </c>
      <c r="B1476" s="3" t="s">
        <v>424</v>
      </c>
      <c r="C1476" s="1" t="s">
        <v>13</v>
      </c>
      <c r="D1476" s="1" t="s">
        <v>444</v>
      </c>
      <c r="E1476" s="11"/>
      <c r="F1476" s="3" t="s">
        <v>122</v>
      </c>
      <c r="G1476" s="48" t="s">
        <v>73</v>
      </c>
      <c r="H1476" s="8"/>
      <c r="I1476" s="8"/>
      <c r="J1476" s="6" t="s">
        <v>108</v>
      </c>
      <c r="K1476" s="38" t="s">
        <v>28</v>
      </c>
      <c r="L1476" s="4" t="s">
        <v>26</v>
      </c>
      <c r="M1476" s="11">
        <f>_xlfn.NUMBERVALUE(LEFT(Table613612[[#This Row],[Fiscal Year]], 4))</f>
        <v>2018</v>
      </c>
      <c r="O1476" s="3">
        <v>1474</v>
      </c>
    </row>
    <row r="1477" spans="1:15" x14ac:dyDescent="0.25">
      <c r="A1477" s="3">
        <v>4</v>
      </c>
      <c r="B1477" s="3" t="s">
        <v>424</v>
      </c>
      <c r="C1477" s="1" t="s">
        <v>13</v>
      </c>
      <c r="D1477" s="1" t="s">
        <v>444</v>
      </c>
      <c r="E1477" s="11"/>
      <c r="F1477" s="3" t="s">
        <v>122</v>
      </c>
      <c r="G1477" s="48" t="s">
        <v>74</v>
      </c>
      <c r="H1477" s="8" t="s">
        <v>611</v>
      </c>
      <c r="I1477" s="8" t="s">
        <v>458</v>
      </c>
      <c r="J1477" s="6" t="s">
        <v>108</v>
      </c>
      <c r="K1477" s="38" t="s">
        <v>827</v>
      </c>
      <c r="L1477" s="4" t="s">
        <v>26</v>
      </c>
      <c r="M1477" s="11">
        <f>_xlfn.NUMBERVALUE(LEFT(Table613612[[#This Row],[Fiscal Year]], 4))</f>
        <v>2018</v>
      </c>
      <c r="O1477" s="3">
        <v>1475</v>
      </c>
    </row>
    <row r="1478" spans="1:15" x14ac:dyDescent="0.25">
      <c r="A1478" s="3">
        <v>4</v>
      </c>
      <c r="B1478" s="3" t="s">
        <v>424</v>
      </c>
      <c r="C1478" s="1" t="s">
        <v>13</v>
      </c>
      <c r="D1478" s="1" t="s">
        <v>444</v>
      </c>
      <c r="E1478" s="11"/>
      <c r="F1478" s="3" t="s">
        <v>122</v>
      </c>
      <c r="G1478" s="66" t="s">
        <v>75</v>
      </c>
      <c r="H1478" s="8" t="s">
        <v>485</v>
      </c>
      <c r="I1478" s="8" t="s">
        <v>458</v>
      </c>
      <c r="J1478" s="6" t="s">
        <v>108</v>
      </c>
      <c r="K1478" s="38" t="s">
        <v>827</v>
      </c>
      <c r="L1478" s="4" t="s">
        <v>26</v>
      </c>
      <c r="M1478" s="11">
        <f>_xlfn.NUMBERVALUE(LEFT(Table613612[[#This Row],[Fiscal Year]], 4))</f>
        <v>2018</v>
      </c>
      <c r="O1478" s="3">
        <v>1476</v>
      </c>
    </row>
    <row r="1479" spans="1:15" x14ac:dyDescent="0.25">
      <c r="A1479" s="3">
        <v>4</v>
      </c>
      <c r="B1479" s="3" t="s">
        <v>424</v>
      </c>
      <c r="C1479" s="1" t="s">
        <v>13</v>
      </c>
      <c r="D1479" s="1" t="s">
        <v>444</v>
      </c>
      <c r="E1479" s="11"/>
      <c r="F1479" s="3" t="s">
        <v>122</v>
      </c>
      <c r="G1479" s="48" t="s">
        <v>76</v>
      </c>
      <c r="H1479" s="8"/>
      <c r="I1479" s="8"/>
      <c r="J1479" s="6" t="s">
        <v>76</v>
      </c>
      <c r="K1479" s="38" t="s">
        <v>827</v>
      </c>
      <c r="L1479" s="4" t="s">
        <v>26</v>
      </c>
      <c r="M1479" s="11">
        <f>_xlfn.NUMBERVALUE(LEFT(Table613612[[#This Row],[Fiscal Year]], 4))</f>
        <v>2018</v>
      </c>
      <c r="O1479" s="3">
        <v>1477</v>
      </c>
    </row>
    <row r="1480" spans="1:15" x14ac:dyDescent="0.25">
      <c r="A1480" s="3">
        <v>4</v>
      </c>
      <c r="B1480" s="3" t="s">
        <v>424</v>
      </c>
      <c r="C1480" s="1" t="s">
        <v>13</v>
      </c>
      <c r="D1480" s="1" t="s">
        <v>444</v>
      </c>
      <c r="E1480" s="11"/>
      <c r="F1480" s="3" t="s">
        <v>122</v>
      </c>
      <c r="G1480" s="48" t="s">
        <v>77</v>
      </c>
      <c r="H1480" s="8"/>
      <c r="I1480" s="8"/>
      <c r="J1480" s="6" t="s">
        <v>106</v>
      </c>
      <c r="K1480" s="38" t="s">
        <v>827</v>
      </c>
      <c r="L1480" s="4" t="s">
        <v>26</v>
      </c>
      <c r="M1480" s="11">
        <f>_xlfn.NUMBERVALUE(LEFT(Table613612[[#This Row],[Fiscal Year]], 4))</f>
        <v>2018</v>
      </c>
      <c r="O1480" s="3">
        <v>1478</v>
      </c>
    </row>
    <row r="1481" spans="1:15" x14ac:dyDescent="0.25">
      <c r="A1481" s="3">
        <v>4</v>
      </c>
      <c r="B1481" s="3" t="s">
        <v>424</v>
      </c>
      <c r="C1481" s="1" t="s">
        <v>13</v>
      </c>
      <c r="D1481" s="1" t="s">
        <v>444</v>
      </c>
      <c r="E1481" s="11"/>
      <c r="F1481" s="3" t="s">
        <v>122</v>
      </c>
      <c r="G1481" s="66" t="s">
        <v>78</v>
      </c>
      <c r="H1481" s="8"/>
      <c r="I1481" s="8"/>
      <c r="J1481" s="6" t="s">
        <v>47</v>
      </c>
      <c r="K1481" s="38">
        <v>0</v>
      </c>
      <c r="L1481" s="4" t="s">
        <v>26</v>
      </c>
      <c r="M1481" s="11">
        <f>_xlfn.NUMBERVALUE(LEFT(Table613612[[#This Row],[Fiscal Year]], 4))</f>
        <v>2018</v>
      </c>
      <c r="N1481" s="43">
        <f t="shared" si="29"/>
        <v>0</v>
      </c>
      <c r="O1481" s="3">
        <v>1479</v>
      </c>
    </row>
    <row r="1482" spans="1:15" x14ac:dyDescent="0.25">
      <c r="A1482" s="3">
        <v>4</v>
      </c>
      <c r="B1482" s="3" t="s">
        <v>424</v>
      </c>
      <c r="C1482" s="1" t="s">
        <v>13</v>
      </c>
      <c r="D1482" s="1" t="s">
        <v>444</v>
      </c>
      <c r="E1482" s="11"/>
      <c r="F1482" s="3" t="s">
        <v>122</v>
      </c>
      <c r="G1482" s="48" t="s">
        <v>79</v>
      </c>
      <c r="H1482" s="8" t="s">
        <v>483</v>
      </c>
      <c r="I1482" s="8" t="s">
        <v>458</v>
      </c>
      <c r="J1482" s="6" t="s">
        <v>455</v>
      </c>
      <c r="K1482" s="38">
        <v>999952</v>
      </c>
      <c r="L1482" s="4" t="s">
        <v>26</v>
      </c>
      <c r="M1482" s="11">
        <f>_xlfn.NUMBERVALUE(LEFT(Table613612[[#This Row],[Fiscal Year]], 4))</f>
        <v>2018</v>
      </c>
      <c r="N1482" s="42">
        <f t="shared" si="29"/>
        <v>999952</v>
      </c>
      <c r="O1482" s="3">
        <v>1480</v>
      </c>
    </row>
    <row r="1483" spans="1:15" x14ac:dyDescent="0.25">
      <c r="A1483" s="3">
        <v>4</v>
      </c>
      <c r="B1483" s="3" t="s">
        <v>424</v>
      </c>
      <c r="C1483" s="1" t="s">
        <v>13</v>
      </c>
      <c r="D1483" s="1" t="s">
        <v>444</v>
      </c>
      <c r="E1483" s="11"/>
      <c r="F1483" s="3" t="s">
        <v>122</v>
      </c>
      <c r="G1483" s="66" t="s">
        <v>80</v>
      </c>
      <c r="H1483" s="8"/>
      <c r="I1483" s="8"/>
      <c r="J1483" s="6" t="s">
        <v>605</v>
      </c>
      <c r="K1483" s="38">
        <v>240000</v>
      </c>
      <c r="L1483" s="4" t="s">
        <v>26</v>
      </c>
      <c r="M1483" s="11">
        <f>_xlfn.NUMBERVALUE(LEFT(Table613612[[#This Row],[Fiscal Year]], 4))</f>
        <v>2018</v>
      </c>
      <c r="N1483" s="42">
        <f t="shared" si="29"/>
        <v>240000</v>
      </c>
      <c r="O1483" s="3">
        <v>1481</v>
      </c>
    </row>
    <row r="1484" spans="1:15" x14ac:dyDescent="0.25">
      <c r="A1484" s="3">
        <v>4</v>
      </c>
      <c r="B1484" s="3" t="s">
        <v>424</v>
      </c>
      <c r="C1484" s="1" t="s">
        <v>13</v>
      </c>
      <c r="D1484" s="1" t="s">
        <v>444</v>
      </c>
      <c r="E1484" s="11"/>
      <c r="F1484" s="3" t="s">
        <v>122</v>
      </c>
      <c r="G1484" s="66" t="s">
        <v>67</v>
      </c>
      <c r="H1484" s="8"/>
      <c r="I1484" s="8"/>
      <c r="J1484" s="6" t="s">
        <v>455</v>
      </c>
      <c r="K1484" s="38">
        <v>210000</v>
      </c>
      <c r="L1484" s="4" t="s">
        <v>26</v>
      </c>
      <c r="M1484" s="11">
        <f>_xlfn.NUMBERVALUE(LEFT(Table613612[[#This Row],[Fiscal Year]], 4))</f>
        <v>2018</v>
      </c>
      <c r="N1484" s="42">
        <f t="shared" ref="N1484:N1547" si="30">K1484*(1+VLOOKUP(M1484,$AF$8:$AH$31,3,0))</f>
        <v>210000</v>
      </c>
      <c r="O1484" s="3">
        <v>1482</v>
      </c>
    </row>
    <row r="1485" spans="1:15" x14ac:dyDescent="0.25">
      <c r="C1485" s="1"/>
      <c r="D1485" s="1"/>
      <c r="E1485" s="11"/>
      <c r="G1485" s="66"/>
      <c r="H1485" s="8"/>
      <c r="I1485" s="8"/>
      <c r="J1485" s="6"/>
      <c r="L1485" s="4"/>
      <c r="O1485" s="3">
        <v>1483</v>
      </c>
    </row>
    <row r="1486" spans="1:15" x14ac:dyDescent="0.25">
      <c r="B1486" s="3" t="s">
        <v>425</v>
      </c>
      <c r="C1486" s="1" t="s">
        <v>13</v>
      </c>
      <c r="D1486" s="1" t="s">
        <v>444</v>
      </c>
      <c r="E1486" s="11"/>
      <c r="G1486" s="66"/>
      <c r="H1486" s="8"/>
      <c r="I1486" s="8"/>
      <c r="J1486" s="6"/>
      <c r="L1486" s="4"/>
      <c r="O1486" s="3">
        <v>1484</v>
      </c>
    </row>
    <row r="1487" spans="1:15" x14ac:dyDescent="0.25">
      <c r="C1487" s="1"/>
      <c r="D1487" s="1"/>
      <c r="E1487" s="11"/>
      <c r="G1487" s="66"/>
      <c r="H1487" s="8"/>
      <c r="I1487" s="8"/>
      <c r="J1487" s="6"/>
      <c r="L1487" s="4"/>
      <c r="O1487" s="3">
        <v>1485</v>
      </c>
    </row>
    <row r="1488" spans="1:15" x14ac:dyDescent="0.25">
      <c r="C1488" s="1"/>
      <c r="D1488" s="1"/>
      <c r="E1488" s="11"/>
      <c r="G1488" s="66"/>
      <c r="H1488" s="8"/>
      <c r="I1488" s="8"/>
      <c r="J1488" s="6"/>
      <c r="L1488" s="4"/>
      <c r="O1488" s="3">
        <v>1486</v>
      </c>
    </row>
    <row r="1489" spans="1:15" x14ac:dyDescent="0.25">
      <c r="C1489" s="1"/>
      <c r="D1489" s="1"/>
      <c r="E1489" s="11"/>
      <c r="G1489" s="66"/>
      <c r="H1489" s="8"/>
      <c r="I1489" s="8"/>
      <c r="J1489" s="6"/>
      <c r="L1489" s="4"/>
      <c r="O1489" s="3">
        <v>1487</v>
      </c>
    </row>
    <row r="1490" spans="1:15" x14ac:dyDescent="0.25">
      <c r="C1490" s="1"/>
      <c r="D1490" s="1"/>
      <c r="E1490" s="11"/>
      <c r="G1490" s="66"/>
      <c r="H1490" s="8"/>
      <c r="I1490" s="8"/>
      <c r="J1490" s="6"/>
      <c r="L1490" s="4"/>
      <c r="O1490" s="3">
        <v>1488</v>
      </c>
    </row>
    <row r="1491" spans="1:15" x14ac:dyDescent="0.25">
      <c r="C1491" s="1"/>
      <c r="D1491" s="1"/>
      <c r="E1491" s="11"/>
      <c r="G1491" s="66"/>
      <c r="H1491" s="8"/>
      <c r="I1491" s="8"/>
      <c r="J1491" s="6"/>
      <c r="L1491" s="4"/>
      <c r="O1491" s="3">
        <v>1489</v>
      </c>
    </row>
    <row r="1492" spans="1:15" x14ac:dyDescent="0.25">
      <c r="C1492" s="1"/>
      <c r="D1492" s="1"/>
      <c r="E1492" s="11"/>
      <c r="G1492" s="66"/>
      <c r="H1492" s="8"/>
      <c r="I1492" s="8"/>
      <c r="J1492" s="6"/>
      <c r="L1492" s="4"/>
      <c r="O1492" s="3">
        <v>1490</v>
      </c>
    </row>
    <row r="1493" spans="1:15" x14ac:dyDescent="0.25">
      <c r="C1493" s="1"/>
      <c r="D1493" s="1"/>
      <c r="E1493" s="11"/>
      <c r="G1493" s="66"/>
      <c r="H1493" s="8"/>
      <c r="I1493" s="8"/>
      <c r="J1493" s="6"/>
      <c r="L1493" s="4"/>
      <c r="O1493" s="3">
        <v>1491</v>
      </c>
    </row>
    <row r="1494" spans="1:15" x14ac:dyDescent="0.25">
      <c r="C1494" s="1"/>
      <c r="D1494" s="1"/>
      <c r="E1494" s="11"/>
      <c r="G1494" s="66"/>
      <c r="H1494" s="8"/>
      <c r="I1494" s="8"/>
      <c r="J1494" s="6"/>
      <c r="L1494" s="4"/>
      <c r="O1494" s="3">
        <v>1492</v>
      </c>
    </row>
    <row r="1495" spans="1:15" x14ac:dyDescent="0.25">
      <c r="C1495" s="1"/>
      <c r="D1495" s="1"/>
      <c r="E1495" s="11"/>
      <c r="G1495" s="66"/>
      <c r="H1495" s="8"/>
      <c r="I1495" s="8"/>
      <c r="J1495" s="6"/>
      <c r="L1495" s="4"/>
      <c r="O1495" s="3">
        <v>1493</v>
      </c>
    </row>
    <row r="1496" spans="1:15" x14ac:dyDescent="0.25">
      <c r="C1496" s="1"/>
      <c r="D1496" s="1"/>
      <c r="E1496" s="11"/>
      <c r="G1496" s="66"/>
      <c r="H1496" s="8"/>
      <c r="I1496" s="8"/>
      <c r="J1496" s="6"/>
      <c r="L1496" s="4"/>
      <c r="O1496" s="3">
        <v>1494</v>
      </c>
    </row>
    <row r="1497" spans="1:15" x14ac:dyDescent="0.25">
      <c r="C1497" s="1"/>
      <c r="D1497" s="1"/>
      <c r="E1497" s="11"/>
      <c r="G1497" s="66"/>
      <c r="H1497" s="8"/>
      <c r="I1497" s="8"/>
      <c r="J1497" s="6"/>
      <c r="L1497" s="4"/>
      <c r="O1497" s="3">
        <v>1495</v>
      </c>
    </row>
    <row r="1498" spans="1:15" x14ac:dyDescent="0.25">
      <c r="C1498" s="1"/>
      <c r="D1498" s="1"/>
      <c r="E1498" s="11"/>
      <c r="G1498" s="66"/>
      <c r="H1498" s="8"/>
      <c r="I1498" s="8"/>
      <c r="J1498" s="6"/>
      <c r="L1498" s="4"/>
      <c r="O1498" s="3">
        <v>1496</v>
      </c>
    </row>
    <row r="1499" spans="1:15" x14ac:dyDescent="0.25">
      <c r="C1499" s="1"/>
      <c r="D1499" s="1"/>
      <c r="E1499" s="11"/>
      <c r="G1499" s="66"/>
      <c r="H1499" s="8"/>
      <c r="I1499" s="8"/>
      <c r="J1499" s="6"/>
      <c r="L1499" s="4"/>
      <c r="O1499" s="3">
        <v>1497</v>
      </c>
    </row>
    <row r="1500" spans="1:15" x14ac:dyDescent="0.25">
      <c r="C1500" s="1"/>
      <c r="D1500" s="1"/>
      <c r="E1500" s="11"/>
      <c r="G1500" s="66"/>
      <c r="H1500" s="8"/>
      <c r="I1500" s="8"/>
      <c r="J1500" s="6"/>
      <c r="L1500" s="4"/>
      <c r="O1500" s="3">
        <v>1498</v>
      </c>
    </row>
    <row r="1501" spans="1:15" x14ac:dyDescent="0.25">
      <c r="C1501" s="1"/>
      <c r="D1501" s="1"/>
      <c r="E1501" s="11"/>
      <c r="G1501" s="66"/>
      <c r="H1501" s="8"/>
      <c r="I1501" s="8"/>
      <c r="J1501" s="6"/>
      <c r="L1501" s="4"/>
      <c r="O1501" s="3">
        <v>1499</v>
      </c>
    </row>
    <row r="1502" spans="1:15" x14ac:dyDescent="0.25">
      <c r="C1502" s="1"/>
      <c r="D1502" s="1"/>
      <c r="E1502" s="11"/>
      <c r="G1502" s="66"/>
      <c r="H1502" s="8"/>
      <c r="I1502" s="8"/>
      <c r="J1502" s="6"/>
      <c r="L1502" s="4"/>
      <c r="O1502" s="3">
        <v>1500</v>
      </c>
    </row>
    <row r="1503" spans="1:15" x14ac:dyDescent="0.25">
      <c r="A1503" s="3">
        <v>4</v>
      </c>
      <c r="B1503" s="3" t="s">
        <v>221</v>
      </c>
      <c r="C1503" s="1" t="s">
        <v>12</v>
      </c>
      <c r="D1503" s="1" t="s">
        <v>444</v>
      </c>
      <c r="E1503" s="11" t="s">
        <v>144</v>
      </c>
      <c r="F1503" s="3" t="s">
        <v>8</v>
      </c>
      <c r="G1503" s="48" t="s">
        <v>32</v>
      </c>
      <c r="H1503" s="8"/>
      <c r="I1503" s="8"/>
      <c r="J1503" s="6" t="s">
        <v>110</v>
      </c>
      <c r="K1503" s="38">
        <v>80000</v>
      </c>
      <c r="L1503" s="4" t="s">
        <v>29</v>
      </c>
      <c r="M1503" s="11">
        <f>_xlfn.NUMBERVALUE(LEFT(Table613612[[#This Row],[Fiscal Year]], 4))</f>
        <v>2015</v>
      </c>
      <c r="N1503" s="42">
        <f t="shared" si="30"/>
        <v>84938.734177215185</v>
      </c>
      <c r="O1503" s="3">
        <v>1501</v>
      </c>
    </row>
    <row r="1504" spans="1:15" x14ac:dyDescent="0.25">
      <c r="A1504" s="3">
        <v>4</v>
      </c>
      <c r="B1504" s="3" t="s">
        <v>221</v>
      </c>
      <c r="C1504" s="1" t="s">
        <v>12</v>
      </c>
      <c r="D1504" s="1" t="s">
        <v>444</v>
      </c>
      <c r="E1504" s="11" t="s">
        <v>144</v>
      </c>
      <c r="F1504" s="3" t="s">
        <v>8</v>
      </c>
      <c r="G1504" s="48" t="s">
        <v>58</v>
      </c>
      <c r="H1504" s="8"/>
      <c r="I1504" s="8"/>
      <c r="J1504" s="6" t="s">
        <v>453</v>
      </c>
      <c r="K1504" s="38">
        <v>21150</v>
      </c>
      <c r="L1504" s="4" t="s">
        <v>29</v>
      </c>
      <c r="M1504" s="11">
        <f>_xlfn.NUMBERVALUE(LEFT(Table613612[[#This Row],[Fiscal Year]], 4))</f>
        <v>2015</v>
      </c>
      <c r="N1504" s="42">
        <f t="shared" si="30"/>
        <v>22455.677848101266</v>
      </c>
      <c r="O1504" s="3">
        <v>1502</v>
      </c>
    </row>
    <row r="1505" spans="1:15" x14ac:dyDescent="0.25">
      <c r="A1505" s="3">
        <v>4</v>
      </c>
      <c r="B1505" s="3" t="s">
        <v>221</v>
      </c>
      <c r="C1505" s="1" t="s">
        <v>12</v>
      </c>
      <c r="D1505" s="1" t="s">
        <v>444</v>
      </c>
      <c r="E1505" s="11" t="s">
        <v>144</v>
      </c>
      <c r="F1505" s="3" t="s">
        <v>8</v>
      </c>
      <c r="G1505" s="66" t="s">
        <v>208</v>
      </c>
      <c r="H1505" s="8"/>
      <c r="I1505" s="8"/>
      <c r="J1505" s="6" t="s">
        <v>109</v>
      </c>
      <c r="K1505" s="38">
        <v>100000</v>
      </c>
      <c r="L1505" s="4" t="s">
        <v>29</v>
      </c>
      <c r="M1505" s="11">
        <f>_xlfn.NUMBERVALUE(LEFT(Table613612[[#This Row],[Fiscal Year]], 4))</f>
        <v>2015</v>
      </c>
      <c r="N1505" s="42">
        <f t="shared" si="30"/>
        <v>106173.41772151898</v>
      </c>
      <c r="O1505" s="3">
        <v>1503</v>
      </c>
    </row>
    <row r="1506" spans="1:15" x14ac:dyDescent="0.25">
      <c r="A1506" s="3">
        <v>4</v>
      </c>
      <c r="B1506" s="3" t="s">
        <v>221</v>
      </c>
      <c r="C1506" s="1" t="s">
        <v>12</v>
      </c>
      <c r="D1506" s="1" t="s">
        <v>444</v>
      </c>
      <c r="E1506" s="11" t="s">
        <v>144</v>
      </c>
      <c r="F1506" s="3" t="s">
        <v>8</v>
      </c>
      <c r="G1506" s="48" t="s">
        <v>59</v>
      </c>
      <c r="H1506" s="8"/>
      <c r="I1506" s="8"/>
      <c r="J1506" s="6" t="s">
        <v>111</v>
      </c>
      <c r="K1506" s="38">
        <v>8000</v>
      </c>
      <c r="L1506" s="4" t="s">
        <v>29</v>
      </c>
      <c r="M1506" s="11">
        <f>_xlfn.NUMBERVALUE(LEFT(Table613612[[#This Row],[Fiscal Year]], 4))</f>
        <v>2015</v>
      </c>
      <c r="N1506" s="42">
        <f t="shared" si="30"/>
        <v>8493.8734177215192</v>
      </c>
      <c r="O1506" s="3">
        <v>1504</v>
      </c>
    </row>
    <row r="1507" spans="1:15" x14ac:dyDescent="0.25">
      <c r="A1507" s="3">
        <v>4</v>
      </c>
      <c r="B1507" s="3" t="s">
        <v>221</v>
      </c>
      <c r="C1507" s="1" t="s">
        <v>12</v>
      </c>
      <c r="D1507" s="1" t="s">
        <v>444</v>
      </c>
      <c r="E1507" s="11" t="s">
        <v>144</v>
      </c>
      <c r="F1507" s="3" t="s">
        <v>8</v>
      </c>
      <c r="G1507" s="66" t="s">
        <v>60</v>
      </c>
      <c r="H1507" s="8"/>
      <c r="I1507" s="8"/>
      <c r="J1507" s="6" t="s">
        <v>111</v>
      </c>
      <c r="K1507" s="38">
        <v>8000</v>
      </c>
      <c r="L1507" s="4" t="s">
        <v>29</v>
      </c>
      <c r="M1507" s="11">
        <f>_xlfn.NUMBERVALUE(LEFT(Table613612[[#This Row],[Fiscal Year]], 4))</f>
        <v>2015</v>
      </c>
      <c r="N1507" s="42">
        <f t="shared" si="30"/>
        <v>8493.8734177215192</v>
      </c>
      <c r="O1507" s="3">
        <v>1505</v>
      </c>
    </row>
    <row r="1508" spans="1:15" x14ac:dyDescent="0.25">
      <c r="A1508" s="3">
        <v>4</v>
      </c>
      <c r="B1508" s="3" t="s">
        <v>221</v>
      </c>
      <c r="C1508" s="1" t="s">
        <v>12</v>
      </c>
      <c r="D1508" s="1" t="s">
        <v>444</v>
      </c>
      <c r="E1508" s="11" t="s">
        <v>144</v>
      </c>
      <c r="F1508" s="3" t="s">
        <v>8</v>
      </c>
      <c r="G1508" s="48" t="s">
        <v>61</v>
      </c>
      <c r="H1508" s="8"/>
      <c r="I1508" s="8"/>
      <c r="J1508" s="6" t="s">
        <v>108</v>
      </c>
      <c r="K1508" s="38">
        <v>0</v>
      </c>
      <c r="L1508" s="4" t="s">
        <v>29</v>
      </c>
      <c r="M1508" s="11">
        <f>_xlfn.NUMBERVALUE(LEFT(Table613612[[#This Row],[Fiscal Year]], 4))</f>
        <v>2015</v>
      </c>
      <c r="N1508" s="43">
        <f t="shared" si="30"/>
        <v>0</v>
      </c>
      <c r="O1508" s="3">
        <v>1506</v>
      </c>
    </row>
    <row r="1509" spans="1:15" x14ac:dyDescent="0.25">
      <c r="A1509" s="3">
        <v>4</v>
      </c>
      <c r="B1509" s="3" t="s">
        <v>221</v>
      </c>
      <c r="C1509" s="1" t="s">
        <v>12</v>
      </c>
      <c r="D1509" s="1" t="s">
        <v>444</v>
      </c>
      <c r="E1509" s="11" t="s">
        <v>144</v>
      </c>
      <c r="F1509" s="3" t="s">
        <v>8</v>
      </c>
      <c r="G1509" s="66" t="s">
        <v>62</v>
      </c>
      <c r="H1509" s="8"/>
      <c r="I1509" s="8"/>
      <c r="J1509" s="6" t="s">
        <v>106</v>
      </c>
      <c r="K1509" s="38">
        <v>50000</v>
      </c>
      <c r="L1509" s="4" t="s">
        <v>29</v>
      </c>
      <c r="M1509" s="11">
        <f>_xlfn.NUMBERVALUE(LEFT(Table613612[[#This Row],[Fiscal Year]], 4))</f>
        <v>2015</v>
      </c>
      <c r="N1509" s="42">
        <f>K1509*(1+VLOOKUP(M1509,$AF$8:$AH$31,3,0))</f>
        <v>53086.708860759492</v>
      </c>
      <c r="O1509" s="3">
        <v>1507</v>
      </c>
    </row>
    <row r="1510" spans="1:15" x14ac:dyDescent="0.25">
      <c r="A1510" s="3">
        <v>4</v>
      </c>
      <c r="B1510" s="3" t="s">
        <v>221</v>
      </c>
      <c r="C1510" s="1" t="s">
        <v>12</v>
      </c>
      <c r="D1510" s="1" t="s">
        <v>444</v>
      </c>
      <c r="E1510" s="11" t="s">
        <v>144</v>
      </c>
      <c r="F1510" s="3" t="s">
        <v>8</v>
      </c>
      <c r="G1510" s="66" t="s">
        <v>211</v>
      </c>
      <c r="H1510" s="70" t="s">
        <v>647</v>
      </c>
      <c r="I1510" s="8"/>
      <c r="J1510" s="6" t="s">
        <v>455</v>
      </c>
      <c r="K1510" s="38">
        <v>0</v>
      </c>
      <c r="L1510" s="4" t="s">
        <v>29</v>
      </c>
      <c r="M1510" s="11">
        <f>_xlfn.NUMBERVALUE(LEFT(Table613612[[#This Row],[Fiscal Year]], 4))</f>
        <v>2015</v>
      </c>
      <c r="N1510" s="43">
        <f t="shared" si="30"/>
        <v>0</v>
      </c>
      <c r="O1510" s="3">
        <v>1508</v>
      </c>
    </row>
    <row r="1511" spans="1:15" x14ac:dyDescent="0.25">
      <c r="A1511" s="3">
        <v>4</v>
      </c>
      <c r="B1511" s="3" t="s">
        <v>221</v>
      </c>
      <c r="C1511" s="1" t="s">
        <v>12</v>
      </c>
      <c r="D1511" s="1" t="s">
        <v>444</v>
      </c>
      <c r="E1511" s="11" t="s">
        <v>144</v>
      </c>
      <c r="F1511" s="3" t="s">
        <v>8</v>
      </c>
      <c r="G1511" s="66" t="s">
        <v>64</v>
      </c>
      <c r="H1511" s="8"/>
      <c r="I1511" s="8"/>
      <c r="J1511" s="6" t="s">
        <v>76</v>
      </c>
      <c r="K1511" s="38">
        <v>152000</v>
      </c>
      <c r="L1511" s="4" t="s">
        <v>29</v>
      </c>
      <c r="M1511" s="11">
        <f>_xlfn.NUMBERVALUE(LEFT(Table613612[[#This Row],[Fiscal Year]], 4))</f>
        <v>2015</v>
      </c>
      <c r="N1511" s="42">
        <f t="shared" si="30"/>
        <v>161383.59493670886</v>
      </c>
      <c r="O1511" s="3">
        <v>1509</v>
      </c>
    </row>
    <row r="1512" spans="1:15" x14ac:dyDescent="0.25">
      <c r="A1512" s="3">
        <v>4</v>
      </c>
      <c r="B1512" s="3" t="s">
        <v>221</v>
      </c>
      <c r="C1512" s="1" t="s">
        <v>12</v>
      </c>
      <c r="D1512" s="1" t="s">
        <v>444</v>
      </c>
      <c r="E1512" s="11" t="s">
        <v>144</v>
      </c>
      <c r="F1512" s="3" t="s">
        <v>8</v>
      </c>
      <c r="G1512" s="66" t="s">
        <v>65</v>
      </c>
      <c r="H1512" s="8"/>
      <c r="I1512" s="8"/>
      <c r="J1512" s="6" t="s">
        <v>76</v>
      </c>
      <c r="K1512" s="38">
        <v>800000</v>
      </c>
      <c r="L1512" s="4" t="s">
        <v>29</v>
      </c>
      <c r="M1512" s="11">
        <f>_xlfn.NUMBERVALUE(LEFT(Table613612[[#This Row],[Fiscal Year]], 4))</f>
        <v>2015</v>
      </c>
      <c r="N1512" s="42">
        <f t="shared" si="30"/>
        <v>849387.34177215188</v>
      </c>
      <c r="O1512" s="3">
        <v>1510</v>
      </c>
    </row>
    <row r="1513" spans="1:15" x14ac:dyDescent="0.25">
      <c r="A1513" s="3">
        <v>4</v>
      </c>
      <c r="B1513" s="3" t="s">
        <v>221</v>
      </c>
      <c r="C1513" s="1" t="s">
        <v>12</v>
      </c>
      <c r="D1513" s="1" t="s">
        <v>444</v>
      </c>
      <c r="E1513" s="11" t="s">
        <v>144</v>
      </c>
      <c r="F1513" s="3" t="s">
        <v>8</v>
      </c>
      <c r="G1513" s="48" t="s">
        <v>66</v>
      </c>
      <c r="H1513" s="8"/>
      <c r="I1513" s="8"/>
      <c r="J1513" s="6" t="s">
        <v>76</v>
      </c>
      <c r="K1513" s="38">
        <v>0</v>
      </c>
      <c r="L1513" s="4" t="s">
        <v>29</v>
      </c>
      <c r="M1513" s="11">
        <f>_xlfn.NUMBERVALUE(LEFT(Table613612[[#This Row],[Fiscal Year]], 4))</f>
        <v>2015</v>
      </c>
      <c r="N1513" s="43">
        <f t="shared" si="30"/>
        <v>0</v>
      </c>
      <c r="O1513" s="3">
        <v>1511</v>
      </c>
    </row>
    <row r="1514" spans="1:15" x14ac:dyDescent="0.25">
      <c r="A1514" s="3">
        <v>4</v>
      </c>
      <c r="B1514" s="3" t="s">
        <v>221</v>
      </c>
      <c r="C1514" s="1" t="s">
        <v>12</v>
      </c>
      <c r="D1514" s="1" t="s">
        <v>444</v>
      </c>
      <c r="E1514" s="11" t="s">
        <v>144</v>
      </c>
      <c r="F1514" s="3" t="s">
        <v>8</v>
      </c>
      <c r="G1514" s="66" t="s">
        <v>33</v>
      </c>
      <c r="H1514" s="8"/>
      <c r="I1514" s="8"/>
      <c r="J1514" s="6" t="s">
        <v>47</v>
      </c>
      <c r="K1514" s="38">
        <v>23000</v>
      </c>
      <c r="L1514" s="4" t="s">
        <v>29</v>
      </c>
      <c r="M1514" s="11">
        <f>_xlfn.NUMBERVALUE(LEFT(Table613612[[#This Row],[Fiscal Year]], 4))</f>
        <v>2015</v>
      </c>
      <c r="N1514" s="42">
        <f>K1514*(1+VLOOKUP(M1514,$AF$8:$AH$31,3,0))</f>
        <v>24419.886075949365</v>
      </c>
      <c r="O1514" s="3">
        <v>1512</v>
      </c>
    </row>
    <row r="1515" spans="1:15" x14ac:dyDescent="0.25">
      <c r="A1515" s="3">
        <v>4</v>
      </c>
      <c r="B1515" s="3" t="s">
        <v>221</v>
      </c>
      <c r="C1515" s="1" t="s">
        <v>12</v>
      </c>
      <c r="D1515" s="1" t="s">
        <v>444</v>
      </c>
      <c r="E1515" s="11" t="s">
        <v>144</v>
      </c>
      <c r="F1515" s="3" t="s">
        <v>8</v>
      </c>
      <c r="G1515" s="66" t="s">
        <v>67</v>
      </c>
      <c r="H1515" s="8"/>
      <c r="I1515" s="8"/>
      <c r="J1515" s="6" t="s">
        <v>455</v>
      </c>
      <c r="K1515" s="38">
        <v>0</v>
      </c>
      <c r="L1515" s="4" t="s">
        <v>29</v>
      </c>
      <c r="M1515" s="11">
        <f>_xlfn.NUMBERVALUE(LEFT(Table613612[[#This Row],[Fiscal Year]], 4))</f>
        <v>2015</v>
      </c>
      <c r="N1515" s="43">
        <f t="shared" si="30"/>
        <v>0</v>
      </c>
      <c r="O1515" s="3">
        <v>1513</v>
      </c>
    </row>
    <row r="1516" spans="1:15" x14ac:dyDescent="0.25">
      <c r="C1516" s="1"/>
      <c r="D1516" s="1"/>
      <c r="E1516" s="11"/>
      <c r="G1516" s="66"/>
      <c r="H1516" s="8"/>
      <c r="I1516" s="8"/>
      <c r="J1516" s="6"/>
      <c r="L1516" s="4"/>
      <c r="O1516" s="3">
        <v>1514</v>
      </c>
    </row>
    <row r="1517" spans="1:15" x14ac:dyDescent="0.25">
      <c r="A1517" s="3">
        <v>4</v>
      </c>
      <c r="B1517" s="3" t="s">
        <v>222</v>
      </c>
      <c r="C1517" s="1" t="s">
        <v>12</v>
      </c>
      <c r="D1517" s="1" t="s">
        <v>444</v>
      </c>
      <c r="E1517" s="11" t="s">
        <v>144</v>
      </c>
      <c r="F1517" s="3" t="s">
        <v>8</v>
      </c>
      <c r="G1517" s="48" t="s">
        <v>32</v>
      </c>
      <c r="H1517" s="8"/>
      <c r="I1517" s="8"/>
      <c r="J1517" s="6" t="s">
        <v>110</v>
      </c>
      <c r="K1517" s="38">
        <v>540000</v>
      </c>
      <c r="L1517" s="4" t="s">
        <v>29</v>
      </c>
      <c r="M1517" s="11">
        <f>_xlfn.NUMBERVALUE(LEFT(Table613612[[#This Row],[Fiscal Year]], 4))</f>
        <v>2015</v>
      </c>
      <c r="N1517" s="42">
        <f t="shared" si="30"/>
        <v>573336.45569620247</v>
      </c>
      <c r="O1517" s="3">
        <v>1515</v>
      </c>
    </row>
    <row r="1518" spans="1:15" x14ac:dyDescent="0.25">
      <c r="A1518" s="3">
        <v>4</v>
      </c>
      <c r="B1518" s="3" t="s">
        <v>222</v>
      </c>
      <c r="C1518" s="1" t="s">
        <v>12</v>
      </c>
      <c r="D1518" s="1" t="s">
        <v>444</v>
      </c>
      <c r="E1518" s="11" t="s">
        <v>144</v>
      </c>
      <c r="F1518" s="3" t="s">
        <v>8</v>
      </c>
      <c r="G1518" s="48" t="s">
        <v>58</v>
      </c>
      <c r="H1518" s="8"/>
      <c r="I1518" s="8"/>
      <c r="J1518" s="6" t="s">
        <v>453</v>
      </c>
      <c r="K1518" s="38">
        <v>20000</v>
      </c>
      <c r="L1518" s="4" t="s">
        <v>29</v>
      </c>
      <c r="M1518" s="11">
        <f>_xlfn.NUMBERVALUE(LEFT(Table613612[[#This Row],[Fiscal Year]], 4))</f>
        <v>2015</v>
      </c>
      <c r="N1518" s="42">
        <f t="shared" si="30"/>
        <v>21234.683544303796</v>
      </c>
      <c r="O1518" s="3">
        <v>1516</v>
      </c>
    </row>
    <row r="1519" spans="1:15" x14ac:dyDescent="0.25">
      <c r="A1519" s="3">
        <v>4</v>
      </c>
      <c r="B1519" s="3" t="s">
        <v>222</v>
      </c>
      <c r="C1519" s="1" t="s">
        <v>12</v>
      </c>
      <c r="D1519" s="1" t="s">
        <v>444</v>
      </c>
      <c r="E1519" s="11" t="s">
        <v>144</v>
      </c>
      <c r="F1519" s="3" t="s">
        <v>8</v>
      </c>
      <c r="G1519" s="66" t="s">
        <v>208</v>
      </c>
      <c r="H1519" s="8"/>
      <c r="I1519" s="8"/>
      <c r="J1519" s="6" t="s">
        <v>109</v>
      </c>
      <c r="K1519" s="38">
        <v>50000</v>
      </c>
      <c r="L1519" s="4" t="s">
        <v>29</v>
      </c>
      <c r="M1519" s="11">
        <f>_xlfn.NUMBERVALUE(LEFT(Table613612[[#This Row],[Fiscal Year]], 4))</f>
        <v>2015</v>
      </c>
      <c r="N1519" s="42">
        <f t="shared" si="30"/>
        <v>53086.708860759492</v>
      </c>
      <c r="O1519" s="3">
        <v>1517</v>
      </c>
    </row>
    <row r="1520" spans="1:15" x14ac:dyDescent="0.25">
      <c r="A1520" s="3">
        <v>4</v>
      </c>
      <c r="B1520" s="3" t="s">
        <v>222</v>
      </c>
      <c r="C1520" s="1" t="s">
        <v>12</v>
      </c>
      <c r="D1520" s="1" t="s">
        <v>444</v>
      </c>
      <c r="E1520" s="11" t="s">
        <v>144</v>
      </c>
      <c r="F1520" s="3" t="s">
        <v>8</v>
      </c>
      <c r="G1520" s="48" t="s">
        <v>59</v>
      </c>
      <c r="H1520" s="8"/>
      <c r="I1520" s="8"/>
      <c r="J1520" s="6" t="s">
        <v>111</v>
      </c>
      <c r="K1520" s="38">
        <v>7000</v>
      </c>
      <c r="L1520" s="4" t="s">
        <v>29</v>
      </c>
      <c r="M1520" s="11">
        <f>_xlfn.NUMBERVALUE(LEFT(Table613612[[#This Row],[Fiscal Year]], 4))</f>
        <v>2015</v>
      </c>
      <c r="N1520" s="42">
        <f t="shared" si="30"/>
        <v>7432.1392405063289</v>
      </c>
      <c r="O1520" s="3">
        <v>1518</v>
      </c>
    </row>
    <row r="1521" spans="1:15" x14ac:dyDescent="0.25">
      <c r="A1521" s="3">
        <v>4</v>
      </c>
      <c r="B1521" s="3" t="s">
        <v>222</v>
      </c>
      <c r="C1521" s="1" t="s">
        <v>12</v>
      </c>
      <c r="D1521" s="1" t="s">
        <v>444</v>
      </c>
      <c r="E1521" s="11" t="s">
        <v>144</v>
      </c>
      <c r="F1521" s="3" t="s">
        <v>8</v>
      </c>
      <c r="G1521" s="66" t="s">
        <v>60</v>
      </c>
      <c r="H1521" s="8"/>
      <c r="I1521" s="8"/>
      <c r="J1521" s="6" t="s">
        <v>111</v>
      </c>
      <c r="K1521" s="38">
        <v>20000</v>
      </c>
      <c r="L1521" s="4" t="s">
        <v>29</v>
      </c>
      <c r="M1521" s="11">
        <f>_xlfn.NUMBERVALUE(LEFT(Table613612[[#This Row],[Fiscal Year]], 4))</f>
        <v>2015</v>
      </c>
      <c r="N1521" s="42">
        <f t="shared" si="30"/>
        <v>21234.683544303796</v>
      </c>
      <c r="O1521" s="3">
        <v>1519</v>
      </c>
    </row>
    <row r="1522" spans="1:15" x14ac:dyDescent="0.25">
      <c r="A1522" s="3">
        <v>4</v>
      </c>
      <c r="B1522" s="3" t="s">
        <v>222</v>
      </c>
      <c r="C1522" s="1" t="s">
        <v>12</v>
      </c>
      <c r="D1522" s="1" t="s">
        <v>444</v>
      </c>
      <c r="E1522" s="11" t="s">
        <v>144</v>
      </c>
      <c r="F1522" s="3" t="s">
        <v>8</v>
      </c>
      <c r="G1522" s="48" t="s">
        <v>61</v>
      </c>
      <c r="H1522" s="8"/>
      <c r="I1522" s="8"/>
      <c r="J1522" s="6" t="s">
        <v>108</v>
      </c>
      <c r="K1522" s="38">
        <v>320000</v>
      </c>
      <c r="L1522" s="4" t="s">
        <v>29</v>
      </c>
      <c r="M1522" s="11">
        <f>_xlfn.NUMBERVALUE(LEFT(Table613612[[#This Row],[Fiscal Year]], 4))</f>
        <v>2015</v>
      </c>
      <c r="N1522" s="42">
        <f t="shared" si="30"/>
        <v>339754.93670886074</v>
      </c>
      <c r="O1522" s="3">
        <v>1520</v>
      </c>
    </row>
    <row r="1523" spans="1:15" x14ac:dyDescent="0.25">
      <c r="A1523" s="3">
        <v>4</v>
      </c>
      <c r="B1523" s="3" t="s">
        <v>222</v>
      </c>
      <c r="C1523" s="1" t="s">
        <v>12</v>
      </c>
      <c r="D1523" s="1" t="s">
        <v>444</v>
      </c>
      <c r="E1523" s="11" t="s">
        <v>144</v>
      </c>
      <c r="F1523" s="3" t="s">
        <v>8</v>
      </c>
      <c r="G1523" s="66" t="s">
        <v>62</v>
      </c>
      <c r="H1523" s="8"/>
      <c r="I1523" s="8"/>
      <c r="J1523" s="6" t="s">
        <v>106</v>
      </c>
      <c r="K1523" s="38">
        <v>5000</v>
      </c>
      <c r="L1523" s="4" t="s">
        <v>29</v>
      </c>
      <c r="M1523" s="11">
        <f>_xlfn.NUMBERVALUE(LEFT(Table613612[[#This Row],[Fiscal Year]], 4))</f>
        <v>2015</v>
      </c>
      <c r="N1523" s="42">
        <f t="shared" si="30"/>
        <v>5308.6708860759491</v>
      </c>
      <c r="O1523" s="3">
        <v>1521</v>
      </c>
    </row>
    <row r="1524" spans="1:15" x14ac:dyDescent="0.25">
      <c r="A1524" s="3">
        <v>4</v>
      </c>
      <c r="B1524" s="3" t="s">
        <v>222</v>
      </c>
      <c r="C1524" s="1" t="s">
        <v>12</v>
      </c>
      <c r="D1524" s="1" t="s">
        <v>444</v>
      </c>
      <c r="E1524" s="11" t="s">
        <v>144</v>
      </c>
      <c r="F1524" s="3" t="s">
        <v>8</v>
      </c>
      <c r="G1524" s="66" t="s">
        <v>211</v>
      </c>
      <c r="H1524" s="70" t="s">
        <v>648</v>
      </c>
      <c r="I1524" s="8"/>
      <c r="J1524" s="6" t="s">
        <v>455</v>
      </c>
      <c r="K1524" s="38" t="s">
        <v>827</v>
      </c>
      <c r="L1524" s="4" t="s">
        <v>29</v>
      </c>
      <c r="M1524" s="11">
        <f>_xlfn.NUMBERVALUE(LEFT(Table613612[[#This Row],[Fiscal Year]], 4))</f>
        <v>2015</v>
      </c>
      <c r="O1524" s="3">
        <v>1522</v>
      </c>
    </row>
    <row r="1525" spans="1:15" x14ac:dyDescent="0.25">
      <c r="A1525" s="3">
        <v>4</v>
      </c>
      <c r="B1525" s="3" t="s">
        <v>222</v>
      </c>
      <c r="C1525" s="1" t="s">
        <v>12</v>
      </c>
      <c r="D1525" s="1" t="s">
        <v>444</v>
      </c>
      <c r="E1525" s="11" t="s">
        <v>144</v>
      </c>
      <c r="F1525" s="3" t="s">
        <v>8</v>
      </c>
      <c r="G1525" s="66" t="s">
        <v>64</v>
      </c>
      <c r="H1525" s="8"/>
      <c r="I1525" s="8"/>
      <c r="J1525" s="6" t="s">
        <v>76</v>
      </c>
      <c r="K1525" s="38" t="s">
        <v>827</v>
      </c>
      <c r="L1525" s="4" t="s">
        <v>29</v>
      </c>
      <c r="M1525" s="11">
        <f>_xlfn.NUMBERVALUE(LEFT(Table613612[[#This Row],[Fiscal Year]], 4))</f>
        <v>2015</v>
      </c>
      <c r="O1525" s="3">
        <v>1523</v>
      </c>
    </row>
    <row r="1526" spans="1:15" x14ac:dyDescent="0.25">
      <c r="A1526" s="3">
        <v>4</v>
      </c>
      <c r="B1526" s="3" t="s">
        <v>222</v>
      </c>
      <c r="C1526" s="1" t="s">
        <v>12</v>
      </c>
      <c r="D1526" s="1" t="s">
        <v>444</v>
      </c>
      <c r="E1526" s="11" t="s">
        <v>144</v>
      </c>
      <c r="F1526" s="3" t="s">
        <v>8</v>
      </c>
      <c r="G1526" s="66" t="s">
        <v>65</v>
      </c>
      <c r="H1526" s="8"/>
      <c r="I1526" s="8"/>
      <c r="J1526" s="6" t="s">
        <v>76</v>
      </c>
      <c r="K1526" s="38" t="s">
        <v>827</v>
      </c>
      <c r="L1526" s="4" t="s">
        <v>29</v>
      </c>
      <c r="M1526" s="11">
        <f>_xlfn.NUMBERVALUE(LEFT(Table613612[[#This Row],[Fiscal Year]], 4))</f>
        <v>2015</v>
      </c>
      <c r="O1526" s="3">
        <v>1524</v>
      </c>
    </row>
    <row r="1527" spans="1:15" x14ac:dyDescent="0.25">
      <c r="A1527" s="3">
        <v>4</v>
      </c>
      <c r="B1527" s="3" t="s">
        <v>222</v>
      </c>
      <c r="C1527" s="1" t="s">
        <v>12</v>
      </c>
      <c r="D1527" s="1" t="s">
        <v>444</v>
      </c>
      <c r="E1527" s="11" t="s">
        <v>144</v>
      </c>
      <c r="F1527" s="3" t="s">
        <v>8</v>
      </c>
      <c r="G1527" s="48" t="s">
        <v>66</v>
      </c>
      <c r="H1527" s="8"/>
      <c r="I1527" s="8"/>
      <c r="J1527" s="6" t="s">
        <v>76</v>
      </c>
      <c r="K1527" s="38" t="s">
        <v>827</v>
      </c>
      <c r="L1527" s="4" t="s">
        <v>29</v>
      </c>
      <c r="M1527" s="11">
        <f>_xlfn.NUMBERVALUE(LEFT(Table613612[[#This Row],[Fiscal Year]], 4))</f>
        <v>2015</v>
      </c>
      <c r="O1527" s="3">
        <v>1525</v>
      </c>
    </row>
    <row r="1528" spans="1:15" x14ac:dyDescent="0.25">
      <c r="A1528" s="3">
        <v>4</v>
      </c>
      <c r="B1528" s="3" t="s">
        <v>222</v>
      </c>
      <c r="C1528" s="1" t="s">
        <v>12</v>
      </c>
      <c r="D1528" s="1" t="s">
        <v>444</v>
      </c>
      <c r="E1528" s="11" t="s">
        <v>144</v>
      </c>
      <c r="F1528" s="3" t="s">
        <v>8</v>
      </c>
      <c r="G1528" s="66" t="s">
        <v>33</v>
      </c>
      <c r="H1528" s="8"/>
      <c r="I1528" s="8"/>
      <c r="J1528" s="6" t="s">
        <v>47</v>
      </c>
      <c r="K1528" s="38">
        <v>180000</v>
      </c>
      <c r="L1528" s="4" t="s">
        <v>29</v>
      </c>
      <c r="M1528" s="11">
        <f>_xlfn.NUMBERVALUE(LEFT(Table613612[[#This Row],[Fiscal Year]], 4))</f>
        <v>2015</v>
      </c>
      <c r="N1528" s="42">
        <f t="shared" si="30"/>
        <v>191112.15189873416</v>
      </c>
      <c r="O1528" s="3">
        <v>1526</v>
      </c>
    </row>
    <row r="1529" spans="1:15" x14ac:dyDescent="0.25">
      <c r="A1529" s="3">
        <v>4</v>
      </c>
      <c r="B1529" s="3" t="s">
        <v>222</v>
      </c>
      <c r="C1529" s="1" t="s">
        <v>12</v>
      </c>
      <c r="D1529" s="1" t="s">
        <v>444</v>
      </c>
      <c r="E1529" s="11" t="s">
        <v>144</v>
      </c>
      <c r="F1529" s="3" t="s">
        <v>8</v>
      </c>
      <c r="G1529" s="66" t="s">
        <v>67</v>
      </c>
      <c r="H1529" s="8"/>
      <c r="I1529" s="8"/>
      <c r="J1529" s="6" t="s">
        <v>455</v>
      </c>
      <c r="K1529" s="38" t="s">
        <v>827</v>
      </c>
      <c r="L1529" s="4" t="s">
        <v>29</v>
      </c>
      <c r="M1529" s="11">
        <f>_xlfn.NUMBERVALUE(LEFT(Table613612[[#This Row],[Fiscal Year]], 4))</f>
        <v>2015</v>
      </c>
      <c r="O1529" s="3">
        <v>1527</v>
      </c>
    </row>
    <row r="1530" spans="1:15" x14ac:dyDescent="0.25">
      <c r="C1530" s="1"/>
      <c r="D1530" s="1"/>
      <c r="E1530" s="11"/>
      <c r="G1530" s="66"/>
      <c r="H1530" s="8"/>
      <c r="I1530" s="8"/>
      <c r="J1530" s="6"/>
      <c r="L1530" s="4"/>
      <c r="O1530" s="3">
        <v>1528</v>
      </c>
    </row>
    <row r="1531" spans="1:15" x14ac:dyDescent="0.25">
      <c r="A1531" s="3">
        <v>4</v>
      </c>
      <c r="B1531" s="3" t="s">
        <v>223</v>
      </c>
      <c r="C1531" s="1" t="s">
        <v>12</v>
      </c>
      <c r="D1531" s="1" t="s">
        <v>444</v>
      </c>
      <c r="E1531" s="11" t="s">
        <v>144</v>
      </c>
      <c r="F1531" s="3" t="s">
        <v>8</v>
      </c>
      <c r="G1531" s="48" t="s">
        <v>32</v>
      </c>
      <c r="H1531" s="8"/>
      <c r="I1531" s="8"/>
      <c r="J1531" s="6" t="s">
        <v>110</v>
      </c>
      <c r="K1531" s="38">
        <v>679600</v>
      </c>
      <c r="L1531" s="4" t="s">
        <v>29</v>
      </c>
      <c r="M1531" s="11">
        <f>_xlfn.NUMBERVALUE(LEFT(Table613612[[#This Row],[Fiscal Year]], 4))</f>
        <v>2015</v>
      </c>
      <c r="N1531" s="42">
        <f t="shared" si="30"/>
        <v>721554.546835443</v>
      </c>
      <c r="O1531" s="3">
        <v>1529</v>
      </c>
    </row>
    <row r="1532" spans="1:15" x14ac:dyDescent="0.25">
      <c r="A1532" s="3">
        <v>4</v>
      </c>
      <c r="B1532" s="3" t="s">
        <v>223</v>
      </c>
      <c r="C1532" s="1" t="s">
        <v>12</v>
      </c>
      <c r="D1532" s="1" t="s">
        <v>444</v>
      </c>
      <c r="E1532" s="11" t="s">
        <v>144</v>
      </c>
      <c r="F1532" s="3" t="s">
        <v>8</v>
      </c>
      <c r="G1532" s="48" t="s">
        <v>58</v>
      </c>
      <c r="H1532" s="8"/>
      <c r="I1532" s="8"/>
      <c r="J1532" s="6" t="s">
        <v>453</v>
      </c>
      <c r="K1532" s="38">
        <v>27250</v>
      </c>
      <c r="L1532" s="4" t="s">
        <v>29</v>
      </c>
      <c r="M1532" s="11">
        <f>_xlfn.NUMBERVALUE(LEFT(Table613612[[#This Row],[Fiscal Year]], 4))</f>
        <v>2015</v>
      </c>
      <c r="N1532" s="42">
        <f t="shared" si="30"/>
        <v>28932.256329113923</v>
      </c>
      <c r="O1532" s="3">
        <v>1530</v>
      </c>
    </row>
    <row r="1533" spans="1:15" x14ac:dyDescent="0.25">
      <c r="A1533" s="3">
        <v>4</v>
      </c>
      <c r="B1533" s="3" t="s">
        <v>223</v>
      </c>
      <c r="C1533" s="1" t="s">
        <v>12</v>
      </c>
      <c r="D1533" s="1" t="s">
        <v>444</v>
      </c>
      <c r="E1533" s="11" t="s">
        <v>144</v>
      </c>
      <c r="F1533" s="3" t="s">
        <v>8</v>
      </c>
      <c r="G1533" s="66" t="s">
        <v>208</v>
      </c>
      <c r="H1533" s="8"/>
      <c r="I1533" s="8"/>
      <c r="J1533" s="6" t="s">
        <v>109</v>
      </c>
      <c r="K1533" s="38">
        <v>42750</v>
      </c>
      <c r="L1533" s="4" t="s">
        <v>29</v>
      </c>
      <c r="M1533" s="11">
        <f>_xlfn.NUMBERVALUE(LEFT(Table613612[[#This Row],[Fiscal Year]], 4))</f>
        <v>2015</v>
      </c>
      <c r="N1533" s="42">
        <f t="shared" si="30"/>
        <v>45389.136075949362</v>
      </c>
      <c r="O1533" s="3">
        <v>1531</v>
      </c>
    </row>
    <row r="1534" spans="1:15" x14ac:dyDescent="0.25">
      <c r="A1534" s="3">
        <v>4</v>
      </c>
      <c r="B1534" s="3" t="s">
        <v>223</v>
      </c>
      <c r="C1534" s="1" t="s">
        <v>12</v>
      </c>
      <c r="D1534" s="1" t="s">
        <v>444</v>
      </c>
      <c r="E1534" s="11" t="s">
        <v>144</v>
      </c>
      <c r="F1534" s="3" t="s">
        <v>8</v>
      </c>
      <c r="G1534" s="48" t="s">
        <v>59</v>
      </c>
      <c r="H1534" s="8"/>
      <c r="I1534" s="8"/>
      <c r="J1534" s="6" t="s">
        <v>111</v>
      </c>
      <c r="K1534" s="38">
        <v>15000</v>
      </c>
      <c r="L1534" s="4" t="s">
        <v>29</v>
      </c>
      <c r="M1534" s="11">
        <f>_xlfn.NUMBERVALUE(LEFT(Table613612[[#This Row],[Fiscal Year]], 4))</f>
        <v>2015</v>
      </c>
      <c r="N1534" s="42">
        <f t="shared" si="30"/>
        <v>15926.012658227848</v>
      </c>
      <c r="O1534" s="3">
        <v>1532</v>
      </c>
    </row>
    <row r="1535" spans="1:15" x14ac:dyDescent="0.25">
      <c r="A1535" s="3">
        <v>4</v>
      </c>
      <c r="B1535" s="3" t="s">
        <v>223</v>
      </c>
      <c r="C1535" s="1" t="s">
        <v>12</v>
      </c>
      <c r="D1535" s="1" t="s">
        <v>444</v>
      </c>
      <c r="E1535" s="11" t="s">
        <v>144</v>
      </c>
      <c r="F1535" s="3" t="s">
        <v>8</v>
      </c>
      <c r="G1535" s="66" t="s">
        <v>60</v>
      </c>
      <c r="H1535" s="8"/>
      <c r="I1535" s="8"/>
      <c r="J1535" s="6" t="s">
        <v>111</v>
      </c>
      <c r="K1535" s="38">
        <v>15000</v>
      </c>
      <c r="L1535" s="4" t="s">
        <v>29</v>
      </c>
      <c r="M1535" s="11">
        <f>_xlfn.NUMBERVALUE(LEFT(Table613612[[#This Row],[Fiscal Year]], 4))</f>
        <v>2015</v>
      </c>
      <c r="N1535" s="42">
        <f t="shared" si="30"/>
        <v>15926.012658227848</v>
      </c>
      <c r="O1535" s="3">
        <v>1533</v>
      </c>
    </row>
    <row r="1536" spans="1:15" x14ac:dyDescent="0.25">
      <c r="A1536" s="3">
        <v>4</v>
      </c>
      <c r="B1536" s="3" t="s">
        <v>223</v>
      </c>
      <c r="C1536" s="1" t="s">
        <v>12</v>
      </c>
      <c r="D1536" s="1" t="s">
        <v>444</v>
      </c>
      <c r="E1536" s="11" t="s">
        <v>144</v>
      </c>
      <c r="F1536" s="3" t="s">
        <v>8</v>
      </c>
      <c r="G1536" s="48" t="s">
        <v>61</v>
      </c>
      <c r="H1536" s="8"/>
      <c r="I1536" s="8"/>
      <c r="J1536" s="6" t="s">
        <v>108</v>
      </c>
      <c r="K1536" s="38">
        <v>586500</v>
      </c>
      <c r="L1536" s="4" t="s">
        <v>29</v>
      </c>
      <c r="M1536" s="11">
        <f>_xlfn.NUMBERVALUE(LEFT(Table613612[[#This Row],[Fiscal Year]], 4))</f>
        <v>2015</v>
      </c>
      <c r="N1536" s="42">
        <f t="shared" si="30"/>
        <v>622707.0949367088</v>
      </c>
      <c r="O1536" s="3">
        <v>1534</v>
      </c>
    </row>
    <row r="1537" spans="1:15" x14ac:dyDescent="0.25">
      <c r="A1537" s="3">
        <v>4</v>
      </c>
      <c r="B1537" s="3" t="s">
        <v>223</v>
      </c>
      <c r="C1537" s="1" t="s">
        <v>12</v>
      </c>
      <c r="D1537" s="1" t="s">
        <v>444</v>
      </c>
      <c r="E1537" s="11" t="s">
        <v>144</v>
      </c>
      <c r="F1537" s="3" t="s">
        <v>8</v>
      </c>
      <c r="G1537" s="66" t="s">
        <v>62</v>
      </c>
      <c r="H1537" s="8"/>
      <c r="I1537" s="8"/>
      <c r="J1537" s="6" t="s">
        <v>106</v>
      </c>
      <c r="K1537" s="38">
        <v>272400</v>
      </c>
      <c r="L1537" s="4" t="s">
        <v>29</v>
      </c>
      <c r="M1537" s="11">
        <f>_xlfn.NUMBERVALUE(LEFT(Table613612[[#This Row],[Fiscal Year]], 4))</f>
        <v>2015</v>
      </c>
      <c r="N1537" s="42">
        <f t="shared" si="30"/>
        <v>289216.38987341768</v>
      </c>
      <c r="O1537" s="3">
        <v>1535</v>
      </c>
    </row>
    <row r="1538" spans="1:15" x14ac:dyDescent="0.25">
      <c r="A1538" s="3">
        <v>4</v>
      </c>
      <c r="B1538" s="3" t="s">
        <v>223</v>
      </c>
      <c r="C1538" s="1" t="s">
        <v>12</v>
      </c>
      <c r="D1538" s="1" t="s">
        <v>444</v>
      </c>
      <c r="E1538" s="11" t="s">
        <v>144</v>
      </c>
      <c r="F1538" s="3" t="s">
        <v>8</v>
      </c>
      <c r="G1538" s="66" t="s">
        <v>211</v>
      </c>
      <c r="H1538" s="8"/>
      <c r="I1538" s="8"/>
      <c r="J1538" s="6" t="s">
        <v>455</v>
      </c>
      <c r="K1538" s="38" t="s">
        <v>28</v>
      </c>
      <c r="L1538" s="4" t="s">
        <v>29</v>
      </c>
      <c r="M1538" s="11">
        <f>_xlfn.NUMBERVALUE(LEFT(Table613612[[#This Row],[Fiscal Year]], 4))</f>
        <v>2015</v>
      </c>
      <c r="O1538" s="3">
        <v>1536</v>
      </c>
    </row>
    <row r="1539" spans="1:15" x14ac:dyDescent="0.25">
      <c r="A1539" s="3">
        <v>4</v>
      </c>
      <c r="B1539" s="3" t="s">
        <v>223</v>
      </c>
      <c r="C1539" s="1" t="s">
        <v>12</v>
      </c>
      <c r="D1539" s="1" t="s">
        <v>444</v>
      </c>
      <c r="E1539" s="11" t="s">
        <v>144</v>
      </c>
      <c r="F1539" s="3" t="s">
        <v>8</v>
      </c>
      <c r="G1539" s="66" t="s">
        <v>64</v>
      </c>
      <c r="H1539" s="8"/>
      <c r="I1539" s="8"/>
      <c r="J1539" s="6" t="s">
        <v>76</v>
      </c>
      <c r="K1539" s="38">
        <v>44000</v>
      </c>
      <c r="L1539" s="4" t="s">
        <v>29</v>
      </c>
      <c r="M1539" s="11">
        <f>_xlfn.NUMBERVALUE(LEFT(Table613612[[#This Row],[Fiscal Year]], 4))</f>
        <v>2015</v>
      </c>
      <c r="N1539" s="42">
        <f t="shared" si="30"/>
        <v>46716.303797468354</v>
      </c>
      <c r="O1539" s="3">
        <v>1537</v>
      </c>
    </row>
    <row r="1540" spans="1:15" x14ac:dyDescent="0.25">
      <c r="A1540" s="3">
        <v>4</v>
      </c>
      <c r="B1540" s="3" t="s">
        <v>223</v>
      </c>
      <c r="C1540" s="1" t="s">
        <v>12</v>
      </c>
      <c r="D1540" s="1" t="s">
        <v>444</v>
      </c>
      <c r="E1540" s="11" t="s">
        <v>144</v>
      </c>
      <c r="F1540" s="3" t="s">
        <v>8</v>
      </c>
      <c r="G1540" s="66" t="s">
        <v>65</v>
      </c>
      <c r="H1540" s="8"/>
      <c r="I1540" s="8"/>
      <c r="J1540" s="6" t="s">
        <v>76</v>
      </c>
      <c r="K1540" s="38" t="s">
        <v>28</v>
      </c>
      <c r="L1540" s="4" t="s">
        <v>29</v>
      </c>
      <c r="M1540" s="11">
        <f>_xlfn.NUMBERVALUE(LEFT(Table613612[[#This Row],[Fiscal Year]], 4))</f>
        <v>2015</v>
      </c>
      <c r="O1540" s="3">
        <v>1538</v>
      </c>
    </row>
    <row r="1541" spans="1:15" x14ac:dyDescent="0.25">
      <c r="A1541" s="3">
        <v>4</v>
      </c>
      <c r="B1541" s="3" t="s">
        <v>223</v>
      </c>
      <c r="C1541" s="1" t="s">
        <v>12</v>
      </c>
      <c r="D1541" s="1" t="s">
        <v>444</v>
      </c>
      <c r="E1541" s="11" t="s">
        <v>144</v>
      </c>
      <c r="F1541" s="3" t="s">
        <v>8</v>
      </c>
      <c r="G1541" s="48" t="s">
        <v>66</v>
      </c>
      <c r="H1541" s="8"/>
      <c r="I1541" s="8"/>
      <c r="J1541" s="6" t="s">
        <v>76</v>
      </c>
      <c r="K1541" s="38" t="s">
        <v>28</v>
      </c>
      <c r="L1541" s="4" t="s">
        <v>29</v>
      </c>
      <c r="M1541" s="11">
        <f>_xlfn.NUMBERVALUE(LEFT(Table613612[[#This Row],[Fiscal Year]], 4))</f>
        <v>2015</v>
      </c>
      <c r="O1541" s="3">
        <v>1539</v>
      </c>
    </row>
    <row r="1542" spans="1:15" x14ac:dyDescent="0.25">
      <c r="A1542" s="3">
        <v>4</v>
      </c>
      <c r="B1542" s="3" t="s">
        <v>223</v>
      </c>
      <c r="C1542" s="1" t="s">
        <v>12</v>
      </c>
      <c r="D1542" s="1" t="s">
        <v>444</v>
      </c>
      <c r="E1542" s="11" t="s">
        <v>144</v>
      </c>
      <c r="F1542" s="3" t="s">
        <v>8</v>
      </c>
      <c r="G1542" s="66" t="s">
        <v>33</v>
      </c>
      <c r="H1542" s="8"/>
      <c r="I1542" s="8"/>
      <c r="J1542" s="6" t="s">
        <v>47</v>
      </c>
      <c r="K1542" s="38">
        <v>67400</v>
      </c>
      <c r="L1542" s="4" t="s">
        <v>29</v>
      </c>
      <c r="M1542" s="11">
        <f>_xlfn.NUMBERVALUE(LEFT(Table613612[[#This Row],[Fiscal Year]], 4))</f>
        <v>2015</v>
      </c>
      <c r="N1542" s="42">
        <f t="shared" si="30"/>
        <v>71560.883544303797</v>
      </c>
      <c r="O1542" s="3">
        <v>1540</v>
      </c>
    </row>
    <row r="1543" spans="1:15" x14ac:dyDescent="0.25">
      <c r="A1543" s="3">
        <v>4</v>
      </c>
      <c r="B1543" s="3" t="s">
        <v>223</v>
      </c>
      <c r="C1543" s="1" t="s">
        <v>12</v>
      </c>
      <c r="D1543" s="1" t="s">
        <v>444</v>
      </c>
      <c r="E1543" s="11" t="s">
        <v>144</v>
      </c>
      <c r="F1543" s="3" t="s">
        <v>8</v>
      </c>
      <c r="G1543" s="66" t="s">
        <v>67</v>
      </c>
      <c r="H1543" s="8"/>
      <c r="I1543" s="8"/>
      <c r="J1543" s="6" t="s">
        <v>455</v>
      </c>
      <c r="K1543" s="38">
        <v>747650</v>
      </c>
      <c r="L1543" s="4" t="s">
        <v>29</v>
      </c>
      <c r="M1543" s="11">
        <f>_xlfn.NUMBERVALUE(LEFT(Table613612[[#This Row],[Fiscal Year]], 4))</f>
        <v>2015</v>
      </c>
      <c r="N1543" s="42">
        <f t="shared" si="30"/>
        <v>793805.55759493669</v>
      </c>
      <c r="O1543" s="3">
        <v>1541</v>
      </c>
    </row>
    <row r="1544" spans="1:15" x14ac:dyDescent="0.25">
      <c r="C1544" s="1"/>
      <c r="D1544" s="1"/>
      <c r="E1544" s="11"/>
      <c r="G1544" s="66"/>
      <c r="H1544" s="8"/>
      <c r="I1544" s="8"/>
      <c r="J1544" s="6"/>
      <c r="L1544" s="4"/>
      <c r="O1544" s="3">
        <v>1542</v>
      </c>
    </row>
    <row r="1545" spans="1:15" x14ac:dyDescent="0.25">
      <c r="A1545" s="3">
        <v>4</v>
      </c>
      <c r="B1545" s="3" t="s">
        <v>224</v>
      </c>
      <c r="C1545" s="1" t="s">
        <v>12</v>
      </c>
      <c r="D1545" s="1" t="s">
        <v>444</v>
      </c>
      <c r="E1545" s="11" t="s">
        <v>144</v>
      </c>
      <c r="F1545" s="3" t="s">
        <v>8</v>
      </c>
      <c r="G1545" s="48" t="s">
        <v>32</v>
      </c>
      <c r="H1545" s="8"/>
      <c r="I1545" s="8"/>
      <c r="J1545" s="6" t="s">
        <v>110</v>
      </c>
      <c r="K1545" s="38">
        <v>24663</v>
      </c>
      <c r="L1545" s="4" t="s">
        <v>29</v>
      </c>
      <c r="M1545" s="11">
        <f>_xlfn.NUMBERVALUE(LEFT(Table613612[[#This Row],[Fiscal Year]], 4))</f>
        <v>2015</v>
      </c>
      <c r="N1545" s="42">
        <f t="shared" si="30"/>
        <v>26185.550012658226</v>
      </c>
      <c r="O1545" s="3">
        <v>1543</v>
      </c>
    </row>
    <row r="1546" spans="1:15" x14ac:dyDescent="0.25">
      <c r="A1546" s="3">
        <v>4</v>
      </c>
      <c r="B1546" s="3" t="s">
        <v>224</v>
      </c>
      <c r="C1546" s="1" t="s">
        <v>12</v>
      </c>
      <c r="D1546" s="1" t="s">
        <v>444</v>
      </c>
      <c r="E1546" s="11" t="s">
        <v>144</v>
      </c>
      <c r="F1546" s="3" t="s">
        <v>8</v>
      </c>
      <c r="G1546" s="48" t="s">
        <v>58</v>
      </c>
      <c r="H1546" s="8"/>
      <c r="I1546" s="8"/>
      <c r="J1546" s="6" t="s">
        <v>453</v>
      </c>
      <c r="K1546" s="38">
        <v>870</v>
      </c>
      <c r="L1546" s="4" t="s">
        <v>29</v>
      </c>
      <c r="M1546" s="11">
        <f>_xlfn.NUMBERVALUE(LEFT(Table613612[[#This Row],[Fiscal Year]], 4))</f>
        <v>2015</v>
      </c>
      <c r="N1546" s="42">
        <f t="shared" si="30"/>
        <v>923.70873417721509</v>
      </c>
      <c r="O1546" s="3">
        <v>1544</v>
      </c>
    </row>
    <row r="1547" spans="1:15" x14ac:dyDescent="0.25">
      <c r="A1547" s="3">
        <v>4</v>
      </c>
      <c r="B1547" s="3" t="s">
        <v>224</v>
      </c>
      <c r="C1547" s="1" t="s">
        <v>12</v>
      </c>
      <c r="D1547" s="1" t="s">
        <v>444</v>
      </c>
      <c r="E1547" s="11" t="s">
        <v>144</v>
      </c>
      <c r="F1547" s="3" t="s">
        <v>8</v>
      </c>
      <c r="G1547" s="66" t="s">
        <v>208</v>
      </c>
      <c r="H1547" s="8"/>
      <c r="I1547" s="8"/>
      <c r="J1547" s="6" t="s">
        <v>109</v>
      </c>
      <c r="K1547" s="38">
        <v>0</v>
      </c>
      <c r="L1547" s="4" t="s">
        <v>29</v>
      </c>
      <c r="M1547" s="11">
        <f>_xlfn.NUMBERVALUE(LEFT(Table613612[[#This Row],[Fiscal Year]], 4))</f>
        <v>2015</v>
      </c>
      <c r="N1547" s="43">
        <f t="shared" si="30"/>
        <v>0</v>
      </c>
      <c r="O1547" s="3">
        <v>1545</v>
      </c>
    </row>
    <row r="1548" spans="1:15" x14ac:dyDescent="0.25">
      <c r="A1548" s="3">
        <v>4</v>
      </c>
      <c r="B1548" s="3" t="s">
        <v>224</v>
      </c>
      <c r="C1548" s="1" t="s">
        <v>12</v>
      </c>
      <c r="D1548" s="1" t="s">
        <v>444</v>
      </c>
      <c r="E1548" s="11" t="s">
        <v>144</v>
      </c>
      <c r="F1548" s="3" t="s">
        <v>8</v>
      </c>
      <c r="G1548" s="48" t="s">
        <v>59</v>
      </c>
      <c r="H1548" s="8"/>
      <c r="I1548" s="8"/>
      <c r="J1548" s="6" t="s">
        <v>111</v>
      </c>
      <c r="K1548" s="38">
        <v>1500</v>
      </c>
      <c r="L1548" s="4" t="s">
        <v>29</v>
      </c>
      <c r="M1548" s="11">
        <f>_xlfn.NUMBERVALUE(LEFT(Table613612[[#This Row],[Fiscal Year]], 4))</f>
        <v>2015</v>
      </c>
      <c r="N1548" s="42">
        <f t="shared" ref="N1548:N1611" si="31">K1548*(1+VLOOKUP(M1548,$AF$8:$AH$31,3,0))</f>
        <v>1592.6012658227846</v>
      </c>
      <c r="O1548" s="3">
        <v>1546</v>
      </c>
    </row>
    <row r="1549" spans="1:15" x14ac:dyDescent="0.25">
      <c r="A1549" s="3">
        <v>4</v>
      </c>
      <c r="B1549" s="3" t="s">
        <v>224</v>
      </c>
      <c r="C1549" s="1" t="s">
        <v>12</v>
      </c>
      <c r="D1549" s="1" t="s">
        <v>444</v>
      </c>
      <c r="E1549" s="11" t="s">
        <v>144</v>
      </c>
      <c r="F1549" s="3" t="s">
        <v>8</v>
      </c>
      <c r="G1549" s="66" t="s">
        <v>60</v>
      </c>
      <c r="H1549" s="8"/>
      <c r="I1549" s="8"/>
      <c r="J1549" s="6" t="s">
        <v>111</v>
      </c>
      <c r="K1549" s="38">
        <v>2000</v>
      </c>
      <c r="L1549" s="4" t="s">
        <v>29</v>
      </c>
      <c r="M1549" s="11">
        <f>_xlfn.NUMBERVALUE(LEFT(Table613612[[#This Row],[Fiscal Year]], 4))</f>
        <v>2015</v>
      </c>
      <c r="N1549" s="42">
        <f t="shared" si="31"/>
        <v>2123.4683544303798</v>
      </c>
      <c r="O1549" s="3">
        <v>1547</v>
      </c>
    </row>
    <row r="1550" spans="1:15" x14ac:dyDescent="0.25">
      <c r="A1550" s="3">
        <v>4</v>
      </c>
      <c r="B1550" s="3" t="s">
        <v>224</v>
      </c>
      <c r="C1550" s="1" t="s">
        <v>12</v>
      </c>
      <c r="D1550" s="1" t="s">
        <v>444</v>
      </c>
      <c r="E1550" s="11" t="s">
        <v>144</v>
      </c>
      <c r="F1550" s="3" t="s">
        <v>8</v>
      </c>
      <c r="G1550" s="48" t="s">
        <v>61</v>
      </c>
      <c r="H1550" s="8"/>
      <c r="I1550" s="8"/>
      <c r="J1550" s="6" t="s">
        <v>108</v>
      </c>
      <c r="K1550" s="38">
        <v>11445</v>
      </c>
      <c r="L1550" s="4" t="s">
        <v>29</v>
      </c>
      <c r="M1550" s="11">
        <f>_xlfn.NUMBERVALUE(LEFT(Table613612[[#This Row],[Fiscal Year]], 4))</f>
        <v>2015</v>
      </c>
      <c r="N1550" s="42">
        <f t="shared" si="31"/>
        <v>12151.547658227848</v>
      </c>
      <c r="O1550" s="3">
        <v>1548</v>
      </c>
    </row>
    <row r="1551" spans="1:15" x14ac:dyDescent="0.25">
      <c r="A1551" s="3">
        <v>4</v>
      </c>
      <c r="B1551" s="3" t="s">
        <v>224</v>
      </c>
      <c r="C1551" s="1" t="s">
        <v>12</v>
      </c>
      <c r="D1551" s="1" t="s">
        <v>444</v>
      </c>
      <c r="E1551" s="11" t="s">
        <v>144</v>
      </c>
      <c r="F1551" s="3" t="s">
        <v>8</v>
      </c>
      <c r="G1551" s="66" t="s">
        <v>62</v>
      </c>
      <c r="H1551" s="8"/>
      <c r="I1551" s="8"/>
      <c r="J1551" s="6" t="s">
        <v>106</v>
      </c>
      <c r="K1551" s="38">
        <v>1000</v>
      </c>
      <c r="L1551" s="4" t="s">
        <v>29</v>
      </c>
      <c r="M1551" s="11">
        <f>_xlfn.NUMBERVALUE(LEFT(Table613612[[#This Row],[Fiscal Year]], 4))</f>
        <v>2015</v>
      </c>
      <c r="N1551" s="42">
        <f t="shared" si="31"/>
        <v>1061.7341772151899</v>
      </c>
      <c r="O1551" s="3">
        <v>1549</v>
      </c>
    </row>
    <row r="1552" spans="1:15" x14ac:dyDescent="0.25">
      <c r="A1552" s="3">
        <v>4</v>
      </c>
      <c r="B1552" s="3" t="s">
        <v>224</v>
      </c>
      <c r="C1552" s="1" t="s">
        <v>12</v>
      </c>
      <c r="D1552" s="1" t="s">
        <v>444</v>
      </c>
      <c r="E1552" s="11" t="s">
        <v>144</v>
      </c>
      <c r="F1552" s="3" t="s">
        <v>8</v>
      </c>
      <c r="G1552" s="66" t="s">
        <v>211</v>
      </c>
      <c r="H1552" s="8"/>
      <c r="I1552" s="8"/>
      <c r="J1552" s="6" t="s">
        <v>455</v>
      </c>
      <c r="K1552" s="38">
        <v>0</v>
      </c>
      <c r="L1552" s="4" t="s">
        <v>29</v>
      </c>
      <c r="M1552" s="11">
        <f>_xlfn.NUMBERVALUE(LEFT(Table613612[[#This Row],[Fiscal Year]], 4))</f>
        <v>2015</v>
      </c>
      <c r="N1552" s="43">
        <f t="shared" si="31"/>
        <v>0</v>
      </c>
      <c r="O1552" s="3">
        <v>1550</v>
      </c>
    </row>
    <row r="1553" spans="1:15" x14ac:dyDescent="0.25">
      <c r="A1553" s="3">
        <v>4</v>
      </c>
      <c r="B1553" s="3" t="s">
        <v>224</v>
      </c>
      <c r="C1553" s="1" t="s">
        <v>12</v>
      </c>
      <c r="D1553" s="1" t="s">
        <v>444</v>
      </c>
      <c r="E1553" s="11" t="s">
        <v>144</v>
      </c>
      <c r="F1553" s="3" t="s">
        <v>8</v>
      </c>
      <c r="G1553" s="66" t="s">
        <v>64</v>
      </c>
      <c r="H1553" s="8"/>
      <c r="I1553" s="8"/>
      <c r="J1553" s="6" t="s">
        <v>76</v>
      </c>
      <c r="K1553" s="38">
        <v>0</v>
      </c>
      <c r="L1553" s="4" t="s">
        <v>29</v>
      </c>
      <c r="M1553" s="11">
        <f>_xlfn.NUMBERVALUE(LEFT(Table613612[[#This Row],[Fiscal Year]], 4))</f>
        <v>2015</v>
      </c>
      <c r="N1553" s="43">
        <f t="shared" si="31"/>
        <v>0</v>
      </c>
      <c r="O1553" s="3">
        <v>1551</v>
      </c>
    </row>
    <row r="1554" spans="1:15" x14ac:dyDescent="0.25">
      <c r="A1554" s="3">
        <v>4</v>
      </c>
      <c r="B1554" s="3" t="s">
        <v>224</v>
      </c>
      <c r="C1554" s="1" t="s">
        <v>12</v>
      </c>
      <c r="D1554" s="1" t="s">
        <v>444</v>
      </c>
      <c r="E1554" s="11" t="s">
        <v>144</v>
      </c>
      <c r="F1554" s="3" t="s">
        <v>8</v>
      </c>
      <c r="G1554" s="66" t="s">
        <v>65</v>
      </c>
      <c r="H1554" s="8"/>
      <c r="I1554" s="8"/>
      <c r="J1554" s="6" t="s">
        <v>76</v>
      </c>
      <c r="K1554" s="38">
        <v>0</v>
      </c>
      <c r="L1554" s="4" t="s">
        <v>29</v>
      </c>
      <c r="M1554" s="11">
        <f>_xlfn.NUMBERVALUE(LEFT(Table613612[[#This Row],[Fiscal Year]], 4))</f>
        <v>2015</v>
      </c>
      <c r="N1554" s="43">
        <f t="shared" si="31"/>
        <v>0</v>
      </c>
      <c r="O1554" s="3">
        <v>1552</v>
      </c>
    </row>
    <row r="1555" spans="1:15" x14ac:dyDescent="0.25">
      <c r="A1555" s="3">
        <v>4</v>
      </c>
      <c r="B1555" s="3" t="s">
        <v>224</v>
      </c>
      <c r="C1555" s="1" t="s">
        <v>12</v>
      </c>
      <c r="D1555" s="1" t="s">
        <v>444</v>
      </c>
      <c r="E1555" s="11" t="s">
        <v>144</v>
      </c>
      <c r="F1555" s="3" t="s">
        <v>8</v>
      </c>
      <c r="G1555" s="48" t="s">
        <v>66</v>
      </c>
      <c r="H1555" s="8"/>
      <c r="I1555" s="8"/>
      <c r="J1555" s="6" t="s">
        <v>76</v>
      </c>
      <c r="K1555" s="38">
        <v>0</v>
      </c>
      <c r="L1555" s="4" t="s">
        <v>29</v>
      </c>
      <c r="M1555" s="11">
        <f>_xlfn.NUMBERVALUE(LEFT(Table613612[[#This Row],[Fiscal Year]], 4))</f>
        <v>2015</v>
      </c>
      <c r="N1555" s="43">
        <f t="shared" si="31"/>
        <v>0</v>
      </c>
      <c r="O1555" s="3">
        <v>1553</v>
      </c>
    </row>
    <row r="1556" spans="1:15" x14ac:dyDescent="0.25">
      <c r="A1556" s="3">
        <v>4</v>
      </c>
      <c r="B1556" s="3" t="s">
        <v>224</v>
      </c>
      <c r="C1556" s="1" t="s">
        <v>12</v>
      </c>
      <c r="D1556" s="1" t="s">
        <v>444</v>
      </c>
      <c r="E1556" s="11" t="s">
        <v>144</v>
      </c>
      <c r="F1556" s="3" t="s">
        <v>8</v>
      </c>
      <c r="G1556" s="66" t="s">
        <v>33</v>
      </c>
      <c r="H1556" s="8"/>
      <c r="I1556" s="8"/>
      <c r="J1556" s="6" t="s">
        <v>47</v>
      </c>
      <c r="K1556" s="38">
        <v>28500</v>
      </c>
      <c r="L1556" s="4" t="s">
        <v>29</v>
      </c>
      <c r="M1556" s="11">
        <f>_xlfn.NUMBERVALUE(LEFT(Table613612[[#This Row],[Fiscal Year]], 4))</f>
        <v>2015</v>
      </c>
      <c r="N1556" s="42">
        <f t="shared" si="31"/>
        <v>30259.424050632908</v>
      </c>
      <c r="O1556" s="3">
        <v>1554</v>
      </c>
    </row>
    <row r="1557" spans="1:15" x14ac:dyDescent="0.25">
      <c r="A1557" s="3">
        <v>4</v>
      </c>
      <c r="B1557" s="3" t="s">
        <v>224</v>
      </c>
      <c r="C1557" s="1" t="s">
        <v>12</v>
      </c>
      <c r="D1557" s="1" t="s">
        <v>444</v>
      </c>
      <c r="E1557" s="11" t="s">
        <v>144</v>
      </c>
      <c r="F1557" s="3" t="s">
        <v>8</v>
      </c>
      <c r="G1557" s="66" t="s">
        <v>67</v>
      </c>
      <c r="H1557" s="8" t="s">
        <v>952</v>
      </c>
      <c r="I1557" s="8" t="s">
        <v>953</v>
      </c>
      <c r="J1557" s="6" t="s">
        <v>455</v>
      </c>
      <c r="K1557" s="38">
        <v>15338</v>
      </c>
      <c r="L1557" s="4" t="s">
        <v>29</v>
      </c>
      <c r="M1557" s="11">
        <f>_xlfn.NUMBERVALUE(LEFT(Table613612[[#This Row],[Fiscal Year]], 4))</f>
        <v>2015</v>
      </c>
      <c r="N1557" s="42">
        <f t="shared" si="31"/>
        <v>16284.878810126582</v>
      </c>
      <c r="O1557" s="3">
        <v>1555</v>
      </c>
    </row>
    <row r="1558" spans="1:15" x14ac:dyDescent="0.25">
      <c r="C1558" s="1"/>
      <c r="D1558" s="1"/>
      <c r="E1558" s="11"/>
      <c r="G1558" s="66"/>
      <c r="H1558" s="8"/>
      <c r="I1558" s="8"/>
      <c r="J1558" s="6"/>
      <c r="L1558" s="4"/>
      <c r="O1558" s="3">
        <v>1556</v>
      </c>
    </row>
    <row r="1559" spans="1:15" x14ac:dyDescent="0.25">
      <c r="A1559" s="3">
        <v>4</v>
      </c>
      <c r="B1559" s="3" t="s">
        <v>225</v>
      </c>
      <c r="C1559" s="1" t="s">
        <v>12</v>
      </c>
      <c r="D1559" s="1" t="s">
        <v>444</v>
      </c>
      <c r="E1559" s="11" t="s">
        <v>144</v>
      </c>
      <c r="F1559" s="3" t="s">
        <v>8</v>
      </c>
      <c r="G1559" s="48" t="s">
        <v>32</v>
      </c>
      <c r="H1559" s="8"/>
      <c r="I1559" s="8"/>
      <c r="J1559" s="6" t="s">
        <v>110</v>
      </c>
      <c r="K1559" s="38">
        <v>2000</v>
      </c>
      <c r="L1559" s="4" t="s">
        <v>29</v>
      </c>
      <c r="M1559" s="11">
        <f>_xlfn.NUMBERVALUE(LEFT(Table613612[[#This Row],[Fiscal Year]], 4))</f>
        <v>2015</v>
      </c>
      <c r="N1559" s="42">
        <f t="shared" si="31"/>
        <v>2123.4683544303798</v>
      </c>
      <c r="O1559" s="3">
        <v>1557</v>
      </c>
    </row>
    <row r="1560" spans="1:15" x14ac:dyDescent="0.25">
      <c r="A1560" s="3">
        <v>4</v>
      </c>
      <c r="B1560" s="3" t="s">
        <v>225</v>
      </c>
      <c r="C1560" s="1" t="s">
        <v>12</v>
      </c>
      <c r="D1560" s="1" t="s">
        <v>444</v>
      </c>
      <c r="E1560" s="11" t="s">
        <v>144</v>
      </c>
      <c r="F1560" s="3" t="s">
        <v>8</v>
      </c>
      <c r="G1560" s="48" t="s">
        <v>58</v>
      </c>
      <c r="H1560" s="8"/>
      <c r="I1560" s="8"/>
      <c r="J1560" s="6" t="s">
        <v>453</v>
      </c>
      <c r="K1560" s="38">
        <v>7000</v>
      </c>
      <c r="L1560" s="4" t="s">
        <v>29</v>
      </c>
      <c r="M1560" s="11">
        <f>_xlfn.NUMBERVALUE(LEFT(Table613612[[#This Row],[Fiscal Year]], 4))</f>
        <v>2015</v>
      </c>
      <c r="N1560" s="42">
        <f t="shared" si="31"/>
        <v>7432.1392405063289</v>
      </c>
      <c r="O1560" s="3">
        <v>1558</v>
      </c>
    </row>
    <row r="1561" spans="1:15" x14ac:dyDescent="0.25">
      <c r="A1561" s="3">
        <v>4</v>
      </c>
      <c r="B1561" s="3" t="s">
        <v>225</v>
      </c>
      <c r="C1561" s="1" t="s">
        <v>12</v>
      </c>
      <c r="D1561" s="1" t="s">
        <v>444</v>
      </c>
      <c r="E1561" s="11" t="s">
        <v>144</v>
      </c>
      <c r="F1561" s="3" t="s">
        <v>8</v>
      </c>
      <c r="G1561" s="66" t="s">
        <v>208</v>
      </c>
      <c r="H1561" s="8"/>
      <c r="I1561" s="8"/>
      <c r="J1561" s="6" t="s">
        <v>109</v>
      </c>
      <c r="K1561" s="38">
        <v>20000</v>
      </c>
      <c r="L1561" s="4" t="s">
        <v>29</v>
      </c>
      <c r="M1561" s="11">
        <f>_xlfn.NUMBERVALUE(LEFT(Table613612[[#This Row],[Fiscal Year]], 4))</f>
        <v>2015</v>
      </c>
      <c r="N1561" s="42">
        <f t="shared" si="31"/>
        <v>21234.683544303796</v>
      </c>
      <c r="O1561" s="3">
        <v>1559</v>
      </c>
    </row>
    <row r="1562" spans="1:15" x14ac:dyDescent="0.25">
      <c r="A1562" s="3">
        <v>4</v>
      </c>
      <c r="B1562" s="3" t="s">
        <v>225</v>
      </c>
      <c r="C1562" s="1" t="s">
        <v>12</v>
      </c>
      <c r="D1562" s="1" t="s">
        <v>444</v>
      </c>
      <c r="E1562" s="11" t="s">
        <v>144</v>
      </c>
      <c r="F1562" s="3" t="s">
        <v>8</v>
      </c>
      <c r="G1562" s="48" t="s">
        <v>59</v>
      </c>
      <c r="H1562" s="8"/>
      <c r="I1562" s="8"/>
      <c r="J1562" s="6" t="s">
        <v>111</v>
      </c>
      <c r="K1562" s="38">
        <v>5000</v>
      </c>
      <c r="L1562" s="4" t="s">
        <v>29</v>
      </c>
      <c r="M1562" s="11">
        <f>_xlfn.NUMBERVALUE(LEFT(Table613612[[#This Row],[Fiscal Year]], 4))</f>
        <v>2015</v>
      </c>
      <c r="N1562" s="42">
        <f t="shared" si="31"/>
        <v>5308.6708860759491</v>
      </c>
      <c r="O1562" s="3">
        <v>1560</v>
      </c>
    </row>
    <row r="1563" spans="1:15" x14ac:dyDescent="0.25">
      <c r="A1563" s="3">
        <v>4</v>
      </c>
      <c r="B1563" s="3" t="s">
        <v>225</v>
      </c>
      <c r="C1563" s="1" t="s">
        <v>12</v>
      </c>
      <c r="D1563" s="1" t="s">
        <v>444</v>
      </c>
      <c r="E1563" s="11" t="s">
        <v>144</v>
      </c>
      <c r="F1563" s="3" t="s">
        <v>8</v>
      </c>
      <c r="G1563" s="66" t="s">
        <v>60</v>
      </c>
      <c r="H1563" s="8"/>
      <c r="I1563" s="8"/>
      <c r="J1563" s="6" t="s">
        <v>111</v>
      </c>
      <c r="K1563" s="38">
        <v>1000</v>
      </c>
      <c r="L1563" s="4" t="s">
        <v>29</v>
      </c>
      <c r="M1563" s="11">
        <f>_xlfn.NUMBERVALUE(LEFT(Table613612[[#This Row],[Fiscal Year]], 4))</f>
        <v>2015</v>
      </c>
      <c r="N1563" s="42">
        <f t="shared" si="31"/>
        <v>1061.7341772151899</v>
      </c>
      <c r="O1563" s="3">
        <v>1561</v>
      </c>
    </row>
    <row r="1564" spans="1:15" x14ac:dyDescent="0.25">
      <c r="A1564" s="3">
        <v>4</v>
      </c>
      <c r="B1564" s="3" t="s">
        <v>225</v>
      </c>
      <c r="C1564" s="1" t="s">
        <v>12</v>
      </c>
      <c r="D1564" s="1" t="s">
        <v>444</v>
      </c>
      <c r="E1564" s="11" t="s">
        <v>144</v>
      </c>
      <c r="F1564" s="3" t="s">
        <v>8</v>
      </c>
      <c r="G1564" s="48" t="s">
        <v>61</v>
      </c>
      <c r="H1564" s="8" t="s">
        <v>954</v>
      </c>
      <c r="I1564" s="8" t="s">
        <v>953</v>
      </c>
      <c r="J1564" s="6" t="s">
        <v>108</v>
      </c>
      <c r="K1564" s="38">
        <v>92000</v>
      </c>
      <c r="L1564" s="4" t="s">
        <v>29</v>
      </c>
      <c r="M1564" s="11">
        <f>_xlfn.NUMBERVALUE(LEFT(Table613612[[#This Row],[Fiscal Year]], 4))</f>
        <v>2015</v>
      </c>
      <c r="N1564" s="42">
        <f t="shared" si="31"/>
        <v>97679.544303797462</v>
      </c>
      <c r="O1564" s="3">
        <v>1562</v>
      </c>
    </row>
    <row r="1565" spans="1:15" x14ac:dyDescent="0.25">
      <c r="A1565" s="3">
        <v>4</v>
      </c>
      <c r="B1565" s="3" t="s">
        <v>225</v>
      </c>
      <c r="C1565" s="1" t="s">
        <v>12</v>
      </c>
      <c r="D1565" s="1" t="s">
        <v>444</v>
      </c>
      <c r="E1565" s="11" t="s">
        <v>144</v>
      </c>
      <c r="F1565" s="3" t="s">
        <v>8</v>
      </c>
      <c r="G1565" s="66" t="s">
        <v>62</v>
      </c>
      <c r="H1565" s="8"/>
      <c r="I1565" s="8"/>
      <c r="J1565" s="6" t="s">
        <v>106</v>
      </c>
      <c r="K1565" s="38">
        <v>2000</v>
      </c>
      <c r="L1565" s="4" t="s">
        <v>29</v>
      </c>
      <c r="M1565" s="11">
        <f>_xlfn.NUMBERVALUE(LEFT(Table613612[[#This Row],[Fiscal Year]], 4))</f>
        <v>2015</v>
      </c>
      <c r="N1565" s="42">
        <f t="shared" si="31"/>
        <v>2123.4683544303798</v>
      </c>
      <c r="O1565" s="3">
        <v>1563</v>
      </c>
    </row>
    <row r="1566" spans="1:15" x14ac:dyDescent="0.25">
      <c r="A1566" s="3">
        <v>4</v>
      </c>
      <c r="B1566" s="3" t="s">
        <v>225</v>
      </c>
      <c r="C1566" s="1" t="s">
        <v>12</v>
      </c>
      <c r="D1566" s="1" t="s">
        <v>444</v>
      </c>
      <c r="E1566" s="11" t="s">
        <v>144</v>
      </c>
      <c r="F1566" s="3" t="s">
        <v>8</v>
      </c>
      <c r="G1566" s="66" t="s">
        <v>211</v>
      </c>
      <c r="H1566" s="8"/>
      <c r="I1566" s="8"/>
      <c r="J1566" s="6" t="s">
        <v>455</v>
      </c>
      <c r="K1566" s="38">
        <v>60000</v>
      </c>
      <c r="L1566" s="4" t="s">
        <v>29</v>
      </c>
      <c r="M1566" s="11">
        <f>_xlfn.NUMBERVALUE(LEFT(Table613612[[#This Row],[Fiscal Year]], 4))</f>
        <v>2015</v>
      </c>
      <c r="N1566" s="42">
        <f t="shared" si="31"/>
        <v>63704.050632911392</v>
      </c>
      <c r="O1566" s="3">
        <v>1564</v>
      </c>
    </row>
    <row r="1567" spans="1:15" x14ac:dyDescent="0.25">
      <c r="A1567" s="3">
        <v>4</v>
      </c>
      <c r="B1567" s="3" t="s">
        <v>225</v>
      </c>
      <c r="C1567" s="1" t="s">
        <v>12</v>
      </c>
      <c r="D1567" s="1" t="s">
        <v>444</v>
      </c>
      <c r="E1567" s="11" t="s">
        <v>144</v>
      </c>
      <c r="F1567" s="3" t="s">
        <v>8</v>
      </c>
      <c r="G1567" s="66" t="s">
        <v>64</v>
      </c>
      <c r="H1567" s="8"/>
      <c r="I1567" s="8"/>
      <c r="J1567" s="6" t="s">
        <v>76</v>
      </c>
      <c r="K1567" s="38" t="s">
        <v>827</v>
      </c>
      <c r="L1567" s="4" t="s">
        <v>29</v>
      </c>
      <c r="M1567" s="11">
        <f>_xlfn.NUMBERVALUE(LEFT(Table613612[[#This Row],[Fiscal Year]], 4))</f>
        <v>2015</v>
      </c>
      <c r="O1567" s="3">
        <v>1565</v>
      </c>
    </row>
    <row r="1568" spans="1:15" x14ac:dyDescent="0.25">
      <c r="A1568" s="3">
        <v>4</v>
      </c>
      <c r="B1568" s="3" t="s">
        <v>225</v>
      </c>
      <c r="C1568" s="1" t="s">
        <v>12</v>
      </c>
      <c r="D1568" s="1" t="s">
        <v>444</v>
      </c>
      <c r="E1568" s="11" t="s">
        <v>144</v>
      </c>
      <c r="F1568" s="3" t="s">
        <v>8</v>
      </c>
      <c r="G1568" s="66" t="s">
        <v>65</v>
      </c>
      <c r="H1568" s="8"/>
      <c r="I1568" s="8"/>
      <c r="J1568" s="6" t="s">
        <v>76</v>
      </c>
      <c r="K1568" s="38" t="s">
        <v>827</v>
      </c>
      <c r="L1568" s="4" t="s">
        <v>29</v>
      </c>
      <c r="M1568" s="11">
        <f>_xlfn.NUMBERVALUE(LEFT(Table613612[[#This Row],[Fiscal Year]], 4))</f>
        <v>2015</v>
      </c>
      <c r="O1568" s="3">
        <v>1566</v>
      </c>
    </row>
    <row r="1569" spans="1:15" x14ac:dyDescent="0.25">
      <c r="A1569" s="3">
        <v>4</v>
      </c>
      <c r="B1569" s="3" t="s">
        <v>225</v>
      </c>
      <c r="C1569" s="1" t="s">
        <v>12</v>
      </c>
      <c r="D1569" s="1" t="s">
        <v>444</v>
      </c>
      <c r="E1569" s="11" t="s">
        <v>144</v>
      </c>
      <c r="F1569" s="3" t="s">
        <v>8</v>
      </c>
      <c r="G1569" s="48" t="s">
        <v>66</v>
      </c>
      <c r="H1569" s="8"/>
      <c r="I1569" s="8"/>
      <c r="J1569" s="6" t="s">
        <v>76</v>
      </c>
      <c r="K1569" s="38" t="s">
        <v>827</v>
      </c>
      <c r="L1569" s="4" t="s">
        <v>29</v>
      </c>
      <c r="M1569" s="11">
        <f>_xlfn.NUMBERVALUE(LEFT(Table613612[[#This Row],[Fiscal Year]], 4))</f>
        <v>2015</v>
      </c>
      <c r="O1569" s="3">
        <v>1567</v>
      </c>
    </row>
    <row r="1570" spans="1:15" x14ac:dyDescent="0.25">
      <c r="A1570" s="3">
        <v>4</v>
      </c>
      <c r="B1570" s="3" t="s">
        <v>225</v>
      </c>
      <c r="C1570" s="1" t="s">
        <v>12</v>
      </c>
      <c r="D1570" s="1" t="s">
        <v>444</v>
      </c>
      <c r="E1570" s="11" t="s">
        <v>144</v>
      </c>
      <c r="F1570" s="3" t="s">
        <v>8</v>
      </c>
      <c r="G1570" s="66" t="s">
        <v>33</v>
      </c>
      <c r="H1570" s="8"/>
      <c r="I1570" s="8"/>
      <c r="J1570" s="6" t="s">
        <v>47</v>
      </c>
      <c r="K1570" s="38">
        <v>3000</v>
      </c>
      <c r="L1570" s="4" t="s">
        <v>29</v>
      </c>
      <c r="M1570" s="11">
        <f>_xlfn.NUMBERVALUE(LEFT(Table613612[[#This Row],[Fiscal Year]], 4))</f>
        <v>2015</v>
      </c>
      <c r="N1570" s="42">
        <f t="shared" si="31"/>
        <v>3185.2025316455693</v>
      </c>
      <c r="O1570" s="3">
        <v>1568</v>
      </c>
    </row>
    <row r="1571" spans="1:15" x14ac:dyDescent="0.25">
      <c r="A1571" s="3">
        <v>4</v>
      </c>
      <c r="B1571" s="3" t="s">
        <v>225</v>
      </c>
      <c r="C1571" s="1" t="s">
        <v>12</v>
      </c>
      <c r="D1571" s="1" t="s">
        <v>444</v>
      </c>
      <c r="E1571" s="11" t="s">
        <v>144</v>
      </c>
      <c r="F1571" s="3" t="s">
        <v>8</v>
      </c>
      <c r="G1571" s="66" t="s">
        <v>67</v>
      </c>
      <c r="H1571" s="8"/>
      <c r="I1571" s="8"/>
      <c r="J1571" s="6" t="s">
        <v>455</v>
      </c>
      <c r="K1571" s="38">
        <v>9000</v>
      </c>
      <c r="L1571" s="4" t="s">
        <v>29</v>
      </c>
      <c r="M1571" s="11">
        <f>_xlfn.NUMBERVALUE(LEFT(Table613612[[#This Row],[Fiscal Year]], 4))</f>
        <v>2015</v>
      </c>
      <c r="N1571" s="42">
        <f t="shared" si="31"/>
        <v>9555.6075949367078</v>
      </c>
      <c r="O1571" s="3">
        <v>1569</v>
      </c>
    </row>
    <row r="1572" spans="1:15" x14ac:dyDescent="0.25">
      <c r="E1572" s="11"/>
      <c r="G1572" s="66"/>
      <c r="H1572" s="6"/>
      <c r="I1572" s="8"/>
      <c r="J1572" s="6"/>
      <c r="L1572" s="4"/>
      <c r="O1572" s="3">
        <v>1570</v>
      </c>
    </row>
    <row r="1573" spans="1:15" x14ac:dyDescent="0.25">
      <c r="A1573" s="3">
        <v>8</v>
      </c>
      <c r="B1573" s="3" t="s">
        <v>262</v>
      </c>
      <c r="C1573" s="3" t="s">
        <v>262</v>
      </c>
      <c r="D1573" s="3" t="s">
        <v>444</v>
      </c>
      <c r="E1573" s="11" t="s">
        <v>144</v>
      </c>
      <c r="F1573" s="3" t="s">
        <v>5</v>
      </c>
      <c r="G1573" s="48" t="s">
        <v>486</v>
      </c>
      <c r="H1573" s="8" t="s">
        <v>639</v>
      </c>
      <c r="I1573" s="47" t="s">
        <v>612</v>
      </c>
      <c r="J1573" s="6" t="s">
        <v>76</v>
      </c>
      <c r="K1573" s="38">
        <v>1119993</v>
      </c>
      <c r="L1573" s="4" t="s">
        <v>25</v>
      </c>
      <c r="M1573" s="11">
        <v>2017</v>
      </c>
      <c r="N1573" s="42">
        <f t="shared" si="31"/>
        <v>1149836.6323255815</v>
      </c>
      <c r="O1573" s="3">
        <v>1571</v>
      </c>
    </row>
    <row r="1574" spans="1:15" x14ac:dyDescent="0.25">
      <c r="A1574" s="3">
        <v>8</v>
      </c>
      <c r="B1574" s="3" t="s">
        <v>262</v>
      </c>
      <c r="C1574" s="1" t="s">
        <v>262</v>
      </c>
      <c r="D1574" s="1" t="s">
        <v>444</v>
      </c>
      <c r="E1574" s="11" t="s">
        <v>144</v>
      </c>
      <c r="F1574" s="3" t="s">
        <v>5</v>
      </c>
      <c r="G1574" s="48" t="s">
        <v>319</v>
      </c>
      <c r="H1574" s="8" t="s">
        <v>487</v>
      </c>
      <c r="I1574" s="8" t="s">
        <v>641</v>
      </c>
      <c r="J1574" s="6" t="s">
        <v>76</v>
      </c>
      <c r="K1574" s="38">
        <v>455485</v>
      </c>
      <c r="L1574" s="4" t="s">
        <v>25</v>
      </c>
      <c r="M1574" s="11">
        <v>2017</v>
      </c>
      <c r="N1574" s="42">
        <f t="shared" si="31"/>
        <v>467621.97484700126</v>
      </c>
      <c r="O1574" s="3">
        <v>1572</v>
      </c>
    </row>
    <row r="1575" spans="1:15" x14ac:dyDescent="0.25">
      <c r="A1575" s="3">
        <v>8</v>
      </c>
      <c r="B1575" s="3" t="s">
        <v>262</v>
      </c>
      <c r="C1575" s="1" t="s">
        <v>262</v>
      </c>
      <c r="D1575" s="1" t="s">
        <v>444</v>
      </c>
      <c r="E1575" s="11" t="s">
        <v>144</v>
      </c>
      <c r="F1575" s="3" t="s">
        <v>5</v>
      </c>
      <c r="G1575" s="48" t="s">
        <v>318</v>
      </c>
      <c r="H1575" s="6"/>
      <c r="I1575" s="8" t="s">
        <v>502</v>
      </c>
      <c r="J1575" s="6" t="s">
        <v>76</v>
      </c>
      <c r="K1575" s="38">
        <v>150000</v>
      </c>
      <c r="L1575" s="4" t="s">
        <v>25</v>
      </c>
      <c r="M1575" s="11">
        <v>2017</v>
      </c>
      <c r="N1575" s="42">
        <f t="shared" si="31"/>
        <v>153996.94002447982</v>
      </c>
      <c r="O1575" s="3">
        <v>1573</v>
      </c>
    </row>
    <row r="1576" spans="1:15" x14ac:dyDescent="0.25">
      <c r="A1576" s="3">
        <v>8</v>
      </c>
      <c r="B1576" s="3" t="s">
        <v>262</v>
      </c>
      <c r="C1576" s="1" t="s">
        <v>262</v>
      </c>
      <c r="D1576" s="1" t="s">
        <v>444</v>
      </c>
      <c r="E1576" s="11" t="s">
        <v>144</v>
      </c>
      <c r="F1576" s="3" t="s">
        <v>5</v>
      </c>
      <c r="G1576" s="66" t="s">
        <v>955</v>
      </c>
      <c r="H1576" s="8" t="s">
        <v>488</v>
      </c>
      <c r="I1576" s="8" t="s">
        <v>502</v>
      </c>
      <c r="J1576" s="6" t="s">
        <v>110</v>
      </c>
      <c r="K1576" s="38">
        <v>951234</v>
      </c>
      <c r="L1576" s="4" t="s">
        <v>25</v>
      </c>
      <c r="M1576" s="11">
        <f>_xlfn.NUMBERVALUE(LEFT(Table613612[[#This Row],[Fiscal Year]], 4))</f>
        <v>2017</v>
      </c>
      <c r="N1576" s="42">
        <f t="shared" si="31"/>
        <v>976580.83498164022</v>
      </c>
      <c r="O1576" s="3">
        <v>1574</v>
      </c>
    </row>
    <row r="1577" spans="1:15" x14ac:dyDescent="0.25">
      <c r="A1577" s="3">
        <v>8</v>
      </c>
      <c r="B1577" s="3" t="s">
        <v>262</v>
      </c>
      <c r="C1577" s="1" t="s">
        <v>262</v>
      </c>
      <c r="D1577" s="1" t="s">
        <v>444</v>
      </c>
      <c r="E1577" s="11" t="s">
        <v>144</v>
      </c>
      <c r="F1577" s="3" t="s">
        <v>5</v>
      </c>
      <c r="G1577" s="66" t="s">
        <v>956</v>
      </c>
      <c r="H1577" s="8" t="s">
        <v>489</v>
      </c>
      <c r="I1577" s="8" t="s">
        <v>502</v>
      </c>
      <c r="J1577" s="6" t="s">
        <v>111</v>
      </c>
      <c r="K1577" s="38">
        <v>717246</v>
      </c>
      <c r="L1577" s="4" t="s">
        <v>25</v>
      </c>
      <c r="M1577" s="11">
        <f>_xlfn.NUMBERVALUE(LEFT(Table613612[[#This Row],[Fiscal Year]], 4))</f>
        <v>2017</v>
      </c>
      <c r="N1577" s="42">
        <f t="shared" si="31"/>
        <v>736357.92829865369</v>
      </c>
      <c r="O1577" s="3">
        <v>1575</v>
      </c>
    </row>
    <row r="1578" spans="1:15" x14ac:dyDescent="0.25">
      <c r="A1578" s="3">
        <v>8</v>
      </c>
      <c r="B1578" s="3" t="s">
        <v>262</v>
      </c>
      <c r="C1578" s="1" t="s">
        <v>262</v>
      </c>
      <c r="D1578" s="1" t="s">
        <v>444</v>
      </c>
      <c r="E1578" s="11" t="s">
        <v>144</v>
      </c>
      <c r="F1578" s="3" t="s">
        <v>5</v>
      </c>
      <c r="G1578" s="66" t="s">
        <v>957</v>
      </c>
      <c r="H1578" s="8" t="s">
        <v>490</v>
      </c>
      <c r="I1578" s="8" t="s">
        <v>502</v>
      </c>
      <c r="J1578" s="6" t="s">
        <v>108</v>
      </c>
      <c r="K1578" s="38">
        <v>2550984</v>
      </c>
      <c r="L1578" s="4" t="s">
        <v>25</v>
      </c>
      <c r="M1578" s="11">
        <f>_xlfn.NUMBERVALUE(LEFT(Table613612[[#This Row],[Fiscal Year]], 4))</f>
        <v>2017</v>
      </c>
      <c r="N1578" s="42">
        <f t="shared" si="31"/>
        <v>2618958.2003427176</v>
      </c>
      <c r="O1578" s="3">
        <v>1576</v>
      </c>
    </row>
    <row r="1579" spans="1:15" x14ac:dyDescent="0.25">
      <c r="A1579" s="3">
        <v>8</v>
      </c>
      <c r="B1579" s="3" t="s">
        <v>262</v>
      </c>
      <c r="C1579" s="1" t="s">
        <v>262</v>
      </c>
      <c r="D1579" s="1" t="s">
        <v>444</v>
      </c>
      <c r="E1579" s="11" t="s">
        <v>144</v>
      </c>
      <c r="F1579" s="3" t="s">
        <v>5</v>
      </c>
      <c r="G1579" s="66" t="s">
        <v>958</v>
      </c>
      <c r="H1579" s="8" t="s">
        <v>490</v>
      </c>
      <c r="I1579" s="8" t="s">
        <v>502</v>
      </c>
      <c r="J1579" s="6" t="s">
        <v>108</v>
      </c>
      <c r="K1579" s="38">
        <v>4516885</v>
      </c>
      <c r="L1579" s="4" t="s">
        <v>25</v>
      </c>
      <c r="M1579" s="11">
        <f>_xlfn.NUMBERVALUE(LEFT(Table613612[[#This Row],[Fiscal Year]], 4))</f>
        <v>2017</v>
      </c>
      <c r="N1579" s="42">
        <f t="shared" si="31"/>
        <v>4637243.1229498172</v>
      </c>
      <c r="O1579" s="3">
        <v>1577</v>
      </c>
    </row>
    <row r="1580" spans="1:15" x14ac:dyDescent="0.25">
      <c r="A1580" s="3">
        <v>8</v>
      </c>
      <c r="B1580" s="3" t="s">
        <v>262</v>
      </c>
      <c r="C1580" s="1" t="s">
        <v>262</v>
      </c>
      <c r="D1580" s="1" t="s">
        <v>444</v>
      </c>
      <c r="E1580" s="11" t="s">
        <v>144</v>
      </c>
      <c r="F1580" s="3" t="s">
        <v>5</v>
      </c>
      <c r="G1580" s="66" t="s">
        <v>959</v>
      </c>
      <c r="H1580" s="8" t="s">
        <v>490</v>
      </c>
      <c r="I1580" s="8" t="s">
        <v>502</v>
      </c>
      <c r="J1580" s="6" t="s">
        <v>108</v>
      </c>
      <c r="K1580" s="38">
        <v>8236513</v>
      </c>
      <c r="L1580" s="4" t="s">
        <v>25</v>
      </c>
      <c r="M1580" s="11">
        <f>_xlfn.NUMBERVALUE(LEFT(Table613612[[#This Row],[Fiscal Year]], 4))</f>
        <v>2017</v>
      </c>
      <c r="N1580" s="42">
        <f t="shared" si="31"/>
        <v>8455985.3231456559</v>
      </c>
      <c r="O1580" s="3">
        <v>1578</v>
      </c>
    </row>
    <row r="1581" spans="1:15" x14ac:dyDescent="0.25">
      <c r="A1581" s="3">
        <v>8</v>
      </c>
      <c r="B1581" s="3" t="s">
        <v>262</v>
      </c>
      <c r="C1581" s="1" t="s">
        <v>262</v>
      </c>
      <c r="D1581" s="1" t="s">
        <v>444</v>
      </c>
      <c r="E1581" s="11" t="s">
        <v>144</v>
      </c>
      <c r="F1581" s="3" t="s">
        <v>5</v>
      </c>
      <c r="G1581" s="48" t="s">
        <v>960</v>
      </c>
      <c r="H1581" s="8" t="s">
        <v>490</v>
      </c>
      <c r="I1581" s="8" t="s">
        <v>502</v>
      </c>
      <c r="J1581" s="6" t="s">
        <v>108</v>
      </c>
      <c r="K1581" s="38">
        <v>575332</v>
      </c>
      <c r="L1581" s="4" t="s">
        <v>25</v>
      </c>
      <c r="M1581" s="11">
        <f>_xlfn.NUMBERVALUE(LEFT(Table613612[[#This Row],[Fiscal Year]], 4))</f>
        <v>2017</v>
      </c>
      <c r="N1581" s="42">
        <f t="shared" si="31"/>
        <v>590662.44998776016</v>
      </c>
      <c r="O1581" s="3">
        <v>1579</v>
      </c>
    </row>
    <row r="1582" spans="1:15" x14ac:dyDescent="0.25">
      <c r="A1582" s="3">
        <v>8</v>
      </c>
      <c r="B1582" s="3" t="s">
        <v>262</v>
      </c>
      <c r="C1582" s="1" t="s">
        <v>262</v>
      </c>
      <c r="D1582" s="1" t="s">
        <v>444</v>
      </c>
      <c r="E1582" s="11" t="s">
        <v>144</v>
      </c>
      <c r="F1582" s="3" t="s">
        <v>5</v>
      </c>
      <c r="G1582" s="61" t="s">
        <v>961</v>
      </c>
      <c r="H1582" s="8" t="s">
        <v>490</v>
      </c>
      <c r="I1582" s="8" t="s">
        <v>502</v>
      </c>
      <c r="J1582" s="6" t="s">
        <v>108</v>
      </c>
      <c r="K1582" s="38">
        <v>2935498</v>
      </c>
      <c r="L1582" s="4" t="s">
        <v>25</v>
      </c>
      <c r="M1582" s="11">
        <f>_xlfn.NUMBERVALUE(LEFT(Table613612[[#This Row],[Fiscal Year]], 4))</f>
        <v>2017</v>
      </c>
      <c r="N1582" s="42">
        <f t="shared" si="31"/>
        <v>3013718.0629865364</v>
      </c>
      <c r="O1582" s="3">
        <v>1580</v>
      </c>
    </row>
    <row r="1583" spans="1:15" x14ac:dyDescent="0.25">
      <c r="A1583" s="3">
        <v>8</v>
      </c>
      <c r="B1583" s="3" t="s">
        <v>262</v>
      </c>
      <c r="C1583" s="1" t="s">
        <v>262</v>
      </c>
      <c r="D1583" s="1" t="s">
        <v>444</v>
      </c>
      <c r="E1583" s="11" t="s">
        <v>144</v>
      </c>
      <c r="F1583" s="3" t="s">
        <v>5</v>
      </c>
      <c r="G1583" s="61" t="s">
        <v>962</v>
      </c>
      <c r="H1583" s="8" t="s">
        <v>490</v>
      </c>
      <c r="I1583" s="8" t="s">
        <v>502</v>
      </c>
      <c r="J1583" s="6" t="s">
        <v>108</v>
      </c>
      <c r="K1583" s="38">
        <v>560667</v>
      </c>
      <c r="L1583" s="4" t="s">
        <v>25</v>
      </c>
      <c r="M1583" s="11">
        <f>_xlfn.NUMBERVALUE(LEFT(Table613612[[#This Row],[Fiscal Year]], 4))</f>
        <v>2017</v>
      </c>
      <c r="N1583" s="42">
        <f t="shared" si="31"/>
        <v>575606.68248470023</v>
      </c>
      <c r="O1583" s="3">
        <v>1581</v>
      </c>
    </row>
    <row r="1584" spans="1:15" x14ac:dyDescent="0.25">
      <c r="A1584" s="3">
        <v>8</v>
      </c>
      <c r="B1584" s="3" t="s">
        <v>262</v>
      </c>
      <c r="C1584" s="1" t="s">
        <v>262</v>
      </c>
      <c r="D1584" s="1" t="s">
        <v>444</v>
      </c>
      <c r="E1584" s="11" t="s">
        <v>144</v>
      </c>
      <c r="F1584" s="3" t="s">
        <v>5</v>
      </c>
      <c r="G1584" s="61" t="s">
        <v>963</v>
      </c>
      <c r="H1584" s="8" t="s">
        <v>490</v>
      </c>
      <c r="I1584" s="8" t="s">
        <v>502</v>
      </c>
      <c r="J1584" s="6" t="s">
        <v>108</v>
      </c>
      <c r="K1584" s="38">
        <v>611729</v>
      </c>
      <c r="L1584" s="4" t="s">
        <v>25</v>
      </c>
      <c r="M1584" s="11">
        <f>_xlfn.NUMBERVALUE(LEFT(Table613612[[#This Row],[Fiscal Year]], 4))</f>
        <v>2017</v>
      </c>
      <c r="N1584" s="42">
        <f t="shared" si="31"/>
        <v>628029.29416156677</v>
      </c>
      <c r="O1584" s="3">
        <v>1582</v>
      </c>
    </row>
    <row r="1585" spans="1:15" x14ac:dyDescent="0.25">
      <c r="A1585" s="3">
        <v>8</v>
      </c>
      <c r="B1585" s="3" t="s">
        <v>262</v>
      </c>
      <c r="C1585" s="1" t="s">
        <v>262</v>
      </c>
      <c r="D1585" s="1" t="s">
        <v>444</v>
      </c>
      <c r="E1585" s="11" t="s">
        <v>144</v>
      </c>
      <c r="F1585" s="3" t="s">
        <v>5</v>
      </c>
      <c r="G1585" s="61" t="s">
        <v>964</v>
      </c>
      <c r="H1585" s="8" t="s">
        <v>601</v>
      </c>
      <c r="I1585" s="8" t="s">
        <v>502</v>
      </c>
      <c r="J1585" s="6" t="s">
        <v>455</v>
      </c>
      <c r="K1585" s="38">
        <v>212483</v>
      </c>
      <c r="L1585" s="4" t="s">
        <v>25</v>
      </c>
      <c r="M1585" s="11">
        <f>_xlfn.NUMBERVALUE(LEFT(Table613612[[#This Row],[Fiscal Year]], 4))</f>
        <v>2017</v>
      </c>
      <c r="N1585" s="42">
        <f t="shared" si="31"/>
        <v>218144.8787148103</v>
      </c>
      <c r="O1585" s="3">
        <v>1583</v>
      </c>
    </row>
    <row r="1586" spans="1:15" x14ac:dyDescent="0.25">
      <c r="A1586" s="3">
        <v>8</v>
      </c>
      <c r="B1586" s="3" t="s">
        <v>262</v>
      </c>
      <c r="C1586" s="1" t="s">
        <v>262</v>
      </c>
      <c r="D1586" s="1" t="s">
        <v>444</v>
      </c>
      <c r="E1586" s="11" t="s">
        <v>144</v>
      </c>
      <c r="F1586" s="3" t="s">
        <v>5</v>
      </c>
      <c r="G1586" s="61" t="s">
        <v>965</v>
      </c>
      <c r="H1586" s="8" t="s">
        <v>490</v>
      </c>
      <c r="I1586" s="8" t="s">
        <v>502</v>
      </c>
      <c r="J1586" s="6" t="s">
        <v>108</v>
      </c>
      <c r="K1586" s="38">
        <v>806605</v>
      </c>
      <c r="L1586" s="4" t="s">
        <v>25</v>
      </c>
      <c r="M1586" s="11">
        <f>_xlfn.NUMBERVALUE(LEFT(Table613612[[#This Row],[Fiscal Year]], 4))</f>
        <v>2017</v>
      </c>
      <c r="N1586" s="42">
        <f t="shared" si="31"/>
        <v>828098.01205630368</v>
      </c>
      <c r="O1586" s="3">
        <v>1584</v>
      </c>
    </row>
    <row r="1587" spans="1:15" x14ac:dyDescent="0.25">
      <c r="A1587" s="3">
        <v>8</v>
      </c>
      <c r="B1587" s="3" t="s">
        <v>262</v>
      </c>
      <c r="C1587" s="1" t="s">
        <v>262</v>
      </c>
      <c r="D1587" s="1" t="s">
        <v>444</v>
      </c>
      <c r="E1587" s="11" t="s">
        <v>144</v>
      </c>
      <c r="F1587" s="3" t="s">
        <v>5</v>
      </c>
      <c r="G1587" s="66" t="s">
        <v>966</v>
      </c>
      <c r="H1587" s="8" t="s">
        <v>490</v>
      </c>
      <c r="I1587" s="8" t="s">
        <v>502</v>
      </c>
      <c r="J1587" s="6" t="s">
        <v>108</v>
      </c>
      <c r="K1587" s="38">
        <v>86205</v>
      </c>
      <c r="L1587" s="4" t="s">
        <v>25</v>
      </c>
      <c r="M1587" s="11">
        <f>_xlfn.NUMBERVALUE(LEFT(Table613612[[#This Row],[Fiscal Year]], 4))</f>
        <v>2017</v>
      </c>
      <c r="N1587" s="42">
        <f t="shared" si="31"/>
        <v>88502.041432068552</v>
      </c>
      <c r="O1587" s="3">
        <v>1585</v>
      </c>
    </row>
    <row r="1588" spans="1:15" x14ac:dyDescent="0.25">
      <c r="A1588" s="3">
        <v>8</v>
      </c>
      <c r="B1588" s="3" t="s">
        <v>262</v>
      </c>
      <c r="C1588" s="1" t="s">
        <v>262</v>
      </c>
      <c r="D1588" s="1" t="s">
        <v>444</v>
      </c>
      <c r="E1588" s="11" t="s">
        <v>144</v>
      </c>
      <c r="F1588" s="3" t="s">
        <v>5</v>
      </c>
      <c r="G1588" s="66" t="s">
        <v>967</v>
      </c>
      <c r="H1588" s="8" t="s">
        <v>491</v>
      </c>
      <c r="I1588" s="8" t="s">
        <v>502</v>
      </c>
      <c r="J1588" s="6" t="s">
        <v>42</v>
      </c>
      <c r="K1588" s="38">
        <v>39166</v>
      </c>
      <c r="L1588" s="4" t="s">
        <v>25</v>
      </c>
      <c r="M1588" s="11">
        <f>_xlfn.NUMBERVALUE(LEFT(Table613612[[#This Row],[Fiscal Year]], 4))</f>
        <v>2017</v>
      </c>
      <c r="N1588" s="42">
        <f t="shared" si="31"/>
        <v>40209.62768665851</v>
      </c>
      <c r="O1588" s="3">
        <v>1586</v>
      </c>
    </row>
    <row r="1589" spans="1:15" x14ac:dyDescent="0.25">
      <c r="A1589" s="3">
        <v>8</v>
      </c>
      <c r="B1589" s="3" t="s">
        <v>262</v>
      </c>
      <c r="C1589" s="1" t="s">
        <v>262</v>
      </c>
      <c r="D1589" s="1" t="s">
        <v>444</v>
      </c>
      <c r="E1589" s="11" t="s">
        <v>144</v>
      </c>
      <c r="F1589" s="3" t="s">
        <v>5</v>
      </c>
      <c r="G1589" s="66" t="s">
        <v>968</v>
      </c>
      <c r="H1589" s="8" t="s">
        <v>491</v>
      </c>
      <c r="I1589" s="8" t="s">
        <v>502</v>
      </c>
      <c r="J1589" s="6" t="s">
        <v>453</v>
      </c>
      <c r="K1589" s="38">
        <v>5458</v>
      </c>
      <c r="L1589" s="4" t="s">
        <v>25</v>
      </c>
      <c r="M1589" s="11">
        <f>_xlfn.NUMBERVALUE(LEFT(Table613612[[#This Row],[Fiscal Year]], 4))</f>
        <v>2017</v>
      </c>
      <c r="N1589" s="42">
        <f t="shared" si="31"/>
        <v>5603.435324357406</v>
      </c>
      <c r="O1589" s="3">
        <v>1587</v>
      </c>
    </row>
    <row r="1590" spans="1:15" x14ac:dyDescent="0.25">
      <c r="A1590" s="3">
        <v>8</v>
      </c>
      <c r="B1590" s="3" t="s">
        <v>262</v>
      </c>
      <c r="C1590" s="1" t="s">
        <v>262</v>
      </c>
      <c r="D1590" s="1" t="s">
        <v>444</v>
      </c>
      <c r="E1590" s="11" t="s">
        <v>144</v>
      </c>
      <c r="F1590" s="3" t="s">
        <v>5</v>
      </c>
      <c r="G1590" s="66" t="s">
        <v>969</v>
      </c>
      <c r="H1590" s="8" t="s">
        <v>492</v>
      </c>
      <c r="I1590" s="8" t="s">
        <v>502</v>
      </c>
      <c r="J1590" s="6" t="s">
        <v>111</v>
      </c>
      <c r="K1590" s="38">
        <v>191230</v>
      </c>
      <c r="L1590" s="4" t="s">
        <v>25</v>
      </c>
      <c r="M1590" s="11">
        <f>_xlfn.NUMBERVALUE(LEFT(Table613612[[#This Row],[Fiscal Year]], 4))</f>
        <v>2017</v>
      </c>
      <c r="N1590" s="42">
        <f t="shared" si="31"/>
        <v>196325.56560587516</v>
      </c>
      <c r="O1590" s="3">
        <v>1588</v>
      </c>
    </row>
    <row r="1591" spans="1:15" x14ac:dyDescent="0.25">
      <c r="A1591" s="3">
        <v>8</v>
      </c>
      <c r="B1591" s="3" t="s">
        <v>262</v>
      </c>
      <c r="C1591" s="1" t="s">
        <v>262</v>
      </c>
      <c r="D1591" s="1" t="s">
        <v>444</v>
      </c>
      <c r="E1591" s="11" t="s">
        <v>144</v>
      </c>
      <c r="F1591" s="3" t="s">
        <v>5</v>
      </c>
      <c r="G1591" s="66" t="s">
        <v>970</v>
      </c>
      <c r="H1591" s="6" t="s">
        <v>493</v>
      </c>
      <c r="I1591" s="8" t="s">
        <v>502</v>
      </c>
      <c r="J1591" s="6" t="s">
        <v>107</v>
      </c>
      <c r="K1591" s="38">
        <v>505423</v>
      </c>
      <c r="L1591" s="4" t="s">
        <v>25</v>
      </c>
      <c r="M1591" s="11">
        <f>_xlfn.NUMBERVALUE(LEFT(Table613612[[#This Row],[Fiscal Year]], 4))</f>
        <v>2017</v>
      </c>
      <c r="N1591" s="42">
        <f t="shared" si="31"/>
        <v>518890.63611995109</v>
      </c>
      <c r="O1591" s="3">
        <v>1589</v>
      </c>
    </row>
    <row r="1592" spans="1:15" x14ac:dyDescent="0.25">
      <c r="A1592" s="3">
        <v>8</v>
      </c>
      <c r="B1592" s="3" t="s">
        <v>262</v>
      </c>
      <c r="C1592" s="1" t="s">
        <v>262</v>
      </c>
      <c r="D1592" s="1" t="s">
        <v>444</v>
      </c>
      <c r="E1592" s="11" t="s">
        <v>144</v>
      </c>
      <c r="F1592" s="3" t="s">
        <v>5</v>
      </c>
      <c r="G1592" s="66" t="s">
        <v>971</v>
      </c>
      <c r="H1592" s="6" t="s">
        <v>493</v>
      </c>
      <c r="I1592" s="8" t="s">
        <v>502</v>
      </c>
      <c r="J1592" s="6" t="s">
        <v>107</v>
      </c>
      <c r="K1592" s="38">
        <v>410604</v>
      </c>
      <c r="L1592" s="4" t="s">
        <v>25</v>
      </c>
      <c r="M1592" s="11">
        <f>_xlfn.NUMBERVALUE(LEFT(Table613612[[#This Row],[Fiscal Year]], 4))</f>
        <v>2017</v>
      </c>
      <c r="N1592" s="42">
        <f t="shared" si="31"/>
        <v>421545.06374541007</v>
      </c>
      <c r="O1592" s="3">
        <v>1590</v>
      </c>
    </row>
    <row r="1593" spans="1:15" x14ac:dyDescent="0.25">
      <c r="A1593" s="3">
        <v>8</v>
      </c>
      <c r="B1593" s="3" t="s">
        <v>262</v>
      </c>
      <c r="C1593" s="1" t="s">
        <v>262</v>
      </c>
      <c r="D1593" s="1" t="s">
        <v>444</v>
      </c>
      <c r="E1593" s="11" t="s">
        <v>144</v>
      </c>
      <c r="F1593" s="3" t="s">
        <v>5</v>
      </c>
      <c r="G1593" s="66" t="s">
        <v>972</v>
      </c>
      <c r="H1593" s="8" t="s">
        <v>494</v>
      </c>
      <c r="I1593" s="8" t="s">
        <v>502</v>
      </c>
      <c r="J1593" s="6" t="s">
        <v>109</v>
      </c>
      <c r="K1593" s="38">
        <v>9298</v>
      </c>
      <c r="L1593" s="4" t="s">
        <v>25</v>
      </c>
      <c r="M1593" s="11">
        <f>_xlfn.NUMBERVALUE(LEFT(Table613612[[#This Row],[Fiscal Year]], 4))</f>
        <v>2017</v>
      </c>
      <c r="N1593" s="42">
        <f t="shared" si="31"/>
        <v>9545.7569889840888</v>
      </c>
      <c r="O1593" s="3">
        <v>1591</v>
      </c>
    </row>
    <row r="1594" spans="1:15" x14ac:dyDescent="0.25">
      <c r="A1594" s="3">
        <v>8</v>
      </c>
      <c r="B1594" s="3" t="s">
        <v>262</v>
      </c>
      <c r="C1594" s="1" t="s">
        <v>262</v>
      </c>
      <c r="D1594" s="1" t="s">
        <v>444</v>
      </c>
      <c r="E1594" s="11" t="s">
        <v>144</v>
      </c>
      <c r="F1594" s="3" t="s">
        <v>5</v>
      </c>
      <c r="G1594" s="66" t="s">
        <v>973</v>
      </c>
      <c r="H1594" s="8" t="s">
        <v>495</v>
      </c>
      <c r="I1594" s="8" t="s">
        <v>502</v>
      </c>
      <c r="J1594" s="6" t="s">
        <v>106</v>
      </c>
      <c r="K1594" s="38">
        <v>0</v>
      </c>
      <c r="L1594" s="4" t="s">
        <v>25</v>
      </c>
      <c r="M1594" s="11">
        <f>_xlfn.NUMBERVALUE(LEFT(Table613612[[#This Row],[Fiscal Year]], 4))</f>
        <v>2017</v>
      </c>
      <c r="N1594" s="43">
        <f t="shared" si="31"/>
        <v>0</v>
      </c>
      <c r="O1594" s="3">
        <v>1592</v>
      </c>
    </row>
    <row r="1595" spans="1:15" x14ac:dyDescent="0.25">
      <c r="A1595" s="3">
        <v>8</v>
      </c>
      <c r="B1595" s="3" t="s">
        <v>262</v>
      </c>
      <c r="C1595" s="1" t="s">
        <v>262</v>
      </c>
      <c r="D1595" s="1" t="s">
        <v>444</v>
      </c>
      <c r="E1595" s="11" t="s">
        <v>144</v>
      </c>
      <c r="F1595" s="3" t="s">
        <v>5</v>
      </c>
      <c r="G1595" s="66" t="s">
        <v>974</v>
      </c>
      <c r="H1595" s="8" t="s">
        <v>495</v>
      </c>
      <c r="I1595" s="8" t="s">
        <v>502</v>
      </c>
      <c r="J1595" s="6" t="s">
        <v>106</v>
      </c>
      <c r="K1595" s="38">
        <v>300537</v>
      </c>
      <c r="L1595" s="4" t="s">
        <v>25</v>
      </c>
      <c r="M1595" s="11">
        <f>_xlfn.NUMBERVALUE(LEFT(Table613612[[#This Row],[Fiscal Year]], 4))</f>
        <v>2017</v>
      </c>
      <c r="N1595" s="42">
        <f t="shared" si="31"/>
        <v>308545.1890942473</v>
      </c>
      <c r="O1595" s="3">
        <v>1593</v>
      </c>
    </row>
    <row r="1596" spans="1:15" x14ac:dyDescent="0.25">
      <c r="A1596" s="3">
        <v>8</v>
      </c>
      <c r="B1596" s="3" t="s">
        <v>262</v>
      </c>
      <c r="C1596" s="1" t="s">
        <v>262</v>
      </c>
      <c r="D1596" s="1" t="s">
        <v>444</v>
      </c>
      <c r="E1596" s="11" t="s">
        <v>144</v>
      </c>
      <c r="F1596" s="3" t="s">
        <v>5</v>
      </c>
      <c r="G1596" s="69" t="s">
        <v>975</v>
      </c>
      <c r="H1596" s="8"/>
      <c r="I1596" s="8"/>
      <c r="J1596" s="6"/>
      <c r="K1596" s="38">
        <v>1459561</v>
      </c>
      <c r="L1596" s="4" t="s">
        <v>25</v>
      </c>
      <c r="M1596" s="11">
        <v>2017</v>
      </c>
      <c r="N1596" s="42">
        <f t="shared" si="31"/>
        <v>1498452.8518604652</v>
      </c>
      <c r="O1596" s="3">
        <v>1594</v>
      </c>
    </row>
    <row r="1597" spans="1:15" x14ac:dyDescent="0.25">
      <c r="C1597" s="1"/>
      <c r="D1597" s="1"/>
      <c r="E1597" s="11"/>
      <c r="G1597" s="66"/>
      <c r="H1597" s="8"/>
      <c r="I1597" s="8"/>
      <c r="J1597" s="6"/>
      <c r="L1597" s="4"/>
      <c r="O1597" s="3">
        <v>1595</v>
      </c>
    </row>
    <row r="1598" spans="1:15" x14ac:dyDescent="0.25">
      <c r="A1598" s="3">
        <v>9</v>
      </c>
      <c r="B1598" s="3" t="s">
        <v>263</v>
      </c>
      <c r="C1598" s="1" t="s">
        <v>262</v>
      </c>
      <c r="D1598" s="1" t="s">
        <v>444</v>
      </c>
      <c r="E1598" s="11" t="s">
        <v>144</v>
      </c>
      <c r="F1598" s="3" t="s">
        <v>8</v>
      </c>
      <c r="G1598" s="48" t="s">
        <v>1008</v>
      </c>
      <c r="H1598" s="8" t="s">
        <v>76</v>
      </c>
      <c r="I1598" s="8" t="s">
        <v>640</v>
      </c>
      <c r="J1598" s="6" t="s">
        <v>76</v>
      </c>
      <c r="K1598" s="38">
        <v>394780</v>
      </c>
      <c r="L1598" s="4" t="s">
        <v>25</v>
      </c>
      <c r="M1598" s="11">
        <f>_xlfn.NUMBERVALUE(LEFT(Table613612[[#This Row],[Fiscal Year]], 4))</f>
        <v>2017</v>
      </c>
      <c r="N1598" s="42">
        <f t="shared" si="31"/>
        <v>405299.41321909428</v>
      </c>
      <c r="O1598" s="3">
        <v>1596</v>
      </c>
    </row>
    <row r="1599" spans="1:15" x14ac:dyDescent="0.25">
      <c r="A1599" s="3">
        <v>9</v>
      </c>
      <c r="B1599" s="3" t="s">
        <v>263</v>
      </c>
      <c r="C1599" s="1" t="s">
        <v>262</v>
      </c>
      <c r="D1599" s="1" t="s">
        <v>444</v>
      </c>
      <c r="E1599" s="11" t="s">
        <v>144</v>
      </c>
      <c r="F1599" s="3" t="s">
        <v>8</v>
      </c>
      <c r="G1599" s="48" t="s">
        <v>1009</v>
      </c>
      <c r="H1599" s="8" t="s">
        <v>76</v>
      </c>
      <c r="I1599" s="8" t="s">
        <v>502</v>
      </c>
      <c r="J1599" s="6" t="s">
        <v>76</v>
      </c>
      <c r="K1599" s="38">
        <v>1800</v>
      </c>
      <c r="L1599" s="4" t="s">
        <v>25</v>
      </c>
      <c r="M1599" s="11">
        <f>_xlfn.NUMBERVALUE(LEFT(Table613612[[#This Row],[Fiscal Year]], 4))</f>
        <v>2017</v>
      </c>
      <c r="N1599" s="42">
        <f t="shared" si="31"/>
        <v>1847.9632802937579</v>
      </c>
      <c r="O1599" s="3">
        <v>1597</v>
      </c>
    </row>
    <row r="1600" spans="1:15" x14ac:dyDescent="0.25">
      <c r="A1600" s="3">
        <v>9</v>
      </c>
      <c r="B1600" s="3" t="s">
        <v>263</v>
      </c>
      <c r="C1600" s="1" t="s">
        <v>262</v>
      </c>
      <c r="D1600" s="1" t="s">
        <v>444</v>
      </c>
      <c r="E1600" s="11" t="s">
        <v>144</v>
      </c>
      <c r="F1600" s="3" t="s">
        <v>8</v>
      </c>
      <c r="G1600" s="48" t="s">
        <v>1010</v>
      </c>
      <c r="H1600" s="8" t="s">
        <v>76</v>
      </c>
      <c r="I1600" s="8" t="s">
        <v>502</v>
      </c>
      <c r="J1600" s="6" t="s">
        <v>76</v>
      </c>
      <c r="K1600" s="38">
        <v>0</v>
      </c>
      <c r="L1600" s="4" t="s">
        <v>25</v>
      </c>
      <c r="M1600" s="11">
        <f>_xlfn.NUMBERVALUE(LEFT(Table613612[[#This Row],[Fiscal Year]], 4))</f>
        <v>2017</v>
      </c>
      <c r="N1600" s="43">
        <f t="shared" si="31"/>
        <v>0</v>
      </c>
      <c r="O1600" s="3">
        <v>1598</v>
      </c>
    </row>
    <row r="1601" spans="1:15" x14ac:dyDescent="0.25">
      <c r="A1601" s="3">
        <v>9</v>
      </c>
      <c r="B1601" s="3" t="s">
        <v>263</v>
      </c>
      <c r="C1601" s="1" t="s">
        <v>262</v>
      </c>
      <c r="D1601" s="1" t="s">
        <v>444</v>
      </c>
      <c r="E1601" s="11" t="s">
        <v>144</v>
      </c>
      <c r="F1601" s="3" t="s">
        <v>8</v>
      </c>
      <c r="G1601" s="48" t="s">
        <v>1011</v>
      </c>
      <c r="H1601" s="8" t="s">
        <v>496</v>
      </c>
      <c r="I1601" s="8" t="s">
        <v>502</v>
      </c>
      <c r="J1601" s="6" t="s">
        <v>110</v>
      </c>
      <c r="K1601" s="38">
        <v>151595</v>
      </c>
      <c r="L1601" s="4" t="s">
        <v>25</v>
      </c>
      <c r="M1601" s="11">
        <f>_xlfn.NUMBERVALUE(LEFT(Table613612[[#This Row],[Fiscal Year]], 4))</f>
        <v>2017</v>
      </c>
      <c r="N1601" s="42">
        <f t="shared" si="31"/>
        <v>155634.44082007345</v>
      </c>
      <c r="O1601" s="3">
        <v>1599</v>
      </c>
    </row>
    <row r="1602" spans="1:15" x14ac:dyDescent="0.25">
      <c r="A1602" s="3">
        <v>9</v>
      </c>
      <c r="B1602" s="3" t="s">
        <v>263</v>
      </c>
      <c r="C1602" s="1" t="s">
        <v>262</v>
      </c>
      <c r="D1602" s="1" t="s">
        <v>444</v>
      </c>
      <c r="E1602" s="11" t="s">
        <v>144</v>
      </c>
      <c r="F1602" s="3" t="s">
        <v>8</v>
      </c>
      <c r="G1602" s="48" t="s">
        <v>1012</v>
      </c>
      <c r="H1602" s="8" t="s">
        <v>498</v>
      </c>
      <c r="I1602" s="8" t="s">
        <v>502</v>
      </c>
      <c r="J1602" s="6" t="s">
        <v>108</v>
      </c>
      <c r="K1602" s="38">
        <v>12128</v>
      </c>
      <c r="L1602" s="4" t="s">
        <v>25</v>
      </c>
      <c r="M1602" s="11">
        <f>_xlfn.NUMBERVALUE(LEFT(Table613612[[#This Row],[Fiscal Year]], 4))</f>
        <v>2017</v>
      </c>
      <c r="N1602" s="42">
        <f t="shared" si="31"/>
        <v>12451.165924112609</v>
      </c>
      <c r="O1602" s="3">
        <v>1600</v>
      </c>
    </row>
    <row r="1603" spans="1:15" x14ac:dyDescent="0.25">
      <c r="A1603" s="3">
        <v>9</v>
      </c>
      <c r="B1603" s="3" t="s">
        <v>263</v>
      </c>
      <c r="C1603" s="1" t="s">
        <v>262</v>
      </c>
      <c r="D1603" s="1" t="s">
        <v>444</v>
      </c>
      <c r="E1603" s="11" t="s">
        <v>144</v>
      </c>
      <c r="F1603" s="3" t="s">
        <v>8</v>
      </c>
      <c r="G1603" s="48" t="s">
        <v>1013</v>
      </c>
      <c r="H1603" s="8" t="s">
        <v>498</v>
      </c>
      <c r="I1603" s="8" t="s">
        <v>502</v>
      </c>
      <c r="J1603" s="6" t="s">
        <v>108</v>
      </c>
      <c r="K1603" s="38">
        <v>15159</v>
      </c>
      <c r="L1603" s="4" t="s">
        <v>25</v>
      </c>
      <c r="M1603" s="11">
        <f>_xlfn.NUMBERVALUE(LEFT(Table613612[[#This Row],[Fiscal Year]], 4))</f>
        <v>2017</v>
      </c>
      <c r="N1603" s="42">
        <f t="shared" si="31"/>
        <v>15562.93075887393</v>
      </c>
      <c r="O1603" s="3">
        <v>1601</v>
      </c>
    </row>
    <row r="1604" spans="1:15" x14ac:dyDescent="0.25">
      <c r="A1604" s="3">
        <v>9</v>
      </c>
      <c r="B1604" s="3" t="s">
        <v>263</v>
      </c>
      <c r="C1604" s="1" t="s">
        <v>262</v>
      </c>
      <c r="D1604" s="1" t="s">
        <v>444</v>
      </c>
      <c r="E1604" s="11" t="s">
        <v>144</v>
      </c>
      <c r="F1604" s="3" t="s">
        <v>8</v>
      </c>
      <c r="G1604" s="48" t="s">
        <v>1014</v>
      </c>
      <c r="H1604" s="8" t="s">
        <v>498</v>
      </c>
      <c r="I1604" s="8" t="s">
        <v>502</v>
      </c>
      <c r="J1604" s="6" t="s">
        <v>108</v>
      </c>
      <c r="K1604" s="38">
        <v>68505</v>
      </c>
      <c r="L1604" s="4" t="s">
        <v>25</v>
      </c>
      <c r="M1604" s="11">
        <f>_xlfn.NUMBERVALUE(LEFT(Table613612[[#This Row],[Fiscal Year]], 4))</f>
        <v>2017</v>
      </c>
      <c r="N1604" s="42">
        <f t="shared" si="31"/>
        <v>70330.402509179941</v>
      </c>
      <c r="O1604" s="3">
        <v>1602</v>
      </c>
    </row>
    <row r="1605" spans="1:15" x14ac:dyDescent="0.25">
      <c r="A1605" s="3">
        <v>9</v>
      </c>
      <c r="B1605" s="3" t="s">
        <v>263</v>
      </c>
      <c r="C1605" s="1" t="s">
        <v>262</v>
      </c>
      <c r="D1605" s="1" t="s">
        <v>444</v>
      </c>
      <c r="E1605" s="11" t="s">
        <v>144</v>
      </c>
      <c r="F1605" s="3" t="s">
        <v>8</v>
      </c>
      <c r="G1605" s="48" t="s">
        <v>1015</v>
      </c>
      <c r="H1605" s="8" t="s">
        <v>498</v>
      </c>
      <c r="I1605" s="8" t="s">
        <v>502</v>
      </c>
      <c r="J1605" s="6" t="s">
        <v>108</v>
      </c>
      <c r="K1605" s="38">
        <v>7580</v>
      </c>
      <c r="L1605" s="4" t="s">
        <v>25</v>
      </c>
      <c r="M1605" s="11">
        <f>_xlfn.NUMBERVALUE(LEFT(Table613612[[#This Row],[Fiscal Year]], 4))</f>
        <v>2017</v>
      </c>
      <c r="N1605" s="42">
        <f t="shared" si="31"/>
        <v>7781.9787025703799</v>
      </c>
      <c r="O1605" s="3">
        <v>1603</v>
      </c>
    </row>
    <row r="1606" spans="1:15" x14ac:dyDescent="0.25">
      <c r="A1606" s="3">
        <v>9</v>
      </c>
      <c r="B1606" s="3" t="s">
        <v>263</v>
      </c>
      <c r="C1606" s="1" t="s">
        <v>262</v>
      </c>
      <c r="D1606" s="1" t="s">
        <v>444</v>
      </c>
      <c r="E1606" s="11" t="s">
        <v>144</v>
      </c>
      <c r="F1606" s="3" t="s">
        <v>8</v>
      </c>
      <c r="G1606" s="48" t="s">
        <v>1016</v>
      </c>
      <c r="H1606" s="8" t="s">
        <v>498</v>
      </c>
      <c r="I1606" s="8" t="s">
        <v>502</v>
      </c>
      <c r="J1606" s="6" t="s">
        <v>108</v>
      </c>
      <c r="K1606" s="38">
        <v>2426</v>
      </c>
      <c r="L1606" s="4" t="s">
        <v>25</v>
      </c>
      <c r="M1606" s="11">
        <f>_xlfn.NUMBERVALUE(LEFT(Table613612[[#This Row],[Fiscal Year]], 4))</f>
        <v>2017</v>
      </c>
      <c r="N1606" s="42">
        <f t="shared" si="31"/>
        <v>2490.6438433292537</v>
      </c>
      <c r="O1606" s="3">
        <v>1604</v>
      </c>
    </row>
    <row r="1607" spans="1:15" x14ac:dyDescent="0.25">
      <c r="A1607" s="3">
        <v>9</v>
      </c>
      <c r="B1607" s="3" t="s">
        <v>263</v>
      </c>
      <c r="C1607" s="1" t="s">
        <v>262</v>
      </c>
      <c r="D1607" s="1" t="s">
        <v>444</v>
      </c>
      <c r="E1607" s="11" t="s">
        <v>144</v>
      </c>
      <c r="F1607" s="3" t="s">
        <v>8</v>
      </c>
      <c r="G1607" s="66" t="s">
        <v>1017</v>
      </c>
      <c r="H1607" s="8" t="s">
        <v>499</v>
      </c>
      <c r="I1607" s="8" t="s">
        <v>502</v>
      </c>
      <c r="J1607" s="6" t="s">
        <v>42</v>
      </c>
      <c r="K1607" s="38">
        <v>7580</v>
      </c>
      <c r="L1607" s="4" t="s">
        <v>25</v>
      </c>
      <c r="M1607" s="11">
        <f>_xlfn.NUMBERVALUE(LEFT(Table613612[[#This Row],[Fiscal Year]], 4))</f>
        <v>2017</v>
      </c>
      <c r="N1607" s="42">
        <f t="shared" si="31"/>
        <v>7781.9787025703799</v>
      </c>
      <c r="O1607" s="3">
        <v>1605</v>
      </c>
    </row>
    <row r="1608" spans="1:15" x14ac:dyDescent="0.25">
      <c r="A1608" s="3">
        <v>9</v>
      </c>
      <c r="B1608" s="3" t="s">
        <v>263</v>
      </c>
      <c r="C1608" s="1" t="s">
        <v>262</v>
      </c>
      <c r="D1608" s="1" t="s">
        <v>444</v>
      </c>
      <c r="E1608" s="11" t="s">
        <v>144</v>
      </c>
      <c r="F1608" s="3" t="s">
        <v>8</v>
      </c>
      <c r="G1608" s="48" t="s">
        <v>1018</v>
      </c>
      <c r="H1608" s="8" t="s">
        <v>499</v>
      </c>
      <c r="I1608" s="8" t="s">
        <v>502</v>
      </c>
      <c r="J1608" s="6" t="s">
        <v>453</v>
      </c>
      <c r="K1608" s="38">
        <v>7580</v>
      </c>
      <c r="L1608" s="4" t="s">
        <v>25</v>
      </c>
      <c r="M1608" s="11">
        <f>_xlfn.NUMBERVALUE(LEFT(Table613612[[#This Row],[Fiscal Year]], 4))</f>
        <v>2017</v>
      </c>
      <c r="N1608" s="42">
        <f t="shared" si="31"/>
        <v>7781.9787025703799</v>
      </c>
      <c r="O1608" s="3">
        <v>1606</v>
      </c>
    </row>
    <row r="1609" spans="1:15" x14ac:dyDescent="0.25">
      <c r="A1609" s="3">
        <v>9</v>
      </c>
      <c r="B1609" s="3" t="s">
        <v>263</v>
      </c>
      <c r="C1609" s="1" t="s">
        <v>262</v>
      </c>
      <c r="D1609" s="1" t="s">
        <v>444</v>
      </c>
      <c r="E1609" s="11" t="s">
        <v>144</v>
      </c>
      <c r="F1609" s="3" t="s">
        <v>8</v>
      </c>
      <c r="G1609" s="66" t="s">
        <v>1019</v>
      </c>
      <c r="H1609" s="8" t="s">
        <v>497</v>
      </c>
      <c r="I1609" s="8" t="s">
        <v>502</v>
      </c>
      <c r="J1609" s="6" t="s">
        <v>111</v>
      </c>
      <c r="K1609" s="38">
        <v>10308</v>
      </c>
      <c r="L1609" s="4" t="s">
        <v>25</v>
      </c>
      <c r="M1609" s="11">
        <f>_xlfn.NUMBERVALUE(LEFT(Table613612[[#This Row],[Fiscal Year]], 4))</f>
        <v>2017</v>
      </c>
      <c r="N1609" s="42">
        <f t="shared" si="31"/>
        <v>10582.669718482253</v>
      </c>
      <c r="O1609" s="3">
        <v>1607</v>
      </c>
    </row>
    <row r="1610" spans="1:15" x14ac:dyDescent="0.25">
      <c r="A1610" s="3">
        <v>9</v>
      </c>
      <c r="B1610" s="3" t="s">
        <v>263</v>
      </c>
      <c r="C1610" s="1" t="s">
        <v>262</v>
      </c>
      <c r="D1610" s="1" t="s">
        <v>444</v>
      </c>
      <c r="E1610" s="11" t="s">
        <v>144</v>
      </c>
      <c r="F1610" s="3" t="s">
        <v>8</v>
      </c>
      <c r="G1610" s="66" t="s">
        <v>1020</v>
      </c>
      <c r="H1610" s="8" t="s">
        <v>500</v>
      </c>
      <c r="I1610" s="8" t="s">
        <v>502</v>
      </c>
      <c r="J1610" s="6" t="s">
        <v>109</v>
      </c>
      <c r="K1610" s="38">
        <v>12734</v>
      </c>
      <c r="L1610" s="4" t="s">
        <v>25</v>
      </c>
      <c r="M1610" s="11">
        <f>_xlfn.NUMBERVALUE(LEFT(Table613612[[#This Row],[Fiscal Year]], 4))</f>
        <v>2017</v>
      </c>
      <c r="N1610" s="42">
        <f t="shared" si="31"/>
        <v>13073.313561811507</v>
      </c>
      <c r="O1610" s="3">
        <v>1608</v>
      </c>
    </row>
    <row r="1611" spans="1:15" x14ac:dyDescent="0.25">
      <c r="A1611" s="3">
        <v>9</v>
      </c>
      <c r="B1611" s="3" t="s">
        <v>263</v>
      </c>
      <c r="C1611" s="1" t="s">
        <v>262</v>
      </c>
      <c r="D1611" s="1" t="s">
        <v>444</v>
      </c>
      <c r="E1611" s="11" t="s">
        <v>144</v>
      </c>
      <c r="F1611" s="3" t="s">
        <v>8</v>
      </c>
      <c r="G1611" s="66" t="s">
        <v>1021</v>
      </c>
      <c r="H1611" s="8" t="s">
        <v>501</v>
      </c>
      <c r="I1611" s="8" t="s">
        <v>502</v>
      </c>
      <c r="J1611" s="6" t="s">
        <v>106</v>
      </c>
      <c r="K1611" s="38">
        <v>12734</v>
      </c>
      <c r="L1611" s="4" t="s">
        <v>25</v>
      </c>
      <c r="M1611" s="11">
        <f>_xlfn.NUMBERVALUE(LEFT(Table613612[[#This Row],[Fiscal Year]], 4))</f>
        <v>2017</v>
      </c>
      <c r="N1611" s="42">
        <f t="shared" si="31"/>
        <v>13073.313561811507</v>
      </c>
      <c r="O1611" s="3">
        <v>1609</v>
      </c>
    </row>
    <row r="1612" spans="1:15" x14ac:dyDescent="0.25">
      <c r="A1612" s="3">
        <v>9</v>
      </c>
      <c r="B1612" s="3" t="s">
        <v>263</v>
      </c>
      <c r="C1612" s="1" t="s">
        <v>262</v>
      </c>
      <c r="D1612" s="1" t="s">
        <v>444</v>
      </c>
      <c r="E1612" s="11" t="s">
        <v>144</v>
      </c>
      <c r="F1612" s="3" t="s">
        <v>8</v>
      </c>
      <c r="G1612" s="66" t="s">
        <v>1022</v>
      </c>
      <c r="H1612" s="8"/>
      <c r="I1612" s="8"/>
      <c r="J1612" s="6" t="s">
        <v>455</v>
      </c>
      <c r="K1612" s="38">
        <v>216799</v>
      </c>
      <c r="L1612" s="4" t="s">
        <v>25</v>
      </c>
      <c r="M1612" s="11">
        <f>_xlfn.NUMBERVALUE(LEFT(Table613612[[#This Row],[Fiscal Year]], 4))</f>
        <v>2017</v>
      </c>
      <c r="N1612" s="42">
        <f>K1612*(1+VLOOKUP(M1612,$AF$8:$AH$31,3,0))</f>
        <v>222575.884002448</v>
      </c>
      <c r="O1612" s="3">
        <v>1610</v>
      </c>
    </row>
    <row r="1613" spans="1:15" x14ac:dyDescent="0.25">
      <c r="A1613" s="3">
        <v>9</v>
      </c>
      <c r="B1613" s="3" t="s">
        <v>263</v>
      </c>
      <c r="C1613" s="1" t="s">
        <v>262</v>
      </c>
      <c r="D1613" s="1" t="s">
        <v>444</v>
      </c>
      <c r="E1613" s="11" t="s">
        <v>144</v>
      </c>
      <c r="F1613" s="3" t="s">
        <v>8</v>
      </c>
      <c r="G1613" s="48" t="s">
        <v>1023</v>
      </c>
      <c r="H1613" s="8"/>
      <c r="I1613" s="8"/>
      <c r="J1613" s="6" t="s">
        <v>453</v>
      </c>
      <c r="K1613" s="38">
        <v>37947864</v>
      </c>
      <c r="L1613" s="4" t="s">
        <v>25</v>
      </c>
      <c r="M1613" s="11">
        <f>_xlfn.NUMBERVALUE(LEFT(Table613612[[#This Row],[Fiscal Year]], 4))</f>
        <v>2017</v>
      </c>
      <c r="N1613" s="42">
        <f>K1613*(1+VLOOKUP(M1613,$AF$8:$AH$31,3,0))</f>
        <v>38959032.909767449</v>
      </c>
      <c r="O1613" s="3">
        <v>1611</v>
      </c>
    </row>
    <row r="1614" spans="1:15" x14ac:dyDescent="0.25">
      <c r="A1614" s="3">
        <v>9</v>
      </c>
      <c r="B1614" s="3" t="s">
        <v>263</v>
      </c>
      <c r="C1614" s="1" t="s">
        <v>262</v>
      </c>
      <c r="D1614" s="1" t="s">
        <v>444</v>
      </c>
      <c r="E1614" s="11" t="s">
        <v>144</v>
      </c>
      <c r="F1614" s="3" t="s">
        <v>8</v>
      </c>
      <c r="G1614" s="66" t="s">
        <v>1024</v>
      </c>
      <c r="H1614" s="8"/>
      <c r="I1614" s="8"/>
      <c r="J1614" s="6" t="s">
        <v>455</v>
      </c>
      <c r="K1614" s="38">
        <v>54000</v>
      </c>
      <c r="L1614" s="4" t="s">
        <v>25</v>
      </c>
      <c r="M1614" s="11">
        <f>_xlfn.NUMBERVALUE(LEFT(Table613612[[#This Row],[Fiscal Year]], 4))</f>
        <v>2017</v>
      </c>
      <c r="N1614" s="42">
        <f>K1614*(1+VLOOKUP(M1614,$AF$8:$AH$31,3,0))</f>
        <v>55438.898408812733</v>
      </c>
      <c r="O1614" s="3">
        <v>1612</v>
      </c>
    </row>
    <row r="1615" spans="1:15" x14ac:dyDescent="0.25">
      <c r="A1615" s="3">
        <v>9</v>
      </c>
      <c r="B1615" s="3" t="s">
        <v>263</v>
      </c>
      <c r="C1615" s="1" t="s">
        <v>262</v>
      </c>
      <c r="D1615" s="1" t="s">
        <v>444</v>
      </c>
      <c r="E1615" s="11" t="s">
        <v>144</v>
      </c>
      <c r="F1615" s="3" t="s">
        <v>8</v>
      </c>
      <c r="G1615" s="66" t="s">
        <v>1025</v>
      </c>
      <c r="H1615" s="8" t="s">
        <v>500</v>
      </c>
      <c r="I1615" s="8" t="s">
        <v>502</v>
      </c>
      <c r="J1615" s="6" t="s">
        <v>107</v>
      </c>
      <c r="K1615" s="38">
        <v>12734</v>
      </c>
      <c r="L1615" s="4" t="s">
        <v>25</v>
      </c>
      <c r="M1615" s="11">
        <f>_xlfn.NUMBERVALUE(LEFT(Table613612[[#This Row],[Fiscal Year]], 4))</f>
        <v>2017</v>
      </c>
      <c r="N1615" s="42">
        <f>K1615*(1+VLOOKUP(M1615,$AF$8:$AH$31,3,0))</f>
        <v>13073.313561811507</v>
      </c>
      <c r="O1615" s="3">
        <v>1613</v>
      </c>
    </row>
    <row r="1616" spans="1:15" x14ac:dyDescent="0.25">
      <c r="C1616" s="1"/>
      <c r="D1616" s="1"/>
      <c r="E1616" s="11"/>
      <c r="G1616" s="66"/>
      <c r="H1616" s="8"/>
      <c r="I1616" s="8"/>
      <c r="J1616" s="6"/>
      <c r="L1616" s="4"/>
      <c r="O1616" s="3">
        <v>1614</v>
      </c>
    </row>
    <row r="1617" spans="3:14" x14ac:dyDescent="0.25">
      <c r="C1617" s="1"/>
      <c r="D1617" s="1"/>
      <c r="E1617" s="11"/>
      <c r="G1617" s="48"/>
      <c r="H1617" s="8"/>
      <c r="I1617" s="8"/>
      <c r="J1617" s="6"/>
      <c r="L1617" s="4"/>
      <c r="N1617" s="43"/>
    </row>
    <row r="1618" spans="3:14" x14ac:dyDescent="0.25">
      <c r="C1618" s="1"/>
      <c r="D1618" s="1"/>
      <c r="E1618" s="11"/>
      <c r="G1618" s="66"/>
      <c r="H1618" s="8"/>
      <c r="I1618" s="8"/>
      <c r="J1618" s="6"/>
      <c r="L1618" s="4"/>
      <c r="N1618" s="43"/>
    </row>
    <row r="1619" spans="3:14" x14ac:dyDescent="0.25">
      <c r="C1619" s="1"/>
      <c r="D1619" s="1"/>
      <c r="E1619" s="11"/>
      <c r="G1619" s="66"/>
      <c r="H1619" s="8"/>
      <c r="I1619" s="8"/>
      <c r="J1619" s="6"/>
      <c r="L1619" s="4"/>
      <c r="N1619" s="43"/>
    </row>
    <row r="1620" spans="3:14" x14ac:dyDescent="0.25">
      <c r="C1620" s="1"/>
      <c r="D1620" s="1"/>
      <c r="E1620" s="11"/>
      <c r="G1620" s="66"/>
      <c r="H1620" s="8"/>
      <c r="I1620" s="8"/>
      <c r="J1620" s="6"/>
      <c r="L1620" s="4"/>
      <c r="N1620" s="43"/>
    </row>
    <row r="1621" spans="3:14" x14ac:dyDescent="0.25">
      <c r="C1621" s="1"/>
      <c r="D1621" s="1"/>
      <c r="E1621" s="11"/>
      <c r="G1621" s="66"/>
      <c r="H1621" s="8"/>
      <c r="I1621" s="8"/>
      <c r="J1621" s="6"/>
      <c r="L1621" s="4"/>
      <c r="N1621" s="43"/>
    </row>
    <row r="1622" spans="3:14" x14ac:dyDescent="0.25">
      <c r="C1622" s="1"/>
      <c r="D1622" s="1"/>
      <c r="E1622" s="11"/>
      <c r="G1622" s="48"/>
      <c r="H1622" s="8"/>
      <c r="I1622" s="8"/>
      <c r="J1622" s="6"/>
      <c r="L1622" s="4"/>
      <c r="N1622" s="43"/>
    </row>
    <row r="1623" spans="3:14" x14ac:dyDescent="0.25">
      <c r="C1623" s="1"/>
      <c r="D1623" s="1"/>
      <c r="E1623" s="11"/>
      <c r="G1623" s="66"/>
      <c r="H1623" s="8"/>
      <c r="I1623" s="8"/>
      <c r="J1623" s="6"/>
      <c r="L1623" s="4"/>
      <c r="N1623" s="43"/>
    </row>
    <row r="1624" spans="3:14" x14ac:dyDescent="0.25">
      <c r="C1624" s="1"/>
      <c r="D1624" s="1"/>
      <c r="E1624" s="11"/>
      <c r="G1624" s="66"/>
      <c r="H1624" s="8"/>
      <c r="I1624" s="8"/>
      <c r="J1624" s="6"/>
      <c r="L1624" s="4"/>
      <c r="N1624" s="43"/>
    </row>
    <row r="1625" spans="3:14" x14ac:dyDescent="0.25">
      <c r="C1625" s="1"/>
      <c r="D1625" s="1"/>
      <c r="E1625" s="11"/>
      <c r="G1625" s="66"/>
      <c r="H1625" s="8"/>
      <c r="I1625" s="8"/>
      <c r="J1625" s="6"/>
      <c r="L1625" s="4"/>
      <c r="N1625" s="43"/>
    </row>
    <row r="1626" spans="3:14" x14ac:dyDescent="0.25">
      <c r="C1626" s="1"/>
      <c r="D1626" s="1"/>
      <c r="E1626" s="11"/>
      <c r="G1626" s="66"/>
      <c r="H1626" s="8"/>
      <c r="I1626" s="8"/>
      <c r="J1626" s="6"/>
      <c r="L1626" s="4"/>
      <c r="N1626" s="43"/>
    </row>
    <row r="1627" spans="3:14" x14ac:dyDescent="0.25">
      <c r="C1627" s="1"/>
      <c r="D1627" s="1"/>
      <c r="E1627" s="11"/>
      <c r="G1627" s="66"/>
      <c r="H1627" s="8"/>
      <c r="I1627" s="8"/>
      <c r="J1627" s="6"/>
      <c r="L1627" s="4"/>
      <c r="N1627" s="43"/>
    </row>
    <row r="1628" spans="3:14" x14ac:dyDescent="0.25">
      <c r="C1628" s="1"/>
      <c r="D1628" s="1"/>
      <c r="E1628" s="11"/>
      <c r="G1628" s="66"/>
      <c r="H1628" s="8"/>
      <c r="I1628" s="8"/>
      <c r="J1628" s="6"/>
      <c r="L1628" s="4"/>
      <c r="N1628" s="43"/>
    </row>
    <row r="1629" spans="3:14" x14ac:dyDescent="0.25">
      <c r="C1629" s="1"/>
      <c r="D1629" s="1"/>
      <c r="E1629" s="11"/>
      <c r="G1629" s="66"/>
      <c r="H1629" s="8"/>
      <c r="I1629" s="8"/>
      <c r="J1629" s="6"/>
      <c r="L1629" s="4"/>
    </row>
    <row r="1630" spans="3:14" x14ac:dyDescent="0.25">
      <c r="C1630" s="1"/>
      <c r="D1630" s="1"/>
      <c r="E1630" s="11"/>
      <c r="G1630" s="66"/>
      <c r="H1630" s="8"/>
      <c r="I1630" s="8"/>
      <c r="J1630" s="6"/>
      <c r="L1630" s="4"/>
      <c r="N1630" s="43"/>
    </row>
    <row r="1631" spans="3:14" x14ac:dyDescent="0.25">
      <c r="C1631" s="1"/>
      <c r="D1631" s="1"/>
      <c r="E1631" s="11"/>
      <c r="G1631" s="66"/>
      <c r="H1631" s="8"/>
      <c r="I1631" s="8"/>
      <c r="J1631" s="6"/>
      <c r="L1631" s="4"/>
      <c r="N1631" s="43"/>
    </row>
    <row r="1632" spans="3:14" x14ac:dyDescent="0.25">
      <c r="C1632" s="1"/>
      <c r="D1632" s="1"/>
      <c r="E1632" s="11"/>
      <c r="G1632" s="66"/>
      <c r="H1632" s="8"/>
      <c r="I1632" s="8"/>
      <c r="J1632" s="6"/>
      <c r="L1632" s="4"/>
    </row>
    <row r="1633" spans="3:14" x14ac:dyDescent="0.25">
      <c r="C1633" s="1"/>
      <c r="D1633" s="1"/>
      <c r="E1633" s="11"/>
      <c r="G1633" s="48"/>
      <c r="H1633" s="8"/>
      <c r="I1633" s="8"/>
      <c r="J1633" s="6"/>
      <c r="L1633" s="4"/>
    </row>
    <row r="1634" spans="3:14" x14ac:dyDescent="0.25">
      <c r="C1634" s="1"/>
      <c r="D1634" s="1"/>
      <c r="E1634" s="11"/>
      <c r="G1634" s="66"/>
      <c r="H1634" s="8"/>
      <c r="I1634" s="8"/>
      <c r="J1634" s="6"/>
      <c r="L1634" s="4"/>
      <c r="N1634" s="43"/>
    </row>
    <row r="1635" spans="3:14" x14ac:dyDescent="0.25">
      <c r="C1635" s="1"/>
      <c r="D1635" s="1"/>
      <c r="E1635" s="11"/>
      <c r="G1635" s="66"/>
      <c r="H1635" s="8"/>
      <c r="I1635" s="8"/>
      <c r="J1635" s="6"/>
      <c r="L1635" s="4"/>
      <c r="N1635" s="43"/>
    </row>
    <row r="1636" spans="3:14" x14ac:dyDescent="0.25">
      <c r="C1636" s="1"/>
      <c r="D1636" s="1"/>
      <c r="E1636" s="11"/>
      <c r="G1636" s="66"/>
      <c r="H1636" s="8"/>
      <c r="I1636" s="8"/>
      <c r="J1636" s="6"/>
      <c r="L1636" s="4"/>
    </row>
    <row r="1637" spans="3:14" x14ac:dyDescent="0.25">
      <c r="C1637" s="1"/>
      <c r="D1637" s="1"/>
      <c r="E1637" s="11"/>
      <c r="G1637" s="66"/>
      <c r="H1637" s="8"/>
      <c r="I1637" s="8"/>
      <c r="J1637" s="6"/>
      <c r="L1637" s="4"/>
      <c r="N1637" s="43"/>
    </row>
    <row r="1638" spans="3:14" x14ac:dyDescent="0.25">
      <c r="C1638" s="1"/>
      <c r="D1638" s="1"/>
      <c r="E1638" s="11"/>
      <c r="G1638" s="48"/>
      <c r="H1638" s="8"/>
      <c r="I1638" s="8"/>
      <c r="J1638" s="6"/>
      <c r="L1638" s="4"/>
    </row>
    <row r="1639" spans="3:14" x14ac:dyDescent="0.25">
      <c r="C1639" s="1"/>
      <c r="D1639" s="1"/>
      <c r="E1639" s="11"/>
      <c r="G1639" s="66"/>
      <c r="H1639" s="8"/>
      <c r="I1639" s="8"/>
      <c r="J1639" s="6"/>
      <c r="L1639" s="4"/>
    </row>
    <row r="1640" spans="3:14" x14ac:dyDescent="0.25">
      <c r="C1640" s="1"/>
      <c r="D1640" s="1"/>
      <c r="E1640" s="11"/>
      <c r="G1640" s="66"/>
      <c r="H1640" s="8"/>
      <c r="I1640" s="8"/>
      <c r="J1640" s="6"/>
      <c r="L1640" s="4"/>
    </row>
    <row r="1641" spans="3:14" x14ac:dyDescent="0.25">
      <c r="C1641" s="1"/>
      <c r="D1641" s="1"/>
      <c r="E1641" s="11"/>
      <c r="G1641" s="66"/>
      <c r="H1641" s="8"/>
      <c r="I1641" s="8"/>
      <c r="J1641" s="6"/>
      <c r="L1641" s="4"/>
      <c r="N1641" s="43"/>
    </row>
    <row r="1642" spans="3:14" x14ac:dyDescent="0.25">
      <c r="C1642" s="1"/>
      <c r="D1642" s="1"/>
      <c r="E1642" s="11"/>
      <c r="G1642" s="66"/>
      <c r="H1642" s="8"/>
      <c r="I1642" s="8"/>
      <c r="J1642" s="6"/>
      <c r="L1642" s="4"/>
    </row>
    <row r="1643" spans="3:14" x14ac:dyDescent="0.25">
      <c r="C1643" s="1"/>
      <c r="D1643" s="1"/>
      <c r="E1643" s="11"/>
      <c r="G1643" s="66"/>
      <c r="H1643" s="8"/>
      <c r="I1643" s="8"/>
      <c r="J1643" s="6"/>
      <c r="L1643" s="4"/>
      <c r="N1643" s="43"/>
    </row>
    <row r="1644" spans="3:14" x14ac:dyDescent="0.25">
      <c r="C1644" s="1"/>
      <c r="D1644" s="1"/>
      <c r="E1644" s="11"/>
      <c r="G1644" s="66"/>
      <c r="H1644" s="8"/>
      <c r="I1644" s="8"/>
      <c r="J1644" s="6"/>
      <c r="L1644" s="4"/>
      <c r="N1644" s="43"/>
    </row>
    <row r="1645" spans="3:14" x14ac:dyDescent="0.25">
      <c r="C1645" s="1"/>
      <c r="D1645" s="1"/>
      <c r="E1645" s="11"/>
      <c r="G1645" s="66"/>
      <c r="H1645" s="8"/>
      <c r="I1645" s="8"/>
      <c r="J1645" s="6"/>
      <c r="L1645" s="4"/>
      <c r="N1645" s="43"/>
    </row>
    <row r="1646" spans="3:14" x14ac:dyDescent="0.25">
      <c r="C1646" s="1"/>
      <c r="D1646" s="1"/>
      <c r="E1646" s="11"/>
      <c r="G1646" s="66"/>
      <c r="H1646" s="8"/>
      <c r="I1646" s="8"/>
      <c r="J1646" s="6"/>
      <c r="L1646" s="4"/>
    </row>
    <row r="1647" spans="3:14" x14ac:dyDescent="0.25">
      <c r="C1647" s="1"/>
      <c r="D1647" s="1"/>
      <c r="E1647" s="11"/>
      <c r="G1647" s="66"/>
      <c r="H1647" s="8"/>
      <c r="I1647" s="8"/>
      <c r="J1647" s="6"/>
      <c r="L1647" s="4"/>
      <c r="N1647" s="43"/>
    </row>
    <row r="1648" spans="3:14" x14ac:dyDescent="0.25">
      <c r="C1648" s="1"/>
      <c r="D1648" s="1"/>
      <c r="E1648" s="11"/>
      <c r="G1648" s="66"/>
      <c r="H1648" s="8"/>
      <c r="I1648" s="8"/>
      <c r="J1648" s="6"/>
      <c r="L1648" s="4"/>
    </row>
    <row r="1649" spans="3:14" x14ac:dyDescent="0.25">
      <c r="C1649" s="1"/>
      <c r="D1649" s="1"/>
      <c r="E1649" s="11"/>
      <c r="G1649" s="66"/>
      <c r="H1649" s="8"/>
      <c r="I1649" s="8"/>
      <c r="J1649" s="6"/>
      <c r="L1649" s="4"/>
    </row>
    <row r="1650" spans="3:14" x14ac:dyDescent="0.25">
      <c r="C1650" s="1"/>
      <c r="D1650" s="1"/>
      <c r="E1650" s="11"/>
      <c r="G1650" s="48"/>
      <c r="H1650" s="8"/>
      <c r="I1650" s="8"/>
      <c r="J1650" s="6"/>
      <c r="L1650" s="4"/>
      <c r="N1650" s="43"/>
    </row>
    <row r="1651" spans="3:14" x14ac:dyDescent="0.25">
      <c r="C1651" s="1"/>
      <c r="D1651" s="1"/>
      <c r="E1651" s="11"/>
      <c r="G1651" s="66"/>
      <c r="H1651" s="8"/>
      <c r="I1651" s="8"/>
      <c r="J1651" s="6"/>
      <c r="L1651" s="4"/>
      <c r="N1651" s="43"/>
    </row>
    <row r="1652" spans="3:14" x14ac:dyDescent="0.25">
      <c r="C1652" s="1"/>
      <c r="D1652" s="1"/>
      <c r="E1652" s="11"/>
      <c r="G1652" s="66"/>
      <c r="H1652" s="8"/>
      <c r="I1652" s="8"/>
      <c r="J1652" s="6"/>
      <c r="L1652" s="4"/>
      <c r="N1652" s="43"/>
    </row>
    <row r="1653" spans="3:14" x14ac:dyDescent="0.25">
      <c r="C1653" s="1"/>
      <c r="D1653" s="1"/>
      <c r="E1653" s="11"/>
      <c r="G1653" s="66"/>
      <c r="H1653" s="8"/>
      <c r="I1653" s="8"/>
      <c r="J1653" s="6"/>
      <c r="L1653" s="4"/>
      <c r="N1653" s="43"/>
    </row>
    <row r="1654" spans="3:14" x14ac:dyDescent="0.25">
      <c r="C1654" s="1"/>
      <c r="D1654" s="1"/>
      <c r="E1654" s="11"/>
      <c r="G1654" s="66"/>
      <c r="H1654" s="8"/>
      <c r="I1654" s="8"/>
      <c r="J1654" s="6"/>
      <c r="L1654" s="4"/>
      <c r="N1654" s="43"/>
    </row>
    <row r="1655" spans="3:14" x14ac:dyDescent="0.25">
      <c r="C1655" s="1"/>
      <c r="D1655" s="1"/>
      <c r="E1655" s="11"/>
      <c r="G1655" s="48"/>
      <c r="H1655" s="8"/>
      <c r="I1655" s="8"/>
      <c r="J1655" s="6"/>
      <c r="L1655" s="4"/>
      <c r="N1655" s="43"/>
    </row>
    <row r="1656" spans="3:14" x14ac:dyDescent="0.25">
      <c r="C1656" s="1"/>
      <c r="D1656" s="1"/>
      <c r="E1656" s="11"/>
      <c r="G1656" s="66"/>
      <c r="H1656" s="8"/>
      <c r="I1656" s="8"/>
      <c r="J1656" s="6"/>
      <c r="L1656" s="4"/>
    </row>
    <row r="1657" spans="3:14" x14ac:dyDescent="0.25">
      <c r="C1657" s="1"/>
      <c r="D1657" s="1"/>
      <c r="E1657" s="11"/>
      <c r="G1657" s="66"/>
      <c r="H1657" s="8"/>
      <c r="I1657" s="8"/>
      <c r="J1657" s="6"/>
      <c r="L1657" s="4"/>
      <c r="N1657" s="43"/>
    </row>
    <row r="1658" spans="3:14" x14ac:dyDescent="0.25">
      <c r="C1658" s="1"/>
      <c r="D1658" s="1"/>
      <c r="E1658" s="11"/>
      <c r="G1658" s="66"/>
      <c r="H1658" s="8"/>
      <c r="I1658" s="8"/>
      <c r="J1658" s="6"/>
      <c r="L1658" s="4"/>
      <c r="N1658" s="43"/>
    </row>
    <row r="1659" spans="3:14" x14ac:dyDescent="0.25">
      <c r="C1659" s="1"/>
      <c r="D1659" s="1"/>
      <c r="E1659" s="11"/>
      <c r="G1659" s="66"/>
      <c r="H1659" s="8"/>
      <c r="I1659" s="8"/>
      <c r="J1659" s="6"/>
      <c r="L1659" s="4"/>
      <c r="N1659" s="43"/>
    </row>
    <row r="1660" spans="3:14" x14ac:dyDescent="0.25">
      <c r="C1660" s="1"/>
      <c r="D1660" s="1"/>
      <c r="E1660" s="11"/>
      <c r="G1660" s="66"/>
      <c r="H1660" s="8"/>
      <c r="I1660" s="8"/>
      <c r="J1660" s="6"/>
      <c r="L1660" s="4"/>
      <c r="N1660" s="43"/>
    </row>
    <row r="1661" spans="3:14" x14ac:dyDescent="0.25">
      <c r="C1661" s="1"/>
      <c r="D1661" s="1"/>
      <c r="E1661" s="11"/>
      <c r="G1661" s="66"/>
      <c r="H1661" s="8"/>
      <c r="I1661" s="8"/>
      <c r="J1661" s="6"/>
      <c r="L1661" s="4"/>
      <c r="N1661" s="43"/>
    </row>
    <row r="1662" spans="3:14" x14ac:dyDescent="0.25">
      <c r="C1662" s="1"/>
      <c r="D1662" s="1"/>
      <c r="E1662" s="11"/>
      <c r="G1662" s="66"/>
      <c r="H1662" s="8"/>
      <c r="I1662" s="8"/>
      <c r="J1662" s="6"/>
      <c r="L1662" s="4"/>
      <c r="N1662" s="43"/>
    </row>
    <row r="1663" spans="3:14" x14ac:dyDescent="0.25">
      <c r="C1663" s="1"/>
      <c r="D1663" s="1"/>
      <c r="E1663" s="11"/>
      <c r="G1663" s="66"/>
      <c r="H1663" s="8"/>
      <c r="I1663" s="8"/>
      <c r="J1663" s="6"/>
      <c r="L1663" s="4"/>
      <c r="N1663" s="43"/>
    </row>
    <row r="1664" spans="3:14" x14ac:dyDescent="0.25">
      <c r="C1664" s="1"/>
      <c r="D1664" s="1"/>
      <c r="E1664" s="11"/>
      <c r="G1664" s="66"/>
      <c r="H1664" s="8"/>
      <c r="I1664" s="8"/>
      <c r="J1664" s="6"/>
      <c r="L1664" s="4"/>
      <c r="N1664" s="43"/>
    </row>
    <row r="1665" spans="3:14" x14ac:dyDescent="0.25">
      <c r="C1665" s="1"/>
      <c r="D1665" s="1"/>
      <c r="E1665" s="11"/>
      <c r="G1665" s="66"/>
      <c r="H1665" s="8"/>
      <c r="I1665" s="8"/>
      <c r="J1665" s="6"/>
      <c r="L1665" s="4"/>
      <c r="N1665" s="43"/>
    </row>
    <row r="1666" spans="3:14" x14ac:dyDescent="0.25">
      <c r="C1666" s="1"/>
      <c r="D1666" s="1"/>
      <c r="E1666" s="11"/>
      <c r="G1666" s="48"/>
      <c r="H1666" s="8"/>
      <c r="I1666" s="8"/>
      <c r="J1666" s="6"/>
      <c r="L1666" s="4"/>
      <c r="N1666" s="43"/>
    </row>
    <row r="1667" spans="3:14" x14ac:dyDescent="0.25">
      <c r="C1667" s="1"/>
      <c r="D1667" s="1"/>
      <c r="E1667" s="11"/>
      <c r="G1667" s="66"/>
      <c r="H1667" s="8"/>
      <c r="I1667" s="8"/>
      <c r="J1667" s="6"/>
      <c r="L1667" s="4"/>
      <c r="N1667" s="43"/>
    </row>
    <row r="1668" spans="3:14" x14ac:dyDescent="0.25">
      <c r="C1668" s="1"/>
      <c r="D1668" s="1"/>
      <c r="E1668" s="11"/>
      <c r="G1668" s="66"/>
      <c r="H1668" s="8"/>
      <c r="I1668" s="8"/>
      <c r="J1668" s="6"/>
      <c r="L1668" s="4"/>
      <c r="N1668" s="43"/>
    </row>
    <row r="1669" spans="3:14" x14ac:dyDescent="0.25">
      <c r="C1669" s="1"/>
      <c r="D1669" s="1"/>
      <c r="E1669" s="11"/>
      <c r="G1669" s="66"/>
      <c r="H1669" s="8"/>
      <c r="I1669" s="8"/>
      <c r="J1669" s="6"/>
      <c r="L1669" s="4"/>
      <c r="N1669" s="43"/>
    </row>
    <row r="1670" spans="3:14" x14ac:dyDescent="0.25">
      <c r="C1670" s="1"/>
      <c r="D1670" s="1"/>
      <c r="E1670" s="11"/>
      <c r="G1670" s="66"/>
      <c r="H1670" s="8"/>
      <c r="I1670" s="8"/>
      <c r="J1670" s="6"/>
      <c r="L1670" s="4"/>
    </row>
    <row r="1671" spans="3:14" x14ac:dyDescent="0.25">
      <c r="C1671" s="1"/>
      <c r="D1671" s="1"/>
      <c r="E1671" s="11"/>
      <c r="G1671" s="48"/>
      <c r="H1671" s="8"/>
      <c r="I1671" s="8"/>
      <c r="J1671" s="6"/>
      <c r="L1671" s="4"/>
      <c r="N1671" s="43"/>
    </row>
    <row r="1672" spans="3:14" x14ac:dyDescent="0.25">
      <c r="C1672" s="1"/>
      <c r="D1672" s="1"/>
      <c r="E1672" s="11"/>
      <c r="G1672" s="66"/>
      <c r="H1672" s="8"/>
      <c r="I1672" s="8"/>
      <c r="J1672" s="6"/>
      <c r="L1672" s="4"/>
      <c r="N1672" s="43"/>
    </row>
    <row r="1673" spans="3:14" x14ac:dyDescent="0.25">
      <c r="C1673" s="1"/>
      <c r="D1673" s="1"/>
      <c r="E1673" s="11"/>
      <c r="G1673" s="66"/>
      <c r="H1673" s="8"/>
      <c r="I1673" s="8"/>
      <c r="J1673" s="6"/>
      <c r="L1673" s="4"/>
      <c r="N1673" s="43"/>
    </row>
    <row r="1674" spans="3:14" x14ac:dyDescent="0.25">
      <c r="C1674" s="1"/>
      <c r="D1674" s="1"/>
      <c r="E1674" s="11"/>
      <c r="G1674" s="66"/>
      <c r="H1674" s="8"/>
      <c r="I1674" s="8"/>
      <c r="J1674" s="6"/>
      <c r="L1674" s="4"/>
      <c r="N1674" s="43"/>
    </row>
    <row r="1675" spans="3:14" x14ac:dyDescent="0.25">
      <c r="C1675" s="1"/>
      <c r="D1675" s="1"/>
      <c r="E1675" s="11"/>
      <c r="G1675" s="66"/>
      <c r="H1675" s="8"/>
      <c r="I1675" s="8"/>
      <c r="J1675" s="6"/>
      <c r="L1675" s="4"/>
      <c r="N1675" s="43"/>
    </row>
    <row r="1676" spans="3:14" x14ac:dyDescent="0.25">
      <c r="C1676" s="1"/>
      <c r="D1676" s="1"/>
      <c r="E1676" s="11"/>
      <c r="G1676" s="66"/>
      <c r="H1676" s="8"/>
      <c r="I1676" s="8"/>
      <c r="J1676" s="6"/>
      <c r="L1676" s="4"/>
      <c r="N1676" s="43"/>
    </row>
    <row r="1677" spans="3:14" x14ac:dyDescent="0.25">
      <c r="C1677" s="1"/>
      <c r="D1677" s="1"/>
      <c r="E1677" s="11"/>
      <c r="G1677" s="66"/>
      <c r="H1677" s="8"/>
      <c r="I1677" s="8"/>
      <c r="J1677" s="6"/>
      <c r="L1677" s="4"/>
      <c r="N1677" s="43"/>
    </row>
    <row r="1678" spans="3:14" x14ac:dyDescent="0.25">
      <c r="C1678" s="1"/>
      <c r="D1678" s="1"/>
      <c r="E1678" s="11"/>
      <c r="G1678" s="66"/>
      <c r="H1678" s="8"/>
      <c r="I1678" s="8"/>
      <c r="J1678" s="6"/>
      <c r="L1678" s="4"/>
      <c r="N1678" s="43"/>
    </row>
    <row r="1679" spans="3:14" x14ac:dyDescent="0.25">
      <c r="C1679" s="1"/>
      <c r="D1679" s="1"/>
      <c r="E1679" s="11"/>
      <c r="G1679" s="66"/>
      <c r="H1679" s="8"/>
      <c r="I1679" s="8"/>
      <c r="J1679" s="6"/>
      <c r="L1679" s="4"/>
      <c r="N1679" s="43"/>
    </row>
    <row r="1680" spans="3:14" x14ac:dyDescent="0.25">
      <c r="C1680" s="1"/>
      <c r="D1680" s="1"/>
      <c r="E1680" s="11"/>
      <c r="G1680" s="66"/>
      <c r="H1680" s="8"/>
      <c r="I1680" s="8"/>
      <c r="J1680" s="6"/>
      <c r="L1680" s="4"/>
      <c r="N1680" s="43"/>
    </row>
    <row r="1681" spans="3:14" x14ac:dyDescent="0.25">
      <c r="C1681" s="1"/>
      <c r="D1681" s="1"/>
      <c r="E1681" s="11"/>
      <c r="G1681" s="66"/>
      <c r="H1681" s="8"/>
      <c r="I1681" s="8"/>
      <c r="J1681" s="6"/>
      <c r="L1681" s="4"/>
      <c r="N1681" s="43"/>
    </row>
    <row r="1682" spans="3:14" x14ac:dyDescent="0.25">
      <c r="C1682" s="1"/>
      <c r="D1682" s="1"/>
      <c r="E1682" s="11"/>
      <c r="G1682" s="48"/>
      <c r="H1682" s="8"/>
      <c r="I1682" s="8"/>
      <c r="J1682" s="6"/>
      <c r="L1682" s="4"/>
    </row>
    <row r="1683" spans="3:14" x14ac:dyDescent="0.25">
      <c r="C1683" s="1"/>
      <c r="D1683" s="1"/>
      <c r="E1683" s="11"/>
      <c r="G1683" s="48"/>
      <c r="H1683" s="8"/>
      <c r="I1683" s="8"/>
      <c r="J1683" s="6"/>
      <c r="L1683" s="4"/>
      <c r="N1683" s="43"/>
    </row>
    <row r="1684" spans="3:14" x14ac:dyDescent="0.25">
      <c r="C1684" s="1"/>
      <c r="D1684" s="1"/>
      <c r="E1684" s="11"/>
      <c r="G1684" s="66"/>
      <c r="H1684" s="8"/>
      <c r="I1684" s="8"/>
      <c r="J1684" s="6"/>
      <c r="L1684" s="4"/>
      <c r="N1684" s="43"/>
    </row>
    <row r="1685" spans="3:14" x14ac:dyDescent="0.25">
      <c r="C1685" s="1"/>
      <c r="D1685" s="1"/>
      <c r="E1685" s="11"/>
      <c r="G1685" s="66"/>
      <c r="H1685" s="8"/>
      <c r="I1685" s="8"/>
      <c r="J1685" s="6"/>
      <c r="L1685" s="4"/>
      <c r="N1685" s="43"/>
    </row>
    <row r="1686" spans="3:14" x14ac:dyDescent="0.25">
      <c r="C1686" s="1"/>
      <c r="D1686" s="1"/>
      <c r="E1686" s="11"/>
      <c r="G1686" s="66"/>
      <c r="H1686" s="8"/>
      <c r="I1686" s="8"/>
      <c r="J1686" s="6"/>
      <c r="L1686" s="4"/>
      <c r="N1686" s="43"/>
    </row>
    <row r="1687" spans="3:14" x14ac:dyDescent="0.25">
      <c r="C1687" s="1"/>
      <c r="D1687" s="1"/>
      <c r="E1687" s="11"/>
      <c r="G1687" s="66"/>
      <c r="H1687" s="8"/>
      <c r="I1687" s="8"/>
      <c r="J1687" s="6"/>
      <c r="L1687" s="4"/>
      <c r="N1687" s="43"/>
    </row>
    <row r="1688" spans="3:14" x14ac:dyDescent="0.25">
      <c r="C1688" s="1"/>
      <c r="D1688" s="1"/>
      <c r="E1688" s="11"/>
      <c r="G1688" s="48"/>
      <c r="H1688" s="8"/>
      <c r="I1688" s="8"/>
      <c r="J1688" s="6"/>
      <c r="L1688" s="4"/>
      <c r="N1688" s="43"/>
    </row>
    <row r="1689" spans="3:14" x14ac:dyDescent="0.25">
      <c r="C1689" s="1"/>
      <c r="D1689" s="1"/>
      <c r="E1689" s="11"/>
      <c r="G1689" s="66"/>
      <c r="H1689" s="8"/>
      <c r="I1689" s="8"/>
      <c r="J1689" s="6"/>
      <c r="L1689" s="4"/>
      <c r="N1689" s="43"/>
    </row>
    <row r="1690" spans="3:14" x14ac:dyDescent="0.25">
      <c r="C1690" s="1"/>
      <c r="D1690" s="1"/>
      <c r="E1690" s="11"/>
      <c r="G1690" s="66"/>
      <c r="H1690" s="8"/>
      <c r="I1690" s="8"/>
      <c r="J1690" s="6"/>
      <c r="L1690" s="4"/>
      <c r="N1690" s="43"/>
    </row>
    <row r="1691" spans="3:14" x14ac:dyDescent="0.25">
      <c r="C1691" s="1"/>
      <c r="D1691" s="1"/>
      <c r="E1691" s="11"/>
      <c r="G1691" s="66"/>
      <c r="H1691" s="8"/>
      <c r="I1691" s="8"/>
      <c r="J1691" s="6"/>
      <c r="L1691" s="4"/>
      <c r="N1691" s="43"/>
    </row>
    <row r="1692" spans="3:14" x14ac:dyDescent="0.25">
      <c r="C1692" s="1"/>
      <c r="D1692" s="1"/>
      <c r="E1692" s="11"/>
      <c r="G1692" s="66"/>
      <c r="H1692" s="8"/>
      <c r="I1692" s="8"/>
      <c r="J1692" s="6"/>
      <c r="L1692" s="4"/>
      <c r="N1692" s="43"/>
    </row>
    <row r="1693" spans="3:14" x14ac:dyDescent="0.25">
      <c r="C1693" s="1"/>
      <c r="D1693" s="1"/>
      <c r="E1693" s="11"/>
      <c r="G1693" s="66"/>
      <c r="H1693" s="8"/>
      <c r="I1693" s="8"/>
      <c r="J1693" s="6"/>
      <c r="L1693" s="4"/>
      <c r="N1693" s="43"/>
    </row>
    <row r="1694" spans="3:14" x14ac:dyDescent="0.25">
      <c r="C1694" s="1"/>
      <c r="D1694" s="1"/>
      <c r="E1694" s="11"/>
      <c r="G1694" s="66"/>
      <c r="H1694" s="8"/>
      <c r="I1694" s="8"/>
      <c r="J1694" s="6"/>
      <c r="L1694" s="4"/>
      <c r="N1694" s="43"/>
    </row>
    <row r="1695" spans="3:14" x14ac:dyDescent="0.25">
      <c r="C1695" s="1"/>
      <c r="D1695" s="1"/>
      <c r="E1695" s="11"/>
      <c r="G1695" s="66"/>
      <c r="H1695" s="8"/>
      <c r="I1695" s="8"/>
      <c r="J1695" s="6"/>
      <c r="L1695" s="4"/>
      <c r="N1695" s="43"/>
    </row>
    <row r="1696" spans="3:14" x14ac:dyDescent="0.25">
      <c r="C1696" s="1"/>
      <c r="D1696" s="1"/>
      <c r="E1696" s="11"/>
      <c r="G1696" s="66"/>
      <c r="H1696" s="8"/>
      <c r="I1696" s="8"/>
      <c r="J1696" s="6"/>
      <c r="L1696" s="4"/>
      <c r="N1696" s="43"/>
    </row>
    <row r="1697" spans="3:14" x14ac:dyDescent="0.25">
      <c r="C1697" s="1"/>
      <c r="D1697" s="1"/>
      <c r="E1697" s="11"/>
      <c r="G1697" s="66"/>
      <c r="H1697" s="8"/>
      <c r="I1697" s="8"/>
      <c r="J1697" s="6"/>
      <c r="L1697" s="4"/>
      <c r="N1697" s="43"/>
    </row>
    <row r="1698" spans="3:14" x14ac:dyDescent="0.25">
      <c r="C1698" s="1"/>
      <c r="D1698" s="1"/>
      <c r="E1698" s="11"/>
      <c r="G1698" s="66"/>
      <c r="H1698" s="8"/>
      <c r="I1698" s="8"/>
      <c r="J1698" s="6"/>
      <c r="L1698" s="4"/>
      <c r="N1698" s="43"/>
    </row>
    <row r="1699" spans="3:14" x14ac:dyDescent="0.25">
      <c r="C1699" s="1"/>
      <c r="D1699" s="1"/>
      <c r="E1699" s="11"/>
      <c r="G1699" s="48"/>
      <c r="H1699" s="8"/>
      <c r="I1699" s="8"/>
      <c r="J1699" s="6"/>
      <c r="L1699" s="4"/>
      <c r="N1699" s="43"/>
    </row>
    <row r="1700" spans="3:14" x14ac:dyDescent="0.25">
      <c r="C1700" s="1"/>
      <c r="D1700" s="1"/>
      <c r="E1700" s="11"/>
      <c r="G1700" s="66"/>
      <c r="H1700" s="8"/>
      <c r="I1700" s="8"/>
      <c r="J1700" s="6"/>
      <c r="L1700" s="4"/>
      <c r="N1700" s="43"/>
    </row>
    <row r="1701" spans="3:14" x14ac:dyDescent="0.25">
      <c r="C1701" s="1"/>
      <c r="D1701" s="1"/>
      <c r="E1701" s="11"/>
      <c r="G1701" s="66"/>
      <c r="H1701" s="8"/>
      <c r="I1701" s="8"/>
      <c r="J1701" s="6"/>
      <c r="L1701" s="4"/>
      <c r="N1701" s="43"/>
    </row>
    <row r="1702" spans="3:14" x14ac:dyDescent="0.25">
      <c r="C1702" s="1"/>
      <c r="D1702" s="1"/>
      <c r="E1702" s="11"/>
      <c r="G1702" s="66"/>
      <c r="H1702" s="8"/>
      <c r="I1702" s="8"/>
      <c r="J1702" s="6"/>
      <c r="L1702" s="4"/>
    </row>
    <row r="1703" spans="3:14" x14ac:dyDescent="0.25">
      <c r="C1703" s="1"/>
      <c r="D1703" s="1"/>
      <c r="E1703" s="11"/>
      <c r="G1703" s="66"/>
      <c r="H1703" s="8"/>
      <c r="I1703" s="8"/>
      <c r="J1703" s="6"/>
      <c r="L1703" s="4"/>
    </row>
    <row r="1704" spans="3:14" x14ac:dyDescent="0.25">
      <c r="C1704" s="1"/>
      <c r="D1704" s="1"/>
      <c r="E1704" s="11"/>
      <c r="G1704" s="48"/>
      <c r="H1704" s="8"/>
      <c r="I1704" s="8"/>
      <c r="J1704" s="6"/>
      <c r="L1704" s="4"/>
    </row>
    <row r="1705" spans="3:14" x14ac:dyDescent="0.25">
      <c r="C1705" s="1"/>
      <c r="D1705" s="1"/>
      <c r="E1705" s="11"/>
      <c r="G1705" s="66"/>
      <c r="H1705" s="8"/>
      <c r="I1705" s="8"/>
      <c r="J1705" s="6"/>
      <c r="L1705" s="4"/>
      <c r="N1705" s="43"/>
    </row>
    <row r="1706" spans="3:14" x14ac:dyDescent="0.25">
      <c r="C1706" s="1"/>
      <c r="D1706" s="1"/>
      <c r="E1706" s="11"/>
      <c r="G1706" s="66"/>
      <c r="H1706" s="8"/>
      <c r="I1706" s="8"/>
      <c r="J1706" s="6"/>
      <c r="L1706" s="4"/>
      <c r="N1706" s="43"/>
    </row>
    <row r="1707" spans="3:14" x14ac:dyDescent="0.25">
      <c r="C1707" s="1"/>
      <c r="D1707" s="1"/>
      <c r="E1707" s="11"/>
      <c r="G1707" s="66"/>
      <c r="H1707" s="8"/>
      <c r="I1707" s="8"/>
      <c r="J1707" s="6"/>
      <c r="L1707" s="4"/>
    </row>
    <row r="1708" spans="3:14" x14ac:dyDescent="0.25">
      <c r="C1708" s="1"/>
      <c r="D1708" s="1"/>
      <c r="E1708" s="11"/>
      <c r="G1708" s="66"/>
      <c r="H1708" s="8"/>
      <c r="I1708" s="8"/>
      <c r="J1708" s="6"/>
      <c r="L1708" s="4"/>
      <c r="N1708" s="43"/>
    </row>
    <row r="1709" spans="3:14" x14ac:dyDescent="0.25">
      <c r="C1709" s="1"/>
      <c r="D1709" s="1"/>
      <c r="E1709" s="11"/>
      <c r="G1709" s="66"/>
      <c r="H1709" s="8"/>
      <c r="I1709" s="8"/>
      <c r="J1709" s="6"/>
      <c r="L1709" s="4"/>
      <c r="N1709" s="43"/>
    </row>
    <row r="1710" spans="3:14" x14ac:dyDescent="0.25">
      <c r="C1710" s="1"/>
      <c r="D1710" s="1"/>
      <c r="E1710" s="11"/>
      <c r="G1710" s="66"/>
      <c r="H1710" s="8"/>
      <c r="I1710" s="8"/>
      <c r="J1710" s="6"/>
      <c r="L1710" s="4"/>
      <c r="N1710" s="43"/>
    </row>
    <row r="1711" spans="3:14" x14ac:dyDescent="0.25">
      <c r="C1711" s="1"/>
      <c r="D1711" s="1"/>
      <c r="E1711" s="11"/>
      <c r="G1711" s="66"/>
      <c r="H1711" s="8"/>
      <c r="I1711" s="8"/>
      <c r="J1711" s="6"/>
      <c r="L1711" s="4"/>
      <c r="N1711" s="43"/>
    </row>
    <row r="1712" spans="3:14" x14ac:dyDescent="0.25">
      <c r="C1712" s="1"/>
      <c r="D1712" s="1"/>
      <c r="E1712" s="11"/>
      <c r="G1712" s="66"/>
      <c r="H1712" s="8"/>
      <c r="I1712" s="8"/>
      <c r="J1712" s="6"/>
      <c r="L1712" s="4"/>
      <c r="N1712" s="43"/>
    </row>
    <row r="1713" spans="3:14" x14ac:dyDescent="0.25">
      <c r="C1713" s="1"/>
      <c r="D1713" s="1"/>
      <c r="E1713" s="11"/>
      <c r="G1713" s="66"/>
      <c r="H1713" s="8"/>
      <c r="I1713" s="8"/>
      <c r="J1713" s="6"/>
      <c r="L1713" s="4"/>
      <c r="N1713" s="43"/>
    </row>
    <row r="1714" spans="3:14" x14ac:dyDescent="0.25">
      <c r="C1714" s="1"/>
      <c r="D1714" s="1"/>
      <c r="E1714" s="11"/>
      <c r="G1714" s="66"/>
      <c r="H1714" s="8"/>
      <c r="I1714" s="8"/>
      <c r="J1714" s="6"/>
      <c r="L1714" s="4"/>
      <c r="N1714" s="43"/>
    </row>
    <row r="1715" spans="3:14" x14ac:dyDescent="0.25">
      <c r="C1715" s="1"/>
      <c r="D1715" s="1"/>
      <c r="E1715" s="11"/>
      <c r="G1715" s="66"/>
      <c r="H1715" s="8"/>
      <c r="I1715" s="8"/>
      <c r="J1715" s="6"/>
      <c r="L1715" s="4"/>
    </row>
    <row r="1716" spans="3:14" x14ac:dyDescent="0.25">
      <c r="C1716" s="1"/>
      <c r="D1716" s="1"/>
      <c r="E1716" s="11"/>
      <c r="G1716" s="48"/>
      <c r="H1716" s="8"/>
      <c r="I1716" s="8"/>
      <c r="J1716" s="6"/>
      <c r="L1716" s="4"/>
      <c r="N1716" s="43"/>
    </row>
    <row r="1717" spans="3:14" x14ac:dyDescent="0.25">
      <c r="C1717" s="1"/>
      <c r="D1717" s="1"/>
      <c r="E1717" s="11"/>
      <c r="G1717" s="66"/>
      <c r="H1717" s="8"/>
      <c r="I1717" s="8"/>
      <c r="J1717" s="6"/>
      <c r="L1717" s="4"/>
      <c r="N1717" s="43"/>
    </row>
    <row r="1718" spans="3:14" x14ac:dyDescent="0.25">
      <c r="C1718" s="1"/>
      <c r="D1718" s="1"/>
      <c r="E1718" s="11"/>
      <c r="G1718" s="66"/>
      <c r="H1718" s="8"/>
      <c r="I1718" s="8"/>
      <c r="J1718" s="6"/>
      <c r="L1718" s="4"/>
      <c r="N1718" s="43"/>
    </row>
    <row r="1719" spans="3:14" x14ac:dyDescent="0.25">
      <c r="C1719" s="1"/>
      <c r="D1719" s="1"/>
      <c r="E1719" s="11"/>
      <c r="G1719" s="66"/>
      <c r="H1719" s="8"/>
      <c r="I1719" s="8"/>
      <c r="J1719" s="6"/>
      <c r="L1719" s="4"/>
      <c r="N1719" s="43"/>
    </row>
    <row r="1720" spans="3:14" x14ac:dyDescent="0.25">
      <c r="C1720" s="1"/>
      <c r="D1720" s="1"/>
      <c r="E1720" s="11"/>
      <c r="G1720" s="66"/>
      <c r="H1720" s="8"/>
      <c r="I1720" s="8"/>
      <c r="J1720" s="6"/>
      <c r="L1720" s="4"/>
      <c r="N1720" s="43"/>
    </row>
    <row r="1721" spans="3:14" x14ac:dyDescent="0.25">
      <c r="C1721" s="1"/>
      <c r="D1721" s="1"/>
      <c r="E1721" s="11"/>
      <c r="G1721" s="48"/>
      <c r="H1721" s="8"/>
      <c r="I1721" s="8"/>
      <c r="J1721" s="6"/>
      <c r="L1721" s="4"/>
    </row>
    <row r="1722" spans="3:14" x14ac:dyDescent="0.25">
      <c r="C1722" s="1"/>
      <c r="D1722" s="1"/>
      <c r="E1722" s="11"/>
      <c r="G1722" s="66"/>
      <c r="H1722" s="8"/>
      <c r="I1722" s="8"/>
      <c r="J1722" s="6"/>
      <c r="L1722" s="4"/>
      <c r="N1722" s="43"/>
    </row>
    <row r="1723" spans="3:14" x14ac:dyDescent="0.25">
      <c r="C1723" s="1"/>
      <c r="D1723" s="1"/>
      <c r="E1723" s="11"/>
      <c r="G1723" s="66"/>
      <c r="H1723" s="8"/>
      <c r="I1723" s="8"/>
      <c r="J1723" s="6"/>
      <c r="L1723" s="4"/>
      <c r="N1723" s="43"/>
    </row>
    <row r="1724" spans="3:14" x14ac:dyDescent="0.25">
      <c r="C1724" s="1"/>
      <c r="D1724" s="1"/>
      <c r="E1724" s="11"/>
      <c r="G1724" s="66"/>
      <c r="H1724" s="8"/>
      <c r="I1724" s="8"/>
      <c r="J1724" s="6"/>
      <c r="L1724" s="4"/>
      <c r="N1724" s="43"/>
    </row>
    <row r="1725" spans="3:14" x14ac:dyDescent="0.25">
      <c r="C1725" s="1"/>
      <c r="D1725" s="1"/>
      <c r="E1725" s="11"/>
      <c r="G1725" s="66"/>
      <c r="H1725" s="8"/>
      <c r="I1725" s="8"/>
      <c r="J1725" s="6"/>
      <c r="L1725" s="4"/>
      <c r="N1725" s="43"/>
    </row>
    <row r="1726" spans="3:14" x14ac:dyDescent="0.25">
      <c r="C1726" s="1"/>
      <c r="D1726" s="1"/>
      <c r="E1726" s="11"/>
      <c r="G1726" s="66"/>
      <c r="H1726" s="8"/>
      <c r="I1726" s="8"/>
      <c r="J1726" s="6"/>
      <c r="L1726" s="4"/>
      <c r="N1726" s="43"/>
    </row>
    <row r="1727" spans="3:14" x14ac:dyDescent="0.25">
      <c r="C1727" s="1"/>
      <c r="D1727" s="1"/>
      <c r="E1727" s="11"/>
      <c r="G1727" s="66"/>
      <c r="H1727" s="8"/>
      <c r="I1727" s="8"/>
      <c r="J1727" s="6"/>
      <c r="L1727" s="4"/>
      <c r="N1727" s="43"/>
    </row>
    <row r="1728" spans="3:14" x14ac:dyDescent="0.25">
      <c r="C1728" s="1"/>
      <c r="D1728" s="1"/>
      <c r="E1728" s="11"/>
      <c r="G1728" s="66"/>
      <c r="H1728" s="8"/>
      <c r="I1728" s="8"/>
      <c r="J1728" s="6"/>
      <c r="L1728" s="4"/>
      <c r="N1728" s="43"/>
    </row>
    <row r="1729" spans="3:14" x14ac:dyDescent="0.25">
      <c r="C1729" s="1"/>
      <c r="D1729" s="1"/>
      <c r="E1729" s="11"/>
      <c r="G1729" s="66"/>
      <c r="H1729" s="8"/>
      <c r="I1729" s="8"/>
      <c r="J1729" s="6"/>
      <c r="L1729" s="4"/>
      <c r="N1729" s="43"/>
    </row>
    <row r="1730" spans="3:14" x14ac:dyDescent="0.25">
      <c r="C1730" s="1"/>
      <c r="D1730" s="1"/>
      <c r="E1730" s="11"/>
      <c r="G1730" s="66"/>
      <c r="H1730" s="8"/>
      <c r="I1730" s="8"/>
      <c r="J1730" s="6"/>
      <c r="L1730" s="4"/>
      <c r="N1730" s="43"/>
    </row>
    <row r="1731" spans="3:14" x14ac:dyDescent="0.25">
      <c r="C1731" s="1"/>
      <c r="D1731" s="1"/>
      <c r="E1731" s="11"/>
      <c r="G1731" s="66"/>
      <c r="H1731" s="8"/>
      <c r="I1731" s="8"/>
      <c r="J1731" s="6"/>
      <c r="L1731" s="4"/>
      <c r="N1731" s="43"/>
    </row>
    <row r="1732" spans="3:14" x14ac:dyDescent="0.25">
      <c r="C1732" s="1"/>
      <c r="D1732" s="1"/>
      <c r="E1732" s="11"/>
      <c r="G1732" s="48"/>
      <c r="H1732" s="71"/>
      <c r="I1732" s="8"/>
      <c r="J1732" s="6"/>
      <c r="L1732" s="4"/>
    </row>
    <row r="1733" spans="3:14" x14ac:dyDescent="0.25">
      <c r="C1733" s="1"/>
      <c r="D1733" s="1"/>
      <c r="E1733" s="11"/>
      <c r="G1733" s="66"/>
      <c r="H1733" s="8"/>
      <c r="I1733" s="8"/>
      <c r="J1733" s="6"/>
      <c r="L1733" s="4"/>
    </row>
    <row r="1734" spans="3:14" x14ac:dyDescent="0.25">
      <c r="C1734" s="1"/>
      <c r="D1734" s="1"/>
      <c r="E1734" s="11"/>
      <c r="G1734" s="66"/>
      <c r="H1734" s="8"/>
      <c r="I1734" s="8"/>
      <c r="J1734" s="6"/>
      <c r="L1734" s="4"/>
    </row>
    <row r="1735" spans="3:14" x14ac:dyDescent="0.25">
      <c r="C1735" s="1"/>
      <c r="D1735" s="1"/>
      <c r="E1735" s="11"/>
      <c r="G1735" s="66"/>
      <c r="H1735" s="8"/>
      <c r="I1735" s="8"/>
      <c r="J1735" s="6"/>
      <c r="L1735" s="4"/>
    </row>
    <row r="1736" spans="3:14" x14ac:dyDescent="0.25">
      <c r="C1736" s="1"/>
      <c r="D1736" s="1"/>
      <c r="E1736" s="11"/>
      <c r="G1736" s="66"/>
      <c r="H1736" s="8"/>
      <c r="I1736" s="8"/>
      <c r="J1736" s="6"/>
      <c r="L1736" s="4"/>
      <c r="N1736" s="43"/>
    </row>
    <row r="1737" spans="3:14" x14ac:dyDescent="0.25">
      <c r="C1737" s="1"/>
      <c r="D1737" s="1"/>
      <c r="E1737" s="11"/>
      <c r="G1737" s="48"/>
      <c r="H1737" s="8"/>
      <c r="I1737" s="8"/>
      <c r="J1737" s="6"/>
      <c r="L1737" s="4"/>
    </row>
    <row r="1738" spans="3:14" x14ac:dyDescent="0.25">
      <c r="C1738" s="1"/>
      <c r="D1738" s="1"/>
      <c r="E1738" s="11"/>
      <c r="G1738" s="66"/>
      <c r="H1738" s="8"/>
      <c r="I1738" s="8"/>
      <c r="J1738" s="6"/>
      <c r="L1738" s="4"/>
      <c r="N1738" s="43"/>
    </row>
    <row r="1739" spans="3:14" x14ac:dyDescent="0.25">
      <c r="C1739" s="1"/>
      <c r="D1739" s="1"/>
      <c r="E1739" s="11"/>
      <c r="G1739" s="66"/>
      <c r="H1739" s="8"/>
      <c r="I1739" s="8"/>
      <c r="J1739" s="6"/>
      <c r="L1739" s="4"/>
    </row>
    <row r="1740" spans="3:14" x14ac:dyDescent="0.25">
      <c r="C1740" s="1"/>
      <c r="D1740" s="1"/>
      <c r="E1740" s="11"/>
      <c r="G1740" s="66"/>
      <c r="H1740" s="8"/>
      <c r="I1740" s="8"/>
      <c r="J1740" s="6"/>
      <c r="L1740" s="4"/>
    </row>
    <row r="1741" spans="3:14" x14ac:dyDescent="0.25">
      <c r="C1741" s="1"/>
      <c r="D1741" s="1"/>
      <c r="E1741" s="11"/>
      <c r="G1741" s="66"/>
      <c r="H1741" s="8"/>
      <c r="I1741" s="8"/>
      <c r="J1741" s="6"/>
      <c r="L1741" s="4"/>
      <c r="N1741" s="43"/>
    </row>
    <row r="1742" spans="3:14" x14ac:dyDescent="0.25">
      <c r="C1742" s="1"/>
      <c r="D1742" s="1"/>
      <c r="E1742" s="11"/>
      <c r="G1742" s="66"/>
      <c r="H1742" s="8"/>
      <c r="I1742" s="8"/>
      <c r="J1742" s="6"/>
      <c r="L1742" s="4"/>
      <c r="N1742" s="43"/>
    </row>
    <row r="1743" spans="3:14" x14ac:dyDescent="0.25">
      <c r="C1743" s="1"/>
      <c r="D1743" s="1"/>
      <c r="E1743" s="11"/>
      <c r="G1743" s="66"/>
      <c r="H1743" s="8"/>
      <c r="I1743" s="8"/>
      <c r="J1743" s="6"/>
      <c r="L1743" s="4"/>
    </row>
    <row r="1744" spans="3:14" x14ac:dyDescent="0.25">
      <c r="C1744" s="1"/>
      <c r="D1744" s="1"/>
      <c r="E1744" s="11"/>
      <c r="G1744" s="66"/>
      <c r="H1744" s="8"/>
      <c r="I1744" s="8"/>
      <c r="J1744" s="6"/>
      <c r="L1744" s="4"/>
    </row>
    <row r="1745" spans="1:15" x14ac:dyDescent="0.25">
      <c r="C1745" s="1"/>
      <c r="D1745" s="1"/>
      <c r="E1745" s="11"/>
      <c r="G1745" s="66"/>
      <c r="H1745" s="8"/>
      <c r="I1745" s="8"/>
      <c r="J1745" s="6"/>
      <c r="L1745" s="4"/>
      <c r="N1745" s="43"/>
    </row>
    <row r="1746" spans="1:15" x14ac:dyDescent="0.25">
      <c r="C1746" s="1"/>
      <c r="D1746" s="1"/>
      <c r="E1746" s="11"/>
      <c r="G1746" s="66"/>
      <c r="H1746" s="8"/>
      <c r="I1746" s="8"/>
      <c r="J1746" s="6"/>
      <c r="L1746" s="4"/>
      <c r="N1746" s="43"/>
    </row>
    <row r="1747" spans="1:15" x14ac:dyDescent="0.25">
      <c r="C1747" s="1"/>
      <c r="D1747" s="1"/>
      <c r="E1747" s="11"/>
      <c r="G1747" s="66"/>
      <c r="H1747" s="8"/>
      <c r="I1747" s="8"/>
      <c r="J1747" s="6"/>
      <c r="L1747" s="4"/>
      <c r="N1747" s="43"/>
    </row>
    <row r="1748" spans="1:15" x14ac:dyDescent="0.25">
      <c r="C1748" s="1"/>
      <c r="D1748" s="1"/>
      <c r="E1748" s="11"/>
      <c r="G1748" s="66"/>
      <c r="H1748" s="8"/>
      <c r="I1748" s="8"/>
      <c r="J1748" s="6"/>
      <c r="L1748" s="4"/>
    </row>
    <row r="1749" spans="1:15" x14ac:dyDescent="0.25">
      <c r="A1749" s="3">
        <v>9</v>
      </c>
      <c r="B1749" s="3" t="s">
        <v>270</v>
      </c>
      <c r="C1749" s="1" t="s">
        <v>262</v>
      </c>
      <c r="D1749" s="1" t="s">
        <v>444</v>
      </c>
      <c r="E1749" s="11" t="s">
        <v>144</v>
      </c>
      <c r="F1749" s="3" t="s">
        <v>8</v>
      </c>
      <c r="G1749" s="48" t="s">
        <v>1026</v>
      </c>
      <c r="H1749" s="8"/>
      <c r="I1749" s="8" t="s">
        <v>640</v>
      </c>
      <c r="J1749" s="6" t="s">
        <v>76</v>
      </c>
      <c r="K1749" s="38">
        <v>0</v>
      </c>
      <c r="L1749" s="4" t="s">
        <v>25</v>
      </c>
      <c r="M1749" s="11">
        <f>_xlfn.NUMBERVALUE(LEFT(Table613612[[#This Row],[Fiscal Year]], 4))</f>
        <v>2017</v>
      </c>
      <c r="N1749" s="43">
        <f t="shared" ref="N1749:N1760" si="32">K1749*(1+VLOOKUP(M1749,$AF$8:$AH$31,3,0))</f>
        <v>0</v>
      </c>
      <c r="O1749" s="3">
        <v>1747</v>
      </c>
    </row>
    <row r="1750" spans="1:15" x14ac:dyDescent="0.25">
      <c r="A1750" s="3">
        <v>9</v>
      </c>
      <c r="B1750" s="3" t="s">
        <v>270</v>
      </c>
      <c r="C1750" s="1" t="s">
        <v>262</v>
      </c>
      <c r="D1750" s="1" t="s">
        <v>444</v>
      </c>
      <c r="E1750" s="11" t="s">
        <v>144</v>
      </c>
      <c r="F1750" s="3" t="s">
        <v>8</v>
      </c>
      <c r="G1750" s="66" t="s">
        <v>1010</v>
      </c>
      <c r="H1750" s="8"/>
      <c r="I1750" s="8"/>
      <c r="J1750" s="6" t="s">
        <v>76</v>
      </c>
      <c r="K1750" s="38">
        <v>90169</v>
      </c>
      <c r="L1750" s="4" t="s">
        <v>25</v>
      </c>
      <c r="M1750" s="11">
        <f>_xlfn.NUMBERVALUE(LEFT(Table613612[[#This Row],[Fiscal Year]], 4))</f>
        <v>2017</v>
      </c>
      <c r="N1750" s="42">
        <f t="shared" si="32"/>
        <v>92571.667233782136</v>
      </c>
      <c r="O1750" s="3">
        <v>1748</v>
      </c>
    </row>
    <row r="1751" spans="1:15" x14ac:dyDescent="0.25">
      <c r="A1751" s="3">
        <v>9</v>
      </c>
      <c r="B1751" s="3" t="s">
        <v>270</v>
      </c>
      <c r="C1751" s="1" t="s">
        <v>262</v>
      </c>
      <c r="D1751" s="1" t="s">
        <v>444</v>
      </c>
      <c r="E1751" s="11" t="s">
        <v>144</v>
      </c>
      <c r="F1751" s="3" t="s">
        <v>8</v>
      </c>
      <c r="G1751" s="48" t="s">
        <v>1027</v>
      </c>
      <c r="H1751" s="62"/>
      <c r="I1751" s="62"/>
      <c r="J1751" s="6" t="s">
        <v>110</v>
      </c>
      <c r="K1751" s="38">
        <v>33973</v>
      </c>
      <c r="L1751" s="4" t="s">
        <v>25</v>
      </c>
      <c r="M1751" s="11">
        <f>_xlfn.NUMBERVALUE(LEFT(Table613612[[#This Row],[Fiscal Year]], 4))</f>
        <v>2017</v>
      </c>
      <c r="N1751" s="42">
        <f t="shared" si="32"/>
        <v>34878.25362301102</v>
      </c>
      <c r="O1751" s="3">
        <v>1749</v>
      </c>
    </row>
    <row r="1752" spans="1:15" x14ac:dyDescent="0.25">
      <c r="A1752" s="3">
        <v>9</v>
      </c>
      <c r="B1752" s="3" t="s">
        <v>270</v>
      </c>
      <c r="C1752" s="1" t="s">
        <v>262</v>
      </c>
      <c r="D1752" s="1" t="s">
        <v>444</v>
      </c>
      <c r="E1752" s="11" t="s">
        <v>144</v>
      </c>
      <c r="F1752" s="3" t="s">
        <v>8</v>
      </c>
      <c r="G1752" s="48" t="s">
        <v>1028</v>
      </c>
      <c r="H1752" s="8"/>
      <c r="I1752" s="8"/>
      <c r="J1752" s="6" t="s">
        <v>110</v>
      </c>
      <c r="K1752" s="38">
        <v>672718</v>
      </c>
      <c r="L1752" s="4" t="s">
        <v>25</v>
      </c>
      <c r="M1752" s="11">
        <f>_xlfn.NUMBERVALUE(LEFT(Table613612[[#This Row],[Fiscal Year]], 4))</f>
        <v>2017</v>
      </c>
      <c r="N1752" s="42">
        <f t="shared" si="32"/>
        <v>690643.42332925345</v>
      </c>
      <c r="O1752" s="3">
        <v>1750</v>
      </c>
    </row>
    <row r="1753" spans="1:15" x14ac:dyDescent="0.25">
      <c r="A1753" s="3">
        <v>9</v>
      </c>
      <c r="B1753" s="3" t="s">
        <v>270</v>
      </c>
      <c r="C1753" s="1" t="s">
        <v>262</v>
      </c>
      <c r="D1753" s="1" t="s">
        <v>444</v>
      </c>
      <c r="E1753" s="11" t="s">
        <v>144</v>
      </c>
      <c r="F1753" s="3" t="s">
        <v>8</v>
      </c>
      <c r="G1753" s="48" t="s">
        <v>1029</v>
      </c>
      <c r="H1753" s="62" t="s">
        <v>507</v>
      </c>
      <c r="I1753" s="62"/>
      <c r="J1753" s="6" t="s">
        <v>108</v>
      </c>
      <c r="K1753" s="38">
        <v>866562</v>
      </c>
      <c r="L1753" s="4" t="s">
        <v>25</v>
      </c>
      <c r="M1753" s="11">
        <f>_xlfn.NUMBERVALUE(LEFT(Table613612[[#This Row],[Fiscal Year]], 4))</f>
        <v>2017</v>
      </c>
      <c r="N1753" s="42">
        <f t="shared" si="32"/>
        <v>889652.64227662189</v>
      </c>
      <c r="O1753" s="3">
        <v>1751</v>
      </c>
    </row>
    <row r="1754" spans="1:15" x14ac:dyDescent="0.25">
      <c r="A1754" s="3">
        <v>9</v>
      </c>
      <c r="B1754" s="3" t="s">
        <v>270</v>
      </c>
      <c r="C1754" s="1" t="s">
        <v>262</v>
      </c>
      <c r="D1754" s="1" t="s">
        <v>444</v>
      </c>
      <c r="E1754" s="11" t="s">
        <v>144</v>
      </c>
      <c r="F1754" s="3" t="s">
        <v>8</v>
      </c>
      <c r="G1754" s="48" t="s">
        <v>1030</v>
      </c>
      <c r="H1754" s="8" t="s">
        <v>507</v>
      </c>
      <c r="I1754" s="8"/>
      <c r="J1754" s="6" t="s">
        <v>108</v>
      </c>
      <c r="K1754" s="38">
        <v>253165</v>
      </c>
      <c r="L1754" s="4" t="s">
        <v>25</v>
      </c>
      <c r="M1754" s="11">
        <f>_xlfn.NUMBERVALUE(LEFT(Table613612[[#This Row],[Fiscal Year]], 4))</f>
        <v>2017</v>
      </c>
      <c r="N1754" s="42">
        <f t="shared" si="32"/>
        <v>259910.90214198289</v>
      </c>
      <c r="O1754" s="3">
        <v>1752</v>
      </c>
    </row>
    <row r="1755" spans="1:15" x14ac:dyDescent="0.25">
      <c r="A1755" s="3">
        <v>9</v>
      </c>
      <c r="B1755" s="3" t="s">
        <v>270</v>
      </c>
      <c r="C1755" s="1" t="s">
        <v>262</v>
      </c>
      <c r="D1755" s="1" t="s">
        <v>444</v>
      </c>
      <c r="E1755" s="11" t="s">
        <v>144</v>
      </c>
      <c r="F1755" s="3" t="s">
        <v>8</v>
      </c>
      <c r="G1755" s="66" t="s">
        <v>1031</v>
      </c>
      <c r="H1755" s="62" t="s">
        <v>508</v>
      </c>
      <c r="I1755" s="62"/>
      <c r="J1755" s="6" t="s">
        <v>42</v>
      </c>
      <c r="K1755" s="38">
        <v>5693</v>
      </c>
      <c r="L1755" s="4" t="s">
        <v>25</v>
      </c>
      <c r="M1755" s="11">
        <f>_xlfn.NUMBERVALUE(LEFT(Table613612[[#This Row],[Fiscal Year]], 4))</f>
        <v>2017</v>
      </c>
      <c r="N1755" s="42">
        <f t="shared" si="32"/>
        <v>5844.6971970624245</v>
      </c>
      <c r="O1755" s="3">
        <v>1753</v>
      </c>
    </row>
    <row r="1756" spans="1:15" x14ac:dyDescent="0.25">
      <c r="A1756" s="3">
        <v>9</v>
      </c>
      <c r="B1756" s="3" t="s">
        <v>270</v>
      </c>
      <c r="C1756" s="1" t="s">
        <v>262</v>
      </c>
      <c r="D1756" s="1" t="s">
        <v>444</v>
      </c>
      <c r="E1756" s="11" t="s">
        <v>144</v>
      </c>
      <c r="F1756" s="3" t="s">
        <v>8</v>
      </c>
      <c r="G1756" s="66" t="s">
        <v>1032</v>
      </c>
      <c r="H1756" s="62" t="s">
        <v>509</v>
      </c>
      <c r="I1756" s="62"/>
      <c r="J1756" s="6" t="s">
        <v>109</v>
      </c>
      <c r="K1756" s="38">
        <v>11460</v>
      </c>
      <c r="L1756" s="4" t="s">
        <v>25</v>
      </c>
      <c r="M1756" s="11">
        <f>_xlfn.NUMBERVALUE(LEFT(Table613612[[#This Row],[Fiscal Year]], 4))</f>
        <v>2017</v>
      </c>
      <c r="N1756" s="42">
        <f t="shared" si="32"/>
        <v>11765.366217870258</v>
      </c>
      <c r="O1756" s="3">
        <v>1754</v>
      </c>
    </row>
    <row r="1757" spans="1:15" x14ac:dyDescent="0.25">
      <c r="A1757" s="3">
        <v>9</v>
      </c>
      <c r="B1757" s="3" t="s">
        <v>270</v>
      </c>
      <c r="C1757" s="1" t="s">
        <v>262</v>
      </c>
      <c r="D1757" s="1" t="s">
        <v>444</v>
      </c>
      <c r="E1757" s="11" t="s">
        <v>144</v>
      </c>
      <c r="F1757" s="3" t="s">
        <v>8</v>
      </c>
      <c r="G1757" s="66" t="s">
        <v>1033</v>
      </c>
      <c r="H1757" s="62" t="s">
        <v>510</v>
      </c>
      <c r="I1757" s="62"/>
      <c r="J1757" s="6" t="s">
        <v>106</v>
      </c>
      <c r="K1757" s="38">
        <v>0</v>
      </c>
      <c r="L1757" s="4" t="s">
        <v>25</v>
      </c>
      <c r="M1757" s="11">
        <f>_xlfn.NUMBERVALUE(LEFT(Table613612[[#This Row],[Fiscal Year]], 4))</f>
        <v>2017</v>
      </c>
      <c r="N1757" s="43">
        <f t="shared" si="32"/>
        <v>0</v>
      </c>
      <c r="O1757" s="3">
        <v>1755</v>
      </c>
    </row>
    <row r="1758" spans="1:15" x14ac:dyDescent="0.25">
      <c r="A1758" s="3">
        <v>9</v>
      </c>
      <c r="B1758" s="3" t="s">
        <v>270</v>
      </c>
      <c r="C1758" s="1" t="s">
        <v>262</v>
      </c>
      <c r="D1758" s="1" t="s">
        <v>444</v>
      </c>
      <c r="E1758" s="11" t="s">
        <v>144</v>
      </c>
      <c r="F1758" s="3" t="s">
        <v>8</v>
      </c>
      <c r="G1758" s="66" t="s">
        <v>1034</v>
      </c>
      <c r="H1758" s="8"/>
      <c r="I1758" s="8"/>
      <c r="J1758" s="6" t="s">
        <v>455</v>
      </c>
      <c r="K1758" s="38">
        <v>60857</v>
      </c>
      <c r="L1758" s="4" t="s">
        <v>25</v>
      </c>
      <c r="M1758" s="11">
        <f>_xlfn.NUMBERVALUE(LEFT(Table613612[[#This Row],[Fiscal Year]], 4))</f>
        <v>2017</v>
      </c>
      <c r="N1758" s="42">
        <f t="shared" si="32"/>
        <v>62478.61186046512</v>
      </c>
      <c r="O1758" s="3">
        <v>1756</v>
      </c>
    </row>
    <row r="1759" spans="1:15" x14ac:dyDescent="0.25">
      <c r="A1759" s="3">
        <v>9</v>
      </c>
      <c r="B1759" s="3" t="s">
        <v>270</v>
      </c>
      <c r="C1759" s="1" t="s">
        <v>262</v>
      </c>
      <c r="D1759" s="1" t="s">
        <v>444</v>
      </c>
      <c r="E1759" s="11" t="s">
        <v>144</v>
      </c>
      <c r="F1759" s="3" t="s">
        <v>8</v>
      </c>
      <c r="G1759" s="66" t="s">
        <v>1035</v>
      </c>
      <c r="H1759" s="8" t="s">
        <v>624</v>
      </c>
      <c r="I1759" s="70" t="s">
        <v>623</v>
      </c>
      <c r="J1759" s="6" t="s">
        <v>455</v>
      </c>
      <c r="K1759" s="38">
        <v>59960</v>
      </c>
      <c r="L1759" s="4" t="s">
        <v>25</v>
      </c>
      <c r="M1759" s="11">
        <f>_xlfn.NUMBERVALUE(LEFT(Table613612[[#This Row],[Fiscal Year]], 4))</f>
        <v>2017</v>
      </c>
      <c r="N1759" s="42">
        <f t="shared" si="32"/>
        <v>61557.710159118731</v>
      </c>
      <c r="O1759" s="3">
        <v>1757</v>
      </c>
    </row>
    <row r="1760" spans="1:15" x14ac:dyDescent="0.25">
      <c r="A1760" s="3">
        <v>9</v>
      </c>
      <c r="B1760" s="3" t="s">
        <v>270</v>
      </c>
      <c r="C1760" s="1" t="s">
        <v>262</v>
      </c>
      <c r="D1760" s="1" t="s">
        <v>444</v>
      </c>
      <c r="E1760" s="11" t="s">
        <v>144</v>
      </c>
      <c r="F1760" s="3" t="s">
        <v>8</v>
      </c>
      <c r="G1760" s="66" t="s">
        <v>1036</v>
      </c>
      <c r="H1760" s="8"/>
      <c r="I1760" s="8"/>
      <c r="J1760" s="6" t="s">
        <v>107</v>
      </c>
      <c r="K1760" s="38">
        <v>29448</v>
      </c>
      <c r="L1760" s="4" t="s">
        <v>25</v>
      </c>
      <c r="M1760" s="11">
        <f>_xlfn.NUMBERVALUE(LEFT(Table613612[[#This Row],[Fiscal Year]], 4))</f>
        <v>2017</v>
      </c>
      <c r="N1760" s="42">
        <f t="shared" si="32"/>
        <v>30232.679265605879</v>
      </c>
      <c r="O1760" s="3">
        <v>1758</v>
      </c>
    </row>
    <row r="1761" spans="3:15" x14ac:dyDescent="0.25">
      <c r="C1761" s="1"/>
      <c r="D1761" s="1"/>
      <c r="E1761" s="11"/>
      <c r="G1761" s="66"/>
      <c r="H1761" s="8"/>
      <c r="I1761" s="8"/>
      <c r="J1761" s="6"/>
      <c r="L1761" s="4"/>
      <c r="O1761" s="3">
        <v>1759</v>
      </c>
    </row>
    <row r="1762" spans="3:15" x14ac:dyDescent="0.25">
      <c r="C1762" s="1"/>
      <c r="D1762" s="1"/>
      <c r="E1762" s="11"/>
      <c r="G1762" s="48"/>
      <c r="H1762" s="71"/>
      <c r="I1762" s="8"/>
      <c r="J1762" s="6"/>
      <c r="L1762" s="4"/>
      <c r="N1762" s="43"/>
    </row>
    <row r="1763" spans="3:15" x14ac:dyDescent="0.25">
      <c r="C1763" s="1"/>
      <c r="D1763" s="1"/>
      <c r="E1763" s="11"/>
      <c r="G1763" s="66"/>
      <c r="H1763" s="8"/>
      <c r="I1763" s="8"/>
      <c r="J1763" s="6"/>
      <c r="L1763" s="4"/>
      <c r="N1763" s="43"/>
    </row>
    <row r="1764" spans="3:15" x14ac:dyDescent="0.25">
      <c r="C1764" s="1"/>
      <c r="D1764" s="1"/>
      <c r="E1764" s="11"/>
      <c r="G1764" s="66"/>
      <c r="H1764" s="8"/>
      <c r="I1764" s="8"/>
      <c r="J1764" s="6"/>
      <c r="L1764" s="4"/>
      <c r="N1764" s="43"/>
    </row>
    <row r="1765" spans="3:15" x14ac:dyDescent="0.25">
      <c r="C1765" s="1"/>
      <c r="D1765" s="1"/>
      <c r="E1765" s="11"/>
      <c r="G1765" s="66"/>
      <c r="H1765" s="8"/>
      <c r="I1765" s="8"/>
      <c r="J1765" s="6"/>
      <c r="L1765" s="4"/>
    </row>
    <row r="1766" spans="3:15" x14ac:dyDescent="0.25">
      <c r="C1766" s="1"/>
      <c r="D1766" s="1"/>
      <c r="E1766" s="11"/>
      <c r="G1766" s="66"/>
      <c r="H1766" s="8"/>
      <c r="I1766" s="8"/>
      <c r="J1766" s="6"/>
      <c r="L1766" s="4"/>
      <c r="N1766" s="43"/>
    </row>
    <row r="1767" spans="3:15" x14ac:dyDescent="0.25">
      <c r="E1767" s="11"/>
      <c r="G1767" s="48"/>
      <c r="H1767" s="8"/>
      <c r="I1767" s="8"/>
      <c r="J1767" s="6"/>
      <c r="L1767" s="4"/>
    </row>
    <row r="1768" spans="3:15" x14ac:dyDescent="0.25">
      <c r="E1768" s="11"/>
      <c r="G1768" s="66"/>
      <c r="H1768" s="8"/>
      <c r="I1768" s="8"/>
      <c r="J1768" s="6"/>
      <c r="L1768" s="4"/>
    </row>
    <row r="1769" spans="3:15" x14ac:dyDescent="0.25">
      <c r="E1769" s="11"/>
      <c r="G1769" s="66"/>
      <c r="H1769" s="8"/>
      <c r="I1769" s="8"/>
      <c r="J1769" s="6"/>
      <c r="L1769" s="4"/>
    </row>
    <row r="1770" spans="3:15" x14ac:dyDescent="0.25">
      <c r="E1770" s="11"/>
      <c r="G1770" s="66"/>
      <c r="H1770" s="8"/>
      <c r="I1770" s="8"/>
      <c r="J1770" s="6"/>
      <c r="L1770" s="4"/>
    </row>
    <row r="1771" spans="3:15" x14ac:dyDescent="0.25">
      <c r="E1771" s="11"/>
      <c r="G1771" s="66"/>
      <c r="H1771" s="8"/>
      <c r="I1771" s="8"/>
      <c r="J1771" s="6"/>
      <c r="L1771" s="4"/>
    </row>
    <row r="1772" spans="3:15" x14ac:dyDescent="0.25">
      <c r="E1772" s="11"/>
      <c r="G1772" s="66"/>
      <c r="H1772" s="8"/>
      <c r="I1772" s="8"/>
      <c r="J1772" s="6"/>
      <c r="L1772" s="4"/>
    </row>
    <row r="1773" spans="3:15" x14ac:dyDescent="0.25">
      <c r="E1773" s="11"/>
      <c r="G1773" s="66"/>
      <c r="H1773" s="8"/>
      <c r="I1773" s="8"/>
      <c r="J1773" s="6"/>
      <c r="L1773" s="4"/>
    </row>
    <row r="1774" spans="3:15" x14ac:dyDescent="0.25">
      <c r="E1774" s="11"/>
      <c r="G1774" s="66"/>
      <c r="H1774" s="8"/>
      <c r="I1774" s="8"/>
      <c r="J1774" s="6"/>
      <c r="L1774" s="4"/>
    </row>
    <row r="1775" spans="3:15" x14ac:dyDescent="0.25">
      <c r="E1775" s="11"/>
      <c r="G1775" s="66"/>
      <c r="H1775" s="8"/>
      <c r="I1775" s="8"/>
      <c r="J1775" s="6"/>
      <c r="L1775" s="4"/>
    </row>
    <row r="1776" spans="3:15" x14ac:dyDescent="0.25">
      <c r="E1776" s="11"/>
      <c r="G1776" s="66"/>
      <c r="H1776" s="8"/>
      <c r="I1776" s="8"/>
      <c r="J1776" s="6"/>
      <c r="L1776" s="4"/>
    </row>
    <row r="1777" spans="5:12" x14ac:dyDescent="0.25">
      <c r="E1777" s="11"/>
      <c r="G1777" s="66"/>
      <c r="H1777" s="8"/>
      <c r="I1777" s="8"/>
      <c r="J1777" s="6"/>
      <c r="L1777" s="4"/>
    </row>
    <row r="1778" spans="5:12" x14ac:dyDescent="0.25">
      <c r="E1778" s="11"/>
      <c r="G1778" s="48"/>
      <c r="H1778" s="8"/>
      <c r="I1778" s="8"/>
      <c r="J1778" s="6"/>
      <c r="L1778" s="4"/>
    </row>
    <row r="1779" spans="5:12" x14ac:dyDescent="0.25">
      <c r="E1779" s="11"/>
      <c r="G1779" s="66"/>
      <c r="H1779" s="8"/>
      <c r="I1779" s="8"/>
      <c r="J1779" s="6"/>
      <c r="L1779" s="4"/>
    </row>
    <row r="1780" spans="5:12" x14ac:dyDescent="0.25">
      <c r="E1780" s="11"/>
      <c r="G1780" s="66"/>
      <c r="H1780" s="8"/>
      <c r="I1780" s="8"/>
      <c r="J1780" s="6"/>
      <c r="L1780" s="4"/>
    </row>
    <row r="1781" spans="5:12" x14ac:dyDescent="0.25">
      <c r="E1781" s="11"/>
      <c r="G1781" s="66"/>
      <c r="H1781" s="8"/>
      <c r="I1781" s="8"/>
      <c r="J1781" s="6"/>
      <c r="L1781" s="4"/>
    </row>
    <row r="1782" spans="5:12" x14ac:dyDescent="0.25">
      <c r="E1782" s="11"/>
      <c r="G1782" s="66"/>
      <c r="H1782" s="8"/>
      <c r="I1782" s="8"/>
      <c r="J1782" s="6"/>
      <c r="L1782" s="4"/>
    </row>
    <row r="1783" spans="5:12" x14ac:dyDescent="0.25">
      <c r="E1783" s="11"/>
      <c r="G1783" s="48"/>
      <c r="H1783" s="8"/>
      <c r="I1783" s="8"/>
      <c r="J1783" s="6"/>
      <c r="L1783" s="4"/>
    </row>
    <row r="1784" spans="5:12" x14ac:dyDescent="0.25">
      <c r="E1784" s="11"/>
      <c r="G1784" s="66"/>
      <c r="H1784" s="8"/>
      <c r="I1784" s="8"/>
      <c r="J1784" s="6"/>
      <c r="L1784" s="4"/>
    </row>
    <row r="1785" spans="5:12" x14ac:dyDescent="0.25">
      <c r="E1785" s="11"/>
      <c r="G1785" s="66"/>
      <c r="H1785" s="8"/>
      <c r="I1785" s="8"/>
      <c r="J1785" s="6"/>
      <c r="L1785" s="4"/>
    </row>
    <row r="1786" spans="5:12" x14ac:dyDescent="0.25">
      <c r="E1786" s="11"/>
      <c r="G1786" s="66"/>
      <c r="H1786" s="8"/>
      <c r="I1786" s="8"/>
      <c r="J1786" s="6"/>
      <c r="L1786" s="4"/>
    </row>
    <row r="1787" spans="5:12" x14ac:dyDescent="0.25">
      <c r="E1787" s="11"/>
      <c r="G1787" s="66"/>
      <c r="H1787" s="8"/>
      <c r="I1787" s="8"/>
      <c r="J1787" s="6"/>
      <c r="L1787" s="4"/>
    </row>
    <row r="1788" spans="5:12" x14ac:dyDescent="0.25">
      <c r="E1788" s="11"/>
      <c r="G1788" s="66"/>
      <c r="H1788" s="8"/>
      <c r="I1788" s="8"/>
      <c r="J1788" s="6"/>
      <c r="L1788" s="4"/>
    </row>
    <row r="1789" spans="5:12" x14ac:dyDescent="0.25">
      <c r="E1789" s="11"/>
      <c r="G1789" s="66"/>
      <c r="H1789" s="8"/>
      <c r="I1789" s="8"/>
      <c r="J1789" s="6"/>
      <c r="L1789" s="4"/>
    </row>
    <row r="1790" spans="5:12" x14ac:dyDescent="0.25">
      <c r="E1790" s="11"/>
      <c r="G1790" s="66"/>
      <c r="H1790" s="8"/>
      <c r="I1790" s="8"/>
      <c r="J1790" s="6"/>
      <c r="L1790" s="4"/>
    </row>
    <row r="1791" spans="5:12" x14ac:dyDescent="0.25">
      <c r="E1791" s="11"/>
      <c r="G1791" s="66"/>
      <c r="H1791" s="8"/>
      <c r="I1791" s="8"/>
      <c r="J1791" s="6"/>
      <c r="L1791" s="4"/>
    </row>
    <row r="1792" spans="5:12" x14ac:dyDescent="0.25">
      <c r="E1792" s="11"/>
      <c r="G1792" s="66"/>
      <c r="H1792" s="8"/>
      <c r="I1792" s="8"/>
      <c r="J1792" s="6"/>
      <c r="L1792" s="4"/>
    </row>
    <row r="1793" spans="5:12" x14ac:dyDescent="0.25">
      <c r="E1793" s="11"/>
      <c r="G1793" s="66"/>
      <c r="H1793" s="8"/>
      <c r="I1793" s="8"/>
      <c r="J1793" s="6"/>
      <c r="L1793" s="4"/>
    </row>
    <row r="1794" spans="5:12" x14ac:dyDescent="0.25">
      <c r="E1794" s="11"/>
      <c r="G1794" s="66"/>
      <c r="H1794" s="8"/>
      <c r="I1794" s="8"/>
      <c r="J1794" s="6"/>
      <c r="L1794" s="4"/>
    </row>
    <row r="1795" spans="5:12" x14ac:dyDescent="0.25">
      <c r="E1795" s="11"/>
      <c r="G1795" s="48"/>
      <c r="H1795" s="8"/>
      <c r="I1795" s="8"/>
      <c r="J1795" s="6"/>
      <c r="L1795" s="4"/>
    </row>
    <row r="1796" spans="5:12" x14ac:dyDescent="0.25">
      <c r="E1796" s="11"/>
      <c r="G1796" s="66"/>
      <c r="H1796" s="8"/>
      <c r="I1796" s="8"/>
      <c r="J1796" s="6"/>
      <c r="L1796" s="4"/>
    </row>
    <row r="1797" spans="5:12" x14ac:dyDescent="0.25">
      <c r="E1797" s="11"/>
      <c r="G1797" s="66"/>
      <c r="H1797" s="8"/>
      <c r="I1797" s="8"/>
      <c r="J1797" s="6"/>
      <c r="L1797" s="4"/>
    </row>
    <row r="1798" spans="5:12" x14ac:dyDescent="0.25">
      <c r="E1798" s="11"/>
      <c r="G1798" s="66"/>
      <c r="H1798" s="8"/>
      <c r="I1798" s="8"/>
      <c r="J1798" s="6"/>
      <c r="L1798" s="4"/>
    </row>
    <row r="1799" spans="5:12" x14ac:dyDescent="0.25">
      <c r="E1799" s="11"/>
      <c r="G1799" s="66"/>
      <c r="H1799" s="8"/>
      <c r="I1799" s="8"/>
      <c r="J1799" s="6"/>
      <c r="L1799" s="4"/>
    </row>
    <row r="1800" spans="5:12" x14ac:dyDescent="0.25">
      <c r="E1800" s="11"/>
      <c r="G1800" s="48"/>
      <c r="H1800" s="8"/>
      <c r="I1800" s="8"/>
      <c r="J1800" s="6"/>
      <c r="L1800" s="4"/>
    </row>
    <row r="1801" spans="5:12" x14ac:dyDescent="0.25">
      <c r="E1801" s="11"/>
      <c r="G1801" s="66"/>
      <c r="H1801" s="8"/>
      <c r="I1801" s="8"/>
      <c r="J1801" s="6"/>
      <c r="L1801" s="4"/>
    </row>
    <row r="1802" spans="5:12" x14ac:dyDescent="0.25">
      <c r="E1802" s="11"/>
      <c r="G1802" s="66"/>
      <c r="H1802" s="8"/>
      <c r="I1802" s="8"/>
      <c r="J1802" s="6"/>
      <c r="L1802" s="4"/>
    </row>
    <row r="1803" spans="5:12" x14ac:dyDescent="0.25">
      <c r="E1803" s="11"/>
      <c r="G1803" s="66"/>
      <c r="H1803" s="8"/>
      <c r="I1803" s="8"/>
      <c r="J1803" s="6"/>
      <c r="L1803" s="4"/>
    </row>
    <row r="1804" spans="5:12" x14ac:dyDescent="0.25">
      <c r="E1804" s="11"/>
      <c r="G1804" s="66"/>
      <c r="H1804" s="8"/>
      <c r="I1804" s="8"/>
      <c r="J1804" s="6"/>
      <c r="L1804" s="4"/>
    </row>
    <row r="1805" spans="5:12" x14ac:dyDescent="0.25">
      <c r="E1805" s="11"/>
      <c r="G1805" s="66"/>
      <c r="H1805" s="8"/>
      <c r="I1805" s="8"/>
      <c r="J1805" s="6"/>
      <c r="L1805" s="4"/>
    </row>
    <row r="1806" spans="5:12" x14ac:dyDescent="0.25">
      <c r="E1806" s="11"/>
      <c r="G1806" s="66"/>
      <c r="H1806" s="8"/>
      <c r="I1806" s="8"/>
      <c r="J1806" s="6"/>
      <c r="L1806" s="4"/>
    </row>
    <row r="1807" spans="5:12" x14ac:dyDescent="0.25">
      <c r="E1807" s="11"/>
      <c r="G1807" s="66"/>
      <c r="H1807" s="8"/>
      <c r="I1807" s="8"/>
      <c r="J1807" s="6"/>
      <c r="L1807" s="4"/>
    </row>
    <row r="1808" spans="5:12" x14ac:dyDescent="0.25">
      <c r="E1808" s="11"/>
      <c r="G1808" s="66"/>
      <c r="H1808" s="8"/>
      <c r="I1808" s="8"/>
      <c r="J1808" s="6"/>
      <c r="L1808" s="4"/>
    </row>
    <row r="1809" spans="5:12" x14ac:dyDescent="0.25">
      <c r="E1809" s="11"/>
      <c r="G1809" s="66"/>
      <c r="H1809" s="8"/>
      <c r="I1809" s="8"/>
      <c r="J1809" s="6"/>
      <c r="L1809" s="4"/>
    </row>
    <row r="1810" spans="5:12" x14ac:dyDescent="0.25">
      <c r="E1810" s="11"/>
      <c r="G1810" s="66"/>
      <c r="H1810" s="8"/>
      <c r="I1810" s="8"/>
      <c r="J1810" s="6"/>
      <c r="L1810" s="4"/>
    </row>
    <row r="1811" spans="5:12" x14ac:dyDescent="0.25">
      <c r="E1811" s="11"/>
      <c r="G1811" s="48"/>
      <c r="H1811" s="8"/>
      <c r="I1811" s="8"/>
      <c r="J1811" s="6"/>
      <c r="L1811" s="4"/>
    </row>
    <row r="1812" spans="5:12" x14ac:dyDescent="0.25">
      <c r="E1812" s="11"/>
      <c r="G1812" s="66"/>
      <c r="H1812" s="8"/>
      <c r="I1812" s="8"/>
      <c r="J1812" s="6"/>
      <c r="L1812" s="4"/>
    </row>
    <row r="1813" spans="5:12" x14ac:dyDescent="0.25">
      <c r="E1813" s="11"/>
      <c r="G1813" s="66"/>
      <c r="H1813" s="8"/>
      <c r="I1813" s="8"/>
      <c r="J1813" s="6"/>
      <c r="L1813" s="4"/>
    </row>
    <row r="1814" spans="5:12" x14ac:dyDescent="0.25">
      <c r="E1814" s="11"/>
      <c r="G1814" s="66"/>
      <c r="H1814" s="8"/>
      <c r="I1814" s="8"/>
      <c r="J1814" s="6"/>
      <c r="L1814" s="4"/>
    </row>
    <row r="1815" spans="5:12" x14ac:dyDescent="0.25">
      <c r="E1815" s="11"/>
      <c r="G1815" s="66"/>
      <c r="H1815" s="8"/>
      <c r="I1815" s="8"/>
      <c r="J1815" s="6"/>
      <c r="L1815" s="4"/>
    </row>
    <row r="1816" spans="5:12" x14ac:dyDescent="0.25">
      <c r="E1816" s="11"/>
      <c r="G1816" s="48"/>
      <c r="H1816" s="8"/>
      <c r="I1816" s="8"/>
      <c r="J1816" s="6"/>
      <c r="L1816" s="4"/>
    </row>
    <row r="1817" spans="5:12" x14ac:dyDescent="0.25">
      <c r="E1817" s="11"/>
      <c r="G1817" s="66"/>
      <c r="H1817" s="8"/>
      <c r="I1817" s="8"/>
      <c r="J1817" s="6"/>
      <c r="L1817" s="4"/>
    </row>
    <row r="1818" spans="5:12" x14ac:dyDescent="0.25">
      <c r="E1818" s="11"/>
      <c r="G1818" s="66"/>
      <c r="H1818" s="8"/>
      <c r="I1818" s="8"/>
      <c r="J1818" s="6"/>
      <c r="L1818" s="4"/>
    </row>
    <row r="1819" spans="5:12" x14ac:dyDescent="0.25">
      <c r="E1819" s="11"/>
      <c r="G1819" s="66"/>
      <c r="H1819" s="8"/>
      <c r="I1819" s="8"/>
      <c r="J1819" s="6"/>
      <c r="L1819" s="4"/>
    </row>
    <row r="1820" spans="5:12" x14ac:dyDescent="0.25">
      <c r="E1820" s="11"/>
      <c r="G1820" s="66"/>
      <c r="H1820" s="8"/>
      <c r="I1820" s="8"/>
      <c r="J1820" s="6"/>
      <c r="L1820" s="4"/>
    </row>
    <row r="1821" spans="5:12" x14ac:dyDescent="0.25">
      <c r="E1821" s="11"/>
      <c r="G1821" s="66"/>
      <c r="H1821" s="8"/>
      <c r="I1821" s="8"/>
      <c r="J1821" s="6"/>
      <c r="L1821" s="4"/>
    </row>
    <row r="1822" spans="5:12" x14ac:dyDescent="0.25">
      <c r="E1822" s="11"/>
      <c r="G1822" s="66"/>
      <c r="H1822" s="8"/>
      <c r="I1822" s="8"/>
      <c r="J1822" s="6"/>
      <c r="L1822" s="4"/>
    </row>
    <row r="1823" spans="5:12" x14ac:dyDescent="0.25">
      <c r="E1823" s="11"/>
      <c r="G1823" s="66"/>
      <c r="H1823" s="8"/>
      <c r="I1823" s="8"/>
      <c r="J1823" s="6"/>
      <c r="L1823" s="4"/>
    </row>
    <row r="1824" spans="5:12" x14ac:dyDescent="0.25">
      <c r="E1824" s="11"/>
      <c r="G1824" s="66"/>
      <c r="H1824" s="8"/>
      <c r="I1824" s="8"/>
      <c r="J1824" s="6"/>
      <c r="L1824" s="4"/>
    </row>
    <row r="1825" spans="5:12" x14ac:dyDescent="0.25">
      <c r="E1825" s="11"/>
      <c r="G1825" s="66"/>
      <c r="H1825" s="8"/>
      <c r="I1825" s="8"/>
      <c r="J1825" s="6"/>
      <c r="L1825" s="4"/>
    </row>
    <row r="1826" spans="5:12" x14ac:dyDescent="0.25">
      <c r="E1826" s="11"/>
      <c r="G1826" s="66"/>
      <c r="H1826" s="8"/>
      <c r="I1826" s="8"/>
      <c r="J1826" s="6"/>
      <c r="L1826" s="4"/>
    </row>
    <row r="1827" spans="5:12" x14ac:dyDescent="0.25">
      <c r="E1827" s="11"/>
      <c r="G1827" s="66"/>
      <c r="H1827" s="8"/>
      <c r="I1827" s="8"/>
      <c r="J1827" s="6"/>
      <c r="L1827" s="4"/>
    </row>
    <row r="1828" spans="5:12" x14ac:dyDescent="0.25">
      <c r="E1828" s="11"/>
      <c r="G1828" s="48"/>
      <c r="H1828" s="8"/>
      <c r="I1828" s="8"/>
      <c r="J1828" s="6"/>
      <c r="L1828" s="4"/>
    </row>
    <row r="1829" spans="5:12" x14ac:dyDescent="0.25">
      <c r="E1829" s="11"/>
      <c r="G1829" s="66"/>
      <c r="H1829" s="8"/>
      <c r="I1829" s="8"/>
      <c r="J1829" s="6"/>
      <c r="L1829" s="4"/>
    </row>
    <row r="1830" spans="5:12" x14ac:dyDescent="0.25">
      <c r="E1830" s="11"/>
      <c r="G1830" s="66"/>
      <c r="H1830" s="8"/>
      <c r="I1830" s="8"/>
      <c r="J1830" s="6"/>
      <c r="L1830" s="4"/>
    </row>
    <row r="1831" spans="5:12" x14ac:dyDescent="0.25">
      <c r="E1831" s="11"/>
      <c r="G1831" s="66"/>
      <c r="H1831" s="8"/>
      <c r="I1831" s="8"/>
      <c r="J1831" s="6"/>
      <c r="L1831" s="4"/>
    </row>
    <row r="1832" spans="5:12" x14ac:dyDescent="0.25">
      <c r="E1832" s="11"/>
      <c r="G1832" s="66"/>
      <c r="H1832" s="8"/>
      <c r="I1832" s="8"/>
      <c r="J1832" s="6"/>
      <c r="L1832" s="4"/>
    </row>
    <row r="1833" spans="5:12" x14ac:dyDescent="0.25">
      <c r="E1833" s="11"/>
      <c r="G1833" s="48"/>
      <c r="H1833" s="8"/>
      <c r="I1833" s="8"/>
      <c r="J1833" s="6"/>
      <c r="L1833" s="4"/>
    </row>
    <row r="1834" spans="5:12" x14ac:dyDescent="0.25">
      <c r="E1834" s="11"/>
      <c r="G1834" s="66"/>
      <c r="H1834" s="8"/>
      <c r="I1834" s="8"/>
      <c r="J1834" s="6"/>
      <c r="L1834" s="4"/>
    </row>
    <row r="1835" spans="5:12" x14ac:dyDescent="0.25">
      <c r="E1835" s="11"/>
      <c r="G1835" s="66"/>
      <c r="H1835" s="8"/>
      <c r="I1835" s="8"/>
      <c r="J1835" s="6"/>
      <c r="L1835" s="4"/>
    </row>
    <row r="1836" spans="5:12" x14ac:dyDescent="0.25">
      <c r="E1836" s="11"/>
      <c r="G1836" s="66"/>
      <c r="H1836" s="8"/>
      <c r="I1836" s="8"/>
      <c r="J1836" s="6"/>
      <c r="L1836" s="4"/>
    </row>
    <row r="1837" spans="5:12" x14ac:dyDescent="0.25">
      <c r="E1837" s="11"/>
      <c r="G1837" s="66"/>
      <c r="H1837" s="8"/>
      <c r="I1837" s="8"/>
      <c r="J1837" s="6"/>
      <c r="L1837" s="4"/>
    </row>
    <row r="1838" spans="5:12" x14ac:dyDescent="0.25">
      <c r="E1838" s="11"/>
      <c r="G1838" s="66"/>
      <c r="H1838" s="8"/>
      <c r="I1838" s="8"/>
      <c r="J1838" s="6"/>
      <c r="L1838" s="4"/>
    </row>
    <row r="1839" spans="5:12" x14ac:dyDescent="0.25">
      <c r="E1839" s="11"/>
      <c r="G1839" s="66"/>
      <c r="H1839" s="8"/>
      <c r="I1839" s="8"/>
      <c r="J1839" s="6"/>
      <c r="L1839" s="4"/>
    </row>
    <row r="1840" spans="5:12" x14ac:dyDescent="0.25">
      <c r="E1840" s="11"/>
      <c r="G1840" s="66"/>
      <c r="H1840" s="8"/>
      <c r="I1840" s="8"/>
      <c r="J1840" s="6"/>
      <c r="L1840" s="4"/>
    </row>
    <row r="1841" spans="5:12" x14ac:dyDescent="0.25">
      <c r="E1841" s="11"/>
      <c r="G1841" s="66"/>
      <c r="H1841" s="8"/>
      <c r="I1841" s="8"/>
      <c r="J1841" s="6"/>
      <c r="L1841" s="4"/>
    </row>
    <row r="1842" spans="5:12" x14ac:dyDescent="0.25">
      <c r="E1842" s="11"/>
      <c r="G1842" s="66"/>
      <c r="H1842" s="8"/>
      <c r="I1842" s="8"/>
      <c r="J1842" s="6"/>
      <c r="L1842" s="4"/>
    </row>
    <row r="1843" spans="5:12" x14ac:dyDescent="0.25">
      <c r="E1843" s="11"/>
      <c r="G1843" s="66"/>
      <c r="H1843" s="8"/>
      <c r="I1843" s="8"/>
      <c r="J1843" s="6"/>
      <c r="L1843" s="4"/>
    </row>
    <row r="1844" spans="5:12" x14ac:dyDescent="0.25">
      <c r="E1844" s="11"/>
      <c r="G1844" s="48"/>
      <c r="H1844" s="8"/>
      <c r="I1844" s="8"/>
      <c r="J1844" s="6"/>
      <c r="L1844" s="4"/>
    </row>
    <row r="1845" spans="5:12" x14ac:dyDescent="0.25">
      <c r="E1845" s="11"/>
      <c r="G1845" s="66"/>
      <c r="H1845" s="8"/>
      <c r="I1845" s="8"/>
      <c r="J1845" s="6"/>
      <c r="L1845" s="4"/>
    </row>
    <row r="1846" spans="5:12" x14ac:dyDescent="0.25">
      <c r="E1846" s="11"/>
      <c r="G1846" s="66"/>
      <c r="H1846" s="8"/>
      <c r="I1846" s="8"/>
      <c r="J1846" s="6"/>
      <c r="L1846" s="4"/>
    </row>
    <row r="1847" spans="5:12" x14ac:dyDescent="0.25">
      <c r="E1847" s="11"/>
      <c r="G1847" s="66"/>
      <c r="H1847" s="8"/>
      <c r="I1847" s="8"/>
      <c r="J1847" s="6"/>
      <c r="L1847" s="4"/>
    </row>
    <row r="1848" spans="5:12" x14ac:dyDescent="0.25">
      <c r="E1848" s="11"/>
      <c r="G1848" s="66"/>
      <c r="H1848" s="8"/>
      <c r="I1848" s="8"/>
      <c r="J1848" s="6"/>
      <c r="L1848" s="4"/>
    </row>
    <row r="1849" spans="5:12" x14ac:dyDescent="0.25">
      <c r="E1849" s="11"/>
      <c r="G1849" s="48"/>
      <c r="H1849" s="8"/>
      <c r="I1849" s="8"/>
      <c r="J1849" s="6"/>
      <c r="L1849" s="4"/>
    </row>
    <row r="1850" spans="5:12" x14ac:dyDescent="0.25">
      <c r="E1850" s="11"/>
      <c r="G1850" s="66"/>
      <c r="H1850" s="8"/>
      <c r="I1850" s="8"/>
      <c r="J1850" s="6"/>
      <c r="L1850" s="4"/>
    </row>
    <row r="1851" spans="5:12" x14ac:dyDescent="0.25">
      <c r="E1851" s="11"/>
      <c r="G1851" s="66"/>
      <c r="H1851" s="8"/>
      <c r="I1851" s="8"/>
      <c r="J1851" s="6"/>
      <c r="L1851" s="4"/>
    </row>
    <row r="1852" spans="5:12" x14ac:dyDescent="0.25">
      <c r="E1852" s="11"/>
      <c r="G1852" s="66"/>
      <c r="H1852" s="8"/>
      <c r="I1852" s="8"/>
      <c r="J1852" s="6"/>
      <c r="L1852" s="4"/>
    </row>
    <row r="1853" spans="5:12" x14ac:dyDescent="0.25">
      <c r="E1853" s="11"/>
      <c r="G1853" s="66"/>
      <c r="H1853" s="8"/>
      <c r="I1853" s="8"/>
      <c r="J1853" s="6"/>
      <c r="L1853" s="4"/>
    </row>
    <row r="1854" spans="5:12" x14ac:dyDescent="0.25">
      <c r="E1854" s="11"/>
      <c r="G1854" s="66"/>
      <c r="H1854" s="8"/>
      <c r="I1854" s="8"/>
      <c r="J1854" s="6"/>
      <c r="L1854" s="4"/>
    </row>
    <row r="1855" spans="5:12" x14ac:dyDescent="0.25">
      <c r="E1855" s="11"/>
      <c r="G1855" s="66"/>
      <c r="H1855" s="8"/>
      <c r="I1855" s="8"/>
      <c r="J1855" s="6"/>
      <c r="L1855" s="4"/>
    </row>
    <row r="1856" spans="5:12" x14ac:dyDescent="0.25">
      <c r="E1856" s="11"/>
      <c r="G1856" s="66"/>
      <c r="H1856" s="8"/>
      <c r="I1856" s="8"/>
      <c r="J1856" s="6"/>
      <c r="L1856" s="4"/>
    </row>
    <row r="1857" spans="5:12" x14ac:dyDescent="0.25">
      <c r="E1857" s="11"/>
      <c r="G1857" s="66"/>
      <c r="H1857" s="8"/>
      <c r="I1857" s="8"/>
      <c r="J1857" s="6"/>
      <c r="L1857" s="4"/>
    </row>
    <row r="1858" spans="5:12" x14ac:dyDescent="0.25">
      <c r="E1858" s="11"/>
      <c r="G1858" s="66"/>
      <c r="H1858" s="8"/>
      <c r="I1858" s="8"/>
      <c r="J1858" s="6"/>
      <c r="L1858" s="4"/>
    </row>
    <row r="1859" spans="5:12" x14ac:dyDescent="0.25">
      <c r="E1859" s="11"/>
      <c r="G1859" s="66"/>
      <c r="H1859" s="8"/>
      <c r="I1859" s="8"/>
      <c r="J1859" s="6"/>
      <c r="L1859" s="4"/>
    </row>
    <row r="1860" spans="5:12" x14ac:dyDescent="0.25">
      <c r="E1860" s="11"/>
      <c r="G1860" s="66"/>
      <c r="H1860" s="8"/>
      <c r="I1860" s="8"/>
      <c r="J1860" s="6"/>
      <c r="L1860" s="4"/>
    </row>
    <row r="1861" spans="5:12" x14ac:dyDescent="0.25">
      <c r="E1861" s="11"/>
      <c r="G1861" s="48"/>
      <c r="H1861" s="8"/>
      <c r="I1861" s="8"/>
      <c r="J1861" s="6"/>
      <c r="L1861" s="4"/>
    </row>
    <row r="1862" spans="5:12" x14ac:dyDescent="0.25">
      <c r="E1862" s="11"/>
      <c r="G1862" s="66"/>
      <c r="H1862" s="8"/>
      <c r="I1862" s="8"/>
      <c r="J1862" s="6"/>
      <c r="L1862" s="4"/>
    </row>
    <row r="1863" spans="5:12" x14ac:dyDescent="0.25">
      <c r="E1863" s="11"/>
      <c r="G1863" s="66"/>
      <c r="H1863" s="8"/>
      <c r="I1863" s="8"/>
      <c r="J1863" s="6"/>
      <c r="L1863" s="4"/>
    </row>
    <row r="1864" spans="5:12" x14ac:dyDescent="0.25">
      <c r="E1864" s="11"/>
      <c r="G1864" s="66"/>
      <c r="H1864" s="8"/>
      <c r="I1864" s="8"/>
      <c r="J1864" s="6"/>
      <c r="L1864" s="4"/>
    </row>
    <row r="1865" spans="5:12" x14ac:dyDescent="0.25">
      <c r="E1865" s="11"/>
      <c r="G1865" s="66"/>
      <c r="H1865" s="8"/>
      <c r="I1865" s="8"/>
      <c r="J1865" s="6"/>
      <c r="L1865" s="4"/>
    </row>
    <row r="1866" spans="5:12" x14ac:dyDescent="0.25">
      <c r="E1866" s="11"/>
      <c r="G1866" s="48"/>
      <c r="H1866" s="8"/>
      <c r="I1866" s="8"/>
      <c r="J1866" s="6"/>
      <c r="L1866" s="4"/>
    </row>
    <row r="1867" spans="5:12" x14ac:dyDescent="0.25">
      <c r="E1867" s="11"/>
      <c r="G1867" s="66"/>
      <c r="H1867" s="8"/>
      <c r="I1867" s="8"/>
      <c r="J1867" s="6"/>
      <c r="L1867" s="4"/>
    </row>
    <row r="1868" spans="5:12" x14ac:dyDescent="0.25">
      <c r="E1868" s="11"/>
      <c r="G1868" s="66"/>
      <c r="H1868" s="8"/>
      <c r="I1868" s="8"/>
      <c r="J1868" s="6"/>
      <c r="L1868" s="4"/>
    </row>
    <row r="1869" spans="5:12" x14ac:dyDescent="0.25">
      <c r="E1869" s="11"/>
      <c r="G1869" s="66"/>
      <c r="H1869" s="8"/>
      <c r="I1869" s="8"/>
      <c r="J1869" s="6"/>
      <c r="L1869" s="4"/>
    </row>
    <row r="1870" spans="5:12" x14ac:dyDescent="0.25">
      <c r="E1870" s="11"/>
      <c r="G1870" s="66"/>
      <c r="H1870" s="8"/>
      <c r="I1870" s="8"/>
      <c r="J1870" s="6"/>
      <c r="L1870" s="4"/>
    </row>
    <row r="1871" spans="5:12" x14ac:dyDescent="0.25">
      <c r="E1871" s="11"/>
      <c r="G1871" s="66"/>
      <c r="H1871" s="8"/>
      <c r="I1871" s="8"/>
      <c r="J1871" s="6"/>
      <c r="L1871" s="4"/>
    </row>
    <row r="1872" spans="5:12" x14ac:dyDescent="0.25">
      <c r="E1872" s="11"/>
      <c r="G1872" s="66"/>
      <c r="H1872" s="8"/>
      <c r="I1872" s="8"/>
      <c r="J1872" s="6"/>
      <c r="L1872" s="4"/>
    </row>
    <row r="1873" spans="5:12" x14ac:dyDescent="0.25">
      <c r="E1873" s="11"/>
      <c r="G1873" s="66"/>
      <c r="H1873" s="8"/>
      <c r="I1873" s="8"/>
      <c r="J1873" s="6"/>
      <c r="L1873" s="4"/>
    </row>
    <row r="1874" spans="5:12" x14ac:dyDescent="0.25">
      <c r="E1874" s="11"/>
      <c r="G1874" s="66"/>
      <c r="H1874" s="8"/>
      <c r="I1874" s="8"/>
      <c r="J1874" s="6"/>
      <c r="L1874" s="4"/>
    </row>
    <row r="1875" spans="5:12" x14ac:dyDescent="0.25">
      <c r="E1875" s="11"/>
      <c r="G1875" s="66"/>
      <c r="H1875" s="8"/>
      <c r="I1875" s="8"/>
      <c r="J1875" s="6"/>
      <c r="L1875" s="4"/>
    </row>
    <row r="1876" spans="5:12" x14ac:dyDescent="0.25">
      <c r="E1876" s="11"/>
      <c r="G1876" s="66"/>
      <c r="H1876" s="8"/>
      <c r="I1876" s="8"/>
      <c r="J1876" s="6"/>
      <c r="L1876" s="4"/>
    </row>
    <row r="1877" spans="5:12" x14ac:dyDescent="0.25">
      <c r="E1877" s="11"/>
      <c r="G1877" s="48"/>
      <c r="H1877" s="8"/>
      <c r="I1877" s="8"/>
      <c r="J1877" s="6"/>
      <c r="L1877" s="4"/>
    </row>
    <row r="1878" spans="5:12" x14ac:dyDescent="0.25">
      <c r="E1878" s="11"/>
      <c r="G1878" s="66"/>
      <c r="H1878" s="8"/>
      <c r="I1878" s="8"/>
      <c r="J1878" s="6"/>
      <c r="L1878" s="4"/>
    </row>
    <row r="1879" spans="5:12" x14ac:dyDescent="0.25">
      <c r="E1879" s="11"/>
      <c r="G1879" s="66"/>
      <c r="H1879" s="8"/>
      <c r="I1879" s="8"/>
      <c r="J1879" s="6"/>
      <c r="L1879" s="4"/>
    </row>
    <row r="1880" spans="5:12" x14ac:dyDescent="0.25">
      <c r="E1880" s="11"/>
      <c r="G1880" s="66"/>
      <c r="H1880" s="8"/>
      <c r="I1880" s="8"/>
      <c r="J1880" s="6"/>
      <c r="L1880" s="4"/>
    </row>
    <row r="1881" spans="5:12" x14ac:dyDescent="0.25">
      <c r="E1881" s="11"/>
      <c r="G1881" s="66"/>
      <c r="H1881" s="8"/>
      <c r="I1881" s="8"/>
      <c r="J1881" s="6"/>
      <c r="L1881" s="4"/>
    </row>
    <row r="1882" spans="5:12" x14ac:dyDescent="0.25">
      <c r="E1882" s="11"/>
      <c r="G1882" s="48"/>
      <c r="H1882" s="8"/>
      <c r="I1882" s="8"/>
      <c r="J1882" s="6"/>
      <c r="L1882" s="4"/>
    </row>
    <row r="1883" spans="5:12" x14ac:dyDescent="0.25">
      <c r="E1883" s="11"/>
      <c r="G1883" s="66"/>
      <c r="H1883" s="8"/>
      <c r="I1883" s="8"/>
      <c r="J1883" s="6"/>
      <c r="L1883" s="4"/>
    </row>
    <row r="1884" spans="5:12" x14ac:dyDescent="0.25">
      <c r="E1884" s="11"/>
      <c r="G1884" s="66"/>
      <c r="H1884" s="8"/>
      <c r="I1884" s="8"/>
      <c r="J1884" s="6"/>
      <c r="L1884" s="4"/>
    </row>
    <row r="1885" spans="5:12" x14ac:dyDescent="0.25">
      <c r="E1885" s="11"/>
      <c r="G1885" s="66"/>
      <c r="H1885" s="8"/>
      <c r="I1885" s="8"/>
      <c r="J1885" s="6"/>
      <c r="L1885" s="4"/>
    </row>
    <row r="1886" spans="5:12" x14ac:dyDescent="0.25">
      <c r="E1886" s="11"/>
      <c r="G1886" s="66"/>
      <c r="H1886" s="8"/>
      <c r="I1886" s="8"/>
      <c r="J1886" s="6"/>
      <c r="L1886" s="4"/>
    </row>
    <row r="1887" spans="5:12" x14ac:dyDescent="0.25">
      <c r="E1887" s="11"/>
      <c r="G1887" s="66"/>
      <c r="H1887" s="8"/>
      <c r="I1887" s="8"/>
      <c r="J1887" s="6"/>
      <c r="L1887" s="4"/>
    </row>
    <row r="1888" spans="5:12" x14ac:dyDescent="0.25">
      <c r="E1888" s="11"/>
      <c r="G1888" s="66"/>
      <c r="H1888" s="8"/>
      <c r="I1888" s="8"/>
      <c r="J1888" s="6"/>
      <c r="L1888" s="4"/>
    </row>
    <row r="1889" spans="5:12" x14ac:dyDescent="0.25">
      <c r="E1889" s="11"/>
      <c r="G1889" s="66"/>
      <c r="H1889" s="8"/>
      <c r="I1889" s="8"/>
      <c r="J1889" s="6"/>
      <c r="L1889" s="4"/>
    </row>
    <row r="1890" spans="5:12" x14ac:dyDescent="0.25">
      <c r="E1890" s="11"/>
      <c r="G1890" s="66"/>
      <c r="H1890" s="8"/>
      <c r="I1890" s="8"/>
      <c r="J1890" s="6"/>
      <c r="L1890" s="4"/>
    </row>
    <row r="1891" spans="5:12" x14ac:dyDescent="0.25">
      <c r="E1891" s="11"/>
      <c r="G1891" s="66"/>
      <c r="H1891" s="8"/>
      <c r="I1891" s="8"/>
      <c r="J1891" s="6"/>
      <c r="L1891" s="4"/>
    </row>
    <row r="1892" spans="5:12" x14ac:dyDescent="0.25">
      <c r="E1892" s="11"/>
      <c r="G1892" s="66"/>
      <c r="H1892" s="8"/>
      <c r="I1892" s="8"/>
      <c r="J1892" s="6"/>
      <c r="L1892" s="4"/>
    </row>
    <row r="1893" spans="5:12" x14ac:dyDescent="0.25">
      <c r="E1893" s="11"/>
      <c r="G1893" s="66"/>
      <c r="H1893" s="8"/>
      <c r="I1893" s="8"/>
      <c r="J1893" s="6"/>
      <c r="L1893" s="4"/>
    </row>
    <row r="1894" spans="5:12" x14ac:dyDescent="0.25">
      <c r="E1894" s="11"/>
      <c r="G1894" s="48"/>
      <c r="H1894" s="8"/>
      <c r="I1894" s="8"/>
      <c r="J1894" s="6"/>
      <c r="L1894" s="4"/>
    </row>
    <row r="1895" spans="5:12" x14ac:dyDescent="0.25">
      <c r="E1895" s="11"/>
      <c r="G1895" s="66"/>
      <c r="H1895" s="8"/>
      <c r="I1895" s="8"/>
      <c r="J1895" s="6"/>
      <c r="L1895" s="4"/>
    </row>
    <row r="1896" spans="5:12" x14ac:dyDescent="0.25">
      <c r="E1896" s="11"/>
      <c r="G1896" s="66"/>
      <c r="H1896" s="8"/>
      <c r="I1896" s="8"/>
      <c r="J1896" s="6"/>
      <c r="L1896" s="4"/>
    </row>
    <row r="1897" spans="5:12" x14ac:dyDescent="0.25">
      <c r="E1897" s="11"/>
      <c r="G1897" s="66"/>
      <c r="H1897" s="8"/>
      <c r="I1897" s="8"/>
      <c r="J1897" s="6"/>
      <c r="L1897" s="4"/>
    </row>
    <row r="1898" spans="5:12" x14ac:dyDescent="0.25">
      <c r="E1898" s="11"/>
      <c r="G1898" s="66"/>
      <c r="H1898" s="8"/>
      <c r="I1898" s="8"/>
      <c r="J1898" s="6"/>
      <c r="L1898" s="4"/>
    </row>
    <row r="1899" spans="5:12" x14ac:dyDescent="0.25">
      <c r="E1899" s="11"/>
      <c r="G1899" s="48"/>
      <c r="H1899" s="8"/>
      <c r="I1899" s="8"/>
      <c r="J1899" s="6"/>
      <c r="L1899" s="4"/>
    </row>
    <row r="1900" spans="5:12" x14ac:dyDescent="0.25">
      <c r="E1900" s="11"/>
      <c r="G1900" s="66"/>
      <c r="H1900" s="8"/>
      <c r="I1900" s="8"/>
      <c r="J1900" s="6"/>
      <c r="L1900" s="4"/>
    </row>
    <row r="1901" spans="5:12" x14ac:dyDescent="0.25">
      <c r="E1901" s="11"/>
      <c r="G1901" s="66"/>
      <c r="H1901" s="8"/>
      <c r="I1901" s="8"/>
      <c r="J1901" s="6"/>
      <c r="L1901" s="4"/>
    </row>
    <row r="1902" spans="5:12" x14ac:dyDescent="0.25">
      <c r="E1902" s="11"/>
      <c r="G1902" s="66"/>
      <c r="H1902" s="8"/>
      <c r="I1902" s="8"/>
      <c r="J1902" s="6"/>
      <c r="L1902" s="4"/>
    </row>
    <row r="1903" spans="5:12" x14ac:dyDescent="0.25">
      <c r="E1903" s="11"/>
      <c r="G1903" s="66"/>
      <c r="H1903" s="8"/>
      <c r="I1903" s="8"/>
      <c r="J1903" s="6"/>
      <c r="L1903" s="4"/>
    </row>
    <row r="1904" spans="5:12" x14ac:dyDescent="0.25">
      <c r="E1904" s="11"/>
      <c r="G1904" s="66"/>
      <c r="H1904" s="8"/>
      <c r="I1904" s="8"/>
      <c r="J1904" s="6"/>
      <c r="L1904" s="4"/>
    </row>
    <row r="1905" spans="5:12" x14ac:dyDescent="0.25">
      <c r="E1905" s="11"/>
      <c r="G1905" s="66"/>
      <c r="H1905" s="8"/>
      <c r="I1905" s="8"/>
      <c r="J1905" s="6"/>
      <c r="L1905" s="4"/>
    </row>
    <row r="1906" spans="5:12" x14ac:dyDescent="0.25">
      <c r="E1906" s="11"/>
      <c r="G1906" s="66"/>
      <c r="H1906" s="8"/>
      <c r="I1906" s="8"/>
      <c r="J1906" s="6"/>
      <c r="L1906" s="4"/>
    </row>
    <row r="1907" spans="5:12" x14ac:dyDescent="0.25">
      <c r="E1907" s="11"/>
      <c r="G1907" s="66"/>
      <c r="H1907" s="8"/>
      <c r="I1907" s="8"/>
      <c r="J1907" s="6"/>
      <c r="L1907" s="4"/>
    </row>
    <row r="1908" spans="5:12" x14ac:dyDescent="0.25">
      <c r="E1908" s="11"/>
      <c r="G1908" s="66"/>
      <c r="H1908" s="8"/>
      <c r="I1908" s="8"/>
      <c r="J1908" s="6"/>
      <c r="L1908" s="4"/>
    </row>
    <row r="1909" spans="5:12" x14ac:dyDescent="0.25">
      <c r="E1909" s="11"/>
      <c r="G1909" s="66"/>
      <c r="H1909" s="8"/>
      <c r="I1909" s="8"/>
      <c r="J1909" s="6"/>
      <c r="L1909" s="4"/>
    </row>
    <row r="1910" spans="5:12" x14ac:dyDescent="0.25">
      <c r="E1910" s="11"/>
      <c r="G1910" s="48"/>
      <c r="H1910" s="8"/>
      <c r="I1910" s="8"/>
      <c r="J1910" s="6"/>
      <c r="L1910" s="4"/>
    </row>
    <row r="1911" spans="5:12" x14ac:dyDescent="0.25">
      <c r="E1911" s="11"/>
      <c r="G1911" s="66"/>
      <c r="H1911" s="8"/>
      <c r="I1911" s="8"/>
      <c r="J1911" s="6"/>
      <c r="L1911" s="4"/>
    </row>
    <row r="1912" spans="5:12" x14ac:dyDescent="0.25">
      <c r="E1912" s="11"/>
      <c r="G1912" s="66"/>
      <c r="H1912" s="8"/>
      <c r="I1912" s="8"/>
      <c r="J1912" s="6"/>
      <c r="L1912" s="4"/>
    </row>
    <row r="1913" spans="5:12" x14ac:dyDescent="0.25">
      <c r="E1913" s="11"/>
      <c r="G1913" s="66"/>
      <c r="H1913" s="8"/>
      <c r="I1913" s="8"/>
      <c r="J1913" s="6"/>
      <c r="L1913" s="4"/>
    </row>
    <row r="1914" spans="5:12" x14ac:dyDescent="0.25">
      <c r="E1914" s="11"/>
      <c r="G1914" s="66"/>
      <c r="H1914" s="8"/>
      <c r="I1914" s="8"/>
      <c r="J1914" s="6"/>
      <c r="L1914" s="4"/>
    </row>
    <row r="1915" spans="5:12" x14ac:dyDescent="0.25">
      <c r="E1915" s="11"/>
      <c r="G1915" s="48"/>
      <c r="H1915" s="8"/>
      <c r="I1915" s="8"/>
      <c r="J1915" s="6"/>
      <c r="L1915" s="4"/>
    </row>
    <row r="1916" spans="5:12" x14ac:dyDescent="0.25">
      <c r="E1916" s="11"/>
      <c r="G1916" s="66"/>
      <c r="H1916" s="8"/>
      <c r="I1916" s="8"/>
      <c r="J1916" s="6"/>
      <c r="L1916" s="4"/>
    </row>
    <row r="1917" spans="5:12" x14ac:dyDescent="0.25">
      <c r="E1917" s="11"/>
      <c r="G1917" s="66"/>
      <c r="H1917" s="8"/>
      <c r="I1917" s="8"/>
      <c r="J1917" s="6"/>
      <c r="L1917" s="4"/>
    </row>
    <row r="1918" spans="5:12" x14ac:dyDescent="0.25">
      <c r="E1918" s="11"/>
      <c r="G1918" s="66"/>
      <c r="H1918" s="8"/>
      <c r="I1918" s="8"/>
      <c r="J1918" s="6"/>
      <c r="L1918" s="4"/>
    </row>
    <row r="1919" spans="5:12" x14ac:dyDescent="0.25">
      <c r="E1919" s="11"/>
      <c r="G1919" s="66"/>
      <c r="H1919" s="8"/>
      <c r="I1919" s="8"/>
      <c r="J1919" s="6"/>
      <c r="L1919" s="4"/>
    </row>
    <row r="1920" spans="5:12" x14ac:dyDescent="0.25">
      <c r="E1920" s="11"/>
      <c r="G1920" s="66"/>
      <c r="H1920" s="8"/>
      <c r="I1920" s="8"/>
      <c r="J1920" s="6"/>
      <c r="L1920" s="4"/>
    </row>
    <row r="1921" spans="5:12" x14ac:dyDescent="0.25">
      <c r="E1921" s="11"/>
      <c r="G1921" s="66"/>
      <c r="H1921" s="8"/>
      <c r="I1921" s="8"/>
      <c r="J1921" s="6"/>
      <c r="L1921" s="4"/>
    </row>
    <row r="1922" spans="5:12" x14ac:dyDescent="0.25">
      <c r="E1922" s="11"/>
      <c r="G1922" s="66"/>
      <c r="H1922" s="8"/>
      <c r="I1922" s="8"/>
      <c r="J1922" s="6"/>
      <c r="L1922" s="4"/>
    </row>
    <row r="1923" spans="5:12" x14ac:dyDescent="0.25">
      <c r="E1923" s="11"/>
      <c r="G1923" s="66"/>
      <c r="H1923" s="8"/>
      <c r="I1923" s="8"/>
      <c r="J1923" s="6"/>
      <c r="L1923" s="4"/>
    </row>
    <row r="1924" spans="5:12" x14ac:dyDescent="0.25">
      <c r="E1924" s="11"/>
      <c r="G1924" s="66"/>
      <c r="H1924" s="8"/>
      <c r="I1924" s="8"/>
      <c r="J1924" s="6"/>
      <c r="L1924" s="4"/>
    </row>
    <row r="1925" spans="5:12" x14ac:dyDescent="0.25">
      <c r="E1925" s="11"/>
      <c r="G1925" s="66"/>
      <c r="H1925" s="8"/>
      <c r="I1925" s="8"/>
      <c r="J1925" s="6"/>
      <c r="L1925" s="4"/>
    </row>
    <row r="1926" spans="5:12" x14ac:dyDescent="0.25">
      <c r="E1926" s="11"/>
      <c r="G1926" s="66"/>
      <c r="H1926" s="8"/>
      <c r="I1926" s="8"/>
      <c r="J1926" s="6"/>
      <c r="L1926" s="4"/>
    </row>
    <row r="1927" spans="5:12" x14ac:dyDescent="0.25">
      <c r="E1927" s="11"/>
      <c r="G1927" s="48"/>
      <c r="H1927" s="8"/>
      <c r="I1927" s="8"/>
      <c r="J1927" s="6"/>
      <c r="L1927" s="4"/>
    </row>
    <row r="1928" spans="5:12" x14ac:dyDescent="0.25">
      <c r="E1928" s="11"/>
      <c r="G1928" s="66"/>
      <c r="H1928" s="8"/>
      <c r="I1928" s="8"/>
      <c r="J1928" s="6"/>
      <c r="L1928" s="4"/>
    </row>
    <row r="1929" spans="5:12" x14ac:dyDescent="0.25">
      <c r="E1929" s="11"/>
      <c r="G1929" s="66"/>
      <c r="H1929" s="8"/>
      <c r="I1929" s="8"/>
      <c r="J1929" s="6"/>
      <c r="L1929" s="4"/>
    </row>
    <row r="1930" spans="5:12" x14ac:dyDescent="0.25">
      <c r="E1930" s="11"/>
      <c r="G1930" s="66"/>
      <c r="H1930" s="8"/>
      <c r="I1930" s="8"/>
      <c r="J1930" s="6"/>
      <c r="L1930" s="4"/>
    </row>
    <row r="1931" spans="5:12" x14ac:dyDescent="0.25">
      <c r="E1931" s="11"/>
      <c r="G1931" s="66"/>
      <c r="H1931" s="8"/>
      <c r="I1931" s="8"/>
      <c r="J1931" s="6"/>
      <c r="L1931" s="4"/>
    </row>
    <row r="1932" spans="5:12" x14ac:dyDescent="0.25">
      <c r="E1932" s="11"/>
      <c r="G1932" s="48"/>
      <c r="H1932" s="8"/>
      <c r="I1932" s="8"/>
      <c r="J1932" s="6"/>
      <c r="L1932" s="4"/>
    </row>
    <row r="1933" spans="5:12" x14ac:dyDescent="0.25">
      <c r="E1933" s="11"/>
      <c r="G1933" s="66"/>
      <c r="H1933" s="8"/>
      <c r="I1933" s="8"/>
      <c r="J1933" s="6"/>
      <c r="L1933" s="4"/>
    </row>
    <row r="1934" spans="5:12" x14ac:dyDescent="0.25">
      <c r="E1934" s="11"/>
      <c r="G1934" s="66"/>
      <c r="H1934" s="8"/>
      <c r="I1934" s="8"/>
      <c r="J1934" s="6"/>
      <c r="L1934" s="4"/>
    </row>
    <row r="1935" spans="5:12" x14ac:dyDescent="0.25">
      <c r="E1935" s="11"/>
      <c r="G1935" s="66"/>
      <c r="H1935" s="8"/>
      <c r="I1935" s="8"/>
      <c r="J1935" s="6"/>
      <c r="L1935" s="4"/>
    </row>
    <row r="1936" spans="5:12" x14ac:dyDescent="0.25">
      <c r="E1936" s="11"/>
      <c r="G1936" s="66"/>
      <c r="H1936" s="8"/>
      <c r="I1936" s="8"/>
      <c r="J1936" s="6"/>
      <c r="L1936" s="4"/>
    </row>
    <row r="1937" spans="5:12" x14ac:dyDescent="0.25">
      <c r="E1937" s="11"/>
      <c r="G1937" s="66"/>
      <c r="H1937" s="8"/>
      <c r="I1937" s="8"/>
      <c r="J1937" s="6"/>
      <c r="L1937" s="4"/>
    </row>
    <row r="1938" spans="5:12" x14ac:dyDescent="0.25">
      <c r="E1938" s="11"/>
      <c r="G1938" s="66"/>
      <c r="H1938" s="8"/>
      <c r="I1938" s="8"/>
      <c r="J1938" s="6"/>
      <c r="L1938" s="4"/>
    </row>
    <row r="1939" spans="5:12" x14ac:dyDescent="0.25">
      <c r="E1939" s="11"/>
      <c r="G1939" s="66"/>
      <c r="H1939" s="8"/>
      <c r="I1939" s="8"/>
      <c r="J1939" s="6"/>
      <c r="L1939" s="4"/>
    </row>
    <row r="1940" spans="5:12" x14ac:dyDescent="0.25">
      <c r="E1940" s="11"/>
      <c r="G1940" s="66"/>
      <c r="H1940" s="8"/>
      <c r="I1940" s="8"/>
      <c r="J1940" s="6"/>
      <c r="L1940" s="4"/>
    </row>
    <row r="1941" spans="5:12" x14ac:dyDescent="0.25">
      <c r="E1941" s="11"/>
      <c r="G1941" s="66"/>
      <c r="H1941" s="8"/>
      <c r="I1941" s="8"/>
      <c r="J1941" s="6"/>
      <c r="L1941" s="4"/>
    </row>
    <row r="1942" spans="5:12" x14ac:dyDescent="0.25">
      <c r="E1942" s="11"/>
      <c r="G1942" s="66"/>
      <c r="H1942" s="8"/>
      <c r="I1942" s="8"/>
      <c r="J1942" s="6"/>
      <c r="L1942" s="4"/>
    </row>
    <row r="1943" spans="5:12" x14ac:dyDescent="0.25">
      <c r="E1943" s="11"/>
      <c r="G1943" s="48"/>
      <c r="H1943" s="8"/>
      <c r="I1943" s="8"/>
      <c r="J1943" s="6"/>
      <c r="L1943" s="4"/>
    </row>
    <row r="1944" spans="5:12" x14ac:dyDescent="0.25">
      <c r="E1944" s="11"/>
      <c r="G1944" s="66"/>
      <c r="H1944" s="8"/>
      <c r="I1944" s="8"/>
      <c r="J1944" s="6"/>
      <c r="L1944" s="4"/>
    </row>
    <row r="1945" spans="5:12" x14ac:dyDescent="0.25">
      <c r="E1945" s="11"/>
      <c r="G1945" s="66"/>
      <c r="H1945" s="8"/>
      <c r="I1945" s="8"/>
      <c r="J1945" s="6"/>
      <c r="L1945" s="4"/>
    </row>
    <row r="1946" spans="5:12" x14ac:dyDescent="0.25">
      <c r="E1946" s="11"/>
      <c r="G1946" s="66"/>
      <c r="H1946" s="8"/>
      <c r="I1946" s="8"/>
      <c r="J1946" s="6"/>
      <c r="L1946" s="4"/>
    </row>
    <row r="1947" spans="5:12" x14ac:dyDescent="0.25">
      <c r="E1947" s="11"/>
      <c r="G1947" s="66"/>
      <c r="H1947" s="8"/>
      <c r="I1947" s="8"/>
      <c r="J1947" s="6"/>
      <c r="L1947" s="4"/>
    </row>
    <row r="1948" spans="5:12" x14ac:dyDescent="0.25">
      <c r="E1948" s="11"/>
      <c r="G1948" s="48"/>
      <c r="H1948" s="8"/>
      <c r="I1948" s="8"/>
      <c r="J1948" s="6"/>
      <c r="L1948" s="4"/>
    </row>
    <row r="1949" spans="5:12" x14ac:dyDescent="0.25">
      <c r="E1949" s="11"/>
      <c r="G1949" s="66"/>
      <c r="H1949" s="8"/>
      <c r="I1949" s="8"/>
      <c r="J1949" s="6"/>
      <c r="L1949" s="4"/>
    </row>
    <row r="1950" spans="5:12" x14ac:dyDescent="0.25">
      <c r="E1950" s="11"/>
      <c r="G1950" s="66"/>
      <c r="H1950" s="8"/>
      <c r="I1950" s="8"/>
      <c r="J1950" s="6"/>
      <c r="L1950" s="4"/>
    </row>
    <row r="1951" spans="5:12" x14ac:dyDescent="0.25">
      <c r="E1951" s="11"/>
      <c r="G1951" s="66"/>
      <c r="H1951" s="8"/>
      <c r="I1951" s="8"/>
      <c r="J1951" s="6"/>
      <c r="L1951" s="4"/>
    </row>
    <row r="1952" spans="5:12" x14ac:dyDescent="0.25">
      <c r="E1952" s="11"/>
      <c r="G1952" s="66"/>
      <c r="H1952" s="8"/>
      <c r="I1952" s="8"/>
      <c r="J1952" s="6"/>
      <c r="L1952" s="4"/>
    </row>
    <row r="1953" spans="5:12" x14ac:dyDescent="0.25">
      <c r="E1953" s="11"/>
      <c r="G1953" s="66"/>
      <c r="H1953" s="8"/>
      <c r="I1953" s="8"/>
      <c r="J1953" s="6"/>
      <c r="L1953" s="4"/>
    </row>
    <row r="1954" spans="5:12" x14ac:dyDescent="0.25">
      <c r="E1954" s="11"/>
      <c r="G1954" s="66"/>
      <c r="H1954" s="8"/>
      <c r="I1954" s="8"/>
      <c r="J1954" s="6"/>
      <c r="L1954" s="4"/>
    </row>
    <row r="1955" spans="5:12" x14ac:dyDescent="0.25">
      <c r="E1955" s="11"/>
      <c r="G1955" s="66"/>
      <c r="H1955" s="8"/>
      <c r="I1955" s="8"/>
      <c r="J1955" s="6"/>
      <c r="L1955" s="4"/>
    </row>
    <row r="1956" spans="5:12" x14ac:dyDescent="0.25">
      <c r="E1956" s="11"/>
      <c r="G1956" s="66"/>
      <c r="H1956" s="8"/>
      <c r="I1956" s="8"/>
      <c r="J1956" s="6"/>
      <c r="L1956" s="4"/>
    </row>
    <row r="1957" spans="5:12" x14ac:dyDescent="0.25">
      <c r="E1957" s="11"/>
      <c r="G1957" s="66"/>
      <c r="H1957" s="8"/>
      <c r="I1957" s="8"/>
      <c r="J1957" s="6"/>
      <c r="L1957" s="4"/>
    </row>
    <row r="1958" spans="5:12" x14ac:dyDescent="0.25">
      <c r="E1958" s="11"/>
      <c r="G1958" s="66"/>
      <c r="H1958" s="8"/>
      <c r="I1958" s="8"/>
      <c r="J1958" s="6"/>
      <c r="L1958" s="4"/>
    </row>
    <row r="1959" spans="5:12" x14ac:dyDescent="0.25">
      <c r="E1959" s="11"/>
      <c r="G1959" s="66"/>
      <c r="H1959" s="8"/>
      <c r="I1959" s="8"/>
      <c r="J1959" s="6"/>
      <c r="L1959" s="4"/>
    </row>
    <row r="1960" spans="5:12" x14ac:dyDescent="0.25">
      <c r="E1960" s="11"/>
      <c r="G1960" s="48"/>
      <c r="H1960" s="8"/>
      <c r="I1960" s="8"/>
      <c r="J1960" s="6"/>
      <c r="L1960" s="4"/>
    </row>
    <row r="1961" spans="5:12" x14ac:dyDescent="0.25">
      <c r="E1961" s="11"/>
      <c r="G1961" s="66"/>
      <c r="H1961" s="8"/>
      <c r="I1961" s="8"/>
      <c r="J1961" s="6"/>
      <c r="L1961" s="4"/>
    </row>
    <row r="1962" spans="5:12" x14ac:dyDescent="0.25">
      <c r="E1962" s="11"/>
      <c r="G1962" s="66"/>
      <c r="H1962" s="8"/>
      <c r="I1962" s="8"/>
      <c r="J1962" s="6"/>
      <c r="L1962" s="4"/>
    </row>
    <row r="1963" spans="5:12" x14ac:dyDescent="0.25">
      <c r="E1963" s="11"/>
      <c r="G1963" s="66"/>
      <c r="H1963" s="8"/>
      <c r="I1963" s="8"/>
      <c r="J1963" s="6"/>
      <c r="L1963" s="4"/>
    </row>
    <row r="1964" spans="5:12" x14ac:dyDescent="0.25">
      <c r="E1964" s="11"/>
      <c r="G1964" s="66"/>
      <c r="H1964" s="8"/>
      <c r="I1964" s="8"/>
      <c r="J1964" s="6"/>
      <c r="L1964" s="4"/>
    </row>
    <row r="1965" spans="5:12" x14ac:dyDescent="0.25">
      <c r="E1965" s="11"/>
      <c r="G1965" s="48"/>
      <c r="H1965" s="8"/>
      <c r="I1965" s="8"/>
      <c r="J1965" s="6"/>
      <c r="L1965" s="4"/>
    </row>
    <row r="1966" spans="5:12" x14ac:dyDescent="0.25">
      <c r="E1966" s="11"/>
      <c r="G1966" s="66"/>
      <c r="H1966" s="8"/>
      <c r="I1966" s="8"/>
      <c r="J1966" s="6"/>
      <c r="L1966" s="4"/>
    </row>
    <row r="1967" spans="5:12" x14ac:dyDescent="0.25">
      <c r="E1967" s="11"/>
      <c r="G1967" s="66"/>
      <c r="H1967" s="8"/>
      <c r="I1967" s="8"/>
      <c r="J1967" s="6"/>
      <c r="L1967" s="4"/>
    </row>
    <row r="1968" spans="5:12" x14ac:dyDescent="0.25">
      <c r="E1968" s="11"/>
      <c r="G1968" s="66"/>
      <c r="H1968" s="8"/>
      <c r="I1968" s="8"/>
      <c r="J1968" s="6"/>
      <c r="L1968" s="4"/>
    </row>
    <row r="1969" spans="5:12" x14ac:dyDescent="0.25">
      <c r="E1969" s="11"/>
      <c r="G1969" s="66"/>
      <c r="H1969" s="8"/>
      <c r="I1969" s="8"/>
      <c r="J1969" s="6"/>
      <c r="L1969" s="4"/>
    </row>
    <row r="1970" spans="5:12" x14ac:dyDescent="0.25">
      <c r="E1970" s="11"/>
      <c r="G1970" s="66"/>
      <c r="H1970" s="8"/>
      <c r="I1970" s="8"/>
      <c r="J1970" s="6"/>
      <c r="L1970" s="4"/>
    </row>
    <row r="1971" spans="5:12" x14ac:dyDescent="0.25">
      <c r="E1971" s="11"/>
      <c r="G1971" s="66"/>
      <c r="H1971" s="8"/>
      <c r="I1971" s="8"/>
      <c r="J1971" s="6"/>
      <c r="L1971" s="4"/>
    </row>
    <row r="1972" spans="5:12" x14ac:dyDescent="0.25">
      <c r="E1972" s="11"/>
      <c r="G1972" s="66"/>
      <c r="H1972" s="8"/>
      <c r="I1972" s="8"/>
      <c r="J1972" s="6"/>
      <c r="L1972" s="4"/>
    </row>
    <row r="1973" spans="5:12" x14ac:dyDescent="0.25">
      <c r="E1973" s="11"/>
      <c r="G1973" s="66"/>
      <c r="H1973" s="8"/>
      <c r="I1973" s="8"/>
      <c r="J1973" s="6"/>
      <c r="L1973" s="4"/>
    </row>
    <row r="1974" spans="5:12" x14ac:dyDescent="0.25">
      <c r="E1974" s="11"/>
      <c r="G1974" s="66"/>
      <c r="H1974" s="8"/>
      <c r="I1974" s="8"/>
      <c r="J1974" s="6"/>
      <c r="L1974" s="4"/>
    </row>
    <row r="1975" spans="5:12" x14ac:dyDescent="0.25">
      <c r="E1975" s="11"/>
      <c r="G1975" s="66"/>
      <c r="H1975" s="8"/>
      <c r="I1975" s="8"/>
      <c r="J1975" s="6"/>
      <c r="L1975" s="4"/>
    </row>
    <row r="1976" spans="5:12" x14ac:dyDescent="0.25">
      <c r="E1976" s="11"/>
      <c r="G1976" s="48"/>
      <c r="H1976" s="8"/>
      <c r="I1976" s="8"/>
      <c r="J1976" s="6"/>
      <c r="L1976" s="4"/>
    </row>
    <row r="1977" spans="5:12" x14ac:dyDescent="0.25">
      <c r="E1977" s="11"/>
      <c r="G1977" s="66"/>
      <c r="H1977" s="8"/>
      <c r="I1977" s="8"/>
      <c r="J1977" s="6"/>
      <c r="L1977" s="4"/>
    </row>
    <row r="1978" spans="5:12" x14ac:dyDescent="0.25">
      <c r="E1978" s="11"/>
      <c r="G1978" s="66"/>
      <c r="H1978" s="8"/>
      <c r="I1978" s="8"/>
      <c r="J1978" s="6"/>
      <c r="L1978" s="4"/>
    </row>
    <row r="1979" spans="5:12" x14ac:dyDescent="0.25">
      <c r="E1979" s="11"/>
      <c r="G1979" s="66"/>
      <c r="H1979" s="8"/>
      <c r="I1979" s="8"/>
      <c r="J1979" s="6"/>
      <c r="L1979" s="4"/>
    </row>
    <row r="1980" spans="5:12" x14ac:dyDescent="0.25">
      <c r="E1980" s="11"/>
      <c r="G1980" s="66"/>
      <c r="H1980" s="8"/>
      <c r="I1980" s="8"/>
      <c r="J1980" s="6"/>
      <c r="L1980" s="4"/>
    </row>
    <row r="1981" spans="5:12" x14ac:dyDescent="0.25">
      <c r="E1981" s="11"/>
      <c r="G1981" s="48"/>
      <c r="H1981" s="8"/>
      <c r="I1981" s="8"/>
      <c r="J1981" s="6"/>
      <c r="L1981" s="4"/>
    </row>
    <row r="1982" spans="5:12" x14ac:dyDescent="0.25">
      <c r="E1982" s="11"/>
      <c r="G1982" s="66"/>
      <c r="H1982" s="8"/>
      <c r="I1982" s="8"/>
      <c r="J1982" s="6"/>
      <c r="L1982" s="4"/>
    </row>
    <row r="1983" spans="5:12" x14ac:dyDescent="0.25">
      <c r="E1983" s="11"/>
      <c r="G1983" s="66"/>
      <c r="H1983" s="8"/>
      <c r="I1983" s="8"/>
      <c r="J1983" s="6"/>
      <c r="L1983" s="4"/>
    </row>
    <row r="1984" spans="5:12" x14ac:dyDescent="0.25">
      <c r="E1984" s="11"/>
      <c r="G1984" s="66"/>
      <c r="H1984" s="8"/>
      <c r="I1984" s="8"/>
      <c r="J1984" s="6"/>
      <c r="L1984" s="4"/>
    </row>
    <row r="1985" spans="1:15" x14ac:dyDescent="0.25">
      <c r="E1985" s="11"/>
      <c r="G1985" s="66"/>
      <c r="H1985" s="8"/>
      <c r="I1985" s="8"/>
      <c r="J1985" s="6"/>
      <c r="L1985" s="4"/>
    </row>
    <row r="1986" spans="1:15" x14ac:dyDescent="0.25">
      <c r="E1986" s="11"/>
      <c r="G1986" s="66"/>
      <c r="H1986" s="8"/>
      <c r="I1986" s="8"/>
      <c r="J1986" s="6"/>
      <c r="L1986" s="4"/>
    </row>
    <row r="1987" spans="1:15" x14ac:dyDescent="0.25">
      <c r="E1987" s="11"/>
      <c r="G1987" s="66"/>
      <c r="H1987" s="8"/>
      <c r="I1987" s="8"/>
      <c r="J1987" s="6"/>
      <c r="L1987" s="4"/>
    </row>
    <row r="1988" spans="1:15" x14ac:dyDescent="0.25">
      <c r="E1988" s="11"/>
      <c r="G1988" s="66"/>
      <c r="H1988" s="8"/>
      <c r="I1988" s="8"/>
      <c r="J1988" s="6"/>
      <c r="L1988" s="4"/>
    </row>
    <row r="1989" spans="1:15" x14ac:dyDescent="0.25">
      <c r="E1989" s="11"/>
      <c r="G1989" s="66"/>
      <c r="H1989" s="8"/>
      <c r="I1989" s="8"/>
      <c r="J1989" s="6"/>
      <c r="L1989" s="4"/>
    </row>
    <row r="1990" spans="1:15" x14ac:dyDescent="0.25">
      <c r="E1990" s="11"/>
      <c r="G1990" s="66"/>
      <c r="H1990" s="8"/>
      <c r="I1990" s="8"/>
      <c r="J1990" s="6"/>
      <c r="L1990" s="4"/>
    </row>
    <row r="1991" spans="1:15" x14ac:dyDescent="0.25">
      <c r="E1991" s="11"/>
      <c r="G1991" s="66"/>
      <c r="H1991" s="8"/>
      <c r="I1991" s="8"/>
      <c r="J1991" s="6"/>
      <c r="L1991" s="4"/>
    </row>
    <row r="1992" spans="1:15" x14ac:dyDescent="0.25">
      <c r="E1992" s="11"/>
      <c r="G1992" s="66"/>
      <c r="H1992" s="8"/>
      <c r="I1992" s="8"/>
      <c r="J1992" s="6"/>
      <c r="L1992" s="4"/>
      <c r="O1992" s="3">
        <v>1990</v>
      </c>
    </row>
    <row r="1993" spans="1:15" x14ac:dyDescent="0.25">
      <c r="A1993" s="3">
        <v>9</v>
      </c>
      <c r="B1993" s="3" t="s">
        <v>278</v>
      </c>
      <c r="C1993" s="3" t="s">
        <v>262</v>
      </c>
      <c r="D1993" s="3" t="s">
        <v>444</v>
      </c>
      <c r="E1993" s="11" t="s">
        <v>144</v>
      </c>
      <c r="F1993" s="3" t="s">
        <v>8</v>
      </c>
      <c r="G1993" s="48" t="s">
        <v>1026</v>
      </c>
      <c r="H1993" s="8"/>
      <c r="I1993" s="8" t="s">
        <v>640</v>
      </c>
      <c r="J1993" s="6" t="s">
        <v>76</v>
      </c>
      <c r="K1993" s="38">
        <v>19000</v>
      </c>
      <c r="L1993" s="4" t="s">
        <v>24</v>
      </c>
      <c r="M1993" s="11">
        <f>_xlfn.NUMBERVALUE(LEFT(Table613612[[#This Row],[Fiscal Year]], 4))</f>
        <v>2016</v>
      </c>
      <c r="N1993" s="42">
        <f t="shared" ref="N1993:N2044" si="33">K1993*(1+VLOOKUP(M1993,$AF$8:$AH$31,3,0))</f>
        <v>19920.787500000002</v>
      </c>
      <c r="O1993" s="3">
        <v>1991</v>
      </c>
    </row>
    <row r="1994" spans="1:15" x14ac:dyDescent="0.25">
      <c r="A1994" s="3">
        <v>9</v>
      </c>
      <c r="B1994" s="3" t="s">
        <v>278</v>
      </c>
      <c r="C1994" s="3" t="s">
        <v>262</v>
      </c>
      <c r="D1994" s="3" t="s">
        <v>444</v>
      </c>
      <c r="E1994" s="11" t="s">
        <v>144</v>
      </c>
      <c r="F1994" s="3" t="s">
        <v>8</v>
      </c>
      <c r="G1994" s="66" t="s">
        <v>1037</v>
      </c>
      <c r="H1994" s="8"/>
      <c r="I1994" s="8"/>
      <c r="J1994" s="6" t="s">
        <v>76</v>
      </c>
      <c r="K1994" s="38">
        <v>19000</v>
      </c>
      <c r="L1994" s="4" t="s">
        <v>24</v>
      </c>
      <c r="M1994" s="11">
        <f>_xlfn.NUMBERVALUE(LEFT(Table613612[[#This Row],[Fiscal Year]], 4))</f>
        <v>2016</v>
      </c>
      <c r="N1994" s="42">
        <f t="shared" si="33"/>
        <v>19920.787500000002</v>
      </c>
      <c r="O1994" s="3">
        <v>1992</v>
      </c>
    </row>
    <row r="1995" spans="1:15" x14ac:dyDescent="0.25">
      <c r="A1995" s="3">
        <v>9</v>
      </c>
      <c r="B1995" s="3" t="s">
        <v>278</v>
      </c>
      <c r="C1995" s="3" t="s">
        <v>262</v>
      </c>
      <c r="D1995" s="3" t="s">
        <v>444</v>
      </c>
      <c r="E1995" s="11" t="s">
        <v>144</v>
      </c>
      <c r="F1995" s="3" t="s">
        <v>8</v>
      </c>
      <c r="G1995" s="66" t="s">
        <v>1010</v>
      </c>
      <c r="H1995" s="8"/>
      <c r="I1995" s="8"/>
      <c r="J1995" s="6" t="s">
        <v>76</v>
      </c>
      <c r="K1995" s="38">
        <v>396074</v>
      </c>
      <c r="L1995" s="4" t="s">
        <v>24</v>
      </c>
      <c r="M1995" s="11">
        <f>_xlfn.NUMBERVALUE(LEFT(Table613612[[#This Row],[Fiscal Year]], 4))</f>
        <v>2016</v>
      </c>
      <c r="N1995" s="42">
        <f t="shared" si="33"/>
        <v>415268.73622500006</v>
      </c>
      <c r="O1995" s="3">
        <v>1993</v>
      </c>
    </row>
    <row r="1996" spans="1:15" x14ac:dyDescent="0.25">
      <c r="A1996" s="3">
        <v>9</v>
      </c>
      <c r="B1996" s="3" t="s">
        <v>278</v>
      </c>
      <c r="C1996" s="3" t="s">
        <v>262</v>
      </c>
      <c r="D1996" s="3" t="s">
        <v>444</v>
      </c>
      <c r="E1996" s="11" t="s">
        <v>144</v>
      </c>
      <c r="F1996" s="3" t="s">
        <v>8</v>
      </c>
      <c r="G1996" s="48" t="s">
        <v>1011</v>
      </c>
      <c r="H1996" s="8" t="s">
        <v>511</v>
      </c>
      <c r="I1996" s="8"/>
      <c r="J1996" s="6" t="s">
        <v>110</v>
      </c>
      <c r="K1996" s="38">
        <v>448247.86</v>
      </c>
      <c r="L1996" s="4" t="s">
        <v>24</v>
      </c>
      <c r="M1996" s="11">
        <f>_xlfn.NUMBERVALUE(LEFT(Table613612[[#This Row],[Fiscal Year]], 4))</f>
        <v>2016</v>
      </c>
      <c r="N1996" s="42">
        <f t="shared" si="33"/>
        <v>469971.07191525004</v>
      </c>
      <c r="O1996" s="3">
        <v>1994</v>
      </c>
    </row>
    <row r="1997" spans="1:15" x14ac:dyDescent="0.25">
      <c r="A1997" s="3">
        <v>9</v>
      </c>
      <c r="B1997" s="3" t="s">
        <v>278</v>
      </c>
      <c r="C1997" s="3" t="s">
        <v>262</v>
      </c>
      <c r="D1997" s="3" t="s">
        <v>444</v>
      </c>
      <c r="E1997" s="11" t="s">
        <v>144</v>
      </c>
      <c r="F1997" s="3" t="s">
        <v>8</v>
      </c>
      <c r="G1997" s="48" t="s">
        <v>1038</v>
      </c>
      <c r="H1997" s="8" t="s">
        <v>507</v>
      </c>
      <c r="I1997" s="8"/>
      <c r="J1997" s="6" t="s">
        <v>108</v>
      </c>
      <c r="K1997" s="38">
        <v>136870</v>
      </c>
      <c r="L1997" s="4" t="s">
        <v>24</v>
      </c>
      <c r="M1997" s="11">
        <f>_xlfn.NUMBERVALUE(LEFT(Table613612[[#This Row],[Fiscal Year]], 4))</f>
        <v>2016</v>
      </c>
      <c r="N1997" s="42">
        <f t="shared" si="33"/>
        <v>143503.06237500001</v>
      </c>
      <c r="O1997" s="3">
        <v>1995</v>
      </c>
    </row>
    <row r="1998" spans="1:15" x14ac:dyDescent="0.25">
      <c r="A1998" s="3">
        <v>9</v>
      </c>
      <c r="B1998" s="3" t="s">
        <v>278</v>
      </c>
      <c r="C1998" s="3" t="s">
        <v>262</v>
      </c>
      <c r="D1998" s="3" t="s">
        <v>444</v>
      </c>
      <c r="E1998" s="11" t="s">
        <v>144</v>
      </c>
      <c r="F1998" s="3" t="s">
        <v>8</v>
      </c>
      <c r="G1998" s="48" t="s">
        <v>1039</v>
      </c>
      <c r="H1998" s="8" t="s">
        <v>507</v>
      </c>
      <c r="I1998" s="8"/>
      <c r="J1998" s="6" t="s">
        <v>108</v>
      </c>
      <c r="K1998" s="38">
        <v>30220</v>
      </c>
      <c r="L1998" s="4" t="s">
        <v>24</v>
      </c>
      <c r="M1998" s="11">
        <f>_xlfn.NUMBERVALUE(LEFT(Table613612[[#This Row],[Fiscal Year]], 4))</f>
        <v>2016</v>
      </c>
      <c r="N1998" s="42">
        <f t="shared" si="33"/>
        <v>31684.536750000003</v>
      </c>
      <c r="O1998" s="3">
        <v>1996</v>
      </c>
    </row>
    <row r="1999" spans="1:15" x14ac:dyDescent="0.25">
      <c r="A1999" s="3">
        <v>9</v>
      </c>
      <c r="B1999" s="3" t="s">
        <v>278</v>
      </c>
      <c r="C1999" s="3" t="s">
        <v>262</v>
      </c>
      <c r="D1999" s="3" t="s">
        <v>444</v>
      </c>
      <c r="E1999" s="11" t="s">
        <v>144</v>
      </c>
      <c r="F1999" s="3" t="s">
        <v>8</v>
      </c>
      <c r="G1999" s="48" t="s">
        <v>1040</v>
      </c>
      <c r="H1999" s="8" t="s">
        <v>507</v>
      </c>
      <c r="I1999" s="8"/>
      <c r="J1999" s="6" t="s">
        <v>108</v>
      </c>
      <c r="K1999" s="38">
        <v>211770</v>
      </c>
      <c r="L1999" s="4" t="s">
        <v>24</v>
      </c>
      <c r="M1999" s="11">
        <f>_xlfn.NUMBERVALUE(LEFT(Table613612[[#This Row],[Fiscal Year]], 4))</f>
        <v>2016</v>
      </c>
      <c r="N1999" s="42">
        <f t="shared" si="33"/>
        <v>222032.90362500001</v>
      </c>
      <c r="O1999" s="3">
        <v>1997</v>
      </c>
    </row>
    <row r="2000" spans="1:15" x14ac:dyDescent="0.25">
      <c r="A2000" s="3">
        <v>9</v>
      </c>
      <c r="B2000" s="3" t="s">
        <v>278</v>
      </c>
      <c r="C2000" s="3" t="s">
        <v>262</v>
      </c>
      <c r="D2000" s="3" t="s">
        <v>444</v>
      </c>
      <c r="E2000" s="11" t="s">
        <v>144</v>
      </c>
      <c r="F2000" s="3" t="s">
        <v>8</v>
      </c>
      <c r="G2000" s="48" t="s">
        <v>1041</v>
      </c>
      <c r="H2000" s="8" t="s">
        <v>507</v>
      </c>
      <c r="I2000" s="8"/>
      <c r="J2000" s="6" t="s">
        <v>108</v>
      </c>
      <c r="K2000" s="38">
        <v>0</v>
      </c>
      <c r="L2000" s="4" t="s">
        <v>24</v>
      </c>
      <c r="M2000" s="11">
        <f>_xlfn.NUMBERVALUE(LEFT(Table613612[[#This Row],[Fiscal Year]], 4))</f>
        <v>2016</v>
      </c>
      <c r="N2000" s="42">
        <f t="shared" si="33"/>
        <v>0</v>
      </c>
      <c r="O2000" s="3">
        <v>1998</v>
      </c>
    </row>
    <row r="2001" spans="1:15" x14ac:dyDescent="0.25">
      <c r="A2001" s="3">
        <v>9</v>
      </c>
      <c r="B2001" s="3" t="s">
        <v>278</v>
      </c>
      <c r="C2001" s="3" t="s">
        <v>262</v>
      </c>
      <c r="D2001" s="3" t="s">
        <v>444</v>
      </c>
      <c r="E2001" s="11" t="s">
        <v>144</v>
      </c>
      <c r="F2001" s="3" t="s">
        <v>8</v>
      </c>
      <c r="G2001" s="48" t="s">
        <v>1042</v>
      </c>
      <c r="H2001" s="8" t="s">
        <v>507</v>
      </c>
      <c r="I2001" s="8"/>
      <c r="J2001" s="6" t="s">
        <v>108</v>
      </c>
      <c r="K2001" s="38">
        <v>0</v>
      </c>
      <c r="L2001" s="4" t="s">
        <v>24</v>
      </c>
      <c r="M2001" s="11">
        <f>_xlfn.NUMBERVALUE(LEFT(Table613612[[#This Row],[Fiscal Year]], 4))</f>
        <v>2016</v>
      </c>
      <c r="N2001" s="42">
        <f t="shared" si="33"/>
        <v>0</v>
      </c>
      <c r="O2001" s="3">
        <v>1999</v>
      </c>
    </row>
    <row r="2002" spans="1:15" x14ac:dyDescent="0.25">
      <c r="A2002" s="3">
        <v>9</v>
      </c>
      <c r="B2002" s="3" t="s">
        <v>278</v>
      </c>
      <c r="C2002" s="3" t="s">
        <v>262</v>
      </c>
      <c r="D2002" s="3" t="s">
        <v>444</v>
      </c>
      <c r="E2002" s="11" t="s">
        <v>144</v>
      </c>
      <c r="F2002" s="3" t="s">
        <v>8</v>
      </c>
      <c r="G2002" s="66" t="s">
        <v>1043</v>
      </c>
      <c r="H2002" s="8" t="s">
        <v>508</v>
      </c>
      <c r="I2002" s="8"/>
      <c r="J2002" s="6" t="s">
        <v>42</v>
      </c>
      <c r="K2002" s="38">
        <v>6364.21</v>
      </c>
      <c r="L2002" s="4" t="s">
        <v>24</v>
      </c>
      <c r="M2002" s="11">
        <f>_xlfn.NUMBERVALUE(LEFT(Table613612[[#This Row],[Fiscal Year]], 4))</f>
        <v>2016</v>
      </c>
      <c r="N2002" s="42">
        <f>K2002*(1+VLOOKUP(M2002,$AF$8:$AH$31,3,0))</f>
        <v>6672.6355271250004</v>
      </c>
      <c r="O2002" s="3">
        <v>2000</v>
      </c>
    </row>
    <row r="2003" spans="1:15" x14ac:dyDescent="0.25">
      <c r="A2003" s="3">
        <v>9</v>
      </c>
      <c r="B2003" s="3" t="s">
        <v>278</v>
      </c>
      <c r="C2003" s="3" t="s">
        <v>262</v>
      </c>
      <c r="D2003" s="3" t="s">
        <v>444</v>
      </c>
      <c r="E2003" s="11" t="s">
        <v>144</v>
      </c>
      <c r="F2003" s="3" t="s">
        <v>8</v>
      </c>
      <c r="G2003" s="66" t="s">
        <v>1044</v>
      </c>
      <c r="H2003" s="8" t="s">
        <v>508</v>
      </c>
      <c r="I2003" s="8"/>
      <c r="J2003" s="6" t="s">
        <v>453</v>
      </c>
      <c r="K2003" s="38">
        <v>0</v>
      </c>
      <c r="L2003" s="4" t="s">
        <v>24</v>
      </c>
      <c r="M2003" s="11">
        <f>_xlfn.NUMBERVALUE(LEFT(Table613612[[#This Row],[Fiscal Year]], 4))</f>
        <v>2016</v>
      </c>
      <c r="N2003" s="42">
        <f t="shared" si="33"/>
        <v>0</v>
      </c>
      <c r="O2003" s="3">
        <v>2001</v>
      </c>
    </row>
    <row r="2004" spans="1:15" x14ac:dyDescent="0.25">
      <c r="A2004" s="3">
        <v>9</v>
      </c>
      <c r="B2004" s="3" t="s">
        <v>278</v>
      </c>
      <c r="C2004" s="3" t="s">
        <v>262</v>
      </c>
      <c r="D2004" s="3" t="s">
        <v>444</v>
      </c>
      <c r="E2004" s="11" t="s">
        <v>144</v>
      </c>
      <c r="F2004" s="3" t="s">
        <v>8</v>
      </c>
      <c r="G2004" s="66" t="s">
        <v>1045</v>
      </c>
      <c r="H2004" s="8" t="s">
        <v>512</v>
      </c>
      <c r="I2004" s="8"/>
      <c r="J2004" s="6" t="s">
        <v>111</v>
      </c>
      <c r="K2004" s="38">
        <v>0</v>
      </c>
      <c r="L2004" s="4" t="s">
        <v>24</v>
      </c>
      <c r="M2004" s="11">
        <f>_xlfn.NUMBERVALUE(LEFT(Table613612[[#This Row],[Fiscal Year]], 4))</f>
        <v>2016</v>
      </c>
      <c r="N2004" s="42">
        <f t="shared" si="33"/>
        <v>0</v>
      </c>
      <c r="O2004" s="3">
        <v>2002</v>
      </c>
    </row>
    <row r="2005" spans="1:15" x14ac:dyDescent="0.25">
      <c r="A2005" s="3">
        <v>9</v>
      </c>
      <c r="B2005" s="3" t="s">
        <v>278</v>
      </c>
      <c r="C2005" s="3" t="s">
        <v>262</v>
      </c>
      <c r="D2005" s="3" t="s">
        <v>444</v>
      </c>
      <c r="E2005" s="11" t="s">
        <v>144</v>
      </c>
      <c r="F2005" s="3" t="s">
        <v>8</v>
      </c>
      <c r="G2005" s="66" t="s">
        <v>1025</v>
      </c>
      <c r="H2005" s="8" t="s">
        <v>513</v>
      </c>
      <c r="I2005" s="8"/>
      <c r="J2005" s="6" t="s">
        <v>107</v>
      </c>
      <c r="K2005" s="38">
        <v>0</v>
      </c>
      <c r="L2005" s="4" t="s">
        <v>24</v>
      </c>
      <c r="M2005" s="11">
        <f>_xlfn.NUMBERVALUE(LEFT(Table613612[[#This Row],[Fiscal Year]], 4))</f>
        <v>2016</v>
      </c>
      <c r="N2005" s="42">
        <f t="shared" si="33"/>
        <v>0</v>
      </c>
      <c r="O2005" s="3">
        <v>2003</v>
      </c>
    </row>
    <row r="2006" spans="1:15" x14ac:dyDescent="0.25">
      <c r="A2006" s="3">
        <v>9</v>
      </c>
      <c r="B2006" s="3" t="s">
        <v>278</v>
      </c>
      <c r="C2006" s="3" t="s">
        <v>262</v>
      </c>
      <c r="D2006" s="3" t="s">
        <v>444</v>
      </c>
      <c r="E2006" s="11" t="s">
        <v>144</v>
      </c>
      <c r="F2006" s="3" t="s">
        <v>8</v>
      </c>
      <c r="G2006" s="66" t="s">
        <v>1020</v>
      </c>
      <c r="H2006" s="8" t="s">
        <v>509</v>
      </c>
      <c r="I2006" s="8"/>
      <c r="J2006" s="6" t="s">
        <v>109</v>
      </c>
      <c r="K2006" s="38">
        <v>0</v>
      </c>
      <c r="L2006" s="4" t="s">
        <v>24</v>
      </c>
      <c r="M2006" s="11">
        <f>_xlfn.NUMBERVALUE(LEFT(Table613612[[#This Row],[Fiscal Year]], 4))</f>
        <v>2016</v>
      </c>
      <c r="N2006" s="42">
        <f t="shared" si="33"/>
        <v>0</v>
      </c>
      <c r="O2006" s="3">
        <v>2004</v>
      </c>
    </row>
    <row r="2007" spans="1:15" x14ac:dyDescent="0.25">
      <c r="A2007" s="3">
        <v>9</v>
      </c>
      <c r="B2007" s="3" t="s">
        <v>278</v>
      </c>
      <c r="C2007" s="3" t="s">
        <v>262</v>
      </c>
      <c r="D2007" s="3" t="s">
        <v>444</v>
      </c>
      <c r="E2007" s="11" t="s">
        <v>144</v>
      </c>
      <c r="F2007" s="3" t="s">
        <v>8</v>
      </c>
      <c r="G2007" s="66" t="s">
        <v>1046</v>
      </c>
      <c r="H2007" s="8" t="s">
        <v>510</v>
      </c>
      <c r="I2007" s="8"/>
      <c r="J2007" s="6" t="s">
        <v>106</v>
      </c>
      <c r="K2007" s="38">
        <v>0</v>
      </c>
      <c r="L2007" s="4" t="s">
        <v>24</v>
      </c>
      <c r="M2007" s="11">
        <f>_xlfn.NUMBERVALUE(LEFT(Table613612[[#This Row],[Fiscal Year]], 4))</f>
        <v>2016</v>
      </c>
      <c r="N2007" s="42">
        <f t="shared" si="33"/>
        <v>0</v>
      </c>
      <c r="O2007" s="3">
        <v>2005</v>
      </c>
    </row>
    <row r="2008" spans="1:15" x14ac:dyDescent="0.25">
      <c r="A2008" s="3">
        <v>9</v>
      </c>
      <c r="B2008" s="3" t="s">
        <v>278</v>
      </c>
      <c r="C2008" s="3" t="s">
        <v>262</v>
      </c>
      <c r="D2008" s="3" t="s">
        <v>444</v>
      </c>
      <c r="E2008" s="11" t="s">
        <v>144</v>
      </c>
      <c r="F2008" s="3" t="s">
        <v>8</v>
      </c>
      <c r="G2008" s="66" t="s">
        <v>1047</v>
      </c>
      <c r="H2008" s="8"/>
      <c r="I2008" s="8"/>
      <c r="J2008" s="6" t="s">
        <v>455</v>
      </c>
      <c r="K2008" s="38">
        <v>0</v>
      </c>
      <c r="L2008" s="4" t="s">
        <v>24</v>
      </c>
      <c r="M2008" s="11">
        <f>_xlfn.NUMBERVALUE(LEFT(Table613612[[#This Row],[Fiscal Year]], 4))</f>
        <v>2016</v>
      </c>
      <c r="N2008" s="42">
        <f t="shared" si="33"/>
        <v>0</v>
      </c>
      <c r="O2008" s="3">
        <v>2006</v>
      </c>
    </row>
    <row r="2009" spans="1:15" x14ac:dyDescent="0.25">
      <c r="A2009" s="3">
        <v>9</v>
      </c>
      <c r="B2009" s="3" t="s">
        <v>278</v>
      </c>
      <c r="C2009" s="3" t="s">
        <v>262</v>
      </c>
      <c r="D2009" s="3" t="s">
        <v>444</v>
      </c>
      <c r="E2009" s="11" t="s">
        <v>144</v>
      </c>
      <c r="F2009" s="3" t="s">
        <v>8</v>
      </c>
      <c r="G2009" s="48" t="s">
        <v>1023</v>
      </c>
      <c r="H2009" s="8"/>
      <c r="I2009" s="8"/>
      <c r="J2009" s="6" t="s">
        <v>453</v>
      </c>
      <c r="K2009" s="38">
        <v>0</v>
      </c>
      <c r="L2009" s="4" t="s">
        <v>24</v>
      </c>
      <c r="M2009" s="11">
        <f>_xlfn.NUMBERVALUE(LEFT(Table613612[[#This Row],[Fiscal Year]], 4))</f>
        <v>2016</v>
      </c>
      <c r="N2009" s="42">
        <f t="shared" si="33"/>
        <v>0</v>
      </c>
      <c r="O2009" s="3">
        <v>2007</v>
      </c>
    </row>
    <row r="2010" spans="1:15" x14ac:dyDescent="0.25">
      <c r="A2010" s="3">
        <v>9</v>
      </c>
      <c r="B2010" s="3" t="s">
        <v>278</v>
      </c>
      <c r="C2010" s="3" t="s">
        <v>262</v>
      </c>
      <c r="D2010" s="3" t="s">
        <v>444</v>
      </c>
      <c r="E2010" s="11" t="s">
        <v>144</v>
      </c>
      <c r="F2010" s="3" t="s">
        <v>8</v>
      </c>
      <c r="G2010" s="66" t="s">
        <v>1048</v>
      </c>
      <c r="H2010" s="8"/>
      <c r="I2010" s="8"/>
      <c r="J2010" s="6" t="s">
        <v>455</v>
      </c>
      <c r="K2010" s="38">
        <v>0</v>
      </c>
      <c r="L2010" s="4" t="s">
        <v>24</v>
      </c>
      <c r="M2010" s="11">
        <f>_xlfn.NUMBERVALUE(LEFT(Table613612[[#This Row],[Fiscal Year]], 4))</f>
        <v>2016</v>
      </c>
      <c r="N2010" s="42">
        <f t="shared" si="33"/>
        <v>0</v>
      </c>
      <c r="O2010" s="3">
        <v>2008</v>
      </c>
    </row>
    <row r="2011" spans="1:15" x14ac:dyDescent="0.25">
      <c r="E2011" s="11"/>
      <c r="G2011" s="66"/>
      <c r="H2011" s="8"/>
      <c r="I2011" s="8"/>
      <c r="J2011" s="6"/>
      <c r="L2011" s="4"/>
      <c r="O2011" s="3">
        <v>2009</v>
      </c>
    </row>
    <row r="2012" spans="1:15" x14ac:dyDescent="0.25">
      <c r="A2012" s="3">
        <v>9</v>
      </c>
      <c r="B2012" s="3" t="s">
        <v>279</v>
      </c>
      <c r="C2012" s="3" t="s">
        <v>262</v>
      </c>
      <c r="D2012" s="3" t="s">
        <v>444</v>
      </c>
      <c r="E2012" s="11" t="s">
        <v>144</v>
      </c>
      <c r="F2012" s="3" t="s">
        <v>8</v>
      </c>
      <c r="G2012" s="48" t="s">
        <v>1026</v>
      </c>
      <c r="H2012" s="8" t="s">
        <v>1050</v>
      </c>
      <c r="I2012" s="8" t="s">
        <v>640</v>
      </c>
      <c r="J2012" s="6" t="s">
        <v>76</v>
      </c>
      <c r="K2012" s="38">
        <v>151740.89000000001</v>
      </c>
      <c r="L2012" s="4" t="s">
        <v>25</v>
      </c>
      <c r="M2012" s="11">
        <f>_xlfn.NUMBERVALUE(LEFT(Table613612[[#This Row],[Fiscal Year]], 4))</f>
        <v>2017</v>
      </c>
      <c r="N2012" s="42">
        <f t="shared" si="33"/>
        <v>155784.21824394129</v>
      </c>
      <c r="O2012" s="3">
        <v>2010</v>
      </c>
    </row>
    <row r="2013" spans="1:15" x14ac:dyDescent="0.25">
      <c r="A2013" s="3">
        <v>9</v>
      </c>
      <c r="B2013" s="3" t="s">
        <v>279</v>
      </c>
      <c r="C2013" s="3" t="s">
        <v>262</v>
      </c>
      <c r="D2013" s="3" t="s">
        <v>444</v>
      </c>
      <c r="E2013" s="11" t="s">
        <v>144</v>
      </c>
      <c r="F2013" s="3" t="s">
        <v>8</v>
      </c>
      <c r="G2013" s="66" t="s">
        <v>1037</v>
      </c>
      <c r="H2013" s="8"/>
      <c r="I2013" s="8"/>
      <c r="J2013" s="6" t="s">
        <v>76</v>
      </c>
      <c r="K2013" s="38" t="s">
        <v>827</v>
      </c>
      <c r="L2013" s="4" t="s">
        <v>25</v>
      </c>
      <c r="M2013" s="11">
        <f>_xlfn.NUMBERVALUE(LEFT(Table613612[[#This Row],[Fiscal Year]], 4))</f>
        <v>2017</v>
      </c>
      <c r="O2013" s="3">
        <v>2011</v>
      </c>
    </row>
    <row r="2014" spans="1:15" x14ac:dyDescent="0.25">
      <c r="A2014" s="3">
        <v>9</v>
      </c>
      <c r="B2014" s="3" t="s">
        <v>279</v>
      </c>
      <c r="C2014" s="3" t="s">
        <v>262</v>
      </c>
      <c r="D2014" s="3" t="s">
        <v>444</v>
      </c>
      <c r="E2014" s="11" t="s">
        <v>144</v>
      </c>
      <c r="F2014" s="3" t="s">
        <v>8</v>
      </c>
      <c r="G2014" s="66" t="s">
        <v>1010</v>
      </c>
      <c r="H2014" s="8"/>
      <c r="I2014" s="8"/>
      <c r="J2014" s="6" t="s">
        <v>76</v>
      </c>
      <c r="K2014" s="38" t="s">
        <v>827</v>
      </c>
      <c r="L2014" s="4" t="s">
        <v>25</v>
      </c>
      <c r="M2014" s="11">
        <f>_xlfn.NUMBERVALUE(LEFT(Table613612[[#This Row],[Fiscal Year]], 4))</f>
        <v>2017</v>
      </c>
      <c r="O2014" s="3">
        <v>2012</v>
      </c>
    </row>
    <row r="2015" spans="1:15" x14ac:dyDescent="0.25">
      <c r="A2015" s="3">
        <v>9</v>
      </c>
      <c r="B2015" s="3" t="s">
        <v>279</v>
      </c>
      <c r="C2015" s="3" t="s">
        <v>262</v>
      </c>
      <c r="D2015" s="3" t="s">
        <v>444</v>
      </c>
      <c r="E2015" s="11" t="s">
        <v>144</v>
      </c>
      <c r="F2015" s="3" t="s">
        <v>8</v>
      </c>
      <c r="G2015" s="48" t="s">
        <v>1011</v>
      </c>
      <c r="H2015" s="8" t="s">
        <v>511</v>
      </c>
      <c r="I2015" s="8"/>
      <c r="J2015" s="6" t="s">
        <v>110</v>
      </c>
      <c r="K2015" s="38">
        <v>228888.31</v>
      </c>
      <c r="L2015" s="4" t="s">
        <v>25</v>
      </c>
      <c r="M2015" s="11">
        <f>_xlfn.NUMBERVALUE(LEFT(Table613612[[#This Row],[Fiscal Year]], 4))</f>
        <v>2017</v>
      </c>
      <c r="N2015" s="42">
        <f t="shared" si="33"/>
        <v>234987.32898249695</v>
      </c>
      <c r="O2015" s="3">
        <v>2013</v>
      </c>
    </row>
    <row r="2016" spans="1:15" x14ac:dyDescent="0.25">
      <c r="A2016" s="3">
        <v>9</v>
      </c>
      <c r="B2016" s="3" t="s">
        <v>279</v>
      </c>
      <c r="C2016" s="3" t="s">
        <v>262</v>
      </c>
      <c r="D2016" s="3" t="s">
        <v>444</v>
      </c>
      <c r="E2016" s="11" t="s">
        <v>144</v>
      </c>
      <c r="F2016" s="3" t="s">
        <v>8</v>
      </c>
      <c r="G2016" s="48" t="s">
        <v>1038</v>
      </c>
      <c r="H2016" s="8" t="s">
        <v>507</v>
      </c>
      <c r="I2016" s="8"/>
      <c r="J2016" s="6" t="s">
        <v>108</v>
      </c>
      <c r="K2016" s="38">
        <v>34870.26</v>
      </c>
      <c r="L2016" s="4" t="s">
        <v>25</v>
      </c>
      <c r="M2016" s="11">
        <f>_xlfn.NUMBERVALUE(LEFT(Table613612[[#This Row],[Fiscal Year]], 4))</f>
        <v>2017</v>
      </c>
      <c r="N2016" s="42">
        <f t="shared" si="33"/>
        <v>35799.422252386787</v>
      </c>
      <c r="O2016" s="3">
        <v>2014</v>
      </c>
    </row>
    <row r="2017" spans="1:15" x14ac:dyDescent="0.25">
      <c r="A2017" s="3">
        <v>9</v>
      </c>
      <c r="B2017" s="3" t="s">
        <v>279</v>
      </c>
      <c r="C2017" s="3" t="s">
        <v>262</v>
      </c>
      <c r="D2017" s="3" t="s">
        <v>444</v>
      </c>
      <c r="E2017" s="11" t="s">
        <v>144</v>
      </c>
      <c r="F2017" s="3" t="s">
        <v>8</v>
      </c>
      <c r="G2017" s="48" t="s">
        <v>1039</v>
      </c>
      <c r="H2017" s="8" t="s">
        <v>507</v>
      </c>
      <c r="I2017" s="8"/>
      <c r="J2017" s="6" t="s">
        <v>108</v>
      </c>
      <c r="K2017" s="38">
        <v>13030.13</v>
      </c>
      <c r="L2017" s="4" t="s">
        <v>25</v>
      </c>
      <c r="M2017" s="11">
        <f>_xlfn.NUMBERVALUE(LEFT(Table613612[[#This Row],[Fiscal Year]], 4))</f>
        <v>2017</v>
      </c>
      <c r="N2017" s="42">
        <f t="shared" si="33"/>
        <v>13377.334320807835</v>
      </c>
      <c r="O2017" s="3">
        <v>2015</v>
      </c>
    </row>
    <row r="2018" spans="1:15" x14ac:dyDescent="0.25">
      <c r="A2018" s="3">
        <v>9</v>
      </c>
      <c r="B2018" s="3" t="s">
        <v>279</v>
      </c>
      <c r="C2018" s="3" t="s">
        <v>262</v>
      </c>
      <c r="D2018" s="3" t="s">
        <v>444</v>
      </c>
      <c r="E2018" s="11" t="s">
        <v>144</v>
      </c>
      <c r="F2018" s="3" t="s">
        <v>8</v>
      </c>
      <c r="G2018" s="48" t="s">
        <v>1040</v>
      </c>
      <c r="H2018" s="8" t="s">
        <v>507</v>
      </c>
      <c r="I2018" s="8"/>
      <c r="J2018" s="6" t="s">
        <v>108</v>
      </c>
      <c r="K2018" s="38">
        <v>125726.47</v>
      </c>
      <c r="L2018" s="4" t="s">
        <v>25</v>
      </c>
      <c r="M2018" s="11">
        <f>_xlfn.NUMBERVALUE(LEFT(Table613612[[#This Row],[Fiscal Year]], 4))</f>
        <v>2017</v>
      </c>
      <c r="N2018" s="42">
        <f t="shared" si="33"/>
        <v>129076.61106719708</v>
      </c>
      <c r="O2018" s="3">
        <v>2016</v>
      </c>
    </row>
    <row r="2019" spans="1:15" x14ac:dyDescent="0.25">
      <c r="A2019" s="3">
        <v>9</v>
      </c>
      <c r="B2019" s="3" t="s">
        <v>279</v>
      </c>
      <c r="C2019" s="3" t="s">
        <v>262</v>
      </c>
      <c r="D2019" s="3" t="s">
        <v>444</v>
      </c>
      <c r="E2019" s="11" t="s">
        <v>144</v>
      </c>
      <c r="F2019" s="3" t="s">
        <v>8</v>
      </c>
      <c r="G2019" s="48" t="s">
        <v>1041</v>
      </c>
      <c r="H2019" s="8" t="s">
        <v>507</v>
      </c>
      <c r="I2019" s="8"/>
      <c r="J2019" s="6" t="s">
        <v>108</v>
      </c>
      <c r="K2019" s="38">
        <v>0</v>
      </c>
      <c r="L2019" s="4" t="s">
        <v>25</v>
      </c>
      <c r="M2019" s="11">
        <f>_xlfn.NUMBERVALUE(LEFT(Table613612[[#This Row],[Fiscal Year]], 4))</f>
        <v>2017</v>
      </c>
      <c r="N2019" s="42">
        <f t="shared" si="33"/>
        <v>0</v>
      </c>
      <c r="O2019" s="3">
        <v>2017</v>
      </c>
    </row>
    <row r="2020" spans="1:15" x14ac:dyDescent="0.25">
      <c r="A2020" s="3">
        <v>9</v>
      </c>
      <c r="B2020" s="3" t="s">
        <v>279</v>
      </c>
      <c r="C2020" s="3" t="s">
        <v>262</v>
      </c>
      <c r="D2020" s="3" t="s">
        <v>444</v>
      </c>
      <c r="E2020" s="11" t="s">
        <v>144</v>
      </c>
      <c r="F2020" s="3" t="s">
        <v>8</v>
      </c>
      <c r="G2020" s="48" t="s">
        <v>1042</v>
      </c>
      <c r="H2020" s="8" t="s">
        <v>507</v>
      </c>
      <c r="I2020" s="8"/>
      <c r="J2020" s="6" t="s">
        <v>108</v>
      </c>
      <c r="K2020" s="38">
        <v>0</v>
      </c>
      <c r="L2020" s="4" t="s">
        <v>25</v>
      </c>
      <c r="M2020" s="11">
        <f>_xlfn.NUMBERVALUE(LEFT(Table613612[[#This Row],[Fiscal Year]], 4))</f>
        <v>2017</v>
      </c>
      <c r="N2020" s="42">
        <f t="shared" si="33"/>
        <v>0</v>
      </c>
      <c r="O2020" s="3">
        <v>2018</v>
      </c>
    </row>
    <row r="2021" spans="1:15" x14ac:dyDescent="0.25">
      <c r="A2021" s="3">
        <v>9</v>
      </c>
      <c r="B2021" s="3" t="s">
        <v>279</v>
      </c>
      <c r="C2021" s="3" t="s">
        <v>262</v>
      </c>
      <c r="D2021" s="3" t="s">
        <v>444</v>
      </c>
      <c r="E2021" s="11" t="s">
        <v>144</v>
      </c>
      <c r="F2021" s="3" t="s">
        <v>8</v>
      </c>
      <c r="G2021" s="66" t="s">
        <v>1043</v>
      </c>
      <c r="H2021" s="8" t="s">
        <v>508</v>
      </c>
      <c r="I2021" s="8"/>
      <c r="J2021" s="6" t="s">
        <v>42</v>
      </c>
      <c r="K2021" s="38">
        <v>0</v>
      </c>
      <c r="L2021" s="4" t="s">
        <v>25</v>
      </c>
      <c r="M2021" s="11">
        <f>_xlfn.NUMBERVALUE(LEFT(Table613612[[#This Row],[Fiscal Year]], 4))</f>
        <v>2017</v>
      </c>
      <c r="N2021" s="42">
        <f t="shared" si="33"/>
        <v>0</v>
      </c>
      <c r="O2021" s="3">
        <v>2019</v>
      </c>
    </row>
    <row r="2022" spans="1:15" x14ac:dyDescent="0.25">
      <c r="A2022" s="3">
        <v>9</v>
      </c>
      <c r="B2022" s="3" t="s">
        <v>279</v>
      </c>
      <c r="C2022" s="3" t="s">
        <v>262</v>
      </c>
      <c r="D2022" s="3" t="s">
        <v>444</v>
      </c>
      <c r="E2022" s="11" t="s">
        <v>144</v>
      </c>
      <c r="F2022" s="3" t="s">
        <v>8</v>
      </c>
      <c r="G2022" s="66" t="s">
        <v>1044</v>
      </c>
      <c r="H2022" s="8" t="s">
        <v>508</v>
      </c>
      <c r="I2022" s="8"/>
      <c r="J2022" s="6" t="s">
        <v>453</v>
      </c>
      <c r="K2022" s="38">
        <v>0</v>
      </c>
      <c r="L2022" s="4" t="s">
        <v>25</v>
      </c>
      <c r="M2022" s="11">
        <f>_xlfn.NUMBERVALUE(LEFT(Table613612[[#This Row],[Fiscal Year]], 4))</f>
        <v>2017</v>
      </c>
      <c r="N2022" s="42">
        <f t="shared" si="33"/>
        <v>0</v>
      </c>
      <c r="O2022" s="3">
        <v>2020</v>
      </c>
    </row>
    <row r="2023" spans="1:15" x14ac:dyDescent="0.25">
      <c r="A2023" s="3">
        <v>9</v>
      </c>
      <c r="B2023" s="3" t="s">
        <v>279</v>
      </c>
      <c r="C2023" s="3" t="s">
        <v>262</v>
      </c>
      <c r="D2023" s="3" t="s">
        <v>444</v>
      </c>
      <c r="E2023" s="11" t="s">
        <v>144</v>
      </c>
      <c r="F2023" s="3" t="s">
        <v>8</v>
      </c>
      <c r="G2023" s="66" t="s">
        <v>1045</v>
      </c>
      <c r="H2023" s="8" t="s">
        <v>512</v>
      </c>
      <c r="I2023" s="8"/>
      <c r="J2023" s="6" t="s">
        <v>111</v>
      </c>
      <c r="K2023" s="38">
        <v>0</v>
      </c>
      <c r="L2023" s="4" t="s">
        <v>25</v>
      </c>
      <c r="M2023" s="11">
        <f>_xlfn.NUMBERVALUE(LEFT(Table613612[[#This Row],[Fiscal Year]], 4))</f>
        <v>2017</v>
      </c>
      <c r="N2023" s="42">
        <f t="shared" si="33"/>
        <v>0</v>
      </c>
      <c r="O2023" s="3">
        <v>2021</v>
      </c>
    </row>
    <row r="2024" spans="1:15" x14ac:dyDescent="0.25">
      <c r="A2024" s="3">
        <v>9</v>
      </c>
      <c r="B2024" s="3" t="s">
        <v>279</v>
      </c>
      <c r="C2024" s="3" t="s">
        <v>262</v>
      </c>
      <c r="D2024" s="3" t="s">
        <v>444</v>
      </c>
      <c r="E2024" s="11" t="s">
        <v>144</v>
      </c>
      <c r="F2024" s="3" t="s">
        <v>8</v>
      </c>
      <c r="G2024" s="66" t="s">
        <v>1025</v>
      </c>
      <c r="H2024" s="8" t="s">
        <v>513</v>
      </c>
      <c r="I2024" s="8"/>
      <c r="J2024" s="6" t="s">
        <v>107</v>
      </c>
      <c r="K2024" s="38">
        <v>0</v>
      </c>
      <c r="L2024" s="4" t="s">
        <v>25</v>
      </c>
      <c r="M2024" s="11">
        <f>_xlfn.NUMBERVALUE(LEFT(Table613612[[#This Row],[Fiscal Year]], 4))</f>
        <v>2017</v>
      </c>
      <c r="N2024" s="42">
        <f t="shared" si="33"/>
        <v>0</v>
      </c>
      <c r="O2024" s="3">
        <v>2022</v>
      </c>
    </row>
    <row r="2025" spans="1:15" x14ac:dyDescent="0.25">
      <c r="A2025" s="3">
        <v>9</v>
      </c>
      <c r="B2025" s="3" t="s">
        <v>279</v>
      </c>
      <c r="C2025" s="3" t="s">
        <v>262</v>
      </c>
      <c r="D2025" s="3" t="s">
        <v>444</v>
      </c>
      <c r="E2025" s="11" t="s">
        <v>144</v>
      </c>
      <c r="F2025" s="3" t="s">
        <v>8</v>
      </c>
      <c r="G2025" s="66" t="s">
        <v>1020</v>
      </c>
      <c r="H2025" s="8" t="s">
        <v>509</v>
      </c>
      <c r="I2025" s="8"/>
      <c r="J2025" s="6" t="s">
        <v>109</v>
      </c>
      <c r="K2025" s="38">
        <v>0</v>
      </c>
      <c r="L2025" s="4" t="s">
        <v>25</v>
      </c>
      <c r="M2025" s="11">
        <f>_xlfn.NUMBERVALUE(LEFT(Table613612[[#This Row],[Fiscal Year]], 4))</f>
        <v>2017</v>
      </c>
      <c r="N2025" s="42">
        <f t="shared" si="33"/>
        <v>0</v>
      </c>
      <c r="O2025" s="3">
        <v>2023</v>
      </c>
    </row>
    <row r="2026" spans="1:15" x14ac:dyDescent="0.25">
      <c r="A2026" s="3">
        <v>9</v>
      </c>
      <c r="B2026" s="3" t="s">
        <v>279</v>
      </c>
      <c r="C2026" s="3" t="s">
        <v>262</v>
      </c>
      <c r="D2026" s="3" t="s">
        <v>444</v>
      </c>
      <c r="E2026" s="11" t="s">
        <v>144</v>
      </c>
      <c r="F2026" s="3" t="s">
        <v>8</v>
      </c>
      <c r="G2026" s="66" t="s">
        <v>1046</v>
      </c>
      <c r="H2026" s="8" t="s">
        <v>510</v>
      </c>
      <c r="I2026" s="8"/>
      <c r="J2026" s="6" t="s">
        <v>106</v>
      </c>
      <c r="K2026" s="38">
        <v>0</v>
      </c>
      <c r="L2026" s="4" t="s">
        <v>25</v>
      </c>
      <c r="M2026" s="11">
        <f>_xlfn.NUMBERVALUE(LEFT(Table613612[[#This Row],[Fiscal Year]], 4))</f>
        <v>2017</v>
      </c>
      <c r="N2026" s="42">
        <f t="shared" si="33"/>
        <v>0</v>
      </c>
      <c r="O2026" s="3">
        <v>2024</v>
      </c>
    </row>
    <row r="2027" spans="1:15" x14ac:dyDescent="0.25">
      <c r="A2027" s="3">
        <v>9</v>
      </c>
      <c r="B2027" s="3" t="s">
        <v>279</v>
      </c>
      <c r="C2027" s="3" t="s">
        <v>262</v>
      </c>
      <c r="D2027" s="3" t="s">
        <v>444</v>
      </c>
      <c r="E2027" s="11" t="s">
        <v>144</v>
      </c>
      <c r="F2027" s="3" t="s">
        <v>8</v>
      </c>
      <c r="G2027" s="66" t="s">
        <v>1047</v>
      </c>
      <c r="H2027" s="8" t="s">
        <v>1049</v>
      </c>
      <c r="I2027" s="8"/>
      <c r="J2027" s="6" t="s">
        <v>455</v>
      </c>
      <c r="K2027" s="38">
        <v>127387.13</v>
      </c>
      <c r="L2027" s="4" t="s">
        <v>25</v>
      </c>
      <c r="M2027" s="11">
        <f>_xlfn.NUMBERVALUE(LEFT(Table613612[[#This Row],[Fiscal Year]], 4))</f>
        <v>2017</v>
      </c>
      <c r="N2027" s="42">
        <f t="shared" si="33"/>
        <v>130781.52145667077</v>
      </c>
      <c r="O2027" s="3">
        <v>2025</v>
      </c>
    </row>
    <row r="2028" spans="1:15" x14ac:dyDescent="0.25">
      <c r="E2028" s="11"/>
      <c r="G2028" s="66"/>
      <c r="H2028" s="8"/>
      <c r="I2028" s="8"/>
      <c r="J2028" s="6"/>
      <c r="L2028" s="4"/>
      <c r="O2028" s="3">
        <v>2026</v>
      </c>
    </row>
    <row r="2029" spans="1:15" x14ac:dyDescent="0.25">
      <c r="A2029" s="9">
        <v>9</v>
      </c>
      <c r="B2029" s="3" t="s">
        <v>280</v>
      </c>
      <c r="C2029" s="3" t="s">
        <v>262</v>
      </c>
      <c r="D2029" s="3" t="s">
        <v>444</v>
      </c>
      <c r="E2029" s="11" t="s">
        <v>144</v>
      </c>
      <c r="F2029" s="3" t="s">
        <v>8</v>
      </c>
      <c r="G2029" s="48" t="s">
        <v>1008</v>
      </c>
      <c r="H2029" s="8"/>
      <c r="I2029" s="8" t="s">
        <v>640</v>
      </c>
      <c r="J2029" s="6" t="s">
        <v>76</v>
      </c>
      <c r="K2029" s="38">
        <v>206411</v>
      </c>
      <c r="L2029" s="4" t="s">
        <v>25</v>
      </c>
      <c r="M2029" s="11">
        <f>_xlfn.NUMBERVALUE(LEFT(Table613612[[#This Row],[Fiscal Year]], 4))</f>
        <v>2017</v>
      </c>
      <c r="N2029" s="42">
        <f t="shared" si="33"/>
        <v>211911.08258261936</v>
      </c>
      <c r="O2029" s="3">
        <v>2027</v>
      </c>
    </row>
    <row r="2030" spans="1:15" x14ac:dyDescent="0.25">
      <c r="A2030" s="9">
        <v>9</v>
      </c>
      <c r="B2030" s="3" t="s">
        <v>280</v>
      </c>
      <c r="C2030" s="3" t="s">
        <v>262</v>
      </c>
      <c r="D2030" s="3" t="s">
        <v>444</v>
      </c>
      <c r="E2030" s="11" t="s">
        <v>144</v>
      </c>
      <c r="F2030" s="3" t="s">
        <v>8</v>
      </c>
      <c r="G2030" s="48" t="s">
        <v>1051</v>
      </c>
      <c r="H2030" s="8"/>
      <c r="I2030" s="8"/>
      <c r="J2030" s="6" t="s">
        <v>76</v>
      </c>
      <c r="K2030" s="38">
        <v>130000</v>
      </c>
      <c r="L2030" s="4" t="s">
        <v>25</v>
      </c>
      <c r="M2030" s="11">
        <f>_xlfn.NUMBERVALUE(LEFT(Table613612[[#This Row],[Fiscal Year]], 4))</f>
        <v>2017</v>
      </c>
      <c r="N2030" s="42">
        <f t="shared" si="33"/>
        <v>133464.0146878825</v>
      </c>
      <c r="O2030" s="3">
        <v>2028</v>
      </c>
    </row>
    <row r="2031" spans="1:15" x14ac:dyDescent="0.25">
      <c r="A2031" s="9">
        <v>9</v>
      </c>
      <c r="B2031" s="3" t="s">
        <v>280</v>
      </c>
      <c r="C2031" s="3" t="s">
        <v>262</v>
      </c>
      <c r="D2031" s="3" t="s">
        <v>444</v>
      </c>
      <c r="E2031" s="11" t="s">
        <v>144</v>
      </c>
      <c r="F2031" s="3" t="s">
        <v>8</v>
      </c>
      <c r="G2031" s="66" t="s">
        <v>1010</v>
      </c>
      <c r="H2031" s="8"/>
      <c r="I2031" s="8"/>
      <c r="J2031" s="6" t="s">
        <v>76</v>
      </c>
      <c r="K2031" s="38">
        <v>0</v>
      </c>
      <c r="L2031" s="4" t="s">
        <v>25</v>
      </c>
      <c r="M2031" s="11">
        <f>_xlfn.NUMBERVALUE(LEFT(Table613612[[#This Row],[Fiscal Year]], 4))</f>
        <v>2017</v>
      </c>
      <c r="N2031" s="42">
        <f t="shared" si="33"/>
        <v>0</v>
      </c>
      <c r="O2031" s="3">
        <v>2029</v>
      </c>
    </row>
    <row r="2032" spans="1:15" x14ac:dyDescent="0.25">
      <c r="A2032" s="9">
        <v>9</v>
      </c>
      <c r="B2032" s="3" t="s">
        <v>280</v>
      </c>
      <c r="C2032" s="3" t="s">
        <v>262</v>
      </c>
      <c r="D2032" s="3" t="s">
        <v>444</v>
      </c>
      <c r="E2032" s="11" t="s">
        <v>144</v>
      </c>
      <c r="F2032" s="3" t="s">
        <v>8</v>
      </c>
      <c r="G2032" s="48" t="s">
        <v>1011</v>
      </c>
      <c r="H2032" s="8" t="s">
        <v>511</v>
      </c>
      <c r="I2032" s="8"/>
      <c r="J2032" s="6" t="s">
        <v>110</v>
      </c>
      <c r="K2032" s="38">
        <v>158359</v>
      </c>
      <c r="L2032" s="4" t="s">
        <v>25</v>
      </c>
      <c r="M2032" s="11">
        <f>_xlfn.NUMBERVALUE(LEFT(Table613612[[#This Row],[Fiscal Year]], 4))</f>
        <v>2017</v>
      </c>
      <c r="N2032" s="42">
        <f t="shared" si="33"/>
        <v>162578.67616891066</v>
      </c>
      <c r="O2032" s="3">
        <v>2030</v>
      </c>
    </row>
    <row r="2033" spans="1:15" x14ac:dyDescent="0.25">
      <c r="A2033" s="9">
        <v>9</v>
      </c>
      <c r="B2033" s="3" t="s">
        <v>280</v>
      </c>
      <c r="C2033" s="3" t="s">
        <v>262</v>
      </c>
      <c r="D2033" s="3" t="s">
        <v>444</v>
      </c>
      <c r="E2033" s="11" t="s">
        <v>144</v>
      </c>
      <c r="F2033" s="3" t="s">
        <v>8</v>
      </c>
      <c r="G2033" s="48" t="s">
        <v>1052</v>
      </c>
      <c r="H2033" s="8" t="s">
        <v>507</v>
      </c>
      <c r="I2033" s="8"/>
      <c r="J2033" s="6" t="s">
        <v>108</v>
      </c>
      <c r="K2033" s="38">
        <v>24265</v>
      </c>
      <c r="L2033" s="4" t="s">
        <v>25</v>
      </c>
      <c r="M2033" s="11">
        <f>_xlfn.NUMBERVALUE(LEFT(Table613612[[#This Row],[Fiscal Year]], 4))</f>
        <v>2017</v>
      </c>
      <c r="N2033" s="42">
        <f t="shared" si="33"/>
        <v>24911.571664626685</v>
      </c>
      <c r="O2033" s="3">
        <v>2031</v>
      </c>
    </row>
    <row r="2034" spans="1:15" x14ac:dyDescent="0.25">
      <c r="A2034" s="9">
        <v>9</v>
      </c>
      <c r="B2034" s="3" t="s">
        <v>280</v>
      </c>
      <c r="C2034" s="3" t="s">
        <v>262</v>
      </c>
      <c r="D2034" s="3" t="s">
        <v>444</v>
      </c>
      <c r="E2034" s="11" t="s">
        <v>144</v>
      </c>
      <c r="F2034" s="3" t="s">
        <v>8</v>
      </c>
      <c r="G2034" s="48" t="s">
        <v>1053</v>
      </c>
      <c r="H2034" s="8" t="s">
        <v>507</v>
      </c>
      <c r="I2034" s="8"/>
      <c r="J2034" s="6" t="s">
        <v>108</v>
      </c>
      <c r="K2034" s="38">
        <v>431278</v>
      </c>
      <c r="L2034" s="4" t="s">
        <v>25</v>
      </c>
      <c r="M2034" s="11">
        <f>_xlfn.NUMBERVALUE(LEFT(Table613612[[#This Row],[Fiscal Year]], 4))</f>
        <v>2017</v>
      </c>
      <c r="N2034" s="42">
        <f t="shared" si="33"/>
        <v>442769.94866585074</v>
      </c>
      <c r="O2034" s="3">
        <v>2032</v>
      </c>
    </row>
    <row r="2035" spans="1:15" x14ac:dyDescent="0.25">
      <c r="A2035" s="9">
        <v>9</v>
      </c>
      <c r="B2035" s="3" t="s">
        <v>280</v>
      </c>
      <c r="C2035" s="3" t="s">
        <v>262</v>
      </c>
      <c r="D2035" s="3" t="s">
        <v>444</v>
      </c>
      <c r="E2035" s="11" t="s">
        <v>144</v>
      </c>
      <c r="F2035" s="3" t="s">
        <v>8</v>
      </c>
      <c r="G2035" s="48" t="s">
        <v>1040</v>
      </c>
      <c r="H2035" s="8" t="s">
        <v>507</v>
      </c>
      <c r="I2035" s="8"/>
      <c r="J2035" s="6" t="s">
        <v>108</v>
      </c>
      <c r="K2035" s="38">
        <v>176903</v>
      </c>
      <c r="L2035" s="4" t="s">
        <v>25</v>
      </c>
      <c r="M2035" s="11">
        <f>_xlfn.NUMBERVALUE(LEFT(Table613612[[#This Row],[Fiscal Year]], 4))</f>
        <v>2017</v>
      </c>
      <c r="N2035" s="42">
        <f t="shared" si="33"/>
        <v>181616.80454100369</v>
      </c>
      <c r="O2035" s="3">
        <v>2033</v>
      </c>
    </row>
    <row r="2036" spans="1:15" x14ac:dyDescent="0.25">
      <c r="A2036" s="9">
        <v>9</v>
      </c>
      <c r="B2036" s="3" t="s">
        <v>280</v>
      </c>
      <c r="C2036" s="3" t="s">
        <v>262</v>
      </c>
      <c r="D2036" s="3" t="s">
        <v>444</v>
      </c>
      <c r="E2036" s="11" t="s">
        <v>144</v>
      </c>
      <c r="F2036" s="3" t="s">
        <v>8</v>
      </c>
      <c r="G2036" s="48" t="s">
        <v>1041</v>
      </c>
      <c r="H2036" s="8" t="s">
        <v>507</v>
      </c>
      <c r="I2036" s="8"/>
      <c r="J2036" s="6" t="s">
        <v>108</v>
      </c>
      <c r="K2036" s="38">
        <v>7112</v>
      </c>
      <c r="L2036" s="4" t="s">
        <v>25</v>
      </c>
      <c r="M2036" s="11">
        <f>_xlfn.NUMBERVALUE(LEFT(Table613612[[#This Row],[Fiscal Year]], 4))</f>
        <v>2017</v>
      </c>
      <c r="N2036" s="42">
        <f t="shared" si="33"/>
        <v>7301.5082496940031</v>
      </c>
      <c r="O2036" s="3">
        <v>2034</v>
      </c>
    </row>
    <row r="2037" spans="1:15" x14ac:dyDescent="0.25">
      <c r="A2037" s="9">
        <v>9</v>
      </c>
      <c r="B2037" s="3" t="s">
        <v>280</v>
      </c>
      <c r="C2037" s="3" t="s">
        <v>262</v>
      </c>
      <c r="D2037" s="3" t="s">
        <v>444</v>
      </c>
      <c r="E2037" s="11" t="s">
        <v>144</v>
      </c>
      <c r="F2037" s="3" t="s">
        <v>8</v>
      </c>
      <c r="G2037" s="48" t="s">
        <v>1042</v>
      </c>
      <c r="H2037" s="8" t="s">
        <v>507</v>
      </c>
      <c r="I2037" s="8"/>
      <c r="J2037" s="6" t="s">
        <v>108</v>
      </c>
      <c r="K2037" s="38">
        <v>3793</v>
      </c>
      <c r="L2037" s="4" t="s">
        <v>25</v>
      </c>
      <c r="M2037" s="11">
        <f>_xlfn.NUMBERVALUE(LEFT(Table613612[[#This Row],[Fiscal Year]], 4))</f>
        <v>2017</v>
      </c>
      <c r="N2037" s="42">
        <f t="shared" si="33"/>
        <v>3894.0692900856798</v>
      </c>
      <c r="O2037" s="3">
        <v>2035</v>
      </c>
    </row>
    <row r="2038" spans="1:15" x14ac:dyDescent="0.25">
      <c r="A2038" s="9">
        <v>9</v>
      </c>
      <c r="B2038" s="3" t="s">
        <v>280</v>
      </c>
      <c r="C2038" s="3" t="s">
        <v>262</v>
      </c>
      <c r="D2038" s="3" t="s">
        <v>444</v>
      </c>
      <c r="E2038" s="11" t="s">
        <v>144</v>
      </c>
      <c r="F2038" s="3" t="s">
        <v>8</v>
      </c>
      <c r="G2038" s="66" t="s">
        <v>1043</v>
      </c>
      <c r="H2038" s="8" t="s">
        <v>508</v>
      </c>
      <c r="I2038" s="8"/>
      <c r="J2038" s="6" t="s">
        <v>42</v>
      </c>
      <c r="K2038" s="38">
        <v>68286</v>
      </c>
      <c r="L2038" s="4" t="s">
        <v>25</v>
      </c>
      <c r="M2038" s="11">
        <f>_xlfn.NUMBERVALUE(LEFT(Table613612[[#This Row],[Fiscal Year]], 4))</f>
        <v>2017</v>
      </c>
      <c r="N2038" s="42">
        <f t="shared" si="33"/>
        <v>70105.566976744201</v>
      </c>
      <c r="O2038" s="3">
        <v>2036</v>
      </c>
    </row>
    <row r="2039" spans="1:15" x14ac:dyDescent="0.25">
      <c r="A2039" s="9">
        <v>9</v>
      </c>
      <c r="B2039" s="3" t="s">
        <v>280</v>
      </c>
      <c r="C2039" s="3" t="s">
        <v>262</v>
      </c>
      <c r="D2039" s="3" t="s">
        <v>444</v>
      </c>
      <c r="E2039" s="11" t="s">
        <v>144</v>
      </c>
      <c r="F2039" s="3" t="s">
        <v>8</v>
      </c>
      <c r="G2039" s="66" t="s">
        <v>1044</v>
      </c>
      <c r="H2039" s="8" t="s">
        <v>508</v>
      </c>
      <c r="I2039" s="8"/>
      <c r="J2039" s="6" t="s">
        <v>453</v>
      </c>
      <c r="K2039" s="38">
        <v>8255</v>
      </c>
      <c r="L2039" s="4" t="s">
        <v>25</v>
      </c>
      <c r="M2039" s="11">
        <f>_xlfn.NUMBERVALUE(LEFT(Table613612[[#This Row],[Fiscal Year]], 4))</f>
        <v>2017</v>
      </c>
      <c r="N2039" s="42">
        <f t="shared" si="33"/>
        <v>8474.9649326805393</v>
      </c>
      <c r="O2039" s="3">
        <v>2037</v>
      </c>
    </row>
    <row r="2040" spans="1:15" x14ac:dyDescent="0.25">
      <c r="A2040" s="9">
        <v>9</v>
      </c>
      <c r="B2040" s="3" t="s">
        <v>280</v>
      </c>
      <c r="C2040" s="3" t="s">
        <v>262</v>
      </c>
      <c r="D2040" s="3" t="s">
        <v>444</v>
      </c>
      <c r="E2040" s="11" t="s">
        <v>144</v>
      </c>
      <c r="F2040" s="3" t="s">
        <v>8</v>
      </c>
      <c r="G2040" s="66" t="s">
        <v>1045</v>
      </c>
      <c r="H2040" s="8" t="s">
        <v>512</v>
      </c>
      <c r="I2040" s="8"/>
      <c r="J2040" s="6" t="s">
        <v>111</v>
      </c>
      <c r="K2040" s="38">
        <v>43038</v>
      </c>
      <c r="L2040" s="4" t="s">
        <v>25</v>
      </c>
      <c r="M2040" s="11">
        <f>_xlfn.NUMBERVALUE(LEFT(Table613612[[#This Row],[Fiscal Year]], 4))</f>
        <v>2017</v>
      </c>
      <c r="N2040" s="42">
        <f t="shared" si="33"/>
        <v>44184.802031823754</v>
      </c>
      <c r="O2040" s="3">
        <v>2038</v>
      </c>
    </row>
    <row r="2041" spans="1:15" x14ac:dyDescent="0.25">
      <c r="A2041" s="9">
        <v>9</v>
      </c>
      <c r="B2041" s="3" t="s">
        <v>280</v>
      </c>
      <c r="C2041" s="3" t="s">
        <v>262</v>
      </c>
      <c r="D2041" s="3" t="s">
        <v>444</v>
      </c>
      <c r="E2041" s="11" t="s">
        <v>144</v>
      </c>
      <c r="F2041" s="3" t="s">
        <v>8</v>
      </c>
      <c r="G2041" s="66" t="s">
        <v>1025</v>
      </c>
      <c r="H2041" s="8" t="s">
        <v>513</v>
      </c>
      <c r="I2041" s="8"/>
      <c r="J2041" s="6" t="s">
        <v>107</v>
      </c>
      <c r="K2041" s="38">
        <v>103181</v>
      </c>
      <c r="L2041" s="4" t="s">
        <v>25</v>
      </c>
      <c r="M2041" s="11">
        <f>_xlfn.NUMBERVALUE(LEFT(Table613612[[#This Row],[Fiscal Year]], 4))</f>
        <v>2017</v>
      </c>
      <c r="N2041" s="42">
        <f t="shared" si="33"/>
        <v>105930.38845777235</v>
      </c>
      <c r="O2041" s="3">
        <v>2039</v>
      </c>
    </row>
    <row r="2042" spans="1:15" x14ac:dyDescent="0.25">
      <c r="A2042" s="9">
        <v>9</v>
      </c>
      <c r="B2042" s="3" t="s">
        <v>280</v>
      </c>
      <c r="C2042" s="3" t="s">
        <v>262</v>
      </c>
      <c r="D2042" s="3" t="s">
        <v>444</v>
      </c>
      <c r="E2042" s="11" t="s">
        <v>144</v>
      </c>
      <c r="F2042" s="3" t="s">
        <v>8</v>
      </c>
      <c r="G2042" s="66" t="s">
        <v>1020</v>
      </c>
      <c r="H2042" s="8" t="s">
        <v>509</v>
      </c>
      <c r="I2042" s="8"/>
      <c r="J2042" s="6" t="s">
        <v>109</v>
      </c>
      <c r="K2042" s="38">
        <v>62234</v>
      </c>
      <c r="L2042" s="4" t="s">
        <v>25</v>
      </c>
      <c r="M2042" s="11">
        <f>_xlfn.NUMBERVALUE(LEFT(Table613612[[#This Row],[Fiscal Year]], 4))</f>
        <v>2017</v>
      </c>
      <c r="N2042" s="42">
        <f t="shared" si="33"/>
        <v>63892.303769889848</v>
      </c>
      <c r="O2042" s="3">
        <v>2040</v>
      </c>
    </row>
    <row r="2043" spans="1:15" x14ac:dyDescent="0.25">
      <c r="A2043" s="9">
        <v>9</v>
      </c>
      <c r="B2043" s="3" t="s">
        <v>280</v>
      </c>
      <c r="C2043" s="3" t="s">
        <v>262</v>
      </c>
      <c r="D2043" s="3" t="s">
        <v>444</v>
      </c>
      <c r="E2043" s="11" t="s">
        <v>144</v>
      </c>
      <c r="F2043" s="3" t="s">
        <v>8</v>
      </c>
      <c r="G2043" s="66" t="s">
        <v>1046</v>
      </c>
      <c r="H2043" s="8" t="s">
        <v>510</v>
      </c>
      <c r="I2043" s="8"/>
      <c r="J2043" s="6" t="s">
        <v>106</v>
      </c>
      <c r="K2043" s="38">
        <v>18873</v>
      </c>
      <c r="L2043" s="4" t="s">
        <v>25</v>
      </c>
      <c r="M2043" s="11">
        <f>_xlfn.NUMBERVALUE(LEFT(Table613612[[#This Row],[Fiscal Year]], 4))</f>
        <v>2017</v>
      </c>
      <c r="N2043" s="42">
        <f t="shared" si="33"/>
        <v>19375.894993880051</v>
      </c>
      <c r="O2043" s="3">
        <v>2041</v>
      </c>
    </row>
    <row r="2044" spans="1:15" x14ac:dyDescent="0.25">
      <c r="A2044" s="9">
        <v>9</v>
      </c>
      <c r="B2044" s="3" t="s">
        <v>280</v>
      </c>
      <c r="C2044" s="3" t="s">
        <v>262</v>
      </c>
      <c r="D2044" s="3" t="s">
        <v>444</v>
      </c>
      <c r="E2044" s="11" t="s">
        <v>144</v>
      </c>
      <c r="F2044" s="3" t="s">
        <v>8</v>
      </c>
      <c r="G2044" s="66" t="s">
        <v>1047</v>
      </c>
      <c r="H2044" s="8"/>
      <c r="I2044" s="8"/>
      <c r="J2044" s="6" t="s">
        <v>455</v>
      </c>
      <c r="K2044" s="38">
        <v>225290</v>
      </c>
      <c r="L2044" s="4" t="s">
        <v>25</v>
      </c>
      <c r="M2044" s="11">
        <f>_xlfn.NUMBERVALUE(LEFT(Table613612[[#This Row],[Fiscal Year]], 4))</f>
        <v>2017</v>
      </c>
      <c r="N2044" s="42">
        <f t="shared" si="33"/>
        <v>231293.13745410039</v>
      </c>
      <c r="O2044" s="3">
        <v>2042</v>
      </c>
    </row>
    <row r="2045" spans="1:15" x14ac:dyDescent="0.25">
      <c r="E2045" s="11"/>
      <c r="G2045" s="66"/>
      <c r="H2045" s="8"/>
      <c r="I2045" s="8"/>
      <c r="J2045" s="6"/>
      <c r="L2045" s="4"/>
      <c r="O2045" s="3">
        <v>2043</v>
      </c>
    </row>
    <row r="2046" spans="1:15" x14ac:dyDescent="0.25">
      <c r="A2046" s="9">
        <v>8</v>
      </c>
      <c r="B2046" s="3" t="s">
        <v>281</v>
      </c>
      <c r="C2046" s="3" t="s">
        <v>262</v>
      </c>
      <c r="D2046" s="3" t="s">
        <v>444</v>
      </c>
      <c r="E2046" s="11" t="s">
        <v>144</v>
      </c>
      <c r="F2046" s="3" t="s">
        <v>8</v>
      </c>
      <c r="G2046" s="61" t="s">
        <v>1008</v>
      </c>
      <c r="H2046" s="8"/>
      <c r="I2046" s="8" t="s">
        <v>640</v>
      </c>
      <c r="J2046" s="6" t="s">
        <v>76</v>
      </c>
      <c r="K2046" s="38">
        <v>0</v>
      </c>
      <c r="L2046" s="4" t="s">
        <v>25</v>
      </c>
      <c r="M2046" s="11">
        <f>_xlfn.NUMBERVALUE(LEFT(Table613612[[#This Row],[Fiscal Year]], 4))</f>
        <v>2017</v>
      </c>
      <c r="N2046" s="42">
        <f t="shared" ref="N2046:N2079" si="34">K2046*(1+VLOOKUP(M2046,$AF$8:$AH$31,3,0))</f>
        <v>0</v>
      </c>
      <c r="O2046" s="3">
        <v>2044</v>
      </c>
    </row>
    <row r="2047" spans="1:15" x14ac:dyDescent="0.25">
      <c r="A2047" s="3">
        <v>8</v>
      </c>
      <c r="B2047" s="3" t="s">
        <v>281</v>
      </c>
      <c r="C2047" s="3" t="s">
        <v>262</v>
      </c>
      <c r="D2047" s="3" t="s">
        <v>444</v>
      </c>
      <c r="E2047" s="11" t="s">
        <v>144</v>
      </c>
      <c r="F2047" s="3" t="s">
        <v>8</v>
      </c>
      <c r="G2047" s="48" t="s">
        <v>1051</v>
      </c>
      <c r="H2047" s="8"/>
      <c r="I2047" s="8"/>
      <c r="J2047" s="6" t="s">
        <v>76</v>
      </c>
      <c r="K2047" s="38">
        <v>4000</v>
      </c>
      <c r="L2047" s="4" t="s">
        <v>25</v>
      </c>
      <c r="M2047" s="11">
        <f>_xlfn.NUMBERVALUE(LEFT(Table613612[[#This Row],[Fiscal Year]], 4))</f>
        <v>2017</v>
      </c>
      <c r="N2047" s="42">
        <f>K2047*(1+VLOOKUP(M2047,$AF$8:$AH$31,3,0))</f>
        <v>4106.5850673194618</v>
      </c>
      <c r="O2047" s="3">
        <v>2045</v>
      </c>
    </row>
    <row r="2048" spans="1:15" x14ac:dyDescent="0.25">
      <c r="A2048" s="3">
        <v>8</v>
      </c>
      <c r="B2048" s="3" t="s">
        <v>281</v>
      </c>
      <c r="C2048" s="3" t="s">
        <v>262</v>
      </c>
      <c r="D2048" s="3" t="s">
        <v>444</v>
      </c>
      <c r="E2048" s="11" t="s">
        <v>144</v>
      </c>
      <c r="F2048" s="3" t="s">
        <v>8</v>
      </c>
      <c r="G2048" s="48" t="s">
        <v>1010</v>
      </c>
      <c r="H2048" s="8"/>
      <c r="I2048" s="8"/>
      <c r="J2048" s="6" t="s">
        <v>76</v>
      </c>
      <c r="K2048" s="38">
        <v>0</v>
      </c>
      <c r="L2048" s="4" t="s">
        <v>25</v>
      </c>
      <c r="M2048" s="11">
        <f>_xlfn.NUMBERVALUE(LEFT(Table613612[[#This Row],[Fiscal Year]], 4))</f>
        <v>2017</v>
      </c>
      <c r="N2048" s="42">
        <f t="shared" si="34"/>
        <v>0</v>
      </c>
      <c r="O2048" s="3">
        <v>2046</v>
      </c>
    </row>
    <row r="2049" spans="1:15" x14ac:dyDescent="0.25">
      <c r="A2049" s="3">
        <v>8</v>
      </c>
      <c r="B2049" s="3" t="s">
        <v>281</v>
      </c>
      <c r="C2049" s="3" t="s">
        <v>262</v>
      </c>
      <c r="D2049" s="3" t="s">
        <v>444</v>
      </c>
      <c r="E2049" s="11" t="s">
        <v>144</v>
      </c>
      <c r="F2049" s="3" t="s">
        <v>8</v>
      </c>
      <c r="G2049" s="61" t="s">
        <v>1011</v>
      </c>
      <c r="H2049" s="8" t="s">
        <v>511</v>
      </c>
      <c r="I2049" s="8"/>
      <c r="J2049" s="6" t="s">
        <v>110</v>
      </c>
      <c r="K2049" s="38">
        <v>62142</v>
      </c>
      <c r="L2049" s="4" t="s">
        <v>25</v>
      </c>
      <c r="M2049" s="11">
        <f>_xlfn.NUMBERVALUE(LEFT(Table613612[[#This Row],[Fiscal Year]], 4))</f>
        <v>2017</v>
      </c>
      <c r="N2049" s="42">
        <f t="shared" si="34"/>
        <v>63797.8523133415</v>
      </c>
      <c r="O2049" s="3">
        <v>2047</v>
      </c>
    </row>
    <row r="2050" spans="1:15" x14ac:dyDescent="0.25">
      <c r="A2050" s="3">
        <v>8</v>
      </c>
      <c r="B2050" s="3" t="s">
        <v>281</v>
      </c>
      <c r="C2050" s="3" t="s">
        <v>262</v>
      </c>
      <c r="D2050" s="3" t="s">
        <v>444</v>
      </c>
      <c r="E2050" s="11" t="s">
        <v>144</v>
      </c>
      <c r="F2050" s="3" t="s">
        <v>8</v>
      </c>
      <c r="G2050" s="48" t="s">
        <v>1052</v>
      </c>
      <c r="H2050" s="8" t="s">
        <v>507</v>
      </c>
      <c r="I2050" s="8"/>
      <c r="J2050" s="6" t="s">
        <v>108</v>
      </c>
      <c r="K2050" s="38">
        <v>25266</v>
      </c>
      <c r="L2050" s="4" t="s">
        <v>25</v>
      </c>
      <c r="M2050" s="11">
        <f>_xlfn.NUMBERVALUE(LEFT(Table613612[[#This Row],[Fiscal Year]], 4))</f>
        <v>2017</v>
      </c>
      <c r="N2050" s="42">
        <f t="shared" si="34"/>
        <v>25939.244577723381</v>
      </c>
      <c r="O2050" s="3">
        <v>2048</v>
      </c>
    </row>
    <row r="2051" spans="1:15" x14ac:dyDescent="0.25">
      <c r="A2051" s="3">
        <v>8</v>
      </c>
      <c r="B2051" s="3" t="s">
        <v>281</v>
      </c>
      <c r="C2051" s="3" t="s">
        <v>262</v>
      </c>
      <c r="D2051" s="3" t="s">
        <v>444</v>
      </c>
      <c r="E2051" s="11" t="s">
        <v>144</v>
      </c>
      <c r="F2051" s="3" t="s">
        <v>8</v>
      </c>
      <c r="G2051" s="48" t="s">
        <v>1053</v>
      </c>
      <c r="H2051" s="8" t="s">
        <v>507</v>
      </c>
      <c r="I2051" s="8"/>
      <c r="J2051" s="6" t="s">
        <v>108</v>
      </c>
      <c r="K2051" s="38">
        <v>7470</v>
      </c>
      <c r="L2051" s="4" t="s">
        <v>25</v>
      </c>
      <c r="M2051" s="11">
        <f>_xlfn.NUMBERVALUE(LEFT(Table613612[[#This Row],[Fiscal Year]], 4))</f>
        <v>2017</v>
      </c>
      <c r="N2051" s="42">
        <f t="shared" si="34"/>
        <v>7669.0476132190952</v>
      </c>
      <c r="O2051" s="3">
        <v>2049</v>
      </c>
    </row>
    <row r="2052" spans="1:15" x14ac:dyDescent="0.25">
      <c r="A2052" s="3">
        <v>8</v>
      </c>
      <c r="B2052" s="3" t="s">
        <v>281</v>
      </c>
      <c r="C2052" s="3" t="s">
        <v>262</v>
      </c>
      <c r="D2052" s="3" t="s">
        <v>444</v>
      </c>
      <c r="E2052" s="11" t="s">
        <v>144</v>
      </c>
      <c r="F2052" s="3" t="s">
        <v>8</v>
      </c>
      <c r="G2052" s="48" t="s">
        <v>1040</v>
      </c>
      <c r="H2052" s="8" t="s">
        <v>507</v>
      </c>
      <c r="I2052" s="8"/>
      <c r="J2052" s="6" t="s">
        <v>108</v>
      </c>
      <c r="K2052" s="38">
        <v>35880</v>
      </c>
      <c r="L2052" s="4" t="s">
        <v>25</v>
      </c>
      <c r="M2052" s="11">
        <f>_xlfn.NUMBERVALUE(LEFT(Table613612[[#This Row],[Fiscal Year]], 4))</f>
        <v>2017</v>
      </c>
      <c r="N2052" s="42">
        <f t="shared" si="34"/>
        <v>36836.068053855575</v>
      </c>
      <c r="O2052" s="3">
        <v>2050</v>
      </c>
    </row>
    <row r="2053" spans="1:15" x14ac:dyDescent="0.25">
      <c r="A2053" s="3">
        <v>8</v>
      </c>
      <c r="B2053" s="3" t="s">
        <v>281</v>
      </c>
      <c r="C2053" s="3" t="s">
        <v>262</v>
      </c>
      <c r="D2053" s="3" t="s">
        <v>444</v>
      </c>
      <c r="E2053" s="11" t="s">
        <v>144</v>
      </c>
      <c r="F2053" s="3" t="s">
        <v>8</v>
      </c>
      <c r="G2053" s="48" t="s">
        <v>1041</v>
      </c>
      <c r="H2053" s="8" t="s">
        <v>507</v>
      </c>
      <c r="I2053" s="8"/>
      <c r="J2053" s="6" t="s">
        <v>108</v>
      </c>
      <c r="K2053" s="38">
        <v>431637</v>
      </c>
      <c r="L2053" s="4" t="s">
        <v>25</v>
      </c>
      <c r="M2053" s="11">
        <f>_xlfn.NUMBERVALUE(LEFT(Table613612[[#This Row],[Fiscal Year]], 4))</f>
        <v>2017</v>
      </c>
      <c r="N2053" s="42">
        <f t="shared" si="34"/>
        <v>443138.51467564265</v>
      </c>
      <c r="O2053" s="3">
        <v>2051</v>
      </c>
    </row>
    <row r="2054" spans="1:15" x14ac:dyDescent="0.25">
      <c r="A2054" s="3">
        <v>8</v>
      </c>
      <c r="B2054" s="3" t="s">
        <v>281</v>
      </c>
      <c r="C2054" s="3" t="s">
        <v>262</v>
      </c>
      <c r="D2054" s="3" t="s">
        <v>444</v>
      </c>
      <c r="E2054" s="11" t="s">
        <v>144</v>
      </c>
      <c r="F2054" s="3" t="s">
        <v>8</v>
      </c>
      <c r="G2054" s="48" t="s">
        <v>1042</v>
      </c>
      <c r="H2054" s="8" t="s">
        <v>507</v>
      </c>
      <c r="I2054" s="8"/>
      <c r="J2054" s="6" t="s">
        <v>108</v>
      </c>
      <c r="K2054" s="38">
        <v>13200</v>
      </c>
      <c r="L2054" s="4" t="s">
        <v>25</v>
      </c>
      <c r="M2054" s="11">
        <f>_xlfn.NUMBERVALUE(LEFT(Table613612[[#This Row],[Fiscal Year]], 4))</f>
        <v>2017</v>
      </c>
      <c r="N2054" s="42">
        <f t="shared" si="34"/>
        <v>13551.730722154225</v>
      </c>
      <c r="O2054" s="3">
        <v>2052</v>
      </c>
    </row>
    <row r="2055" spans="1:15" x14ac:dyDescent="0.25">
      <c r="A2055" s="3">
        <v>8</v>
      </c>
      <c r="B2055" s="3" t="s">
        <v>281</v>
      </c>
      <c r="C2055" s="3" t="s">
        <v>262</v>
      </c>
      <c r="D2055" s="3" t="s">
        <v>444</v>
      </c>
      <c r="E2055" s="11" t="s">
        <v>144</v>
      </c>
      <c r="F2055" s="3" t="s">
        <v>8</v>
      </c>
      <c r="G2055" s="66" t="s">
        <v>1043</v>
      </c>
      <c r="H2055" s="8" t="s">
        <v>508</v>
      </c>
      <c r="I2055" s="8"/>
      <c r="J2055" s="6" t="s">
        <v>42</v>
      </c>
      <c r="K2055" s="38">
        <v>16122</v>
      </c>
      <c r="L2055" s="4" t="s">
        <v>25</v>
      </c>
      <c r="M2055" s="11">
        <f>_xlfn.NUMBERVALUE(LEFT(Table613612[[#This Row],[Fiscal Year]], 4))</f>
        <v>2017</v>
      </c>
      <c r="N2055" s="42">
        <f t="shared" si="34"/>
        <v>16551.591113831091</v>
      </c>
      <c r="O2055" s="3">
        <v>2053</v>
      </c>
    </row>
    <row r="2056" spans="1:15" x14ac:dyDescent="0.25">
      <c r="A2056" s="3">
        <v>8</v>
      </c>
      <c r="B2056" s="3" t="s">
        <v>281</v>
      </c>
      <c r="C2056" s="3" t="s">
        <v>262</v>
      </c>
      <c r="D2056" s="3" t="s">
        <v>444</v>
      </c>
      <c r="E2056" s="11" t="s">
        <v>144</v>
      </c>
      <c r="F2056" s="3" t="s">
        <v>8</v>
      </c>
      <c r="G2056" s="66" t="s">
        <v>1044</v>
      </c>
      <c r="H2056" s="8" t="s">
        <v>508</v>
      </c>
      <c r="I2056" s="8"/>
      <c r="J2056" s="6" t="s">
        <v>453</v>
      </c>
      <c r="K2056" s="38">
        <v>38726</v>
      </c>
      <c r="L2056" s="4" t="s">
        <v>25</v>
      </c>
      <c r="M2056" s="11">
        <f>_xlfn.NUMBERVALUE(LEFT(Table613612[[#This Row],[Fiscal Year]], 4))</f>
        <v>2017</v>
      </c>
      <c r="N2056" s="42">
        <f t="shared" si="34"/>
        <v>39757.903329253371</v>
      </c>
      <c r="O2056" s="3">
        <v>2054</v>
      </c>
    </row>
    <row r="2057" spans="1:15" x14ac:dyDescent="0.25">
      <c r="A2057" s="3">
        <v>8</v>
      </c>
      <c r="B2057" s="3" t="s">
        <v>281</v>
      </c>
      <c r="C2057" s="3" t="s">
        <v>262</v>
      </c>
      <c r="D2057" s="3" t="s">
        <v>444</v>
      </c>
      <c r="E2057" s="11" t="s">
        <v>144</v>
      </c>
      <c r="F2057" s="3" t="s">
        <v>8</v>
      </c>
      <c r="G2057" s="66" t="s">
        <v>1045</v>
      </c>
      <c r="H2057" s="8" t="s">
        <v>512</v>
      </c>
      <c r="I2057" s="8"/>
      <c r="J2057" s="6" t="s">
        <v>111</v>
      </c>
      <c r="K2057" s="38">
        <v>2213</v>
      </c>
      <c r="L2057" s="4" t="s">
        <v>25</v>
      </c>
      <c r="M2057" s="11">
        <f>_xlfn.NUMBERVALUE(LEFT(Table613612[[#This Row],[Fiscal Year]], 4))</f>
        <v>2017</v>
      </c>
      <c r="N2057" s="42">
        <f t="shared" si="34"/>
        <v>2271.9681884944921</v>
      </c>
      <c r="O2057" s="3">
        <v>2055</v>
      </c>
    </row>
    <row r="2058" spans="1:15" x14ac:dyDescent="0.25">
      <c r="A2058" s="3">
        <v>8</v>
      </c>
      <c r="B2058" s="3" t="s">
        <v>281</v>
      </c>
      <c r="C2058" s="3" t="s">
        <v>262</v>
      </c>
      <c r="D2058" s="3" t="s">
        <v>444</v>
      </c>
      <c r="E2058" s="11" t="s">
        <v>144</v>
      </c>
      <c r="F2058" s="3" t="s">
        <v>8</v>
      </c>
      <c r="G2058" s="66" t="s">
        <v>1025</v>
      </c>
      <c r="H2058" s="8" t="s">
        <v>513</v>
      </c>
      <c r="I2058" s="8"/>
      <c r="J2058" s="6" t="s">
        <v>107</v>
      </c>
      <c r="K2058" s="38">
        <v>1180</v>
      </c>
      <c r="L2058" s="4" t="s">
        <v>25</v>
      </c>
      <c r="M2058" s="11">
        <f>_xlfn.NUMBERVALUE(LEFT(Table613612[[#This Row],[Fiscal Year]], 4))</f>
        <v>2017</v>
      </c>
      <c r="N2058" s="42">
        <f t="shared" si="34"/>
        <v>1211.4425948592414</v>
      </c>
      <c r="O2058" s="3">
        <v>2056</v>
      </c>
    </row>
    <row r="2059" spans="1:15" x14ac:dyDescent="0.25">
      <c r="A2059" s="3">
        <v>8</v>
      </c>
      <c r="B2059" s="3" t="s">
        <v>281</v>
      </c>
      <c r="C2059" s="3" t="s">
        <v>262</v>
      </c>
      <c r="D2059" s="3" t="s">
        <v>444</v>
      </c>
      <c r="E2059" s="11" t="s">
        <v>144</v>
      </c>
      <c r="F2059" s="3" t="s">
        <v>8</v>
      </c>
      <c r="G2059" s="66" t="s">
        <v>1020</v>
      </c>
      <c r="H2059" s="8" t="s">
        <v>509</v>
      </c>
      <c r="I2059" s="8"/>
      <c r="J2059" s="6" t="s">
        <v>109</v>
      </c>
      <c r="K2059" s="38">
        <v>738</v>
      </c>
      <c r="L2059" s="4" t="s">
        <v>25</v>
      </c>
      <c r="M2059" s="11">
        <f>_xlfn.NUMBERVALUE(LEFT(Table613612[[#This Row],[Fiscal Year]], 4))</f>
        <v>2017</v>
      </c>
      <c r="N2059" s="42">
        <f t="shared" si="34"/>
        <v>757.66494492044069</v>
      </c>
      <c r="O2059" s="3">
        <v>2057</v>
      </c>
    </row>
    <row r="2060" spans="1:15" x14ac:dyDescent="0.25">
      <c r="A2060" s="3">
        <v>8</v>
      </c>
      <c r="B2060" s="3" t="s">
        <v>281</v>
      </c>
      <c r="C2060" s="3" t="s">
        <v>262</v>
      </c>
      <c r="D2060" s="3" t="s">
        <v>444</v>
      </c>
      <c r="E2060" s="11" t="s">
        <v>144</v>
      </c>
      <c r="F2060" s="3" t="s">
        <v>8</v>
      </c>
      <c r="G2060" s="66" t="s">
        <v>1054</v>
      </c>
      <c r="H2060" s="8" t="s">
        <v>510</v>
      </c>
      <c r="I2060" s="8"/>
      <c r="J2060" s="6" t="s">
        <v>106</v>
      </c>
      <c r="K2060" s="38">
        <v>7465</v>
      </c>
      <c r="L2060" s="4" t="s">
        <v>25</v>
      </c>
      <c r="M2060" s="11">
        <f>_xlfn.NUMBERVALUE(LEFT(Table613612[[#This Row],[Fiscal Year]], 4))</f>
        <v>2017</v>
      </c>
      <c r="N2060" s="42">
        <f t="shared" si="34"/>
        <v>7663.9143818849461</v>
      </c>
      <c r="O2060" s="3">
        <v>2058</v>
      </c>
    </row>
    <row r="2061" spans="1:15" x14ac:dyDescent="0.25">
      <c r="A2061" s="3">
        <v>8</v>
      </c>
      <c r="B2061" s="3" t="s">
        <v>281</v>
      </c>
      <c r="C2061" s="3" t="s">
        <v>262</v>
      </c>
      <c r="D2061" s="3" t="s">
        <v>444</v>
      </c>
      <c r="E2061" s="11" t="s">
        <v>144</v>
      </c>
      <c r="F2061" s="3" t="s">
        <v>8</v>
      </c>
      <c r="G2061" s="66" t="s">
        <v>1047</v>
      </c>
      <c r="H2061" s="8"/>
      <c r="I2061" s="8"/>
      <c r="J2061" s="6" t="s">
        <v>455</v>
      </c>
      <c r="K2061" s="38">
        <v>62674</v>
      </c>
      <c r="L2061" s="4" t="s">
        <v>25</v>
      </c>
      <c r="M2061" s="11">
        <f>_xlfn.NUMBERVALUE(LEFT(Table613612[[#This Row],[Fiscal Year]], 4))</f>
        <v>2017</v>
      </c>
      <c r="N2061" s="42">
        <f t="shared" si="34"/>
        <v>64344.028127294987</v>
      </c>
      <c r="O2061" s="3">
        <v>2059</v>
      </c>
    </row>
    <row r="2062" spans="1:15" x14ac:dyDescent="0.25">
      <c r="A2062" s="3">
        <v>8</v>
      </c>
      <c r="B2062" s="3" t="s">
        <v>281</v>
      </c>
      <c r="C2062" s="3" t="s">
        <v>262</v>
      </c>
      <c r="D2062" s="3" t="s">
        <v>444</v>
      </c>
      <c r="E2062" s="11" t="s">
        <v>144</v>
      </c>
      <c r="F2062" s="3" t="s">
        <v>8</v>
      </c>
      <c r="G2062" s="48" t="s">
        <v>1023</v>
      </c>
      <c r="H2062" s="8"/>
      <c r="I2062" s="8"/>
      <c r="J2062" s="6" t="s">
        <v>453</v>
      </c>
      <c r="K2062" s="38">
        <v>8854</v>
      </c>
      <c r="L2062" s="4" t="s">
        <v>25</v>
      </c>
      <c r="M2062" s="11">
        <f>_xlfn.NUMBERVALUE(LEFT(Table613612[[#This Row],[Fiscal Year]], 4))</f>
        <v>2017</v>
      </c>
      <c r="N2062" s="42">
        <f t="shared" si="34"/>
        <v>9089.9260465116295</v>
      </c>
      <c r="O2062" s="3">
        <v>2060</v>
      </c>
    </row>
    <row r="2063" spans="1:15" x14ac:dyDescent="0.25">
      <c r="E2063" s="11"/>
      <c r="G2063" s="66"/>
      <c r="H2063" s="8"/>
      <c r="I2063" s="8"/>
      <c r="J2063" s="6"/>
      <c r="L2063" s="4"/>
      <c r="O2063" s="3">
        <v>2061</v>
      </c>
    </row>
    <row r="2064" spans="1:15" x14ac:dyDescent="0.25">
      <c r="A2064" s="3">
        <v>8</v>
      </c>
      <c r="B2064" s="3" t="s">
        <v>282</v>
      </c>
      <c r="C2064" s="3" t="s">
        <v>262</v>
      </c>
      <c r="D2064" s="3" t="s">
        <v>444</v>
      </c>
      <c r="E2064" s="11" t="s">
        <v>144</v>
      </c>
      <c r="F2064" s="3" t="s">
        <v>8</v>
      </c>
      <c r="G2064" s="61" t="s">
        <v>1026</v>
      </c>
      <c r="H2064" s="8"/>
      <c r="I2064" s="8" t="s">
        <v>640</v>
      </c>
      <c r="J2064" s="6" t="s">
        <v>76</v>
      </c>
      <c r="K2064" s="38">
        <v>798200</v>
      </c>
      <c r="L2064" s="4" t="s">
        <v>25</v>
      </c>
      <c r="M2064" s="11">
        <f>_xlfn.NUMBERVALUE(LEFT(Table613612[[#This Row],[Fiscal Year]], 4))</f>
        <v>2017</v>
      </c>
      <c r="N2064" s="42">
        <f t="shared" si="34"/>
        <v>819469.05018359865</v>
      </c>
      <c r="O2064" s="3">
        <v>2062</v>
      </c>
    </row>
    <row r="2065" spans="1:15" x14ac:dyDescent="0.25">
      <c r="A2065" s="3">
        <v>8</v>
      </c>
      <c r="B2065" s="3" t="s">
        <v>282</v>
      </c>
      <c r="C2065" s="3" t="s">
        <v>262</v>
      </c>
      <c r="D2065" s="3" t="s">
        <v>444</v>
      </c>
      <c r="E2065" s="11" t="s">
        <v>144</v>
      </c>
      <c r="F2065" s="3" t="s">
        <v>8</v>
      </c>
      <c r="G2065" s="66" t="s">
        <v>1037</v>
      </c>
      <c r="H2065" s="8"/>
      <c r="I2065" s="8"/>
      <c r="J2065" s="6" t="s">
        <v>76</v>
      </c>
      <c r="K2065" s="38">
        <v>80000</v>
      </c>
      <c r="L2065" s="4" t="s">
        <v>25</v>
      </c>
      <c r="M2065" s="11">
        <f>_xlfn.NUMBERVALUE(LEFT(Table613612[[#This Row],[Fiscal Year]], 4))</f>
        <v>2017</v>
      </c>
      <c r="N2065" s="42">
        <f t="shared" si="34"/>
        <v>82131.701346389236</v>
      </c>
      <c r="O2065" s="3">
        <v>2063</v>
      </c>
    </row>
    <row r="2066" spans="1:15" x14ac:dyDescent="0.25">
      <c r="A2066" s="3">
        <v>8</v>
      </c>
      <c r="B2066" s="3" t="s">
        <v>282</v>
      </c>
      <c r="C2066" s="3" t="s">
        <v>262</v>
      </c>
      <c r="D2066" s="3" t="s">
        <v>444</v>
      </c>
      <c r="E2066" s="11" t="s">
        <v>144</v>
      </c>
      <c r="F2066" s="3" t="s">
        <v>8</v>
      </c>
      <c r="G2066" s="66" t="s">
        <v>1010</v>
      </c>
      <c r="H2066" s="8"/>
      <c r="I2066" s="8"/>
      <c r="J2066" s="6" t="s">
        <v>76</v>
      </c>
      <c r="K2066" s="38" t="s">
        <v>28</v>
      </c>
      <c r="L2066" s="4" t="s">
        <v>25</v>
      </c>
      <c r="M2066" s="11">
        <f>_xlfn.NUMBERVALUE(LEFT(Table613612[[#This Row],[Fiscal Year]], 4))</f>
        <v>2017</v>
      </c>
      <c r="O2066" s="3">
        <v>2064</v>
      </c>
    </row>
    <row r="2067" spans="1:15" x14ac:dyDescent="0.25">
      <c r="A2067" s="3">
        <v>8</v>
      </c>
      <c r="B2067" s="3" t="s">
        <v>282</v>
      </c>
      <c r="C2067" s="3" t="s">
        <v>262</v>
      </c>
      <c r="D2067" s="3" t="s">
        <v>444</v>
      </c>
      <c r="E2067" s="11" t="s">
        <v>144</v>
      </c>
      <c r="F2067" s="3" t="s">
        <v>8</v>
      </c>
      <c r="G2067" s="61" t="s">
        <v>1011</v>
      </c>
      <c r="H2067" s="8" t="s">
        <v>511</v>
      </c>
      <c r="I2067" s="8"/>
      <c r="J2067" s="6" t="s">
        <v>110</v>
      </c>
      <c r="K2067" s="38">
        <v>232019</v>
      </c>
      <c r="L2067" s="4" t="s">
        <v>25</v>
      </c>
      <c r="M2067" s="11">
        <f>_xlfn.NUMBERVALUE(LEFT(Table613612[[#This Row],[Fiscal Year]], 4))</f>
        <v>2017</v>
      </c>
      <c r="N2067" s="42">
        <f t="shared" si="34"/>
        <v>238201.44018359855</v>
      </c>
      <c r="O2067" s="3">
        <v>2065</v>
      </c>
    </row>
    <row r="2068" spans="1:15" x14ac:dyDescent="0.25">
      <c r="A2068" s="3">
        <v>8</v>
      </c>
      <c r="B2068" s="3" t="s">
        <v>282</v>
      </c>
      <c r="C2068" s="3" t="s">
        <v>262</v>
      </c>
      <c r="D2068" s="3" t="s">
        <v>444</v>
      </c>
      <c r="E2068" s="11" t="s">
        <v>144</v>
      </c>
      <c r="F2068" s="3" t="s">
        <v>8</v>
      </c>
      <c r="G2068" s="48" t="s">
        <v>1052</v>
      </c>
      <c r="H2068" s="8" t="s">
        <v>507</v>
      </c>
      <c r="I2068" s="8"/>
      <c r="J2068" s="6" t="s">
        <v>108</v>
      </c>
      <c r="K2068" s="38">
        <v>43335</v>
      </c>
      <c r="L2068" s="4" t="s">
        <v>25</v>
      </c>
      <c r="M2068" s="11">
        <f>_xlfn.NUMBERVALUE(LEFT(Table613612[[#This Row],[Fiscal Year]], 4))</f>
        <v>2017</v>
      </c>
      <c r="N2068" s="42">
        <f t="shared" si="34"/>
        <v>44489.71597307222</v>
      </c>
      <c r="O2068" s="3">
        <v>2066</v>
      </c>
    </row>
    <row r="2069" spans="1:15" x14ac:dyDescent="0.25">
      <c r="A2069" s="3">
        <v>8</v>
      </c>
      <c r="B2069" s="3" t="s">
        <v>282</v>
      </c>
      <c r="C2069" s="3" t="s">
        <v>262</v>
      </c>
      <c r="D2069" s="3" t="s">
        <v>444</v>
      </c>
      <c r="E2069" s="11" t="s">
        <v>144</v>
      </c>
      <c r="F2069" s="3" t="s">
        <v>8</v>
      </c>
      <c r="G2069" s="48" t="s">
        <v>1053</v>
      </c>
      <c r="H2069" s="8" t="s">
        <v>507</v>
      </c>
      <c r="I2069" s="8"/>
      <c r="J2069" s="6" t="s">
        <v>108</v>
      </c>
      <c r="K2069" s="38">
        <v>43471</v>
      </c>
      <c r="L2069" s="4" t="s">
        <v>25</v>
      </c>
      <c r="M2069" s="11">
        <f>_xlfn.NUMBERVALUE(LEFT(Table613612[[#This Row],[Fiscal Year]], 4))</f>
        <v>2017</v>
      </c>
      <c r="N2069" s="42">
        <f t="shared" si="34"/>
        <v>44629.339865361086</v>
      </c>
      <c r="O2069" s="3">
        <v>2067</v>
      </c>
    </row>
    <row r="2070" spans="1:15" x14ac:dyDescent="0.25">
      <c r="A2070" s="3">
        <v>8</v>
      </c>
      <c r="B2070" s="3" t="s">
        <v>282</v>
      </c>
      <c r="C2070" s="3" t="s">
        <v>262</v>
      </c>
      <c r="D2070" s="3" t="s">
        <v>444</v>
      </c>
      <c r="E2070" s="11" t="s">
        <v>144</v>
      </c>
      <c r="F2070" s="3" t="s">
        <v>8</v>
      </c>
      <c r="G2070" s="48" t="s">
        <v>1040</v>
      </c>
      <c r="H2070" s="8" t="s">
        <v>507</v>
      </c>
      <c r="I2070" s="8"/>
      <c r="J2070" s="6" t="s">
        <v>108</v>
      </c>
      <c r="K2070" s="38">
        <v>293471</v>
      </c>
      <c r="L2070" s="4" t="s">
        <v>25</v>
      </c>
      <c r="M2070" s="11">
        <f>_xlfn.NUMBERVALUE(LEFT(Table613612[[#This Row],[Fiscal Year]], 4))</f>
        <v>2017</v>
      </c>
      <c r="N2070" s="42">
        <f t="shared" si="34"/>
        <v>301290.90657282743</v>
      </c>
      <c r="O2070" s="3">
        <v>2068</v>
      </c>
    </row>
    <row r="2071" spans="1:15" x14ac:dyDescent="0.25">
      <c r="A2071" s="3">
        <v>8</v>
      </c>
      <c r="B2071" s="3" t="s">
        <v>282</v>
      </c>
      <c r="C2071" s="3" t="s">
        <v>262</v>
      </c>
      <c r="D2071" s="3" t="s">
        <v>444</v>
      </c>
      <c r="E2071" s="11" t="s">
        <v>144</v>
      </c>
      <c r="F2071" s="3" t="s">
        <v>8</v>
      </c>
      <c r="G2071" s="48" t="s">
        <v>1055</v>
      </c>
      <c r="H2071" s="8" t="s">
        <v>507</v>
      </c>
      <c r="I2071" s="8"/>
      <c r="J2071" s="6" t="s">
        <v>108</v>
      </c>
      <c r="K2071" s="38">
        <v>98635</v>
      </c>
      <c r="L2071" s="4" t="s">
        <v>25</v>
      </c>
      <c r="M2071" s="11">
        <f>_xlfn.NUMBERVALUE(LEFT(Table613612[[#This Row],[Fiscal Year]], 4))</f>
        <v>2017</v>
      </c>
      <c r="N2071" s="42">
        <f t="shared" si="34"/>
        <v>101263.25452876378</v>
      </c>
      <c r="O2071" s="3">
        <v>2069</v>
      </c>
    </row>
    <row r="2072" spans="1:15" x14ac:dyDescent="0.25">
      <c r="A2072" s="3">
        <v>8</v>
      </c>
      <c r="B2072" s="3" t="s">
        <v>282</v>
      </c>
      <c r="C2072" s="3" t="s">
        <v>262</v>
      </c>
      <c r="D2072" s="3" t="s">
        <v>444</v>
      </c>
      <c r="E2072" s="11" t="s">
        <v>144</v>
      </c>
      <c r="F2072" s="3" t="s">
        <v>8</v>
      </c>
      <c r="G2072" s="48" t="s">
        <v>1042</v>
      </c>
      <c r="H2072" s="8" t="s">
        <v>507</v>
      </c>
      <c r="I2072" s="8"/>
      <c r="J2072" s="6" t="s">
        <v>108</v>
      </c>
      <c r="K2072" s="38">
        <v>10197</v>
      </c>
      <c r="L2072" s="4" t="s">
        <v>25</v>
      </c>
      <c r="M2072" s="11">
        <f>_xlfn.NUMBERVALUE(LEFT(Table613612[[#This Row],[Fiscal Year]], 4))</f>
        <v>2017</v>
      </c>
      <c r="N2072" s="42">
        <f t="shared" si="34"/>
        <v>10468.711982864139</v>
      </c>
      <c r="O2072" s="3">
        <v>2070</v>
      </c>
    </row>
    <row r="2073" spans="1:15" x14ac:dyDescent="0.25">
      <c r="A2073" s="3">
        <v>8</v>
      </c>
      <c r="B2073" s="3" t="s">
        <v>282</v>
      </c>
      <c r="C2073" s="3" t="s">
        <v>262</v>
      </c>
      <c r="D2073" s="3" t="s">
        <v>444</v>
      </c>
      <c r="E2073" s="11" t="s">
        <v>144</v>
      </c>
      <c r="F2073" s="3" t="s">
        <v>8</v>
      </c>
      <c r="G2073" s="66" t="s">
        <v>1043</v>
      </c>
      <c r="H2073" s="8" t="s">
        <v>508</v>
      </c>
      <c r="I2073" s="8"/>
      <c r="J2073" s="6" t="s">
        <v>42</v>
      </c>
      <c r="K2073" s="38">
        <v>22114</v>
      </c>
      <c r="L2073" s="4" t="s">
        <v>25</v>
      </c>
      <c r="M2073" s="11">
        <f>_xlfn.NUMBERVALUE(LEFT(Table613612[[#This Row],[Fiscal Year]], 4))</f>
        <v>2017</v>
      </c>
      <c r="N2073" s="42">
        <f t="shared" si="34"/>
        <v>22703.255544675645</v>
      </c>
      <c r="O2073" s="3">
        <v>2071</v>
      </c>
    </row>
    <row r="2074" spans="1:15" x14ac:dyDescent="0.25">
      <c r="A2074" s="3">
        <v>8</v>
      </c>
      <c r="B2074" s="3" t="s">
        <v>282</v>
      </c>
      <c r="C2074" s="3" t="s">
        <v>262</v>
      </c>
      <c r="D2074" s="3" t="s">
        <v>444</v>
      </c>
      <c r="E2074" s="11" t="s">
        <v>144</v>
      </c>
      <c r="F2074" s="3" t="s">
        <v>8</v>
      </c>
      <c r="G2074" s="66" t="s">
        <v>1044</v>
      </c>
      <c r="H2074" s="8" t="s">
        <v>508</v>
      </c>
      <c r="I2074" s="8"/>
      <c r="J2074" s="6" t="s">
        <v>453</v>
      </c>
      <c r="K2074" s="38">
        <v>60000</v>
      </c>
      <c r="L2074" s="4" t="s">
        <v>25</v>
      </c>
      <c r="M2074" s="11">
        <f>_xlfn.NUMBERVALUE(LEFT(Table613612[[#This Row],[Fiscal Year]], 4))</f>
        <v>2017</v>
      </c>
      <c r="N2074" s="42">
        <f t="shared" si="34"/>
        <v>61598.776009791931</v>
      </c>
      <c r="O2074" s="3">
        <v>2072</v>
      </c>
    </row>
    <row r="2075" spans="1:15" x14ac:dyDescent="0.25">
      <c r="A2075" s="3">
        <v>8</v>
      </c>
      <c r="B2075" s="3" t="s">
        <v>282</v>
      </c>
      <c r="C2075" s="3" t="s">
        <v>262</v>
      </c>
      <c r="D2075" s="3" t="s">
        <v>444</v>
      </c>
      <c r="E2075" s="11" t="s">
        <v>144</v>
      </c>
      <c r="F2075" s="3" t="s">
        <v>8</v>
      </c>
      <c r="G2075" s="66" t="s">
        <v>1045</v>
      </c>
      <c r="H2075" s="8" t="s">
        <v>512</v>
      </c>
      <c r="I2075" s="8"/>
      <c r="J2075" s="6" t="s">
        <v>111</v>
      </c>
      <c r="K2075" s="38">
        <v>23129</v>
      </c>
      <c r="L2075" s="4" t="s">
        <v>25</v>
      </c>
      <c r="M2075" s="11">
        <f>_xlfn.NUMBERVALUE(LEFT(Table613612[[#This Row],[Fiscal Year]], 4))</f>
        <v>2017</v>
      </c>
      <c r="N2075" s="42">
        <f t="shared" si="34"/>
        <v>23745.30150550796</v>
      </c>
      <c r="O2075" s="3">
        <v>2073</v>
      </c>
    </row>
    <row r="2076" spans="1:15" x14ac:dyDescent="0.25">
      <c r="A2076" s="3">
        <v>8</v>
      </c>
      <c r="B2076" s="3" t="s">
        <v>282</v>
      </c>
      <c r="C2076" s="3" t="s">
        <v>262</v>
      </c>
      <c r="D2076" s="3" t="s">
        <v>444</v>
      </c>
      <c r="E2076" s="11" t="s">
        <v>144</v>
      </c>
      <c r="F2076" s="3" t="s">
        <v>8</v>
      </c>
      <c r="G2076" s="66" t="s">
        <v>1025</v>
      </c>
      <c r="H2076" s="8" t="s">
        <v>513</v>
      </c>
      <c r="I2076" s="8"/>
      <c r="J2076" s="6" t="s">
        <v>107</v>
      </c>
      <c r="K2076" s="38">
        <v>50449</v>
      </c>
      <c r="L2076" s="4" t="s">
        <v>25</v>
      </c>
      <c r="M2076" s="11">
        <f>_xlfn.NUMBERVALUE(LEFT(Table613612[[#This Row],[Fiscal Year]], 4))</f>
        <v>2017</v>
      </c>
      <c r="N2076" s="42">
        <f t="shared" si="34"/>
        <v>51793.27751529988</v>
      </c>
      <c r="O2076" s="3">
        <v>2074</v>
      </c>
    </row>
    <row r="2077" spans="1:15" x14ac:dyDescent="0.25">
      <c r="A2077" s="3">
        <v>8</v>
      </c>
      <c r="B2077" s="3" t="s">
        <v>282</v>
      </c>
      <c r="C2077" s="3" t="s">
        <v>262</v>
      </c>
      <c r="D2077" s="3" t="s">
        <v>444</v>
      </c>
      <c r="E2077" s="11" t="s">
        <v>144</v>
      </c>
      <c r="F2077" s="3" t="s">
        <v>8</v>
      </c>
      <c r="G2077" s="66" t="s">
        <v>1056</v>
      </c>
      <c r="H2077" s="8" t="s">
        <v>509</v>
      </c>
      <c r="I2077" s="8"/>
      <c r="J2077" s="6" t="s">
        <v>109</v>
      </c>
      <c r="K2077" s="38">
        <v>87186</v>
      </c>
      <c r="L2077" s="4" t="s">
        <v>25</v>
      </c>
      <c r="M2077" s="11">
        <f>_xlfn.NUMBERVALUE(LEFT(Table613612[[#This Row],[Fiscal Year]], 4))</f>
        <v>2017</v>
      </c>
      <c r="N2077" s="42">
        <f t="shared" si="34"/>
        <v>89509.181419828659</v>
      </c>
      <c r="O2077" s="3">
        <v>2075</v>
      </c>
    </row>
    <row r="2078" spans="1:15" x14ac:dyDescent="0.25">
      <c r="A2078" s="3">
        <v>8</v>
      </c>
      <c r="B2078" s="3" t="s">
        <v>282</v>
      </c>
      <c r="C2078" s="3" t="s">
        <v>262</v>
      </c>
      <c r="D2078" s="3" t="s">
        <v>444</v>
      </c>
      <c r="E2078" s="11" t="s">
        <v>144</v>
      </c>
      <c r="F2078" s="3" t="s">
        <v>8</v>
      </c>
      <c r="G2078" s="66" t="s">
        <v>1057</v>
      </c>
      <c r="H2078" s="8" t="s">
        <v>510</v>
      </c>
      <c r="I2078" s="8"/>
      <c r="J2078" s="6" t="s">
        <v>106</v>
      </c>
      <c r="K2078" s="38">
        <v>127578</v>
      </c>
      <c r="L2078" s="4" t="s">
        <v>25</v>
      </c>
      <c r="M2078" s="11">
        <f>_xlfn.NUMBERVALUE(LEFT(Table613612[[#This Row],[Fiscal Year]], 4))</f>
        <v>2017</v>
      </c>
      <c r="N2078" s="42">
        <f t="shared" si="34"/>
        <v>130977.47742962057</v>
      </c>
      <c r="O2078" s="3">
        <v>2076</v>
      </c>
    </row>
    <row r="2079" spans="1:15" x14ac:dyDescent="0.25">
      <c r="A2079" s="3">
        <v>8</v>
      </c>
      <c r="B2079" s="3" t="s">
        <v>282</v>
      </c>
      <c r="C2079" s="3" t="s">
        <v>262</v>
      </c>
      <c r="D2079" s="3" t="s">
        <v>444</v>
      </c>
      <c r="E2079" s="11" t="s">
        <v>144</v>
      </c>
      <c r="F2079" s="3" t="s">
        <v>8</v>
      </c>
      <c r="G2079" s="66" t="s">
        <v>1047</v>
      </c>
      <c r="H2079" s="8"/>
      <c r="I2079" s="8"/>
      <c r="J2079" s="6" t="s">
        <v>455</v>
      </c>
      <c r="K2079" s="38">
        <v>140176</v>
      </c>
      <c r="L2079" s="4" t="s">
        <v>25</v>
      </c>
      <c r="M2079" s="11">
        <f>_xlfn.NUMBERVALUE(LEFT(Table613612[[#This Row],[Fiscal Year]], 4))</f>
        <v>2017</v>
      </c>
      <c r="N2079" s="42">
        <f t="shared" si="34"/>
        <v>143911.16709914323</v>
      </c>
      <c r="O2079" s="3">
        <v>2077</v>
      </c>
    </row>
    <row r="2080" spans="1:15" x14ac:dyDescent="0.25">
      <c r="E2080" s="11"/>
      <c r="G2080" s="66"/>
      <c r="H2080" s="8"/>
      <c r="I2080" s="8"/>
      <c r="J2080" s="6"/>
      <c r="L2080" s="4"/>
      <c r="O2080" s="3">
        <v>2078</v>
      </c>
    </row>
    <row r="2081" spans="5:12" x14ac:dyDescent="0.25">
      <c r="E2081" s="11"/>
      <c r="G2081" s="48"/>
      <c r="H2081" s="8"/>
      <c r="I2081" s="8"/>
      <c r="J2081" s="6"/>
      <c r="K2081" s="58"/>
      <c r="L2081" s="4"/>
    </row>
    <row r="2082" spans="5:12" x14ac:dyDescent="0.25">
      <c r="E2082" s="11"/>
      <c r="G2082" s="66"/>
      <c r="H2082" s="8"/>
      <c r="I2082" s="8"/>
      <c r="J2082" s="6"/>
      <c r="L2082" s="4"/>
    </row>
    <row r="2083" spans="5:12" x14ac:dyDescent="0.25">
      <c r="E2083" s="11"/>
      <c r="G2083" s="66"/>
      <c r="H2083" s="8"/>
      <c r="I2083" s="8"/>
      <c r="J2083" s="6"/>
      <c r="L2083" s="4"/>
    </row>
    <row r="2084" spans="5:12" x14ac:dyDescent="0.25">
      <c r="E2084" s="11"/>
      <c r="G2084" s="66"/>
      <c r="H2084" s="8"/>
      <c r="I2084" s="8"/>
      <c r="J2084" s="6"/>
      <c r="L2084" s="4"/>
    </row>
    <row r="2085" spans="5:12" x14ac:dyDescent="0.25">
      <c r="E2085" s="11"/>
      <c r="G2085" s="66"/>
      <c r="H2085" s="8"/>
      <c r="I2085" s="8"/>
      <c r="J2085" s="6"/>
      <c r="L2085" s="4"/>
    </row>
    <row r="2086" spans="5:12" x14ac:dyDescent="0.25">
      <c r="E2086" s="11"/>
      <c r="G2086" s="48"/>
      <c r="H2086" s="8"/>
      <c r="I2086" s="8"/>
      <c r="J2086" s="6"/>
      <c r="L2086" s="4"/>
    </row>
    <row r="2087" spans="5:12" x14ac:dyDescent="0.25">
      <c r="E2087" s="11"/>
      <c r="G2087" s="66"/>
      <c r="H2087" s="8"/>
      <c r="I2087" s="8"/>
      <c r="J2087" s="6"/>
      <c r="L2087" s="4"/>
    </row>
    <row r="2088" spans="5:12" x14ac:dyDescent="0.25">
      <c r="E2088" s="11"/>
      <c r="G2088" s="66"/>
      <c r="H2088" s="8"/>
      <c r="I2088" s="8"/>
      <c r="J2088" s="6"/>
      <c r="L2088" s="4"/>
    </row>
    <row r="2089" spans="5:12" x14ac:dyDescent="0.25">
      <c r="E2089" s="11"/>
      <c r="G2089" s="66"/>
      <c r="H2089" s="8"/>
      <c r="I2089" s="8"/>
      <c r="J2089" s="6"/>
      <c r="L2089" s="4"/>
    </row>
    <row r="2090" spans="5:12" x14ac:dyDescent="0.25">
      <c r="E2090" s="11"/>
      <c r="G2090" s="66"/>
      <c r="H2090" s="8"/>
      <c r="I2090" s="8"/>
      <c r="J2090" s="6"/>
      <c r="L2090" s="4"/>
    </row>
    <row r="2091" spans="5:12" x14ac:dyDescent="0.25">
      <c r="E2091" s="11"/>
      <c r="G2091" s="66"/>
      <c r="H2091" s="8"/>
      <c r="I2091" s="8"/>
      <c r="J2091" s="6"/>
      <c r="L2091" s="4"/>
    </row>
    <row r="2092" spans="5:12" x14ac:dyDescent="0.25">
      <c r="E2092" s="11"/>
      <c r="G2092" s="66"/>
      <c r="H2092" s="8"/>
      <c r="I2092" s="8"/>
      <c r="J2092" s="6"/>
      <c r="L2092" s="4"/>
    </row>
    <row r="2093" spans="5:12" x14ac:dyDescent="0.25">
      <c r="E2093" s="11"/>
      <c r="G2093" s="66"/>
      <c r="H2093" s="8"/>
      <c r="I2093" s="8"/>
      <c r="J2093" s="6"/>
      <c r="L2093" s="4"/>
    </row>
    <row r="2094" spans="5:12" x14ac:dyDescent="0.25">
      <c r="E2094" s="11"/>
      <c r="G2094" s="66"/>
      <c r="H2094" s="8"/>
      <c r="I2094" s="8"/>
      <c r="J2094" s="6"/>
      <c r="L2094" s="4"/>
    </row>
    <row r="2095" spans="5:12" x14ac:dyDescent="0.25">
      <c r="E2095" s="11"/>
      <c r="G2095" s="66"/>
      <c r="H2095" s="8"/>
      <c r="I2095" s="8"/>
      <c r="J2095" s="6"/>
      <c r="L2095" s="4"/>
    </row>
    <row r="2096" spans="5:12" x14ac:dyDescent="0.25">
      <c r="E2096" s="11"/>
      <c r="G2096" s="66"/>
      <c r="H2096" s="8"/>
      <c r="I2096" s="8"/>
      <c r="J2096" s="6"/>
      <c r="L2096" s="4"/>
    </row>
    <row r="2097" spans="5:12" x14ac:dyDescent="0.25">
      <c r="E2097" s="11"/>
      <c r="G2097" s="48"/>
      <c r="H2097" s="8"/>
      <c r="I2097" s="8"/>
      <c r="J2097" s="6"/>
      <c r="L2097" s="4"/>
    </row>
    <row r="2098" spans="5:12" x14ac:dyDescent="0.25">
      <c r="E2098" s="11"/>
      <c r="G2098" s="66"/>
      <c r="H2098" s="8"/>
      <c r="I2098" s="8"/>
      <c r="J2098" s="6"/>
      <c r="L2098" s="4"/>
    </row>
    <row r="2099" spans="5:12" x14ac:dyDescent="0.25">
      <c r="E2099" s="11"/>
      <c r="G2099" s="66"/>
      <c r="H2099" s="8"/>
      <c r="I2099" s="8"/>
      <c r="J2099" s="6"/>
      <c r="L2099" s="4"/>
    </row>
    <row r="2100" spans="5:12" x14ac:dyDescent="0.25">
      <c r="E2100" s="11"/>
      <c r="G2100" s="66"/>
      <c r="H2100" s="8"/>
      <c r="I2100" s="8"/>
      <c r="J2100" s="6"/>
      <c r="L2100" s="4"/>
    </row>
    <row r="2101" spans="5:12" x14ac:dyDescent="0.25">
      <c r="E2101" s="11"/>
      <c r="G2101" s="66"/>
      <c r="H2101" s="8"/>
      <c r="I2101" s="8"/>
      <c r="J2101" s="6"/>
      <c r="L2101" s="4"/>
    </row>
    <row r="2102" spans="5:12" x14ac:dyDescent="0.25">
      <c r="E2102" s="11"/>
      <c r="G2102" s="48"/>
      <c r="H2102" s="8"/>
      <c r="I2102" s="8"/>
      <c r="J2102" s="6"/>
      <c r="L2102" s="4"/>
    </row>
    <row r="2103" spans="5:12" x14ac:dyDescent="0.25">
      <c r="E2103" s="11"/>
      <c r="G2103" s="66"/>
      <c r="H2103" s="8"/>
      <c r="I2103" s="8"/>
      <c r="J2103" s="6"/>
      <c r="L2103" s="4"/>
    </row>
    <row r="2104" spans="5:12" x14ac:dyDescent="0.25">
      <c r="E2104" s="11"/>
      <c r="G2104" s="66"/>
      <c r="H2104" s="8"/>
      <c r="I2104" s="8"/>
      <c r="J2104" s="6"/>
      <c r="L2104" s="4"/>
    </row>
    <row r="2105" spans="5:12" x14ac:dyDescent="0.25">
      <c r="E2105" s="11"/>
      <c r="G2105" s="66"/>
      <c r="H2105" s="8"/>
      <c r="I2105" s="8"/>
      <c r="J2105" s="6"/>
      <c r="L2105" s="4"/>
    </row>
    <row r="2106" spans="5:12" x14ac:dyDescent="0.25">
      <c r="E2106" s="11"/>
      <c r="G2106" s="66"/>
      <c r="H2106" s="8"/>
      <c r="I2106" s="8"/>
      <c r="J2106" s="6"/>
      <c r="L2106" s="4"/>
    </row>
    <row r="2107" spans="5:12" x14ac:dyDescent="0.25">
      <c r="E2107" s="11"/>
      <c r="G2107" s="66"/>
      <c r="H2107" s="8"/>
      <c r="I2107" s="8"/>
      <c r="J2107" s="6"/>
      <c r="L2107" s="4"/>
    </row>
    <row r="2108" spans="5:12" x14ac:dyDescent="0.25">
      <c r="E2108" s="11"/>
      <c r="G2108" s="66"/>
      <c r="H2108" s="8"/>
      <c r="I2108" s="8"/>
      <c r="J2108" s="6"/>
      <c r="L2108" s="4"/>
    </row>
    <row r="2109" spans="5:12" x14ac:dyDescent="0.25">
      <c r="E2109" s="11"/>
      <c r="G2109" s="66"/>
      <c r="H2109" s="8"/>
      <c r="I2109" s="8"/>
      <c r="J2109" s="6"/>
      <c r="L2109" s="4"/>
    </row>
    <row r="2110" spans="5:12" x14ac:dyDescent="0.25">
      <c r="E2110" s="11"/>
      <c r="G2110" s="66"/>
      <c r="H2110" s="8"/>
      <c r="I2110" s="8"/>
      <c r="J2110" s="6"/>
      <c r="L2110" s="4"/>
    </row>
    <row r="2111" spans="5:12" x14ac:dyDescent="0.25">
      <c r="E2111" s="11"/>
      <c r="G2111" s="66"/>
      <c r="H2111" s="8"/>
      <c r="I2111" s="8"/>
      <c r="J2111" s="6"/>
      <c r="L2111" s="4"/>
    </row>
    <row r="2112" spans="5:12" x14ac:dyDescent="0.25">
      <c r="E2112" s="11"/>
      <c r="G2112" s="66"/>
      <c r="H2112" s="8"/>
      <c r="I2112" s="8"/>
      <c r="J2112" s="6"/>
      <c r="L2112" s="4"/>
    </row>
    <row r="2113" spans="1:15" x14ac:dyDescent="0.25">
      <c r="E2113" s="11"/>
      <c r="G2113" s="66"/>
      <c r="H2113" s="8"/>
      <c r="I2113" s="8"/>
      <c r="J2113" s="6"/>
      <c r="L2113" s="4"/>
      <c r="O2113" s="3">
        <v>2111</v>
      </c>
    </row>
    <row r="2114" spans="1:15" x14ac:dyDescent="0.25">
      <c r="A2114" s="5">
        <v>9</v>
      </c>
      <c r="B2114" s="3" t="s">
        <v>284</v>
      </c>
      <c r="C2114" s="3" t="s">
        <v>262</v>
      </c>
      <c r="D2114" s="3" t="s">
        <v>444</v>
      </c>
      <c r="E2114" s="11" t="s">
        <v>144</v>
      </c>
      <c r="F2114" s="3" t="s">
        <v>8</v>
      </c>
      <c r="G2114" s="48" t="s">
        <v>1026</v>
      </c>
      <c r="H2114" s="8"/>
      <c r="I2114" s="8" t="s">
        <v>640</v>
      </c>
      <c r="J2114" s="6" t="s">
        <v>76</v>
      </c>
      <c r="K2114" s="38">
        <v>849154</v>
      </c>
      <c r="L2114" s="4" t="s">
        <v>25</v>
      </c>
      <c r="M2114" s="11">
        <f>_xlfn.NUMBERVALUE(LEFT(Table613612[[#This Row],[Fiscal Year]], 4))</f>
        <v>2017</v>
      </c>
      <c r="N2114" s="42">
        <f t="shared" ref="N2114:N2131" si="35">K2114*(1+VLOOKUP(M2114,$AF$8:$AH$31,3,0))</f>
        <v>871780.78406364762</v>
      </c>
      <c r="O2114" s="3">
        <v>2112</v>
      </c>
    </row>
    <row r="2115" spans="1:15" x14ac:dyDescent="0.25">
      <c r="A2115" s="3">
        <v>9</v>
      </c>
      <c r="B2115" s="3" t="s">
        <v>284</v>
      </c>
      <c r="C2115" s="3" t="s">
        <v>262</v>
      </c>
      <c r="D2115" s="3" t="s">
        <v>444</v>
      </c>
      <c r="E2115" s="11" t="s">
        <v>144</v>
      </c>
      <c r="F2115" s="3" t="s">
        <v>8</v>
      </c>
      <c r="G2115" s="66" t="s">
        <v>1037</v>
      </c>
      <c r="H2115" s="8"/>
      <c r="I2115" s="8"/>
      <c r="J2115" s="6" t="s">
        <v>76</v>
      </c>
      <c r="K2115" s="38">
        <v>0</v>
      </c>
      <c r="L2115" s="4" t="s">
        <v>25</v>
      </c>
      <c r="M2115" s="11">
        <f>_xlfn.NUMBERVALUE(LEFT(Table613612[[#This Row],[Fiscal Year]], 4))</f>
        <v>2017</v>
      </c>
      <c r="N2115" s="42">
        <f t="shared" si="35"/>
        <v>0</v>
      </c>
      <c r="O2115" s="3">
        <v>2113</v>
      </c>
    </row>
    <row r="2116" spans="1:15" x14ac:dyDescent="0.25">
      <c r="A2116" s="3">
        <v>9</v>
      </c>
      <c r="B2116" s="3" t="s">
        <v>284</v>
      </c>
      <c r="C2116" s="3" t="s">
        <v>262</v>
      </c>
      <c r="D2116" s="3" t="s">
        <v>444</v>
      </c>
      <c r="E2116" s="11" t="s">
        <v>144</v>
      </c>
      <c r="F2116" s="3" t="s">
        <v>8</v>
      </c>
      <c r="G2116" s="66" t="s">
        <v>1010</v>
      </c>
      <c r="H2116" s="8"/>
      <c r="I2116" s="8"/>
      <c r="J2116" s="6" t="s">
        <v>76</v>
      </c>
      <c r="K2116" s="38">
        <v>0</v>
      </c>
      <c r="L2116" s="4" t="s">
        <v>25</v>
      </c>
      <c r="M2116" s="11">
        <f>_xlfn.NUMBERVALUE(LEFT(Table613612[[#This Row],[Fiscal Year]], 4))</f>
        <v>2017</v>
      </c>
      <c r="N2116" s="42">
        <f t="shared" si="35"/>
        <v>0</v>
      </c>
      <c r="O2116" s="3">
        <v>2114</v>
      </c>
    </row>
    <row r="2117" spans="1:15" x14ac:dyDescent="0.25">
      <c r="A2117" s="3">
        <v>9</v>
      </c>
      <c r="B2117" s="3" t="s">
        <v>284</v>
      </c>
      <c r="C2117" s="3" t="s">
        <v>262</v>
      </c>
      <c r="D2117" s="3" t="s">
        <v>444</v>
      </c>
      <c r="E2117" s="11" t="s">
        <v>144</v>
      </c>
      <c r="F2117" s="3" t="s">
        <v>8</v>
      </c>
      <c r="G2117" s="48" t="s">
        <v>1058</v>
      </c>
      <c r="H2117" s="8" t="s">
        <v>511</v>
      </c>
      <c r="I2117" s="8"/>
      <c r="J2117" s="6" t="s">
        <v>110</v>
      </c>
      <c r="K2117" s="38">
        <v>223430</v>
      </c>
      <c r="L2117" s="4" t="s">
        <v>25</v>
      </c>
      <c r="M2117" s="11">
        <f>_xlfn.NUMBERVALUE(LEFT(Table613612[[#This Row],[Fiscal Year]], 4))</f>
        <v>2017</v>
      </c>
      <c r="N2117" s="42">
        <f t="shared" si="35"/>
        <v>229383.57539779684</v>
      </c>
      <c r="O2117" s="3">
        <v>2115</v>
      </c>
    </row>
    <row r="2118" spans="1:15" x14ac:dyDescent="0.25">
      <c r="A2118" s="3">
        <v>9</v>
      </c>
      <c r="B2118" s="3" t="s">
        <v>284</v>
      </c>
      <c r="C2118" s="3" t="s">
        <v>262</v>
      </c>
      <c r="D2118" s="3" t="s">
        <v>444</v>
      </c>
      <c r="E2118" s="11" t="s">
        <v>144</v>
      </c>
      <c r="F2118" s="3" t="s">
        <v>8</v>
      </c>
      <c r="G2118" s="48" t="s">
        <v>1038</v>
      </c>
      <c r="H2118" s="8" t="s">
        <v>507</v>
      </c>
      <c r="I2118" s="8"/>
      <c r="J2118" s="6" t="s">
        <v>108</v>
      </c>
      <c r="K2118" s="38">
        <v>96264</v>
      </c>
      <c r="L2118" s="4" t="s">
        <v>25</v>
      </c>
      <c r="M2118" s="11">
        <f>_xlfn.NUMBERVALUE(LEFT(Table613612[[#This Row],[Fiscal Year]], 4))</f>
        <v>2017</v>
      </c>
      <c r="N2118" s="42">
        <f t="shared" si="35"/>
        <v>98829.076230110164</v>
      </c>
      <c r="O2118" s="3">
        <v>2116</v>
      </c>
    </row>
    <row r="2119" spans="1:15" x14ac:dyDescent="0.25">
      <c r="A2119" s="3">
        <v>9</v>
      </c>
      <c r="B2119" s="3" t="s">
        <v>284</v>
      </c>
      <c r="C2119" s="3" t="s">
        <v>262</v>
      </c>
      <c r="D2119" s="3" t="s">
        <v>444</v>
      </c>
      <c r="E2119" s="11" t="s">
        <v>144</v>
      </c>
      <c r="F2119" s="3" t="s">
        <v>8</v>
      </c>
      <c r="G2119" s="48" t="s">
        <v>1039</v>
      </c>
      <c r="H2119" s="8" t="s">
        <v>507</v>
      </c>
      <c r="I2119" s="8"/>
      <c r="J2119" s="6" t="s">
        <v>108</v>
      </c>
      <c r="K2119" s="38">
        <v>259476</v>
      </c>
      <c r="L2119" s="4" t="s">
        <v>25</v>
      </c>
      <c r="M2119" s="11">
        <f>_xlfn.NUMBERVALUE(LEFT(Table613612[[#This Row],[Fiscal Year]], 4))</f>
        <v>2017</v>
      </c>
      <c r="N2119" s="42">
        <f t="shared" si="35"/>
        <v>266390.06673194619</v>
      </c>
      <c r="O2119" s="3">
        <v>2117</v>
      </c>
    </row>
    <row r="2120" spans="1:15" x14ac:dyDescent="0.25">
      <c r="A2120" s="3">
        <v>9</v>
      </c>
      <c r="B2120" s="3" t="s">
        <v>284</v>
      </c>
      <c r="C2120" s="3" t="s">
        <v>262</v>
      </c>
      <c r="D2120" s="3" t="s">
        <v>444</v>
      </c>
      <c r="E2120" s="11" t="s">
        <v>144</v>
      </c>
      <c r="F2120" s="3" t="s">
        <v>8</v>
      </c>
      <c r="G2120" s="48" t="s">
        <v>1040</v>
      </c>
      <c r="H2120" s="8" t="s">
        <v>507</v>
      </c>
      <c r="I2120" s="8"/>
      <c r="J2120" s="6" t="s">
        <v>108</v>
      </c>
      <c r="K2120" s="38">
        <v>421436</v>
      </c>
      <c r="L2120" s="4" t="s">
        <v>25</v>
      </c>
      <c r="M2120" s="11">
        <f>_xlfn.NUMBERVALUE(LEFT(Table613612[[#This Row],[Fiscal Year]], 4))</f>
        <v>2017</v>
      </c>
      <c r="N2120" s="42">
        <f t="shared" si="35"/>
        <v>432665.69610771118</v>
      </c>
      <c r="O2120" s="3">
        <v>2118</v>
      </c>
    </row>
    <row r="2121" spans="1:15" x14ac:dyDescent="0.25">
      <c r="A2121" s="3">
        <v>9</v>
      </c>
      <c r="B2121" s="3" t="s">
        <v>284</v>
      </c>
      <c r="C2121" s="3" t="s">
        <v>262</v>
      </c>
      <c r="D2121" s="3" t="s">
        <v>444</v>
      </c>
      <c r="E2121" s="11" t="s">
        <v>144</v>
      </c>
      <c r="F2121" s="3" t="s">
        <v>8</v>
      </c>
      <c r="G2121" s="48" t="s">
        <v>1041</v>
      </c>
      <c r="H2121" s="8" t="s">
        <v>507</v>
      </c>
      <c r="I2121" s="8"/>
      <c r="J2121" s="6" t="s">
        <v>108</v>
      </c>
      <c r="K2121" s="38">
        <v>312000</v>
      </c>
      <c r="L2121" s="4" t="s">
        <v>25</v>
      </c>
      <c r="M2121" s="11">
        <f>_xlfn.NUMBERVALUE(LEFT(Table613612[[#This Row],[Fiscal Year]], 4))</f>
        <v>2017</v>
      </c>
      <c r="N2121" s="42">
        <f t="shared" si="35"/>
        <v>320313.63525091804</v>
      </c>
      <c r="O2121" s="3">
        <v>2119</v>
      </c>
    </row>
    <row r="2122" spans="1:15" x14ac:dyDescent="0.25">
      <c r="A2122" s="3">
        <v>9</v>
      </c>
      <c r="B2122" s="3" t="s">
        <v>284</v>
      </c>
      <c r="C2122" s="3" t="s">
        <v>262</v>
      </c>
      <c r="D2122" s="3" t="s">
        <v>444</v>
      </c>
      <c r="E2122" s="11" t="s">
        <v>144</v>
      </c>
      <c r="F2122" s="3" t="s">
        <v>8</v>
      </c>
      <c r="G2122" s="48" t="s">
        <v>1042</v>
      </c>
      <c r="H2122" s="8" t="s">
        <v>507</v>
      </c>
      <c r="I2122" s="8"/>
      <c r="J2122" s="6" t="s">
        <v>108</v>
      </c>
      <c r="K2122" s="38">
        <v>38803</v>
      </c>
      <c r="L2122" s="4" t="s">
        <v>25</v>
      </c>
      <c r="M2122" s="11">
        <f>_xlfn.NUMBERVALUE(LEFT(Table613612[[#This Row],[Fiscal Year]], 4))</f>
        <v>2017</v>
      </c>
      <c r="N2122" s="42">
        <f t="shared" si="35"/>
        <v>39836.955091799267</v>
      </c>
      <c r="O2122" s="3">
        <v>2120</v>
      </c>
    </row>
    <row r="2123" spans="1:15" x14ac:dyDescent="0.25">
      <c r="A2123" s="3">
        <v>9</v>
      </c>
      <c r="B2123" s="3" t="s">
        <v>284</v>
      </c>
      <c r="C2123" s="3" t="s">
        <v>262</v>
      </c>
      <c r="D2123" s="3" t="s">
        <v>444</v>
      </c>
      <c r="E2123" s="11" t="s">
        <v>144</v>
      </c>
      <c r="F2123" s="3" t="s">
        <v>8</v>
      </c>
      <c r="G2123" s="66" t="s">
        <v>1043</v>
      </c>
      <c r="H2123" s="8" t="s">
        <v>508</v>
      </c>
      <c r="I2123" s="8"/>
      <c r="J2123" s="6" t="s">
        <v>42</v>
      </c>
      <c r="K2123" s="38">
        <v>51602</v>
      </c>
      <c r="L2123" s="4" t="s">
        <v>25</v>
      </c>
      <c r="M2123" s="11">
        <f>_xlfn.NUMBERVALUE(LEFT(Table613612[[#This Row],[Fiscal Year]], 4))</f>
        <v>2017</v>
      </c>
      <c r="N2123" s="42">
        <f t="shared" si="35"/>
        <v>52977.00066095472</v>
      </c>
      <c r="O2123" s="3">
        <v>2121</v>
      </c>
    </row>
    <row r="2124" spans="1:15" x14ac:dyDescent="0.25">
      <c r="A2124" s="3">
        <v>9</v>
      </c>
      <c r="B2124" s="3" t="s">
        <v>284</v>
      </c>
      <c r="C2124" s="3" t="s">
        <v>262</v>
      </c>
      <c r="D2124" s="3" t="s">
        <v>444</v>
      </c>
      <c r="E2124" s="11" t="s">
        <v>144</v>
      </c>
      <c r="F2124" s="3" t="s">
        <v>8</v>
      </c>
      <c r="G2124" s="66" t="s">
        <v>1044</v>
      </c>
      <c r="H2124" s="8" t="s">
        <v>508</v>
      </c>
      <c r="I2124" s="8"/>
      <c r="J2124" s="6" t="s">
        <v>453</v>
      </c>
      <c r="K2124" s="38">
        <v>76000</v>
      </c>
      <c r="L2124" s="4" t="s">
        <v>25</v>
      </c>
      <c r="M2124" s="11">
        <f>_xlfn.NUMBERVALUE(LEFT(Table613612[[#This Row],[Fiscal Year]], 4))</f>
        <v>2017</v>
      </c>
      <c r="N2124" s="42">
        <f t="shared" si="35"/>
        <v>78025.116279069771</v>
      </c>
      <c r="O2124" s="3">
        <v>2122</v>
      </c>
    </row>
    <row r="2125" spans="1:15" x14ac:dyDescent="0.25">
      <c r="A2125" s="3">
        <v>9</v>
      </c>
      <c r="B2125" s="3" t="s">
        <v>284</v>
      </c>
      <c r="C2125" s="3" t="s">
        <v>262</v>
      </c>
      <c r="D2125" s="3" t="s">
        <v>444</v>
      </c>
      <c r="E2125" s="11" t="s">
        <v>144</v>
      </c>
      <c r="F2125" s="3" t="s">
        <v>8</v>
      </c>
      <c r="G2125" s="66" t="s">
        <v>1045</v>
      </c>
      <c r="H2125" s="8" t="s">
        <v>512</v>
      </c>
      <c r="I2125" s="8"/>
      <c r="J2125" s="6" t="s">
        <v>111</v>
      </c>
      <c r="K2125" s="38">
        <v>1575</v>
      </c>
      <c r="L2125" s="4" t="s">
        <v>25</v>
      </c>
      <c r="M2125" s="11">
        <f>_xlfn.NUMBERVALUE(LEFT(Table613612[[#This Row],[Fiscal Year]], 4))</f>
        <v>2017</v>
      </c>
      <c r="N2125" s="42">
        <f t="shared" si="35"/>
        <v>1616.9678702570382</v>
      </c>
      <c r="O2125" s="3">
        <v>2123</v>
      </c>
    </row>
    <row r="2126" spans="1:15" x14ac:dyDescent="0.25">
      <c r="A2126" s="3">
        <v>9</v>
      </c>
      <c r="B2126" s="3" t="s">
        <v>284</v>
      </c>
      <c r="C2126" s="3" t="s">
        <v>262</v>
      </c>
      <c r="D2126" s="3" t="s">
        <v>444</v>
      </c>
      <c r="E2126" s="11" t="s">
        <v>144</v>
      </c>
      <c r="F2126" s="3" t="s">
        <v>8</v>
      </c>
      <c r="G2126" s="66" t="s">
        <v>1025</v>
      </c>
      <c r="H2126" s="8" t="s">
        <v>513</v>
      </c>
      <c r="I2126" s="8"/>
      <c r="J2126" s="6" t="s">
        <v>107</v>
      </c>
      <c r="K2126" s="38">
        <v>12186</v>
      </c>
      <c r="L2126" s="4" t="s">
        <v>25</v>
      </c>
      <c r="M2126" s="11">
        <f>_xlfn.NUMBERVALUE(LEFT(Table613612[[#This Row],[Fiscal Year]], 4))</f>
        <v>2017</v>
      </c>
      <c r="N2126" s="42">
        <f t="shared" si="35"/>
        <v>12510.71140758874</v>
      </c>
      <c r="O2126" s="3">
        <v>2124</v>
      </c>
    </row>
    <row r="2127" spans="1:15" x14ac:dyDescent="0.25">
      <c r="A2127" s="3">
        <v>9</v>
      </c>
      <c r="B2127" s="3" t="s">
        <v>284</v>
      </c>
      <c r="C2127" s="3" t="s">
        <v>262</v>
      </c>
      <c r="D2127" s="3" t="s">
        <v>444</v>
      </c>
      <c r="E2127" s="11" t="s">
        <v>144</v>
      </c>
      <c r="F2127" s="3" t="s">
        <v>8</v>
      </c>
      <c r="G2127" s="66" t="s">
        <v>1020</v>
      </c>
      <c r="H2127" s="8" t="s">
        <v>509</v>
      </c>
      <c r="I2127" s="8"/>
      <c r="J2127" s="6" t="s">
        <v>109</v>
      </c>
      <c r="K2127" s="38">
        <v>33470</v>
      </c>
      <c r="L2127" s="4" t="s">
        <v>25</v>
      </c>
      <c r="M2127" s="11">
        <f>_xlfn.NUMBERVALUE(LEFT(Table613612[[#This Row],[Fiscal Year]], 4))</f>
        <v>2017</v>
      </c>
      <c r="N2127" s="42">
        <f t="shared" si="35"/>
        <v>34361.8505507956</v>
      </c>
      <c r="O2127" s="3">
        <v>2125</v>
      </c>
    </row>
    <row r="2128" spans="1:15" x14ac:dyDescent="0.25">
      <c r="A2128" s="3">
        <v>9</v>
      </c>
      <c r="B2128" s="3" t="s">
        <v>284</v>
      </c>
      <c r="C2128" s="3" t="s">
        <v>262</v>
      </c>
      <c r="D2128" s="3" t="s">
        <v>444</v>
      </c>
      <c r="E2128" s="11" t="s">
        <v>144</v>
      </c>
      <c r="F2128" s="3" t="s">
        <v>8</v>
      </c>
      <c r="G2128" s="66" t="s">
        <v>1046</v>
      </c>
      <c r="H2128" s="8" t="s">
        <v>510</v>
      </c>
      <c r="I2128" s="8"/>
      <c r="J2128" s="6" t="s">
        <v>106</v>
      </c>
      <c r="K2128" s="38">
        <v>0</v>
      </c>
      <c r="L2128" s="4" t="s">
        <v>25</v>
      </c>
      <c r="M2128" s="11">
        <f>_xlfn.NUMBERVALUE(LEFT(Table613612[[#This Row],[Fiscal Year]], 4))</f>
        <v>2017</v>
      </c>
      <c r="N2128" s="42">
        <f t="shared" si="35"/>
        <v>0</v>
      </c>
      <c r="O2128" s="3">
        <v>2126</v>
      </c>
    </row>
    <row r="2129" spans="1:15" x14ac:dyDescent="0.25">
      <c r="A2129" s="3">
        <v>9</v>
      </c>
      <c r="B2129" s="3" t="s">
        <v>284</v>
      </c>
      <c r="C2129" s="3" t="s">
        <v>262</v>
      </c>
      <c r="D2129" s="3" t="s">
        <v>444</v>
      </c>
      <c r="E2129" s="11" t="s">
        <v>144</v>
      </c>
      <c r="F2129" s="3" t="s">
        <v>8</v>
      </c>
      <c r="G2129" s="66" t="s">
        <v>1047</v>
      </c>
      <c r="H2129" s="8"/>
      <c r="I2129" s="8"/>
      <c r="J2129" s="6" t="s">
        <v>455</v>
      </c>
      <c r="K2129" s="38">
        <v>269480</v>
      </c>
      <c r="L2129" s="4" t="s">
        <v>25</v>
      </c>
      <c r="M2129" s="11">
        <f>_xlfn.NUMBERVALUE(LEFT(Table613612[[#This Row],[Fiscal Year]], 4))</f>
        <v>2017</v>
      </c>
      <c r="N2129" s="42">
        <f>K2129*(1+VLOOKUP(M2129,$AF$8:$AH$31,3,0))</f>
        <v>276660.63598531217</v>
      </c>
      <c r="O2129" s="3">
        <v>2127</v>
      </c>
    </row>
    <row r="2130" spans="1:15" x14ac:dyDescent="0.25">
      <c r="A2130" s="3">
        <v>9</v>
      </c>
      <c r="B2130" s="3" t="s">
        <v>284</v>
      </c>
      <c r="C2130" s="3" t="s">
        <v>262</v>
      </c>
      <c r="D2130" s="3" t="s">
        <v>444</v>
      </c>
      <c r="E2130" s="11" t="s">
        <v>144</v>
      </c>
      <c r="F2130" s="3" t="s">
        <v>8</v>
      </c>
      <c r="G2130" s="48" t="s">
        <v>1023</v>
      </c>
      <c r="H2130" s="8"/>
      <c r="I2130" s="8"/>
      <c r="J2130" s="6" t="s">
        <v>453</v>
      </c>
      <c r="K2130" s="38">
        <v>0</v>
      </c>
      <c r="L2130" s="4" t="s">
        <v>25</v>
      </c>
      <c r="M2130" s="11">
        <f>_xlfn.NUMBERVALUE(LEFT(Table613612[[#This Row],[Fiscal Year]], 4))</f>
        <v>2017</v>
      </c>
      <c r="N2130" s="42">
        <f t="shared" si="35"/>
        <v>0</v>
      </c>
      <c r="O2130" s="3">
        <v>2128</v>
      </c>
    </row>
    <row r="2131" spans="1:15" x14ac:dyDescent="0.25">
      <c r="A2131" s="3">
        <v>9</v>
      </c>
      <c r="B2131" s="3" t="s">
        <v>284</v>
      </c>
      <c r="C2131" s="3" t="s">
        <v>262</v>
      </c>
      <c r="D2131" s="3" t="s">
        <v>444</v>
      </c>
      <c r="E2131" s="11" t="s">
        <v>144</v>
      </c>
      <c r="F2131" s="3" t="s">
        <v>8</v>
      </c>
      <c r="G2131" s="63" t="s">
        <v>1059</v>
      </c>
      <c r="H2131" s="8"/>
      <c r="I2131" s="8"/>
      <c r="J2131" s="6" t="s">
        <v>455</v>
      </c>
      <c r="K2131" s="38">
        <v>0</v>
      </c>
      <c r="L2131" s="4" t="s">
        <v>25</v>
      </c>
      <c r="M2131" s="11">
        <f>_xlfn.NUMBERVALUE(LEFT(Table613612[[#This Row],[Fiscal Year]], 4))</f>
        <v>2017</v>
      </c>
      <c r="N2131" s="42">
        <f t="shared" si="35"/>
        <v>0</v>
      </c>
      <c r="O2131" s="3">
        <v>2129</v>
      </c>
    </row>
    <row r="2132" spans="1:15" x14ac:dyDescent="0.25">
      <c r="E2132" s="11"/>
      <c r="G2132" s="66"/>
      <c r="H2132" s="8"/>
      <c r="I2132" s="8"/>
      <c r="J2132" s="6"/>
      <c r="L2132" s="4"/>
      <c r="O2132" s="3">
        <v>2130</v>
      </c>
    </row>
    <row r="2133" spans="1:15" x14ac:dyDescent="0.25">
      <c r="E2133" s="11"/>
      <c r="G2133" s="48"/>
      <c r="H2133" s="8"/>
      <c r="I2133" s="8"/>
      <c r="J2133" s="6"/>
      <c r="L2133" s="4"/>
    </row>
    <row r="2134" spans="1:15" x14ac:dyDescent="0.25">
      <c r="E2134" s="11"/>
      <c r="G2134" s="66"/>
      <c r="H2134" s="8"/>
      <c r="I2134" s="8"/>
      <c r="J2134" s="6"/>
      <c r="L2134" s="4"/>
    </row>
    <row r="2135" spans="1:15" x14ac:dyDescent="0.25">
      <c r="E2135" s="11"/>
      <c r="G2135" s="66"/>
      <c r="H2135" s="8"/>
      <c r="I2135" s="8"/>
      <c r="J2135" s="6"/>
      <c r="L2135" s="4"/>
    </row>
    <row r="2136" spans="1:15" x14ac:dyDescent="0.25">
      <c r="E2136" s="11"/>
      <c r="G2136" s="66"/>
      <c r="H2136" s="8"/>
      <c r="I2136" s="8"/>
      <c r="J2136" s="6"/>
      <c r="L2136" s="4"/>
    </row>
    <row r="2137" spans="1:15" x14ac:dyDescent="0.25">
      <c r="E2137" s="11"/>
      <c r="G2137" s="66"/>
      <c r="H2137" s="8"/>
      <c r="I2137" s="8"/>
      <c r="J2137" s="6"/>
      <c r="L2137" s="4"/>
    </row>
    <row r="2138" spans="1:15" x14ac:dyDescent="0.25">
      <c r="E2138" s="11"/>
      <c r="G2138" s="48"/>
      <c r="H2138" s="8"/>
      <c r="I2138" s="8"/>
      <c r="J2138" s="6"/>
      <c r="L2138" s="4"/>
    </row>
    <row r="2139" spans="1:15" x14ac:dyDescent="0.25">
      <c r="E2139" s="11"/>
      <c r="G2139" s="66"/>
      <c r="H2139" s="8"/>
      <c r="I2139" s="8"/>
      <c r="J2139" s="6"/>
      <c r="L2139" s="4"/>
    </row>
    <row r="2140" spans="1:15" x14ac:dyDescent="0.25">
      <c r="E2140" s="11"/>
      <c r="G2140" s="66"/>
      <c r="H2140" s="8"/>
      <c r="I2140" s="8"/>
      <c r="J2140" s="6"/>
      <c r="L2140" s="4"/>
    </row>
    <row r="2141" spans="1:15" x14ac:dyDescent="0.25">
      <c r="E2141" s="11"/>
      <c r="G2141" s="66"/>
      <c r="H2141" s="8"/>
      <c r="I2141" s="8"/>
      <c r="J2141" s="6"/>
      <c r="L2141" s="4"/>
    </row>
    <row r="2142" spans="1:15" x14ac:dyDescent="0.25">
      <c r="E2142" s="11"/>
      <c r="G2142" s="66"/>
      <c r="H2142" s="8"/>
      <c r="I2142" s="8"/>
      <c r="J2142" s="6"/>
      <c r="L2142" s="4"/>
    </row>
    <row r="2143" spans="1:15" x14ac:dyDescent="0.25">
      <c r="E2143" s="11"/>
      <c r="G2143" s="66"/>
      <c r="H2143" s="8"/>
      <c r="I2143" s="8"/>
      <c r="J2143" s="6"/>
      <c r="L2143" s="4"/>
    </row>
    <row r="2144" spans="1:15" x14ac:dyDescent="0.25">
      <c r="E2144" s="11"/>
      <c r="G2144" s="66"/>
      <c r="H2144" s="8"/>
      <c r="I2144" s="8"/>
      <c r="J2144" s="6"/>
      <c r="L2144" s="4"/>
    </row>
    <row r="2145" spans="5:12" x14ac:dyDescent="0.25">
      <c r="E2145" s="11"/>
      <c r="G2145" s="66"/>
      <c r="H2145" s="8"/>
      <c r="I2145" s="8"/>
      <c r="J2145" s="6"/>
      <c r="L2145" s="4"/>
    </row>
    <row r="2146" spans="5:12" x14ac:dyDescent="0.25">
      <c r="E2146" s="11"/>
      <c r="G2146" s="66"/>
      <c r="H2146" s="8"/>
      <c r="I2146" s="8"/>
      <c r="J2146" s="6"/>
      <c r="L2146" s="4"/>
    </row>
    <row r="2147" spans="5:12" x14ac:dyDescent="0.25">
      <c r="E2147" s="11"/>
      <c r="G2147" s="66"/>
      <c r="H2147" s="8"/>
      <c r="I2147" s="8"/>
      <c r="J2147" s="6"/>
      <c r="L2147" s="4"/>
    </row>
    <row r="2148" spans="5:12" x14ac:dyDescent="0.25">
      <c r="E2148" s="11"/>
      <c r="G2148" s="66"/>
      <c r="H2148" s="8"/>
      <c r="I2148" s="8"/>
      <c r="J2148" s="6"/>
      <c r="L2148" s="4"/>
    </row>
    <row r="2149" spans="5:12" x14ac:dyDescent="0.25">
      <c r="E2149" s="11"/>
      <c r="G2149" s="48"/>
      <c r="H2149" s="8"/>
      <c r="I2149" s="8"/>
      <c r="J2149" s="6"/>
      <c r="L2149" s="4"/>
    </row>
    <row r="2150" spans="5:12" x14ac:dyDescent="0.25">
      <c r="E2150" s="11"/>
      <c r="G2150" s="66"/>
      <c r="H2150" s="8"/>
      <c r="I2150" s="8"/>
      <c r="J2150" s="6"/>
      <c r="L2150" s="4"/>
    </row>
    <row r="2151" spans="5:12" x14ac:dyDescent="0.25">
      <c r="E2151" s="11"/>
      <c r="G2151" s="66"/>
      <c r="H2151" s="8"/>
      <c r="I2151" s="8"/>
      <c r="J2151" s="6"/>
      <c r="L2151" s="4"/>
    </row>
    <row r="2152" spans="5:12" x14ac:dyDescent="0.25">
      <c r="E2152" s="11"/>
      <c r="G2152" s="66"/>
      <c r="H2152" s="8"/>
      <c r="I2152" s="8"/>
      <c r="J2152" s="6"/>
      <c r="L2152" s="4"/>
    </row>
    <row r="2153" spans="5:12" x14ac:dyDescent="0.25">
      <c r="E2153" s="11"/>
      <c r="G2153" s="66"/>
      <c r="H2153" s="8"/>
      <c r="I2153" s="8"/>
      <c r="J2153" s="6"/>
      <c r="L2153" s="4"/>
    </row>
    <row r="2154" spans="5:12" x14ac:dyDescent="0.25">
      <c r="E2154" s="11"/>
      <c r="G2154" s="48"/>
      <c r="H2154" s="8"/>
      <c r="I2154" s="8"/>
      <c r="J2154" s="6"/>
      <c r="L2154" s="4"/>
    </row>
    <row r="2155" spans="5:12" x14ac:dyDescent="0.25">
      <c r="E2155" s="11"/>
      <c r="G2155" s="66"/>
      <c r="H2155" s="8"/>
      <c r="I2155" s="8"/>
      <c r="J2155" s="6"/>
      <c r="L2155" s="4"/>
    </row>
    <row r="2156" spans="5:12" x14ac:dyDescent="0.25">
      <c r="E2156" s="11"/>
      <c r="G2156" s="66"/>
      <c r="H2156" s="8"/>
      <c r="I2156" s="8"/>
      <c r="J2156" s="6"/>
      <c r="L2156" s="4"/>
    </row>
    <row r="2157" spans="5:12" x14ac:dyDescent="0.25">
      <c r="E2157" s="11"/>
      <c r="G2157" s="66"/>
      <c r="H2157" s="8"/>
      <c r="I2157" s="8"/>
      <c r="J2157" s="6"/>
      <c r="L2157" s="4"/>
    </row>
    <row r="2158" spans="5:12" x14ac:dyDescent="0.25">
      <c r="E2158" s="11"/>
      <c r="G2158" s="66"/>
      <c r="H2158" s="8"/>
      <c r="I2158" s="8"/>
      <c r="J2158" s="6"/>
      <c r="L2158" s="4"/>
    </row>
    <row r="2159" spans="5:12" x14ac:dyDescent="0.25">
      <c r="E2159" s="11"/>
      <c r="G2159" s="66"/>
      <c r="H2159" s="8"/>
      <c r="I2159" s="8"/>
      <c r="J2159" s="6"/>
      <c r="L2159" s="4"/>
    </row>
    <row r="2160" spans="5:12" x14ac:dyDescent="0.25">
      <c r="E2160" s="11"/>
      <c r="G2160" s="66"/>
      <c r="H2160" s="8"/>
      <c r="I2160" s="8"/>
      <c r="J2160" s="6"/>
      <c r="L2160" s="4"/>
    </row>
    <row r="2161" spans="5:12" x14ac:dyDescent="0.25">
      <c r="E2161" s="11"/>
      <c r="G2161" s="66"/>
      <c r="H2161" s="8"/>
      <c r="I2161" s="8"/>
      <c r="J2161" s="6"/>
      <c r="L2161" s="4"/>
    </row>
    <row r="2162" spans="5:12" x14ac:dyDescent="0.25">
      <c r="E2162" s="11"/>
      <c r="G2162" s="66"/>
      <c r="H2162" s="8"/>
      <c r="I2162" s="8"/>
      <c r="J2162" s="6"/>
      <c r="L2162" s="4"/>
    </row>
    <row r="2163" spans="5:12" x14ac:dyDescent="0.25">
      <c r="E2163" s="11"/>
      <c r="G2163" s="66"/>
      <c r="H2163" s="8"/>
      <c r="I2163" s="8"/>
      <c r="J2163" s="6"/>
      <c r="L2163" s="4"/>
    </row>
    <row r="2164" spans="5:12" x14ac:dyDescent="0.25">
      <c r="E2164" s="11"/>
      <c r="G2164" s="66"/>
      <c r="H2164" s="8"/>
      <c r="I2164" s="8"/>
      <c r="J2164" s="6"/>
      <c r="L2164" s="4"/>
    </row>
    <row r="2165" spans="5:12" x14ac:dyDescent="0.25">
      <c r="E2165" s="11"/>
      <c r="G2165" s="66"/>
      <c r="H2165" s="8"/>
      <c r="I2165" s="8"/>
      <c r="J2165" s="6"/>
      <c r="L2165" s="4"/>
    </row>
    <row r="2166" spans="5:12" x14ac:dyDescent="0.25">
      <c r="E2166" s="11"/>
      <c r="G2166" s="48"/>
      <c r="H2166" s="8"/>
      <c r="I2166" s="8"/>
      <c r="J2166" s="6"/>
      <c r="L2166" s="4"/>
    </row>
    <row r="2167" spans="5:12" x14ac:dyDescent="0.25">
      <c r="E2167" s="11"/>
      <c r="G2167" s="66"/>
      <c r="H2167" s="8"/>
      <c r="I2167" s="8"/>
      <c r="J2167" s="6"/>
      <c r="L2167" s="4"/>
    </row>
    <row r="2168" spans="5:12" x14ac:dyDescent="0.25">
      <c r="E2168" s="11"/>
      <c r="G2168" s="66"/>
      <c r="H2168" s="8"/>
      <c r="I2168" s="8"/>
      <c r="J2168" s="6"/>
      <c r="L2168" s="4"/>
    </row>
    <row r="2169" spans="5:12" x14ac:dyDescent="0.25">
      <c r="E2169" s="11"/>
      <c r="G2169" s="66"/>
      <c r="H2169" s="8"/>
      <c r="I2169" s="8"/>
      <c r="J2169" s="6"/>
      <c r="L2169" s="4"/>
    </row>
    <row r="2170" spans="5:12" x14ac:dyDescent="0.25">
      <c r="E2170" s="11"/>
      <c r="G2170" s="66"/>
      <c r="H2170" s="8"/>
      <c r="I2170" s="8"/>
      <c r="J2170" s="6"/>
      <c r="L2170" s="4"/>
    </row>
    <row r="2171" spans="5:12" x14ac:dyDescent="0.25">
      <c r="E2171" s="11"/>
      <c r="G2171" s="48"/>
      <c r="H2171" s="8"/>
      <c r="I2171" s="8"/>
      <c r="J2171" s="6"/>
      <c r="L2171" s="4"/>
    </row>
    <row r="2172" spans="5:12" x14ac:dyDescent="0.25">
      <c r="E2172" s="11"/>
      <c r="G2172" s="66"/>
      <c r="H2172" s="8"/>
      <c r="I2172" s="8"/>
      <c r="J2172" s="6"/>
      <c r="L2172" s="4"/>
    </row>
    <row r="2173" spans="5:12" x14ac:dyDescent="0.25">
      <c r="E2173" s="11"/>
      <c r="G2173" s="66"/>
      <c r="H2173" s="8"/>
      <c r="I2173" s="8"/>
      <c r="J2173" s="6"/>
      <c r="L2173" s="4"/>
    </row>
    <row r="2174" spans="5:12" x14ac:dyDescent="0.25">
      <c r="E2174" s="11"/>
      <c r="G2174" s="66"/>
      <c r="H2174" s="8"/>
      <c r="I2174" s="8"/>
      <c r="J2174" s="6"/>
      <c r="L2174" s="4"/>
    </row>
    <row r="2175" spans="5:12" x14ac:dyDescent="0.25">
      <c r="E2175" s="11"/>
      <c r="G2175" s="66"/>
      <c r="H2175" s="8"/>
      <c r="I2175" s="8"/>
      <c r="J2175" s="6"/>
      <c r="L2175" s="4"/>
    </row>
    <row r="2176" spans="5:12" x14ac:dyDescent="0.25">
      <c r="E2176" s="11"/>
      <c r="G2176" s="66"/>
      <c r="H2176" s="8"/>
      <c r="I2176" s="8"/>
      <c r="J2176" s="6"/>
      <c r="L2176" s="4"/>
    </row>
    <row r="2177" spans="5:12" x14ac:dyDescent="0.25">
      <c r="E2177" s="11"/>
      <c r="G2177" s="66"/>
      <c r="H2177" s="8"/>
      <c r="I2177" s="8"/>
      <c r="J2177" s="6"/>
      <c r="L2177" s="4"/>
    </row>
    <row r="2178" spans="5:12" x14ac:dyDescent="0.25">
      <c r="E2178" s="11"/>
      <c r="G2178" s="66"/>
      <c r="H2178" s="8"/>
      <c r="I2178" s="8"/>
      <c r="J2178" s="6"/>
      <c r="L2178" s="4"/>
    </row>
    <row r="2179" spans="5:12" x14ac:dyDescent="0.25">
      <c r="E2179" s="11"/>
      <c r="G2179" s="66"/>
      <c r="H2179" s="8"/>
      <c r="I2179" s="8"/>
      <c r="J2179" s="6"/>
      <c r="L2179" s="4"/>
    </row>
    <row r="2180" spans="5:12" x14ac:dyDescent="0.25">
      <c r="E2180" s="11"/>
      <c r="G2180" s="66"/>
      <c r="H2180" s="8"/>
      <c r="I2180" s="8"/>
      <c r="J2180" s="6"/>
      <c r="L2180" s="4"/>
    </row>
    <row r="2181" spans="5:12" x14ac:dyDescent="0.25">
      <c r="E2181" s="11"/>
      <c r="G2181" s="66"/>
      <c r="H2181" s="8"/>
      <c r="I2181" s="8"/>
      <c r="J2181" s="6"/>
      <c r="L2181" s="4"/>
    </row>
    <row r="2182" spans="5:12" x14ac:dyDescent="0.25">
      <c r="E2182" s="11"/>
      <c r="G2182" s="48"/>
      <c r="H2182" s="8"/>
      <c r="I2182" s="8"/>
      <c r="J2182" s="6"/>
      <c r="L2182" s="4"/>
    </row>
    <row r="2183" spans="5:12" x14ac:dyDescent="0.25">
      <c r="E2183" s="11"/>
      <c r="G2183" s="66"/>
      <c r="H2183" s="8"/>
      <c r="I2183" s="8"/>
      <c r="J2183" s="6"/>
      <c r="L2183" s="4"/>
    </row>
    <row r="2184" spans="5:12" x14ac:dyDescent="0.25">
      <c r="E2184" s="11"/>
      <c r="G2184" s="66"/>
      <c r="H2184" s="8"/>
      <c r="I2184" s="8"/>
      <c r="J2184" s="6"/>
      <c r="L2184" s="4"/>
    </row>
    <row r="2185" spans="5:12" x14ac:dyDescent="0.25">
      <c r="E2185" s="11"/>
      <c r="G2185" s="66"/>
      <c r="H2185" s="8"/>
      <c r="I2185" s="8"/>
      <c r="J2185" s="6"/>
      <c r="L2185" s="4"/>
    </row>
    <row r="2186" spans="5:12" x14ac:dyDescent="0.25">
      <c r="E2186" s="11"/>
      <c r="G2186" s="66"/>
      <c r="H2186" s="8"/>
      <c r="I2186" s="8"/>
      <c r="J2186" s="6"/>
      <c r="L2186" s="4"/>
    </row>
    <row r="2187" spans="5:12" x14ac:dyDescent="0.25">
      <c r="E2187" s="11"/>
      <c r="G2187" s="48"/>
      <c r="H2187" s="8"/>
      <c r="I2187" s="8"/>
      <c r="J2187" s="6"/>
      <c r="L2187" s="4"/>
    </row>
    <row r="2188" spans="5:12" x14ac:dyDescent="0.25">
      <c r="E2188" s="11"/>
      <c r="G2188" s="66"/>
      <c r="H2188" s="8"/>
      <c r="I2188" s="8"/>
      <c r="J2188" s="6"/>
      <c r="L2188" s="4"/>
    </row>
    <row r="2189" spans="5:12" x14ac:dyDescent="0.25">
      <c r="E2189" s="11"/>
      <c r="G2189" s="66"/>
      <c r="H2189" s="8"/>
      <c r="I2189" s="8"/>
      <c r="J2189" s="6"/>
      <c r="L2189" s="4"/>
    </row>
    <row r="2190" spans="5:12" x14ac:dyDescent="0.25">
      <c r="E2190" s="11"/>
      <c r="G2190" s="66"/>
      <c r="H2190" s="8"/>
      <c r="I2190" s="8"/>
      <c r="J2190" s="6"/>
      <c r="L2190" s="4"/>
    </row>
    <row r="2191" spans="5:12" x14ac:dyDescent="0.25">
      <c r="E2191" s="11"/>
      <c r="G2191" s="66"/>
      <c r="H2191" s="8"/>
      <c r="I2191" s="8"/>
      <c r="J2191" s="6"/>
      <c r="L2191" s="4"/>
    </row>
    <row r="2192" spans="5:12" x14ac:dyDescent="0.25">
      <c r="E2192" s="11"/>
      <c r="G2192" s="66"/>
      <c r="H2192" s="8"/>
      <c r="I2192" s="8"/>
      <c r="J2192" s="6"/>
      <c r="L2192" s="4"/>
    </row>
    <row r="2193" spans="5:12" x14ac:dyDescent="0.25">
      <c r="E2193" s="11"/>
      <c r="G2193" s="66"/>
      <c r="H2193" s="8"/>
      <c r="I2193" s="8"/>
      <c r="J2193" s="6"/>
      <c r="L2193" s="4"/>
    </row>
    <row r="2194" spans="5:12" x14ac:dyDescent="0.25">
      <c r="E2194" s="11"/>
      <c r="G2194" s="66"/>
      <c r="H2194" s="8"/>
      <c r="I2194" s="8"/>
      <c r="J2194" s="6"/>
      <c r="L2194" s="4"/>
    </row>
    <row r="2195" spans="5:12" x14ac:dyDescent="0.25">
      <c r="E2195" s="11"/>
      <c r="G2195" s="66"/>
      <c r="H2195" s="8"/>
      <c r="I2195" s="8"/>
      <c r="J2195" s="6"/>
      <c r="L2195" s="4"/>
    </row>
    <row r="2196" spans="5:12" x14ac:dyDescent="0.25">
      <c r="E2196" s="11"/>
      <c r="G2196" s="66"/>
      <c r="H2196" s="8"/>
      <c r="I2196" s="8"/>
      <c r="J2196" s="6"/>
      <c r="L2196" s="4"/>
    </row>
    <row r="2197" spans="5:12" x14ac:dyDescent="0.25">
      <c r="E2197" s="11"/>
      <c r="G2197" s="66"/>
      <c r="H2197" s="8"/>
      <c r="I2197" s="8"/>
      <c r="J2197" s="6"/>
      <c r="L2197" s="4"/>
    </row>
    <row r="2198" spans="5:12" x14ac:dyDescent="0.25">
      <c r="E2198" s="11"/>
      <c r="G2198" s="66"/>
      <c r="H2198" s="8"/>
      <c r="I2198" s="8"/>
      <c r="J2198" s="6"/>
      <c r="L2198" s="4"/>
    </row>
    <row r="2199" spans="5:12" x14ac:dyDescent="0.25">
      <c r="E2199" s="11"/>
      <c r="G2199" s="48"/>
      <c r="H2199" s="8"/>
      <c r="I2199" s="8"/>
      <c r="J2199" s="6"/>
      <c r="L2199" s="4"/>
    </row>
    <row r="2200" spans="5:12" x14ac:dyDescent="0.25">
      <c r="E2200" s="11"/>
      <c r="G2200" s="66"/>
      <c r="H2200" s="8"/>
      <c r="I2200" s="8"/>
      <c r="J2200" s="6"/>
      <c r="L2200" s="4"/>
    </row>
    <row r="2201" spans="5:12" x14ac:dyDescent="0.25">
      <c r="E2201" s="11"/>
      <c r="G2201" s="66"/>
      <c r="H2201" s="8"/>
      <c r="I2201" s="8"/>
      <c r="J2201" s="6"/>
      <c r="L2201" s="4"/>
    </row>
    <row r="2202" spans="5:12" x14ac:dyDescent="0.25">
      <c r="E2202" s="11"/>
      <c r="G2202" s="66"/>
      <c r="H2202" s="8"/>
      <c r="I2202" s="8"/>
      <c r="J2202" s="6"/>
      <c r="L2202" s="4"/>
    </row>
    <row r="2203" spans="5:12" x14ac:dyDescent="0.25">
      <c r="E2203" s="11"/>
      <c r="G2203" s="66"/>
      <c r="H2203" s="8"/>
      <c r="I2203" s="8"/>
      <c r="J2203" s="6"/>
      <c r="L2203" s="4"/>
    </row>
    <row r="2204" spans="5:12" x14ac:dyDescent="0.25">
      <c r="E2204" s="11"/>
      <c r="G2204" s="48"/>
      <c r="H2204" s="8"/>
      <c r="I2204" s="8"/>
      <c r="J2204" s="6"/>
      <c r="L2204" s="4"/>
    </row>
    <row r="2205" spans="5:12" x14ac:dyDescent="0.25">
      <c r="E2205" s="11"/>
      <c r="G2205" s="66"/>
      <c r="H2205" s="8"/>
      <c r="I2205" s="8"/>
      <c r="J2205" s="6"/>
      <c r="L2205" s="4"/>
    </row>
    <row r="2206" spans="5:12" x14ac:dyDescent="0.25">
      <c r="E2206" s="11"/>
      <c r="G2206" s="66"/>
      <c r="H2206" s="8"/>
      <c r="I2206" s="8"/>
      <c r="J2206" s="6"/>
      <c r="L2206" s="4"/>
    </row>
    <row r="2207" spans="5:12" x14ac:dyDescent="0.25">
      <c r="E2207" s="11"/>
      <c r="G2207" s="66"/>
      <c r="H2207" s="8"/>
      <c r="I2207" s="8"/>
      <c r="J2207" s="6"/>
      <c r="L2207" s="4"/>
    </row>
    <row r="2208" spans="5:12" x14ac:dyDescent="0.25">
      <c r="E2208" s="11"/>
      <c r="G2208" s="66"/>
      <c r="H2208" s="8"/>
      <c r="I2208" s="8"/>
      <c r="J2208" s="6"/>
      <c r="L2208" s="4"/>
    </row>
    <row r="2209" spans="5:12" x14ac:dyDescent="0.25">
      <c r="E2209" s="11"/>
      <c r="G2209" s="66"/>
      <c r="H2209" s="8"/>
      <c r="I2209" s="8"/>
      <c r="J2209" s="6"/>
      <c r="L2209" s="4"/>
    </row>
    <row r="2210" spans="5:12" x14ac:dyDescent="0.25">
      <c r="E2210" s="11"/>
      <c r="G2210" s="66"/>
      <c r="H2210" s="8"/>
      <c r="I2210" s="8"/>
      <c r="J2210" s="6"/>
      <c r="L2210" s="4"/>
    </row>
    <row r="2211" spans="5:12" x14ac:dyDescent="0.25">
      <c r="E2211" s="11"/>
      <c r="G2211" s="66"/>
      <c r="H2211" s="8"/>
      <c r="I2211" s="8"/>
      <c r="J2211" s="6"/>
      <c r="L2211" s="4"/>
    </row>
    <row r="2212" spans="5:12" x14ac:dyDescent="0.25">
      <c r="E2212" s="11"/>
      <c r="G2212" s="66"/>
      <c r="H2212" s="8"/>
      <c r="I2212" s="8"/>
      <c r="J2212" s="6"/>
      <c r="L2212" s="4"/>
    </row>
    <row r="2213" spans="5:12" x14ac:dyDescent="0.25">
      <c r="E2213" s="11"/>
      <c r="G2213" s="66"/>
      <c r="H2213" s="8"/>
      <c r="I2213" s="8"/>
      <c r="J2213" s="6"/>
      <c r="L2213" s="4"/>
    </row>
    <row r="2214" spans="5:12" x14ac:dyDescent="0.25">
      <c r="E2214" s="11"/>
      <c r="G2214" s="66"/>
      <c r="H2214" s="8"/>
      <c r="I2214" s="8"/>
      <c r="J2214" s="6"/>
      <c r="L2214" s="4"/>
    </row>
    <row r="2215" spans="5:12" x14ac:dyDescent="0.25">
      <c r="E2215" s="11"/>
      <c r="G2215" s="48"/>
      <c r="H2215" s="8"/>
      <c r="I2215" s="8"/>
      <c r="J2215" s="6"/>
      <c r="L2215" s="4"/>
    </row>
    <row r="2216" spans="5:12" x14ac:dyDescent="0.25">
      <c r="E2216" s="11"/>
      <c r="G2216" s="66"/>
      <c r="H2216" s="8"/>
      <c r="I2216" s="8"/>
      <c r="J2216" s="6"/>
      <c r="L2216" s="4"/>
    </row>
    <row r="2217" spans="5:12" x14ac:dyDescent="0.25">
      <c r="E2217" s="11"/>
      <c r="G2217" s="66"/>
      <c r="H2217" s="8"/>
      <c r="I2217" s="8"/>
      <c r="J2217" s="6"/>
      <c r="L2217" s="4"/>
    </row>
    <row r="2218" spans="5:12" x14ac:dyDescent="0.25">
      <c r="E2218" s="11"/>
      <c r="G2218" s="66"/>
      <c r="H2218" s="8"/>
      <c r="I2218" s="8"/>
      <c r="J2218" s="6"/>
      <c r="L2218" s="4"/>
    </row>
    <row r="2219" spans="5:12" x14ac:dyDescent="0.25">
      <c r="E2219" s="11"/>
      <c r="G2219" s="66"/>
      <c r="H2219" s="8"/>
      <c r="I2219" s="8"/>
      <c r="J2219" s="6"/>
      <c r="L2219" s="4"/>
    </row>
    <row r="2220" spans="5:12" x14ac:dyDescent="0.25">
      <c r="E2220" s="11"/>
      <c r="G2220" s="48"/>
      <c r="H2220" s="8"/>
      <c r="I2220" s="8"/>
      <c r="J2220" s="6"/>
      <c r="L2220" s="4"/>
    </row>
    <row r="2221" spans="5:12" x14ac:dyDescent="0.25">
      <c r="E2221" s="11"/>
      <c r="G2221" s="66"/>
      <c r="H2221" s="8"/>
      <c r="I2221" s="8"/>
      <c r="J2221" s="6"/>
      <c r="L2221" s="4"/>
    </row>
    <row r="2222" spans="5:12" x14ac:dyDescent="0.25">
      <c r="E2222" s="11"/>
      <c r="G2222" s="66"/>
      <c r="H2222" s="8"/>
      <c r="I2222" s="8"/>
      <c r="J2222" s="6"/>
      <c r="L2222" s="4"/>
    </row>
    <row r="2223" spans="5:12" x14ac:dyDescent="0.25">
      <c r="E2223" s="11"/>
      <c r="G2223" s="66"/>
      <c r="H2223" s="8"/>
      <c r="I2223" s="8"/>
      <c r="J2223" s="6"/>
      <c r="L2223" s="4"/>
    </row>
    <row r="2224" spans="5:12" x14ac:dyDescent="0.25">
      <c r="E2224" s="11"/>
      <c r="G2224" s="66"/>
      <c r="H2224" s="8"/>
      <c r="I2224" s="8"/>
      <c r="J2224" s="6"/>
      <c r="L2224" s="4"/>
    </row>
    <row r="2225" spans="1:15" x14ac:dyDescent="0.25">
      <c r="E2225" s="11"/>
      <c r="G2225" s="66"/>
      <c r="H2225" s="8"/>
      <c r="I2225" s="8"/>
      <c r="J2225" s="6"/>
      <c r="L2225" s="4"/>
    </row>
    <row r="2226" spans="1:15" x14ac:dyDescent="0.25">
      <c r="E2226" s="11"/>
      <c r="G2226" s="66"/>
      <c r="H2226" s="8"/>
      <c r="I2226" s="8"/>
      <c r="J2226" s="6"/>
      <c r="L2226" s="4"/>
    </row>
    <row r="2227" spans="1:15" x14ac:dyDescent="0.25">
      <c r="E2227" s="11"/>
      <c r="G2227" s="66"/>
      <c r="H2227" s="8"/>
      <c r="I2227" s="8"/>
      <c r="J2227" s="6"/>
      <c r="L2227" s="4"/>
    </row>
    <row r="2228" spans="1:15" x14ac:dyDescent="0.25">
      <c r="E2228" s="11"/>
      <c r="G2228" s="66"/>
      <c r="H2228" s="8"/>
      <c r="I2228" s="8"/>
      <c r="J2228" s="6"/>
      <c r="L2228" s="4"/>
    </row>
    <row r="2229" spans="1:15" x14ac:dyDescent="0.25">
      <c r="E2229" s="11"/>
      <c r="G2229" s="66"/>
      <c r="H2229" s="8"/>
      <c r="I2229" s="8"/>
      <c r="J2229" s="6"/>
      <c r="L2229" s="4"/>
    </row>
    <row r="2230" spans="1:15" x14ac:dyDescent="0.25">
      <c r="E2230" s="11"/>
      <c r="G2230" s="66"/>
      <c r="H2230" s="8"/>
      <c r="I2230" s="8"/>
      <c r="J2230" s="6"/>
      <c r="L2230" s="4"/>
    </row>
    <row r="2231" spans="1:15" x14ac:dyDescent="0.25">
      <c r="E2231" s="11"/>
      <c r="G2231" s="66"/>
      <c r="H2231" s="8"/>
      <c r="I2231" s="8"/>
      <c r="J2231" s="6"/>
      <c r="L2231" s="4"/>
      <c r="O2231" s="3">
        <v>2229</v>
      </c>
    </row>
    <row r="2232" spans="1:15" x14ac:dyDescent="0.25">
      <c r="A2232" s="9">
        <v>9</v>
      </c>
      <c r="B2232" s="3" t="s">
        <v>287</v>
      </c>
      <c r="C2232" s="3" t="s">
        <v>262</v>
      </c>
      <c r="D2232" s="3" t="s">
        <v>444</v>
      </c>
      <c r="E2232" s="11" t="s">
        <v>144</v>
      </c>
      <c r="F2232" s="3" t="s">
        <v>8</v>
      </c>
      <c r="G2232" s="48" t="s">
        <v>1008</v>
      </c>
      <c r="H2232" s="8"/>
      <c r="I2232" s="8" t="s">
        <v>640</v>
      </c>
      <c r="J2232" s="6" t="s">
        <v>76</v>
      </c>
      <c r="K2232" s="38">
        <v>111597.93</v>
      </c>
      <c r="L2232" s="4" t="s">
        <v>24</v>
      </c>
      <c r="M2232" s="11">
        <f>_xlfn.NUMBERVALUE(LEFT(Table613612[[#This Row],[Fiscal Year]], 4))</f>
        <v>2016</v>
      </c>
      <c r="N2232" s="42">
        <f t="shared" ref="N2232:N2271" si="36">K2232*(1+VLOOKUP(M2232,$AF$8:$AH$31,3,0))</f>
        <v>117006.24468262499</v>
      </c>
      <c r="O2232" s="3">
        <v>2230</v>
      </c>
    </row>
    <row r="2233" spans="1:15" x14ac:dyDescent="0.25">
      <c r="A2233" s="3">
        <v>9</v>
      </c>
      <c r="B2233" s="3" t="s">
        <v>287</v>
      </c>
      <c r="C2233" s="3" t="s">
        <v>262</v>
      </c>
      <c r="D2233" s="3" t="s">
        <v>444</v>
      </c>
      <c r="E2233" s="11" t="s">
        <v>144</v>
      </c>
      <c r="F2233" s="3" t="s">
        <v>8</v>
      </c>
      <c r="G2233" s="66" t="s">
        <v>1051</v>
      </c>
      <c r="H2233" s="8"/>
      <c r="I2233" s="8"/>
      <c r="J2233" s="6" t="s">
        <v>76</v>
      </c>
      <c r="K2233" s="38">
        <v>23700</v>
      </c>
      <c r="L2233" s="4" t="s">
        <v>24</v>
      </c>
      <c r="M2233" s="11">
        <f>_xlfn.NUMBERVALUE(LEFT(Table613612[[#This Row],[Fiscal Year]], 4))</f>
        <v>2016</v>
      </c>
      <c r="N2233" s="42">
        <f t="shared" si="36"/>
        <v>24848.561250000002</v>
      </c>
      <c r="O2233" s="3">
        <v>2231</v>
      </c>
    </row>
    <row r="2234" spans="1:15" x14ac:dyDescent="0.25">
      <c r="A2234" s="3">
        <v>9</v>
      </c>
      <c r="B2234" s="3" t="s">
        <v>287</v>
      </c>
      <c r="C2234" s="3" t="s">
        <v>262</v>
      </c>
      <c r="D2234" s="3" t="s">
        <v>444</v>
      </c>
      <c r="E2234" s="11" t="s">
        <v>144</v>
      </c>
      <c r="F2234" s="3" t="s">
        <v>8</v>
      </c>
      <c r="G2234" s="66" t="s">
        <v>1010</v>
      </c>
      <c r="H2234" s="8"/>
      <c r="I2234" s="8"/>
      <c r="J2234" s="6" t="s">
        <v>76</v>
      </c>
      <c r="K2234" s="38">
        <v>0</v>
      </c>
      <c r="L2234" s="4" t="s">
        <v>24</v>
      </c>
      <c r="M2234" s="11">
        <f>_xlfn.NUMBERVALUE(LEFT(Table613612[[#This Row],[Fiscal Year]], 4))</f>
        <v>2016</v>
      </c>
      <c r="N2234" s="42">
        <f t="shared" si="36"/>
        <v>0</v>
      </c>
      <c r="O2234" s="3">
        <v>2232</v>
      </c>
    </row>
    <row r="2235" spans="1:15" x14ac:dyDescent="0.25">
      <c r="A2235" s="3">
        <v>9</v>
      </c>
      <c r="B2235" s="3" t="s">
        <v>287</v>
      </c>
      <c r="C2235" s="3" t="s">
        <v>262</v>
      </c>
      <c r="D2235" s="3" t="s">
        <v>444</v>
      </c>
      <c r="E2235" s="11" t="s">
        <v>144</v>
      </c>
      <c r="F2235" s="3" t="s">
        <v>8</v>
      </c>
      <c r="G2235" s="48" t="s">
        <v>1011</v>
      </c>
      <c r="H2235" s="8" t="s">
        <v>511</v>
      </c>
      <c r="I2235" s="8"/>
      <c r="J2235" s="6" t="s">
        <v>110</v>
      </c>
      <c r="K2235" s="38">
        <v>7839.4</v>
      </c>
      <c r="L2235" s="4" t="s">
        <v>24</v>
      </c>
      <c r="M2235" s="11">
        <f>_xlfn.NUMBERVALUE(LEFT(Table613612[[#This Row],[Fiscal Year]], 4))</f>
        <v>2016</v>
      </c>
      <c r="N2235" s="42">
        <f t="shared" si="36"/>
        <v>8219.3169225000001</v>
      </c>
      <c r="O2235" s="3">
        <v>2233</v>
      </c>
    </row>
    <row r="2236" spans="1:15" x14ac:dyDescent="0.25">
      <c r="A2236" s="3">
        <v>9</v>
      </c>
      <c r="B2236" s="3" t="s">
        <v>287</v>
      </c>
      <c r="C2236" s="3" t="s">
        <v>262</v>
      </c>
      <c r="D2236" s="3" t="s">
        <v>444</v>
      </c>
      <c r="E2236" s="11" t="s">
        <v>144</v>
      </c>
      <c r="F2236" s="3" t="s">
        <v>8</v>
      </c>
      <c r="G2236" s="48" t="s">
        <v>1052</v>
      </c>
      <c r="H2236" s="8" t="s">
        <v>507</v>
      </c>
      <c r="I2236" s="8"/>
      <c r="J2236" s="6" t="s">
        <v>108</v>
      </c>
      <c r="K2236" s="38">
        <v>18200</v>
      </c>
      <c r="L2236" s="4" t="s">
        <v>24</v>
      </c>
      <c r="M2236" s="11">
        <f>_xlfn.NUMBERVALUE(LEFT(Table613612[[#This Row],[Fiscal Year]], 4))</f>
        <v>2016</v>
      </c>
      <c r="N2236" s="42">
        <f t="shared" si="36"/>
        <v>19082.017500000002</v>
      </c>
      <c r="O2236" s="3">
        <v>2234</v>
      </c>
    </row>
    <row r="2237" spans="1:15" x14ac:dyDescent="0.25">
      <c r="A2237" s="3">
        <v>9</v>
      </c>
      <c r="B2237" s="3" t="s">
        <v>287</v>
      </c>
      <c r="C2237" s="3" t="s">
        <v>262</v>
      </c>
      <c r="D2237" s="3" t="s">
        <v>444</v>
      </c>
      <c r="E2237" s="11" t="s">
        <v>144</v>
      </c>
      <c r="F2237" s="3" t="s">
        <v>8</v>
      </c>
      <c r="G2237" s="48" t="s">
        <v>1053</v>
      </c>
      <c r="H2237" s="8" t="s">
        <v>507</v>
      </c>
      <c r="I2237" s="8"/>
      <c r="J2237" s="6" t="s">
        <v>108</v>
      </c>
      <c r="K2237" s="38">
        <v>40000</v>
      </c>
      <c r="L2237" s="4" t="s">
        <v>24</v>
      </c>
      <c r="M2237" s="11">
        <f>_xlfn.NUMBERVALUE(LEFT(Table613612[[#This Row],[Fiscal Year]], 4))</f>
        <v>2016</v>
      </c>
      <c r="N2237" s="42">
        <f t="shared" si="36"/>
        <v>41938.5</v>
      </c>
      <c r="O2237" s="3">
        <v>2235</v>
      </c>
    </row>
    <row r="2238" spans="1:15" x14ac:dyDescent="0.25">
      <c r="A2238" s="3">
        <v>9</v>
      </c>
      <c r="B2238" s="3" t="s">
        <v>287</v>
      </c>
      <c r="C2238" s="3" t="s">
        <v>262</v>
      </c>
      <c r="D2238" s="3" t="s">
        <v>444</v>
      </c>
      <c r="E2238" s="11" t="s">
        <v>144</v>
      </c>
      <c r="F2238" s="3" t="s">
        <v>8</v>
      </c>
      <c r="G2238" s="48" t="s">
        <v>1040</v>
      </c>
      <c r="H2238" s="8" t="s">
        <v>507</v>
      </c>
      <c r="I2238" s="8"/>
      <c r="J2238" s="6" t="s">
        <v>108</v>
      </c>
      <c r="K2238" s="38">
        <v>75694</v>
      </c>
      <c r="L2238" s="4" t="s">
        <v>24</v>
      </c>
      <c r="M2238" s="11">
        <f>_xlfn.NUMBERVALUE(LEFT(Table613612[[#This Row],[Fiscal Year]], 4))</f>
        <v>2016</v>
      </c>
      <c r="N2238" s="42">
        <f t="shared" si="36"/>
        <v>79362.320475</v>
      </c>
      <c r="O2238" s="3">
        <v>2236</v>
      </c>
    </row>
    <row r="2239" spans="1:15" x14ac:dyDescent="0.25">
      <c r="A2239" s="3">
        <v>9</v>
      </c>
      <c r="B2239" s="3" t="s">
        <v>287</v>
      </c>
      <c r="C2239" s="3" t="s">
        <v>262</v>
      </c>
      <c r="D2239" s="3" t="s">
        <v>444</v>
      </c>
      <c r="E2239" s="11" t="s">
        <v>144</v>
      </c>
      <c r="F2239" s="3" t="s">
        <v>8</v>
      </c>
      <c r="G2239" s="48" t="s">
        <v>1041</v>
      </c>
      <c r="H2239" s="8" t="s">
        <v>507</v>
      </c>
      <c r="I2239" s="8"/>
      <c r="J2239" s="6" t="s">
        <v>108</v>
      </c>
      <c r="K2239" s="38">
        <v>3919.7</v>
      </c>
      <c r="L2239" s="4" t="s">
        <v>24</v>
      </c>
      <c r="M2239" s="11">
        <f>_xlfn.NUMBERVALUE(LEFT(Table613612[[#This Row],[Fiscal Year]], 4))</f>
        <v>2016</v>
      </c>
      <c r="N2239" s="42">
        <f t="shared" si="36"/>
        <v>4109.6584612500001</v>
      </c>
      <c r="O2239" s="3">
        <v>2237</v>
      </c>
    </row>
    <row r="2240" spans="1:15" x14ac:dyDescent="0.25">
      <c r="A2240" s="3">
        <v>9</v>
      </c>
      <c r="B2240" s="3" t="s">
        <v>287</v>
      </c>
      <c r="C2240" s="3" t="s">
        <v>262</v>
      </c>
      <c r="D2240" s="3" t="s">
        <v>444</v>
      </c>
      <c r="E2240" s="11" t="s">
        <v>144</v>
      </c>
      <c r="F2240" s="3" t="s">
        <v>8</v>
      </c>
      <c r="G2240" s="48" t="s">
        <v>1042</v>
      </c>
      <c r="H2240" s="8" t="s">
        <v>507</v>
      </c>
      <c r="I2240" s="8"/>
      <c r="J2240" s="6" t="s">
        <v>108</v>
      </c>
      <c r="K2240" s="38">
        <v>831</v>
      </c>
      <c r="L2240" s="4" t="s">
        <v>24</v>
      </c>
      <c r="M2240" s="11">
        <f>_xlfn.NUMBERVALUE(LEFT(Table613612[[#This Row],[Fiscal Year]], 4))</f>
        <v>2016</v>
      </c>
      <c r="N2240" s="42">
        <f t="shared" si="36"/>
        <v>871.27233750000005</v>
      </c>
      <c r="O2240" s="3">
        <v>2238</v>
      </c>
    </row>
    <row r="2241" spans="1:15" x14ac:dyDescent="0.25">
      <c r="A2241" s="3">
        <v>9</v>
      </c>
      <c r="B2241" s="3" t="s">
        <v>287</v>
      </c>
      <c r="C2241" s="3" t="s">
        <v>262</v>
      </c>
      <c r="D2241" s="3" t="s">
        <v>444</v>
      </c>
      <c r="E2241" s="11" t="s">
        <v>144</v>
      </c>
      <c r="F2241" s="3" t="s">
        <v>8</v>
      </c>
      <c r="G2241" s="66" t="s">
        <v>1043</v>
      </c>
      <c r="H2241" s="8" t="s">
        <v>508</v>
      </c>
      <c r="I2241" s="8"/>
      <c r="J2241" s="6" t="s">
        <v>42</v>
      </c>
      <c r="K2241" s="38">
        <v>5879.55</v>
      </c>
      <c r="L2241" s="4" t="s">
        <v>24</v>
      </c>
      <c r="M2241" s="11">
        <f>_xlfn.NUMBERVALUE(LEFT(Table613612[[#This Row],[Fiscal Year]], 4))</f>
        <v>2016</v>
      </c>
      <c r="N2241" s="42">
        <f t="shared" si="36"/>
        <v>6164.4876918750006</v>
      </c>
      <c r="O2241" s="3">
        <v>2239</v>
      </c>
    </row>
    <row r="2242" spans="1:15" x14ac:dyDescent="0.25">
      <c r="A2242" s="3">
        <v>9</v>
      </c>
      <c r="B2242" s="3" t="s">
        <v>287</v>
      </c>
      <c r="C2242" s="3" t="s">
        <v>262</v>
      </c>
      <c r="D2242" s="3" t="s">
        <v>444</v>
      </c>
      <c r="E2242" s="11" t="s">
        <v>144</v>
      </c>
      <c r="F2242" s="3" t="s">
        <v>8</v>
      </c>
      <c r="G2242" s="66" t="s">
        <v>1044</v>
      </c>
      <c r="H2242" s="8" t="s">
        <v>508</v>
      </c>
      <c r="I2242" s="8"/>
      <c r="J2242" s="6" t="s">
        <v>453</v>
      </c>
      <c r="K2242" s="38">
        <v>1959.85</v>
      </c>
      <c r="L2242" s="4" t="s">
        <v>24</v>
      </c>
      <c r="M2242" s="11">
        <f>_xlfn.NUMBERVALUE(LEFT(Table613612[[#This Row],[Fiscal Year]], 4))</f>
        <v>2016</v>
      </c>
      <c r="N2242" s="42">
        <f t="shared" si="36"/>
        <v>2054.829230625</v>
      </c>
      <c r="O2242" s="3">
        <v>2240</v>
      </c>
    </row>
    <row r="2243" spans="1:15" x14ac:dyDescent="0.25">
      <c r="A2243" s="3">
        <v>9</v>
      </c>
      <c r="B2243" s="3" t="s">
        <v>287</v>
      </c>
      <c r="C2243" s="3" t="s">
        <v>262</v>
      </c>
      <c r="D2243" s="3" t="s">
        <v>444</v>
      </c>
      <c r="E2243" s="11" t="s">
        <v>144</v>
      </c>
      <c r="F2243" s="3" t="s">
        <v>8</v>
      </c>
      <c r="G2243" s="66" t="s">
        <v>1045</v>
      </c>
      <c r="H2243" s="8" t="s">
        <v>512</v>
      </c>
      <c r="I2243" s="8"/>
      <c r="J2243" s="6" t="s">
        <v>111</v>
      </c>
      <c r="K2243" s="38">
        <v>7839.4</v>
      </c>
      <c r="L2243" s="4" t="s">
        <v>24</v>
      </c>
      <c r="M2243" s="11">
        <f>_xlfn.NUMBERVALUE(LEFT(Table613612[[#This Row],[Fiscal Year]], 4))</f>
        <v>2016</v>
      </c>
      <c r="N2243" s="42">
        <f t="shared" si="36"/>
        <v>8219.3169225000001</v>
      </c>
      <c r="O2243" s="3">
        <v>2241</v>
      </c>
    </row>
    <row r="2244" spans="1:15" x14ac:dyDescent="0.25">
      <c r="A2244" s="3">
        <v>9</v>
      </c>
      <c r="B2244" s="3" t="s">
        <v>287</v>
      </c>
      <c r="C2244" s="3" t="s">
        <v>262</v>
      </c>
      <c r="D2244" s="3" t="s">
        <v>444</v>
      </c>
      <c r="E2244" s="11" t="s">
        <v>144</v>
      </c>
      <c r="F2244" s="3" t="s">
        <v>8</v>
      </c>
      <c r="G2244" s="66" t="s">
        <v>1025</v>
      </c>
      <c r="H2244" s="8" t="s">
        <v>513</v>
      </c>
      <c r="I2244" s="8"/>
      <c r="J2244" s="6" t="s">
        <v>107</v>
      </c>
      <c r="K2244" s="38">
        <v>3919.7</v>
      </c>
      <c r="L2244" s="4" t="s">
        <v>24</v>
      </c>
      <c r="M2244" s="11">
        <f>_xlfn.NUMBERVALUE(LEFT(Table613612[[#This Row],[Fiscal Year]], 4))</f>
        <v>2016</v>
      </c>
      <c r="N2244" s="42">
        <f t="shared" si="36"/>
        <v>4109.6584612500001</v>
      </c>
      <c r="O2244" s="3">
        <v>2242</v>
      </c>
    </row>
    <row r="2245" spans="1:15" x14ac:dyDescent="0.25">
      <c r="A2245" s="3">
        <v>9</v>
      </c>
      <c r="B2245" s="3" t="s">
        <v>287</v>
      </c>
      <c r="C2245" s="3" t="s">
        <v>262</v>
      </c>
      <c r="D2245" s="3" t="s">
        <v>444</v>
      </c>
      <c r="E2245" s="11" t="s">
        <v>144</v>
      </c>
      <c r="F2245" s="3" t="s">
        <v>8</v>
      </c>
      <c r="G2245" s="66" t="s">
        <v>1020</v>
      </c>
      <c r="H2245" s="8" t="s">
        <v>509</v>
      </c>
      <c r="I2245" s="8"/>
      <c r="J2245" s="6" t="s">
        <v>109</v>
      </c>
      <c r="K2245" s="38">
        <v>5879.55</v>
      </c>
      <c r="L2245" s="4" t="s">
        <v>24</v>
      </c>
      <c r="M2245" s="11">
        <f>_xlfn.NUMBERVALUE(LEFT(Table613612[[#This Row],[Fiscal Year]], 4))</f>
        <v>2016</v>
      </c>
      <c r="N2245" s="42">
        <f t="shared" si="36"/>
        <v>6164.4876918750006</v>
      </c>
      <c r="O2245" s="3">
        <v>2243</v>
      </c>
    </row>
    <row r="2246" spans="1:15" x14ac:dyDescent="0.25">
      <c r="A2246" s="3">
        <v>9</v>
      </c>
      <c r="B2246" s="3" t="s">
        <v>287</v>
      </c>
      <c r="C2246" s="3" t="s">
        <v>262</v>
      </c>
      <c r="D2246" s="3" t="s">
        <v>444</v>
      </c>
      <c r="E2246" s="11" t="s">
        <v>144</v>
      </c>
      <c r="F2246" s="3" t="s">
        <v>8</v>
      </c>
      <c r="G2246" s="66" t="s">
        <v>1054</v>
      </c>
      <c r="H2246" s="8"/>
      <c r="I2246" s="8"/>
      <c r="J2246" s="6" t="s">
        <v>106</v>
      </c>
      <c r="K2246" s="38">
        <v>1959.85</v>
      </c>
      <c r="L2246" s="4" t="s">
        <v>24</v>
      </c>
      <c r="M2246" s="11">
        <f>_xlfn.NUMBERVALUE(LEFT(Table613612[[#This Row],[Fiscal Year]], 4))</f>
        <v>2016</v>
      </c>
      <c r="N2246" s="42">
        <f t="shared" si="36"/>
        <v>2054.829230625</v>
      </c>
      <c r="O2246" s="3">
        <v>2244</v>
      </c>
    </row>
    <row r="2247" spans="1:15" x14ac:dyDescent="0.25">
      <c r="A2247" s="3">
        <v>9</v>
      </c>
      <c r="B2247" s="3" t="s">
        <v>287</v>
      </c>
      <c r="C2247" s="3" t="s">
        <v>262</v>
      </c>
      <c r="D2247" s="3" t="s">
        <v>444</v>
      </c>
      <c r="E2247" s="11" t="s">
        <v>144</v>
      </c>
      <c r="F2247" s="3" t="s">
        <v>8</v>
      </c>
      <c r="G2247" s="66" t="s">
        <v>1047</v>
      </c>
      <c r="H2247" s="8"/>
      <c r="I2247" s="8"/>
      <c r="J2247" s="6" t="s">
        <v>455</v>
      </c>
      <c r="K2247" s="38">
        <v>118025</v>
      </c>
      <c r="L2247" s="4" t="s">
        <v>24</v>
      </c>
      <c r="M2247" s="11">
        <f>_xlfn.NUMBERVALUE(LEFT(Table613612[[#This Row],[Fiscal Year]], 4))</f>
        <v>2016</v>
      </c>
      <c r="N2247" s="42">
        <f t="shared" si="36"/>
        <v>123744.78656250001</v>
      </c>
      <c r="O2247" s="3">
        <v>2245</v>
      </c>
    </row>
    <row r="2248" spans="1:15" x14ac:dyDescent="0.25">
      <c r="A2248" s="3">
        <v>9</v>
      </c>
      <c r="B2248" s="3" t="s">
        <v>287</v>
      </c>
      <c r="C2248" s="3" t="s">
        <v>262</v>
      </c>
      <c r="D2248" s="3" t="s">
        <v>444</v>
      </c>
      <c r="E2248" s="11" t="s">
        <v>144</v>
      </c>
      <c r="F2248" s="3" t="s">
        <v>8</v>
      </c>
      <c r="G2248" s="66" t="s">
        <v>1024</v>
      </c>
      <c r="H2248" s="8"/>
      <c r="I2248" s="8"/>
      <c r="J2248" s="6" t="s">
        <v>455</v>
      </c>
      <c r="K2248" s="38">
        <v>0</v>
      </c>
      <c r="L2248" s="4" t="s">
        <v>24</v>
      </c>
      <c r="M2248" s="11">
        <f>_xlfn.NUMBERVALUE(LEFT(Table613612[[#This Row],[Fiscal Year]], 4))</f>
        <v>2016</v>
      </c>
      <c r="N2248" s="42">
        <f t="shared" si="36"/>
        <v>0</v>
      </c>
      <c r="O2248" s="3">
        <v>2246</v>
      </c>
    </row>
    <row r="2249" spans="1:15" x14ac:dyDescent="0.25">
      <c r="E2249" s="11"/>
      <c r="G2249" s="66"/>
      <c r="H2249" s="8"/>
      <c r="I2249" s="8"/>
      <c r="J2249" s="6"/>
      <c r="L2249" s="4"/>
      <c r="O2249" s="3">
        <v>2247</v>
      </c>
    </row>
    <row r="2250" spans="1:15" x14ac:dyDescent="0.25">
      <c r="A2250" s="3">
        <v>9</v>
      </c>
      <c r="B2250" s="5" t="s">
        <v>288</v>
      </c>
      <c r="C2250" s="3" t="s">
        <v>262</v>
      </c>
      <c r="D2250" s="3" t="s">
        <v>444</v>
      </c>
      <c r="E2250" s="11" t="s">
        <v>144</v>
      </c>
      <c r="F2250" s="3" t="s">
        <v>8</v>
      </c>
      <c r="G2250" s="66"/>
      <c r="H2250" s="8"/>
      <c r="I2250" s="8" t="s">
        <v>640</v>
      </c>
      <c r="J2250" s="6"/>
      <c r="L2250" s="4" t="s">
        <v>26</v>
      </c>
      <c r="M2250" s="11">
        <f>_xlfn.NUMBERVALUE(LEFT(Table613612[[#This Row],[Fiscal Year]], 4))</f>
        <v>2018</v>
      </c>
      <c r="N2250" s="42">
        <f t="shared" si="36"/>
        <v>0</v>
      </c>
      <c r="O2250" s="3">
        <v>2248</v>
      </c>
    </row>
    <row r="2251" spans="1:15" x14ac:dyDescent="0.25">
      <c r="A2251" s="3">
        <v>9</v>
      </c>
      <c r="B2251" s="5" t="s">
        <v>288</v>
      </c>
      <c r="C2251" s="3" t="s">
        <v>262</v>
      </c>
      <c r="D2251" s="3" t="s">
        <v>444</v>
      </c>
      <c r="E2251" s="11" t="s">
        <v>144</v>
      </c>
      <c r="F2251" s="3" t="s">
        <v>8</v>
      </c>
      <c r="G2251" s="66"/>
      <c r="H2251" s="8"/>
      <c r="I2251" s="8"/>
      <c r="J2251" s="6"/>
      <c r="L2251" s="4" t="s">
        <v>26</v>
      </c>
      <c r="M2251" s="11">
        <f>_xlfn.NUMBERVALUE(LEFT(Table613612[[#This Row],[Fiscal Year]], 4))</f>
        <v>2018</v>
      </c>
      <c r="N2251" s="42">
        <f t="shared" si="36"/>
        <v>0</v>
      </c>
      <c r="O2251" s="3">
        <v>2249</v>
      </c>
    </row>
    <row r="2252" spans="1:15" x14ac:dyDescent="0.25">
      <c r="A2252" s="3">
        <v>9</v>
      </c>
      <c r="B2252" s="5" t="s">
        <v>288</v>
      </c>
      <c r="C2252" s="3" t="s">
        <v>262</v>
      </c>
      <c r="D2252" s="3" t="s">
        <v>444</v>
      </c>
      <c r="E2252" s="11" t="s">
        <v>144</v>
      </c>
      <c r="F2252" s="3" t="s">
        <v>8</v>
      </c>
      <c r="G2252" s="66"/>
      <c r="H2252" s="8"/>
      <c r="I2252" s="8"/>
      <c r="J2252" s="6"/>
      <c r="L2252" s="4" t="s">
        <v>26</v>
      </c>
      <c r="M2252" s="11">
        <f>_xlfn.NUMBERVALUE(LEFT(Table613612[[#This Row],[Fiscal Year]], 4))</f>
        <v>2018</v>
      </c>
      <c r="N2252" s="42">
        <f t="shared" si="36"/>
        <v>0</v>
      </c>
      <c r="O2252" s="3">
        <v>2250</v>
      </c>
    </row>
    <row r="2253" spans="1:15" x14ac:dyDescent="0.25">
      <c r="A2253" s="3">
        <v>9</v>
      </c>
      <c r="B2253" s="5" t="s">
        <v>288</v>
      </c>
      <c r="C2253" s="3" t="s">
        <v>262</v>
      </c>
      <c r="D2253" s="3" t="s">
        <v>444</v>
      </c>
      <c r="E2253" s="11" t="s">
        <v>144</v>
      </c>
      <c r="F2253" s="3" t="s">
        <v>8</v>
      </c>
      <c r="G2253" s="66"/>
      <c r="H2253" s="8"/>
      <c r="I2253" s="8"/>
      <c r="J2253" s="6"/>
      <c r="L2253" s="4" t="s">
        <v>26</v>
      </c>
      <c r="M2253" s="11">
        <f>_xlfn.NUMBERVALUE(LEFT(Table613612[[#This Row],[Fiscal Year]], 4))</f>
        <v>2018</v>
      </c>
      <c r="N2253" s="42">
        <f t="shared" si="36"/>
        <v>0</v>
      </c>
      <c r="O2253" s="3">
        <v>2251</v>
      </c>
    </row>
    <row r="2254" spans="1:15" x14ac:dyDescent="0.25">
      <c r="A2254" s="3">
        <v>9</v>
      </c>
      <c r="B2254" s="5" t="s">
        <v>288</v>
      </c>
      <c r="C2254" s="3" t="s">
        <v>262</v>
      </c>
      <c r="D2254" s="3" t="s">
        <v>444</v>
      </c>
      <c r="E2254" s="11" t="s">
        <v>144</v>
      </c>
      <c r="F2254" s="3" t="s">
        <v>8</v>
      </c>
      <c r="G2254" s="66"/>
      <c r="H2254" s="8"/>
      <c r="I2254" s="8"/>
      <c r="J2254" s="6"/>
      <c r="L2254" s="4" t="s">
        <v>26</v>
      </c>
      <c r="M2254" s="11">
        <f>_xlfn.NUMBERVALUE(LEFT(Table613612[[#This Row],[Fiscal Year]], 4))</f>
        <v>2018</v>
      </c>
      <c r="N2254" s="42">
        <f t="shared" si="36"/>
        <v>0</v>
      </c>
      <c r="O2254" s="3">
        <v>2252</v>
      </c>
    </row>
    <row r="2255" spans="1:15" x14ac:dyDescent="0.25">
      <c r="E2255" s="11"/>
      <c r="G2255" s="66"/>
      <c r="H2255" s="8"/>
      <c r="I2255" s="8"/>
      <c r="J2255" s="6"/>
      <c r="L2255" s="4"/>
      <c r="O2255" s="3">
        <v>2253</v>
      </c>
    </row>
    <row r="2256" spans="1:15" x14ac:dyDescent="0.25">
      <c r="A2256" s="3">
        <v>9</v>
      </c>
      <c r="B2256" s="3" t="s">
        <v>289</v>
      </c>
      <c r="C2256" s="3" t="s">
        <v>262</v>
      </c>
      <c r="D2256" s="3" t="s">
        <v>444</v>
      </c>
      <c r="E2256" s="11" t="s">
        <v>144</v>
      </c>
      <c r="F2256" s="3" t="s">
        <v>8</v>
      </c>
      <c r="G2256" s="48" t="s">
        <v>1026</v>
      </c>
      <c r="H2256" s="8"/>
      <c r="I2256" s="8" t="s">
        <v>640</v>
      </c>
      <c r="J2256" s="6" t="s">
        <v>76</v>
      </c>
      <c r="K2256" s="38">
        <v>29471</v>
      </c>
      <c r="L2256" s="4" t="s">
        <v>25</v>
      </c>
      <c r="M2256" s="11">
        <f>_xlfn.NUMBERVALUE(LEFT(Table613612[[#This Row],[Fiscal Year]], 4))</f>
        <v>2017</v>
      </c>
      <c r="N2256" s="42">
        <f t="shared" si="36"/>
        <v>30256.292129742964</v>
      </c>
      <c r="O2256" s="3">
        <v>2254</v>
      </c>
    </row>
    <row r="2257" spans="1:15" x14ac:dyDescent="0.25">
      <c r="A2257" s="3">
        <v>9</v>
      </c>
      <c r="B2257" s="3" t="s">
        <v>289</v>
      </c>
      <c r="C2257" s="3" t="s">
        <v>262</v>
      </c>
      <c r="D2257" s="3" t="s">
        <v>444</v>
      </c>
      <c r="E2257" s="11" t="s">
        <v>144</v>
      </c>
      <c r="F2257" s="3" t="s">
        <v>8</v>
      </c>
      <c r="G2257" s="66" t="s">
        <v>1037</v>
      </c>
      <c r="H2257" s="8"/>
      <c r="I2257" s="8"/>
      <c r="J2257" s="6" t="s">
        <v>76</v>
      </c>
      <c r="K2257" s="38">
        <v>1196092</v>
      </c>
      <c r="L2257" s="4" t="s">
        <v>25</v>
      </c>
      <c r="M2257" s="11">
        <f>_xlfn.NUMBERVALUE(LEFT(Table613612[[#This Row],[Fiscal Year]], 4))</f>
        <v>2017</v>
      </c>
      <c r="N2257" s="42">
        <f t="shared" si="36"/>
        <v>1227963.3865850675</v>
      </c>
      <c r="O2257" s="3">
        <v>2255</v>
      </c>
    </row>
    <row r="2258" spans="1:15" x14ac:dyDescent="0.25">
      <c r="A2258" s="3">
        <v>9</v>
      </c>
      <c r="B2258" s="3" t="s">
        <v>289</v>
      </c>
      <c r="C2258" s="3" t="s">
        <v>262</v>
      </c>
      <c r="D2258" s="3" t="s">
        <v>444</v>
      </c>
      <c r="E2258" s="11" t="s">
        <v>144</v>
      </c>
      <c r="F2258" s="3" t="s">
        <v>8</v>
      </c>
      <c r="G2258" s="66" t="s">
        <v>1010</v>
      </c>
      <c r="H2258" s="8"/>
      <c r="I2258" s="8"/>
      <c r="J2258" s="6" t="s">
        <v>76</v>
      </c>
      <c r="K2258" s="38">
        <v>1110386</v>
      </c>
      <c r="L2258" s="4" t="s">
        <v>25</v>
      </c>
      <c r="M2258" s="11">
        <f>_xlfn.NUMBERVALUE(LEFT(Table613612[[#This Row],[Fiscal Year]], 4))</f>
        <v>2017</v>
      </c>
      <c r="N2258" s="42">
        <f t="shared" si="36"/>
        <v>1139973.641640147</v>
      </c>
      <c r="O2258" s="3">
        <v>2256</v>
      </c>
    </row>
    <row r="2259" spans="1:15" x14ac:dyDescent="0.25">
      <c r="A2259" s="3">
        <v>9</v>
      </c>
      <c r="B2259" s="3" t="s">
        <v>289</v>
      </c>
      <c r="C2259" s="3" t="s">
        <v>262</v>
      </c>
      <c r="D2259" s="3" t="s">
        <v>444</v>
      </c>
      <c r="E2259" s="11" t="s">
        <v>144</v>
      </c>
      <c r="F2259" s="3" t="s">
        <v>8</v>
      </c>
      <c r="G2259" s="48" t="s">
        <v>1060</v>
      </c>
      <c r="H2259" s="8" t="s">
        <v>511</v>
      </c>
      <c r="I2259" s="8"/>
      <c r="J2259" s="6" t="s">
        <v>110</v>
      </c>
      <c r="K2259" s="38">
        <v>275714.5</v>
      </c>
      <c r="L2259" s="4" t="s">
        <v>25</v>
      </c>
      <c r="M2259" s="11">
        <f>_xlfn.NUMBERVALUE(LEFT(Table613612[[#This Row],[Fiscal Year]], 4))</f>
        <v>2017</v>
      </c>
      <c r="N2259" s="42">
        <f t="shared" si="36"/>
        <v>283061.26213586295</v>
      </c>
      <c r="O2259" s="3">
        <v>2257</v>
      </c>
    </row>
    <row r="2260" spans="1:15" x14ac:dyDescent="0.25">
      <c r="A2260" s="3">
        <v>9</v>
      </c>
      <c r="B2260" s="3" t="s">
        <v>289</v>
      </c>
      <c r="C2260" s="3" t="s">
        <v>262</v>
      </c>
      <c r="D2260" s="3" t="s">
        <v>444</v>
      </c>
      <c r="E2260" s="11" t="s">
        <v>144</v>
      </c>
      <c r="F2260" s="3" t="s">
        <v>8</v>
      </c>
      <c r="G2260" s="48" t="s">
        <v>1061</v>
      </c>
      <c r="H2260" s="8" t="s">
        <v>507</v>
      </c>
      <c r="I2260" s="8"/>
      <c r="J2260" s="6" t="s">
        <v>108</v>
      </c>
      <c r="K2260" s="38">
        <v>81412</v>
      </c>
      <c r="L2260" s="4" t="s">
        <v>25</v>
      </c>
      <c r="M2260" s="11">
        <f>_xlfn.NUMBERVALUE(LEFT(Table613612[[#This Row],[Fiscal Year]], 4))</f>
        <v>2017</v>
      </c>
      <c r="N2260" s="42">
        <f t="shared" si="36"/>
        <v>83581.325875153008</v>
      </c>
      <c r="O2260" s="3">
        <v>2258</v>
      </c>
    </row>
    <row r="2261" spans="1:15" x14ac:dyDescent="0.25">
      <c r="A2261" s="3">
        <v>9</v>
      </c>
      <c r="B2261" s="3" t="s">
        <v>289</v>
      </c>
      <c r="C2261" s="3" t="s">
        <v>262</v>
      </c>
      <c r="D2261" s="3" t="s">
        <v>444</v>
      </c>
      <c r="E2261" s="11" t="s">
        <v>144</v>
      </c>
      <c r="F2261" s="3" t="s">
        <v>8</v>
      </c>
      <c r="G2261" s="48" t="s">
        <v>1062</v>
      </c>
      <c r="H2261" s="8" t="s">
        <v>507</v>
      </c>
      <c r="I2261" s="8"/>
      <c r="J2261" s="6" t="s">
        <v>108</v>
      </c>
      <c r="K2261" s="38">
        <v>226026</v>
      </c>
      <c r="L2261" s="4" t="s">
        <v>25</v>
      </c>
      <c r="M2261" s="11">
        <f>_xlfn.NUMBERVALUE(LEFT(Table613612[[#This Row],[Fiscal Year]], 4))</f>
        <v>2017</v>
      </c>
      <c r="N2261" s="42">
        <f t="shared" si="36"/>
        <v>232048.74910648717</v>
      </c>
      <c r="O2261" s="3">
        <v>2259</v>
      </c>
    </row>
    <row r="2262" spans="1:15" x14ac:dyDescent="0.25">
      <c r="A2262" s="3">
        <v>9</v>
      </c>
      <c r="B2262" s="3" t="s">
        <v>289</v>
      </c>
      <c r="C2262" s="3" t="s">
        <v>262</v>
      </c>
      <c r="D2262" s="3" t="s">
        <v>444</v>
      </c>
      <c r="E2262" s="11" t="s">
        <v>144</v>
      </c>
      <c r="F2262" s="3" t="s">
        <v>8</v>
      </c>
      <c r="G2262" s="48" t="s">
        <v>1063</v>
      </c>
      <c r="H2262" s="8" t="s">
        <v>507</v>
      </c>
      <c r="I2262" s="8"/>
      <c r="J2262" s="6" t="s">
        <v>108</v>
      </c>
      <c r="K2262" s="38">
        <v>156611</v>
      </c>
      <c r="L2262" s="4" t="s">
        <v>25</v>
      </c>
      <c r="M2262" s="11">
        <f>_xlfn.NUMBERVALUE(LEFT(Table613612[[#This Row],[Fiscal Year]], 4))</f>
        <v>2017</v>
      </c>
      <c r="N2262" s="42">
        <f t="shared" si="36"/>
        <v>160784.09849449206</v>
      </c>
      <c r="O2262" s="3">
        <v>2260</v>
      </c>
    </row>
    <row r="2263" spans="1:15" x14ac:dyDescent="0.25">
      <c r="A2263" s="3">
        <v>9</v>
      </c>
      <c r="B2263" s="3" t="s">
        <v>289</v>
      </c>
      <c r="C2263" s="3" t="s">
        <v>262</v>
      </c>
      <c r="D2263" s="3" t="s">
        <v>444</v>
      </c>
      <c r="E2263" s="11" t="s">
        <v>144</v>
      </c>
      <c r="F2263" s="3" t="s">
        <v>8</v>
      </c>
      <c r="G2263" s="48" t="s">
        <v>1064</v>
      </c>
      <c r="H2263" s="8" t="s">
        <v>507</v>
      </c>
      <c r="I2263" s="8"/>
      <c r="J2263" s="6" t="s">
        <v>108</v>
      </c>
      <c r="K2263" s="38">
        <v>26198.02</v>
      </c>
      <c r="L2263" s="4" t="s">
        <v>25</v>
      </c>
      <c r="M2263" s="11">
        <f>_xlfn.NUMBERVALUE(LEFT(Table613612[[#This Row],[Fiscal Year]], 4))</f>
        <v>2017</v>
      </c>
      <c r="N2263" s="42">
        <f t="shared" si="36"/>
        <v>26896.099431334154</v>
      </c>
      <c r="O2263" s="3">
        <v>2261</v>
      </c>
    </row>
    <row r="2264" spans="1:15" x14ac:dyDescent="0.25">
      <c r="A2264" s="3">
        <v>9</v>
      </c>
      <c r="B2264" s="3" t="s">
        <v>289</v>
      </c>
      <c r="C2264" s="3" t="s">
        <v>262</v>
      </c>
      <c r="D2264" s="3" t="s">
        <v>444</v>
      </c>
      <c r="E2264" s="11" t="s">
        <v>144</v>
      </c>
      <c r="F2264" s="3" t="s">
        <v>8</v>
      </c>
      <c r="G2264" s="48" t="s">
        <v>1065</v>
      </c>
      <c r="H2264" s="8" t="s">
        <v>507</v>
      </c>
      <c r="I2264" s="8"/>
      <c r="J2264" s="6" t="s">
        <v>108</v>
      </c>
      <c r="K2264" s="38">
        <v>0</v>
      </c>
      <c r="L2264" s="4" t="s">
        <v>25</v>
      </c>
      <c r="M2264" s="11">
        <f>_xlfn.NUMBERVALUE(LEFT(Table613612[[#This Row],[Fiscal Year]], 4))</f>
        <v>2017</v>
      </c>
      <c r="N2264" s="42">
        <f t="shared" si="36"/>
        <v>0</v>
      </c>
      <c r="O2264" s="3">
        <v>2262</v>
      </c>
    </row>
    <row r="2265" spans="1:15" x14ac:dyDescent="0.25">
      <c r="A2265" s="3">
        <v>9</v>
      </c>
      <c r="B2265" s="3" t="s">
        <v>289</v>
      </c>
      <c r="C2265" s="3" t="s">
        <v>262</v>
      </c>
      <c r="D2265" s="3" t="s">
        <v>444</v>
      </c>
      <c r="E2265" s="11" t="s">
        <v>144</v>
      </c>
      <c r="F2265" s="3" t="s">
        <v>8</v>
      </c>
      <c r="G2265" s="66" t="s">
        <v>1066</v>
      </c>
      <c r="H2265" s="8" t="s">
        <v>508</v>
      </c>
      <c r="I2265" s="8"/>
      <c r="J2265" s="6" t="s">
        <v>42</v>
      </c>
      <c r="K2265" s="38">
        <v>95909.5</v>
      </c>
      <c r="L2265" s="4" t="s">
        <v>25</v>
      </c>
      <c r="M2265" s="11">
        <f>_xlfn.NUMBERVALUE(LEFT(Table613612[[#This Row],[Fiscal Year]], 4))</f>
        <v>2017</v>
      </c>
      <c r="N2265" s="42">
        <f>K2265*(1+VLOOKUP(M2265,$AF$8:$AH$31,3,0))</f>
        <v>98465.130128518984</v>
      </c>
      <c r="O2265" s="3">
        <v>2263</v>
      </c>
    </row>
    <row r="2266" spans="1:15" x14ac:dyDescent="0.25">
      <c r="A2266" s="3">
        <v>9</v>
      </c>
      <c r="B2266" s="3" t="s">
        <v>289</v>
      </c>
      <c r="C2266" s="3" t="s">
        <v>262</v>
      </c>
      <c r="D2266" s="3" t="s">
        <v>444</v>
      </c>
      <c r="E2266" s="11" t="s">
        <v>144</v>
      </c>
      <c r="F2266" s="3" t="s">
        <v>8</v>
      </c>
      <c r="G2266" s="66" t="s">
        <v>1067</v>
      </c>
      <c r="H2266" s="8" t="s">
        <v>508</v>
      </c>
      <c r="I2266" s="8"/>
      <c r="J2266" s="6" t="s">
        <v>453</v>
      </c>
      <c r="K2266" s="38">
        <v>0</v>
      </c>
      <c r="L2266" s="4" t="s">
        <v>25</v>
      </c>
      <c r="M2266" s="11">
        <f>_xlfn.NUMBERVALUE(LEFT(Table613612[[#This Row],[Fiscal Year]], 4))</f>
        <v>2017</v>
      </c>
      <c r="N2266" s="42">
        <f t="shared" si="36"/>
        <v>0</v>
      </c>
      <c r="O2266" s="3">
        <v>2264</v>
      </c>
    </row>
    <row r="2267" spans="1:15" x14ac:dyDescent="0.25">
      <c r="A2267" s="3">
        <v>9</v>
      </c>
      <c r="B2267" s="3" t="s">
        <v>289</v>
      </c>
      <c r="C2267" s="3" t="s">
        <v>262</v>
      </c>
      <c r="D2267" s="3" t="s">
        <v>444</v>
      </c>
      <c r="E2267" s="11" t="s">
        <v>144</v>
      </c>
      <c r="F2267" s="3" t="s">
        <v>8</v>
      </c>
      <c r="G2267" s="66" t="s">
        <v>1068</v>
      </c>
      <c r="H2267" s="8" t="s">
        <v>512</v>
      </c>
      <c r="I2267" s="8"/>
      <c r="J2267" s="6" t="s">
        <v>111</v>
      </c>
      <c r="K2267" s="38">
        <v>533089.29</v>
      </c>
      <c r="L2267" s="4" t="s">
        <v>25</v>
      </c>
      <c r="M2267" s="11">
        <f>_xlfn.NUMBERVALUE(LEFT(Table613612[[#This Row],[Fiscal Year]], 4))</f>
        <v>2017</v>
      </c>
      <c r="N2267" s="42">
        <f t="shared" si="36"/>
        <v>547294.12946548359</v>
      </c>
      <c r="O2267" s="3">
        <v>2265</v>
      </c>
    </row>
    <row r="2268" spans="1:15" x14ac:dyDescent="0.25">
      <c r="A2268" s="3">
        <v>9</v>
      </c>
      <c r="B2268" s="3" t="s">
        <v>289</v>
      </c>
      <c r="C2268" s="3" t="s">
        <v>262</v>
      </c>
      <c r="D2268" s="3" t="s">
        <v>444</v>
      </c>
      <c r="E2268" s="11" t="s">
        <v>144</v>
      </c>
      <c r="F2268" s="3" t="s">
        <v>8</v>
      </c>
      <c r="G2268" s="66" t="s">
        <v>1069</v>
      </c>
      <c r="H2268" s="8" t="s">
        <v>513</v>
      </c>
      <c r="I2268" s="8"/>
      <c r="J2268" s="6" t="s">
        <v>107</v>
      </c>
      <c r="K2268" s="38">
        <v>70200</v>
      </c>
      <c r="L2268" s="4" t="s">
        <v>25</v>
      </c>
      <c r="M2268" s="11">
        <f>_xlfn.NUMBERVALUE(LEFT(Table613612[[#This Row],[Fiscal Year]], 4))</f>
        <v>2017</v>
      </c>
      <c r="N2268" s="42">
        <f t="shared" si="36"/>
        <v>72070.567931456564</v>
      </c>
      <c r="O2268" s="3">
        <v>2266</v>
      </c>
    </row>
    <row r="2269" spans="1:15" x14ac:dyDescent="0.25">
      <c r="A2269" s="3">
        <v>9</v>
      </c>
      <c r="B2269" s="3" t="s">
        <v>289</v>
      </c>
      <c r="C2269" s="3" t="s">
        <v>262</v>
      </c>
      <c r="D2269" s="3" t="s">
        <v>444</v>
      </c>
      <c r="E2269" s="11" t="s">
        <v>144</v>
      </c>
      <c r="F2269" s="3" t="s">
        <v>8</v>
      </c>
      <c r="G2269" s="66" t="s">
        <v>1070</v>
      </c>
      <c r="H2269" s="8" t="s">
        <v>509</v>
      </c>
      <c r="I2269" s="8"/>
      <c r="J2269" s="6" t="s">
        <v>109</v>
      </c>
      <c r="K2269" s="38">
        <v>24200</v>
      </c>
      <c r="L2269" s="4" t="s">
        <v>25</v>
      </c>
      <c r="M2269" s="11">
        <f>_xlfn.NUMBERVALUE(LEFT(Table613612[[#This Row],[Fiscal Year]], 4))</f>
        <v>2017</v>
      </c>
      <c r="N2269" s="42">
        <f t="shared" si="36"/>
        <v>24844.839657282744</v>
      </c>
      <c r="O2269" s="3">
        <v>2267</v>
      </c>
    </row>
    <row r="2270" spans="1:15" x14ac:dyDescent="0.25">
      <c r="A2270" s="3">
        <v>9</v>
      </c>
      <c r="B2270" s="3" t="s">
        <v>289</v>
      </c>
      <c r="C2270" s="3" t="s">
        <v>262</v>
      </c>
      <c r="D2270" s="3" t="s">
        <v>444</v>
      </c>
      <c r="E2270" s="11" t="s">
        <v>144</v>
      </c>
      <c r="F2270" s="3" t="s">
        <v>8</v>
      </c>
      <c r="G2270" s="66" t="s">
        <v>1071</v>
      </c>
      <c r="H2270" s="8" t="s">
        <v>510</v>
      </c>
      <c r="I2270" s="8"/>
      <c r="J2270" s="6" t="s">
        <v>106</v>
      </c>
      <c r="K2270" s="38">
        <v>60351.5</v>
      </c>
      <c r="L2270" s="4" t="s">
        <v>25</v>
      </c>
      <c r="M2270" s="11">
        <f>_xlfn.NUMBERVALUE(LEFT(Table613612[[#This Row],[Fiscal Year]], 4))</f>
        <v>2017</v>
      </c>
      <c r="N2270" s="42">
        <f t="shared" si="36"/>
        <v>61959.642172582629</v>
      </c>
      <c r="O2270" s="3">
        <v>2268</v>
      </c>
    </row>
    <row r="2271" spans="1:15" x14ac:dyDescent="0.25">
      <c r="A2271" s="3">
        <v>9</v>
      </c>
      <c r="B2271" s="3" t="s">
        <v>289</v>
      </c>
      <c r="C2271" s="3" t="s">
        <v>262</v>
      </c>
      <c r="D2271" s="3" t="s">
        <v>444</v>
      </c>
      <c r="E2271" s="11" t="s">
        <v>144</v>
      </c>
      <c r="F2271" s="3" t="s">
        <v>8</v>
      </c>
      <c r="G2271" s="66" t="s">
        <v>1047</v>
      </c>
      <c r="H2271" s="8"/>
      <c r="I2271" s="8"/>
      <c r="J2271" s="6" t="s">
        <v>455</v>
      </c>
      <c r="K2271" s="38">
        <v>173500</v>
      </c>
      <c r="L2271" s="4" t="s">
        <v>25</v>
      </c>
      <c r="M2271" s="11">
        <f>_xlfn.NUMBERVALUE(LEFT(Table613612[[#This Row],[Fiscal Year]], 4))</f>
        <v>2017</v>
      </c>
      <c r="N2271" s="42">
        <f t="shared" si="36"/>
        <v>178123.12729498165</v>
      </c>
      <c r="O2271" s="3">
        <v>2269</v>
      </c>
    </row>
    <row r="2272" spans="1:15" x14ac:dyDescent="0.25">
      <c r="A2272" s="3">
        <v>9</v>
      </c>
      <c r="B2272" s="3" t="s">
        <v>289</v>
      </c>
      <c r="C2272" s="3" t="s">
        <v>262</v>
      </c>
      <c r="D2272" s="3" t="s">
        <v>444</v>
      </c>
      <c r="E2272" s="11" t="s">
        <v>144</v>
      </c>
      <c r="F2272" s="3" t="s">
        <v>8</v>
      </c>
      <c r="G2272" s="61" t="s">
        <v>1023</v>
      </c>
      <c r="H2272" s="8"/>
      <c r="I2272" s="8"/>
      <c r="J2272" s="6" t="s">
        <v>453</v>
      </c>
      <c r="K2272" s="38" t="s">
        <v>28</v>
      </c>
      <c r="L2272" s="4" t="s">
        <v>25</v>
      </c>
      <c r="M2272" s="11">
        <f>_xlfn.NUMBERVALUE(LEFT(Table613612[[#This Row],[Fiscal Year]], 4))</f>
        <v>2017</v>
      </c>
      <c r="O2272" s="3">
        <v>2270</v>
      </c>
    </row>
    <row r="2273" spans="1:15" x14ac:dyDescent="0.25">
      <c r="A2273" s="3">
        <v>9</v>
      </c>
      <c r="B2273" s="3" t="s">
        <v>289</v>
      </c>
      <c r="C2273" s="3" t="s">
        <v>262</v>
      </c>
      <c r="D2273" s="3" t="s">
        <v>444</v>
      </c>
      <c r="E2273" s="11" t="s">
        <v>144</v>
      </c>
      <c r="F2273" s="3" t="s">
        <v>8</v>
      </c>
      <c r="G2273" s="66" t="s">
        <v>1048</v>
      </c>
      <c r="H2273" s="8"/>
      <c r="I2273" s="8"/>
      <c r="J2273" s="6" t="s">
        <v>455</v>
      </c>
      <c r="K2273" s="38" t="s">
        <v>827</v>
      </c>
      <c r="L2273" s="4" t="s">
        <v>25</v>
      </c>
      <c r="M2273" s="11">
        <f>_xlfn.NUMBERVALUE(LEFT(Table613612[[#This Row],[Fiscal Year]], 4))</f>
        <v>2017</v>
      </c>
      <c r="O2273" s="3">
        <v>2271</v>
      </c>
    </row>
    <row r="2274" spans="1:15" x14ac:dyDescent="0.25">
      <c r="E2274" s="11"/>
      <c r="G2274" s="66"/>
      <c r="H2274" s="8"/>
      <c r="I2274" s="8"/>
      <c r="J2274" s="6"/>
      <c r="L2274" s="4"/>
      <c r="O2274" s="3">
        <v>2272</v>
      </c>
    </row>
    <row r="2275" spans="1:15" x14ac:dyDescent="0.25">
      <c r="E2275" s="11"/>
      <c r="G2275" s="48"/>
      <c r="H2275" s="8"/>
      <c r="I2275" s="8"/>
      <c r="J2275" s="6"/>
      <c r="L2275" s="4"/>
    </row>
    <row r="2276" spans="1:15" x14ac:dyDescent="0.25">
      <c r="E2276" s="11"/>
      <c r="G2276" s="66"/>
      <c r="H2276" s="8"/>
      <c r="I2276" s="8"/>
      <c r="J2276" s="6"/>
      <c r="L2276" s="4"/>
    </row>
    <row r="2277" spans="1:15" x14ac:dyDescent="0.25">
      <c r="E2277" s="11"/>
      <c r="G2277" s="66"/>
      <c r="H2277" s="8"/>
      <c r="I2277" s="8"/>
      <c r="J2277" s="6"/>
      <c r="L2277" s="4"/>
    </row>
    <row r="2278" spans="1:15" x14ac:dyDescent="0.25">
      <c r="E2278" s="11"/>
      <c r="G2278" s="66"/>
      <c r="H2278" s="8"/>
      <c r="I2278" s="8"/>
      <c r="J2278" s="6"/>
      <c r="L2278" s="4"/>
    </row>
    <row r="2279" spans="1:15" x14ac:dyDescent="0.25">
      <c r="E2279" s="11"/>
      <c r="G2279" s="66"/>
      <c r="H2279" s="8"/>
      <c r="I2279" s="8"/>
      <c r="J2279" s="6"/>
      <c r="L2279" s="4"/>
    </row>
    <row r="2280" spans="1:15" x14ac:dyDescent="0.25">
      <c r="E2280" s="11"/>
      <c r="G2280" s="48"/>
      <c r="H2280" s="8"/>
      <c r="I2280" s="8"/>
      <c r="J2280" s="6"/>
      <c r="L2280" s="4"/>
    </row>
    <row r="2281" spans="1:15" x14ac:dyDescent="0.25">
      <c r="E2281" s="11"/>
      <c r="G2281" s="66"/>
      <c r="H2281" s="8"/>
      <c r="I2281" s="8"/>
      <c r="J2281" s="6"/>
      <c r="L2281" s="4"/>
    </row>
    <row r="2282" spans="1:15" x14ac:dyDescent="0.25">
      <c r="E2282" s="11"/>
      <c r="G2282" s="66"/>
      <c r="H2282" s="8"/>
      <c r="I2282" s="8"/>
      <c r="J2282" s="6"/>
      <c r="L2282" s="4"/>
    </row>
    <row r="2283" spans="1:15" x14ac:dyDescent="0.25">
      <c r="E2283" s="11"/>
      <c r="G2283" s="66"/>
      <c r="H2283" s="8"/>
      <c r="I2283" s="8"/>
      <c r="J2283" s="6"/>
      <c r="L2283" s="4"/>
    </row>
    <row r="2284" spans="1:15" x14ac:dyDescent="0.25">
      <c r="E2284" s="11"/>
      <c r="G2284" s="66"/>
      <c r="H2284" s="8"/>
      <c r="I2284" s="8"/>
      <c r="J2284" s="6"/>
      <c r="L2284" s="4"/>
    </row>
    <row r="2285" spans="1:15" x14ac:dyDescent="0.25">
      <c r="E2285" s="11"/>
      <c r="G2285" s="66"/>
      <c r="H2285" s="8"/>
      <c r="I2285" s="8"/>
      <c r="J2285" s="6"/>
      <c r="L2285" s="4"/>
    </row>
    <row r="2286" spans="1:15" x14ac:dyDescent="0.25">
      <c r="E2286" s="11"/>
      <c r="G2286" s="66"/>
      <c r="H2286" s="8"/>
      <c r="I2286" s="8"/>
      <c r="J2286" s="6"/>
      <c r="L2286" s="4"/>
    </row>
    <row r="2287" spans="1:15" x14ac:dyDescent="0.25">
      <c r="E2287" s="11"/>
      <c r="G2287" s="66"/>
      <c r="H2287" s="8"/>
      <c r="I2287" s="8"/>
      <c r="J2287" s="6"/>
      <c r="L2287" s="4"/>
    </row>
    <row r="2288" spans="1:15" x14ac:dyDescent="0.25">
      <c r="E2288" s="11"/>
      <c r="G2288" s="66"/>
      <c r="H2288" s="8"/>
      <c r="I2288" s="8"/>
      <c r="J2288" s="6"/>
      <c r="L2288" s="4"/>
    </row>
    <row r="2289" spans="5:12" x14ac:dyDescent="0.25">
      <c r="E2289" s="11"/>
      <c r="G2289" s="66"/>
      <c r="H2289" s="8"/>
      <c r="I2289" s="8"/>
      <c r="J2289" s="6"/>
      <c r="L2289" s="4"/>
    </row>
    <row r="2290" spans="5:12" x14ac:dyDescent="0.25">
      <c r="E2290" s="11"/>
      <c r="G2290" s="66"/>
      <c r="H2290" s="8"/>
      <c r="I2290" s="8"/>
      <c r="J2290" s="6"/>
      <c r="L2290" s="4"/>
    </row>
    <row r="2291" spans="5:12" x14ac:dyDescent="0.25">
      <c r="E2291" s="11"/>
      <c r="G2291" s="48"/>
      <c r="H2291" s="8"/>
      <c r="I2291" s="8"/>
      <c r="J2291" s="6"/>
      <c r="L2291" s="4"/>
    </row>
    <row r="2292" spans="5:12" x14ac:dyDescent="0.25">
      <c r="E2292" s="11"/>
      <c r="G2292" s="66"/>
      <c r="H2292" s="8"/>
      <c r="I2292" s="8"/>
      <c r="J2292" s="6"/>
      <c r="L2292" s="4"/>
    </row>
    <row r="2293" spans="5:12" x14ac:dyDescent="0.25">
      <c r="E2293" s="11"/>
      <c r="G2293" s="66"/>
      <c r="H2293" s="8"/>
      <c r="I2293" s="8"/>
      <c r="J2293" s="6"/>
      <c r="L2293" s="4"/>
    </row>
    <row r="2294" spans="5:12" x14ac:dyDescent="0.25">
      <c r="E2294" s="11"/>
      <c r="G2294" s="66"/>
      <c r="H2294" s="8"/>
      <c r="I2294" s="8"/>
      <c r="J2294" s="6"/>
      <c r="L2294" s="4"/>
    </row>
    <row r="2295" spans="5:12" x14ac:dyDescent="0.25">
      <c r="E2295" s="11"/>
      <c r="G2295" s="66"/>
      <c r="H2295" s="8"/>
      <c r="I2295" s="8"/>
      <c r="J2295" s="6"/>
      <c r="L2295" s="4"/>
    </row>
    <row r="2296" spans="5:12" x14ac:dyDescent="0.25">
      <c r="E2296" s="11"/>
      <c r="G2296" s="48"/>
      <c r="H2296" s="8"/>
      <c r="I2296" s="8"/>
      <c r="J2296" s="6"/>
      <c r="L2296" s="4"/>
    </row>
    <row r="2297" spans="5:12" x14ac:dyDescent="0.25">
      <c r="E2297" s="11"/>
      <c r="G2297" s="66"/>
      <c r="H2297" s="8"/>
      <c r="I2297" s="8"/>
      <c r="J2297" s="6"/>
      <c r="L2297" s="4"/>
    </row>
    <row r="2298" spans="5:12" x14ac:dyDescent="0.25">
      <c r="E2298" s="11"/>
      <c r="G2298" s="66"/>
      <c r="H2298" s="8"/>
      <c r="I2298" s="8"/>
      <c r="J2298" s="6"/>
      <c r="L2298" s="4"/>
    </row>
    <row r="2299" spans="5:12" x14ac:dyDescent="0.25">
      <c r="E2299" s="11"/>
      <c r="G2299" s="66"/>
      <c r="H2299" s="8"/>
      <c r="I2299" s="8"/>
      <c r="J2299" s="6"/>
      <c r="L2299" s="4"/>
    </row>
    <row r="2300" spans="5:12" x14ac:dyDescent="0.25">
      <c r="E2300" s="11"/>
      <c r="G2300" s="66"/>
      <c r="H2300" s="8"/>
      <c r="I2300" s="8"/>
      <c r="J2300" s="6"/>
      <c r="L2300" s="4"/>
    </row>
    <row r="2301" spans="5:12" x14ac:dyDescent="0.25">
      <c r="E2301" s="11"/>
      <c r="G2301" s="66"/>
      <c r="H2301" s="8"/>
      <c r="I2301" s="8"/>
      <c r="J2301" s="6"/>
      <c r="L2301" s="4"/>
    </row>
    <row r="2302" spans="5:12" x14ac:dyDescent="0.25">
      <c r="E2302" s="11"/>
      <c r="G2302" s="66"/>
      <c r="H2302" s="8"/>
      <c r="I2302" s="8"/>
      <c r="J2302" s="6"/>
      <c r="L2302" s="4"/>
    </row>
    <row r="2303" spans="5:12" x14ac:dyDescent="0.25">
      <c r="E2303" s="11"/>
      <c r="G2303" s="66"/>
      <c r="H2303" s="8"/>
      <c r="I2303" s="8"/>
      <c r="J2303" s="6"/>
      <c r="L2303" s="4"/>
    </row>
    <row r="2304" spans="5:12" x14ac:dyDescent="0.25">
      <c r="E2304" s="11"/>
      <c r="G2304" s="66"/>
      <c r="H2304" s="8"/>
      <c r="I2304" s="8"/>
      <c r="J2304" s="6"/>
      <c r="L2304" s="4"/>
    </row>
    <row r="2305" spans="5:12" x14ac:dyDescent="0.25">
      <c r="E2305" s="11"/>
      <c r="G2305" s="66"/>
      <c r="H2305" s="8"/>
      <c r="I2305" s="8"/>
      <c r="J2305" s="6"/>
      <c r="L2305" s="4"/>
    </row>
    <row r="2306" spans="5:12" x14ac:dyDescent="0.25">
      <c r="E2306" s="11"/>
      <c r="G2306" s="66"/>
      <c r="H2306" s="8"/>
      <c r="I2306" s="8"/>
      <c r="J2306" s="6"/>
      <c r="L2306" s="4"/>
    </row>
    <row r="2307" spans="5:12" x14ac:dyDescent="0.25">
      <c r="E2307" s="11"/>
      <c r="G2307" s="66"/>
      <c r="H2307" s="8"/>
      <c r="I2307" s="8"/>
      <c r="J2307" s="6"/>
      <c r="L2307" s="4"/>
    </row>
    <row r="2308" spans="5:12" x14ac:dyDescent="0.25">
      <c r="E2308" s="11"/>
      <c r="G2308" s="48"/>
      <c r="H2308" s="8"/>
      <c r="I2308" s="8"/>
      <c r="J2308" s="6"/>
      <c r="L2308" s="4"/>
    </row>
    <row r="2309" spans="5:12" x14ac:dyDescent="0.25">
      <c r="E2309" s="11"/>
      <c r="G2309" s="66"/>
      <c r="H2309" s="8"/>
      <c r="I2309" s="8"/>
      <c r="J2309" s="6"/>
      <c r="L2309" s="4"/>
    </row>
    <row r="2310" spans="5:12" x14ac:dyDescent="0.25">
      <c r="E2310" s="11"/>
      <c r="G2310" s="66"/>
      <c r="H2310" s="8"/>
      <c r="I2310" s="8"/>
      <c r="J2310" s="6"/>
      <c r="L2310" s="4"/>
    </row>
    <row r="2311" spans="5:12" x14ac:dyDescent="0.25">
      <c r="E2311" s="11"/>
      <c r="G2311" s="66"/>
      <c r="H2311" s="8"/>
      <c r="I2311" s="8"/>
      <c r="J2311" s="6"/>
      <c r="L2311" s="4"/>
    </row>
    <row r="2312" spans="5:12" x14ac:dyDescent="0.25">
      <c r="E2312" s="11"/>
      <c r="G2312" s="66"/>
      <c r="H2312" s="8"/>
      <c r="I2312" s="8"/>
      <c r="J2312" s="6"/>
      <c r="L2312" s="4"/>
    </row>
    <row r="2313" spans="5:12" x14ac:dyDescent="0.25">
      <c r="E2313" s="11"/>
      <c r="G2313" s="48"/>
      <c r="H2313" s="8"/>
      <c r="I2313" s="8"/>
      <c r="J2313" s="6"/>
      <c r="L2313" s="4"/>
    </row>
    <row r="2314" spans="5:12" x14ac:dyDescent="0.25">
      <c r="E2314" s="11"/>
      <c r="G2314" s="66"/>
      <c r="H2314" s="8"/>
      <c r="I2314" s="8"/>
      <c r="J2314" s="6"/>
      <c r="L2314" s="4"/>
    </row>
    <row r="2315" spans="5:12" x14ac:dyDescent="0.25">
      <c r="E2315" s="11"/>
      <c r="G2315" s="66"/>
      <c r="H2315" s="8"/>
      <c r="I2315" s="8"/>
      <c r="J2315" s="6"/>
      <c r="L2315" s="4"/>
    </row>
    <row r="2316" spans="5:12" x14ac:dyDescent="0.25">
      <c r="E2316" s="11"/>
      <c r="G2316" s="66"/>
      <c r="H2316" s="8"/>
      <c r="I2316" s="8"/>
      <c r="J2316" s="6"/>
      <c r="L2316" s="4"/>
    </row>
    <row r="2317" spans="5:12" x14ac:dyDescent="0.25">
      <c r="E2317" s="11"/>
      <c r="G2317" s="66"/>
      <c r="H2317" s="8"/>
      <c r="I2317" s="8"/>
      <c r="J2317" s="6"/>
      <c r="L2317" s="4"/>
    </row>
    <row r="2318" spans="5:12" x14ac:dyDescent="0.25">
      <c r="E2318" s="11"/>
      <c r="G2318" s="66"/>
      <c r="H2318" s="8"/>
      <c r="I2318" s="8"/>
      <c r="J2318" s="6"/>
      <c r="L2318" s="4"/>
    </row>
    <row r="2319" spans="5:12" x14ac:dyDescent="0.25">
      <c r="E2319" s="11"/>
      <c r="G2319" s="66"/>
      <c r="H2319" s="8"/>
      <c r="I2319" s="8"/>
      <c r="J2319" s="6"/>
      <c r="L2319" s="4"/>
    </row>
    <row r="2320" spans="5:12" x14ac:dyDescent="0.25">
      <c r="E2320" s="11"/>
      <c r="G2320" s="66"/>
      <c r="H2320" s="8"/>
      <c r="I2320" s="8"/>
      <c r="J2320" s="6"/>
      <c r="L2320" s="4"/>
    </row>
    <row r="2321" spans="5:12" x14ac:dyDescent="0.25">
      <c r="E2321" s="11"/>
      <c r="G2321" s="66"/>
      <c r="H2321" s="8"/>
      <c r="I2321" s="8"/>
      <c r="J2321" s="6"/>
      <c r="L2321" s="4"/>
    </row>
    <row r="2322" spans="5:12" x14ac:dyDescent="0.25">
      <c r="E2322" s="11"/>
      <c r="G2322" s="66"/>
      <c r="H2322" s="8"/>
      <c r="I2322" s="8"/>
      <c r="J2322" s="6"/>
      <c r="L2322" s="4"/>
    </row>
    <row r="2323" spans="5:12" x14ac:dyDescent="0.25">
      <c r="E2323" s="11"/>
      <c r="G2323" s="66"/>
      <c r="H2323" s="8"/>
      <c r="I2323" s="8"/>
      <c r="J2323" s="6"/>
      <c r="L2323" s="4"/>
    </row>
    <row r="2324" spans="5:12" x14ac:dyDescent="0.25">
      <c r="E2324" s="11"/>
      <c r="G2324" s="48"/>
      <c r="H2324" s="8"/>
      <c r="I2324" s="8"/>
      <c r="J2324" s="6"/>
      <c r="L2324" s="4"/>
    </row>
    <row r="2325" spans="5:12" x14ac:dyDescent="0.25">
      <c r="E2325" s="11"/>
      <c r="G2325" s="66"/>
      <c r="H2325" s="8"/>
      <c r="I2325" s="8"/>
      <c r="J2325" s="6"/>
      <c r="L2325" s="4"/>
    </row>
    <row r="2326" spans="5:12" x14ac:dyDescent="0.25">
      <c r="E2326" s="11"/>
      <c r="G2326" s="66"/>
      <c r="H2326" s="8"/>
      <c r="I2326" s="8"/>
      <c r="J2326" s="6"/>
      <c r="L2326" s="4"/>
    </row>
    <row r="2327" spans="5:12" x14ac:dyDescent="0.25">
      <c r="E2327" s="11"/>
      <c r="G2327" s="66"/>
      <c r="H2327" s="8"/>
      <c r="I2327" s="8"/>
      <c r="J2327" s="6"/>
      <c r="L2327" s="4"/>
    </row>
    <row r="2328" spans="5:12" x14ac:dyDescent="0.25">
      <c r="E2328" s="11"/>
      <c r="G2328" s="66"/>
      <c r="H2328" s="8"/>
      <c r="I2328" s="8"/>
      <c r="J2328" s="6"/>
      <c r="L2328" s="4"/>
    </row>
    <row r="2329" spans="5:12" x14ac:dyDescent="0.25">
      <c r="E2329" s="11"/>
      <c r="G2329" s="48"/>
      <c r="H2329" s="8"/>
      <c r="I2329" s="8"/>
      <c r="J2329" s="6"/>
      <c r="L2329" s="4"/>
    </row>
    <row r="2330" spans="5:12" x14ac:dyDescent="0.25">
      <c r="E2330" s="11"/>
      <c r="G2330" s="66"/>
      <c r="H2330" s="8"/>
      <c r="I2330" s="8"/>
      <c r="J2330" s="6"/>
      <c r="L2330" s="4"/>
    </row>
    <row r="2331" spans="5:12" x14ac:dyDescent="0.25">
      <c r="E2331" s="11"/>
      <c r="G2331" s="66"/>
      <c r="H2331" s="8"/>
      <c r="I2331" s="8"/>
      <c r="J2331" s="6"/>
      <c r="L2331" s="4"/>
    </row>
    <row r="2332" spans="5:12" x14ac:dyDescent="0.25">
      <c r="E2332" s="11"/>
      <c r="G2332" s="66"/>
      <c r="H2332" s="8"/>
      <c r="I2332" s="8"/>
      <c r="J2332" s="6"/>
      <c r="L2332" s="4"/>
    </row>
    <row r="2333" spans="5:12" x14ac:dyDescent="0.25">
      <c r="E2333" s="11"/>
      <c r="G2333" s="66"/>
      <c r="H2333" s="8"/>
      <c r="I2333" s="8"/>
      <c r="J2333" s="6"/>
      <c r="L2333" s="4"/>
    </row>
    <row r="2334" spans="5:12" x14ac:dyDescent="0.25">
      <c r="E2334" s="11"/>
      <c r="G2334" s="66"/>
      <c r="H2334" s="8"/>
      <c r="I2334" s="8"/>
      <c r="J2334" s="6"/>
      <c r="L2334" s="4"/>
    </row>
    <row r="2335" spans="5:12" x14ac:dyDescent="0.25">
      <c r="E2335" s="11"/>
      <c r="G2335" s="66"/>
      <c r="H2335" s="8"/>
      <c r="I2335" s="8"/>
      <c r="J2335" s="6"/>
      <c r="L2335" s="4"/>
    </row>
    <row r="2336" spans="5:12" x14ac:dyDescent="0.25">
      <c r="E2336" s="11"/>
      <c r="G2336" s="66"/>
      <c r="H2336" s="8"/>
      <c r="I2336" s="8"/>
      <c r="J2336" s="6"/>
      <c r="L2336" s="4"/>
    </row>
    <row r="2337" spans="5:12" x14ac:dyDescent="0.25">
      <c r="E2337" s="11"/>
      <c r="G2337" s="66"/>
      <c r="H2337" s="8"/>
      <c r="I2337" s="8"/>
      <c r="J2337" s="6"/>
      <c r="L2337" s="4"/>
    </row>
    <row r="2338" spans="5:12" x14ac:dyDescent="0.25">
      <c r="E2338" s="11"/>
      <c r="G2338" s="66"/>
      <c r="H2338" s="8"/>
      <c r="I2338" s="8"/>
      <c r="J2338" s="6"/>
      <c r="L2338" s="4"/>
    </row>
    <row r="2339" spans="5:12" x14ac:dyDescent="0.25">
      <c r="E2339" s="11"/>
      <c r="G2339" s="66"/>
      <c r="H2339" s="8"/>
      <c r="I2339" s="8"/>
      <c r="J2339" s="6"/>
      <c r="L2339" s="4"/>
    </row>
    <row r="2340" spans="5:12" x14ac:dyDescent="0.25">
      <c r="E2340" s="11"/>
      <c r="G2340" s="66"/>
      <c r="H2340" s="8"/>
      <c r="I2340" s="8"/>
      <c r="J2340" s="6"/>
      <c r="L2340" s="4"/>
    </row>
    <row r="2341" spans="5:12" x14ac:dyDescent="0.25">
      <c r="E2341" s="11"/>
      <c r="G2341" s="48"/>
      <c r="H2341" s="8"/>
      <c r="I2341" s="8"/>
      <c r="J2341" s="6"/>
      <c r="L2341" s="4"/>
    </row>
    <row r="2342" spans="5:12" x14ac:dyDescent="0.25">
      <c r="E2342" s="11"/>
      <c r="G2342" s="66"/>
      <c r="H2342" s="8"/>
      <c r="I2342" s="8"/>
      <c r="J2342" s="6"/>
      <c r="L2342" s="4"/>
    </row>
    <row r="2343" spans="5:12" x14ac:dyDescent="0.25">
      <c r="E2343" s="11"/>
      <c r="G2343" s="66"/>
      <c r="H2343" s="8"/>
      <c r="I2343" s="8"/>
      <c r="J2343" s="6"/>
      <c r="L2343" s="4"/>
    </row>
    <row r="2344" spans="5:12" x14ac:dyDescent="0.25">
      <c r="E2344" s="11"/>
      <c r="G2344" s="66"/>
      <c r="H2344" s="8"/>
      <c r="I2344" s="8"/>
      <c r="J2344" s="6"/>
      <c r="L2344" s="4"/>
    </row>
    <row r="2345" spans="5:12" x14ac:dyDescent="0.25">
      <c r="E2345" s="11"/>
      <c r="G2345" s="66"/>
      <c r="H2345" s="8"/>
      <c r="I2345" s="8"/>
      <c r="J2345" s="6"/>
      <c r="L2345" s="4"/>
    </row>
    <row r="2346" spans="5:12" x14ac:dyDescent="0.25">
      <c r="E2346" s="11"/>
      <c r="G2346" s="48"/>
      <c r="H2346" s="8"/>
      <c r="I2346" s="8"/>
      <c r="J2346" s="6"/>
      <c r="L2346" s="4"/>
    </row>
    <row r="2347" spans="5:12" x14ac:dyDescent="0.25">
      <c r="E2347" s="11"/>
      <c r="G2347" s="66"/>
      <c r="H2347" s="8"/>
      <c r="I2347" s="8"/>
      <c r="J2347" s="6"/>
      <c r="L2347" s="4"/>
    </row>
    <row r="2348" spans="5:12" x14ac:dyDescent="0.25">
      <c r="E2348" s="11"/>
      <c r="G2348" s="66"/>
      <c r="H2348" s="8"/>
      <c r="I2348" s="8"/>
      <c r="J2348" s="6"/>
      <c r="L2348" s="4"/>
    </row>
    <row r="2349" spans="5:12" x14ac:dyDescent="0.25">
      <c r="E2349" s="11"/>
      <c r="G2349" s="66"/>
      <c r="H2349" s="8"/>
      <c r="I2349" s="8"/>
      <c r="J2349" s="6"/>
      <c r="L2349" s="4"/>
    </row>
    <row r="2350" spans="5:12" x14ac:dyDescent="0.25">
      <c r="E2350" s="11"/>
      <c r="G2350" s="66"/>
      <c r="H2350" s="8"/>
      <c r="I2350" s="8"/>
      <c r="J2350" s="6"/>
      <c r="L2350" s="4"/>
    </row>
    <row r="2351" spans="5:12" x14ac:dyDescent="0.25">
      <c r="E2351" s="11"/>
      <c r="G2351" s="66"/>
      <c r="H2351" s="8"/>
      <c r="I2351" s="8"/>
      <c r="J2351" s="6"/>
      <c r="L2351" s="4"/>
    </row>
    <row r="2352" spans="5:12" x14ac:dyDescent="0.25">
      <c r="E2352" s="11"/>
      <c r="G2352" s="66"/>
      <c r="H2352" s="8"/>
      <c r="I2352" s="8"/>
      <c r="J2352" s="6"/>
      <c r="L2352" s="4"/>
    </row>
    <row r="2353" spans="5:12" x14ac:dyDescent="0.25">
      <c r="E2353" s="11"/>
      <c r="G2353" s="66"/>
      <c r="H2353" s="8"/>
      <c r="I2353" s="8"/>
      <c r="J2353" s="6"/>
      <c r="L2353" s="4"/>
    </row>
    <row r="2354" spans="5:12" x14ac:dyDescent="0.25">
      <c r="E2354" s="11"/>
      <c r="G2354" s="66"/>
      <c r="H2354" s="8"/>
      <c r="I2354" s="8"/>
      <c r="J2354" s="6"/>
      <c r="L2354" s="4"/>
    </row>
    <row r="2355" spans="5:12" x14ac:dyDescent="0.25">
      <c r="E2355" s="11"/>
      <c r="G2355" s="66"/>
      <c r="H2355" s="8"/>
      <c r="I2355" s="8"/>
      <c r="J2355" s="6"/>
      <c r="L2355" s="4"/>
    </row>
    <row r="2356" spans="5:12" x14ac:dyDescent="0.25">
      <c r="E2356" s="11"/>
      <c r="G2356" s="66"/>
      <c r="H2356" s="8"/>
      <c r="I2356" s="8"/>
      <c r="J2356" s="6"/>
      <c r="L2356" s="4"/>
    </row>
    <row r="2357" spans="5:12" x14ac:dyDescent="0.25">
      <c r="E2357" s="11"/>
      <c r="G2357" s="48"/>
      <c r="H2357" s="8"/>
      <c r="I2357" s="8"/>
      <c r="J2357" s="6"/>
      <c r="L2357" s="4"/>
    </row>
    <row r="2358" spans="5:12" x14ac:dyDescent="0.25">
      <c r="E2358" s="11"/>
      <c r="G2358" s="66"/>
      <c r="H2358" s="8"/>
      <c r="I2358" s="8"/>
      <c r="J2358" s="6"/>
      <c r="L2358" s="4"/>
    </row>
    <row r="2359" spans="5:12" x14ac:dyDescent="0.25">
      <c r="E2359" s="11"/>
      <c r="G2359" s="66"/>
      <c r="H2359" s="8"/>
      <c r="I2359" s="8"/>
      <c r="J2359" s="6"/>
      <c r="L2359" s="4"/>
    </row>
    <row r="2360" spans="5:12" x14ac:dyDescent="0.25">
      <c r="E2360" s="11"/>
      <c r="G2360" s="66"/>
      <c r="H2360" s="8"/>
      <c r="I2360" s="8"/>
      <c r="J2360" s="6"/>
      <c r="L2360" s="4"/>
    </row>
    <row r="2361" spans="5:12" x14ac:dyDescent="0.25">
      <c r="E2361" s="11"/>
      <c r="G2361" s="66"/>
      <c r="H2361" s="8"/>
      <c r="I2361" s="8"/>
      <c r="J2361" s="6"/>
      <c r="L2361" s="4"/>
    </row>
    <row r="2362" spans="5:12" x14ac:dyDescent="0.25">
      <c r="E2362" s="11"/>
      <c r="G2362" s="48"/>
      <c r="H2362" s="8"/>
      <c r="I2362" s="8"/>
      <c r="J2362" s="6"/>
      <c r="L2362" s="4"/>
    </row>
    <row r="2363" spans="5:12" x14ac:dyDescent="0.25">
      <c r="E2363" s="11"/>
      <c r="G2363" s="66"/>
      <c r="H2363" s="8"/>
      <c r="I2363" s="8"/>
      <c r="J2363" s="6"/>
      <c r="L2363" s="4"/>
    </row>
    <row r="2364" spans="5:12" x14ac:dyDescent="0.25">
      <c r="E2364" s="11"/>
      <c r="G2364" s="66"/>
      <c r="H2364" s="8"/>
      <c r="I2364" s="8"/>
      <c r="J2364" s="6"/>
      <c r="L2364" s="4"/>
    </row>
    <row r="2365" spans="5:12" x14ac:dyDescent="0.25">
      <c r="E2365" s="11"/>
      <c r="G2365" s="66"/>
      <c r="H2365" s="8"/>
      <c r="I2365" s="8"/>
      <c r="J2365" s="6"/>
      <c r="L2365" s="4"/>
    </row>
    <row r="2366" spans="5:12" x14ac:dyDescent="0.25">
      <c r="E2366" s="11"/>
      <c r="G2366" s="66"/>
      <c r="H2366" s="8"/>
      <c r="I2366" s="8"/>
      <c r="J2366" s="6"/>
      <c r="L2366" s="4"/>
    </row>
    <row r="2367" spans="5:12" x14ac:dyDescent="0.25">
      <c r="E2367" s="11"/>
      <c r="G2367" s="66"/>
      <c r="H2367" s="8"/>
      <c r="I2367" s="8"/>
      <c r="J2367" s="6"/>
      <c r="L2367" s="4"/>
    </row>
    <row r="2368" spans="5:12" x14ac:dyDescent="0.25">
      <c r="E2368" s="11"/>
      <c r="G2368" s="66"/>
      <c r="H2368" s="8"/>
      <c r="I2368" s="8"/>
      <c r="J2368" s="6"/>
      <c r="L2368" s="4"/>
    </row>
    <row r="2369" spans="5:12" x14ac:dyDescent="0.25">
      <c r="E2369" s="11"/>
      <c r="G2369" s="66"/>
      <c r="H2369" s="8"/>
      <c r="I2369" s="8"/>
      <c r="J2369" s="6"/>
      <c r="L2369" s="4"/>
    </row>
    <row r="2370" spans="5:12" x14ac:dyDescent="0.25">
      <c r="E2370" s="11"/>
      <c r="G2370" s="66"/>
      <c r="H2370" s="8"/>
      <c r="I2370" s="8"/>
      <c r="J2370" s="6"/>
      <c r="L2370" s="4"/>
    </row>
    <row r="2371" spans="5:12" x14ac:dyDescent="0.25">
      <c r="E2371" s="11"/>
      <c r="G2371" s="66"/>
      <c r="H2371" s="8"/>
      <c r="I2371" s="8"/>
      <c r="J2371" s="6"/>
      <c r="L2371" s="4"/>
    </row>
    <row r="2372" spans="5:12" x14ac:dyDescent="0.25">
      <c r="E2372" s="11"/>
      <c r="G2372" s="66"/>
      <c r="H2372" s="8"/>
      <c r="I2372" s="8"/>
      <c r="J2372" s="6"/>
      <c r="L2372" s="4"/>
    </row>
    <row r="2373" spans="5:12" x14ac:dyDescent="0.25">
      <c r="E2373" s="11"/>
      <c r="G2373" s="66"/>
      <c r="H2373" s="8"/>
      <c r="I2373" s="8"/>
      <c r="J2373" s="6"/>
      <c r="L2373" s="4"/>
    </row>
    <row r="2374" spans="5:12" x14ac:dyDescent="0.25">
      <c r="E2374" s="11"/>
      <c r="G2374" s="48"/>
      <c r="H2374" s="8"/>
      <c r="I2374" s="8"/>
      <c r="J2374" s="6"/>
      <c r="L2374" s="4"/>
    </row>
    <row r="2375" spans="5:12" x14ac:dyDescent="0.25">
      <c r="E2375" s="11"/>
      <c r="G2375" s="66"/>
      <c r="H2375" s="8"/>
      <c r="I2375" s="8"/>
      <c r="J2375" s="6"/>
      <c r="L2375" s="4"/>
    </row>
    <row r="2376" spans="5:12" x14ac:dyDescent="0.25">
      <c r="E2376" s="11"/>
      <c r="G2376" s="66"/>
      <c r="H2376" s="8"/>
      <c r="I2376" s="8"/>
      <c r="J2376" s="6"/>
      <c r="L2376" s="4"/>
    </row>
    <row r="2377" spans="5:12" x14ac:dyDescent="0.25">
      <c r="E2377" s="11"/>
      <c r="G2377" s="66"/>
      <c r="H2377" s="8"/>
      <c r="I2377" s="8"/>
      <c r="J2377" s="6"/>
      <c r="L2377" s="4"/>
    </row>
    <row r="2378" spans="5:12" x14ac:dyDescent="0.25">
      <c r="E2378" s="11"/>
      <c r="G2378" s="66"/>
      <c r="H2378" s="8"/>
      <c r="I2378" s="8"/>
      <c r="J2378" s="6"/>
      <c r="L2378" s="4"/>
    </row>
    <row r="2379" spans="5:12" x14ac:dyDescent="0.25">
      <c r="E2379" s="11"/>
      <c r="G2379" s="48"/>
      <c r="H2379" s="8"/>
      <c r="I2379" s="8"/>
      <c r="J2379" s="6"/>
      <c r="L2379" s="4"/>
    </row>
    <row r="2380" spans="5:12" x14ac:dyDescent="0.25">
      <c r="E2380" s="11"/>
      <c r="G2380" s="66"/>
      <c r="H2380" s="8"/>
      <c r="I2380" s="8"/>
      <c r="J2380" s="6"/>
      <c r="L2380" s="4"/>
    </row>
    <row r="2381" spans="5:12" x14ac:dyDescent="0.25">
      <c r="E2381" s="11"/>
      <c r="G2381" s="66"/>
      <c r="H2381" s="8"/>
      <c r="I2381" s="8"/>
      <c r="J2381" s="6"/>
      <c r="L2381" s="4"/>
    </row>
    <row r="2382" spans="5:12" x14ac:dyDescent="0.25">
      <c r="E2382" s="11"/>
      <c r="G2382" s="66"/>
      <c r="H2382" s="8"/>
      <c r="I2382" s="8"/>
      <c r="J2382" s="6"/>
      <c r="L2382" s="4"/>
    </row>
    <row r="2383" spans="5:12" x14ac:dyDescent="0.25">
      <c r="E2383" s="11"/>
      <c r="G2383" s="66"/>
      <c r="H2383" s="8"/>
      <c r="I2383" s="8"/>
      <c r="J2383" s="6"/>
      <c r="L2383" s="4"/>
    </row>
    <row r="2384" spans="5:12" x14ac:dyDescent="0.25">
      <c r="E2384" s="11"/>
      <c r="G2384" s="66"/>
      <c r="H2384" s="8"/>
      <c r="I2384" s="8"/>
      <c r="J2384" s="6"/>
      <c r="L2384" s="4"/>
    </row>
    <row r="2385" spans="5:12" x14ac:dyDescent="0.25">
      <c r="E2385" s="11"/>
      <c r="G2385" s="66"/>
      <c r="H2385" s="8"/>
      <c r="I2385" s="8"/>
      <c r="J2385" s="6"/>
      <c r="L2385" s="4"/>
    </row>
    <row r="2386" spans="5:12" x14ac:dyDescent="0.25">
      <c r="E2386" s="11"/>
      <c r="G2386" s="66"/>
      <c r="H2386" s="8"/>
      <c r="I2386" s="8"/>
      <c r="J2386" s="6"/>
      <c r="L2386" s="4"/>
    </row>
    <row r="2387" spans="5:12" x14ac:dyDescent="0.25">
      <c r="E2387" s="11"/>
      <c r="G2387" s="66"/>
      <c r="H2387" s="8"/>
      <c r="I2387" s="8"/>
      <c r="J2387" s="6"/>
      <c r="L2387" s="4"/>
    </row>
    <row r="2388" spans="5:12" x14ac:dyDescent="0.25">
      <c r="E2388" s="11"/>
      <c r="G2388" s="66"/>
      <c r="H2388" s="8"/>
      <c r="I2388" s="8"/>
      <c r="J2388" s="6"/>
      <c r="L2388" s="4"/>
    </row>
    <row r="2389" spans="5:12" x14ac:dyDescent="0.25">
      <c r="E2389" s="11"/>
      <c r="G2389" s="66"/>
      <c r="H2389" s="8"/>
      <c r="I2389" s="8"/>
      <c r="J2389" s="6"/>
      <c r="L2389" s="4"/>
    </row>
    <row r="2390" spans="5:12" x14ac:dyDescent="0.25">
      <c r="E2390" s="11"/>
      <c r="G2390" s="48"/>
      <c r="H2390" s="8"/>
      <c r="I2390" s="8"/>
      <c r="J2390" s="6"/>
      <c r="L2390" s="4"/>
    </row>
    <row r="2391" spans="5:12" x14ac:dyDescent="0.25">
      <c r="E2391" s="11"/>
      <c r="G2391" s="66"/>
      <c r="H2391" s="8"/>
      <c r="I2391" s="8"/>
      <c r="J2391" s="6"/>
      <c r="L2391" s="4"/>
    </row>
    <row r="2392" spans="5:12" x14ac:dyDescent="0.25">
      <c r="E2392" s="11"/>
      <c r="G2392" s="66"/>
      <c r="H2392" s="8"/>
      <c r="I2392" s="8"/>
      <c r="J2392" s="6"/>
      <c r="L2392" s="4"/>
    </row>
    <row r="2393" spans="5:12" x14ac:dyDescent="0.25">
      <c r="E2393" s="11"/>
      <c r="G2393" s="66"/>
      <c r="H2393" s="8"/>
      <c r="I2393" s="8"/>
      <c r="J2393" s="6"/>
      <c r="L2393" s="4"/>
    </row>
    <row r="2394" spans="5:12" x14ac:dyDescent="0.25">
      <c r="E2394" s="11"/>
      <c r="G2394" s="66"/>
      <c r="H2394" s="8"/>
      <c r="I2394" s="8"/>
      <c r="J2394" s="6"/>
      <c r="L2394" s="4"/>
    </row>
    <row r="2395" spans="5:12" x14ac:dyDescent="0.25">
      <c r="E2395" s="11"/>
      <c r="G2395" s="48"/>
      <c r="H2395" s="8"/>
      <c r="I2395" s="8"/>
      <c r="J2395" s="6"/>
      <c r="L2395" s="4"/>
    </row>
    <row r="2396" spans="5:12" x14ac:dyDescent="0.25">
      <c r="E2396" s="11"/>
      <c r="G2396" s="66"/>
      <c r="H2396" s="8"/>
      <c r="I2396" s="8"/>
      <c r="J2396" s="6"/>
      <c r="L2396" s="4"/>
    </row>
    <row r="2397" spans="5:12" x14ac:dyDescent="0.25">
      <c r="E2397" s="11"/>
      <c r="G2397" s="66"/>
      <c r="H2397" s="8"/>
      <c r="I2397" s="8"/>
      <c r="J2397" s="6"/>
      <c r="L2397" s="4"/>
    </row>
    <row r="2398" spans="5:12" x14ac:dyDescent="0.25">
      <c r="E2398" s="11"/>
      <c r="G2398" s="66"/>
      <c r="H2398" s="8"/>
      <c r="I2398" s="8"/>
      <c r="J2398" s="6"/>
      <c r="L2398" s="4"/>
    </row>
    <row r="2399" spans="5:12" x14ac:dyDescent="0.25">
      <c r="E2399" s="11"/>
      <c r="G2399" s="66"/>
      <c r="H2399" s="8"/>
      <c r="I2399" s="8"/>
      <c r="J2399" s="6"/>
      <c r="L2399" s="4"/>
    </row>
    <row r="2400" spans="5:12" x14ac:dyDescent="0.25">
      <c r="E2400" s="11"/>
      <c r="G2400" s="66"/>
      <c r="H2400" s="8"/>
      <c r="I2400" s="8"/>
      <c r="J2400" s="6"/>
      <c r="L2400" s="4"/>
    </row>
    <row r="2401" spans="5:12" x14ac:dyDescent="0.25">
      <c r="E2401" s="11"/>
      <c r="G2401" s="66"/>
      <c r="H2401" s="8"/>
      <c r="I2401" s="8"/>
      <c r="J2401" s="6"/>
      <c r="L2401" s="4"/>
    </row>
    <row r="2402" spans="5:12" x14ac:dyDescent="0.25">
      <c r="E2402" s="11"/>
      <c r="G2402" s="66"/>
      <c r="H2402" s="8"/>
      <c r="I2402" s="8"/>
      <c r="J2402" s="6"/>
      <c r="L2402" s="4"/>
    </row>
    <row r="2403" spans="5:12" x14ac:dyDescent="0.25">
      <c r="E2403" s="11"/>
      <c r="G2403" s="66"/>
      <c r="H2403" s="8"/>
      <c r="I2403" s="8"/>
      <c r="J2403" s="6"/>
      <c r="L2403" s="4"/>
    </row>
    <row r="2404" spans="5:12" x14ac:dyDescent="0.25">
      <c r="E2404" s="11"/>
      <c r="G2404" s="66"/>
      <c r="H2404" s="8"/>
      <c r="I2404" s="8"/>
      <c r="J2404" s="6"/>
      <c r="L2404" s="4"/>
    </row>
    <row r="2405" spans="5:12" x14ac:dyDescent="0.25">
      <c r="E2405" s="11"/>
      <c r="G2405" s="66"/>
      <c r="H2405" s="8"/>
      <c r="I2405" s="8"/>
      <c r="J2405" s="6"/>
      <c r="L2405" s="4"/>
    </row>
    <row r="2406" spans="5:12" x14ac:dyDescent="0.25">
      <c r="E2406" s="11"/>
      <c r="G2406" s="66"/>
      <c r="H2406" s="8"/>
      <c r="I2406" s="8"/>
      <c r="J2406" s="6"/>
      <c r="L2406" s="4"/>
    </row>
    <row r="2407" spans="5:12" x14ac:dyDescent="0.25">
      <c r="E2407" s="11"/>
      <c r="G2407" s="48"/>
      <c r="H2407" s="8"/>
      <c r="I2407" s="8"/>
      <c r="J2407" s="6"/>
      <c r="L2407" s="4"/>
    </row>
    <row r="2408" spans="5:12" x14ac:dyDescent="0.25">
      <c r="E2408" s="11"/>
      <c r="G2408" s="66"/>
      <c r="H2408" s="8"/>
      <c r="I2408" s="8"/>
      <c r="J2408" s="6"/>
      <c r="L2408" s="4"/>
    </row>
    <row r="2409" spans="5:12" x14ac:dyDescent="0.25">
      <c r="E2409" s="11"/>
      <c r="G2409" s="66"/>
      <c r="H2409" s="8"/>
      <c r="I2409" s="8"/>
      <c r="J2409" s="6"/>
      <c r="L2409" s="4"/>
    </row>
    <row r="2410" spans="5:12" x14ac:dyDescent="0.25">
      <c r="E2410" s="11"/>
      <c r="G2410" s="66"/>
      <c r="H2410" s="8"/>
      <c r="I2410" s="8"/>
      <c r="J2410" s="6"/>
      <c r="L2410" s="4"/>
    </row>
    <row r="2411" spans="5:12" x14ac:dyDescent="0.25">
      <c r="E2411" s="11"/>
      <c r="G2411" s="66"/>
      <c r="H2411" s="8"/>
      <c r="I2411" s="8"/>
      <c r="J2411" s="6"/>
      <c r="L2411" s="4"/>
    </row>
    <row r="2412" spans="5:12" x14ac:dyDescent="0.25">
      <c r="E2412" s="11"/>
      <c r="G2412" s="48"/>
      <c r="H2412" s="8"/>
      <c r="I2412" s="8"/>
      <c r="J2412" s="6"/>
      <c r="L2412" s="4"/>
    </row>
    <row r="2413" spans="5:12" x14ac:dyDescent="0.25">
      <c r="E2413" s="11"/>
      <c r="G2413" s="66"/>
      <c r="H2413" s="8"/>
      <c r="I2413" s="8"/>
      <c r="J2413" s="6"/>
      <c r="L2413" s="4"/>
    </row>
    <row r="2414" spans="5:12" x14ac:dyDescent="0.25">
      <c r="E2414" s="11"/>
      <c r="G2414" s="66"/>
      <c r="H2414" s="8"/>
      <c r="I2414" s="8"/>
      <c r="J2414" s="6"/>
      <c r="L2414" s="4"/>
    </row>
    <row r="2415" spans="5:12" x14ac:dyDescent="0.25">
      <c r="E2415" s="11"/>
      <c r="G2415" s="66"/>
      <c r="H2415" s="8"/>
      <c r="I2415" s="8"/>
      <c r="J2415" s="6"/>
      <c r="L2415" s="4"/>
    </row>
    <row r="2416" spans="5:12" x14ac:dyDescent="0.25">
      <c r="E2416" s="11"/>
      <c r="G2416" s="66"/>
      <c r="H2416" s="8"/>
      <c r="I2416" s="8"/>
      <c r="J2416" s="6"/>
      <c r="L2416" s="4"/>
    </row>
    <row r="2417" spans="5:12" x14ac:dyDescent="0.25">
      <c r="E2417" s="11"/>
      <c r="G2417" s="66"/>
      <c r="H2417" s="8"/>
      <c r="I2417" s="8"/>
      <c r="J2417" s="6"/>
      <c r="L2417" s="4"/>
    </row>
    <row r="2418" spans="5:12" x14ac:dyDescent="0.25">
      <c r="E2418" s="11"/>
      <c r="G2418" s="66"/>
      <c r="H2418" s="8"/>
      <c r="I2418" s="8"/>
      <c r="J2418" s="6"/>
      <c r="L2418" s="4"/>
    </row>
    <row r="2419" spans="5:12" x14ac:dyDescent="0.25">
      <c r="E2419" s="11"/>
      <c r="G2419" s="66"/>
      <c r="H2419" s="8"/>
      <c r="I2419" s="8"/>
      <c r="J2419" s="6"/>
      <c r="L2419" s="4"/>
    </row>
    <row r="2420" spans="5:12" x14ac:dyDescent="0.25">
      <c r="E2420" s="11"/>
      <c r="G2420" s="66"/>
      <c r="H2420" s="8"/>
      <c r="I2420" s="8"/>
      <c r="J2420" s="6"/>
      <c r="L2420" s="4"/>
    </row>
    <row r="2421" spans="5:12" x14ac:dyDescent="0.25">
      <c r="E2421" s="11"/>
      <c r="G2421" s="66"/>
      <c r="H2421" s="8"/>
      <c r="I2421" s="8"/>
      <c r="J2421" s="6"/>
      <c r="L2421" s="4"/>
    </row>
    <row r="2422" spans="5:12" x14ac:dyDescent="0.25">
      <c r="E2422" s="11"/>
      <c r="G2422" s="66"/>
      <c r="H2422" s="8"/>
      <c r="I2422" s="8"/>
      <c r="J2422" s="6"/>
      <c r="L2422" s="4"/>
    </row>
    <row r="2423" spans="5:12" x14ac:dyDescent="0.25">
      <c r="E2423" s="11"/>
      <c r="G2423" s="48"/>
      <c r="H2423" s="8"/>
      <c r="I2423" s="8"/>
      <c r="J2423" s="6"/>
      <c r="L2423" s="4"/>
    </row>
    <row r="2424" spans="5:12" x14ac:dyDescent="0.25">
      <c r="E2424" s="11"/>
      <c r="G2424" s="66"/>
      <c r="H2424" s="8"/>
      <c r="I2424" s="8"/>
      <c r="J2424" s="6"/>
      <c r="L2424" s="4"/>
    </row>
    <row r="2425" spans="5:12" x14ac:dyDescent="0.25">
      <c r="E2425" s="11"/>
      <c r="G2425" s="66"/>
      <c r="H2425" s="8"/>
      <c r="I2425" s="8"/>
      <c r="J2425" s="6"/>
      <c r="L2425" s="4"/>
    </row>
    <row r="2426" spans="5:12" x14ac:dyDescent="0.25">
      <c r="E2426" s="11"/>
      <c r="G2426" s="66"/>
      <c r="H2426" s="8"/>
      <c r="I2426" s="8"/>
      <c r="J2426" s="6"/>
      <c r="L2426" s="4"/>
    </row>
    <row r="2427" spans="5:12" x14ac:dyDescent="0.25">
      <c r="E2427" s="11"/>
      <c r="G2427" s="66"/>
      <c r="H2427" s="8"/>
      <c r="I2427" s="8"/>
      <c r="J2427" s="6"/>
      <c r="L2427" s="4"/>
    </row>
    <row r="2428" spans="5:12" x14ac:dyDescent="0.25">
      <c r="E2428" s="11"/>
      <c r="G2428" s="48"/>
      <c r="H2428" s="8"/>
      <c r="I2428" s="8"/>
      <c r="J2428" s="6"/>
      <c r="L2428" s="4"/>
    </row>
    <row r="2429" spans="5:12" x14ac:dyDescent="0.25">
      <c r="E2429" s="11"/>
      <c r="G2429" s="66"/>
      <c r="H2429" s="8"/>
      <c r="I2429" s="8"/>
      <c r="J2429" s="6"/>
      <c r="L2429" s="4"/>
    </row>
    <row r="2430" spans="5:12" x14ac:dyDescent="0.25">
      <c r="E2430" s="11"/>
      <c r="G2430" s="66"/>
      <c r="H2430" s="8"/>
      <c r="I2430" s="8"/>
      <c r="J2430" s="6"/>
      <c r="L2430" s="4"/>
    </row>
    <row r="2431" spans="5:12" x14ac:dyDescent="0.25">
      <c r="E2431" s="11"/>
      <c r="G2431" s="66"/>
      <c r="H2431" s="8"/>
      <c r="I2431" s="8"/>
      <c r="J2431" s="6"/>
      <c r="L2431" s="4"/>
    </row>
    <row r="2432" spans="5:12" x14ac:dyDescent="0.25">
      <c r="E2432" s="11"/>
      <c r="G2432" s="66"/>
      <c r="H2432" s="8"/>
      <c r="I2432" s="8"/>
      <c r="J2432" s="6"/>
      <c r="L2432" s="4"/>
    </row>
    <row r="2433" spans="5:12" x14ac:dyDescent="0.25">
      <c r="E2433" s="11"/>
      <c r="G2433" s="66"/>
      <c r="H2433" s="8"/>
      <c r="I2433" s="8"/>
      <c r="J2433" s="6"/>
      <c r="L2433" s="4"/>
    </row>
    <row r="2434" spans="5:12" x14ac:dyDescent="0.25">
      <c r="E2434" s="11"/>
      <c r="G2434" s="66"/>
      <c r="H2434" s="8"/>
      <c r="I2434" s="8"/>
      <c r="J2434" s="6"/>
      <c r="L2434" s="4"/>
    </row>
    <row r="2435" spans="5:12" x14ac:dyDescent="0.25">
      <c r="E2435" s="11"/>
      <c r="G2435" s="66"/>
      <c r="H2435" s="8"/>
      <c r="I2435" s="8"/>
      <c r="J2435" s="6"/>
      <c r="L2435" s="4"/>
    </row>
    <row r="2436" spans="5:12" x14ac:dyDescent="0.25">
      <c r="E2436" s="11"/>
      <c r="G2436" s="66"/>
      <c r="H2436" s="8"/>
      <c r="I2436" s="8"/>
      <c r="J2436" s="6"/>
      <c r="L2436" s="4"/>
    </row>
    <row r="2437" spans="5:12" x14ac:dyDescent="0.25">
      <c r="E2437" s="11"/>
      <c r="G2437" s="66"/>
      <c r="H2437" s="8"/>
      <c r="I2437" s="8"/>
      <c r="J2437" s="6"/>
      <c r="L2437" s="4"/>
    </row>
    <row r="2438" spans="5:12" x14ac:dyDescent="0.25">
      <c r="E2438" s="11"/>
      <c r="G2438" s="66"/>
      <c r="H2438" s="8"/>
      <c r="I2438" s="8"/>
      <c r="J2438" s="6"/>
      <c r="L2438" s="4"/>
    </row>
    <row r="2439" spans="5:12" x14ac:dyDescent="0.25">
      <c r="E2439" s="11"/>
      <c r="G2439" s="66"/>
      <c r="H2439" s="8"/>
      <c r="I2439" s="8"/>
      <c r="J2439" s="6"/>
      <c r="L2439" s="4"/>
    </row>
    <row r="2440" spans="5:12" x14ac:dyDescent="0.25">
      <c r="E2440" s="11"/>
      <c r="G2440" s="48"/>
      <c r="H2440" s="8"/>
      <c r="I2440" s="8"/>
      <c r="J2440" s="6"/>
      <c r="L2440" s="4"/>
    </row>
    <row r="2441" spans="5:12" x14ac:dyDescent="0.25">
      <c r="E2441" s="11"/>
      <c r="G2441" s="66"/>
      <c r="H2441" s="8"/>
      <c r="I2441" s="8"/>
      <c r="J2441" s="6"/>
      <c r="L2441" s="4"/>
    </row>
    <row r="2442" spans="5:12" x14ac:dyDescent="0.25">
      <c r="E2442" s="11"/>
      <c r="G2442" s="66"/>
      <c r="H2442" s="8"/>
      <c r="I2442" s="8"/>
      <c r="J2442" s="6"/>
      <c r="L2442" s="4"/>
    </row>
    <row r="2443" spans="5:12" x14ac:dyDescent="0.25">
      <c r="E2443" s="11"/>
      <c r="G2443" s="66"/>
      <c r="H2443" s="8"/>
      <c r="I2443" s="8"/>
      <c r="J2443" s="6"/>
      <c r="L2443" s="4"/>
    </row>
    <row r="2444" spans="5:12" x14ac:dyDescent="0.25">
      <c r="E2444" s="11"/>
      <c r="G2444" s="66"/>
      <c r="H2444" s="8"/>
      <c r="I2444" s="8"/>
      <c r="J2444" s="6"/>
      <c r="L2444" s="4"/>
    </row>
    <row r="2445" spans="5:12" x14ac:dyDescent="0.25">
      <c r="E2445" s="11"/>
      <c r="G2445" s="48"/>
      <c r="H2445" s="8"/>
      <c r="I2445" s="8"/>
      <c r="J2445" s="6"/>
      <c r="L2445" s="4"/>
    </row>
    <row r="2446" spans="5:12" x14ac:dyDescent="0.25">
      <c r="E2446" s="11"/>
      <c r="G2446" s="66"/>
      <c r="H2446" s="8"/>
      <c r="I2446" s="8"/>
      <c r="J2446" s="6"/>
      <c r="L2446" s="4"/>
    </row>
    <row r="2447" spans="5:12" x14ac:dyDescent="0.25">
      <c r="E2447" s="11"/>
      <c r="G2447" s="66"/>
      <c r="H2447" s="8"/>
      <c r="I2447" s="8"/>
      <c r="J2447" s="6"/>
      <c r="L2447" s="4"/>
    </row>
    <row r="2448" spans="5:12" x14ac:dyDescent="0.25">
      <c r="E2448" s="11"/>
      <c r="G2448" s="66"/>
      <c r="H2448" s="8"/>
      <c r="I2448" s="8"/>
      <c r="J2448" s="6"/>
      <c r="L2448" s="4"/>
    </row>
    <row r="2449" spans="5:12" x14ac:dyDescent="0.25">
      <c r="E2449" s="11"/>
      <c r="G2449" s="66"/>
      <c r="H2449" s="8"/>
      <c r="I2449" s="8"/>
      <c r="J2449" s="6"/>
      <c r="L2449" s="4"/>
    </row>
    <row r="2450" spans="5:12" x14ac:dyDescent="0.25">
      <c r="E2450" s="11"/>
      <c r="G2450" s="66"/>
      <c r="H2450" s="8"/>
      <c r="I2450" s="8"/>
      <c r="J2450" s="6"/>
      <c r="L2450" s="4"/>
    </row>
    <row r="2451" spans="5:12" x14ac:dyDescent="0.25">
      <c r="E2451" s="11"/>
      <c r="G2451" s="66"/>
      <c r="H2451" s="8"/>
      <c r="I2451" s="8"/>
      <c r="J2451" s="6"/>
      <c r="L2451" s="4"/>
    </row>
    <row r="2452" spans="5:12" x14ac:dyDescent="0.25">
      <c r="E2452" s="11"/>
      <c r="G2452" s="66"/>
      <c r="H2452" s="8"/>
      <c r="I2452" s="8"/>
      <c r="J2452" s="6"/>
      <c r="L2452" s="4"/>
    </row>
    <row r="2453" spans="5:12" x14ac:dyDescent="0.25">
      <c r="E2453" s="11"/>
      <c r="G2453" s="66"/>
      <c r="H2453" s="8"/>
      <c r="I2453" s="8"/>
      <c r="J2453" s="6"/>
      <c r="L2453" s="4"/>
    </row>
    <row r="2454" spans="5:12" x14ac:dyDescent="0.25">
      <c r="E2454" s="11"/>
      <c r="G2454" s="66"/>
      <c r="H2454" s="8"/>
      <c r="I2454" s="8"/>
      <c r="J2454" s="6"/>
      <c r="L2454" s="4"/>
    </row>
    <row r="2455" spans="5:12" x14ac:dyDescent="0.25">
      <c r="E2455" s="11"/>
      <c r="G2455" s="66"/>
      <c r="H2455" s="8"/>
      <c r="I2455" s="8"/>
      <c r="J2455" s="6"/>
      <c r="L2455" s="4"/>
    </row>
    <row r="2456" spans="5:12" x14ac:dyDescent="0.25">
      <c r="E2456" s="11"/>
      <c r="G2456" s="48"/>
      <c r="H2456" s="8"/>
      <c r="I2456" s="8"/>
      <c r="J2456" s="6"/>
      <c r="L2456" s="4"/>
    </row>
    <row r="2457" spans="5:12" x14ac:dyDescent="0.25">
      <c r="E2457" s="11"/>
      <c r="G2457" s="66"/>
      <c r="H2457" s="8"/>
      <c r="I2457" s="8"/>
      <c r="J2457" s="6"/>
      <c r="L2457" s="4"/>
    </row>
    <row r="2458" spans="5:12" x14ac:dyDescent="0.25">
      <c r="E2458" s="11"/>
      <c r="G2458" s="66"/>
      <c r="H2458" s="8"/>
      <c r="I2458" s="8"/>
      <c r="J2458" s="6"/>
      <c r="L2458" s="4"/>
    </row>
    <row r="2459" spans="5:12" x14ac:dyDescent="0.25">
      <c r="E2459" s="11"/>
      <c r="G2459" s="66"/>
      <c r="H2459" s="8"/>
      <c r="I2459" s="8"/>
      <c r="J2459" s="6"/>
      <c r="L2459" s="4"/>
    </row>
    <row r="2460" spans="5:12" x14ac:dyDescent="0.25">
      <c r="E2460" s="11"/>
      <c r="G2460" s="66"/>
      <c r="H2460" s="8"/>
      <c r="I2460" s="8"/>
      <c r="J2460" s="6"/>
      <c r="L2460" s="4"/>
    </row>
    <row r="2461" spans="5:12" x14ac:dyDescent="0.25">
      <c r="E2461" s="11"/>
      <c r="G2461" s="48"/>
      <c r="H2461" s="8"/>
      <c r="I2461" s="8"/>
      <c r="J2461" s="6"/>
      <c r="L2461" s="4"/>
    </row>
    <row r="2462" spans="5:12" x14ac:dyDescent="0.25">
      <c r="E2462" s="11"/>
      <c r="G2462" s="66"/>
      <c r="H2462" s="8"/>
      <c r="I2462" s="8"/>
      <c r="J2462" s="6"/>
      <c r="L2462" s="4"/>
    </row>
    <row r="2463" spans="5:12" x14ac:dyDescent="0.25">
      <c r="E2463" s="11"/>
      <c r="G2463" s="66"/>
      <c r="H2463" s="8"/>
      <c r="I2463" s="8"/>
      <c r="J2463" s="6"/>
      <c r="L2463" s="4"/>
    </row>
    <row r="2464" spans="5:12" x14ac:dyDescent="0.25">
      <c r="E2464" s="11"/>
      <c r="G2464" s="66"/>
      <c r="H2464" s="8"/>
      <c r="I2464" s="8"/>
      <c r="J2464" s="6"/>
      <c r="L2464" s="4"/>
    </row>
    <row r="2465" spans="5:12" x14ac:dyDescent="0.25">
      <c r="E2465" s="11"/>
      <c r="G2465" s="66"/>
      <c r="H2465" s="8"/>
      <c r="I2465" s="8"/>
      <c r="J2465" s="6"/>
      <c r="L2465" s="4"/>
    </row>
    <row r="2466" spans="5:12" x14ac:dyDescent="0.25">
      <c r="E2466" s="11"/>
      <c r="G2466" s="66"/>
      <c r="H2466" s="8"/>
      <c r="I2466" s="8"/>
      <c r="J2466" s="6"/>
      <c r="L2466" s="4"/>
    </row>
    <row r="2467" spans="5:12" x14ac:dyDescent="0.25">
      <c r="E2467" s="11"/>
      <c r="G2467" s="66"/>
      <c r="H2467" s="8"/>
      <c r="I2467" s="8"/>
      <c r="J2467" s="6"/>
      <c r="L2467" s="4"/>
    </row>
    <row r="2468" spans="5:12" x14ac:dyDescent="0.25">
      <c r="E2468" s="11"/>
      <c r="G2468" s="66"/>
      <c r="H2468" s="8"/>
      <c r="I2468" s="8"/>
      <c r="J2468" s="6"/>
      <c r="L2468" s="4"/>
    </row>
    <row r="2469" spans="5:12" x14ac:dyDescent="0.25">
      <c r="E2469" s="11"/>
      <c r="G2469" s="66"/>
      <c r="H2469" s="8"/>
      <c r="I2469" s="8"/>
      <c r="J2469" s="6"/>
      <c r="L2469" s="4"/>
    </row>
    <row r="2470" spans="5:12" x14ac:dyDescent="0.25">
      <c r="E2470" s="11"/>
      <c r="G2470" s="66"/>
      <c r="H2470" s="8"/>
      <c r="I2470" s="8"/>
      <c r="J2470" s="6"/>
      <c r="L2470" s="4"/>
    </row>
    <row r="2471" spans="5:12" x14ac:dyDescent="0.25">
      <c r="E2471" s="11"/>
      <c r="G2471" s="66"/>
      <c r="H2471" s="8"/>
      <c r="I2471" s="8"/>
      <c r="J2471" s="6"/>
      <c r="L2471" s="4"/>
    </row>
    <row r="2472" spans="5:12" x14ac:dyDescent="0.25">
      <c r="E2472" s="11"/>
      <c r="G2472" s="66"/>
      <c r="H2472" s="8"/>
      <c r="I2472" s="8"/>
      <c r="J2472" s="6"/>
      <c r="L2472" s="4"/>
    </row>
    <row r="2473" spans="5:12" x14ac:dyDescent="0.25">
      <c r="E2473" s="11"/>
      <c r="G2473" s="48"/>
      <c r="H2473" s="8"/>
      <c r="I2473" s="8"/>
      <c r="J2473" s="6"/>
      <c r="L2473" s="4"/>
    </row>
    <row r="2474" spans="5:12" x14ac:dyDescent="0.25">
      <c r="E2474" s="11"/>
      <c r="G2474" s="66"/>
      <c r="H2474" s="8"/>
      <c r="I2474" s="8"/>
      <c r="J2474" s="6"/>
      <c r="L2474" s="4"/>
    </row>
    <row r="2475" spans="5:12" x14ac:dyDescent="0.25">
      <c r="E2475" s="11"/>
      <c r="G2475" s="66"/>
      <c r="H2475" s="8"/>
      <c r="I2475" s="8"/>
      <c r="J2475" s="6"/>
      <c r="L2475" s="4"/>
    </row>
    <row r="2476" spans="5:12" x14ac:dyDescent="0.25">
      <c r="E2476" s="11"/>
      <c r="G2476" s="66"/>
      <c r="H2476" s="8"/>
      <c r="I2476" s="8"/>
      <c r="J2476" s="6"/>
      <c r="L2476" s="4"/>
    </row>
    <row r="2477" spans="5:12" x14ac:dyDescent="0.25">
      <c r="E2477" s="11"/>
      <c r="G2477" s="66"/>
      <c r="H2477" s="8"/>
      <c r="I2477" s="8"/>
      <c r="J2477" s="6"/>
      <c r="L2477" s="4"/>
    </row>
    <row r="2478" spans="5:12" x14ac:dyDescent="0.25">
      <c r="E2478" s="11"/>
      <c r="G2478" s="48"/>
      <c r="H2478" s="8"/>
      <c r="I2478" s="8"/>
      <c r="J2478" s="6"/>
      <c r="L2478" s="4"/>
    </row>
    <row r="2479" spans="5:12" x14ac:dyDescent="0.25">
      <c r="E2479" s="11"/>
      <c r="G2479" s="66"/>
      <c r="H2479" s="8"/>
      <c r="I2479" s="8"/>
      <c r="J2479" s="6"/>
      <c r="L2479" s="4"/>
    </row>
    <row r="2480" spans="5:12" x14ac:dyDescent="0.25">
      <c r="E2480" s="11"/>
      <c r="G2480" s="66"/>
      <c r="H2480" s="8"/>
      <c r="I2480" s="8"/>
      <c r="J2480" s="6"/>
      <c r="L2480" s="4"/>
    </row>
    <row r="2481" spans="5:12" x14ac:dyDescent="0.25">
      <c r="E2481" s="11"/>
      <c r="G2481" s="66"/>
      <c r="H2481" s="8"/>
      <c r="I2481" s="8"/>
      <c r="J2481" s="6"/>
      <c r="L2481" s="4"/>
    </row>
    <row r="2482" spans="5:12" x14ac:dyDescent="0.25">
      <c r="E2482" s="11"/>
      <c r="G2482" s="66"/>
      <c r="H2482" s="8"/>
      <c r="I2482" s="8"/>
      <c r="J2482" s="6"/>
      <c r="L2482" s="4"/>
    </row>
    <row r="2483" spans="5:12" x14ac:dyDescent="0.25">
      <c r="E2483" s="11"/>
      <c r="G2483" s="66"/>
      <c r="H2483" s="8"/>
      <c r="I2483" s="8"/>
      <c r="J2483" s="6"/>
      <c r="L2483" s="4"/>
    </row>
    <row r="2484" spans="5:12" x14ac:dyDescent="0.25">
      <c r="E2484" s="11"/>
      <c r="G2484" s="66"/>
      <c r="H2484" s="8"/>
      <c r="I2484" s="8"/>
      <c r="J2484" s="6"/>
      <c r="L2484" s="4"/>
    </row>
    <row r="2485" spans="5:12" x14ac:dyDescent="0.25">
      <c r="E2485" s="11"/>
      <c r="G2485" s="66"/>
      <c r="H2485" s="8"/>
      <c r="I2485" s="8"/>
      <c r="J2485" s="6"/>
      <c r="L2485" s="4"/>
    </row>
    <row r="2486" spans="5:12" x14ac:dyDescent="0.25">
      <c r="E2486" s="11"/>
      <c r="G2486" s="66"/>
      <c r="H2486" s="8"/>
      <c r="I2486" s="8"/>
      <c r="J2486" s="6"/>
      <c r="L2486" s="4"/>
    </row>
    <row r="2487" spans="5:12" x14ac:dyDescent="0.25">
      <c r="E2487" s="11"/>
      <c r="G2487" s="66"/>
      <c r="H2487" s="8"/>
      <c r="I2487" s="8"/>
      <c r="J2487" s="6"/>
      <c r="L2487" s="4"/>
    </row>
    <row r="2488" spans="5:12" x14ac:dyDescent="0.25">
      <c r="E2488" s="11"/>
      <c r="G2488" s="66"/>
      <c r="H2488" s="8"/>
      <c r="I2488" s="8"/>
      <c r="J2488" s="6"/>
      <c r="L2488" s="4"/>
    </row>
    <row r="2489" spans="5:12" x14ac:dyDescent="0.25">
      <c r="E2489" s="11"/>
      <c r="G2489" s="48"/>
      <c r="H2489" s="8"/>
      <c r="I2489" s="8"/>
      <c r="J2489" s="6"/>
      <c r="L2489" s="4"/>
    </row>
    <row r="2490" spans="5:12" x14ac:dyDescent="0.25">
      <c r="E2490" s="11"/>
      <c r="G2490" s="66"/>
      <c r="H2490" s="8"/>
      <c r="I2490" s="8"/>
      <c r="J2490" s="6"/>
      <c r="L2490" s="4"/>
    </row>
    <row r="2491" spans="5:12" x14ac:dyDescent="0.25">
      <c r="E2491" s="11"/>
      <c r="G2491" s="66"/>
      <c r="H2491" s="8"/>
      <c r="I2491" s="8"/>
      <c r="J2491" s="6"/>
      <c r="L2491" s="4"/>
    </row>
    <row r="2492" spans="5:12" x14ac:dyDescent="0.25">
      <c r="E2492" s="11"/>
      <c r="G2492" s="66"/>
      <c r="H2492" s="8"/>
      <c r="I2492" s="8"/>
      <c r="J2492" s="6"/>
      <c r="L2492" s="4"/>
    </row>
    <row r="2493" spans="5:12" x14ac:dyDescent="0.25">
      <c r="E2493" s="11"/>
      <c r="G2493" s="66"/>
      <c r="H2493" s="8"/>
      <c r="I2493" s="8"/>
      <c r="J2493" s="6"/>
      <c r="L2493" s="4"/>
    </row>
    <row r="2494" spans="5:12" x14ac:dyDescent="0.25">
      <c r="E2494" s="11"/>
      <c r="G2494" s="48"/>
      <c r="H2494" s="8"/>
      <c r="I2494" s="8"/>
      <c r="J2494" s="6"/>
      <c r="L2494" s="4"/>
    </row>
    <row r="2495" spans="5:12" x14ac:dyDescent="0.25">
      <c r="E2495" s="11"/>
      <c r="G2495" s="66"/>
      <c r="H2495" s="8"/>
      <c r="I2495" s="8"/>
      <c r="J2495" s="6"/>
      <c r="L2495" s="4"/>
    </row>
    <row r="2496" spans="5:12" x14ac:dyDescent="0.25">
      <c r="E2496" s="11"/>
      <c r="G2496" s="66"/>
      <c r="H2496" s="8"/>
      <c r="I2496" s="8"/>
      <c r="J2496" s="6"/>
      <c r="L2496" s="4"/>
    </row>
    <row r="2497" spans="1:15" x14ac:dyDescent="0.25">
      <c r="E2497" s="11"/>
      <c r="G2497" s="66"/>
      <c r="H2497" s="8"/>
      <c r="I2497" s="8"/>
      <c r="J2497" s="6"/>
      <c r="L2497" s="4"/>
    </row>
    <row r="2498" spans="1:15" x14ac:dyDescent="0.25">
      <c r="E2498" s="11"/>
      <c r="G2498" s="66"/>
      <c r="H2498" s="8"/>
      <c r="I2498" s="8"/>
      <c r="J2498" s="6"/>
      <c r="L2498" s="4"/>
    </row>
    <row r="2499" spans="1:15" x14ac:dyDescent="0.25">
      <c r="E2499" s="11"/>
      <c r="G2499" s="66"/>
      <c r="H2499" s="8"/>
      <c r="I2499" s="8"/>
      <c r="J2499" s="6"/>
      <c r="L2499" s="4"/>
    </row>
    <row r="2500" spans="1:15" x14ac:dyDescent="0.25">
      <c r="E2500" s="11"/>
      <c r="G2500" s="66"/>
      <c r="H2500" s="8"/>
      <c r="I2500" s="8"/>
      <c r="J2500" s="6"/>
      <c r="L2500" s="4"/>
    </row>
    <row r="2501" spans="1:15" x14ac:dyDescent="0.25">
      <c r="E2501" s="11"/>
      <c r="G2501" s="66"/>
      <c r="H2501" s="8"/>
      <c r="I2501" s="8"/>
      <c r="J2501" s="6"/>
      <c r="L2501" s="4"/>
    </row>
    <row r="2502" spans="1:15" x14ac:dyDescent="0.25">
      <c r="E2502" s="11"/>
      <c r="G2502" s="66"/>
      <c r="H2502" s="8"/>
      <c r="I2502" s="8"/>
      <c r="J2502" s="6"/>
      <c r="L2502" s="4"/>
    </row>
    <row r="2503" spans="1:15" x14ac:dyDescent="0.25">
      <c r="E2503" s="11"/>
      <c r="G2503" s="66"/>
      <c r="H2503" s="8"/>
      <c r="I2503" s="8"/>
      <c r="J2503" s="6"/>
      <c r="L2503" s="4"/>
    </row>
    <row r="2504" spans="1:15" x14ac:dyDescent="0.25">
      <c r="E2504" s="11"/>
      <c r="G2504" s="66"/>
      <c r="H2504" s="8"/>
      <c r="I2504" s="8"/>
      <c r="J2504" s="6"/>
      <c r="L2504" s="4"/>
    </row>
    <row r="2505" spans="1:15" x14ac:dyDescent="0.25">
      <c r="E2505" s="11"/>
      <c r="G2505" s="66"/>
      <c r="H2505" s="8"/>
      <c r="I2505" s="8"/>
      <c r="J2505" s="6"/>
      <c r="L2505" s="4"/>
      <c r="O2505" s="3">
        <v>2503</v>
      </c>
    </row>
    <row r="2506" spans="1:15" x14ac:dyDescent="0.25">
      <c r="A2506" s="3">
        <v>5</v>
      </c>
      <c r="B2506" s="3" t="s">
        <v>14</v>
      </c>
      <c r="C2506" s="3" t="s">
        <v>14</v>
      </c>
      <c r="D2506" s="3" t="s">
        <v>445</v>
      </c>
      <c r="E2506" s="11" t="s">
        <v>144</v>
      </c>
      <c r="F2506" s="3" t="s">
        <v>5</v>
      </c>
      <c r="G2506" s="48" t="s">
        <v>81</v>
      </c>
      <c r="H2506" s="8" t="s">
        <v>514</v>
      </c>
      <c r="I2506" s="8" t="s">
        <v>458</v>
      </c>
      <c r="J2506" s="6" t="s">
        <v>108</v>
      </c>
      <c r="K2506" s="38">
        <v>250000</v>
      </c>
      <c r="L2506" s="4" t="s">
        <v>26</v>
      </c>
      <c r="M2506" s="11">
        <f>_xlfn.NUMBERVALUE(LEFT(Table613612[[#This Row],[Fiscal Year]], 4))</f>
        <v>2018</v>
      </c>
      <c r="N2506" s="42">
        <f t="shared" ref="N2506:N2568" si="37">K2506*(1+VLOOKUP(M2506,$AF$8:$AH$31,3,0))</f>
        <v>250000</v>
      </c>
      <c r="O2506" s="3">
        <v>2504</v>
      </c>
    </row>
    <row r="2507" spans="1:15" x14ac:dyDescent="0.25">
      <c r="A2507" s="3">
        <v>5</v>
      </c>
      <c r="B2507" s="3" t="s">
        <v>14</v>
      </c>
      <c r="C2507" s="3" t="s">
        <v>14</v>
      </c>
      <c r="D2507" s="3" t="s">
        <v>445</v>
      </c>
      <c r="E2507" s="11" t="s">
        <v>144</v>
      </c>
      <c r="F2507" s="3" t="s">
        <v>5</v>
      </c>
      <c r="G2507" s="66" t="s">
        <v>46</v>
      </c>
      <c r="H2507" s="6"/>
      <c r="I2507" s="47" t="s">
        <v>613</v>
      </c>
      <c r="J2507" s="6" t="s">
        <v>111</v>
      </c>
      <c r="K2507" s="38">
        <v>0</v>
      </c>
      <c r="L2507" s="4" t="s">
        <v>26</v>
      </c>
      <c r="M2507" s="11">
        <f>_xlfn.NUMBERVALUE(LEFT(Table613612[[#This Row],[Fiscal Year]], 4))</f>
        <v>2018</v>
      </c>
      <c r="N2507" s="42">
        <f t="shared" si="37"/>
        <v>0</v>
      </c>
      <c r="O2507" s="3">
        <v>2505</v>
      </c>
    </row>
    <row r="2508" spans="1:15" x14ac:dyDescent="0.25">
      <c r="A2508" s="3">
        <v>5</v>
      </c>
      <c r="B2508" s="3" t="s">
        <v>14</v>
      </c>
      <c r="C2508" s="3" t="s">
        <v>14</v>
      </c>
      <c r="D2508" s="3" t="s">
        <v>445</v>
      </c>
      <c r="E2508" s="11" t="s">
        <v>144</v>
      </c>
      <c r="F2508" s="3" t="s">
        <v>5</v>
      </c>
      <c r="G2508" s="48" t="s">
        <v>82</v>
      </c>
      <c r="H2508" s="8"/>
      <c r="I2508" s="8"/>
      <c r="J2508" s="6" t="s">
        <v>108</v>
      </c>
      <c r="K2508" s="38">
        <v>5500000</v>
      </c>
      <c r="L2508" s="4" t="s">
        <v>26</v>
      </c>
      <c r="M2508" s="11">
        <f>_xlfn.NUMBERVALUE(LEFT(Table613612[[#This Row],[Fiscal Year]], 4))</f>
        <v>2018</v>
      </c>
      <c r="N2508" s="42">
        <f>K2508*(1+VLOOKUP(M2508,$AF$8:$AH$31,3,0))</f>
        <v>5500000</v>
      </c>
      <c r="O2508" s="3">
        <v>2506</v>
      </c>
    </row>
    <row r="2509" spans="1:15" x14ac:dyDescent="0.25">
      <c r="A2509" s="3">
        <v>5</v>
      </c>
      <c r="B2509" s="3" t="s">
        <v>14</v>
      </c>
      <c r="C2509" s="3" t="s">
        <v>14</v>
      </c>
      <c r="D2509" s="3" t="s">
        <v>445</v>
      </c>
      <c r="E2509" s="11" t="s">
        <v>144</v>
      </c>
      <c r="F2509" s="3" t="s">
        <v>5</v>
      </c>
      <c r="G2509" s="66" t="s">
        <v>83</v>
      </c>
      <c r="H2509" s="8"/>
      <c r="I2509" s="8"/>
      <c r="J2509" s="6" t="s">
        <v>76</v>
      </c>
      <c r="K2509" s="38">
        <v>0</v>
      </c>
      <c r="L2509" s="4" t="s">
        <v>26</v>
      </c>
      <c r="M2509" s="11">
        <f>_xlfn.NUMBERVALUE(LEFT(Table613612[[#This Row],[Fiscal Year]], 4))</f>
        <v>2018</v>
      </c>
      <c r="N2509" s="42">
        <f t="shared" si="37"/>
        <v>0</v>
      </c>
      <c r="O2509" s="3">
        <v>2507</v>
      </c>
    </row>
    <row r="2510" spans="1:15" x14ac:dyDescent="0.25">
      <c r="A2510" s="3">
        <v>5</v>
      </c>
      <c r="B2510" s="3" t="s">
        <v>14</v>
      </c>
      <c r="C2510" s="3" t="s">
        <v>14</v>
      </c>
      <c r="D2510" s="3" t="s">
        <v>445</v>
      </c>
      <c r="E2510" s="11" t="s">
        <v>144</v>
      </c>
      <c r="F2510" s="3" t="s">
        <v>5</v>
      </c>
      <c r="G2510" s="66" t="s">
        <v>84</v>
      </c>
      <c r="H2510" s="8"/>
      <c r="I2510" s="8"/>
      <c r="J2510" s="6" t="s">
        <v>108</v>
      </c>
      <c r="K2510" s="38">
        <v>1323000</v>
      </c>
      <c r="L2510" s="4" t="s">
        <v>26</v>
      </c>
      <c r="M2510" s="11">
        <f>_xlfn.NUMBERVALUE(LEFT(Table613612[[#This Row],[Fiscal Year]], 4))</f>
        <v>2018</v>
      </c>
      <c r="N2510" s="42">
        <f>K2510*(1+VLOOKUP(M2510,$AF$8:$AH$31,3,0))</f>
        <v>1323000</v>
      </c>
      <c r="O2510" s="3">
        <v>2508</v>
      </c>
    </row>
    <row r="2511" spans="1:15" x14ac:dyDescent="0.25">
      <c r="A2511" s="3">
        <v>5</v>
      </c>
      <c r="B2511" s="3" t="s">
        <v>14</v>
      </c>
      <c r="C2511" s="3" t="s">
        <v>14</v>
      </c>
      <c r="D2511" s="3" t="s">
        <v>445</v>
      </c>
      <c r="E2511" s="11" t="s">
        <v>144</v>
      </c>
      <c r="F2511" s="3" t="s">
        <v>5</v>
      </c>
      <c r="G2511" s="66" t="s">
        <v>85</v>
      </c>
      <c r="H2511" s="8"/>
      <c r="I2511" s="8"/>
      <c r="J2511" s="6" t="s">
        <v>108</v>
      </c>
      <c r="K2511" s="38">
        <v>0</v>
      </c>
      <c r="L2511" s="4" t="s">
        <v>26</v>
      </c>
      <c r="M2511" s="11">
        <f>_xlfn.NUMBERVALUE(LEFT(Table613612[[#This Row],[Fiscal Year]], 4))</f>
        <v>2018</v>
      </c>
      <c r="N2511" s="42">
        <f t="shared" si="37"/>
        <v>0</v>
      </c>
      <c r="O2511" s="3">
        <v>2509</v>
      </c>
    </row>
    <row r="2512" spans="1:15" x14ac:dyDescent="0.25">
      <c r="A2512" s="3">
        <v>5</v>
      </c>
      <c r="B2512" s="3" t="s">
        <v>14</v>
      </c>
      <c r="C2512" s="3" t="s">
        <v>14</v>
      </c>
      <c r="D2512" s="3" t="s">
        <v>445</v>
      </c>
      <c r="E2512" s="11" t="s">
        <v>144</v>
      </c>
      <c r="F2512" s="3" t="s">
        <v>5</v>
      </c>
      <c r="G2512" s="66" t="s">
        <v>86</v>
      </c>
      <c r="H2512" s="8"/>
      <c r="I2512" s="8"/>
      <c r="J2512" s="6" t="s">
        <v>106</v>
      </c>
      <c r="K2512" s="38">
        <v>8000</v>
      </c>
      <c r="L2512" s="4" t="s">
        <v>26</v>
      </c>
      <c r="M2512" s="11">
        <f>_xlfn.NUMBERVALUE(LEFT(Table613612[[#This Row],[Fiscal Year]], 4))</f>
        <v>2018</v>
      </c>
      <c r="N2512" s="42">
        <f t="shared" si="37"/>
        <v>8000</v>
      </c>
      <c r="O2512" s="3">
        <v>2510</v>
      </c>
    </row>
    <row r="2513" spans="1:15" x14ac:dyDescent="0.25">
      <c r="A2513" s="3">
        <v>5</v>
      </c>
      <c r="B2513" s="3" t="s">
        <v>14</v>
      </c>
      <c r="C2513" s="3" t="s">
        <v>14</v>
      </c>
      <c r="D2513" s="3" t="s">
        <v>445</v>
      </c>
      <c r="E2513" s="11" t="s">
        <v>144</v>
      </c>
      <c r="F2513" s="3" t="s">
        <v>5</v>
      </c>
      <c r="G2513" s="48" t="s">
        <v>87</v>
      </c>
      <c r="H2513" s="8"/>
      <c r="I2513" s="8"/>
      <c r="J2513" s="6" t="s">
        <v>108</v>
      </c>
      <c r="K2513" s="38">
        <v>435000</v>
      </c>
      <c r="L2513" s="4" t="s">
        <v>26</v>
      </c>
      <c r="M2513" s="11">
        <f>_xlfn.NUMBERVALUE(LEFT(Table613612[[#This Row],[Fiscal Year]], 4))</f>
        <v>2018</v>
      </c>
      <c r="N2513" s="42">
        <f t="shared" si="37"/>
        <v>435000</v>
      </c>
      <c r="O2513" s="3">
        <v>2511</v>
      </c>
    </row>
    <row r="2514" spans="1:15" x14ac:dyDescent="0.25">
      <c r="A2514" s="3">
        <v>5</v>
      </c>
      <c r="B2514" s="3" t="s">
        <v>14</v>
      </c>
      <c r="C2514" s="3" t="s">
        <v>14</v>
      </c>
      <c r="D2514" s="3" t="s">
        <v>445</v>
      </c>
      <c r="E2514" s="11" t="s">
        <v>144</v>
      </c>
      <c r="F2514" s="3" t="s">
        <v>5</v>
      </c>
      <c r="G2514" s="66" t="s">
        <v>88</v>
      </c>
      <c r="H2514" s="8"/>
      <c r="I2514" s="8"/>
      <c r="J2514" s="6" t="s">
        <v>106</v>
      </c>
      <c r="K2514" s="38">
        <v>3000</v>
      </c>
      <c r="L2514" s="4" t="s">
        <v>26</v>
      </c>
      <c r="M2514" s="11">
        <f>_xlfn.NUMBERVALUE(LEFT(Table613612[[#This Row],[Fiscal Year]], 4))</f>
        <v>2018</v>
      </c>
      <c r="N2514" s="42">
        <f t="shared" si="37"/>
        <v>3000</v>
      </c>
      <c r="O2514" s="3">
        <v>2512</v>
      </c>
    </row>
    <row r="2515" spans="1:15" x14ac:dyDescent="0.25">
      <c r="A2515" s="3">
        <v>5</v>
      </c>
      <c r="B2515" s="3" t="s">
        <v>14</v>
      </c>
      <c r="C2515" s="3" t="s">
        <v>14</v>
      </c>
      <c r="D2515" s="3" t="s">
        <v>445</v>
      </c>
      <c r="E2515" s="11" t="s">
        <v>144</v>
      </c>
      <c r="F2515" s="3" t="s">
        <v>5</v>
      </c>
      <c r="G2515" s="66" t="s">
        <v>112</v>
      </c>
      <c r="H2515" s="8" t="s">
        <v>515</v>
      </c>
      <c r="I2515" s="8" t="s">
        <v>458</v>
      </c>
      <c r="J2515" s="6" t="s">
        <v>106</v>
      </c>
      <c r="K2515" s="38">
        <v>0</v>
      </c>
      <c r="L2515" s="4" t="s">
        <v>26</v>
      </c>
      <c r="M2515" s="11">
        <f>_xlfn.NUMBERVALUE(LEFT(Table613612[[#This Row],[Fiscal Year]], 4))</f>
        <v>2018</v>
      </c>
      <c r="N2515" s="42">
        <f t="shared" si="37"/>
        <v>0</v>
      </c>
      <c r="O2515" s="3">
        <v>2513</v>
      </c>
    </row>
    <row r="2516" spans="1:15" x14ac:dyDescent="0.25">
      <c r="A2516" s="3">
        <v>5</v>
      </c>
      <c r="B2516" s="3" t="s">
        <v>14</v>
      </c>
      <c r="C2516" s="3" t="s">
        <v>14</v>
      </c>
      <c r="D2516" s="3" t="s">
        <v>445</v>
      </c>
      <c r="E2516" s="11" t="s">
        <v>144</v>
      </c>
      <c r="F2516" s="3" t="s">
        <v>5</v>
      </c>
      <c r="G2516" s="66" t="s">
        <v>113</v>
      </c>
      <c r="H2516" s="8" t="s">
        <v>516</v>
      </c>
      <c r="I2516" s="47" t="s">
        <v>517</v>
      </c>
      <c r="J2516" s="6" t="s">
        <v>455</v>
      </c>
      <c r="K2516" s="38">
        <v>33000</v>
      </c>
      <c r="L2516" s="4" t="s">
        <v>26</v>
      </c>
      <c r="M2516" s="11">
        <f>_xlfn.NUMBERVALUE(LEFT(Table613612[[#This Row],[Fiscal Year]], 4))</f>
        <v>2018</v>
      </c>
      <c r="N2516" s="42">
        <f t="shared" si="37"/>
        <v>33000</v>
      </c>
      <c r="O2516" s="3">
        <v>2514</v>
      </c>
    </row>
    <row r="2517" spans="1:15" x14ac:dyDescent="0.25">
      <c r="A2517" s="3">
        <v>5</v>
      </c>
      <c r="B2517" s="3" t="s">
        <v>14</v>
      </c>
      <c r="C2517" s="3" t="s">
        <v>14</v>
      </c>
      <c r="D2517" s="3" t="s">
        <v>445</v>
      </c>
      <c r="E2517" s="11" t="s">
        <v>144</v>
      </c>
      <c r="F2517" s="3" t="s">
        <v>5</v>
      </c>
      <c r="G2517" s="48" t="s">
        <v>95</v>
      </c>
      <c r="H2517" s="8"/>
      <c r="I2517" s="8"/>
      <c r="J2517" s="6" t="s">
        <v>109</v>
      </c>
      <c r="K2517" s="38">
        <v>300000</v>
      </c>
      <c r="L2517" s="4" t="s">
        <v>26</v>
      </c>
      <c r="M2517" s="11">
        <f>_xlfn.NUMBERVALUE(LEFT(Table613612[[#This Row],[Fiscal Year]], 4))</f>
        <v>2018</v>
      </c>
      <c r="N2517" s="42">
        <f t="shared" si="37"/>
        <v>300000</v>
      </c>
      <c r="O2517" s="3">
        <v>2515</v>
      </c>
    </row>
    <row r="2518" spans="1:15" x14ac:dyDescent="0.25">
      <c r="A2518" s="3">
        <v>5</v>
      </c>
      <c r="B2518" s="3" t="s">
        <v>14</v>
      </c>
      <c r="C2518" s="3" t="s">
        <v>14</v>
      </c>
      <c r="D2518" s="3" t="s">
        <v>445</v>
      </c>
      <c r="E2518" s="11" t="s">
        <v>144</v>
      </c>
      <c r="F2518" s="3" t="s">
        <v>5</v>
      </c>
      <c r="G2518" s="48" t="s">
        <v>89</v>
      </c>
      <c r="H2518" s="8"/>
      <c r="I2518" s="8"/>
      <c r="J2518" s="6" t="s">
        <v>111</v>
      </c>
      <c r="K2518" s="38">
        <v>250000</v>
      </c>
      <c r="L2518" s="4" t="s">
        <v>26</v>
      </c>
      <c r="M2518" s="11">
        <f>_xlfn.NUMBERVALUE(LEFT(Table613612[[#This Row],[Fiscal Year]], 4))</f>
        <v>2018</v>
      </c>
      <c r="N2518" s="42">
        <f t="shared" si="37"/>
        <v>250000</v>
      </c>
      <c r="O2518" s="3">
        <v>2516</v>
      </c>
    </row>
    <row r="2519" spans="1:15" x14ac:dyDescent="0.25">
      <c r="A2519" s="3">
        <v>5</v>
      </c>
      <c r="B2519" s="3" t="s">
        <v>14</v>
      </c>
      <c r="C2519" s="3" t="s">
        <v>14</v>
      </c>
      <c r="D2519" s="3" t="s">
        <v>445</v>
      </c>
      <c r="E2519" s="11" t="s">
        <v>144</v>
      </c>
      <c r="F2519" s="3" t="s">
        <v>5</v>
      </c>
      <c r="G2519" s="48" t="s">
        <v>90</v>
      </c>
      <c r="H2519" s="8" t="s">
        <v>615</v>
      </c>
      <c r="I2519" s="8"/>
      <c r="J2519" s="6" t="s">
        <v>455</v>
      </c>
      <c r="K2519" s="38">
        <v>26000</v>
      </c>
      <c r="L2519" s="4" t="s">
        <v>26</v>
      </c>
      <c r="M2519" s="11">
        <f>_xlfn.NUMBERVALUE(LEFT(Table613612[[#This Row],[Fiscal Year]], 4))</f>
        <v>2018</v>
      </c>
      <c r="N2519" s="42">
        <f t="shared" si="37"/>
        <v>26000</v>
      </c>
      <c r="O2519" s="3">
        <v>2517</v>
      </c>
    </row>
    <row r="2520" spans="1:15" x14ac:dyDescent="0.25">
      <c r="A2520" s="3">
        <v>5</v>
      </c>
      <c r="B2520" s="3" t="s">
        <v>14</v>
      </c>
      <c r="C2520" s="3" t="s">
        <v>14</v>
      </c>
      <c r="D2520" s="3" t="s">
        <v>445</v>
      </c>
      <c r="E2520" s="11" t="s">
        <v>144</v>
      </c>
      <c r="F2520" s="3" t="s">
        <v>5</v>
      </c>
      <c r="G2520" s="48" t="s">
        <v>91</v>
      </c>
      <c r="H2520" s="8"/>
      <c r="I2520" s="8"/>
      <c r="J2520" s="6" t="s">
        <v>107</v>
      </c>
      <c r="K2520" s="38">
        <v>22000</v>
      </c>
      <c r="L2520" s="4" t="s">
        <v>26</v>
      </c>
      <c r="M2520" s="11">
        <f>_xlfn.NUMBERVALUE(LEFT(Table613612[[#This Row],[Fiscal Year]], 4))</f>
        <v>2018</v>
      </c>
      <c r="N2520" s="42">
        <f t="shared" si="37"/>
        <v>22000</v>
      </c>
      <c r="O2520" s="3">
        <v>2518</v>
      </c>
    </row>
    <row r="2521" spans="1:15" x14ac:dyDescent="0.25">
      <c r="A2521" s="3">
        <v>5</v>
      </c>
      <c r="B2521" s="3" t="s">
        <v>14</v>
      </c>
      <c r="C2521" s="3" t="s">
        <v>14</v>
      </c>
      <c r="D2521" s="3" t="s">
        <v>445</v>
      </c>
      <c r="E2521" s="11" t="s">
        <v>144</v>
      </c>
      <c r="F2521" s="3" t="s">
        <v>5</v>
      </c>
      <c r="G2521" s="48" t="s">
        <v>92</v>
      </c>
      <c r="H2521" s="8" t="s">
        <v>614</v>
      </c>
      <c r="I2521" s="8"/>
      <c r="J2521" s="6" t="s">
        <v>455</v>
      </c>
      <c r="K2521" s="38">
        <v>0</v>
      </c>
      <c r="L2521" s="4" t="s">
        <v>26</v>
      </c>
      <c r="M2521" s="11">
        <f>_xlfn.NUMBERVALUE(LEFT(Table613612[[#This Row],[Fiscal Year]], 4))</f>
        <v>2018</v>
      </c>
      <c r="N2521" s="42">
        <f t="shared" si="37"/>
        <v>0</v>
      </c>
      <c r="O2521" s="3">
        <v>2519</v>
      </c>
    </row>
    <row r="2522" spans="1:15" x14ac:dyDescent="0.25">
      <c r="A2522" s="3">
        <v>5</v>
      </c>
      <c r="B2522" s="3" t="s">
        <v>14</v>
      </c>
      <c r="C2522" s="3" t="s">
        <v>14</v>
      </c>
      <c r="D2522" s="3" t="s">
        <v>445</v>
      </c>
      <c r="E2522" s="11" t="s">
        <v>144</v>
      </c>
      <c r="F2522" s="3" t="s">
        <v>5</v>
      </c>
      <c r="G2522" s="48" t="s">
        <v>93</v>
      </c>
      <c r="H2522" s="8"/>
      <c r="I2522" s="8"/>
      <c r="J2522" s="6" t="s">
        <v>605</v>
      </c>
      <c r="K2522" s="38">
        <v>8000</v>
      </c>
      <c r="L2522" s="4" t="s">
        <v>26</v>
      </c>
      <c r="M2522" s="11">
        <f>_xlfn.NUMBERVALUE(LEFT(Table613612[[#This Row],[Fiscal Year]], 4))</f>
        <v>2018</v>
      </c>
      <c r="N2522" s="42">
        <f t="shared" si="37"/>
        <v>8000</v>
      </c>
      <c r="O2522" s="3">
        <v>2520</v>
      </c>
    </row>
    <row r="2523" spans="1:15" x14ac:dyDescent="0.25">
      <c r="A2523" s="3">
        <v>5</v>
      </c>
      <c r="B2523" s="3" t="s">
        <v>14</v>
      </c>
      <c r="C2523" s="3" t="s">
        <v>14</v>
      </c>
      <c r="D2523" s="3" t="s">
        <v>445</v>
      </c>
      <c r="E2523" s="11" t="s">
        <v>144</v>
      </c>
      <c r="F2523" s="3" t="s">
        <v>5</v>
      </c>
      <c r="G2523" s="66" t="s">
        <v>94</v>
      </c>
      <c r="H2523" s="8"/>
      <c r="I2523" s="8"/>
      <c r="J2523" s="6" t="s">
        <v>47</v>
      </c>
      <c r="K2523" s="38">
        <v>45000</v>
      </c>
      <c r="L2523" s="4" t="s">
        <v>26</v>
      </c>
      <c r="M2523" s="11">
        <f>_xlfn.NUMBERVALUE(LEFT(Table613612[[#This Row],[Fiscal Year]], 4))</f>
        <v>2018</v>
      </c>
      <c r="N2523" s="42">
        <f t="shared" si="37"/>
        <v>45000</v>
      </c>
      <c r="O2523" s="3">
        <v>2521</v>
      </c>
    </row>
    <row r="2524" spans="1:15" x14ac:dyDescent="0.25">
      <c r="E2524" s="11"/>
      <c r="G2524" s="66"/>
      <c r="H2524" s="8"/>
      <c r="I2524" s="8"/>
      <c r="J2524" s="6"/>
      <c r="L2524" s="4"/>
      <c r="O2524" s="3">
        <v>2522</v>
      </c>
    </row>
    <row r="2525" spans="1:15" x14ac:dyDescent="0.25">
      <c r="A2525" s="3">
        <v>5</v>
      </c>
      <c r="B2525" s="3" t="s">
        <v>15</v>
      </c>
      <c r="C2525" s="3" t="s">
        <v>14</v>
      </c>
      <c r="D2525" s="3" t="s">
        <v>445</v>
      </c>
      <c r="E2525" s="11" t="s">
        <v>144</v>
      </c>
      <c r="F2525" s="3" t="s">
        <v>8</v>
      </c>
      <c r="G2525" s="48" t="s">
        <v>81</v>
      </c>
      <c r="H2525" s="8" t="s">
        <v>518</v>
      </c>
      <c r="I2525" s="8"/>
      <c r="J2525" s="6" t="s">
        <v>108</v>
      </c>
      <c r="K2525" s="38">
        <v>4800000</v>
      </c>
      <c r="L2525" s="4" t="s">
        <v>26</v>
      </c>
      <c r="M2525" s="11">
        <f>_xlfn.NUMBERVALUE(LEFT(Table613612[[#This Row],[Fiscal Year]], 4))</f>
        <v>2018</v>
      </c>
      <c r="N2525" s="42">
        <f t="shared" si="37"/>
        <v>4800000</v>
      </c>
      <c r="O2525" s="3">
        <v>2523</v>
      </c>
    </row>
    <row r="2526" spans="1:15" x14ac:dyDescent="0.25">
      <c r="A2526" s="3">
        <v>5</v>
      </c>
      <c r="B2526" s="3" t="s">
        <v>15</v>
      </c>
      <c r="C2526" s="3" t="s">
        <v>14</v>
      </c>
      <c r="D2526" s="3" t="s">
        <v>445</v>
      </c>
      <c r="E2526" s="11" t="s">
        <v>144</v>
      </c>
      <c r="F2526" s="3" t="s">
        <v>8</v>
      </c>
      <c r="G2526" s="66" t="s">
        <v>46</v>
      </c>
      <c r="H2526" s="8"/>
      <c r="I2526" s="8"/>
      <c r="J2526" s="6" t="s">
        <v>111</v>
      </c>
      <c r="K2526" s="38">
        <v>0</v>
      </c>
      <c r="L2526" s="4" t="s">
        <v>26</v>
      </c>
      <c r="M2526" s="11">
        <f>_xlfn.NUMBERVALUE(LEFT(Table613612[[#This Row],[Fiscal Year]], 4))</f>
        <v>2018</v>
      </c>
      <c r="N2526" s="42">
        <f t="shared" si="37"/>
        <v>0</v>
      </c>
      <c r="O2526" s="3">
        <v>2524</v>
      </c>
    </row>
    <row r="2527" spans="1:15" x14ac:dyDescent="0.25">
      <c r="A2527" s="3">
        <v>5</v>
      </c>
      <c r="B2527" s="3" t="s">
        <v>15</v>
      </c>
      <c r="C2527" s="3" t="s">
        <v>14</v>
      </c>
      <c r="D2527" s="3" t="s">
        <v>445</v>
      </c>
      <c r="E2527" s="11" t="s">
        <v>144</v>
      </c>
      <c r="F2527" s="3" t="s">
        <v>8</v>
      </c>
      <c r="G2527" s="48" t="s">
        <v>82</v>
      </c>
      <c r="H2527" s="8"/>
      <c r="I2527" s="8"/>
      <c r="J2527" s="6" t="s">
        <v>108</v>
      </c>
      <c r="K2527" s="38">
        <v>19900000</v>
      </c>
      <c r="L2527" s="4" t="s">
        <v>26</v>
      </c>
      <c r="M2527" s="11">
        <f>_xlfn.NUMBERVALUE(LEFT(Table613612[[#This Row],[Fiscal Year]], 4))</f>
        <v>2018</v>
      </c>
      <c r="N2527" s="42">
        <f t="shared" si="37"/>
        <v>19900000</v>
      </c>
      <c r="O2527" s="3">
        <v>2525</v>
      </c>
    </row>
    <row r="2528" spans="1:15" x14ac:dyDescent="0.25">
      <c r="A2528" s="3">
        <v>5</v>
      </c>
      <c r="B2528" s="3" t="s">
        <v>15</v>
      </c>
      <c r="C2528" s="3" t="s">
        <v>14</v>
      </c>
      <c r="D2528" s="3" t="s">
        <v>445</v>
      </c>
      <c r="E2528" s="11" t="s">
        <v>144</v>
      </c>
      <c r="F2528" s="3" t="s">
        <v>8</v>
      </c>
      <c r="G2528" s="66" t="s">
        <v>83</v>
      </c>
      <c r="H2528" s="8"/>
      <c r="I2528" s="8"/>
      <c r="J2528" s="6" t="s">
        <v>76</v>
      </c>
      <c r="K2528" s="38">
        <v>22000</v>
      </c>
      <c r="L2528" s="4" t="s">
        <v>26</v>
      </c>
      <c r="M2528" s="11">
        <f>_xlfn.NUMBERVALUE(LEFT(Table613612[[#This Row],[Fiscal Year]], 4))</f>
        <v>2018</v>
      </c>
      <c r="N2528" s="42">
        <f t="shared" si="37"/>
        <v>22000</v>
      </c>
      <c r="O2528" s="3">
        <v>2526</v>
      </c>
    </row>
    <row r="2529" spans="1:15" x14ac:dyDescent="0.25">
      <c r="A2529" s="3">
        <v>5</v>
      </c>
      <c r="B2529" s="3" t="s">
        <v>15</v>
      </c>
      <c r="C2529" s="3" t="s">
        <v>14</v>
      </c>
      <c r="D2529" s="3" t="s">
        <v>445</v>
      </c>
      <c r="E2529" s="11" t="s">
        <v>144</v>
      </c>
      <c r="F2529" s="3" t="s">
        <v>8</v>
      </c>
      <c r="G2529" s="66" t="s">
        <v>84</v>
      </c>
      <c r="H2529" s="8"/>
      <c r="I2529" s="8"/>
      <c r="J2529" s="6" t="s">
        <v>108</v>
      </c>
      <c r="K2529" s="38">
        <v>4000</v>
      </c>
      <c r="L2529" s="4" t="s">
        <v>26</v>
      </c>
      <c r="M2529" s="11">
        <f>_xlfn.NUMBERVALUE(LEFT(Table613612[[#This Row],[Fiscal Year]], 4))</f>
        <v>2018</v>
      </c>
      <c r="N2529" s="42">
        <f t="shared" si="37"/>
        <v>4000</v>
      </c>
      <c r="O2529" s="3">
        <v>2527</v>
      </c>
    </row>
    <row r="2530" spans="1:15" x14ac:dyDescent="0.25">
      <c r="A2530" s="3">
        <v>5</v>
      </c>
      <c r="B2530" s="3" t="s">
        <v>15</v>
      </c>
      <c r="C2530" s="3" t="s">
        <v>14</v>
      </c>
      <c r="D2530" s="3" t="s">
        <v>445</v>
      </c>
      <c r="E2530" s="11" t="s">
        <v>144</v>
      </c>
      <c r="F2530" s="3" t="s">
        <v>8</v>
      </c>
      <c r="G2530" s="66" t="s">
        <v>85</v>
      </c>
      <c r="H2530" s="8"/>
      <c r="I2530" s="8"/>
      <c r="J2530" s="6" t="s">
        <v>108</v>
      </c>
      <c r="K2530" s="38">
        <v>0</v>
      </c>
      <c r="L2530" s="4" t="s">
        <v>26</v>
      </c>
      <c r="M2530" s="11">
        <f>_xlfn.NUMBERVALUE(LEFT(Table613612[[#This Row],[Fiscal Year]], 4))</f>
        <v>2018</v>
      </c>
      <c r="N2530" s="42">
        <f t="shared" si="37"/>
        <v>0</v>
      </c>
      <c r="O2530" s="3">
        <v>2528</v>
      </c>
    </row>
    <row r="2531" spans="1:15" x14ac:dyDescent="0.25">
      <c r="A2531" s="3">
        <v>5</v>
      </c>
      <c r="B2531" s="3" t="s">
        <v>15</v>
      </c>
      <c r="C2531" s="3" t="s">
        <v>14</v>
      </c>
      <c r="D2531" s="3" t="s">
        <v>445</v>
      </c>
      <c r="E2531" s="11" t="s">
        <v>144</v>
      </c>
      <c r="F2531" s="3" t="s">
        <v>8</v>
      </c>
      <c r="G2531" s="66" t="s">
        <v>86</v>
      </c>
      <c r="H2531" s="8"/>
      <c r="I2531" s="8"/>
      <c r="J2531" s="6" t="s">
        <v>106</v>
      </c>
      <c r="K2531" s="38">
        <v>6300</v>
      </c>
      <c r="L2531" s="4" t="s">
        <v>26</v>
      </c>
      <c r="M2531" s="11">
        <f>_xlfn.NUMBERVALUE(LEFT(Table613612[[#This Row],[Fiscal Year]], 4))</f>
        <v>2018</v>
      </c>
      <c r="N2531" s="42">
        <f t="shared" si="37"/>
        <v>6300</v>
      </c>
      <c r="O2531" s="3">
        <v>2529</v>
      </c>
    </row>
    <row r="2532" spans="1:15" x14ac:dyDescent="0.25">
      <c r="A2532" s="3">
        <v>5</v>
      </c>
      <c r="B2532" s="3" t="s">
        <v>15</v>
      </c>
      <c r="C2532" s="3" t="s">
        <v>14</v>
      </c>
      <c r="D2532" s="3" t="s">
        <v>445</v>
      </c>
      <c r="E2532" s="11" t="s">
        <v>144</v>
      </c>
      <c r="F2532" s="3" t="s">
        <v>8</v>
      </c>
      <c r="G2532" s="48" t="s">
        <v>87</v>
      </c>
      <c r="H2532" s="8"/>
      <c r="I2532" s="8"/>
      <c r="J2532" s="6" t="s">
        <v>108</v>
      </c>
      <c r="K2532" s="38">
        <v>580000</v>
      </c>
      <c r="L2532" s="4" t="s">
        <v>26</v>
      </c>
      <c r="M2532" s="11">
        <f>_xlfn.NUMBERVALUE(LEFT(Table613612[[#This Row],[Fiscal Year]], 4))</f>
        <v>2018</v>
      </c>
      <c r="N2532" s="42">
        <f t="shared" si="37"/>
        <v>580000</v>
      </c>
      <c r="O2532" s="3">
        <v>2530</v>
      </c>
    </row>
    <row r="2533" spans="1:15" x14ac:dyDescent="0.25">
      <c r="A2533" s="3">
        <v>5</v>
      </c>
      <c r="B2533" s="3" t="s">
        <v>15</v>
      </c>
      <c r="C2533" s="3" t="s">
        <v>14</v>
      </c>
      <c r="D2533" s="3" t="s">
        <v>445</v>
      </c>
      <c r="E2533" s="11" t="s">
        <v>144</v>
      </c>
      <c r="F2533" s="3" t="s">
        <v>8</v>
      </c>
      <c r="G2533" s="66" t="s">
        <v>88</v>
      </c>
      <c r="H2533" s="8"/>
      <c r="I2533" s="8"/>
      <c r="J2533" s="6" t="s">
        <v>106</v>
      </c>
      <c r="K2533" s="38">
        <v>600</v>
      </c>
      <c r="L2533" s="4" t="s">
        <v>26</v>
      </c>
      <c r="M2533" s="11">
        <f>_xlfn.NUMBERVALUE(LEFT(Table613612[[#This Row],[Fiscal Year]], 4))</f>
        <v>2018</v>
      </c>
      <c r="N2533" s="42">
        <f t="shared" si="37"/>
        <v>600</v>
      </c>
      <c r="O2533" s="3">
        <v>2531</v>
      </c>
    </row>
    <row r="2534" spans="1:15" x14ac:dyDescent="0.25">
      <c r="A2534" s="3">
        <v>5</v>
      </c>
      <c r="B2534" s="3" t="s">
        <v>15</v>
      </c>
      <c r="C2534" s="3" t="s">
        <v>14</v>
      </c>
      <c r="D2534" s="3" t="s">
        <v>445</v>
      </c>
      <c r="E2534" s="11" t="s">
        <v>144</v>
      </c>
      <c r="F2534" s="3" t="s">
        <v>8</v>
      </c>
      <c r="G2534" s="66" t="s">
        <v>112</v>
      </c>
      <c r="H2534" s="8"/>
      <c r="I2534" s="8"/>
      <c r="J2534" s="8" t="s">
        <v>106</v>
      </c>
      <c r="K2534" s="38">
        <v>0</v>
      </c>
      <c r="L2534" s="4" t="s">
        <v>26</v>
      </c>
      <c r="M2534" s="11">
        <f>_xlfn.NUMBERVALUE(LEFT(Table613612[[#This Row],[Fiscal Year]], 4))</f>
        <v>2018</v>
      </c>
      <c r="N2534" s="42">
        <f t="shared" si="37"/>
        <v>0</v>
      </c>
      <c r="O2534" s="3">
        <v>2532</v>
      </c>
    </row>
    <row r="2535" spans="1:15" x14ac:dyDescent="0.25">
      <c r="A2535" s="3">
        <v>5</v>
      </c>
      <c r="B2535" s="3" t="s">
        <v>15</v>
      </c>
      <c r="C2535" s="3" t="s">
        <v>14</v>
      </c>
      <c r="D2535" s="3" t="s">
        <v>445</v>
      </c>
      <c r="E2535" s="11" t="s">
        <v>144</v>
      </c>
      <c r="F2535" s="3" t="s">
        <v>8</v>
      </c>
      <c r="G2535" s="66" t="s">
        <v>113</v>
      </c>
      <c r="H2535" s="8" t="s">
        <v>625</v>
      </c>
      <c r="I2535" s="47" t="s">
        <v>626</v>
      </c>
      <c r="J2535" s="6" t="s">
        <v>455</v>
      </c>
      <c r="K2535" s="38">
        <v>8400</v>
      </c>
      <c r="L2535" s="4" t="s">
        <v>26</v>
      </c>
      <c r="M2535" s="11">
        <f>_xlfn.NUMBERVALUE(LEFT(Table613612[[#This Row],[Fiscal Year]], 4))</f>
        <v>2018</v>
      </c>
      <c r="N2535" s="42">
        <f t="shared" si="37"/>
        <v>8400</v>
      </c>
      <c r="O2535" s="3">
        <v>2533</v>
      </c>
    </row>
    <row r="2536" spans="1:15" x14ac:dyDescent="0.25">
      <c r="A2536" s="3">
        <v>5</v>
      </c>
      <c r="B2536" s="3" t="s">
        <v>15</v>
      </c>
      <c r="C2536" s="3" t="s">
        <v>14</v>
      </c>
      <c r="D2536" s="3" t="s">
        <v>445</v>
      </c>
      <c r="E2536" s="11" t="s">
        <v>144</v>
      </c>
      <c r="F2536" s="3" t="s">
        <v>8</v>
      </c>
      <c r="G2536" s="48" t="s">
        <v>95</v>
      </c>
      <c r="H2536" s="8"/>
      <c r="I2536" s="8"/>
      <c r="J2536" s="6" t="s">
        <v>109</v>
      </c>
      <c r="K2536" s="38">
        <v>174800</v>
      </c>
      <c r="L2536" s="4" t="s">
        <v>26</v>
      </c>
      <c r="M2536" s="11">
        <f>_xlfn.NUMBERVALUE(LEFT(Table613612[[#This Row],[Fiscal Year]], 4))</f>
        <v>2018</v>
      </c>
      <c r="N2536" s="42">
        <f t="shared" si="37"/>
        <v>174800</v>
      </c>
      <c r="O2536" s="3">
        <v>2534</v>
      </c>
    </row>
    <row r="2537" spans="1:15" x14ac:dyDescent="0.25">
      <c r="A2537" s="3">
        <v>5</v>
      </c>
      <c r="B2537" s="3" t="s">
        <v>15</v>
      </c>
      <c r="C2537" s="3" t="s">
        <v>14</v>
      </c>
      <c r="D2537" s="3" t="s">
        <v>445</v>
      </c>
      <c r="E2537" s="11" t="s">
        <v>144</v>
      </c>
      <c r="F2537" s="3" t="s">
        <v>8</v>
      </c>
      <c r="G2537" s="48" t="s">
        <v>89</v>
      </c>
      <c r="H2537" s="8"/>
      <c r="I2537" s="8"/>
      <c r="J2537" s="6" t="s">
        <v>111</v>
      </c>
      <c r="K2537" s="38">
        <v>475000</v>
      </c>
      <c r="L2537" s="4" t="s">
        <v>26</v>
      </c>
      <c r="M2537" s="11">
        <f>_xlfn.NUMBERVALUE(LEFT(Table613612[[#This Row],[Fiscal Year]], 4))</f>
        <v>2018</v>
      </c>
      <c r="N2537" s="42">
        <f t="shared" si="37"/>
        <v>475000</v>
      </c>
      <c r="O2537" s="3">
        <v>2535</v>
      </c>
    </row>
    <row r="2538" spans="1:15" x14ac:dyDescent="0.25">
      <c r="A2538" s="3">
        <v>5</v>
      </c>
      <c r="B2538" s="3" t="s">
        <v>15</v>
      </c>
      <c r="C2538" s="3" t="s">
        <v>14</v>
      </c>
      <c r="D2538" s="3" t="s">
        <v>445</v>
      </c>
      <c r="E2538" s="11" t="s">
        <v>144</v>
      </c>
      <c r="F2538" s="3" t="s">
        <v>8</v>
      </c>
      <c r="G2538" s="48" t="s">
        <v>90</v>
      </c>
      <c r="H2538" s="8" t="s">
        <v>625</v>
      </c>
      <c r="I2538" s="47" t="s">
        <v>626</v>
      </c>
      <c r="J2538" s="6" t="s">
        <v>455</v>
      </c>
      <c r="K2538" s="38">
        <v>30000</v>
      </c>
      <c r="L2538" s="4" t="s">
        <v>26</v>
      </c>
      <c r="M2538" s="11">
        <f>_xlfn.NUMBERVALUE(LEFT(Table613612[[#This Row],[Fiscal Year]], 4))</f>
        <v>2018</v>
      </c>
      <c r="N2538" s="42">
        <f t="shared" si="37"/>
        <v>30000</v>
      </c>
      <c r="O2538" s="3">
        <v>2536</v>
      </c>
    </row>
    <row r="2539" spans="1:15" x14ac:dyDescent="0.25">
      <c r="A2539" s="3">
        <v>5</v>
      </c>
      <c r="B2539" s="3" t="s">
        <v>15</v>
      </c>
      <c r="C2539" s="3" t="s">
        <v>14</v>
      </c>
      <c r="D2539" s="3" t="s">
        <v>445</v>
      </c>
      <c r="E2539" s="11" t="s">
        <v>144</v>
      </c>
      <c r="F2539" s="3" t="s">
        <v>8</v>
      </c>
      <c r="G2539" s="48" t="s">
        <v>91</v>
      </c>
      <c r="H2539" s="8"/>
      <c r="I2539" s="8"/>
      <c r="J2539" s="6" t="s">
        <v>107</v>
      </c>
      <c r="K2539" s="38">
        <v>30000</v>
      </c>
      <c r="L2539" s="4" t="s">
        <v>26</v>
      </c>
      <c r="M2539" s="11">
        <f>_xlfn.NUMBERVALUE(LEFT(Table613612[[#This Row],[Fiscal Year]], 4))</f>
        <v>2018</v>
      </c>
      <c r="N2539" s="42">
        <f t="shared" si="37"/>
        <v>30000</v>
      </c>
      <c r="O2539" s="3">
        <v>2537</v>
      </c>
    </row>
    <row r="2540" spans="1:15" x14ac:dyDescent="0.25">
      <c r="A2540" s="3">
        <v>5</v>
      </c>
      <c r="B2540" s="3" t="s">
        <v>15</v>
      </c>
      <c r="C2540" s="3" t="s">
        <v>14</v>
      </c>
      <c r="D2540" s="3" t="s">
        <v>445</v>
      </c>
      <c r="E2540" s="11" t="s">
        <v>144</v>
      </c>
      <c r="F2540" s="3" t="s">
        <v>8</v>
      </c>
      <c r="G2540" s="48" t="s">
        <v>92</v>
      </c>
      <c r="H2540" s="8" t="s">
        <v>625</v>
      </c>
      <c r="I2540" s="47" t="s">
        <v>626</v>
      </c>
      <c r="J2540" s="6" t="s">
        <v>455</v>
      </c>
      <c r="K2540" s="38">
        <v>2000</v>
      </c>
      <c r="L2540" s="4" t="s">
        <v>26</v>
      </c>
      <c r="M2540" s="11">
        <f>_xlfn.NUMBERVALUE(LEFT(Table613612[[#This Row],[Fiscal Year]], 4))</f>
        <v>2018</v>
      </c>
      <c r="N2540" s="42">
        <f t="shared" si="37"/>
        <v>2000</v>
      </c>
      <c r="O2540" s="3">
        <v>2538</v>
      </c>
    </row>
    <row r="2541" spans="1:15" x14ac:dyDescent="0.25">
      <c r="A2541" s="3">
        <v>5</v>
      </c>
      <c r="B2541" s="3" t="s">
        <v>15</v>
      </c>
      <c r="C2541" s="3" t="s">
        <v>14</v>
      </c>
      <c r="D2541" s="3" t="s">
        <v>445</v>
      </c>
      <c r="E2541" s="11" t="s">
        <v>144</v>
      </c>
      <c r="F2541" s="3" t="s">
        <v>8</v>
      </c>
      <c r="G2541" s="48" t="s">
        <v>93</v>
      </c>
      <c r="H2541" s="8"/>
      <c r="I2541" s="8"/>
      <c r="J2541" s="6" t="s">
        <v>605</v>
      </c>
      <c r="K2541" s="38">
        <v>10600</v>
      </c>
      <c r="L2541" s="4" t="s">
        <v>26</v>
      </c>
      <c r="M2541" s="11">
        <f>_xlfn.NUMBERVALUE(LEFT(Table613612[[#This Row],[Fiscal Year]], 4))</f>
        <v>2018</v>
      </c>
      <c r="N2541" s="42">
        <f t="shared" si="37"/>
        <v>10600</v>
      </c>
      <c r="O2541" s="3">
        <v>2539</v>
      </c>
    </row>
    <row r="2542" spans="1:15" x14ac:dyDescent="0.25">
      <c r="A2542" s="3">
        <v>5</v>
      </c>
      <c r="B2542" s="3" t="s">
        <v>15</v>
      </c>
      <c r="C2542" s="3" t="s">
        <v>14</v>
      </c>
      <c r="D2542" s="3" t="s">
        <v>445</v>
      </c>
      <c r="E2542" s="11" t="s">
        <v>144</v>
      </c>
      <c r="F2542" s="3" t="s">
        <v>8</v>
      </c>
      <c r="G2542" s="66" t="s">
        <v>94</v>
      </c>
      <c r="H2542" s="8"/>
      <c r="I2542" s="8"/>
      <c r="J2542" s="6" t="s">
        <v>47</v>
      </c>
      <c r="K2542" s="38">
        <v>200000</v>
      </c>
      <c r="L2542" s="4" t="s">
        <v>26</v>
      </c>
      <c r="M2542" s="11">
        <f>_xlfn.NUMBERVALUE(LEFT(Table613612[[#This Row],[Fiscal Year]], 4))</f>
        <v>2018</v>
      </c>
      <c r="N2542" s="42">
        <f t="shared" si="37"/>
        <v>200000</v>
      </c>
      <c r="O2542" s="3">
        <v>2540</v>
      </c>
    </row>
    <row r="2543" spans="1:15" x14ac:dyDescent="0.25">
      <c r="E2543" s="11"/>
      <c r="G2543" s="66"/>
      <c r="H2543" s="8"/>
      <c r="I2543" s="8"/>
      <c r="J2543" s="6"/>
      <c r="L2543" s="4"/>
      <c r="O2543" s="3">
        <v>2541</v>
      </c>
    </row>
    <row r="2544" spans="1:15" x14ac:dyDescent="0.25">
      <c r="A2544" s="3">
        <v>5</v>
      </c>
      <c r="B2544" s="9" t="s">
        <v>1439</v>
      </c>
      <c r="C2544" s="3" t="s">
        <v>1439</v>
      </c>
      <c r="D2544" s="3" t="s">
        <v>445</v>
      </c>
      <c r="E2544" s="28" t="s">
        <v>144</v>
      </c>
      <c r="F2544" s="3" t="s">
        <v>122</v>
      </c>
      <c r="G2544" s="48" t="s">
        <v>32</v>
      </c>
      <c r="H2544" s="8"/>
      <c r="I2544" s="8"/>
      <c r="J2544" s="6" t="s">
        <v>110</v>
      </c>
      <c r="K2544" s="38">
        <v>177456</v>
      </c>
      <c r="L2544" s="4" t="s">
        <v>29</v>
      </c>
      <c r="M2544" s="11">
        <f>_xlfn.NUMBERVALUE(LEFT(Table613612[[#This Row],[Fiscal Year]], 4))</f>
        <v>2015</v>
      </c>
      <c r="N2544" s="42">
        <f t="shared" si="37"/>
        <v>188411.10015189872</v>
      </c>
      <c r="O2544" s="3">
        <v>2542</v>
      </c>
    </row>
    <row r="2545" spans="1:15" x14ac:dyDescent="0.25">
      <c r="A2545" s="3">
        <v>5</v>
      </c>
      <c r="B2545" s="3" t="s">
        <v>1439</v>
      </c>
      <c r="C2545" s="3" t="s">
        <v>1439</v>
      </c>
      <c r="D2545" s="3" t="s">
        <v>445</v>
      </c>
      <c r="E2545" s="11" t="s">
        <v>144</v>
      </c>
      <c r="F2545" s="3" t="s">
        <v>122</v>
      </c>
      <c r="G2545" s="48" t="s">
        <v>70</v>
      </c>
      <c r="H2545" s="8" t="s">
        <v>519</v>
      </c>
      <c r="I2545" s="8" t="s">
        <v>458</v>
      </c>
      <c r="J2545" s="6" t="s">
        <v>107</v>
      </c>
      <c r="K2545" s="38">
        <v>1930923</v>
      </c>
      <c r="L2545" s="4" t="s">
        <v>29</v>
      </c>
      <c r="M2545" s="11">
        <f>_xlfn.NUMBERVALUE(LEFT(Table613612[[#This Row],[Fiscal Year]], 4))</f>
        <v>2015</v>
      </c>
      <c r="N2545" s="42">
        <f t="shared" si="37"/>
        <v>2050126.9426708859</v>
      </c>
      <c r="O2545" s="3">
        <v>2543</v>
      </c>
    </row>
    <row r="2546" spans="1:15" x14ac:dyDescent="0.25">
      <c r="A2546" s="3">
        <v>5</v>
      </c>
      <c r="B2546" s="9" t="s">
        <v>1439</v>
      </c>
      <c r="C2546" s="3" t="s">
        <v>1439</v>
      </c>
      <c r="D2546" s="3" t="s">
        <v>445</v>
      </c>
      <c r="E2546" s="11" t="s">
        <v>144</v>
      </c>
      <c r="F2546" s="3" t="s">
        <v>122</v>
      </c>
      <c r="G2546" s="48" t="s">
        <v>69</v>
      </c>
      <c r="H2546" s="8" t="s">
        <v>520</v>
      </c>
      <c r="I2546" s="8" t="s">
        <v>458</v>
      </c>
      <c r="J2546" s="6" t="s">
        <v>109</v>
      </c>
      <c r="K2546" s="38">
        <v>121558</v>
      </c>
      <c r="L2546" s="4" t="s">
        <v>29</v>
      </c>
      <c r="M2546" s="11">
        <f>_xlfn.NUMBERVALUE(LEFT(Table613612[[#This Row],[Fiscal Year]], 4))</f>
        <v>2015</v>
      </c>
      <c r="N2546" s="42">
        <f t="shared" si="37"/>
        <v>129062.28311392404</v>
      </c>
      <c r="O2546" s="3">
        <v>2544</v>
      </c>
    </row>
    <row r="2547" spans="1:15" x14ac:dyDescent="0.25">
      <c r="A2547" s="3">
        <v>5</v>
      </c>
      <c r="B2547" s="3" t="s">
        <v>1439</v>
      </c>
      <c r="C2547" s="3" t="s">
        <v>1439</v>
      </c>
      <c r="D2547" s="3" t="s">
        <v>445</v>
      </c>
      <c r="E2547" s="11" t="s">
        <v>144</v>
      </c>
      <c r="F2547" s="3" t="s">
        <v>122</v>
      </c>
      <c r="G2547" s="48" t="s">
        <v>127</v>
      </c>
      <c r="H2547" s="8" t="s">
        <v>521</v>
      </c>
      <c r="I2547" s="8" t="s">
        <v>458</v>
      </c>
      <c r="J2547" s="6" t="s">
        <v>108</v>
      </c>
      <c r="K2547" s="38">
        <v>20962406</v>
      </c>
      <c r="L2547" s="4" t="s">
        <v>29</v>
      </c>
      <c r="M2547" s="11">
        <f>_xlfn.NUMBERVALUE(LEFT(Table613612[[#This Row],[Fiscal Year]], 4))</f>
        <v>2015</v>
      </c>
      <c r="N2547" s="42">
        <f t="shared" si="37"/>
        <v>22256502.886860758</v>
      </c>
      <c r="O2547" s="3">
        <v>2545</v>
      </c>
    </row>
    <row r="2548" spans="1:15" x14ac:dyDescent="0.25">
      <c r="A2548" s="3">
        <v>5</v>
      </c>
      <c r="B2548" s="9" t="s">
        <v>1439</v>
      </c>
      <c r="C2548" s="3" t="s">
        <v>1439</v>
      </c>
      <c r="D2548" s="3" t="s">
        <v>445</v>
      </c>
      <c r="E2548" s="11" t="s">
        <v>144</v>
      </c>
      <c r="F2548" s="3" t="s">
        <v>122</v>
      </c>
      <c r="G2548" s="66" t="s">
        <v>128</v>
      </c>
      <c r="H2548" s="8"/>
      <c r="I2548" s="8"/>
      <c r="J2548" s="6" t="s">
        <v>106</v>
      </c>
      <c r="K2548" s="38">
        <v>64653</v>
      </c>
      <c r="L2548" s="4" t="s">
        <v>29</v>
      </c>
      <c r="M2548" s="11">
        <f>_xlfn.NUMBERVALUE(LEFT(Table613612[[#This Row],[Fiscal Year]], 4))</f>
        <v>2015</v>
      </c>
      <c r="N2548" s="42">
        <f t="shared" si="37"/>
        <v>68644.299759493661</v>
      </c>
      <c r="O2548" s="3">
        <v>2546</v>
      </c>
    </row>
    <row r="2549" spans="1:15" x14ac:dyDescent="0.25">
      <c r="A2549" s="3">
        <v>5</v>
      </c>
      <c r="B2549" s="3" t="s">
        <v>1439</v>
      </c>
      <c r="C2549" s="3" t="s">
        <v>1439</v>
      </c>
      <c r="D2549" s="3" t="s">
        <v>445</v>
      </c>
      <c r="E2549" s="11" t="s">
        <v>144</v>
      </c>
      <c r="F2549" s="3" t="s">
        <v>122</v>
      </c>
      <c r="G2549" s="48" t="s">
        <v>129</v>
      </c>
      <c r="H2549" s="6" t="s">
        <v>522</v>
      </c>
      <c r="I2549" s="8" t="s">
        <v>458</v>
      </c>
      <c r="J2549" s="6" t="s">
        <v>453</v>
      </c>
      <c r="K2549" s="38">
        <v>381672</v>
      </c>
      <c r="L2549" s="4" t="s">
        <v>29</v>
      </c>
      <c r="M2549" s="11">
        <f>_xlfn.NUMBERVALUE(LEFT(Table613612[[#This Row],[Fiscal Year]], 4))</f>
        <v>2015</v>
      </c>
      <c r="N2549" s="42">
        <f t="shared" si="37"/>
        <v>405234.2068860759</v>
      </c>
      <c r="O2549" s="3">
        <v>2547</v>
      </c>
    </row>
    <row r="2550" spans="1:15" x14ac:dyDescent="0.25">
      <c r="A2550" s="3">
        <v>5</v>
      </c>
      <c r="B2550" s="9" t="s">
        <v>1439</v>
      </c>
      <c r="C2550" s="3" t="s">
        <v>1439</v>
      </c>
      <c r="D2550" s="3" t="s">
        <v>445</v>
      </c>
      <c r="E2550" s="11" t="s">
        <v>144</v>
      </c>
      <c r="F2550" s="3" t="s">
        <v>122</v>
      </c>
      <c r="G2550" s="48" t="s">
        <v>59</v>
      </c>
      <c r="H2550" s="8"/>
      <c r="I2550" s="8"/>
      <c r="J2550" s="6" t="s">
        <v>111</v>
      </c>
      <c r="K2550" s="38">
        <v>1894011</v>
      </c>
      <c r="L2550" s="4" t="s">
        <v>29</v>
      </c>
      <c r="M2550" s="11">
        <f>_xlfn.NUMBERVALUE(LEFT(Table613612[[#This Row],[Fiscal Year]], 4))</f>
        <v>2015</v>
      </c>
      <c r="N2550" s="42">
        <f t="shared" si="37"/>
        <v>2010936.2107215188</v>
      </c>
      <c r="O2550" s="3">
        <v>2548</v>
      </c>
    </row>
    <row r="2551" spans="1:15" x14ac:dyDescent="0.25">
      <c r="A2551" s="3">
        <v>5</v>
      </c>
      <c r="B2551" s="3" t="s">
        <v>1439</v>
      </c>
      <c r="C2551" s="3" t="s">
        <v>1439</v>
      </c>
      <c r="D2551" s="3" t="s">
        <v>445</v>
      </c>
      <c r="E2551" s="11" t="s">
        <v>144</v>
      </c>
      <c r="F2551" s="3" t="s">
        <v>122</v>
      </c>
      <c r="G2551" s="66" t="s">
        <v>33</v>
      </c>
      <c r="H2551" s="8" t="s">
        <v>524</v>
      </c>
      <c r="I2551" s="47" t="s">
        <v>523</v>
      </c>
      <c r="J2551" s="6" t="s">
        <v>47</v>
      </c>
      <c r="K2551" s="38">
        <v>158637</v>
      </c>
      <c r="L2551" s="4" t="s">
        <v>29</v>
      </c>
      <c r="M2551" s="11">
        <f>_xlfn.NUMBERVALUE(LEFT(Table613612[[#This Row],[Fiscal Year]], 4))</f>
        <v>2015</v>
      </c>
      <c r="N2551" s="42">
        <f t="shared" si="37"/>
        <v>168430.32467088607</v>
      </c>
      <c r="O2551" s="3">
        <v>2549</v>
      </c>
    </row>
    <row r="2552" spans="1:15" x14ac:dyDescent="0.25">
      <c r="E2552" s="11"/>
      <c r="G2552" s="66"/>
      <c r="H2552" s="8"/>
      <c r="I2552" s="8"/>
      <c r="J2552" s="6"/>
      <c r="L2552" s="4"/>
      <c r="O2552" s="3">
        <v>2550</v>
      </c>
    </row>
    <row r="2553" spans="1:15" x14ac:dyDescent="0.25">
      <c r="A2553" s="3">
        <v>5</v>
      </c>
      <c r="B2553" s="3" t="s">
        <v>123</v>
      </c>
      <c r="C2553" s="3" t="s">
        <v>121</v>
      </c>
      <c r="D2553" s="3" t="s">
        <v>445</v>
      </c>
      <c r="E2553" s="11" t="s">
        <v>144</v>
      </c>
      <c r="F2553" s="3" t="s">
        <v>8</v>
      </c>
      <c r="G2553" s="48" t="s">
        <v>32</v>
      </c>
      <c r="H2553" s="8"/>
      <c r="I2553" s="8"/>
      <c r="J2553" s="6" t="s">
        <v>110</v>
      </c>
      <c r="K2553" s="38">
        <v>3500</v>
      </c>
      <c r="L2553" s="4" t="s">
        <v>29</v>
      </c>
      <c r="M2553" s="11">
        <f>_xlfn.NUMBERVALUE(LEFT(Table613612[[#This Row],[Fiscal Year]], 4))</f>
        <v>2015</v>
      </c>
      <c r="N2553" s="42">
        <f t="shared" si="37"/>
        <v>3716.0696202531644</v>
      </c>
      <c r="O2553" s="3">
        <v>2551</v>
      </c>
    </row>
    <row r="2554" spans="1:15" x14ac:dyDescent="0.25">
      <c r="A2554" s="3">
        <v>5</v>
      </c>
      <c r="B2554" s="3" t="s">
        <v>123</v>
      </c>
      <c r="C2554" s="3" t="s">
        <v>121</v>
      </c>
      <c r="D2554" s="3" t="s">
        <v>445</v>
      </c>
      <c r="E2554" s="11" t="s">
        <v>144</v>
      </c>
      <c r="F2554" s="3" t="s">
        <v>8</v>
      </c>
      <c r="G2554" s="48" t="s">
        <v>70</v>
      </c>
      <c r="H2554" s="8" t="s">
        <v>519</v>
      </c>
      <c r="I2554" s="8" t="s">
        <v>458</v>
      </c>
      <c r="J2554" s="6" t="s">
        <v>107</v>
      </c>
      <c r="K2554" s="38">
        <v>73500</v>
      </c>
      <c r="L2554" s="4" t="s">
        <v>29</v>
      </c>
      <c r="M2554" s="11">
        <f>_xlfn.NUMBERVALUE(LEFT(Table613612[[#This Row],[Fiscal Year]], 4))</f>
        <v>2015</v>
      </c>
      <c r="N2554" s="42">
        <f t="shared" si="37"/>
        <v>78037.462025316447</v>
      </c>
      <c r="O2554" s="3">
        <v>2552</v>
      </c>
    </row>
    <row r="2555" spans="1:15" x14ac:dyDescent="0.25">
      <c r="A2555" s="3">
        <v>5</v>
      </c>
      <c r="B2555" s="3" t="s">
        <v>123</v>
      </c>
      <c r="C2555" s="3" t="s">
        <v>121</v>
      </c>
      <c r="D2555" s="3" t="s">
        <v>445</v>
      </c>
      <c r="E2555" s="11" t="s">
        <v>144</v>
      </c>
      <c r="F2555" s="3" t="s">
        <v>8</v>
      </c>
      <c r="G2555" s="48" t="s">
        <v>69</v>
      </c>
      <c r="H2555" s="8" t="s">
        <v>520</v>
      </c>
      <c r="I2555" s="8" t="s">
        <v>458</v>
      </c>
      <c r="J2555" s="6" t="s">
        <v>109</v>
      </c>
      <c r="K2555" s="38" t="s">
        <v>28</v>
      </c>
      <c r="L2555" s="4" t="s">
        <v>29</v>
      </c>
      <c r="M2555" s="11">
        <f>_xlfn.NUMBERVALUE(LEFT(Table613612[[#This Row],[Fiscal Year]], 4))</f>
        <v>2015</v>
      </c>
      <c r="O2555" s="3">
        <v>2553</v>
      </c>
    </row>
    <row r="2556" spans="1:15" x14ac:dyDescent="0.25">
      <c r="A2556" s="3">
        <v>5</v>
      </c>
      <c r="B2556" s="3" t="s">
        <v>123</v>
      </c>
      <c r="C2556" s="3" t="s">
        <v>121</v>
      </c>
      <c r="D2556" s="3" t="s">
        <v>445</v>
      </c>
      <c r="E2556" s="11" t="s">
        <v>144</v>
      </c>
      <c r="F2556" s="3" t="s">
        <v>8</v>
      </c>
      <c r="G2556" s="48" t="s">
        <v>127</v>
      </c>
      <c r="H2556" s="8" t="s">
        <v>521</v>
      </c>
      <c r="I2556" s="8" t="s">
        <v>458</v>
      </c>
      <c r="J2556" s="6" t="s">
        <v>108</v>
      </c>
      <c r="K2556" s="38">
        <v>1789200</v>
      </c>
      <c r="L2556" s="4" t="s">
        <v>29</v>
      </c>
      <c r="M2556" s="11">
        <f>_xlfn.NUMBERVALUE(LEFT(Table613612[[#This Row],[Fiscal Year]], 4))</f>
        <v>2015</v>
      </c>
      <c r="N2556" s="42">
        <f t="shared" si="37"/>
        <v>1899654.7898734177</v>
      </c>
      <c r="O2556" s="3">
        <v>2554</v>
      </c>
    </row>
    <row r="2557" spans="1:15" x14ac:dyDescent="0.25">
      <c r="A2557" s="3">
        <v>5</v>
      </c>
      <c r="B2557" s="3" t="s">
        <v>123</v>
      </c>
      <c r="C2557" s="3" t="s">
        <v>121</v>
      </c>
      <c r="D2557" s="3" t="s">
        <v>445</v>
      </c>
      <c r="E2557" s="11" t="s">
        <v>144</v>
      </c>
      <c r="F2557" s="3" t="s">
        <v>8</v>
      </c>
      <c r="G2557" s="66" t="s">
        <v>128</v>
      </c>
      <c r="H2557" s="6"/>
      <c r="I2557" s="8"/>
      <c r="J2557" s="6" t="s">
        <v>106</v>
      </c>
      <c r="K2557" s="38">
        <v>46400</v>
      </c>
      <c r="L2557" s="4" t="s">
        <v>29</v>
      </c>
      <c r="M2557" s="11">
        <f>_xlfn.NUMBERVALUE(LEFT(Table613612[[#This Row],[Fiscal Year]], 4))</f>
        <v>2015</v>
      </c>
      <c r="N2557" s="42">
        <f t="shared" si="37"/>
        <v>49264.465822784805</v>
      </c>
      <c r="O2557" s="3">
        <v>2555</v>
      </c>
    </row>
    <row r="2558" spans="1:15" x14ac:dyDescent="0.25">
      <c r="A2558" s="3">
        <v>5</v>
      </c>
      <c r="B2558" s="3" t="s">
        <v>123</v>
      </c>
      <c r="C2558" s="3" t="s">
        <v>121</v>
      </c>
      <c r="D2558" s="3" t="s">
        <v>445</v>
      </c>
      <c r="E2558" s="11" t="s">
        <v>144</v>
      </c>
      <c r="F2558" s="3" t="s">
        <v>8</v>
      </c>
      <c r="G2558" s="48" t="s">
        <v>129</v>
      </c>
      <c r="H2558" s="6" t="s">
        <v>522</v>
      </c>
      <c r="I2558" s="8" t="s">
        <v>458</v>
      </c>
      <c r="J2558" s="6" t="s">
        <v>453</v>
      </c>
      <c r="K2558" s="38">
        <v>104200</v>
      </c>
      <c r="L2558" s="4" t="s">
        <v>29</v>
      </c>
      <c r="M2558" s="11">
        <f>_xlfn.NUMBERVALUE(LEFT(Table613612[[#This Row],[Fiscal Year]], 4))</f>
        <v>2015</v>
      </c>
      <c r="N2558" s="42">
        <f t="shared" si="37"/>
        <v>110632.70126582278</v>
      </c>
      <c r="O2558" s="3">
        <v>2556</v>
      </c>
    </row>
    <row r="2559" spans="1:15" x14ac:dyDescent="0.25">
      <c r="A2559" s="3">
        <v>5</v>
      </c>
      <c r="B2559" s="3" t="s">
        <v>123</v>
      </c>
      <c r="C2559" s="3" t="s">
        <v>121</v>
      </c>
      <c r="D2559" s="3" t="s">
        <v>445</v>
      </c>
      <c r="E2559" s="11" t="s">
        <v>144</v>
      </c>
      <c r="F2559" s="3" t="s">
        <v>8</v>
      </c>
      <c r="G2559" s="48" t="s">
        <v>59</v>
      </c>
      <c r="H2559" s="8"/>
      <c r="I2559" s="8"/>
      <c r="J2559" s="6" t="s">
        <v>111</v>
      </c>
      <c r="K2559" s="38">
        <v>4500</v>
      </c>
      <c r="L2559" s="4" t="s">
        <v>29</v>
      </c>
      <c r="M2559" s="11">
        <f>_xlfn.NUMBERVALUE(LEFT(Table613612[[#This Row],[Fiscal Year]], 4))</f>
        <v>2015</v>
      </c>
      <c r="N2559" s="42">
        <f t="shared" si="37"/>
        <v>4777.8037974683539</v>
      </c>
      <c r="O2559" s="3">
        <v>2557</v>
      </c>
    </row>
    <row r="2560" spans="1:15" x14ac:dyDescent="0.25">
      <c r="A2560" s="3">
        <v>5</v>
      </c>
      <c r="B2560" s="3" t="s">
        <v>123</v>
      </c>
      <c r="C2560" s="3" t="s">
        <v>121</v>
      </c>
      <c r="D2560" s="3" t="s">
        <v>445</v>
      </c>
      <c r="E2560" s="11" t="s">
        <v>144</v>
      </c>
      <c r="F2560" s="3" t="s">
        <v>8</v>
      </c>
      <c r="G2560" s="66" t="s">
        <v>33</v>
      </c>
      <c r="H2560" s="8"/>
      <c r="I2560" s="8"/>
      <c r="J2560" s="6" t="s">
        <v>47</v>
      </c>
      <c r="K2560" s="38" t="s">
        <v>28</v>
      </c>
      <c r="L2560" s="4" t="s">
        <v>29</v>
      </c>
      <c r="M2560" s="11">
        <f>_xlfn.NUMBERVALUE(LEFT(Table613612[[#This Row],[Fiscal Year]], 4))</f>
        <v>2015</v>
      </c>
      <c r="O2560" s="3">
        <v>2558</v>
      </c>
    </row>
    <row r="2561" spans="1:15" x14ac:dyDescent="0.25">
      <c r="E2561" s="11"/>
      <c r="G2561" s="66"/>
      <c r="H2561" s="8"/>
      <c r="I2561" s="8"/>
      <c r="J2561" s="6"/>
      <c r="L2561" s="4"/>
      <c r="O2561" s="3">
        <v>2559</v>
      </c>
    </row>
    <row r="2562" spans="1:15" x14ac:dyDescent="0.25">
      <c r="A2562" s="3">
        <v>5</v>
      </c>
      <c r="B2562" s="3" t="s">
        <v>121</v>
      </c>
      <c r="C2562" s="3" t="s">
        <v>121</v>
      </c>
      <c r="D2562" s="3" t="s">
        <v>445</v>
      </c>
      <c r="E2562" s="11" t="s">
        <v>144</v>
      </c>
      <c r="F2562" s="3" t="s">
        <v>8</v>
      </c>
      <c r="G2562" s="48" t="s">
        <v>32</v>
      </c>
      <c r="H2562" s="8" t="s">
        <v>519</v>
      </c>
      <c r="I2562" s="8" t="s">
        <v>458</v>
      </c>
      <c r="J2562" s="6" t="s">
        <v>110</v>
      </c>
      <c r="K2562" s="38">
        <v>3914</v>
      </c>
      <c r="L2562" s="4" t="s">
        <v>29</v>
      </c>
      <c r="M2562" s="11">
        <f>_xlfn.NUMBERVALUE(LEFT(Table613612[[#This Row],[Fiscal Year]], 4))</f>
        <v>2015</v>
      </c>
      <c r="N2562" s="42">
        <f t="shared" si="37"/>
        <v>4155.6275696202529</v>
      </c>
      <c r="O2562" s="3">
        <v>2560</v>
      </c>
    </row>
    <row r="2563" spans="1:15" x14ac:dyDescent="0.25">
      <c r="A2563" s="3">
        <v>5</v>
      </c>
      <c r="B2563" s="3" t="s">
        <v>121</v>
      </c>
      <c r="C2563" s="3" t="s">
        <v>121</v>
      </c>
      <c r="D2563" s="3" t="s">
        <v>445</v>
      </c>
      <c r="E2563" s="11" t="s">
        <v>144</v>
      </c>
      <c r="F2563" s="3" t="s">
        <v>8</v>
      </c>
      <c r="G2563" s="48" t="s">
        <v>70</v>
      </c>
      <c r="H2563" s="8" t="s">
        <v>520</v>
      </c>
      <c r="I2563" s="8" t="s">
        <v>458</v>
      </c>
      <c r="J2563" s="6" t="s">
        <v>107</v>
      </c>
      <c r="K2563" s="38">
        <v>60873</v>
      </c>
      <c r="L2563" s="4" t="s">
        <v>29</v>
      </c>
      <c r="M2563" s="11">
        <f>_xlfn.NUMBERVALUE(LEFT(Table613612[[#This Row],[Fiscal Year]], 4))</f>
        <v>2015</v>
      </c>
      <c r="N2563" s="42">
        <f t="shared" si="37"/>
        <v>64630.944569620253</v>
      </c>
      <c r="O2563" s="3">
        <v>2561</v>
      </c>
    </row>
    <row r="2564" spans="1:15" x14ac:dyDescent="0.25">
      <c r="A2564" s="3">
        <v>5</v>
      </c>
      <c r="B2564" s="3" t="s">
        <v>121</v>
      </c>
      <c r="C2564" s="3" t="s">
        <v>121</v>
      </c>
      <c r="D2564" s="3" t="s">
        <v>445</v>
      </c>
      <c r="E2564" s="11" t="s">
        <v>144</v>
      </c>
      <c r="F2564" s="3" t="s">
        <v>8</v>
      </c>
      <c r="G2564" s="48" t="s">
        <v>69</v>
      </c>
      <c r="H2564" s="8" t="s">
        <v>521</v>
      </c>
      <c r="I2564" s="8" t="s">
        <v>458</v>
      </c>
      <c r="J2564" s="6" t="s">
        <v>109</v>
      </c>
      <c r="K2564" s="38">
        <v>117111</v>
      </c>
      <c r="L2564" s="4" t="s">
        <v>29</v>
      </c>
      <c r="M2564" s="11">
        <f>_xlfn.NUMBERVALUE(LEFT(Table613612[[#This Row],[Fiscal Year]], 4))</f>
        <v>2015</v>
      </c>
      <c r="N2564" s="42">
        <f t="shared" si="37"/>
        <v>124340.7512278481</v>
      </c>
      <c r="O2564" s="3">
        <v>2562</v>
      </c>
    </row>
    <row r="2565" spans="1:15" x14ac:dyDescent="0.25">
      <c r="A2565" s="3">
        <v>5</v>
      </c>
      <c r="B2565" s="3" t="s">
        <v>121</v>
      </c>
      <c r="C2565" s="3" t="s">
        <v>121</v>
      </c>
      <c r="D2565" s="3" t="s">
        <v>445</v>
      </c>
      <c r="E2565" s="11" t="s">
        <v>144</v>
      </c>
      <c r="F2565" s="3" t="s">
        <v>8</v>
      </c>
      <c r="G2565" s="48" t="s">
        <v>127</v>
      </c>
      <c r="H2565" s="6"/>
      <c r="I2565" s="8"/>
      <c r="J2565" s="6" t="s">
        <v>108</v>
      </c>
      <c r="K2565" s="38">
        <v>4163775</v>
      </c>
      <c r="L2565" s="4" t="s">
        <v>29</v>
      </c>
      <c r="M2565" s="11">
        <f>_xlfn.NUMBERVALUE(LEFT(Table613612[[#This Row],[Fiscal Year]], 4))</f>
        <v>2015</v>
      </c>
      <c r="N2565" s="42">
        <f t="shared" si="37"/>
        <v>4420822.2237341767</v>
      </c>
      <c r="O2565" s="3">
        <v>2563</v>
      </c>
    </row>
    <row r="2566" spans="1:15" x14ac:dyDescent="0.25">
      <c r="A2566" s="3">
        <v>5</v>
      </c>
      <c r="B2566" s="3" t="s">
        <v>121</v>
      </c>
      <c r="C2566" s="3" t="s">
        <v>121</v>
      </c>
      <c r="D2566" s="3" t="s">
        <v>445</v>
      </c>
      <c r="E2566" s="11" t="s">
        <v>144</v>
      </c>
      <c r="F2566" s="3" t="s">
        <v>8</v>
      </c>
      <c r="G2566" s="66" t="s">
        <v>128</v>
      </c>
      <c r="H2566" s="6"/>
      <c r="I2566" s="8"/>
      <c r="J2566" s="6" t="s">
        <v>106</v>
      </c>
      <c r="K2566" s="38">
        <v>5851327</v>
      </c>
      <c r="L2566" s="4" t="s">
        <v>29</v>
      </c>
      <c r="M2566" s="11">
        <f>_xlfn.NUMBERVALUE(LEFT(Table613612[[#This Row],[Fiscal Year]], 4))</f>
        <v>2015</v>
      </c>
      <c r="N2566" s="42">
        <f t="shared" si="37"/>
        <v>6212553.8579620253</v>
      </c>
      <c r="O2566" s="3">
        <v>2564</v>
      </c>
    </row>
    <row r="2567" spans="1:15" x14ac:dyDescent="0.25">
      <c r="A2567" s="3">
        <v>5</v>
      </c>
      <c r="B2567" s="3" t="s">
        <v>121</v>
      </c>
      <c r="C2567" s="3" t="s">
        <v>121</v>
      </c>
      <c r="D2567" s="3" t="s">
        <v>445</v>
      </c>
      <c r="E2567" s="11" t="s">
        <v>144</v>
      </c>
      <c r="F2567" s="3" t="s">
        <v>8</v>
      </c>
      <c r="G2567" s="66" t="s">
        <v>129</v>
      </c>
      <c r="H2567" s="6" t="s">
        <v>522</v>
      </c>
      <c r="I2567" s="8" t="s">
        <v>458</v>
      </c>
      <c r="J2567" s="6" t="s">
        <v>453</v>
      </c>
      <c r="K2567" s="38">
        <v>43157</v>
      </c>
      <c r="L2567" s="4" t="s">
        <v>29</v>
      </c>
      <c r="M2567" s="11">
        <f>_xlfn.NUMBERVALUE(LEFT(Table613612[[#This Row],[Fiscal Year]], 4))</f>
        <v>2015</v>
      </c>
      <c r="N2567" s="42">
        <f t="shared" si="37"/>
        <v>45821.261886075947</v>
      </c>
      <c r="O2567" s="3">
        <v>2565</v>
      </c>
    </row>
    <row r="2568" spans="1:15" x14ac:dyDescent="0.25">
      <c r="A2568" s="3">
        <v>5</v>
      </c>
      <c r="B2568" s="3" t="s">
        <v>121</v>
      </c>
      <c r="C2568" s="3" t="s">
        <v>121</v>
      </c>
      <c r="D2568" s="3" t="s">
        <v>445</v>
      </c>
      <c r="E2568" s="11" t="s">
        <v>144</v>
      </c>
      <c r="F2568" s="3" t="s">
        <v>8</v>
      </c>
      <c r="G2568" s="48" t="s">
        <v>59</v>
      </c>
      <c r="H2568" s="8"/>
      <c r="I2568" s="8"/>
      <c r="J2568" s="6" t="s">
        <v>111</v>
      </c>
      <c r="K2568" s="38">
        <v>13287</v>
      </c>
      <c r="L2568" s="4" t="s">
        <v>29</v>
      </c>
      <c r="M2568" s="11">
        <f>_xlfn.NUMBERVALUE(LEFT(Table613612[[#This Row],[Fiscal Year]], 4))</f>
        <v>2015</v>
      </c>
      <c r="N2568" s="42">
        <f t="shared" si="37"/>
        <v>14107.262012658228</v>
      </c>
      <c r="O2568" s="3">
        <v>2566</v>
      </c>
    </row>
    <row r="2569" spans="1:15" x14ac:dyDescent="0.25">
      <c r="A2569" s="3">
        <v>5</v>
      </c>
      <c r="B2569" s="3" t="s">
        <v>121</v>
      </c>
      <c r="C2569" s="3" t="s">
        <v>121</v>
      </c>
      <c r="D2569" s="3" t="s">
        <v>445</v>
      </c>
      <c r="E2569" s="11" t="s">
        <v>144</v>
      </c>
      <c r="F2569" s="3" t="s">
        <v>8</v>
      </c>
      <c r="G2569" s="66" t="s">
        <v>33</v>
      </c>
      <c r="H2569" s="8"/>
      <c r="I2569" s="8"/>
      <c r="J2569" s="6" t="s">
        <v>47</v>
      </c>
      <c r="K2569" s="38" t="s">
        <v>28</v>
      </c>
      <c r="L2569" s="4" t="s">
        <v>29</v>
      </c>
      <c r="M2569" s="11">
        <f>_xlfn.NUMBERVALUE(LEFT(Table613612[[#This Row],[Fiscal Year]], 4))</f>
        <v>2015</v>
      </c>
      <c r="O2569" s="3">
        <v>2567</v>
      </c>
    </row>
    <row r="2570" spans="1:15" x14ac:dyDescent="0.25">
      <c r="E2570" s="11"/>
      <c r="G2570" s="66"/>
      <c r="H2570" s="8"/>
      <c r="I2570" s="8"/>
      <c r="J2570" s="6"/>
      <c r="L2570" s="4"/>
      <c r="O2570" s="3">
        <v>2568</v>
      </c>
    </row>
    <row r="2571" spans="1:15" x14ac:dyDescent="0.25">
      <c r="A2571" s="3">
        <v>5</v>
      </c>
      <c r="B2571" s="3" t="s">
        <v>124</v>
      </c>
      <c r="C2571" s="3" t="s">
        <v>124</v>
      </c>
      <c r="D2571" s="3" t="s">
        <v>445</v>
      </c>
      <c r="E2571" s="11" t="s">
        <v>144</v>
      </c>
      <c r="F2571" s="3" t="s">
        <v>5</v>
      </c>
      <c r="G2571" s="48" t="s">
        <v>1072</v>
      </c>
      <c r="H2571" s="8" t="s">
        <v>526</v>
      </c>
      <c r="I2571" s="47" t="s">
        <v>525</v>
      </c>
      <c r="J2571" s="6" t="s">
        <v>110</v>
      </c>
      <c r="K2571" s="38">
        <v>195290</v>
      </c>
      <c r="L2571" s="4" t="s">
        <v>29</v>
      </c>
      <c r="M2571" s="11">
        <f>_xlfn.NUMBERVALUE(LEFT(Table613612[[#This Row],[Fiscal Year]], 4))</f>
        <v>2015</v>
      </c>
      <c r="N2571" s="42">
        <f t="shared" ref="N2571:N2599" si="38">K2571*(1+VLOOKUP(M2571,$AF$8:$AH$31,3,0))</f>
        <v>207346.06746835442</v>
      </c>
      <c r="O2571" s="3">
        <v>2569</v>
      </c>
    </row>
    <row r="2572" spans="1:15" x14ac:dyDescent="0.25">
      <c r="A2572" s="3">
        <v>5</v>
      </c>
      <c r="B2572" s="3" t="s">
        <v>124</v>
      </c>
      <c r="C2572" s="3" t="s">
        <v>124</v>
      </c>
      <c r="D2572" s="3" t="s">
        <v>445</v>
      </c>
      <c r="E2572" s="11" t="s">
        <v>144</v>
      </c>
      <c r="F2572" s="3" t="s">
        <v>5</v>
      </c>
      <c r="G2572" s="48" t="s">
        <v>1073</v>
      </c>
      <c r="H2572" s="8" t="s">
        <v>527</v>
      </c>
      <c r="I2572" s="8" t="s">
        <v>458</v>
      </c>
      <c r="J2572" s="6" t="s">
        <v>107</v>
      </c>
      <c r="K2572" s="38">
        <v>112718</v>
      </c>
      <c r="L2572" s="4" t="s">
        <v>29</v>
      </c>
      <c r="M2572" s="11">
        <f>_xlfn.NUMBERVALUE(LEFT(Table613612[[#This Row],[Fiscal Year]], 4))</f>
        <v>2015</v>
      </c>
      <c r="N2572" s="42">
        <f t="shared" si="38"/>
        <v>119676.55298734177</v>
      </c>
      <c r="O2572" s="3">
        <v>2570</v>
      </c>
    </row>
    <row r="2573" spans="1:15" x14ac:dyDescent="0.25">
      <c r="A2573" s="3">
        <v>5</v>
      </c>
      <c r="B2573" s="3" t="s">
        <v>124</v>
      </c>
      <c r="C2573" s="3" t="s">
        <v>124</v>
      </c>
      <c r="D2573" s="3" t="s">
        <v>445</v>
      </c>
      <c r="E2573" s="11" t="s">
        <v>144</v>
      </c>
      <c r="F2573" s="3" t="s">
        <v>5</v>
      </c>
      <c r="G2573" s="48" t="s">
        <v>1074</v>
      </c>
      <c r="H2573" s="8"/>
      <c r="I2573" s="8"/>
      <c r="J2573" s="6" t="s">
        <v>109</v>
      </c>
      <c r="K2573" s="38">
        <v>310200</v>
      </c>
      <c r="L2573" s="4" t="s">
        <v>29</v>
      </c>
      <c r="M2573" s="11">
        <f>_xlfn.NUMBERVALUE(LEFT(Table613612[[#This Row],[Fiscal Year]], 4))</f>
        <v>2015</v>
      </c>
      <c r="N2573" s="42">
        <f t="shared" si="38"/>
        <v>329349.94177215185</v>
      </c>
      <c r="O2573" s="3">
        <v>2571</v>
      </c>
    </row>
    <row r="2574" spans="1:15" x14ac:dyDescent="0.25">
      <c r="A2574" s="3">
        <v>5</v>
      </c>
      <c r="B2574" s="3" t="s">
        <v>124</v>
      </c>
      <c r="C2574" s="3" t="s">
        <v>124</v>
      </c>
      <c r="D2574" s="3" t="s">
        <v>445</v>
      </c>
      <c r="E2574" s="11" t="s">
        <v>144</v>
      </c>
      <c r="F2574" s="3" t="s">
        <v>5</v>
      </c>
      <c r="G2574" s="48" t="s">
        <v>1075</v>
      </c>
      <c r="H2574" s="8" t="s">
        <v>534</v>
      </c>
      <c r="I2574" s="47" t="s">
        <v>535</v>
      </c>
      <c r="J2574" s="6" t="s">
        <v>108</v>
      </c>
      <c r="K2574" s="38">
        <v>163602</v>
      </c>
      <c r="L2574" s="4" t="s">
        <v>29</v>
      </c>
      <c r="M2574" s="11">
        <f>_xlfn.NUMBERVALUE(LEFT(Table613612[[#This Row],[Fiscal Year]], 4))</f>
        <v>2015</v>
      </c>
      <c r="N2574" s="42">
        <f t="shared" si="38"/>
        <v>173701.8348607595</v>
      </c>
      <c r="O2574" s="3">
        <v>2572</v>
      </c>
    </row>
    <row r="2575" spans="1:15" x14ac:dyDescent="0.25">
      <c r="A2575" s="3">
        <v>5</v>
      </c>
      <c r="B2575" s="3" t="s">
        <v>124</v>
      </c>
      <c r="C2575" s="3" t="s">
        <v>124</v>
      </c>
      <c r="D2575" s="3" t="s">
        <v>445</v>
      </c>
      <c r="E2575" s="11" t="s">
        <v>144</v>
      </c>
      <c r="F2575" s="3" t="s">
        <v>5</v>
      </c>
      <c r="G2575" s="48" t="s">
        <v>1076</v>
      </c>
      <c r="H2575" s="8"/>
      <c r="I2575" s="8"/>
      <c r="J2575" s="6" t="s">
        <v>106</v>
      </c>
      <c r="K2575" s="38">
        <v>163602</v>
      </c>
      <c r="L2575" s="4" t="s">
        <v>29</v>
      </c>
      <c r="M2575" s="11">
        <f>_xlfn.NUMBERVALUE(LEFT(Table613612[[#This Row],[Fiscal Year]], 4))</f>
        <v>2015</v>
      </c>
      <c r="N2575" s="42">
        <f t="shared" si="38"/>
        <v>173701.8348607595</v>
      </c>
      <c r="O2575" s="3">
        <v>2573</v>
      </c>
    </row>
    <row r="2576" spans="1:15" x14ac:dyDescent="0.25">
      <c r="A2576" s="3">
        <v>5</v>
      </c>
      <c r="B2576" s="3" t="s">
        <v>124</v>
      </c>
      <c r="C2576" s="3" t="s">
        <v>124</v>
      </c>
      <c r="D2576" s="3" t="s">
        <v>445</v>
      </c>
      <c r="E2576" s="11" t="s">
        <v>144</v>
      </c>
      <c r="F2576" s="3" t="s">
        <v>5</v>
      </c>
      <c r="G2576" s="61" t="s">
        <v>1077</v>
      </c>
      <c r="H2576" s="8"/>
      <c r="I2576" s="8"/>
      <c r="J2576" s="6" t="s">
        <v>42</v>
      </c>
      <c r="K2576" s="38">
        <v>300055</v>
      </c>
      <c r="L2576" s="4" t="s">
        <v>29</v>
      </c>
      <c r="M2576" s="11">
        <f>_xlfn.NUMBERVALUE(LEFT(Table613612[[#This Row],[Fiscal Year]], 4))</f>
        <v>2015</v>
      </c>
      <c r="N2576" s="42">
        <f t="shared" si="38"/>
        <v>318578.64854430378</v>
      </c>
      <c r="O2576" s="3">
        <v>2574</v>
      </c>
    </row>
    <row r="2577" spans="1:15" x14ac:dyDescent="0.25">
      <c r="A2577" s="3">
        <v>5</v>
      </c>
      <c r="B2577" s="3" t="s">
        <v>124</v>
      </c>
      <c r="C2577" s="3" t="s">
        <v>124</v>
      </c>
      <c r="D2577" s="3" t="s">
        <v>445</v>
      </c>
      <c r="E2577" s="11" t="s">
        <v>144</v>
      </c>
      <c r="F2577" s="3" t="s">
        <v>5</v>
      </c>
      <c r="G2577" s="48" t="s">
        <v>1078</v>
      </c>
      <c r="H2577" s="8"/>
      <c r="I2577" s="8"/>
      <c r="J2577" s="6" t="s">
        <v>111</v>
      </c>
      <c r="K2577" s="38">
        <v>112718</v>
      </c>
      <c r="L2577" s="4" t="s">
        <v>29</v>
      </c>
      <c r="M2577" s="11">
        <f>_xlfn.NUMBERVALUE(LEFT(Table613612[[#This Row],[Fiscal Year]], 4))</f>
        <v>2015</v>
      </c>
      <c r="N2577" s="42">
        <f t="shared" si="38"/>
        <v>119676.55298734177</v>
      </c>
      <c r="O2577" s="3">
        <v>2575</v>
      </c>
    </row>
    <row r="2578" spans="1:15" x14ac:dyDescent="0.25">
      <c r="A2578" s="3">
        <v>5</v>
      </c>
      <c r="B2578" s="3" t="s">
        <v>124</v>
      </c>
      <c r="C2578" s="3" t="s">
        <v>124</v>
      </c>
      <c r="D2578" s="3" t="s">
        <v>445</v>
      </c>
      <c r="E2578" s="11" t="s">
        <v>144</v>
      </c>
      <c r="F2578" s="3" t="s">
        <v>5</v>
      </c>
      <c r="G2578" s="48" t="s">
        <v>1079</v>
      </c>
      <c r="H2578" s="8" t="s">
        <v>528</v>
      </c>
      <c r="I2578" s="8" t="s">
        <v>458</v>
      </c>
      <c r="J2578" s="6" t="s">
        <v>455</v>
      </c>
      <c r="K2578" s="38">
        <v>113507</v>
      </c>
      <c r="L2578" s="4" t="s">
        <v>29</v>
      </c>
      <c r="M2578" s="11">
        <f>_xlfn.NUMBERVALUE(LEFT(Table613612[[#This Row],[Fiscal Year]], 4))</f>
        <v>2015</v>
      </c>
      <c r="N2578" s="42">
        <f t="shared" si="38"/>
        <v>120514.26125316454</v>
      </c>
      <c r="O2578" s="3">
        <v>2576</v>
      </c>
    </row>
    <row r="2579" spans="1:15" x14ac:dyDescent="0.25">
      <c r="A2579" s="3">
        <v>5</v>
      </c>
      <c r="B2579" s="3" t="s">
        <v>124</v>
      </c>
      <c r="C2579" s="3" t="s">
        <v>124</v>
      </c>
      <c r="D2579" s="3" t="s">
        <v>445</v>
      </c>
      <c r="E2579" s="11" t="s">
        <v>144</v>
      </c>
      <c r="F2579" s="3" t="s">
        <v>5</v>
      </c>
      <c r="G2579" s="48" t="s">
        <v>1080</v>
      </c>
      <c r="H2579" s="8" t="s">
        <v>531</v>
      </c>
      <c r="I2579" s="8"/>
      <c r="J2579" s="6" t="s">
        <v>108</v>
      </c>
      <c r="K2579" s="38">
        <v>12954399</v>
      </c>
      <c r="L2579" s="4" t="s">
        <v>29</v>
      </c>
      <c r="M2579" s="11">
        <f>_xlfn.NUMBERVALUE(LEFT(Table613612[[#This Row],[Fiscal Year]], 4))</f>
        <v>2015</v>
      </c>
      <c r="N2579" s="42">
        <f t="shared" si="38"/>
        <v>13754128.163582278</v>
      </c>
      <c r="O2579" s="3">
        <v>2577</v>
      </c>
    </row>
    <row r="2580" spans="1:15" x14ac:dyDescent="0.25">
      <c r="A2580" s="3">
        <v>5</v>
      </c>
      <c r="B2580" s="3" t="s">
        <v>124</v>
      </c>
      <c r="C2580" s="3" t="s">
        <v>124</v>
      </c>
      <c r="D2580" s="3" t="s">
        <v>445</v>
      </c>
      <c r="E2580" s="11" t="s">
        <v>144</v>
      </c>
      <c r="F2580" s="3" t="s">
        <v>5</v>
      </c>
      <c r="G2580" s="48" t="s">
        <v>1081</v>
      </c>
      <c r="H2580" s="8"/>
      <c r="I2580" s="8"/>
      <c r="J2580" s="6" t="s">
        <v>108</v>
      </c>
      <c r="K2580" s="38">
        <v>1232665</v>
      </c>
      <c r="L2580" s="4" t="s">
        <v>29</v>
      </c>
      <c r="M2580" s="11">
        <f>_xlfn.NUMBERVALUE(LEFT(Table613612[[#This Row],[Fiscal Year]], 4))</f>
        <v>2015</v>
      </c>
      <c r="N2580" s="42">
        <f t="shared" si="38"/>
        <v>1308762.559556962</v>
      </c>
      <c r="O2580" s="3">
        <v>2578</v>
      </c>
    </row>
    <row r="2581" spans="1:15" x14ac:dyDescent="0.25">
      <c r="A2581" s="3">
        <v>5</v>
      </c>
      <c r="B2581" s="3" t="s">
        <v>124</v>
      </c>
      <c r="C2581" s="3" t="s">
        <v>124</v>
      </c>
      <c r="D2581" s="3" t="s">
        <v>445</v>
      </c>
      <c r="E2581" s="11" t="s">
        <v>144</v>
      </c>
      <c r="F2581" s="3" t="s">
        <v>5</v>
      </c>
      <c r="G2581" s="48" t="s">
        <v>1082</v>
      </c>
      <c r="H2581" s="8"/>
      <c r="I2581" s="8"/>
      <c r="J2581" s="6" t="s">
        <v>108</v>
      </c>
      <c r="K2581" s="38">
        <v>373000</v>
      </c>
      <c r="L2581" s="4" t="s">
        <v>29</v>
      </c>
      <c r="M2581" s="11">
        <f>_xlfn.NUMBERVALUE(LEFT(Table613612[[#This Row],[Fiscal Year]], 4))</f>
        <v>2015</v>
      </c>
      <c r="N2581" s="42">
        <f t="shared" si="38"/>
        <v>396026.84810126579</v>
      </c>
      <c r="O2581" s="3">
        <v>2579</v>
      </c>
    </row>
    <row r="2582" spans="1:15" x14ac:dyDescent="0.25">
      <c r="A2582" s="3">
        <v>5</v>
      </c>
      <c r="B2582" s="3" t="s">
        <v>124</v>
      </c>
      <c r="C2582" s="3" t="s">
        <v>124</v>
      </c>
      <c r="D2582" s="3" t="s">
        <v>445</v>
      </c>
      <c r="E2582" s="11" t="s">
        <v>144</v>
      </c>
      <c r="F2582" s="3" t="s">
        <v>5</v>
      </c>
      <c r="G2582" s="48" t="s">
        <v>1083</v>
      </c>
      <c r="H2582" s="8"/>
      <c r="I2582" s="8"/>
      <c r="J2582" s="6" t="s">
        <v>108</v>
      </c>
      <c r="K2582" s="38">
        <v>980000</v>
      </c>
      <c r="L2582" s="4" t="s">
        <v>29</v>
      </c>
      <c r="M2582" s="11">
        <f>_xlfn.NUMBERVALUE(LEFT(Table613612[[#This Row],[Fiscal Year]], 4))</f>
        <v>2015</v>
      </c>
      <c r="N2582" s="42">
        <f t="shared" si="38"/>
        <v>1040499.493670886</v>
      </c>
      <c r="O2582" s="3">
        <v>2580</v>
      </c>
    </row>
    <row r="2583" spans="1:15" x14ac:dyDescent="0.25">
      <c r="A2583" s="3">
        <v>5</v>
      </c>
      <c r="B2583" s="3" t="s">
        <v>124</v>
      </c>
      <c r="C2583" s="3" t="s">
        <v>124</v>
      </c>
      <c r="D2583" s="3" t="s">
        <v>445</v>
      </c>
      <c r="E2583" s="11" t="s">
        <v>144</v>
      </c>
      <c r="F2583" s="3" t="s">
        <v>5</v>
      </c>
      <c r="G2583" s="48" t="s">
        <v>1084</v>
      </c>
      <c r="H2583" s="8"/>
      <c r="I2583" s="8"/>
      <c r="J2583" s="6" t="s">
        <v>106</v>
      </c>
      <c r="K2583" s="38">
        <v>21562</v>
      </c>
      <c r="L2583" s="4" t="s">
        <v>29</v>
      </c>
      <c r="M2583" s="11">
        <f>_xlfn.NUMBERVALUE(LEFT(Table613612[[#This Row],[Fiscal Year]], 4))</f>
        <v>2015</v>
      </c>
      <c r="N2583" s="42">
        <f t="shared" si="38"/>
        <v>22893.112329113923</v>
      </c>
      <c r="O2583" s="3">
        <v>2581</v>
      </c>
    </row>
    <row r="2584" spans="1:15" x14ac:dyDescent="0.25">
      <c r="A2584" s="3">
        <v>5</v>
      </c>
      <c r="B2584" s="3" t="s">
        <v>124</v>
      </c>
      <c r="C2584" s="3" t="s">
        <v>124</v>
      </c>
      <c r="D2584" s="3" t="s">
        <v>445</v>
      </c>
      <c r="E2584" s="11" t="s">
        <v>144</v>
      </c>
      <c r="F2584" s="3" t="s">
        <v>5</v>
      </c>
      <c r="G2584" s="48" t="s">
        <v>1085</v>
      </c>
      <c r="H2584" s="8" t="s">
        <v>598</v>
      </c>
      <c r="I2584" s="8" t="s">
        <v>590</v>
      </c>
      <c r="J2584" s="6" t="s">
        <v>108</v>
      </c>
      <c r="K2584" s="38">
        <v>67000</v>
      </c>
      <c r="L2584" s="4" t="s">
        <v>29</v>
      </c>
      <c r="M2584" s="11">
        <f>_xlfn.NUMBERVALUE(LEFT(Table613612[[#This Row],[Fiscal Year]], 4))</f>
        <v>2015</v>
      </c>
      <c r="N2584" s="42">
        <f t="shared" si="38"/>
        <v>71136.189873417723</v>
      </c>
      <c r="O2584" s="3">
        <v>2582</v>
      </c>
    </row>
    <row r="2585" spans="1:15" x14ac:dyDescent="0.25">
      <c r="A2585" s="3">
        <v>5</v>
      </c>
      <c r="B2585" s="3" t="s">
        <v>124</v>
      </c>
      <c r="C2585" s="3" t="s">
        <v>124</v>
      </c>
      <c r="D2585" s="3" t="s">
        <v>445</v>
      </c>
      <c r="E2585" s="11" t="s">
        <v>144</v>
      </c>
      <c r="F2585" s="3" t="s">
        <v>5</v>
      </c>
      <c r="G2585" s="48" t="s">
        <v>1086</v>
      </c>
      <c r="H2585" s="8" t="s">
        <v>530</v>
      </c>
      <c r="I2585" s="8"/>
      <c r="J2585" s="6" t="s">
        <v>107</v>
      </c>
      <c r="K2585" s="38">
        <v>420000</v>
      </c>
      <c r="L2585" s="4" t="s">
        <v>29</v>
      </c>
      <c r="M2585" s="11">
        <f>_xlfn.NUMBERVALUE(LEFT(Table613612[[#This Row],[Fiscal Year]], 4))</f>
        <v>2015</v>
      </c>
      <c r="N2585" s="42">
        <f t="shared" si="38"/>
        <v>445928.3544303797</v>
      </c>
      <c r="O2585" s="3">
        <v>2583</v>
      </c>
    </row>
    <row r="2586" spans="1:15" x14ac:dyDescent="0.25">
      <c r="A2586" s="3">
        <v>5</v>
      </c>
      <c r="B2586" s="3" t="s">
        <v>124</v>
      </c>
      <c r="C2586" s="3" t="s">
        <v>124</v>
      </c>
      <c r="D2586" s="3" t="s">
        <v>445</v>
      </c>
      <c r="E2586" s="11" t="s">
        <v>144</v>
      </c>
      <c r="F2586" s="3" t="s">
        <v>5</v>
      </c>
      <c r="G2586" s="48" t="s">
        <v>1087</v>
      </c>
      <c r="H2586" s="8"/>
      <c r="I2586" s="8"/>
      <c r="J2586" s="6" t="s">
        <v>455</v>
      </c>
      <c r="K2586" s="38">
        <v>300000</v>
      </c>
      <c r="L2586" s="4" t="s">
        <v>29</v>
      </c>
      <c r="M2586" s="11">
        <f>_xlfn.NUMBERVALUE(LEFT(Table613612[[#This Row],[Fiscal Year]], 4))</f>
        <v>2015</v>
      </c>
      <c r="N2586" s="42">
        <f t="shared" si="38"/>
        <v>318520.25316455693</v>
      </c>
      <c r="O2586" s="3">
        <v>2584</v>
      </c>
    </row>
    <row r="2587" spans="1:15" x14ac:dyDescent="0.25">
      <c r="A2587" s="3">
        <v>5</v>
      </c>
      <c r="B2587" s="3" t="s">
        <v>124</v>
      </c>
      <c r="C2587" s="3" t="s">
        <v>124</v>
      </c>
      <c r="D2587" s="3" t="s">
        <v>445</v>
      </c>
      <c r="E2587" s="11" t="s">
        <v>144</v>
      </c>
      <c r="F2587" s="3" t="s">
        <v>5</v>
      </c>
      <c r="G2587" s="48" t="s">
        <v>1088</v>
      </c>
      <c r="H2587" s="8" t="s">
        <v>529</v>
      </c>
      <c r="I2587" s="47" t="s">
        <v>628</v>
      </c>
      <c r="J2587" s="6" t="s">
        <v>455</v>
      </c>
      <c r="K2587" s="38">
        <v>65895</v>
      </c>
      <c r="L2587" s="4" t="s">
        <v>29</v>
      </c>
      <c r="M2587" s="11">
        <f>_xlfn.NUMBERVALUE(LEFT(Table613612[[#This Row],[Fiscal Year]], 4))</f>
        <v>2015</v>
      </c>
      <c r="N2587" s="42">
        <f t="shared" si="38"/>
        <v>69962.973607594933</v>
      </c>
      <c r="O2587" s="3">
        <v>2585</v>
      </c>
    </row>
    <row r="2588" spans="1:15" x14ac:dyDescent="0.25">
      <c r="A2588" s="3">
        <v>5</v>
      </c>
      <c r="B2588" s="3" t="s">
        <v>124</v>
      </c>
      <c r="C2588" s="3" t="s">
        <v>124</v>
      </c>
      <c r="D2588" s="3" t="s">
        <v>445</v>
      </c>
      <c r="E2588" s="11" t="s">
        <v>144</v>
      </c>
      <c r="F2588" s="3" t="s">
        <v>5</v>
      </c>
      <c r="G2588" s="48" t="s">
        <v>1089</v>
      </c>
      <c r="H2588" s="8"/>
      <c r="I2588" s="8"/>
      <c r="J2588" s="6" t="s">
        <v>42</v>
      </c>
      <c r="K2588" s="38">
        <v>170220</v>
      </c>
      <c r="L2588" s="4" t="s">
        <v>29</v>
      </c>
      <c r="M2588" s="11">
        <f>_xlfn.NUMBERVALUE(LEFT(Table613612[[#This Row],[Fiscal Year]], 4))</f>
        <v>2015</v>
      </c>
      <c r="N2588" s="42">
        <f t="shared" si="38"/>
        <v>180728.39164556962</v>
      </c>
      <c r="O2588" s="3">
        <v>2586</v>
      </c>
    </row>
    <row r="2589" spans="1:15" x14ac:dyDescent="0.25">
      <c r="A2589" s="3">
        <v>5</v>
      </c>
      <c r="B2589" s="3" t="s">
        <v>124</v>
      </c>
      <c r="C2589" s="3" t="s">
        <v>124</v>
      </c>
      <c r="D2589" s="3" t="s">
        <v>445</v>
      </c>
      <c r="E2589" s="11" t="s">
        <v>144</v>
      </c>
      <c r="F2589" s="3" t="s">
        <v>5</v>
      </c>
      <c r="G2589" s="48" t="s">
        <v>1090</v>
      </c>
      <c r="H2589" s="8"/>
      <c r="I2589" s="8"/>
      <c r="J2589" s="6" t="s">
        <v>47</v>
      </c>
      <c r="K2589" s="38">
        <v>181446</v>
      </c>
      <c r="L2589" s="4" t="s">
        <v>29</v>
      </c>
      <c r="M2589" s="11">
        <f>_xlfn.NUMBERVALUE(LEFT(Table613612[[#This Row],[Fiscal Year]], 4))</f>
        <v>2015</v>
      </c>
      <c r="N2589" s="42">
        <f t="shared" si="38"/>
        <v>192647.41951898733</v>
      </c>
      <c r="O2589" s="3">
        <v>2587</v>
      </c>
    </row>
    <row r="2590" spans="1:15" x14ac:dyDescent="0.25">
      <c r="E2590" s="11"/>
      <c r="G2590" s="66"/>
      <c r="H2590" s="8"/>
      <c r="I2590" s="8"/>
      <c r="J2590" s="6"/>
      <c r="L2590" s="4"/>
      <c r="O2590" s="3">
        <v>2588</v>
      </c>
    </row>
    <row r="2591" spans="1:15" x14ac:dyDescent="0.25">
      <c r="A2591" s="3">
        <v>5</v>
      </c>
      <c r="B2591" s="3" t="s">
        <v>124</v>
      </c>
      <c r="C2591" s="3" t="s">
        <v>124</v>
      </c>
      <c r="D2591" s="3" t="s">
        <v>445</v>
      </c>
      <c r="E2591" s="11" t="s">
        <v>144</v>
      </c>
      <c r="F2591" s="3" t="s">
        <v>8</v>
      </c>
      <c r="G2591" s="48" t="s">
        <v>32</v>
      </c>
      <c r="H2591" s="8" t="s">
        <v>532</v>
      </c>
      <c r="I2591" s="47" t="s">
        <v>533</v>
      </c>
      <c r="J2591" s="6" t="s">
        <v>110</v>
      </c>
      <c r="K2591" s="38">
        <v>269694</v>
      </c>
      <c r="L2591" s="4" t="s">
        <v>29</v>
      </c>
      <c r="M2591" s="11">
        <f>_xlfn.NUMBERVALUE(LEFT(Table613612[[#This Row],[Fiscal Year]], 4))</f>
        <v>2015</v>
      </c>
      <c r="N2591" s="42">
        <f t="shared" si="38"/>
        <v>286343.33718987339</v>
      </c>
      <c r="O2591" s="3">
        <v>2589</v>
      </c>
    </row>
    <row r="2592" spans="1:15" x14ac:dyDescent="0.25">
      <c r="A2592" s="3">
        <v>5</v>
      </c>
      <c r="B2592" s="3" t="s">
        <v>124</v>
      </c>
      <c r="C2592" s="3" t="s">
        <v>124</v>
      </c>
      <c r="D2592" s="3" t="s">
        <v>445</v>
      </c>
      <c r="E2592" s="11" t="s">
        <v>144</v>
      </c>
      <c r="F2592" s="3" t="s">
        <v>8</v>
      </c>
      <c r="G2592" s="48" t="s">
        <v>70</v>
      </c>
      <c r="H2592" s="8" t="s">
        <v>538</v>
      </c>
      <c r="I2592" s="8" t="s">
        <v>543</v>
      </c>
      <c r="J2592" s="6" t="s">
        <v>107</v>
      </c>
      <c r="K2592" s="38">
        <v>241470</v>
      </c>
      <c r="L2592" s="4" t="s">
        <v>29</v>
      </c>
      <c r="M2592" s="11">
        <f>_xlfn.NUMBERVALUE(LEFT(Table613612[[#This Row],[Fiscal Year]], 4))</f>
        <v>2015</v>
      </c>
      <c r="N2592" s="42">
        <f t="shared" si="38"/>
        <v>256376.95177215189</v>
      </c>
      <c r="O2592" s="3">
        <v>2590</v>
      </c>
    </row>
    <row r="2593" spans="1:15" x14ac:dyDescent="0.25">
      <c r="A2593" s="3">
        <v>5</v>
      </c>
      <c r="B2593" s="3" t="s">
        <v>124</v>
      </c>
      <c r="C2593" s="3" t="s">
        <v>124</v>
      </c>
      <c r="D2593" s="3" t="s">
        <v>445</v>
      </c>
      <c r="E2593" s="11" t="s">
        <v>144</v>
      </c>
      <c r="F2593" s="3" t="s">
        <v>8</v>
      </c>
      <c r="G2593" s="48" t="s">
        <v>130</v>
      </c>
      <c r="H2593" s="8" t="s">
        <v>537</v>
      </c>
      <c r="I2593" s="8" t="s">
        <v>536</v>
      </c>
      <c r="J2593" s="6" t="s">
        <v>109</v>
      </c>
      <c r="K2593" s="38">
        <v>28288</v>
      </c>
      <c r="L2593" s="4" t="s">
        <v>29</v>
      </c>
      <c r="M2593" s="11">
        <f>_xlfn.NUMBERVALUE(LEFT(Table613612[[#This Row],[Fiscal Year]], 4))</f>
        <v>2015</v>
      </c>
      <c r="N2593" s="42">
        <f t="shared" si="38"/>
        <v>30034.336405063288</v>
      </c>
      <c r="O2593" s="3">
        <v>2591</v>
      </c>
    </row>
    <row r="2594" spans="1:15" x14ac:dyDescent="0.25">
      <c r="A2594" s="3">
        <v>5</v>
      </c>
      <c r="B2594" s="3" t="s">
        <v>124</v>
      </c>
      <c r="C2594" s="3" t="s">
        <v>124</v>
      </c>
      <c r="D2594" s="3" t="s">
        <v>445</v>
      </c>
      <c r="E2594" s="11" t="s">
        <v>144</v>
      </c>
      <c r="F2594" s="3" t="s">
        <v>8</v>
      </c>
      <c r="G2594" s="48" t="s">
        <v>127</v>
      </c>
      <c r="H2594" s="8" t="s">
        <v>540</v>
      </c>
      <c r="I2594" s="8" t="s">
        <v>536</v>
      </c>
      <c r="J2594" s="6" t="s">
        <v>108</v>
      </c>
      <c r="K2594" s="38">
        <v>248829</v>
      </c>
      <c r="L2594" s="4" t="s">
        <v>29</v>
      </c>
      <c r="M2594" s="11">
        <f>_xlfn.NUMBERVALUE(LEFT(Table613612[[#This Row],[Fiscal Year]], 4))</f>
        <v>2015</v>
      </c>
      <c r="N2594" s="42">
        <f t="shared" si="38"/>
        <v>264190.25358227844</v>
      </c>
      <c r="O2594" s="3">
        <v>2592</v>
      </c>
    </row>
    <row r="2595" spans="1:15" x14ac:dyDescent="0.25">
      <c r="A2595" s="3">
        <v>5</v>
      </c>
      <c r="B2595" s="3" t="s">
        <v>124</v>
      </c>
      <c r="C2595" s="3" t="s">
        <v>124</v>
      </c>
      <c r="D2595" s="3" t="s">
        <v>445</v>
      </c>
      <c r="E2595" s="11" t="s">
        <v>144</v>
      </c>
      <c r="F2595" s="3" t="s">
        <v>8</v>
      </c>
      <c r="G2595" s="66" t="s">
        <v>131</v>
      </c>
      <c r="H2595" s="8" t="s">
        <v>541</v>
      </c>
      <c r="I2595" s="8" t="s">
        <v>536</v>
      </c>
      <c r="J2595" s="6" t="s">
        <v>106</v>
      </c>
      <c r="K2595" s="38">
        <v>63960</v>
      </c>
      <c r="L2595" s="4" t="s">
        <v>29</v>
      </c>
      <c r="M2595" s="11">
        <f>_xlfn.NUMBERVALUE(LEFT(Table613612[[#This Row],[Fiscal Year]], 4))</f>
        <v>2015</v>
      </c>
      <c r="N2595" s="42">
        <f t="shared" si="38"/>
        <v>67908.517974683535</v>
      </c>
      <c r="O2595" s="3">
        <v>2593</v>
      </c>
    </row>
    <row r="2596" spans="1:15" x14ac:dyDescent="0.25">
      <c r="A2596" s="3">
        <v>5</v>
      </c>
      <c r="B2596" s="3" t="s">
        <v>124</v>
      </c>
      <c r="C2596" s="3" t="s">
        <v>124</v>
      </c>
      <c r="D2596" s="3" t="s">
        <v>445</v>
      </c>
      <c r="E2596" s="11" t="s">
        <v>144</v>
      </c>
      <c r="F2596" s="3" t="s">
        <v>8</v>
      </c>
      <c r="G2596" s="48" t="s">
        <v>133</v>
      </c>
      <c r="H2596" s="8" t="s">
        <v>542</v>
      </c>
      <c r="I2596" s="8" t="s">
        <v>536</v>
      </c>
      <c r="J2596" s="6" t="s">
        <v>42</v>
      </c>
      <c r="K2596" s="38">
        <v>213113</v>
      </c>
      <c r="L2596" s="4" t="s">
        <v>29</v>
      </c>
      <c r="M2596" s="11">
        <f>_xlfn.NUMBERVALUE(LEFT(Table613612[[#This Row],[Fiscal Year]], 4))</f>
        <v>2015</v>
      </c>
      <c r="N2596" s="42">
        <f t="shared" si="38"/>
        <v>226269.35570886073</v>
      </c>
      <c r="O2596" s="3">
        <v>2594</v>
      </c>
    </row>
    <row r="2597" spans="1:15" x14ac:dyDescent="0.25">
      <c r="A2597" s="3">
        <v>5</v>
      </c>
      <c r="B2597" s="3" t="s">
        <v>124</v>
      </c>
      <c r="C2597" s="3" t="s">
        <v>124</v>
      </c>
      <c r="D2597" s="3" t="s">
        <v>445</v>
      </c>
      <c r="E2597" s="11" t="s">
        <v>144</v>
      </c>
      <c r="F2597" s="3" t="s">
        <v>8</v>
      </c>
      <c r="G2597" s="48" t="s">
        <v>132</v>
      </c>
      <c r="H2597" s="8"/>
      <c r="I2597" s="8"/>
      <c r="J2597" s="6" t="s">
        <v>111</v>
      </c>
      <c r="K2597" s="38">
        <v>152829</v>
      </c>
      <c r="L2597" s="4" t="s">
        <v>29</v>
      </c>
      <c r="M2597" s="11">
        <f>_xlfn.NUMBERVALUE(LEFT(Table613612[[#This Row],[Fiscal Year]], 4))</f>
        <v>2015</v>
      </c>
      <c r="N2597" s="42">
        <f t="shared" si="38"/>
        <v>162263.77256962025</v>
      </c>
      <c r="O2597" s="3">
        <v>2595</v>
      </c>
    </row>
    <row r="2598" spans="1:15" x14ac:dyDescent="0.25">
      <c r="A2598" s="3">
        <v>5</v>
      </c>
      <c r="B2598" s="3" t="s">
        <v>124</v>
      </c>
      <c r="C2598" s="3" t="s">
        <v>124</v>
      </c>
      <c r="D2598" s="3" t="s">
        <v>445</v>
      </c>
      <c r="E2598" s="11" t="s">
        <v>144</v>
      </c>
      <c r="F2598" s="3" t="s">
        <v>8</v>
      </c>
      <c r="G2598" s="48" t="s">
        <v>78</v>
      </c>
      <c r="H2598" s="8"/>
      <c r="I2598" s="8"/>
      <c r="J2598" s="6" t="s">
        <v>47</v>
      </c>
      <c r="K2598" s="38">
        <v>434671</v>
      </c>
      <c r="L2598" s="4" t="s">
        <v>29</v>
      </c>
      <c r="M2598" s="11">
        <f>_xlfn.NUMBERVALUE(LEFT(Table613612[[#This Row],[Fiscal Year]], 4))</f>
        <v>2015</v>
      </c>
      <c r="N2598" s="42">
        <f t="shared" si="38"/>
        <v>461505.05654430378</v>
      </c>
      <c r="O2598" s="3">
        <v>2596</v>
      </c>
    </row>
    <row r="2599" spans="1:15" x14ac:dyDescent="0.25">
      <c r="A2599" s="3">
        <v>5</v>
      </c>
      <c r="B2599" s="3" t="s">
        <v>124</v>
      </c>
      <c r="C2599" s="3" t="s">
        <v>124</v>
      </c>
      <c r="D2599" s="3" t="s">
        <v>445</v>
      </c>
      <c r="E2599" s="11" t="s">
        <v>144</v>
      </c>
      <c r="F2599" s="3" t="s">
        <v>8</v>
      </c>
      <c r="G2599" s="48" t="s">
        <v>134</v>
      </c>
      <c r="H2599" s="6" t="s">
        <v>627</v>
      </c>
      <c r="I2599" s="47" t="s">
        <v>628</v>
      </c>
      <c r="J2599" s="6" t="s">
        <v>455</v>
      </c>
      <c r="K2599" s="38">
        <v>73955</v>
      </c>
      <c r="L2599" s="4" t="s">
        <v>29</v>
      </c>
      <c r="M2599" s="11">
        <f>_xlfn.NUMBERVALUE(LEFT(Table613612[[#This Row],[Fiscal Year]], 4))</f>
        <v>2015</v>
      </c>
      <c r="N2599" s="42">
        <f t="shared" si="38"/>
        <v>78520.551075949363</v>
      </c>
      <c r="O2599" s="3">
        <v>2597</v>
      </c>
    </row>
    <row r="2600" spans="1:15" x14ac:dyDescent="0.25">
      <c r="A2600" s="3">
        <v>5</v>
      </c>
      <c r="B2600" s="3" t="s">
        <v>124</v>
      </c>
      <c r="C2600" s="3" t="s">
        <v>124</v>
      </c>
      <c r="D2600" s="3" t="s">
        <v>445</v>
      </c>
      <c r="E2600" s="11" t="s">
        <v>144</v>
      </c>
      <c r="F2600" s="3" t="s">
        <v>8</v>
      </c>
      <c r="G2600" s="48" t="s">
        <v>135</v>
      </c>
      <c r="H2600" s="8" t="s">
        <v>1091</v>
      </c>
      <c r="I2600" s="8" t="s">
        <v>953</v>
      </c>
      <c r="J2600" s="6" t="s">
        <v>455</v>
      </c>
      <c r="K2600" s="38" t="s">
        <v>226</v>
      </c>
      <c r="L2600" s="4" t="s">
        <v>29</v>
      </c>
      <c r="M2600" s="11">
        <f>_xlfn.NUMBERVALUE(LEFT(Table613612[[#This Row],[Fiscal Year]], 4))</f>
        <v>2015</v>
      </c>
      <c r="O2600" s="3">
        <v>2598</v>
      </c>
    </row>
    <row r="2601" spans="1:15" x14ac:dyDescent="0.25">
      <c r="E2601" s="11"/>
      <c r="G2601" s="48"/>
      <c r="H2601" s="8"/>
      <c r="I2601" s="8"/>
      <c r="J2601" s="6"/>
      <c r="L2601" s="4"/>
      <c r="O2601" s="3">
        <v>2599</v>
      </c>
    </row>
    <row r="2602" spans="1:15" x14ac:dyDescent="0.25">
      <c r="A2602" s="3">
        <v>5</v>
      </c>
      <c r="B2602" s="18" t="s">
        <v>138</v>
      </c>
      <c r="C2602" s="3" t="s">
        <v>124</v>
      </c>
      <c r="D2602" s="3" t="s">
        <v>445</v>
      </c>
      <c r="E2602" s="11" t="s">
        <v>144</v>
      </c>
      <c r="F2602" s="3" t="s">
        <v>8</v>
      </c>
      <c r="G2602" s="48" t="s">
        <v>1092</v>
      </c>
      <c r="H2602" s="8"/>
      <c r="I2602" s="8"/>
      <c r="J2602" s="75" t="s">
        <v>108</v>
      </c>
      <c r="K2602" s="38">
        <v>900000</v>
      </c>
      <c r="L2602" s="4" t="s">
        <v>29</v>
      </c>
      <c r="M2602" s="11">
        <v>2015</v>
      </c>
      <c r="N2602" s="42">
        <f t="shared" ref="N2602:N2635" si="39">K2602*(1+VLOOKUP(M2602,$AF$8:$AH$31,3,0))</f>
        <v>955560.75949367078</v>
      </c>
      <c r="O2602" s="3">
        <v>2600</v>
      </c>
    </row>
    <row r="2603" spans="1:15" x14ac:dyDescent="0.25">
      <c r="A2603" s="3">
        <v>5</v>
      </c>
      <c r="B2603" s="3" t="s">
        <v>138</v>
      </c>
      <c r="C2603" s="3" t="s">
        <v>124</v>
      </c>
      <c r="D2603" s="3" t="s">
        <v>445</v>
      </c>
      <c r="E2603" s="11" t="s">
        <v>144</v>
      </c>
      <c r="F2603" s="3" t="s">
        <v>8</v>
      </c>
      <c r="G2603" s="48" t="s">
        <v>1093</v>
      </c>
      <c r="H2603" s="8"/>
      <c r="I2603" s="8"/>
      <c r="J2603" s="75" t="s">
        <v>110</v>
      </c>
      <c r="K2603" s="38">
        <v>30000</v>
      </c>
      <c r="L2603" s="4" t="s">
        <v>29</v>
      </c>
      <c r="M2603" s="11">
        <v>2015</v>
      </c>
      <c r="N2603" s="42">
        <f t="shared" si="39"/>
        <v>31852.025316455696</v>
      </c>
      <c r="O2603" s="3">
        <v>2601</v>
      </c>
    </row>
    <row r="2604" spans="1:15" x14ac:dyDescent="0.25">
      <c r="A2604" s="3">
        <v>5</v>
      </c>
      <c r="B2604" s="3" t="s">
        <v>138</v>
      </c>
      <c r="C2604" s="3" t="s">
        <v>124</v>
      </c>
      <c r="D2604" s="3" t="s">
        <v>445</v>
      </c>
      <c r="E2604" s="11" t="s">
        <v>144</v>
      </c>
      <c r="F2604" s="3" t="s">
        <v>8</v>
      </c>
      <c r="G2604" s="48" t="s">
        <v>70</v>
      </c>
      <c r="H2604" s="8"/>
      <c r="I2604" s="8"/>
      <c r="J2604" s="75" t="s">
        <v>107</v>
      </c>
      <c r="K2604" s="38">
        <v>2618000</v>
      </c>
      <c r="L2604" s="4" t="s">
        <v>29</v>
      </c>
      <c r="M2604" s="11">
        <v>2015</v>
      </c>
      <c r="N2604" s="42">
        <f t="shared" si="39"/>
        <v>2779620.0759493671</v>
      </c>
      <c r="O2604" s="3">
        <v>2602</v>
      </c>
    </row>
    <row r="2605" spans="1:15" x14ac:dyDescent="0.25">
      <c r="A2605" s="3">
        <v>5</v>
      </c>
      <c r="B2605" s="3" t="s">
        <v>138</v>
      </c>
      <c r="C2605" s="3" t="s">
        <v>124</v>
      </c>
      <c r="D2605" s="3" t="s">
        <v>445</v>
      </c>
      <c r="E2605" s="11" t="s">
        <v>144</v>
      </c>
      <c r="F2605" s="3" t="s">
        <v>8</v>
      </c>
      <c r="G2605" s="48" t="s">
        <v>1094</v>
      </c>
      <c r="H2605" s="8"/>
      <c r="I2605" s="8"/>
      <c r="J2605" s="75" t="s">
        <v>455</v>
      </c>
      <c r="K2605" s="38">
        <v>265000</v>
      </c>
      <c r="L2605" s="4" t="s">
        <v>29</v>
      </c>
      <c r="M2605" s="11">
        <v>2015</v>
      </c>
      <c r="N2605" s="42">
        <f t="shared" si="39"/>
        <v>281359.55696202529</v>
      </c>
      <c r="O2605" s="3">
        <v>2603</v>
      </c>
    </row>
    <row r="2606" spans="1:15" x14ac:dyDescent="0.25">
      <c r="A2606" s="3">
        <v>5</v>
      </c>
      <c r="B2606" s="3" t="s">
        <v>138</v>
      </c>
      <c r="C2606" s="3" t="s">
        <v>124</v>
      </c>
      <c r="D2606" s="3" t="s">
        <v>445</v>
      </c>
      <c r="E2606" s="11" t="s">
        <v>144</v>
      </c>
      <c r="F2606" s="3" t="s">
        <v>8</v>
      </c>
      <c r="G2606" s="48" t="s">
        <v>1095</v>
      </c>
      <c r="H2606" s="8"/>
      <c r="I2606" s="8"/>
      <c r="J2606" s="75" t="s">
        <v>605</v>
      </c>
      <c r="K2606" s="38">
        <v>75000</v>
      </c>
      <c r="L2606" s="4" t="s">
        <v>29</v>
      </c>
      <c r="M2606" s="11">
        <v>2015</v>
      </c>
      <c r="N2606" s="42">
        <f t="shared" si="39"/>
        <v>79630.063291139231</v>
      </c>
      <c r="O2606" s="3">
        <v>2604</v>
      </c>
    </row>
    <row r="2607" spans="1:15" x14ac:dyDescent="0.25">
      <c r="A2607" s="3">
        <v>5</v>
      </c>
      <c r="B2607" s="3" t="s">
        <v>138</v>
      </c>
      <c r="C2607" s="3" t="s">
        <v>124</v>
      </c>
      <c r="D2607" s="3" t="s">
        <v>445</v>
      </c>
      <c r="E2607" s="11" t="s">
        <v>144</v>
      </c>
      <c r="F2607" s="3" t="s">
        <v>8</v>
      </c>
      <c r="G2607" s="48" t="s">
        <v>1096</v>
      </c>
      <c r="H2607" s="8"/>
      <c r="I2607" s="8"/>
      <c r="J2607" s="75" t="s">
        <v>110</v>
      </c>
      <c r="K2607" s="38">
        <v>84000</v>
      </c>
      <c r="L2607" s="4" t="s">
        <v>29</v>
      </c>
      <c r="M2607" s="11">
        <v>2015</v>
      </c>
      <c r="N2607" s="42">
        <f t="shared" si="39"/>
        <v>89185.670886075939</v>
      </c>
      <c r="O2607" s="3">
        <v>2605</v>
      </c>
    </row>
    <row r="2608" spans="1:15" x14ac:dyDescent="0.25">
      <c r="E2608" s="11"/>
      <c r="G2608" s="48"/>
      <c r="H2608" s="8"/>
      <c r="I2608" s="8"/>
      <c r="J2608" s="6"/>
      <c r="L2608" s="4"/>
      <c r="O2608" s="3">
        <v>2606</v>
      </c>
    </row>
    <row r="2609" spans="1:15" x14ac:dyDescent="0.25">
      <c r="A2609" s="3">
        <v>5</v>
      </c>
      <c r="B2609" s="3" t="s">
        <v>125</v>
      </c>
      <c r="C2609" s="3" t="s">
        <v>124</v>
      </c>
      <c r="D2609" s="3" t="s">
        <v>445</v>
      </c>
      <c r="E2609" s="11" t="s">
        <v>144</v>
      </c>
      <c r="F2609" s="3" t="s">
        <v>8</v>
      </c>
      <c r="G2609" s="48" t="s">
        <v>32</v>
      </c>
      <c r="H2609" s="8"/>
      <c r="I2609" s="8"/>
      <c r="J2609" s="6" t="s">
        <v>110</v>
      </c>
      <c r="K2609" s="38">
        <v>308495</v>
      </c>
      <c r="L2609" s="4" t="s">
        <v>29</v>
      </c>
      <c r="M2609" s="11">
        <f>_xlfn.NUMBERVALUE(LEFT(Table613612[[#This Row],[Fiscal Year]], 4))</f>
        <v>2015</v>
      </c>
      <c r="N2609" s="42">
        <f t="shared" si="39"/>
        <v>327539.685</v>
      </c>
      <c r="O2609" s="3">
        <v>2607</v>
      </c>
    </row>
    <row r="2610" spans="1:15" x14ac:dyDescent="0.25">
      <c r="A2610" s="3">
        <v>5</v>
      </c>
      <c r="B2610" s="3" t="s">
        <v>125</v>
      </c>
      <c r="C2610" s="3" t="s">
        <v>124</v>
      </c>
      <c r="D2610" s="3" t="s">
        <v>445</v>
      </c>
      <c r="E2610" s="11" t="s">
        <v>144</v>
      </c>
      <c r="F2610" s="3" t="s">
        <v>8</v>
      </c>
      <c r="G2610" s="61" t="s">
        <v>136</v>
      </c>
      <c r="H2610" s="8" t="s">
        <v>544</v>
      </c>
      <c r="I2610" s="8" t="s">
        <v>536</v>
      </c>
      <c r="J2610" s="6" t="s">
        <v>455</v>
      </c>
      <c r="K2610" s="38">
        <v>249423</v>
      </c>
      <c r="L2610" s="4" t="s">
        <v>29</v>
      </c>
      <c r="M2610" s="11">
        <f>_xlfn.NUMBERVALUE(LEFT(Table613612[[#This Row],[Fiscal Year]], 4))</f>
        <v>2015</v>
      </c>
      <c r="N2610" s="42">
        <f t="shared" si="39"/>
        <v>264820.92368354427</v>
      </c>
      <c r="O2610" s="3">
        <v>2608</v>
      </c>
    </row>
    <row r="2611" spans="1:15" x14ac:dyDescent="0.25">
      <c r="A2611" s="3">
        <v>5</v>
      </c>
      <c r="B2611" s="3" t="s">
        <v>125</v>
      </c>
      <c r="C2611" s="3" t="s">
        <v>124</v>
      </c>
      <c r="D2611" s="3" t="s">
        <v>445</v>
      </c>
      <c r="E2611" s="11" t="s">
        <v>144</v>
      </c>
      <c r="F2611" s="3" t="s">
        <v>8</v>
      </c>
      <c r="G2611" s="48" t="s">
        <v>130</v>
      </c>
      <c r="H2611" s="8" t="s">
        <v>545</v>
      </c>
      <c r="I2611" s="8" t="s">
        <v>536</v>
      </c>
      <c r="J2611" s="6" t="s">
        <v>109</v>
      </c>
      <c r="K2611" s="38">
        <v>30193</v>
      </c>
      <c r="L2611" s="4" t="s">
        <v>29</v>
      </c>
      <c r="M2611" s="11">
        <f>_xlfn.NUMBERVALUE(LEFT(Table613612[[#This Row],[Fiscal Year]], 4))</f>
        <v>2015</v>
      </c>
      <c r="N2611" s="42">
        <f t="shared" si="39"/>
        <v>32056.940012658226</v>
      </c>
      <c r="O2611" s="3">
        <v>2609</v>
      </c>
    </row>
    <row r="2612" spans="1:15" x14ac:dyDescent="0.25">
      <c r="A2612" s="3">
        <v>5</v>
      </c>
      <c r="B2612" s="3" t="s">
        <v>125</v>
      </c>
      <c r="C2612" s="3" t="s">
        <v>124</v>
      </c>
      <c r="D2612" s="3" t="s">
        <v>445</v>
      </c>
      <c r="E2612" s="11" t="s">
        <v>144</v>
      </c>
      <c r="F2612" s="3" t="s">
        <v>8</v>
      </c>
      <c r="G2612" s="48" t="s">
        <v>137</v>
      </c>
      <c r="H2612" s="8"/>
      <c r="I2612" s="8"/>
      <c r="J2612" s="6" t="s">
        <v>108</v>
      </c>
      <c r="K2612" s="38">
        <v>253616</v>
      </c>
      <c r="L2612" s="4" t="s">
        <v>29</v>
      </c>
      <c r="M2612" s="11">
        <f>_xlfn.NUMBERVALUE(LEFT(Table613612[[#This Row],[Fiscal Year]], 4))</f>
        <v>2015</v>
      </c>
      <c r="N2612" s="42">
        <f t="shared" si="39"/>
        <v>269272.77508860757</v>
      </c>
      <c r="O2612" s="3">
        <v>2610</v>
      </c>
    </row>
    <row r="2613" spans="1:15" x14ac:dyDescent="0.25">
      <c r="A2613" s="3">
        <v>5</v>
      </c>
      <c r="B2613" s="3" t="s">
        <v>125</v>
      </c>
      <c r="C2613" s="3" t="s">
        <v>124</v>
      </c>
      <c r="D2613" s="3" t="s">
        <v>445</v>
      </c>
      <c r="E2613" s="11" t="s">
        <v>144</v>
      </c>
      <c r="F2613" s="3" t="s">
        <v>8</v>
      </c>
      <c r="G2613" s="48" t="s">
        <v>68</v>
      </c>
      <c r="H2613" s="8" t="s">
        <v>546</v>
      </c>
      <c r="I2613" s="8" t="s">
        <v>536</v>
      </c>
      <c r="J2613" s="6" t="s">
        <v>42</v>
      </c>
      <c r="K2613" s="38">
        <v>28880</v>
      </c>
      <c r="L2613" s="4" t="s">
        <v>29</v>
      </c>
      <c r="M2613" s="11">
        <f>_xlfn.NUMBERVALUE(LEFT(Table613612[[#This Row],[Fiscal Year]], 4))</f>
        <v>2015</v>
      </c>
      <c r="N2613" s="42">
        <f t="shared" si="39"/>
        <v>30662.883037974683</v>
      </c>
      <c r="O2613" s="3">
        <v>2611</v>
      </c>
    </row>
    <row r="2614" spans="1:15" x14ac:dyDescent="0.25">
      <c r="A2614" s="3">
        <v>5</v>
      </c>
      <c r="B2614" s="3" t="s">
        <v>125</v>
      </c>
      <c r="C2614" s="3" t="s">
        <v>124</v>
      </c>
      <c r="D2614" s="3" t="s">
        <v>445</v>
      </c>
      <c r="E2614" s="11" t="s">
        <v>144</v>
      </c>
      <c r="F2614" s="3" t="s">
        <v>8</v>
      </c>
      <c r="G2614" s="61" t="s">
        <v>135</v>
      </c>
      <c r="H2614" s="8"/>
      <c r="I2614" s="8"/>
      <c r="J2614" s="6" t="s">
        <v>455</v>
      </c>
      <c r="K2614" s="38">
        <v>39382</v>
      </c>
      <c r="L2614" s="4" t="s">
        <v>29</v>
      </c>
      <c r="M2614" s="11">
        <f>_xlfn.NUMBERVALUE(LEFT(Table613612[[#This Row],[Fiscal Year]], 4))</f>
        <v>2015</v>
      </c>
      <c r="N2614" s="42">
        <f t="shared" si="39"/>
        <v>41813.215367088604</v>
      </c>
      <c r="O2614" s="3">
        <v>2612</v>
      </c>
    </row>
    <row r="2615" spans="1:15" x14ac:dyDescent="0.25">
      <c r="E2615" s="11"/>
      <c r="G2615" s="66"/>
      <c r="H2615" s="8"/>
      <c r="I2615" s="8"/>
      <c r="J2615" s="6"/>
      <c r="L2615" s="4"/>
      <c r="O2615" s="3">
        <v>2613</v>
      </c>
    </row>
    <row r="2616" spans="1:15" x14ac:dyDescent="0.25">
      <c r="A2616" s="3">
        <v>5</v>
      </c>
      <c r="B2616" s="3" t="s">
        <v>126</v>
      </c>
      <c r="C2616" s="3" t="s">
        <v>124</v>
      </c>
      <c r="D2616" s="3" t="s">
        <v>445</v>
      </c>
      <c r="E2616" s="11" t="s">
        <v>144</v>
      </c>
      <c r="F2616" s="3" t="s">
        <v>8</v>
      </c>
      <c r="G2616" s="48" t="s">
        <v>1097</v>
      </c>
      <c r="H2616" s="8" t="s">
        <v>547</v>
      </c>
      <c r="I2616" s="8" t="s">
        <v>536</v>
      </c>
      <c r="J2616" s="6" t="s">
        <v>110</v>
      </c>
      <c r="K2616" s="38">
        <v>170081</v>
      </c>
      <c r="L2616" s="4" t="s">
        <v>29</v>
      </c>
      <c r="M2616" s="11">
        <f>_xlfn.NUMBERVALUE(LEFT(Table613612[[#This Row],[Fiscal Year]], 4))</f>
        <v>2015</v>
      </c>
      <c r="N2616" s="42">
        <f t="shared" si="39"/>
        <v>180580.81059493669</v>
      </c>
      <c r="O2616" s="3">
        <v>2614</v>
      </c>
    </row>
    <row r="2617" spans="1:15" x14ac:dyDescent="0.25">
      <c r="A2617" s="3">
        <v>5</v>
      </c>
      <c r="B2617" s="3" t="s">
        <v>126</v>
      </c>
      <c r="C2617" s="3" t="s">
        <v>124</v>
      </c>
      <c r="D2617" s="3" t="s">
        <v>445</v>
      </c>
      <c r="E2617" s="11" t="s">
        <v>144</v>
      </c>
      <c r="F2617" s="3" t="s">
        <v>8</v>
      </c>
      <c r="G2617" s="48" t="s">
        <v>1098</v>
      </c>
      <c r="H2617" s="8"/>
      <c r="I2617" s="8"/>
      <c r="J2617" s="6" t="s">
        <v>110</v>
      </c>
      <c r="K2617" s="38">
        <v>50695</v>
      </c>
      <c r="L2617" s="4" t="s">
        <v>29</v>
      </c>
      <c r="M2617" s="11">
        <f>_xlfn.NUMBERVALUE(LEFT(Table613612[[#This Row],[Fiscal Year]], 4))</f>
        <v>2015</v>
      </c>
      <c r="N2617" s="42">
        <f t="shared" si="39"/>
        <v>53824.61411392405</v>
      </c>
      <c r="O2617" s="3">
        <v>2615</v>
      </c>
    </row>
    <row r="2618" spans="1:15" x14ac:dyDescent="0.25">
      <c r="A2618" s="3">
        <v>5</v>
      </c>
      <c r="B2618" s="3" t="s">
        <v>126</v>
      </c>
      <c r="C2618" s="3" t="s">
        <v>124</v>
      </c>
      <c r="D2618" s="3" t="s">
        <v>445</v>
      </c>
      <c r="E2618" s="11" t="s">
        <v>144</v>
      </c>
      <c r="F2618" s="3" t="s">
        <v>8</v>
      </c>
      <c r="G2618" s="48" t="s">
        <v>1099</v>
      </c>
      <c r="H2618" s="8"/>
      <c r="I2618" s="8"/>
      <c r="J2618" s="6" t="s">
        <v>76</v>
      </c>
      <c r="K2618" s="38">
        <v>12941</v>
      </c>
      <c r="L2618" s="4" t="s">
        <v>29</v>
      </c>
      <c r="M2618" s="11">
        <f>_xlfn.NUMBERVALUE(LEFT(Table613612[[#This Row],[Fiscal Year]], 4))</f>
        <v>2015</v>
      </c>
      <c r="N2618" s="42">
        <f t="shared" si="39"/>
        <v>13739.901987341771</v>
      </c>
      <c r="O2618" s="3">
        <v>2616</v>
      </c>
    </row>
    <row r="2619" spans="1:15" x14ac:dyDescent="0.25">
      <c r="A2619" s="3">
        <v>5</v>
      </c>
      <c r="B2619" s="3" t="s">
        <v>126</v>
      </c>
      <c r="C2619" s="3" t="s">
        <v>124</v>
      </c>
      <c r="D2619" s="3" t="s">
        <v>445</v>
      </c>
      <c r="E2619" s="11" t="s">
        <v>144</v>
      </c>
      <c r="F2619" s="3" t="s">
        <v>8</v>
      </c>
      <c r="G2619" s="61" t="s">
        <v>1100</v>
      </c>
      <c r="H2619" s="8" t="s">
        <v>548</v>
      </c>
      <c r="I2619" s="8" t="s">
        <v>536</v>
      </c>
      <c r="J2619" s="6" t="s">
        <v>108</v>
      </c>
      <c r="K2619" s="38">
        <v>304570</v>
      </c>
      <c r="L2619" s="4" t="s">
        <v>29</v>
      </c>
      <c r="M2619" s="11">
        <f>_xlfn.NUMBERVALUE(LEFT(Table613612[[#This Row],[Fiscal Year]], 4))</f>
        <v>2015</v>
      </c>
      <c r="N2619" s="42">
        <f t="shared" si="39"/>
        <v>323372.37835443037</v>
      </c>
      <c r="O2619" s="3">
        <v>2617</v>
      </c>
    </row>
    <row r="2620" spans="1:15" x14ac:dyDescent="0.25">
      <c r="A2620" s="3">
        <v>5</v>
      </c>
      <c r="B2620" s="3" t="s">
        <v>126</v>
      </c>
      <c r="C2620" s="3" t="s">
        <v>124</v>
      </c>
      <c r="D2620" s="3" t="s">
        <v>445</v>
      </c>
      <c r="E2620" s="11" t="s">
        <v>144</v>
      </c>
      <c r="F2620" s="3" t="s">
        <v>8</v>
      </c>
      <c r="G2620" s="48" t="s">
        <v>1101</v>
      </c>
      <c r="H2620" s="8"/>
      <c r="I2620" s="8"/>
      <c r="J2620" s="6" t="s">
        <v>108</v>
      </c>
      <c r="K2620" s="38">
        <v>222614</v>
      </c>
      <c r="L2620" s="4" t="s">
        <v>29</v>
      </c>
      <c r="M2620" s="11">
        <f>_xlfn.NUMBERVALUE(LEFT(Table613612[[#This Row],[Fiscal Year]], 4))</f>
        <v>2015</v>
      </c>
      <c r="N2620" s="42">
        <f t="shared" si="39"/>
        <v>236356.89212658227</v>
      </c>
      <c r="O2620" s="3">
        <v>2618</v>
      </c>
    </row>
    <row r="2621" spans="1:15" x14ac:dyDescent="0.25">
      <c r="A2621" s="3">
        <v>5</v>
      </c>
      <c r="B2621" s="3" t="s">
        <v>126</v>
      </c>
      <c r="C2621" s="3" t="s">
        <v>124</v>
      </c>
      <c r="D2621" s="3" t="s">
        <v>445</v>
      </c>
      <c r="E2621" s="11" t="s">
        <v>144</v>
      </c>
      <c r="F2621" s="3" t="s">
        <v>8</v>
      </c>
      <c r="G2621" s="48" t="s">
        <v>1102</v>
      </c>
      <c r="H2621" s="8"/>
      <c r="I2621" s="8"/>
      <c r="J2621" s="6" t="s">
        <v>110</v>
      </c>
      <c r="K2621" s="38">
        <v>325</v>
      </c>
      <c r="L2621" s="4" t="s">
        <v>29</v>
      </c>
      <c r="M2621" s="11">
        <f>_xlfn.NUMBERVALUE(LEFT(Table613612[[#This Row],[Fiscal Year]], 4))</f>
        <v>2015</v>
      </c>
      <c r="N2621" s="42">
        <f t="shared" si="39"/>
        <v>345.06360759493668</v>
      </c>
      <c r="O2621" s="3">
        <v>2619</v>
      </c>
    </row>
    <row r="2622" spans="1:15" x14ac:dyDescent="0.25">
      <c r="A2622" s="3">
        <v>5</v>
      </c>
      <c r="B2622" s="3" t="s">
        <v>126</v>
      </c>
      <c r="C2622" s="3" t="s">
        <v>124</v>
      </c>
      <c r="D2622" s="3" t="s">
        <v>445</v>
      </c>
      <c r="E2622" s="11" t="s">
        <v>144</v>
      </c>
      <c r="F2622" s="3" t="s">
        <v>8</v>
      </c>
      <c r="G2622" s="48" t="s">
        <v>1103</v>
      </c>
      <c r="H2622" s="8" t="s">
        <v>629</v>
      </c>
      <c r="I2622" s="8" t="s">
        <v>630</v>
      </c>
      <c r="J2622" s="6" t="s">
        <v>455</v>
      </c>
      <c r="K2622" s="38" t="s">
        <v>827</v>
      </c>
      <c r="L2622" s="4" t="s">
        <v>29</v>
      </c>
      <c r="M2622" s="11">
        <f>_xlfn.NUMBERVALUE(LEFT(Table613612[[#This Row],[Fiscal Year]], 4))</f>
        <v>2015</v>
      </c>
      <c r="O2622" s="3">
        <v>2620</v>
      </c>
    </row>
    <row r="2623" spans="1:15" x14ac:dyDescent="0.25">
      <c r="A2623" s="3">
        <v>5</v>
      </c>
      <c r="B2623" s="3" t="s">
        <v>126</v>
      </c>
      <c r="C2623" s="3" t="s">
        <v>124</v>
      </c>
      <c r="D2623" s="3" t="s">
        <v>445</v>
      </c>
      <c r="E2623" s="11" t="s">
        <v>144</v>
      </c>
      <c r="F2623" s="3" t="s">
        <v>8</v>
      </c>
      <c r="G2623" s="48" t="s">
        <v>1104</v>
      </c>
      <c r="H2623" s="8" t="s">
        <v>529</v>
      </c>
      <c r="I2623" s="8"/>
      <c r="J2623" s="6" t="s">
        <v>47</v>
      </c>
      <c r="K2623" s="38">
        <v>24210</v>
      </c>
      <c r="L2623" s="4" t="s">
        <v>29</v>
      </c>
      <c r="M2623" s="11">
        <f>_xlfn.NUMBERVALUE(LEFT(Table613612[[#This Row],[Fiscal Year]], 4))</f>
        <v>2015</v>
      </c>
      <c r="N2623" s="42">
        <f t="shared" si="39"/>
        <v>25704.584430379746</v>
      </c>
      <c r="O2623" s="3">
        <v>2621</v>
      </c>
    </row>
    <row r="2624" spans="1:15" x14ac:dyDescent="0.25">
      <c r="A2624" s="3">
        <v>5</v>
      </c>
      <c r="B2624" s="3" t="s">
        <v>126</v>
      </c>
      <c r="C2624" s="3" t="s">
        <v>124</v>
      </c>
      <c r="D2624" s="3" t="s">
        <v>445</v>
      </c>
      <c r="E2624" s="11" t="s">
        <v>144</v>
      </c>
      <c r="F2624" s="3" t="s">
        <v>8</v>
      </c>
      <c r="G2624" s="48" t="s">
        <v>1105</v>
      </c>
      <c r="H2624" s="8"/>
      <c r="I2624" s="8"/>
      <c r="J2624" s="6" t="s">
        <v>42</v>
      </c>
      <c r="K2624" s="38">
        <v>12695</v>
      </c>
      <c r="L2624" s="4" t="s">
        <v>29</v>
      </c>
      <c r="M2624" s="11">
        <f>_xlfn.NUMBERVALUE(LEFT(Table613612[[#This Row],[Fiscal Year]], 4))</f>
        <v>2015</v>
      </c>
      <c r="N2624" s="42">
        <f t="shared" si="39"/>
        <v>13478.715379746835</v>
      </c>
      <c r="O2624" s="3">
        <v>2622</v>
      </c>
    </row>
    <row r="2625" spans="1:15" x14ac:dyDescent="0.25">
      <c r="A2625" s="3">
        <v>5</v>
      </c>
      <c r="B2625" s="3" t="s">
        <v>126</v>
      </c>
      <c r="C2625" s="3" t="s">
        <v>124</v>
      </c>
      <c r="D2625" s="3" t="s">
        <v>445</v>
      </c>
      <c r="E2625" s="11" t="s">
        <v>144</v>
      </c>
      <c r="F2625" s="3" t="s">
        <v>8</v>
      </c>
      <c r="G2625" s="48" t="s">
        <v>1106</v>
      </c>
      <c r="H2625" s="8"/>
      <c r="I2625" s="8"/>
      <c r="J2625" s="6" t="s">
        <v>111</v>
      </c>
      <c r="K2625" s="38">
        <v>0</v>
      </c>
      <c r="L2625" s="4" t="s">
        <v>29</v>
      </c>
      <c r="M2625" s="11">
        <f>_xlfn.NUMBERVALUE(LEFT(Table613612[[#This Row],[Fiscal Year]], 4))</f>
        <v>2015</v>
      </c>
      <c r="N2625" s="42">
        <f t="shared" si="39"/>
        <v>0</v>
      </c>
      <c r="O2625" s="3">
        <v>2623</v>
      </c>
    </row>
    <row r="2626" spans="1:15" x14ac:dyDescent="0.25">
      <c r="A2626" s="3">
        <v>5</v>
      </c>
      <c r="B2626" s="3" t="s">
        <v>126</v>
      </c>
      <c r="C2626" s="3" t="s">
        <v>124</v>
      </c>
      <c r="D2626" s="3" t="s">
        <v>445</v>
      </c>
      <c r="E2626" s="11" t="s">
        <v>144</v>
      </c>
      <c r="F2626" s="3" t="s">
        <v>8</v>
      </c>
      <c r="G2626" s="48" t="s">
        <v>1107</v>
      </c>
      <c r="H2626" s="8" t="s">
        <v>549</v>
      </c>
      <c r="I2626" s="8"/>
      <c r="J2626" s="6" t="s">
        <v>110</v>
      </c>
      <c r="K2626" s="38">
        <v>23982</v>
      </c>
      <c r="L2626" s="4" t="s">
        <v>29</v>
      </c>
      <c r="M2626" s="11">
        <f>_xlfn.NUMBERVALUE(LEFT(Table613612[[#This Row],[Fiscal Year]], 4))</f>
        <v>2015</v>
      </c>
      <c r="N2626" s="42">
        <f t="shared" si="39"/>
        <v>25462.509037974683</v>
      </c>
      <c r="O2626" s="3">
        <v>2624</v>
      </c>
    </row>
    <row r="2627" spans="1:15" x14ac:dyDescent="0.25">
      <c r="A2627" s="3">
        <v>5</v>
      </c>
      <c r="B2627" s="3" t="s">
        <v>126</v>
      </c>
      <c r="C2627" s="3" t="s">
        <v>124</v>
      </c>
      <c r="D2627" s="3" t="s">
        <v>445</v>
      </c>
      <c r="E2627" s="11" t="s">
        <v>144</v>
      </c>
      <c r="F2627" s="3" t="s">
        <v>8</v>
      </c>
      <c r="G2627" s="48" t="s">
        <v>1108</v>
      </c>
      <c r="H2627" s="8"/>
      <c r="I2627" s="8"/>
      <c r="J2627" s="6" t="s">
        <v>105</v>
      </c>
      <c r="K2627" s="38">
        <v>1000</v>
      </c>
      <c r="L2627" s="4" t="s">
        <v>29</v>
      </c>
      <c r="M2627" s="11">
        <f>_xlfn.NUMBERVALUE(LEFT(Table613612[[#This Row],[Fiscal Year]], 4))</f>
        <v>2015</v>
      </c>
      <c r="N2627" s="42">
        <f t="shared" si="39"/>
        <v>1061.7341772151899</v>
      </c>
      <c r="O2627" s="3">
        <v>2625</v>
      </c>
    </row>
    <row r="2628" spans="1:15" x14ac:dyDescent="0.25">
      <c r="A2628" s="3">
        <v>5</v>
      </c>
      <c r="B2628" s="3" t="s">
        <v>126</v>
      </c>
      <c r="C2628" s="3" t="s">
        <v>124</v>
      </c>
      <c r="D2628" s="3" t="s">
        <v>445</v>
      </c>
      <c r="E2628" s="11" t="s">
        <v>144</v>
      </c>
      <c r="F2628" s="3" t="s">
        <v>8</v>
      </c>
      <c r="G2628" s="48" t="s">
        <v>1109</v>
      </c>
      <c r="H2628" s="8"/>
      <c r="I2628" s="8"/>
      <c r="J2628" s="6" t="s">
        <v>110</v>
      </c>
      <c r="K2628" s="38">
        <v>1155</v>
      </c>
      <c r="L2628" s="4" t="s">
        <v>29</v>
      </c>
      <c r="M2628" s="11">
        <f>_xlfn.NUMBERVALUE(LEFT(Table613612[[#This Row],[Fiscal Year]], 4))</f>
        <v>2015</v>
      </c>
      <c r="N2628" s="42">
        <f t="shared" si="39"/>
        <v>1226.3029746835443</v>
      </c>
      <c r="O2628" s="3">
        <v>2626</v>
      </c>
    </row>
    <row r="2629" spans="1:15" x14ac:dyDescent="0.25">
      <c r="E2629" s="11"/>
      <c r="G2629" s="66"/>
      <c r="H2629" s="8"/>
      <c r="I2629" s="8"/>
      <c r="J2629" s="6"/>
      <c r="L2629" s="4"/>
      <c r="O2629" s="3">
        <v>2627</v>
      </c>
    </row>
    <row r="2630" spans="1:15" x14ac:dyDescent="0.25">
      <c r="A2630" s="3">
        <v>5</v>
      </c>
      <c r="B2630" s="3" t="s">
        <v>140</v>
      </c>
      <c r="C2630" s="3" t="s">
        <v>124</v>
      </c>
      <c r="D2630" s="3" t="s">
        <v>445</v>
      </c>
      <c r="E2630" s="11" t="s">
        <v>144</v>
      </c>
      <c r="F2630" s="3" t="s">
        <v>8</v>
      </c>
      <c r="G2630" s="48" t="s">
        <v>1072</v>
      </c>
      <c r="H2630" s="8"/>
      <c r="I2630" s="8"/>
      <c r="J2630" s="6" t="s">
        <v>110</v>
      </c>
      <c r="K2630" s="38">
        <v>513497</v>
      </c>
      <c r="L2630" s="4" t="s">
        <v>30</v>
      </c>
      <c r="M2630" s="11">
        <f>_xlfn.NUMBERVALUE(LEFT(Table613612[[#This Row],[Fiscal Year]], 4))</f>
        <v>2014</v>
      </c>
      <c r="N2630" s="42">
        <f t="shared" si="39"/>
        <v>545888.31266159704</v>
      </c>
      <c r="O2630" s="3">
        <v>2628</v>
      </c>
    </row>
    <row r="2631" spans="1:15" x14ac:dyDescent="0.25">
      <c r="A2631" s="3">
        <v>5</v>
      </c>
      <c r="B2631" s="3" t="s">
        <v>140</v>
      </c>
      <c r="C2631" s="3" t="s">
        <v>124</v>
      </c>
      <c r="D2631" s="3" t="s">
        <v>445</v>
      </c>
      <c r="E2631" s="11" t="s">
        <v>144</v>
      </c>
      <c r="F2631" s="3" t="s">
        <v>8</v>
      </c>
      <c r="G2631" s="48" t="s">
        <v>1073</v>
      </c>
      <c r="H2631" s="8" t="s">
        <v>550</v>
      </c>
      <c r="I2631" s="8" t="s">
        <v>536</v>
      </c>
      <c r="J2631" s="6" t="s">
        <v>107</v>
      </c>
      <c r="K2631" s="38">
        <v>4930</v>
      </c>
      <c r="L2631" s="4" t="s">
        <v>30</v>
      </c>
      <c r="M2631" s="11">
        <f>_xlfn.NUMBERVALUE(LEFT(Table613612[[#This Row],[Fiscal Year]], 4))</f>
        <v>2014</v>
      </c>
      <c r="N2631" s="42">
        <f t="shared" si="39"/>
        <v>5240.9836501901145</v>
      </c>
      <c r="O2631" s="3">
        <v>2629</v>
      </c>
    </row>
    <row r="2632" spans="1:15" x14ac:dyDescent="0.25">
      <c r="A2632" s="3">
        <v>5</v>
      </c>
      <c r="B2632" s="3" t="s">
        <v>140</v>
      </c>
      <c r="C2632" s="3" t="s">
        <v>124</v>
      </c>
      <c r="D2632" s="3" t="s">
        <v>445</v>
      </c>
      <c r="E2632" s="11" t="s">
        <v>144</v>
      </c>
      <c r="F2632" s="3" t="s">
        <v>8</v>
      </c>
      <c r="G2632" s="48" t="s">
        <v>1074</v>
      </c>
      <c r="H2632" s="8" t="s">
        <v>551</v>
      </c>
      <c r="I2632" s="8" t="s">
        <v>536</v>
      </c>
      <c r="J2632" s="6" t="s">
        <v>109</v>
      </c>
      <c r="K2632" s="38" t="s">
        <v>1117</v>
      </c>
      <c r="L2632" s="4" t="s">
        <v>30</v>
      </c>
      <c r="M2632" s="11">
        <f>_xlfn.NUMBERVALUE(LEFT(Table613612[[#This Row],[Fiscal Year]], 4))</f>
        <v>2014</v>
      </c>
      <c r="O2632" s="3">
        <v>2630</v>
      </c>
    </row>
    <row r="2633" spans="1:15" x14ac:dyDescent="0.25">
      <c r="A2633" s="3">
        <v>5</v>
      </c>
      <c r="B2633" s="3" t="s">
        <v>140</v>
      </c>
      <c r="C2633" s="3" t="s">
        <v>124</v>
      </c>
      <c r="D2633" s="3" t="s">
        <v>445</v>
      </c>
      <c r="E2633" s="11" t="s">
        <v>144</v>
      </c>
      <c r="F2633" s="3" t="s">
        <v>8</v>
      </c>
      <c r="G2633" s="48" t="s">
        <v>1075</v>
      </c>
      <c r="H2633" s="8" t="s">
        <v>539</v>
      </c>
      <c r="I2633" s="8" t="s">
        <v>536</v>
      </c>
      <c r="J2633" s="6" t="s">
        <v>108</v>
      </c>
      <c r="K2633" s="38">
        <v>1108167</v>
      </c>
      <c r="L2633" s="4" t="s">
        <v>30</v>
      </c>
      <c r="M2633" s="11">
        <f>_xlfn.NUMBERVALUE(LEFT(Table613612[[#This Row],[Fiscal Year]], 4))</f>
        <v>2014</v>
      </c>
      <c r="N2633" s="42">
        <f t="shared" si="39"/>
        <v>1178070.0058174906</v>
      </c>
      <c r="O2633" s="3">
        <v>2631</v>
      </c>
    </row>
    <row r="2634" spans="1:15" x14ac:dyDescent="0.25">
      <c r="A2634" s="3">
        <v>5</v>
      </c>
      <c r="B2634" s="3" t="s">
        <v>140</v>
      </c>
      <c r="C2634" s="3" t="s">
        <v>124</v>
      </c>
      <c r="D2634" s="3" t="s">
        <v>445</v>
      </c>
      <c r="E2634" s="11" t="s">
        <v>144</v>
      </c>
      <c r="F2634" s="3" t="s">
        <v>8</v>
      </c>
      <c r="G2634" s="48" t="s">
        <v>1076</v>
      </c>
      <c r="H2634" s="8" t="s">
        <v>541</v>
      </c>
      <c r="I2634" s="8" t="s">
        <v>536</v>
      </c>
      <c r="J2634" s="6" t="s">
        <v>106</v>
      </c>
      <c r="K2634" s="38" t="s">
        <v>1118</v>
      </c>
      <c r="L2634" s="4" t="s">
        <v>30</v>
      </c>
      <c r="M2634" s="11">
        <f>_xlfn.NUMBERVALUE(LEFT(Table613612[[#This Row],[Fiscal Year]], 4))</f>
        <v>2014</v>
      </c>
      <c r="O2634" s="3">
        <v>2632</v>
      </c>
    </row>
    <row r="2635" spans="1:15" x14ac:dyDescent="0.25">
      <c r="A2635" s="3">
        <v>5</v>
      </c>
      <c r="B2635" s="3" t="s">
        <v>140</v>
      </c>
      <c r="C2635" s="3" t="s">
        <v>124</v>
      </c>
      <c r="D2635" s="3" t="s">
        <v>445</v>
      </c>
      <c r="E2635" s="11" t="s">
        <v>144</v>
      </c>
      <c r="F2635" s="3" t="s">
        <v>8</v>
      </c>
      <c r="G2635" s="48" t="s">
        <v>1111</v>
      </c>
      <c r="H2635" s="8" t="s">
        <v>552</v>
      </c>
      <c r="I2635" s="8" t="s">
        <v>536</v>
      </c>
      <c r="J2635" s="6" t="s">
        <v>42</v>
      </c>
      <c r="K2635" s="38">
        <v>30742</v>
      </c>
      <c r="L2635" s="4" t="s">
        <v>30</v>
      </c>
      <c r="M2635" s="11">
        <f>_xlfn.NUMBERVALUE(LEFT(Table613612[[#This Row],[Fiscal Year]], 4))</f>
        <v>2014</v>
      </c>
      <c r="N2635" s="42">
        <f t="shared" si="39"/>
        <v>32681.200684410647</v>
      </c>
      <c r="O2635" s="3">
        <v>2633</v>
      </c>
    </row>
    <row r="2636" spans="1:15" x14ac:dyDescent="0.25">
      <c r="A2636" s="3">
        <v>5</v>
      </c>
      <c r="B2636" s="3" t="s">
        <v>140</v>
      </c>
      <c r="C2636" s="3" t="s">
        <v>124</v>
      </c>
      <c r="D2636" s="3" t="s">
        <v>445</v>
      </c>
      <c r="E2636" s="11" t="s">
        <v>144</v>
      </c>
      <c r="F2636" s="3" t="s">
        <v>8</v>
      </c>
      <c r="G2636" s="48" t="s">
        <v>1078</v>
      </c>
      <c r="H2636" s="8" t="s">
        <v>553</v>
      </c>
      <c r="I2636" s="8" t="s">
        <v>536</v>
      </c>
      <c r="J2636" s="6" t="s">
        <v>111</v>
      </c>
      <c r="K2636" s="38" t="s">
        <v>1119</v>
      </c>
      <c r="L2636" s="4" t="s">
        <v>30</v>
      </c>
      <c r="M2636" s="11">
        <f>_xlfn.NUMBERVALUE(LEFT(Table613612[[#This Row],[Fiscal Year]], 4))</f>
        <v>2014</v>
      </c>
      <c r="O2636" s="3">
        <v>2634</v>
      </c>
    </row>
    <row r="2637" spans="1:15" x14ac:dyDescent="0.25">
      <c r="A2637" s="3">
        <v>5</v>
      </c>
      <c r="B2637" s="3" t="s">
        <v>140</v>
      </c>
      <c r="C2637" s="3" t="s">
        <v>124</v>
      </c>
      <c r="D2637" s="3" t="s">
        <v>445</v>
      </c>
      <c r="E2637" s="11" t="s">
        <v>144</v>
      </c>
      <c r="F2637" s="3" t="s">
        <v>8</v>
      </c>
      <c r="G2637" s="48" t="s">
        <v>1112</v>
      </c>
      <c r="H2637" s="8"/>
      <c r="I2637" s="8"/>
      <c r="J2637" s="6" t="s">
        <v>455</v>
      </c>
      <c r="K2637" s="38" t="s">
        <v>28</v>
      </c>
      <c r="L2637" s="4" t="s">
        <v>30</v>
      </c>
      <c r="M2637" s="11">
        <f>_xlfn.NUMBERVALUE(LEFT(Table613612[[#This Row],[Fiscal Year]], 4))</f>
        <v>2014</v>
      </c>
      <c r="O2637" s="3">
        <v>2635</v>
      </c>
    </row>
    <row r="2638" spans="1:15" x14ac:dyDescent="0.25">
      <c r="A2638" s="3">
        <v>5</v>
      </c>
      <c r="B2638" s="3" t="s">
        <v>140</v>
      </c>
      <c r="C2638" s="3" t="s">
        <v>124</v>
      </c>
      <c r="D2638" s="3" t="s">
        <v>445</v>
      </c>
      <c r="E2638" s="11" t="s">
        <v>144</v>
      </c>
      <c r="F2638" s="3" t="s">
        <v>8</v>
      </c>
      <c r="G2638" s="48" t="s">
        <v>1113</v>
      </c>
      <c r="H2638" s="8"/>
      <c r="I2638" s="8"/>
      <c r="J2638" s="6" t="s">
        <v>455</v>
      </c>
      <c r="K2638" s="38">
        <v>0</v>
      </c>
      <c r="L2638" s="4" t="s">
        <v>30</v>
      </c>
      <c r="M2638" s="11">
        <f>_xlfn.NUMBERVALUE(LEFT(Table613612[[#This Row],[Fiscal Year]], 4))</f>
        <v>2014</v>
      </c>
      <c r="N2638" s="42">
        <f>K2638*(1+VLOOKUP(M2638,$AF$8:$AH$31,3,0))</f>
        <v>0</v>
      </c>
      <c r="O2638" s="3">
        <v>2636</v>
      </c>
    </row>
    <row r="2639" spans="1:15" x14ac:dyDescent="0.25">
      <c r="A2639" s="3">
        <v>5</v>
      </c>
      <c r="B2639" s="3" t="s">
        <v>140</v>
      </c>
      <c r="C2639" s="3" t="s">
        <v>124</v>
      </c>
      <c r="D2639" s="3" t="s">
        <v>445</v>
      </c>
      <c r="E2639" s="11" t="s">
        <v>144</v>
      </c>
      <c r="F2639" s="3" t="s">
        <v>8</v>
      </c>
      <c r="G2639" s="48" t="s">
        <v>1114</v>
      </c>
      <c r="H2639" s="6" t="s">
        <v>631</v>
      </c>
      <c r="I2639" s="47" t="s">
        <v>628</v>
      </c>
      <c r="J2639" s="6" t="s">
        <v>455</v>
      </c>
      <c r="K2639" s="38">
        <v>782</v>
      </c>
      <c r="L2639" s="4" t="s">
        <v>30</v>
      </c>
      <c r="M2639" s="11">
        <f>_xlfn.NUMBERVALUE(LEFT(Table613612[[#This Row],[Fiscal Year]], 4))</f>
        <v>2014</v>
      </c>
      <c r="N2639" s="42">
        <f t="shared" ref="N2639:N2694" si="40">K2639*(1+VLOOKUP(M2639,$AF$8:$AH$31,3,0))</f>
        <v>831.32844106463881</v>
      </c>
      <c r="O2639" s="3">
        <v>2637</v>
      </c>
    </row>
    <row r="2640" spans="1:15" x14ac:dyDescent="0.25">
      <c r="A2640" s="3">
        <v>5</v>
      </c>
      <c r="B2640" s="3" t="s">
        <v>140</v>
      </c>
      <c r="C2640" s="3" t="s">
        <v>124</v>
      </c>
      <c r="D2640" s="3" t="s">
        <v>445</v>
      </c>
      <c r="E2640" s="11" t="s">
        <v>144</v>
      </c>
      <c r="F2640" s="3" t="s">
        <v>8</v>
      </c>
      <c r="G2640" s="48" t="s">
        <v>1115</v>
      </c>
      <c r="H2640" s="8"/>
      <c r="I2640" s="8"/>
      <c r="J2640" s="6" t="s">
        <v>47</v>
      </c>
      <c r="K2640" s="38">
        <v>6507</v>
      </c>
      <c r="L2640" s="4" t="s">
        <v>30</v>
      </c>
      <c r="M2640" s="11">
        <f>_xlfn.NUMBERVALUE(LEFT(Table613612[[#This Row],[Fiscal Year]], 4))</f>
        <v>2014</v>
      </c>
      <c r="N2640" s="42">
        <f t="shared" si="40"/>
        <v>6917.4605703422058</v>
      </c>
      <c r="O2640" s="3">
        <v>2638</v>
      </c>
    </row>
    <row r="2641" spans="1:15" x14ac:dyDescent="0.25">
      <c r="A2641" s="3">
        <v>5</v>
      </c>
      <c r="B2641" s="3" t="s">
        <v>140</v>
      </c>
      <c r="C2641" s="3" t="s">
        <v>124</v>
      </c>
      <c r="D2641" s="3" t="s">
        <v>445</v>
      </c>
      <c r="E2641" s="11" t="s">
        <v>144</v>
      </c>
      <c r="F2641" s="3" t="s">
        <v>8</v>
      </c>
      <c r="G2641" s="48" t="s">
        <v>1116</v>
      </c>
      <c r="H2641" s="8" t="s">
        <v>1110</v>
      </c>
      <c r="I2641" s="8" t="s">
        <v>502</v>
      </c>
      <c r="J2641" s="6" t="s">
        <v>42</v>
      </c>
      <c r="K2641" s="38">
        <v>4251</v>
      </c>
      <c r="L2641" s="4" t="s">
        <v>30</v>
      </c>
      <c r="M2641" s="11">
        <f>_xlfn.NUMBERVALUE(LEFT(Table613612[[#This Row],[Fiscal Year]], 4))</f>
        <v>2014</v>
      </c>
      <c r="N2641" s="42">
        <f t="shared" si="40"/>
        <v>4519.1524334600763</v>
      </c>
      <c r="O2641" s="3">
        <v>2639</v>
      </c>
    </row>
    <row r="2642" spans="1:15" x14ac:dyDescent="0.25">
      <c r="E2642" s="11"/>
      <c r="G2642" s="66"/>
      <c r="H2642" s="8"/>
      <c r="I2642" s="8"/>
      <c r="J2642" s="6"/>
      <c r="L2642" s="4"/>
      <c r="O2642" s="3">
        <v>2640</v>
      </c>
    </row>
    <row r="2643" spans="1:15" x14ac:dyDescent="0.25">
      <c r="A2643" s="3">
        <v>5</v>
      </c>
      <c r="B2643" s="3" t="s">
        <v>416</v>
      </c>
      <c r="C2643" s="3" t="s">
        <v>417</v>
      </c>
      <c r="D2643" s="3" t="s">
        <v>445</v>
      </c>
      <c r="E2643" s="11" t="s">
        <v>144</v>
      </c>
      <c r="F2643" s="3" t="s">
        <v>8</v>
      </c>
      <c r="G2643" s="61" t="s">
        <v>32</v>
      </c>
      <c r="H2643" s="8" t="s">
        <v>1120</v>
      </c>
      <c r="I2643" s="8" t="s">
        <v>429</v>
      </c>
      <c r="J2643" s="6" t="s">
        <v>110</v>
      </c>
      <c r="K2643" s="38">
        <v>1478952</v>
      </c>
      <c r="L2643" s="4" t="s">
        <v>25</v>
      </c>
      <c r="M2643" s="11">
        <f>_xlfn.NUMBERVALUE(LEFT(Table613612[[#This Row],[Fiscal Year]], 4))</f>
        <v>2017</v>
      </c>
      <c r="N2643" s="42">
        <f t="shared" si="40"/>
        <v>1518360.5496205632</v>
      </c>
      <c r="O2643" s="3">
        <v>2641</v>
      </c>
    </row>
    <row r="2644" spans="1:15" x14ac:dyDescent="0.25">
      <c r="A2644" s="3">
        <v>5</v>
      </c>
      <c r="B2644" s="3" t="s">
        <v>416</v>
      </c>
      <c r="C2644" s="3" t="s">
        <v>417</v>
      </c>
      <c r="D2644" s="3" t="s">
        <v>445</v>
      </c>
      <c r="E2644" s="11" t="s">
        <v>144</v>
      </c>
      <c r="F2644" s="3" t="s">
        <v>8</v>
      </c>
      <c r="G2644" s="61" t="s">
        <v>68</v>
      </c>
      <c r="H2644" s="8" t="s">
        <v>554</v>
      </c>
      <c r="I2644" s="8" t="s">
        <v>536</v>
      </c>
      <c r="J2644" s="6" t="s">
        <v>42</v>
      </c>
      <c r="K2644" s="38">
        <v>4008</v>
      </c>
      <c r="L2644" s="4" t="s">
        <v>25</v>
      </c>
      <c r="M2644" s="11">
        <f>_xlfn.NUMBERVALUE(LEFT(Table613612[[#This Row],[Fiscal Year]], 4))</f>
        <v>2017</v>
      </c>
      <c r="N2644" s="42">
        <f t="shared" si="40"/>
        <v>4114.7982374541007</v>
      </c>
      <c r="O2644" s="3">
        <v>2642</v>
      </c>
    </row>
    <row r="2645" spans="1:15" x14ac:dyDescent="0.25">
      <c r="A2645" s="3">
        <v>5</v>
      </c>
      <c r="B2645" s="3" t="s">
        <v>416</v>
      </c>
      <c r="C2645" s="3" t="s">
        <v>417</v>
      </c>
      <c r="D2645" s="3" t="s">
        <v>445</v>
      </c>
      <c r="E2645" s="11" t="s">
        <v>144</v>
      </c>
      <c r="F2645" s="3" t="s">
        <v>8</v>
      </c>
      <c r="G2645" s="61" t="s">
        <v>127</v>
      </c>
      <c r="H2645" s="8" t="s">
        <v>555</v>
      </c>
      <c r="I2645" s="47" t="s">
        <v>556</v>
      </c>
      <c r="J2645" s="6" t="s">
        <v>108</v>
      </c>
      <c r="K2645" s="38">
        <v>2948593</v>
      </c>
      <c r="L2645" s="4" t="s">
        <v>25</v>
      </c>
      <c r="M2645" s="11">
        <f>_xlfn.NUMBERVALUE(LEFT(Table613612[[#This Row],[Fiscal Year]], 4))</f>
        <v>2017</v>
      </c>
      <c r="N2645" s="42">
        <f t="shared" si="40"/>
        <v>3027161.9958506734</v>
      </c>
      <c r="O2645" s="3">
        <v>2643</v>
      </c>
    </row>
    <row r="2646" spans="1:15" x14ac:dyDescent="0.25">
      <c r="A2646" s="3">
        <v>5</v>
      </c>
      <c r="B2646" s="3" t="s">
        <v>416</v>
      </c>
      <c r="C2646" s="3" t="s">
        <v>417</v>
      </c>
      <c r="D2646" s="3" t="s">
        <v>445</v>
      </c>
      <c r="E2646" s="11" t="s">
        <v>144</v>
      </c>
      <c r="F2646" s="3" t="s">
        <v>8</v>
      </c>
      <c r="G2646" s="61" t="s">
        <v>334</v>
      </c>
      <c r="H2646" s="8" t="s">
        <v>559</v>
      </c>
      <c r="I2646" s="8" t="s">
        <v>557</v>
      </c>
      <c r="J2646" s="6" t="s">
        <v>109</v>
      </c>
      <c r="K2646" s="38">
        <v>3281</v>
      </c>
      <c r="L2646" s="4" t="s">
        <v>25</v>
      </c>
      <c r="M2646" s="11">
        <f>_xlfn.NUMBERVALUE(LEFT(Table613612[[#This Row],[Fiscal Year]], 4))</f>
        <v>2017</v>
      </c>
      <c r="N2646" s="42">
        <f t="shared" si="40"/>
        <v>3368.4264014687888</v>
      </c>
      <c r="O2646" s="3">
        <v>2644</v>
      </c>
    </row>
    <row r="2647" spans="1:15" x14ac:dyDescent="0.25">
      <c r="A2647" s="3">
        <v>5</v>
      </c>
      <c r="B2647" s="3" t="s">
        <v>416</v>
      </c>
      <c r="C2647" s="3" t="s">
        <v>417</v>
      </c>
      <c r="D2647" s="3" t="s">
        <v>445</v>
      </c>
      <c r="E2647" s="11" t="s">
        <v>144</v>
      </c>
      <c r="F2647" s="3" t="s">
        <v>8</v>
      </c>
      <c r="G2647" s="61" t="s">
        <v>70</v>
      </c>
      <c r="H2647" s="8" t="s">
        <v>558</v>
      </c>
      <c r="I2647" s="8" t="s">
        <v>458</v>
      </c>
      <c r="J2647" s="6" t="s">
        <v>107</v>
      </c>
      <c r="K2647" s="38">
        <v>3281</v>
      </c>
      <c r="L2647" s="4" t="s">
        <v>25</v>
      </c>
      <c r="M2647" s="11">
        <f>_xlfn.NUMBERVALUE(LEFT(Table613612[[#This Row],[Fiscal Year]], 4))</f>
        <v>2017</v>
      </c>
      <c r="N2647" s="42">
        <f t="shared" si="40"/>
        <v>3368.4264014687888</v>
      </c>
      <c r="O2647" s="3">
        <v>2645</v>
      </c>
    </row>
    <row r="2648" spans="1:15" x14ac:dyDescent="0.25">
      <c r="A2648" s="3">
        <v>5</v>
      </c>
      <c r="B2648" s="3" t="s">
        <v>416</v>
      </c>
      <c r="C2648" s="3" t="s">
        <v>417</v>
      </c>
      <c r="D2648" s="3" t="s">
        <v>445</v>
      </c>
      <c r="E2648" s="11" t="s">
        <v>144</v>
      </c>
      <c r="F2648" s="3" t="s">
        <v>8</v>
      </c>
      <c r="G2648" s="61" t="s">
        <v>418</v>
      </c>
      <c r="H2648" s="8"/>
      <c r="I2648" s="8"/>
      <c r="J2648" s="6" t="s">
        <v>111</v>
      </c>
      <c r="K2648" s="38">
        <v>73639</v>
      </c>
      <c r="L2648" s="4" t="s">
        <v>25</v>
      </c>
      <c r="M2648" s="11">
        <f>_xlfn.NUMBERVALUE(LEFT(Table613612[[#This Row],[Fiscal Year]], 4))</f>
        <v>2017</v>
      </c>
      <c r="N2648" s="42">
        <f t="shared" si="40"/>
        <v>75601.204443084469</v>
      </c>
      <c r="O2648" s="3">
        <v>2646</v>
      </c>
    </row>
    <row r="2649" spans="1:15" x14ac:dyDescent="0.25">
      <c r="A2649" s="3">
        <v>5</v>
      </c>
      <c r="B2649" s="3" t="s">
        <v>416</v>
      </c>
      <c r="C2649" s="3" t="s">
        <v>417</v>
      </c>
      <c r="D2649" s="3" t="s">
        <v>445</v>
      </c>
      <c r="E2649" s="11" t="s">
        <v>144</v>
      </c>
      <c r="F2649" s="3" t="s">
        <v>8</v>
      </c>
      <c r="G2649" s="61" t="s">
        <v>419</v>
      </c>
      <c r="H2649" s="8"/>
      <c r="I2649" s="8"/>
      <c r="J2649" s="6" t="s">
        <v>47</v>
      </c>
      <c r="K2649" s="38">
        <v>257441</v>
      </c>
      <c r="L2649" s="4" t="s">
        <v>25</v>
      </c>
      <c r="M2649" s="11">
        <f>_xlfn.NUMBERVALUE(LEFT(Table613612[[#This Row],[Fiscal Year]], 4))</f>
        <v>2017</v>
      </c>
      <c r="N2649" s="42">
        <f t="shared" si="40"/>
        <v>264300.84157894738</v>
      </c>
      <c r="O2649" s="3">
        <v>2647</v>
      </c>
    </row>
    <row r="2650" spans="1:15" x14ac:dyDescent="0.25">
      <c r="A2650" s="3">
        <v>5</v>
      </c>
      <c r="B2650" s="3" t="s">
        <v>416</v>
      </c>
      <c r="C2650" s="3" t="s">
        <v>417</v>
      </c>
      <c r="D2650" s="3" t="s">
        <v>445</v>
      </c>
      <c r="E2650" s="11" t="s">
        <v>144</v>
      </c>
      <c r="F2650" s="3" t="s">
        <v>8</v>
      </c>
      <c r="G2650" s="61" t="s">
        <v>420</v>
      </c>
      <c r="H2650" s="8" t="s">
        <v>604</v>
      </c>
      <c r="I2650" s="8"/>
      <c r="J2650" s="6" t="s">
        <v>455</v>
      </c>
      <c r="K2650" s="38">
        <v>54998</v>
      </c>
      <c r="L2650" s="4" t="s">
        <v>25</v>
      </c>
      <c r="M2650" s="11">
        <f>_xlfn.NUMBERVALUE(LEFT(Table613612[[#This Row],[Fiscal Year]], 4))</f>
        <v>2017</v>
      </c>
      <c r="N2650" s="42">
        <f t="shared" si="40"/>
        <v>56463.491383108943</v>
      </c>
      <c r="O2650" s="3">
        <v>2648</v>
      </c>
    </row>
    <row r="2651" spans="1:15" x14ac:dyDescent="0.25">
      <c r="E2651" s="11"/>
      <c r="G2651" s="66"/>
      <c r="H2651" s="8"/>
      <c r="I2651" s="8"/>
      <c r="J2651" s="6"/>
      <c r="L2651" s="4"/>
      <c r="O2651" s="3">
        <v>2649</v>
      </c>
    </row>
    <row r="2652" spans="1:15" x14ac:dyDescent="0.25">
      <c r="A2652" s="3">
        <v>5</v>
      </c>
      <c r="B2652" s="3" t="s">
        <v>417</v>
      </c>
      <c r="C2652" s="3" t="s">
        <v>121</v>
      </c>
      <c r="D2652" s="3" t="s">
        <v>445</v>
      </c>
      <c r="E2652" s="11" t="s">
        <v>144</v>
      </c>
      <c r="F2652" s="3" t="s">
        <v>5</v>
      </c>
      <c r="G2652" s="48" t="s">
        <v>32</v>
      </c>
      <c r="H2652" s="8" t="s">
        <v>1121</v>
      </c>
      <c r="I2652" s="8" t="s">
        <v>429</v>
      </c>
      <c r="J2652" s="6" t="s">
        <v>110</v>
      </c>
      <c r="K2652" s="38">
        <v>87437</v>
      </c>
      <c r="L2652" s="4" t="s">
        <v>25</v>
      </c>
      <c r="M2652" s="11">
        <f>_xlfn.NUMBERVALUE(LEFT(Table613612[[#This Row],[Fiscal Year]], 4))</f>
        <v>2017</v>
      </c>
      <c r="N2652" s="42">
        <f t="shared" si="40"/>
        <v>89766.869632802947</v>
      </c>
      <c r="O2652" s="3">
        <v>2650</v>
      </c>
    </row>
    <row r="2653" spans="1:15" x14ac:dyDescent="0.25">
      <c r="A2653" s="3">
        <v>5</v>
      </c>
      <c r="B2653" s="3" t="s">
        <v>417</v>
      </c>
      <c r="C2653" s="3" t="s">
        <v>121</v>
      </c>
      <c r="D2653" s="3" t="s">
        <v>445</v>
      </c>
      <c r="E2653" s="11" t="s">
        <v>144</v>
      </c>
      <c r="F2653" s="3" t="s">
        <v>5</v>
      </c>
      <c r="G2653" s="66" t="s">
        <v>421</v>
      </c>
      <c r="H2653" s="8"/>
      <c r="I2653" s="8" t="s">
        <v>458</v>
      </c>
      <c r="J2653" s="6" t="s">
        <v>106</v>
      </c>
      <c r="K2653" s="38">
        <v>10670</v>
      </c>
      <c r="L2653" s="4" t="s">
        <v>25</v>
      </c>
      <c r="M2653" s="11">
        <f>_xlfn.NUMBERVALUE(LEFT(Table613612[[#This Row],[Fiscal Year]], 4))</f>
        <v>2017</v>
      </c>
      <c r="N2653" s="42">
        <f t="shared" si="40"/>
        <v>10954.315667074665</v>
      </c>
      <c r="O2653" s="3">
        <v>2651</v>
      </c>
    </row>
    <row r="2654" spans="1:15" x14ac:dyDescent="0.25">
      <c r="A2654" s="3">
        <v>5</v>
      </c>
      <c r="B2654" s="3" t="s">
        <v>417</v>
      </c>
      <c r="C2654" s="3" t="s">
        <v>121</v>
      </c>
      <c r="D2654" s="3" t="s">
        <v>445</v>
      </c>
      <c r="E2654" s="11" t="s">
        <v>144</v>
      </c>
      <c r="F2654" s="3" t="s">
        <v>5</v>
      </c>
      <c r="G2654" s="48" t="s">
        <v>68</v>
      </c>
      <c r="H2654" s="8" t="s">
        <v>560</v>
      </c>
      <c r="I2654" s="47" t="s">
        <v>561</v>
      </c>
      <c r="J2654" s="6" t="s">
        <v>42</v>
      </c>
      <c r="K2654" s="38">
        <v>11076</v>
      </c>
      <c r="L2654" s="4" t="s">
        <v>25</v>
      </c>
      <c r="M2654" s="11">
        <f>_xlfn.NUMBERVALUE(LEFT(Table613612[[#This Row],[Fiscal Year]], 4))</f>
        <v>2017</v>
      </c>
      <c r="N2654" s="42">
        <f t="shared" si="40"/>
        <v>11371.134051407591</v>
      </c>
      <c r="O2654" s="3">
        <v>2652</v>
      </c>
    </row>
    <row r="2655" spans="1:15" x14ac:dyDescent="0.25">
      <c r="A2655" s="3">
        <v>5</v>
      </c>
      <c r="B2655" s="3" t="s">
        <v>417</v>
      </c>
      <c r="C2655" s="3" t="s">
        <v>121</v>
      </c>
      <c r="D2655" s="3" t="s">
        <v>445</v>
      </c>
      <c r="E2655" s="11" t="s">
        <v>144</v>
      </c>
      <c r="F2655" s="3" t="s">
        <v>5</v>
      </c>
      <c r="G2655" s="48" t="s">
        <v>127</v>
      </c>
      <c r="H2655" s="8" t="s">
        <v>562</v>
      </c>
      <c r="I2655" s="8" t="s">
        <v>458</v>
      </c>
      <c r="J2655" s="6" t="s">
        <v>108</v>
      </c>
      <c r="K2655" s="38">
        <v>53184</v>
      </c>
      <c r="L2655" s="4" t="s">
        <v>25</v>
      </c>
      <c r="M2655" s="11">
        <f>_xlfn.NUMBERVALUE(LEFT(Table613612[[#This Row],[Fiscal Year]], 4))</f>
        <v>2017</v>
      </c>
      <c r="N2655" s="42">
        <f t="shared" si="40"/>
        <v>54601.155055079565</v>
      </c>
      <c r="O2655" s="3">
        <v>2653</v>
      </c>
    </row>
    <row r="2656" spans="1:15" x14ac:dyDescent="0.25">
      <c r="A2656" s="3">
        <v>5</v>
      </c>
      <c r="B2656" s="3" t="s">
        <v>417</v>
      </c>
      <c r="C2656" s="3" t="s">
        <v>121</v>
      </c>
      <c r="D2656" s="3" t="s">
        <v>445</v>
      </c>
      <c r="E2656" s="11" t="s">
        <v>144</v>
      </c>
      <c r="F2656" s="3" t="s">
        <v>5</v>
      </c>
      <c r="G2656" s="66" t="s">
        <v>334</v>
      </c>
      <c r="H2656" s="8" t="s">
        <v>563</v>
      </c>
      <c r="I2656" s="8" t="s">
        <v>458</v>
      </c>
      <c r="J2656" s="6" t="s">
        <v>109</v>
      </c>
      <c r="K2656" s="38">
        <v>34213</v>
      </c>
      <c r="L2656" s="4" t="s">
        <v>25</v>
      </c>
      <c r="M2656" s="11">
        <f>_xlfn.NUMBERVALUE(LEFT(Table613612[[#This Row],[Fiscal Year]], 4))</f>
        <v>2017</v>
      </c>
      <c r="N2656" s="42">
        <f t="shared" si="40"/>
        <v>35124.648727050189</v>
      </c>
      <c r="O2656" s="3">
        <v>2654</v>
      </c>
    </row>
    <row r="2657" spans="1:15" x14ac:dyDescent="0.25">
      <c r="A2657" s="3">
        <v>5</v>
      </c>
      <c r="B2657" s="3" t="s">
        <v>417</v>
      </c>
      <c r="C2657" s="3" t="s">
        <v>121</v>
      </c>
      <c r="D2657" s="3" t="s">
        <v>445</v>
      </c>
      <c r="E2657" s="11" t="s">
        <v>144</v>
      </c>
      <c r="F2657" s="3" t="s">
        <v>5</v>
      </c>
      <c r="G2657" s="48" t="s">
        <v>70</v>
      </c>
      <c r="H2657" s="8" t="s">
        <v>564</v>
      </c>
      <c r="I2657" s="8" t="s">
        <v>458</v>
      </c>
      <c r="J2657" s="6" t="s">
        <v>107</v>
      </c>
      <c r="K2657" s="38">
        <v>7676</v>
      </c>
      <c r="L2657" s="4" t="s">
        <v>25</v>
      </c>
      <c r="M2657" s="11">
        <f>_xlfn.NUMBERVALUE(LEFT(Table613612[[#This Row],[Fiscal Year]], 4))</f>
        <v>2017</v>
      </c>
      <c r="N2657" s="42">
        <f t="shared" si="40"/>
        <v>7880.5367441860471</v>
      </c>
      <c r="O2657" s="3">
        <v>2655</v>
      </c>
    </row>
    <row r="2658" spans="1:15" x14ac:dyDescent="0.25">
      <c r="A2658" s="3">
        <v>5</v>
      </c>
      <c r="B2658" s="3" t="s">
        <v>417</v>
      </c>
      <c r="C2658" s="3" t="s">
        <v>121</v>
      </c>
      <c r="D2658" s="3" t="s">
        <v>445</v>
      </c>
      <c r="E2658" s="11" t="s">
        <v>144</v>
      </c>
      <c r="F2658" s="3" t="s">
        <v>5</v>
      </c>
      <c r="G2658" s="66" t="s">
        <v>418</v>
      </c>
      <c r="H2658" s="8" t="s">
        <v>565</v>
      </c>
      <c r="I2658" s="8" t="s">
        <v>458</v>
      </c>
      <c r="J2658" s="6" t="s">
        <v>111</v>
      </c>
      <c r="K2658" s="38">
        <v>12344</v>
      </c>
      <c r="L2658" s="4" t="s">
        <v>25</v>
      </c>
      <c r="M2658" s="11">
        <f>_xlfn.NUMBERVALUE(LEFT(Table613612[[#This Row],[Fiscal Year]], 4))</f>
        <v>2017</v>
      </c>
      <c r="N2658" s="42">
        <f t="shared" si="40"/>
        <v>12672.92151774786</v>
      </c>
      <c r="O2658" s="3">
        <v>2656</v>
      </c>
    </row>
    <row r="2659" spans="1:15" x14ac:dyDescent="0.25">
      <c r="A2659" s="3">
        <v>5</v>
      </c>
      <c r="B2659" s="3" t="s">
        <v>417</v>
      </c>
      <c r="C2659" s="3" t="s">
        <v>121</v>
      </c>
      <c r="D2659" s="3" t="s">
        <v>445</v>
      </c>
      <c r="E2659" s="11" t="s">
        <v>144</v>
      </c>
      <c r="F2659" s="3" t="s">
        <v>5</v>
      </c>
      <c r="G2659" s="66" t="s">
        <v>419</v>
      </c>
      <c r="H2659" s="8"/>
      <c r="I2659" s="8"/>
      <c r="J2659" s="6" t="s">
        <v>47</v>
      </c>
      <c r="K2659" s="38">
        <v>22847</v>
      </c>
      <c r="L2659" s="4" t="s">
        <v>25</v>
      </c>
      <c r="M2659" s="11">
        <f>_xlfn.NUMBERVALUE(LEFT(Table613612[[#This Row],[Fiscal Year]], 4))</f>
        <v>2017</v>
      </c>
      <c r="N2659" s="42">
        <f t="shared" si="40"/>
        <v>23455.787258261938</v>
      </c>
      <c r="O2659" s="3">
        <v>2657</v>
      </c>
    </row>
    <row r="2660" spans="1:15" x14ac:dyDescent="0.25">
      <c r="A2660" s="3">
        <v>5</v>
      </c>
      <c r="B2660" s="3" t="s">
        <v>417</v>
      </c>
      <c r="C2660" s="3" t="s">
        <v>121</v>
      </c>
      <c r="D2660" s="3" t="s">
        <v>445</v>
      </c>
      <c r="E2660" s="11" t="s">
        <v>144</v>
      </c>
      <c r="F2660" s="3" t="s">
        <v>5</v>
      </c>
      <c r="G2660" s="66" t="s">
        <v>420</v>
      </c>
      <c r="H2660" s="8" t="s">
        <v>566</v>
      </c>
      <c r="I2660" s="47" t="s">
        <v>567</v>
      </c>
      <c r="J2660" s="6" t="s">
        <v>455</v>
      </c>
      <c r="K2660" s="38">
        <v>1987</v>
      </c>
      <c r="L2660" s="4" t="s">
        <v>25</v>
      </c>
      <c r="M2660" s="11">
        <f>_xlfn.NUMBERVALUE(LEFT(Table613612[[#This Row],[Fiscal Year]], 4))</f>
        <v>2017</v>
      </c>
      <c r="N2660" s="42">
        <f t="shared" si="40"/>
        <v>2039.9461321909428</v>
      </c>
      <c r="O2660" s="3">
        <v>2658</v>
      </c>
    </row>
    <row r="2661" spans="1:15" x14ac:dyDescent="0.25">
      <c r="A2661" s="3">
        <v>5</v>
      </c>
      <c r="B2661" s="3" t="s">
        <v>417</v>
      </c>
      <c r="C2661" s="3" t="s">
        <v>121</v>
      </c>
      <c r="D2661" s="3" t="s">
        <v>445</v>
      </c>
      <c r="E2661" s="11" t="s">
        <v>144</v>
      </c>
      <c r="F2661" s="3" t="s">
        <v>5</v>
      </c>
      <c r="G2661" s="48" t="s">
        <v>422</v>
      </c>
      <c r="H2661" s="8"/>
      <c r="I2661" s="8"/>
      <c r="J2661" s="6" t="s">
        <v>110</v>
      </c>
      <c r="K2661" s="38">
        <v>149549</v>
      </c>
      <c r="L2661" s="4" t="s">
        <v>25</v>
      </c>
      <c r="M2661" s="11">
        <f>_xlfn.NUMBERVALUE(LEFT(Table613612[[#This Row],[Fiscal Year]], 4))</f>
        <v>2017</v>
      </c>
      <c r="N2661" s="42">
        <f t="shared" si="40"/>
        <v>153533.92255813954</v>
      </c>
      <c r="O2661" s="3">
        <v>2659</v>
      </c>
    </row>
    <row r="2662" spans="1:15" x14ac:dyDescent="0.25">
      <c r="E2662" s="11"/>
      <c r="G2662" s="66"/>
      <c r="H2662" s="8"/>
      <c r="I2662" s="8"/>
      <c r="J2662" s="6"/>
      <c r="L2662" s="4"/>
      <c r="O2662" s="3">
        <v>2660</v>
      </c>
    </row>
    <row r="2663" spans="1:15" x14ac:dyDescent="0.25">
      <c r="A2663" s="18">
        <v>7</v>
      </c>
      <c r="B2663" s="5" t="s">
        <v>16</v>
      </c>
      <c r="C2663" s="3" t="s">
        <v>1455</v>
      </c>
      <c r="E2663" s="24" t="s">
        <v>143</v>
      </c>
      <c r="F2663" s="5" t="s">
        <v>8</v>
      </c>
      <c r="G2663" s="48" t="s">
        <v>96</v>
      </c>
      <c r="H2663" s="8"/>
      <c r="I2663" s="8"/>
      <c r="J2663" s="6" t="s">
        <v>455</v>
      </c>
      <c r="K2663" s="38">
        <v>149049</v>
      </c>
      <c r="L2663" s="4" t="s">
        <v>24</v>
      </c>
      <c r="M2663" s="11">
        <f>_xlfn.NUMBERVALUE(LEFT(Table613612[[#This Row],[Fiscal Year]], 4))</f>
        <v>2016</v>
      </c>
      <c r="N2663" s="42">
        <f t="shared" si="40"/>
        <v>156272.2871625</v>
      </c>
      <c r="O2663" s="3">
        <v>2661</v>
      </c>
    </row>
    <row r="2664" spans="1:15" x14ac:dyDescent="0.25">
      <c r="E2664" s="11"/>
      <c r="G2664" s="66"/>
      <c r="H2664" s="8"/>
      <c r="I2664" s="8"/>
      <c r="J2664" s="6"/>
      <c r="L2664" s="4"/>
      <c r="O2664" s="3">
        <v>2662</v>
      </c>
    </row>
    <row r="2665" spans="1:15" x14ac:dyDescent="0.25">
      <c r="A2665" s="3">
        <v>8</v>
      </c>
      <c r="B2665" s="3" t="s">
        <v>17</v>
      </c>
      <c r="C2665" s="3" t="s">
        <v>20</v>
      </c>
      <c r="D2665" s="3" t="s">
        <v>446</v>
      </c>
      <c r="E2665" s="11" t="s">
        <v>144</v>
      </c>
      <c r="F2665" s="3" t="s">
        <v>8</v>
      </c>
      <c r="G2665" s="48" t="s">
        <v>28</v>
      </c>
      <c r="H2665" s="8"/>
      <c r="I2665" s="8"/>
      <c r="J2665" s="6"/>
      <c r="L2665" s="4" t="s">
        <v>30</v>
      </c>
      <c r="M2665" s="11">
        <f>_xlfn.NUMBERVALUE(LEFT(Table613612[[#This Row],[Fiscal Year]], 4))</f>
        <v>2014</v>
      </c>
      <c r="N2665" s="42">
        <f t="shared" si="40"/>
        <v>0</v>
      </c>
      <c r="O2665" s="3">
        <v>2663</v>
      </c>
    </row>
    <row r="2666" spans="1:15" x14ac:dyDescent="0.25">
      <c r="E2666" s="11"/>
      <c r="G2666" s="66"/>
      <c r="H2666" s="8"/>
      <c r="I2666" s="8"/>
      <c r="J2666" s="6"/>
      <c r="L2666" s="4"/>
      <c r="O2666" s="3">
        <v>2664</v>
      </c>
    </row>
    <row r="2667" spans="1:15" x14ac:dyDescent="0.25">
      <c r="A2667" s="3">
        <v>8</v>
      </c>
      <c r="B2667" s="3" t="s">
        <v>18</v>
      </c>
      <c r="C2667" s="3" t="s">
        <v>20</v>
      </c>
      <c r="D2667" s="3" t="s">
        <v>446</v>
      </c>
      <c r="E2667" s="11" t="s">
        <v>144</v>
      </c>
      <c r="F2667" s="3" t="s">
        <v>8</v>
      </c>
      <c r="G2667" s="48" t="s">
        <v>28</v>
      </c>
      <c r="H2667" s="8"/>
      <c r="I2667" s="8"/>
      <c r="J2667" s="6"/>
      <c r="L2667" s="4" t="s">
        <v>30</v>
      </c>
      <c r="M2667" s="11">
        <f>_xlfn.NUMBERVALUE(LEFT(Table613612[[#This Row],[Fiscal Year]], 4))</f>
        <v>2014</v>
      </c>
      <c r="N2667" s="42">
        <f t="shared" si="40"/>
        <v>0</v>
      </c>
      <c r="O2667" s="3">
        <v>2665</v>
      </c>
    </row>
    <row r="2668" spans="1:15" x14ac:dyDescent="0.25">
      <c r="E2668" s="11"/>
      <c r="G2668" s="66"/>
      <c r="H2668" s="8"/>
      <c r="I2668" s="8"/>
      <c r="J2668" s="6"/>
      <c r="L2668" s="4"/>
      <c r="O2668" s="3">
        <v>2666</v>
      </c>
    </row>
    <row r="2669" spans="1:15" x14ac:dyDescent="0.25">
      <c r="A2669" s="9">
        <v>8</v>
      </c>
      <c r="B2669" s="9" t="s">
        <v>19</v>
      </c>
      <c r="C2669" s="3" t="s">
        <v>19</v>
      </c>
      <c r="D2669" s="3" t="s">
        <v>446</v>
      </c>
      <c r="E2669" s="28" t="s">
        <v>144</v>
      </c>
      <c r="F2669" s="9" t="s">
        <v>5</v>
      </c>
      <c r="G2669" s="61" t="s">
        <v>323</v>
      </c>
      <c r="H2669" s="8"/>
      <c r="I2669" s="8"/>
      <c r="J2669" s="6" t="s">
        <v>110</v>
      </c>
      <c r="K2669" s="38">
        <v>398357</v>
      </c>
      <c r="L2669" s="4" t="s">
        <v>25</v>
      </c>
      <c r="M2669" s="11">
        <f>_xlfn.NUMBERVALUE(LEFT(Table613612[[#This Row],[Fiscal Year]], 4))</f>
        <v>2017</v>
      </c>
      <c r="N2669" s="42">
        <f t="shared" si="40"/>
        <v>408971.72691554471</v>
      </c>
      <c r="O2669" s="3">
        <v>2667</v>
      </c>
    </row>
    <row r="2670" spans="1:15" x14ac:dyDescent="0.25">
      <c r="A2670" s="9">
        <v>8</v>
      </c>
      <c r="B2670" s="9" t="s">
        <v>19</v>
      </c>
      <c r="C2670" s="3" t="s">
        <v>19</v>
      </c>
      <c r="D2670" s="3" t="s">
        <v>446</v>
      </c>
      <c r="E2670" s="28" t="s">
        <v>144</v>
      </c>
      <c r="F2670" s="9" t="s">
        <v>5</v>
      </c>
      <c r="G2670" s="61" t="s">
        <v>320</v>
      </c>
      <c r="H2670" s="6"/>
      <c r="I2670" s="47" t="s">
        <v>569</v>
      </c>
      <c r="J2670" s="6" t="s">
        <v>110</v>
      </c>
      <c r="K2670" s="38">
        <v>56921</v>
      </c>
      <c r="L2670" s="4" t="s">
        <v>25</v>
      </c>
      <c r="M2670" s="11">
        <f>_xlfn.NUMBERVALUE(LEFT(Table613612[[#This Row],[Fiscal Year]], 4))</f>
        <v>2017</v>
      </c>
      <c r="N2670" s="42">
        <f t="shared" si="40"/>
        <v>58437.732154222773</v>
      </c>
      <c r="O2670" s="3">
        <v>2668</v>
      </c>
    </row>
    <row r="2671" spans="1:15" x14ac:dyDescent="0.25">
      <c r="A2671" s="9">
        <v>8</v>
      </c>
      <c r="B2671" s="9" t="s">
        <v>19</v>
      </c>
      <c r="C2671" s="3" t="s">
        <v>19</v>
      </c>
      <c r="D2671" s="3" t="s">
        <v>446</v>
      </c>
      <c r="E2671" s="28" t="s">
        <v>144</v>
      </c>
      <c r="F2671" s="9" t="s">
        <v>5</v>
      </c>
      <c r="G2671" s="48" t="s">
        <v>324</v>
      </c>
      <c r="H2671" s="8" t="s">
        <v>568</v>
      </c>
      <c r="I2671" s="47" t="s">
        <v>569</v>
      </c>
      <c r="J2671" s="6" t="s">
        <v>455</v>
      </c>
      <c r="K2671" s="38">
        <v>270731</v>
      </c>
      <c r="L2671" s="4" t="s">
        <v>25</v>
      </c>
      <c r="M2671" s="11">
        <f>_xlfn.NUMBERVALUE(LEFT(Table613612[[#This Row],[Fiscal Year]], 4))</f>
        <v>2017</v>
      </c>
      <c r="N2671" s="42">
        <f t="shared" si="40"/>
        <v>277944.97046511632</v>
      </c>
      <c r="O2671" s="3">
        <v>2669</v>
      </c>
    </row>
    <row r="2672" spans="1:15" x14ac:dyDescent="0.25">
      <c r="A2672" s="9">
        <v>8</v>
      </c>
      <c r="B2672" s="9" t="s">
        <v>19</v>
      </c>
      <c r="C2672" s="3" t="s">
        <v>19</v>
      </c>
      <c r="D2672" s="3" t="s">
        <v>446</v>
      </c>
      <c r="E2672" s="28" t="s">
        <v>144</v>
      </c>
      <c r="F2672" s="9" t="s">
        <v>5</v>
      </c>
      <c r="G2672" s="61" t="s">
        <v>210</v>
      </c>
      <c r="H2672" s="8" t="s">
        <v>571</v>
      </c>
      <c r="I2672" s="47" t="s">
        <v>570</v>
      </c>
      <c r="J2672" s="6" t="s">
        <v>107</v>
      </c>
      <c r="K2672" s="38">
        <v>175000</v>
      </c>
      <c r="L2672" s="4" t="s">
        <v>25</v>
      </c>
      <c r="M2672" s="11">
        <f>_xlfn.NUMBERVALUE(LEFT(Table613612[[#This Row],[Fiscal Year]], 4))</f>
        <v>2017</v>
      </c>
      <c r="N2672" s="42">
        <f t="shared" si="40"/>
        <v>179663.09669522647</v>
      </c>
      <c r="O2672" s="3">
        <v>2670</v>
      </c>
    </row>
    <row r="2673" spans="1:15" x14ac:dyDescent="0.25">
      <c r="A2673" s="9">
        <v>8</v>
      </c>
      <c r="B2673" s="9" t="s">
        <v>19</v>
      </c>
      <c r="C2673" s="3" t="s">
        <v>19</v>
      </c>
      <c r="D2673" s="3" t="s">
        <v>446</v>
      </c>
      <c r="E2673" s="28" t="s">
        <v>144</v>
      </c>
      <c r="F2673" s="9" t="s">
        <v>5</v>
      </c>
      <c r="G2673" s="61" t="s">
        <v>209</v>
      </c>
      <c r="H2673" s="8"/>
      <c r="I2673" s="8"/>
      <c r="J2673" s="6" t="s">
        <v>111</v>
      </c>
      <c r="K2673" s="38">
        <v>175000</v>
      </c>
      <c r="L2673" s="4" t="s">
        <v>25</v>
      </c>
      <c r="M2673" s="11">
        <f>_xlfn.NUMBERVALUE(LEFT(Table613612[[#This Row],[Fiscal Year]], 4))</f>
        <v>2017</v>
      </c>
      <c r="N2673" s="42">
        <f t="shared" si="40"/>
        <v>179663.09669522647</v>
      </c>
      <c r="O2673" s="3">
        <v>2671</v>
      </c>
    </row>
    <row r="2674" spans="1:15" x14ac:dyDescent="0.25">
      <c r="A2674" s="9">
        <v>8</v>
      </c>
      <c r="B2674" s="9" t="s">
        <v>19</v>
      </c>
      <c r="C2674" s="3" t="s">
        <v>19</v>
      </c>
      <c r="D2674" s="3" t="s">
        <v>446</v>
      </c>
      <c r="E2674" s="28" t="s">
        <v>144</v>
      </c>
      <c r="F2674" s="9" t="s">
        <v>5</v>
      </c>
      <c r="G2674" s="61" t="s">
        <v>325</v>
      </c>
      <c r="H2674" s="8"/>
      <c r="I2674" s="8"/>
      <c r="J2674" s="6" t="s">
        <v>109</v>
      </c>
      <c r="K2674" s="38">
        <v>175000</v>
      </c>
      <c r="L2674" s="4" t="s">
        <v>25</v>
      </c>
      <c r="M2674" s="11">
        <f>_xlfn.NUMBERVALUE(LEFT(Table613612[[#This Row],[Fiscal Year]], 4))</f>
        <v>2017</v>
      </c>
      <c r="N2674" s="42">
        <f t="shared" si="40"/>
        <v>179663.09669522647</v>
      </c>
      <c r="O2674" s="3">
        <v>2672</v>
      </c>
    </row>
    <row r="2675" spans="1:15" x14ac:dyDescent="0.25">
      <c r="A2675" s="9">
        <v>8</v>
      </c>
      <c r="B2675" s="9" t="s">
        <v>19</v>
      </c>
      <c r="C2675" s="3" t="s">
        <v>19</v>
      </c>
      <c r="D2675" s="3" t="s">
        <v>446</v>
      </c>
      <c r="E2675" s="28" t="s">
        <v>144</v>
      </c>
      <c r="F2675" s="9" t="s">
        <v>5</v>
      </c>
      <c r="G2675" s="48" t="s">
        <v>326</v>
      </c>
      <c r="H2675" s="8"/>
      <c r="I2675" s="8"/>
      <c r="J2675" s="6" t="s">
        <v>106</v>
      </c>
      <c r="K2675" s="38" t="s">
        <v>28</v>
      </c>
      <c r="L2675" s="4" t="s">
        <v>25</v>
      </c>
      <c r="M2675" s="11">
        <f>_xlfn.NUMBERVALUE(LEFT(Table613612[[#This Row],[Fiscal Year]], 4))</f>
        <v>2017</v>
      </c>
      <c r="O2675" s="3">
        <v>2673</v>
      </c>
    </row>
    <row r="2676" spans="1:15" x14ac:dyDescent="0.25">
      <c r="A2676" s="9">
        <v>8</v>
      </c>
      <c r="B2676" s="9" t="s">
        <v>19</v>
      </c>
      <c r="C2676" s="3" t="s">
        <v>19</v>
      </c>
      <c r="D2676" s="3" t="s">
        <v>446</v>
      </c>
      <c r="E2676" s="28" t="s">
        <v>144</v>
      </c>
      <c r="F2676" s="9" t="s">
        <v>5</v>
      </c>
      <c r="G2676" s="61" t="s">
        <v>327</v>
      </c>
      <c r="H2676" s="8"/>
      <c r="I2676" s="8"/>
      <c r="J2676" s="6" t="s">
        <v>108</v>
      </c>
      <c r="K2676" s="38">
        <v>1364228</v>
      </c>
      <c r="L2676" s="4" t="s">
        <v>25</v>
      </c>
      <c r="M2676" s="11">
        <f>_xlfn.NUMBERVALUE(LEFT(Table613612[[#This Row],[Fiscal Year]], 4))</f>
        <v>2017</v>
      </c>
      <c r="N2676" s="42">
        <f t="shared" si="40"/>
        <v>1400579.5833047738</v>
      </c>
      <c r="O2676" s="3">
        <v>2674</v>
      </c>
    </row>
    <row r="2677" spans="1:15" x14ac:dyDescent="0.25">
      <c r="A2677" s="9">
        <v>8</v>
      </c>
      <c r="B2677" s="9" t="s">
        <v>19</v>
      </c>
      <c r="C2677" s="3" t="s">
        <v>19</v>
      </c>
      <c r="D2677" s="3" t="s">
        <v>446</v>
      </c>
      <c r="E2677" s="28" t="s">
        <v>144</v>
      </c>
      <c r="F2677" s="9" t="s">
        <v>5</v>
      </c>
      <c r="G2677" s="48" t="s">
        <v>328</v>
      </c>
      <c r="H2677" s="8"/>
      <c r="I2677" s="8"/>
      <c r="J2677" s="6" t="s">
        <v>42</v>
      </c>
      <c r="K2677" s="38" t="s">
        <v>28</v>
      </c>
      <c r="L2677" s="4" t="s">
        <v>25</v>
      </c>
      <c r="M2677" s="11">
        <f>_xlfn.NUMBERVALUE(LEFT(Table613612[[#This Row],[Fiscal Year]], 4))</f>
        <v>2017</v>
      </c>
      <c r="O2677" s="3">
        <v>2675</v>
      </c>
    </row>
    <row r="2678" spans="1:15" x14ac:dyDescent="0.25">
      <c r="A2678" s="9">
        <v>8</v>
      </c>
      <c r="B2678" s="9" t="s">
        <v>19</v>
      </c>
      <c r="C2678" s="3" t="s">
        <v>19</v>
      </c>
      <c r="D2678" s="3" t="s">
        <v>446</v>
      </c>
      <c r="E2678" s="28" t="s">
        <v>144</v>
      </c>
      <c r="F2678" s="9" t="s">
        <v>5</v>
      </c>
      <c r="G2678" s="48" t="s">
        <v>78</v>
      </c>
      <c r="H2678" s="8"/>
      <c r="I2678" s="8"/>
      <c r="J2678" s="6" t="s">
        <v>47</v>
      </c>
      <c r="K2678" s="38" t="s">
        <v>28</v>
      </c>
      <c r="L2678" s="4" t="s">
        <v>25</v>
      </c>
      <c r="M2678" s="11">
        <f>_xlfn.NUMBERVALUE(LEFT(Table613612[[#This Row],[Fiscal Year]], 4))</f>
        <v>2017</v>
      </c>
      <c r="O2678" s="3">
        <v>2676</v>
      </c>
    </row>
    <row r="2679" spans="1:15" x14ac:dyDescent="0.25">
      <c r="A2679" s="9">
        <v>8</v>
      </c>
      <c r="B2679" s="9" t="s">
        <v>19</v>
      </c>
      <c r="C2679" s="3" t="s">
        <v>19</v>
      </c>
      <c r="D2679" s="3" t="s">
        <v>446</v>
      </c>
      <c r="E2679" s="28" t="s">
        <v>144</v>
      </c>
      <c r="F2679" s="9" t="s">
        <v>5</v>
      </c>
      <c r="G2679" s="48" t="s">
        <v>329</v>
      </c>
      <c r="H2679" s="8" t="s">
        <v>632</v>
      </c>
      <c r="I2679" s="47" t="s">
        <v>633</v>
      </c>
      <c r="J2679" s="6" t="s">
        <v>455</v>
      </c>
      <c r="K2679" s="38">
        <v>10000</v>
      </c>
      <c r="L2679" s="4" t="s">
        <v>25</v>
      </c>
      <c r="M2679" s="11">
        <f>_xlfn.NUMBERVALUE(LEFT(Table613612[[#This Row],[Fiscal Year]], 4))</f>
        <v>2017</v>
      </c>
      <c r="N2679" s="42">
        <f t="shared" si="40"/>
        <v>10266.462668298655</v>
      </c>
      <c r="O2679" s="3">
        <v>2677</v>
      </c>
    </row>
    <row r="2680" spans="1:15" x14ac:dyDescent="0.25">
      <c r="A2680" s="9">
        <v>8</v>
      </c>
      <c r="B2680" s="9" t="s">
        <v>19</v>
      </c>
      <c r="C2680" s="3" t="s">
        <v>19</v>
      </c>
      <c r="D2680" s="3" t="s">
        <v>446</v>
      </c>
      <c r="E2680" s="28" t="s">
        <v>144</v>
      </c>
      <c r="F2680" s="9" t="s">
        <v>5</v>
      </c>
      <c r="G2680" s="61" t="s">
        <v>322</v>
      </c>
      <c r="H2680" s="8"/>
      <c r="I2680" s="8"/>
      <c r="J2680" s="6" t="s">
        <v>110</v>
      </c>
      <c r="K2680" s="38">
        <v>271992</v>
      </c>
      <c r="L2680" s="4" t="s">
        <v>25</v>
      </c>
      <c r="M2680" s="11">
        <f>_xlfn.NUMBERVALUE(LEFT(Table613612[[#This Row],[Fiscal Year]], 4))</f>
        <v>2017</v>
      </c>
      <c r="N2680" s="42">
        <f t="shared" si="40"/>
        <v>279239.57140758878</v>
      </c>
      <c r="O2680" s="3">
        <v>2678</v>
      </c>
    </row>
    <row r="2681" spans="1:15" x14ac:dyDescent="0.25">
      <c r="A2681" s="9">
        <v>8</v>
      </c>
      <c r="B2681" s="9" t="s">
        <v>19</v>
      </c>
      <c r="C2681" s="3" t="s">
        <v>19</v>
      </c>
      <c r="D2681" s="3" t="s">
        <v>446</v>
      </c>
      <c r="E2681" s="28" t="s">
        <v>144</v>
      </c>
      <c r="F2681" s="9" t="s">
        <v>5</v>
      </c>
      <c r="G2681" s="61" t="s">
        <v>330</v>
      </c>
      <c r="H2681" s="8"/>
      <c r="I2681" s="8"/>
      <c r="J2681" s="6" t="s">
        <v>108</v>
      </c>
      <c r="K2681" s="38">
        <v>3594565</v>
      </c>
      <c r="L2681" s="4" t="s">
        <v>25</v>
      </c>
      <c r="M2681" s="11">
        <f>_xlfn.NUMBERVALUE(LEFT(Table613612[[#This Row],[Fiscal Year]], 4))</f>
        <v>2017</v>
      </c>
      <c r="N2681" s="42">
        <f t="shared" si="40"/>
        <v>3690346.7381272954</v>
      </c>
      <c r="O2681" s="3">
        <v>2679</v>
      </c>
    </row>
    <row r="2682" spans="1:15" x14ac:dyDescent="0.25">
      <c r="A2682" s="9">
        <v>8</v>
      </c>
      <c r="B2682" s="9" t="s">
        <v>19</v>
      </c>
      <c r="C2682" s="3" t="s">
        <v>19</v>
      </c>
      <c r="D2682" s="3" t="s">
        <v>446</v>
      </c>
      <c r="E2682" s="28" t="s">
        <v>144</v>
      </c>
      <c r="F2682" s="9" t="s">
        <v>5</v>
      </c>
      <c r="G2682" s="61" t="s">
        <v>331</v>
      </c>
      <c r="H2682" s="8"/>
      <c r="I2682" s="8"/>
      <c r="J2682" s="6" t="s">
        <v>108</v>
      </c>
      <c r="K2682" s="38">
        <v>206483</v>
      </c>
      <c r="L2682" s="4" t="s">
        <v>25</v>
      </c>
      <c r="M2682" s="11">
        <f>_xlfn.NUMBERVALUE(LEFT(Table613612[[#This Row],[Fiscal Year]], 4))</f>
        <v>2017</v>
      </c>
      <c r="N2682" s="42">
        <f t="shared" si="40"/>
        <v>211985.00111383112</v>
      </c>
      <c r="O2682" s="3">
        <v>2680</v>
      </c>
    </row>
    <row r="2683" spans="1:15" x14ac:dyDescent="0.25">
      <c r="A2683" s="9">
        <v>8</v>
      </c>
      <c r="B2683" s="9" t="s">
        <v>19</v>
      </c>
      <c r="C2683" s="3" t="s">
        <v>19</v>
      </c>
      <c r="D2683" s="3" t="s">
        <v>446</v>
      </c>
      <c r="E2683" s="28" t="s">
        <v>144</v>
      </c>
      <c r="F2683" s="9" t="s">
        <v>5</v>
      </c>
      <c r="G2683" s="61" t="s">
        <v>332</v>
      </c>
      <c r="H2683" s="6" t="s">
        <v>634</v>
      </c>
      <c r="I2683" s="47" t="s">
        <v>635</v>
      </c>
      <c r="J2683" s="6" t="s">
        <v>455</v>
      </c>
      <c r="K2683" s="38">
        <v>3963859</v>
      </c>
      <c r="L2683" s="4" t="s">
        <v>25</v>
      </c>
      <c r="M2683" s="11">
        <f>_xlfn.NUMBERVALUE(LEFT(Table613612[[#This Row],[Fiscal Year]], 4))</f>
        <v>2017</v>
      </c>
      <c r="N2683" s="42">
        <f t="shared" si="40"/>
        <v>4069481.0445899637</v>
      </c>
      <c r="O2683" s="3">
        <v>2681</v>
      </c>
    </row>
    <row r="2684" spans="1:15" x14ac:dyDescent="0.25">
      <c r="A2684" s="9"/>
      <c r="B2684" s="9"/>
      <c r="E2684" s="28"/>
      <c r="F2684" s="9"/>
      <c r="G2684" s="48"/>
      <c r="H2684" s="8"/>
      <c r="I2684" s="8"/>
      <c r="J2684" s="6"/>
      <c r="L2684" s="4"/>
      <c r="O2684" s="3">
        <v>2682</v>
      </c>
    </row>
    <row r="2685" spans="1:15" x14ac:dyDescent="0.25">
      <c r="A2685" s="9">
        <v>8</v>
      </c>
      <c r="B2685" s="18" t="s">
        <v>1438</v>
      </c>
      <c r="C2685" s="3" t="s">
        <v>1438</v>
      </c>
      <c r="D2685" s="3" t="s">
        <v>446</v>
      </c>
      <c r="E2685" s="28" t="s">
        <v>144</v>
      </c>
      <c r="F2685" s="9" t="s">
        <v>122</v>
      </c>
      <c r="G2685" s="48" t="s">
        <v>1122</v>
      </c>
      <c r="H2685" s="8" t="s">
        <v>572</v>
      </c>
      <c r="I2685" s="47" t="s">
        <v>570</v>
      </c>
      <c r="J2685" s="6" t="s">
        <v>110</v>
      </c>
      <c r="K2685" s="38">
        <v>1255863</v>
      </c>
      <c r="L2685" s="4" t="s">
        <v>25</v>
      </c>
      <c r="M2685" s="11">
        <f>_xlfn.NUMBERVALUE(LEFT(Table613612[[#This Row],[Fiscal Year]], 4))</f>
        <v>2017</v>
      </c>
      <c r="N2685" s="42">
        <f t="shared" si="40"/>
        <v>1289327.0605997553</v>
      </c>
      <c r="O2685" s="3">
        <v>2683</v>
      </c>
    </row>
    <row r="2686" spans="1:15" x14ac:dyDescent="0.25">
      <c r="A2686" s="9">
        <v>8</v>
      </c>
      <c r="B2686" s="9" t="s">
        <v>1438</v>
      </c>
      <c r="C2686" s="3" t="s">
        <v>1438</v>
      </c>
      <c r="D2686" s="3" t="s">
        <v>446</v>
      </c>
      <c r="E2686" s="28" t="s">
        <v>144</v>
      </c>
      <c r="F2686" s="9" t="s">
        <v>122</v>
      </c>
      <c r="G2686" s="48" t="s">
        <v>320</v>
      </c>
      <c r="H2686" s="8"/>
      <c r="I2686" s="8"/>
      <c r="J2686" s="6" t="s">
        <v>110</v>
      </c>
      <c r="K2686" s="38" t="s">
        <v>28</v>
      </c>
      <c r="L2686" s="4" t="s">
        <v>25</v>
      </c>
      <c r="M2686" s="11">
        <f>_xlfn.NUMBERVALUE(LEFT(Table613612[[#This Row],[Fiscal Year]], 4))</f>
        <v>2017</v>
      </c>
      <c r="O2686" s="3">
        <v>2684</v>
      </c>
    </row>
    <row r="2687" spans="1:15" x14ac:dyDescent="0.25">
      <c r="A2687" s="9">
        <v>8</v>
      </c>
      <c r="B2687" s="9" t="s">
        <v>1438</v>
      </c>
      <c r="C2687" s="3" t="s">
        <v>1438</v>
      </c>
      <c r="D2687" s="3" t="s">
        <v>446</v>
      </c>
      <c r="E2687" s="28" t="s">
        <v>144</v>
      </c>
      <c r="F2687" s="9" t="s">
        <v>122</v>
      </c>
      <c r="G2687" s="48" t="s">
        <v>321</v>
      </c>
      <c r="H2687" s="8"/>
      <c r="I2687" s="8"/>
      <c r="J2687" s="6" t="s">
        <v>455</v>
      </c>
      <c r="K2687" s="38" t="s">
        <v>28</v>
      </c>
      <c r="L2687" s="4" t="s">
        <v>25</v>
      </c>
      <c r="M2687" s="11">
        <f>_xlfn.NUMBERVALUE(LEFT(Table613612[[#This Row],[Fiscal Year]], 4))</f>
        <v>2017</v>
      </c>
      <c r="O2687" s="3">
        <v>2685</v>
      </c>
    </row>
    <row r="2688" spans="1:15" x14ac:dyDescent="0.25">
      <c r="A2688" s="9">
        <v>8</v>
      </c>
      <c r="B2688" s="9" t="s">
        <v>1438</v>
      </c>
      <c r="C2688" s="3" t="s">
        <v>1438</v>
      </c>
      <c r="D2688" s="3" t="s">
        <v>446</v>
      </c>
      <c r="E2688" s="28" t="s">
        <v>144</v>
      </c>
      <c r="F2688" s="9" t="s">
        <v>122</v>
      </c>
      <c r="G2688" s="48" t="s">
        <v>210</v>
      </c>
      <c r="H2688" s="8"/>
      <c r="I2688" s="8"/>
      <c r="J2688" s="6" t="s">
        <v>107</v>
      </c>
      <c r="K2688" s="38" t="s">
        <v>28</v>
      </c>
      <c r="L2688" s="4" t="s">
        <v>25</v>
      </c>
      <c r="M2688" s="11">
        <f>_xlfn.NUMBERVALUE(LEFT(Table613612[[#This Row],[Fiscal Year]], 4))</f>
        <v>2017</v>
      </c>
      <c r="O2688" s="3">
        <v>2686</v>
      </c>
    </row>
    <row r="2689" spans="1:15" x14ac:dyDescent="0.25">
      <c r="A2689" s="9">
        <v>8</v>
      </c>
      <c r="B2689" s="9" t="s">
        <v>1438</v>
      </c>
      <c r="C2689" s="3" t="s">
        <v>1438</v>
      </c>
      <c r="D2689" s="3" t="s">
        <v>446</v>
      </c>
      <c r="E2689" s="28" t="s">
        <v>144</v>
      </c>
      <c r="F2689" s="9" t="s">
        <v>122</v>
      </c>
      <c r="G2689" s="48" t="s">
        <v>209</v>
      </c>
      <c r="H2689" s="8"/>
      <c r="I2689" s="8"/>
      <c r="J2689" s="6" t="s">
        <v>111</v>
      </c>
      <c r="K2689" s="38" t="s">
        <v>28</v>
      </c>
      <c r="L2689" s="4" t="s">
        <v>25</v>
      </c>
      <c r="M2689" s="11">
        <f>_xlfn.NUMBERVALUE(LEFT(Table613612[[#This Row],[Fiscal Year]], 4))</f>
        <v>2017</v>
      </c>
      <c r="O2689" s="3">
        <v>2687</v>
      </c>
    </row>
    <row r="2690" spans="1:15" x14ac:dyDescent="0.25">
      <c r="A2690" s="9">
        <v>8</v>
      </c>
      <c r="B2690" s="9" t="s">
        <v>1438</v>
      </c>
      <c r="C2690" s="3" t="s">
        <v>1438</v>
      </c>
      <c r="D2690" s="3" t="s">
        <v>446</v>
      </c>
      <c r="E2690" s="28" t="s">
        <v>144</v>
      </c>
      <c r="F2690" s="9" t="s">
        <v>122</v>
      </c>
      <c r="G2690" s="48" t="s">
        <v>325</v>
      </c>
      <c r="H2690" s="8"/>
      <c r="I2690" s="8"/>
      <c r="J2690" s="6" t="s">
        <v>109</v>
      </c>
      <c r="K2690" s="38" t="s">
        <v>28</v>
      </c>
      <c r="L2690" s="4" t="s">
        <v>25</v>
      </c>
      <c r="M2690" s="11">
        <f>_xlfn.NUMBERVALUE(LEFT(Table613612[[#This Row],[Fiscal Year]], 4))</f>
        <v>2017</v>
      </c>
      <c r="O2690" s="3">
        <v>2688</v>
      </c>
    </row>
    <row r="2691" spans="1:15" x14ac:dyDescent="0.25">
      <c r="A2691" s="9">
        <v>8</v>
      </c>
      <c r="B2691" s="9" t="s">
        <v>1438</v>
      </c>
      <c r="C2691" s="3" t="s">
        <v>1438</v>
      </c>
      <c r="D2691" s="3" t="s">
        <v>446</v>
      </c>
      <c r="E2691" s="28" t="s">
        <v>144</v>
      </c>
      <c r="F2691" s="9" t="s">
        <v>122</v>
      </c>
      <c r="G2691" s="48" t="s">
        <v>1126</v>
      </c>
      <c r="H2691" s="8"/>
      <c r="I2691" s="8"/>
      <c r="J2691" s="6" t="s">
        <v>106</v>
      </c>
      <c r="K2691" s="38" t="s">
        <v>28</v>
      </c>
      <c r="L2691" s="4" t="s">
        <v>25</v>
      </c>
      <c r="M2691" s="11">
        <f>_xlfn.NUMBERVALUE(LEFT(Table613612[[#This Row],[Fiscal Year]], 4))</f>
        <v>2017</v>
      </c>
      <c r="O2691" s="3">
        <v>2689</v>
      </c>
    </row>
    <row r="2692" spans="1:15" x14ac:dyDescent="0.25">
      <c r="A2692" s="9">
        <v>8</v>
      </c>
      <c r="B2692" s="9" t="s">
        <v>1438</v>
      </c>
      <c r="C2692" s="3" t="s">
        <v>1438</v>
      </c>
      <c r="D2692" s="3" t="s">
        <v>446</v>
      </c>
      <c r="E2692" s="28" t="s">
        <v>144</v>
      </c>
      <c r="F2692" s="9" t="s">
        <v>122</v>
      </c>
      <c r="G2692" s="48" t="s">
        <v>1123</v>
      </c>
      <c r="H2692" s="8"/>
      <c r="I2692" s="8"/>
      <c r="J2692" s="6" t="s">
        <v>108</v>
      </c>
      <c r="K2692" s="38" t="s">
        <v>433</v>
      </c>
      <c r="L2692" s="4" t="s">
        <v>25</v>
      </c>
      <c r="M2692" s="11">
        <f>_xlfn.NUMBERVALUE(LEFT(Table613612[[#This Row],[Fiscal Year]], 4))</f>
        <v>2017</v>
      </c>
      <c r="O2692" s="3">
        <v>2690</v>
      </c>
    </row>
    <row r="2693" spans="1:15" x14ac:dyDescent="0.25">
      <c r="A2693" s="9">
        <v>8</v>
      </c>
      <c r="B2693" s="9" t="s">
        <v>1438</v>
      </c>
      <c r="C2693" s="3" t="s">
        <v>1438</v>
      </c>
      <c r="D2693" s="3" t="s">
        <v>446</v>
      </c>
      <c r="E2693" s="28" t="s">
        <v>144</v>
      </c>
      <c r="F2693" s="9" t="s">
        <v>122</v>
      </c>
      <c r="G2693" s="48" t="s">
        <v>1124</v>
      </c>
      <c r="H2693" s="8"/>
      <c r="I2693" s="8"/>
      <c r="J2693" s="6" t="s">
        <v>42</v>
      </c>
      <c r="K2693" s="38">
        <v>54252</v>
      </c>
      <c r="L2693" s="4" t="s">
        <v>25</v>
      </c>
      <c r="M2693" s="11">
        <f>_xlfn.NUMBERVALUE(LEFT(Table613612[[#This Row],[Fiscal Year]], 4))</f>
        <v>2017</v>
      </c>
      <c r="N2693" s="42">
        <f t="shared" si="40"/>
        <v>55697.613268053865</v>
      </c>
      <c r="O2693" s="3">
        <v>2691</v>
      </c>
    </row>
    <row r="2694" spans="1:15" x14ac:dyDescent="0.25">
      <c r="A2694" s="9">
        <v>8</v>
      </c>
      <c r="B2694" s="9" t="s">
        <v>1438</v>
      </c>
      <c r="C2694" s="3" t="s">
        <v>1438</v>
      </c>
      <c r="D2694" s="3" t="s">
        <v>446</v>
      </c>
      <c r="E2694" s="28" t="s">
        <v>144</v>
      </c>
      <c r="F2694" s="9" t="s">
        <v>122</v>
      </c>
      <c r="G2694" s="48" t="s">
        <v>1125</v>
      </c>
      <c r="H2694" s="8"/>
      <c r="I2694" s="8"/>
      <c r="J2694" s="6" t="s">
        <v>47</v>
      </c>
      <c r="K2694" s="38">
        <v>545289</v>
      </c>
      <c r="L2694" s="4" t="s">
        <v>25</v>
      </c>
      <c r="M2694" s="11">
        <f>_xlfn.NUMBERVALUE(LEFT(Table613612[[#This Row],[Fiscal Year]], 4))</f>
        <v>2017</v>
      </c>
      <c r="N2694" s="42">
        <f t="shared" si="40"/>
        <v>559818.9161933905</v>
      </c>
      <c r="O2694" s="3">
        <v>2692</v>
      </c>
    </row>
    <row r="2695" spans="1:15" x14ac:dyDescent="0.25">
      <c r="A2695" s="9">
        <v>8</v>
      </c>
      <c r="B2695" s="9" t="s">
        <v>1438</v>
      </c>
      <c r="C2695" s="3" t="s">
        <v>1438</v>
      </c>
      <c r="D2695" s="3" t="s">
        <v>446</v>
      </c>
      <c r="E2695" s="28" t="s">
        <v>144</v>
      </c>
      <c r="F2695" s="9" t="s">
        <v>122</v>
      </c>
      <c r="G2695" s="48" t="s">
        <v>329</v>
      </c>
      <c r="H2695" s="8"/>
      <c r="I2695" s="8"/>
      <c r="J2695" s="6" t="s">
        <v>455</v>
      </c>
      <c r="K2695" s="38" t="s">
        <v>28</v>
      </c>
      <c r="L2695" s="4" t="s">
        <v>25</v>
      </c>
      <c r="M2695" s="11">
        <f>_xlfn.NUMBERVALUE(LEFT(Table613612[[#This Row],[Fiscal Year]], 4))</f>
        <v>2017</v>
      </c>
      <c r="O2695" s="3">
        <v>2693</v>
      </c>
    </row>
    <row r="2696" spans="1:15" x14ac:dyDescent="0.25">
      <c r="A2696" s="9">
        <v>8</v>
      </c>
      <c r="B2696" s="9" t="s">
        <v>1438</v>
      </c>
      <c r="C2696" s="3" t="s">
        <v>1438</v>
      </c>
      <c r="D2696" s="3" t="s">
        <v>446</v>
      </c>
      <c r="E2696" s="28" t="s">
        <v>144</v>
      </c>
      <c r="F2696" s="9" t="s">
        <v>122</v>
      </c>
      <c r="G2696" s="48" t="s">
        <v>67</v>
      </c>
      <c r="H2696" s="8"/>
      <c r="I2696" s="8"/>
      <c r="J2696" s="6" t="s">
        <v>455</v>
      </c>
      <c r="K2696" s="38" t="s">
        <v>28</v>
      </c>
      <c r="L2696" s="4" t="s">
        <v>25</v>
      </c>
      <c r="M2696" s="11">
        <f>_xlfn.NUMBERVALUE(LEFT(Table613612[[#This Row],[Fiscal Year]], 4))</f>
        <v>2017</v>
      </c>
      <c r="O2696" s="3">
        <v>2694</v>
      </c>
    </row>
    <row r="2697" spans="1:15" x14ac:dyDescent="0.25">
      <c r="A2697" s="9"/>
      <c r="B2697" s="9"/>
      <c r="E2697" s="28"/>
      <c r="F2697" s="9"/>
      <c r="G2697" s="48"/>
      <c r="H2697" s="8"/>
      <c r="I2697" s="8"/>
      <c r="J2697" s="6"/>
      <c r="L2697" s="4"/>
      <c r="O2697" s="3">
        <v>2695</v>
      </c>
    </row>
    <row r="2698" spans="1:15" x14ac:dyDescent="0.25">
      <c r="A2698" s="9">
        <v>8</v>
      </c>
      <c r="B2698" s="9" t="s">
        <v>297</v>
      </c>
      <c r="C2698" s="3" t="s">
        <v>19</v>
      </c>
      <c r="D2698" s="3" t="s">
        <v>446</v>
      </c>
      <c r="E2698" s="28" t="s">
        <v>144</v>
      </c>
      <c r="F2698" s="9" t="s">
        <v>8</v>
      </c>
      <c r="G2698" s="48" t="s">
        <v>32</v>
      </c>
      <c r="H2698" s="8"/>
      <c r="I2698" s="47" t="s">
        <v>573</v>
      </c>
      <c r="J2698" s="6" t="s">
        <v>110</v>
      </c>
      <c r="K2698" s="38">
        <v>0</v>
      </c>
      <c r="L2698" s="4" t="s">
        <v>25</v>
      </c>
      <c r="M2698" s="11">
        <f>_xlfn.NUMBERVALUE(LEFT(Table613612[[#This Row],[Fiscal Year]], 4))</f>
        <v>2017</v>
      </c>
      <c r="N2698" s="42">
        <f t="shared" ref="N2698:N2760" si="41">K2698*(1+VLOOKUP(M2698,$AF$8:$AH$31,3,0))</f>
        <v>0</v>
      </c>
      <c r="O2698" s="3">
        <v>2696</v>
      </c>
    </row>
    <row r="2699" spans="1:15" x14ac:dyDescent="0.25">
      <c r="A2699" s="9">
        <v>8</v>
      </c>
      <c r="B2699" s="9" t="s">
        <v>297</v>
      </c>
      <c r="C2699" s="3" t="s">
        <v>19</v>
      </c>
      <c r="D2699" s="3" t="s">
        <v>446</v>
      </c>
      <c r="E2699" s="28" t="s">
        <v>144</v>
      </c>
      <c r="F2699" s="9" t="s">
        <v>8</v>
      </c>
      <c r="G2699" s="48" t="s">
        <v>320</v>
      </c>
      <c r="H2699" s="8"/>
      <c r="I2699" s="47" t="s">
        <v>577</v>
      </c>
      <c r="J2699" s="6" t="s">
        <v>110</v>
      </c>
      <c r="K2699" s="38">
        <v>38000</v>
      </c>
      <c r="L2699" s="4" t="s">
        <v>25</v>
      </c>
      <c r="M2699" s="11">
        <f>_xlfn.NUMBERVALUE(LEFT(Table613612[[#This Row],[Fiscal Year]], 4))</f>
        <v>2017</v>
      </c>
      <c r="N2699" s="42">
        <f t="shared" si="41"/>
        <v>39012.558139534885</v>
      </c>
      <c r="O2699" s="3">
        <v>2697</v>
      </c>
    </row>
    <row r="2700" spans="1:15" x14ac:dyDescent="0.25">
      <c r="A2700" s="9">
        <v>8</v>
      </c>
      <c r="B2700" s="9" t="s">
        <v>297</v>
      </c>
      <c r="C2700" s="3" t="s">
        <v>19</v>
      </c>
      <c r="D2700" s="3" t="s">
        <v>446</v>
      </c>
      <c r="E2700" s="28" t="s">
        <v>144</v>
      </c>
      <c r="F2700" s="9" t="s">
        <v>8</v>
      </c>
      <c r="G2700" s="48" t="s">
        <v>321</v>
      </c>
      <c r="H2700" s="8"/>
      <c r="I2700" s="8"/>
      <c r="J2700" s="6" t="s">
        <v>455</v>
      </c>
      <c r="K2700" s="38">
        <v>700000</v>
      </c>
      <c r="L2700" s="4" t="s">
        <v>25</v>
      </c>
      <c r="M2700" s="11">
        <f>_xlfn.NUMBERVALUE(LEFT(Table613612[[#This Row],[Fiscal Year]], 4))</f>
        <v>2017</v>
      </c>
      <c r="N2700" s="42">
        <f t="shared" si="41"/>
        <v>718652.38678090589</v>
      </c>
      <c r="O2700" s="3">
        <v>2698</v>
      </c>
    </row>
    <row r="2701" spans="1:15" x14ac:dyDescent="0.25">
      <c r="A2701" s="9">
        <v>8</v>
      </c>
      <c r="B2701" s="9" t="s">
        <v>297</v>
      </c>
      <c r="C2701" s="3" t="s">
        <v>19</v>
      </c>
      <c r="D2701" s="3" t="s">
        <v>446</v>
      </c>
      <c r="E2701" s="28" t="s">
        <v>144</v>
      </c>
      <c r="F2701" s="9" t="s">
        <v>8</v>
      </c>
      <c r="G2701" s="48" t="s">
        <v>210</v>
      </c>
      <c r="H2701" s="8"/>
      <c r="I2701" s="8"/>
      <c r="J2701" s="6" t="s">
        <v>107</v>
      </c>
      <c r="K2701" s="38" t="s">
        <v>827</v>
      </c>
      <c r="L2701" s="4" t="s">
        <v>25</v>
      </c>
      <c r="M2701" s="11">
        <f>_xlfn.NUMBERVALUE(LEFT(Table613612[[#This Row],[Fiscal Year]], 4))</f>
        <v>2017</v>
      </c>
      <c r="O2701" s="3">
        <v>2699</v>
      </c>
    </row>
    <row r="2702" spans="1:15" x14ac:dyDescent="0.25">
      <c r="A2702" s="9">
        <v>8</v>
      </c>
      <c r="B2702" s="9" t="s">
        <v>297</v>
      </c>
      <c r="C2702" s="3" t="s">
        <v>19</v>
      </c>
      <c r="D2702" s="3" t="s">
        <v>446</v>
      </c>
      <c r="E2702" s="28" t="s">
        <v>144</v>
      </c>
      <c r="F2702" s="9" t="s">
        <v>8</v>
      </c>
      <c r="G2702" s="48" t="s">
        <v>209</v>
      </c>
      <c r="H2702" s="8"/>
      <c r="I2702" s="8"/>
      <c r="J2702" s="6" t="s">
        <v>111</v>
      </c>
      <c r="K2702" s="38">
        <v>5640</v>
      </c>
      <c r="L2702" s="4" t="s">
        <v>25</v>
      </c>
      <c r="M2702" s="11">
        <f>_xlfn.NUMBERVALUE(LEFT(Table613612[[#This Row],[Fiscal Year]], 4))</f>
        <v>2017</v>
      </c>
      <c r="N2702" s="42">
        <f t="shared" si="41"/>
        <v>5790.2849449204414</v>
      </c>
      <c r="O2702" s="3">
        <v>2700</v>
      </c>
    </row>
    <row r="2703" spans="1:15" x14ac:dyDescent="0.25">
      <c r="A2703" s="9">
        <v>8</v>
      </c>
      <c r="B2703" s="9" t="s">
        <v>297</v>
      </c>
      <c r="C2703" s="3" t="s">
        <v>19</v>
      </c>
      <c r="D2703" s="3" t="s">
        <v>446</v>
      </c>
      <c r="E2703" s="28" t="s">
        <v>144</v>
      </c>
      <c r="F2703" s="9" t="s">
        <v>8</v>
      </c>
      <c r="G2703" s="48" t="s">
        <v>325</v>
      </c>
      <c r="H2703" s="8"/>
      <c r="I2703" s="8"/>
      <c r="J2703" s="6" t="s">
        <v>109</v>
      </c>
      <c r="K2703" s="38">
        <v>147600</v>
      </c>
      <c r="L2703" s="4" t="s">
        <v>25</v>
      </c>
      <c r="M2703" s="11">
        <f>_xlfn.NUMBERVALUE(LEFT(Table613612[[#This Row],[Fiscal Year]], 4))</f>
        <v>2017</v>
      </c>
      <c r="N2703" s="42">
        <f t="shared" si="41"/>
        <v>151532.98898408815</v>
      </c>
      <c r="O2703" s="3">
        <v>2701</v>
      </c>
    </row>
    <row r="2704" spans="1:15" x14ac:dyDescent="0.25">
      <c r="A2704" s="9">
        <v>8</v>
      </c>
      <c r="B2704" s="9" t="s">
        <v>297</v>
      </c>
      <c r="C2704" s="3" t="s">
        <v>19</v>
      </c>
      <c r="D2704" s="3" t="s">
        <v>446</v>
      </c>
      <c r="E2704" s="28" t="s">
        <v>144</v>
      </c>
      <c r="F2704" s="9" t="s">
        <v>8</v>
      </c>
      <c r="G2704" s="48" t="s">
        <v>326</v>
      </c>
      <c r="H2704" s="8"/>
      <c r="I2704" s="8"/>
      <c r="J2704" s="6" t="s">
        <v>106</v>
      </c>
      <c r="K2704" s="38">
        <v>2400</v>
      </c>
      <c r="L2704" s="4" t="s">
        <v>25</v>
      </c>
      <c r="M2704" s="11">
        <f>_xlfn.NUMBERVALUE(LEFT(Table613612[[#This Row],[Fiscal Year]], 4))</f>
        <v>2017</v>
      </c>
      <c r="N2704" s="42">
        <f t="shared" si="41"/>
        <v>2463.951040391677</v>
      </c>
      <c r="O2704" s="3">
        <v>2702</v>
      </c>
    </row>
    <row r="2705" spans="1:15" x14ac:dyDescent="0.25">
      <c r="A2705" s="9">
        <v>8</v>
      </c>
      <c r="B2705" s="9" t="s">
        <v>297</v>
      </c>
      <c r="C2705" s="3" t="s">
        <v>19</v>
      </c>
      <c r="D2705" s="3" t="s">
        <v>446</v>
      </c>
      <c r="E2705" s="28" t="s">
        <v>144</v>
      </c>
      <c r="F2705" s="9" t="s">
        <v>8</v>
      </c>
      <c r="G2705" s="48" t="s">
        <v>327</v>
      </c>
      <c r="H2705" s="8"/>
      <c r="I2705" s="8"/>
      <c r="J2705" s="6" t="s">
        <v>108</v>
      </c>
      <c r="K2705" s="38">
        <v>118000</v>
      </c>
      <c r="L2705" s="4" t="s">
        <v>25</v>
      </c>
      <c r="M2705" s="11">
        <f>_xlfn.NUMBERVALUE(LEFT(Table613612[[#This Row],[Fiscal Year]], 4))</f>
        <v>2017</v>
      </c>
      <c r="N2705" s="42">
        <f t="shared" si="41"/>
        <v>121144.25948592412</v>
      </c>
      <c r="O2705" s="3">
        <v>2703</v>
      </c>
    </row>
    <row r="2706" spans="1:15" x14ac:dyDescent="0.25">
      <c r="A2706" s="9">
        <v>8</v>
      </c>
      <c r="B2706" s="9" t="s">
        <v>297</v>
      </c>
      <c r="C2706" s="3" t="s">
        <v>19</v>
      </c>
      <c r="D2706" s="3" t="s">
        <v>446</v>
      </c>
      <c r="E2706" s="28" t="s">
        <v>144</v>
      </c>
      <c r="F2706" s="9" t="s">
        <v>8</v>
      </c>
      <c r="G2706" s="48" t="s">
        <v>328</v>
      </c>
      <c r="H2706" s="8"/>
      <c r="I2706" s="8"/>
      <c r="J2706" s="6" t="s">
        <v>42</v>
      </c>
      <c r="K2706" s="38">
        <v>1000</v>
      </c>
      <c r="L2706" s="4" t="s">
        <v>25</v>
      </c>
      <c r="M2706" s="11">
        <f>_xlfn.NUMBERVALUE(LEFT(Table613612[[#This Row],[Fiscal Year]], 4))</f>
        <v>2017</v>
      </c>
      <c r="N2706" s="42">
        <f t="shared" si="41"/>
        <v>1026.6462668298655</v>
      </c>
      <c r="O2706" s="3">
        <v>2704</v>
      </c>
    </row>
    <row r="2707" spans="1:15" x14ac:dyDescent="0.25">
      <c r="A2707" s="9">
        <v>8</v>
      </c>
      <c r="B2707" s="9" t="s">
        <v>297</v>
      </c>
      <c r="C2707" s="3" t="s">
        <v>19</v>
      </c>
      <c r="D2707" s="3" t="s">
        <v>446</v>
      </c>
      <c r="E2707" s="28" t="s">
        <v>144</v>
      </c>
      <c r="F2707" s="9" t="s">
        <v>8</v>
      </c>
      <c r="G2707" s="48" t="s">
        <v>78</v>
      </c>
      <c r="H2707" s="8"/>
      <c r="I2707" s="8"/>
      <c r="J2707" s="6" t="s">
        <v>47</v>
      </c>
      <c r="K2707" s="38">
        <v>11400</v>
      </c>
      <c r="L2707" s="4" t="s">
        <v>25</v>
      </c>
      <c r="M2707" s="11">
        <f>_xlfn.NUMBERVALUE(LEFT(Table613612[[#This Row],[Fiscal Year]], 4))</f>
        <v>2017</v>
      </c>
      <c r="N2707" s="42">
        <f t="shared" si="41"/>
        <v>11703.767441860466</v>
      </c>
      <c r="O2707" s="3">
        <v>2705</v>
      </c>
    </row>
    <row r="2708" spans="1:15" x14ac:dyDescent="0.25">
      <c r="A2708" s="9">
        <v>8</v>
      </c>
      <c r="B2708" s="9" t="s">
        <v>297</v>
      </c>
      <c r="C2708" s="3" t="s">
        <v>19</v>
      </c>
      <c r="D2708" s="3" t="s">
        <v>446</v>
      </c>
      <c r="E2708" s="28" t="s">
        <v>144</v>
      </c>
      <c r="F2708" s="9" t="s">
        <v>8</v>
      </c>
      <c r="G2708" s="48" t="s">
        <v>329</v>
      </c>
      <c r="H2708" s="8"/>
      <c r="I2708" s="8"/>
      <c r="J2708" s="6" t="s">
        <v>455</v>
      </c>
      <c r="K2708" s="38">
        <v>900</v>
      </c>
      <c r="L2708" s="4" t="s">
        <v>25</v>
      </c>
      <c r="M2708" s="11">
        <f>_xlfn.NUMBERVALUE(LEFT(Table613612[[#This Row],[Fiscal Year]], 4))</f>
        <v>2017</v>
      </c>
      <c r="N2708" s="42">
        <f t="shared" si="41"/>
        <v>923.98164014687893</v>
      </c>
      <c r="O2708" s="3">
        <v>2706</v>
      </c>
    </row>
    <row r="2709" spans="1:15" x14ac:dyDescent="0.25">
      <c r="A2709" s="9">
        <v>8</v>
      </c>
      <c r="B2709" s="9" t="s">
        <v>297</v>
      </c>
      <c r="C2709" s="3" t="s">
        <v>19</v>
      </c>
      <c r="D2709" s="3" t="s">
        <v>446</v>
      </c>
      <c r="E2709" s="28" t="s">
        <v>144</v>
      </c>
      <c r="F2709" s="9" t="s">
        <v>8</v>
      </c>
      <c r="G2709" s="48" t="s">
        <v>67</v>
      </c>
      <c r="H2709" s="8"/>
      <c r="I2709" s="8"/>
      <c r="J2709" s="6" t="s">
        <v>455</v>
      </c>
      <c r="K2709" s="38">
        <v>77540</v>
      </c>
      <c r="L2709" s="4" t="s">
        <v>25</v>
      </c>
      <c r="M2709" s="11">
        <f>_xlfn.NUMBERVALUE(LEFT(Table613612[[#This Row],[Fiscal Year]], 4))</f>
        <v>2017</v>
      </c>
      <c r="N2709" s="42">
        <f t="shared" si="41"/>
        <v>79606.151529987765</v>
      </c>
      <c r="O2709" s="3">
        <v>2707</v>
      </c>
    </row>
    <row r="2710" spans="1:15" x14ac:dyDescent="0.25">
      <c r="A2710" s="9"/>
      <c r="B2710" s="9"/>
      <c r="E2710" s="28"/>
      <c r="F2710" s="9"/>
      <c r="G2710" s="48"/>
      <c r="H2710" s="8"/>
      <c r="I2710" s="8"/>
      <c r="J2710" s="6"/>
      <c r="L2710" s="4"/>
      <c r="O2710" s="3">
        <v>2708</v>
      </c>
    </row>
    <row r="2711" spans="1:15" x14ac:dyDescent="0.25">
      <c r="A2711" s="9">
        <v>8</v>
      </c>
      <c r="B2711" s="9" t="s">
        <v>298</v>
      </c>
      <c r="C2711" s="3" t="s">
        <v>19</v>
      </c>
      <c r="D2711" s="3" t="s">
        <v>446</v>
      </c>
      <c r="E2711" s="28" t="s">
        <v>144</v>
      </c>
      <c r="F2711" s="9" t="s">
        <v>8</v>
      </c>
      <c r="G2711" s="48" t="s">
        <v>32</v>
      </c>
      <c r="H2711" s="8" t="s">
        <v>575</v>
      </c>
      <c r="I2711" s="47" t="s">
        <v>574</v>
      </c>
      <c r="J2711" s="6" t="s">
        <v>110</v>
      </c>
      <c r="K2711" s="38">
        <v>189191</v>
      </c>
      <c r="L2711" s="4" t="s">
        <v>25</v>
      </c>
      <c r="M2711" s="11">
        <f>_xlfn.NUMBERVALUE(LEFT(Table613612[[#This Row],[Fiscal Year]], 4))</f>
        <v>2017</v>
      </c>
      <c r="N2711" s="42">
        <f t="shared" si="41"/>
        <v>194232.23386780909</v>
      </c>
      <c r="O2711" s="3">
        <v>2709</v>
      </c>
    </row>
    <row r="2712" spans="1:15" x14ac:dyDescent="0.25">
      <c r="A2712" s="9">
        <v>8</v>
      </c>
      <c r="B2712" s="9" t="s">
        <v>298</v>
      </c>
      <c r="C2712" s="3" t="s">
        <v>19</v>
      </c>
      <c r="D2712" s="3" t="s">
        <v>446</v>
      </c>
      <c r="E2712" s="28" t="s">
        <v>144</v>
      </c>
      <c r="F2712" s="9" t="s">
        <v>8</v>
      </c>
      <c r="G2712" s="48" t="s">
        <v>320</v>
      </c>
      <c r="H2712" s="8" t="s">
        <v>581</v>
      </c>
      <c r="I2712" s="47" t="s">
        <v>580</v>
      </c>
      <c r="J2712" s="6" t="s">
        <v>110</v>
      </c>
      <c r="K2712" s="38">
        <v>35577</v>
      </c>
      <c r="L2712" s="4" t="s">
        <v>25</v>
      </c>
      <c r="M2712" s="11">
        <f>_xlfn.NUMBERVALUE(LEFT(Table613612[[#This Row],[Fiscal Year]], 4))</f>
        <v>2017</v>
      </c>
      <c r="N2712" s="42">
        <f t="shared" si="41"/>
        <v>36524.994235006125</v>
      </c>
      <c r="O2712" s="3">
        <v>2710</v>
      </c>
    </row>
    <row r="2713" spans="1:15" x14ac:dyDescent="0.25">
      <c r="A2713" s="9">
        <v>8</v>
      </c>
      <c r="B2713" s="9" t="s">
        <v>298</v>
      </c>
      <c r="C2713" s="3" t="s">
        <v>19</v>
      </c>
      <c r="D2713" s="3" t="s">
        <v>446</v>
      </c>
      <c r="E2713" s="28" t="s">
        <v>144</v>
      </c>
      <c r="F2713" s="9" t="s">
        <v>8</v>
      </c>
      <c r="G2713" s="48" t="s">
        <v>321</v>
      </c>
      <c r="H2713" s="8"/>
      <c r="I2713" s="8"/>
      <c r="J2713" s="6" t="s">
        <v>455</v>
      </c>
      <c r="K2713" s="38">
        <v>365558</v>
      </c>
      <c r="L2713" s="4" t="s">
        <v>25</v>
      </c>
      <c r="M2713" s="11">
        <f>_xlfn.NUMBERVALUE(LEFT(Table613612[[#This Row],[Fiscal Year]], 4))</f>
        <v>2017</v>
      </c>
      <c r="N2713" s="42">
        <f t="shared" si="41"/>
        <v>375298.75600979198</v>
      </c>
      <c r="O2713" s="3">
        <v>2711</v>
      </c>
    </row>
    <row r="2714" spans="1:15" x14ac:dyDescent="0.25">
      <c r="A2714" s="9">
        <v>8</v>
      </c>
      <c r="B2714" s="9" t="s">
        <v>298</v>
      </c>
      <c r="C2714" s="3" t="s">
        <v>19</v>
      </c>
      <c r="D2714" s="3" t="s">
        <v>446</v>
      </c>
      <c r="E2714" s="28" t="s">
        <v>144</v>
      </c>
      <c r="F2714" s="9" t="s">
        <v>8</v>
      </c>
      <c r="G2714" s="48" t="s">
        <v>210</v>
      </c>
      <c r="H2714" s="8"/>
      <c r="I2714" s="8"/>
      <c r="J2714" s="6" t="s">
        <v>107</v>
      </c>
      <c r="K2714" s="38">
        <v>58649</v>
      </c>
      <c r="L2714" s="4" t="s">
        <v>25</v>
      </c>
      <c r="M2714" s="11">
        <f>_xlfn.NUMBERVALUE(LEFT(Table613612[[#This Row],[Fiscal Year]], 4))</f>
        <v>2017</v>
      </c>
      <c r="N2714" s="42">
        <f t="shared" si="41"/>
        <v>60211.776903304781</v>
      </c>
      <c r="O2714" s="3">
        <v>2712</v>
      </c>
    </row>
    <row r="2715" spans="1:15" x14ac:dyDescent="0.25">
      <c r="A2715" s="9">
        <v>8</v>
      </c>
      <c r="B2715" s="9" t="s">
        <v>298</v>
      </c>
      <c r="C2715" s="3" t="s">
        <v>19</v>
      </c>
      <c r="D2715" s="3" t="s">
        <v>446</v>
      </c>
      <c r="E2715" s="28" t="s">
        <v>144</v>
      </c>
      <c r="F2715" s="9" t="s">
        <v>8</v>
      </c>
      <c r="G2715" s="48" t="s">
        <v>209</v>
      </c>
      <c r="H2715" s="8"/>
      <c r="I2715" s="8"/>
      <c r="J2715" s="6" t="s">
        <v>111</v>
      </c>
      <c r="K2715" s="38">
        <v>37838</v>
      </c>
      <c r="L2715" s="4" t="s">
        <v>25</v>
      </c>
      <c r="M2715" s="11">
        <f>_xlfn.NUMBERVALUE(LEFT(Table613612[[#This Row],[Fiscal Year]], 4))</f>
        <v>2017</v>
      </c>
      <c r="N2715" s="42">
        <f t="shared" si="41"/>
        <v>38846.241444308449</v>
      </c>
      <c r="O2715" s="3">
        <v>2713</v>
      </c>
    </row>
    <row r="2716" spans="1:15" x14ac:dyDescent="0.25">
      <c r="A2716" s="9">
        <v>8</v>
      </c>
      <c r="B2716" s="9" t="s">
        <v>298</v>
      </c>
      <c r="C2716" s="3" t="s">
        <v>19</v>
      </c>
      <c r="D2716" s="3" t="s">
        <v>446</v>
      </c>
      <c r="E2716" s="28" t="s">
        <v>144</v>
      </c>
      <c r="F2716" s="9" t="s">
        <v>8</v>
      </c>
      <c r="G2716" s="48" t="s">
        <v>325</v>
      </c>
      <c r="H2716" s="8"/>
      <c r="I2716" s="8"/>
      <c r="J2716" s="6" t="s">
        <v>109</v>
      </c>
      <c r="K2716" s="38">
        <v>30000</v>
      </c>
      <c r="L2716" s="4" t="s">
        <v>25</v>
      </c>
      <c r="M2716" s="11">
        <f>_xlfn.NUMBERVALUE(LEFT(Table613612[[#This Row],[Fiscal Year]], 4))</f>
        <v>2017</v>
      </c>
      <c r="N2716" s="42">
        <f t="shared" si="41"/>
        <v>30799.388004895965</v>
      </c>
      <c r="O2716" s="3">
        <v>2714</v>
      </c>
    </row>
    <row r="2717" spans="1:15" x14ac:dyDescent="0.25">
      <c r="A2717" s="9">
        <v>8</v>
      </c>
      <c r="B2717" s="9" t="s">
        <v>298</v>
      </c>
      <c r="C2717" s="3" t="s">
        <v>19</v>
      </c>
      <c r="D2717" s="3" t="s">
        <v>446</v>
      </c>
      <c r="E2717" s="28" t="s">
        <v>144</v>
      </c>
      <c r="F2717" s="9" t="s">
        <v>8</v>
      </c>
      <c r="G2717" s="48" t="s">
        <v>326</v>
      </c>
      <c r="H2717" s="8"/>
      <c r="I2717" s="8"/>
      <c r="J2717" s="6" t="s">
        <v>106</v>
      </c>
      <c r="K2717" s="38">
        <v>33000</v>
      </c>
      <c r="L2717" s="4" t="s">
        <v>25</v>
      </c>
      <c r="M2717" s="11">
        <f>_xlfn.NUMBERVALUE(LEFT(Table613612[[#This Row],[Fiscal Year]], 4))</f>
        <v>2017</v>
      </c>
      <c r="N2717" s="42">
        <f t="shared" si="41"/>
        <v>33879.326805385565</v>
      </c>
      <c r="O2717" s="3">
        <v>2715</v>
      </c>
    </row>
    <row r="2718" spans="1:15" x14ac:dyDescent="0.25">
      <c r="A2718" s="9">
        <v>8</v>
      </c>
      <c r="B2718" s="9" t="s">
        <v>298</v>
      </c>
      <c r="C2718" s="3" t="s">
        <v>19</v>
      </c>
      <c r="D2718" s="3" t="s">
        <v>446</v>
      </c>
      <c r="E2718" s="28" t="s">
        <v>144</v>
      </c>
      <c r="F2718" s="9" t="s">
        <v>8</v>
      </c>
      <c r="G2718" s="48" t="s">
        <v>327</v>
      </c>
      <c r="H2718" s="8"/>
      <c r="I2718" s="8"/>
      <c r="J2718" s="6" t="s">
        <v>108</v>
      </c>
      <c r="K2718" s="38">
        <v>106773</v>
      </c>
      <c r="L2718" s="4" t="s">
        <v>25</v>
      </c>
      <c r="M2718" s="11">
        <f>_xlfn.NUMBERVALUE(LEFT(Table613612[[#This Row],[Fiscal Year]], 4))</f>
        <v>2017</v>
      </c>
      <c r="N2718" s="42">
        <f t="shared" si="41"/>
        <v>109618.10184822523</v>
      </c>
      <c r="O2718" s="3">
        <v>2716</v>
      </c>
    </row>
    <row r="2719" spans="1:15" x14ac:dyDescent="0.25">
      <c r="A2719" s="9">
        <v>8</v>
      </c>
      <c r="B2719" s="9" t="s">
        <v>298</v>
      </c>
      <c r="C2719" s="3" t="s">
        <v>19</v>
      </c>
      <c r="D2719" s="3" t="s">
        <v>446</v>
      </c>
      <c r="E2719" s="28" t="s">
        <v>144</v>
      </c>
      <c r="F2719" s="9" t="s">
        <v>8</v>
      </c>
      <c r="G2719" s="48" t="s">
        <v>328</v>
      </c>
      <c r="H2719" s="8"/>
      <c r="I2719" s="8"/>
      <c r="J2719" s="6" t="s">
        <v>42</v>
      </c>
      <c r="K2719" s="38">
        <v>0</v>
      </c>
      <c r="L2719" s="4" t="s">
        <v>25</v>
      </c>
      <c r="M2719" s="11">
        <f>_xlfn.NUMBERVALUE(LEFT(Table613612[[#This Row],[Fiscal Year]], 4))</f>
        <v>2017</v>
      </c>
      <c r="N2719" s="42">
        <f t="shared" si="41"/>
        <v>0</v>
      </c>
      <c r="O2719" s="3">
        <v>2717</v>
      </c>
    </row>
    <row r="2720" spans="1:15" x14ac:dyDescent="0.25">
      <c r="A2720" s="9">
        <v>8</v>
      </c>
      <c r="B2720" s="9" t="s">
        <v>298</v>
      </c>
      <c r="C2720" s="3" t="s">
        <v>19</v>
      </c>
      <c r="D2720" s="3" t="s">
        <v>446</v>
      </c>
      <c r="E2720" s="28" t="s">
        <v>144</v>
      </c>
      <c r="F2720" s="9" t="s">
        <v>8</v>
      </c>
      <c r="G2720" s="48" t="s">
        <v>78</v>
      </c>
      <c r="H2720" s="8"/>
      <c r="I2720" s="8"/>
      <c r="J2720" s="6" t="s">
        <v>47</v>
      </c>
      <c r="K2720" s="38">
        <v>0</v>
      </c>
      <c r="L2720" s="4" t="s">
        <v>25</v>
      </c>
      <c r="M2720" s="11">
        <f>_xlfn.NUMBERVALUE(LEFT(Table613612[[#This Row],[Fiscal Year]], 4))</f>
        <v>2017</v>
      </c>
      <c r="N2720" s="42">
        <f t="shared" si="41"/>
        <v>0</v>
      </c>
      <c r="O2720" s="3">
        <v>2718</v>
      </c>
    </row>
    <row r="2721" spans="1:15" x14ac:dyDescent="0.25">
      <c r="A2721" s="9">
        <v>8</v>
      </c>
      <c r="B2721" s="9" t="s">
        <v>298</v>
      </c>
      <c r="C2721" s="3" t="s">
        <v>19</v>
      </c>
      <c r="D2721" s="3" t="s">
        <v>446</v>
      </c>
      <c r="E2721" s="28" t="s">
        <v>144</v>
      </c>
      <c r="F2721" s="9" t="s">
        <v>8</v>
      </c>
      <c r="G2721" s="48" t="s">
        <v>329</v>
      </c>
      <c r="H2721" s="8" t="s">
        <v>576</v>
      </c>
      <c r="I2721" s="8"/>
      <c r="J2721" s="6" t="s">
        <v>455</v>
      </c>
      <c r="K2721" s="38">
        <v>0</v>
      </c>
      <c r="L2721" s="4" t="s">
        <v>25</v>
      </c>
      <c r="M2721" s="11">
        <f>_xlfn.NUMBERVALUE(LEFT(Table613612[[#This Row],[Fiscal Year]], 4))</f>
        <v>2017</v>
      </c>
      <c r="N2721" s="42">
        <f t="shared" si="41"/>
        <v>0</v>
      </c>
      <c r="O2721" s="3">
        <v>2719</v>
      </c>
    </row>
    <row r="2722" spans="1:15" x14ac:dyDescent="0.25">
      <c r="A2722" s="9">
        <v>8</v>
      </c>
      <c r="B2722" s="9" t="s">
        <v>298</v>
      </c>
      <c r="C2722" s="3" t="s">
        <v>19</v>
      </c>
      <c r="D2722" s="3" t="s">
        <v>446</v>
      </c>
      <c r="E2722" s="28" t="s">
        <v>144</v>
      </c>
      <c r="F2722" s="9" t="s">
        <v>8</v>
      </c>
      <c r="G2722" s="48" t="s">
        <v>67</v>
      </c>
      <c r="H2722" s="8"/>
      <c r="I2722" s="8"/>
      <c r="J2722" s="6" t="s">
        <v>455</v>
      </c>
      <c r="K2722" s="38">
        <v>10000</v>
      </c>
      <c r="L2722" s="4" t="s">
        <v>25</v>
      </c>
      <c r="M2722" s="11">
        <f>_xlfn.NUMBERVALUE(LEFT(Table613612[[#This Row],[Fiscal Year]], 4))</f>
        <v>2017</v>
      </c>
      <c r="N2722" s="42">
        <f t="shared" si="41"/>
        <v>10266.462668298655</v>
      </c>
      <c r="O2722" s="3">
        <v>2720</v>
      </c>
    </row>
    <row r="2723" spans="1:15" x14ac:dyDescent="0.25">
      <c r="A2723" s="9"/>
      <c r="B2723" s="9"/>
      <c r="E2723" s="28"/>
      <c r="F2723" s="9"/>
      <c r="G2723" s="48"/>
      <c r="H2723" s="8"/>
      <c r="I2723" s="8"/>
      <c r="J2723" s="6"/>
      <c r="L2723" s="4"/>
      <c r="O2723" s="3">
        <v>2721</v>
      </c>
    </row>
    <row r="2724" spans="1:15" x14ac:dyDescent="0.25">
      <c r="A2724" s="9">
        <v>8</v>
      </c>
      <c r="B2724" s="5" t="s">
        <v>299</v>
      </c>
      <c r="C2724" s="3" t="s">
        <v>19</v>
      </c>
      <c r="D2724" s="3" t="s">
        <v>446</v>
      </c>
      <c r="E2724" s="28" t="s">
        <v>144</v>
      </c>
      <c r="F2724" s="9" t="s">
        <v>8</v>
      </c>
      <c r="G2724" s="48" t="s">
        <v>32</v>
      </c>
      <c r="H2724" s="8"/>
      <c r="I2724" s="47" t="s">
        <v>577</v>
      </c>
      <c r="J2724" s="6" t="s">
        <v>110</v>
      </c>
      <c r="K2724" s="38">
        <v>30902.5</v>
      </c>
      <c r="L2724" s="4" t="s">
        <v>25</v>
      </c>
      <c r="M2724" s="11">
        <f>_xlfn.NUMBERVALUE(LEFT(Table613612[[#This Row],[Fiscal Year]], 4))</f>
        <v>2017</v>
      </c>
      <c r="N2724" s="42">
        <f t="shared" si="41"/>
        <v>31725.936260709917</v>
      </c>
      <c r="O2724" s="3">
        <v>2722</v>
      </c>
    </row>
    <row r="2725" spans="1:15" x14ac:dyDescent="0.25">
      <c r="A2725" s="9">
        <v>8</v>
      </c>
      <c r="B2725" s="9" t="s">
        <v>299</v>
      </c>
      <c r="C2725" s="3" t="s">
        <v>19</v>
      </c>
      <c r="D2725" s="3" t="s">
        <v>446</v>
      </c>
      <c r="E2725" s="28" t="s">
        <v>144</v>
      </c>
      <c r="F2725" s="9" t="s">
        <v>8</v>
      </c>
      <c r="G2725" s="48" t="s">
        <v>320</v>
      </c>
      <c r="H2725" s="8"/>
      <c r="I2725" s="8"/>
      <c r="J2725" s="6" t="s">
        <v>110</v>
      </c>
      <c r="K2725" s="38">
        <v>14230</v>
      </c>
      <c r="L2725" s="4" t="s">
        <v>25</v>
      </c>
      <c r="M2725" s="11">
        <f>_xlfn.NUMBERVALUE(LEFT(Table613612[[#This Row],[Fiscal Year]], 4))</f>
        <v>2017</v>
      </c>
      <c r="N2725" s="42">
        <f t="shared" si="41"/>
        <v>14609.176376988986</v>
      </c>
      <c r="O2725" s="3">
        <v>2723</v>
      </c>
    </row>
    <row r="2726" spans="1:15" x14ac:dyDescent="0.25">
      <c r="A2726" s="9">
        <v>8</v>
      </c>
      <c r="B2726" s="9" t="s">
        <v>299</v>
      </c>
      <c r="C2726" s="3" t="s">
        <v>19</v>
      </c>
      <c r="D2726" s="3" t="s">
        <v>446</v>
      </c>
      <c r="E2726" s="28" t="s">
        <v>144</v>
      </c>
      <c r="F2726" s="9" t="s">
        <v>8</v>
      </c>
      <c r="G2726" s="48" t="s">
        <v>321</v>
      </c>
      <c r="H2726" s="8"/>
      <c r="I2726" s="8"/>
      <c r="J2726" s="6" t="s">
        <v>455</v>
      </c>
      <c r="K2726" s="38">
        <v>105380.8</v>
      </c>
      <c r="L2726" s="4" t="s">
        <v>25</v>
      </c>
      <c r="M2726" s="11">
        <f>_xlfn.NUMBERVALUE(LEFT(Table613612[[#This Row],[Fiscal Year]], 4))</f>
        <v>2017</v>
      </c>
      <c r="N2726" s="42">
        <f t="shared" si="41"/>
        <v>108188.80491554469</v>
      </c>
      <c r="O2726" s="3">
        <v>2724</v>
      </c>
    </row>
    <row r="2727" spans="1:15" x14ac:dyDescent="0.25">
      <c r="A2727" s="9">
        <v>8</v>
      </c>
      <c r="B2727" s="9" t="s">
        <v>299</v>
      </c>
      <c r="C2727" s="3" t="s">
        <v>19</v>
      </c>
      <c r="D2727" s="3" t="s">
        <v>446</v>
      </c>
      <c r="E2727" s="28" t="s">
        <v>144</v>
      </c>
      <c r="F2727" s="9" t="s">
        <v>8</v>
      </c>
      <c r="G2727" s="48" t="s">
        <v>210</v>
      </c>
      <c r="H2727" s="8" t="s">
        <v>1127</v>
      </c>
      <c r="I2727" s="8" t="s">
        <v>429</v>
      </c>
      <c r="J2727" s="6" t="s">
        <v>107</v>
      </c>
      <c r="K2727" s="38" t="s">
        <v>1134</v>
      </c>
      <c r="L2727" s="4" t="s">
        <v>25</v>
      </c>
      <c r="M2727" s="11">
        <f>_xlfn.NUMBERVALUE(LEFT(Table613612[[#This Row],[Fiscal Year]], 4))</f>
        <v>2017</v>
      </c>
      <c r="O2727" s="3">
        <v>2725</v>
      </c>
    </row>
    <row r="2728" spans="1:15" x14ac:dyDescent="0.25">
      <c r="A2728" s="9">
        <v>8</v>
      </c>
      <c r="B2728" s="9" t="s">
        <v>299</v>
      </c>
      <c r="C2728" s="3" t="s">
        <v>19</v>
      </c>
      <c r="D2728" s="3" t="s">
        <v>446</v>
      </c>
      <c r="E2728" s="28" t="s">
        <v>144</v>
      </c>
      <c r="F2728" s="9" t="s">
        <v>8</v>
      </c>
      <c r="G2728" s="48" t="s">
        <v>209</v>
      </c>
      <c r="H2728" s="8" t="s">
        <v>1127</v>
      </c>
      <c r="I2728" s="8" t="s">
        <v>429</v>
      </c>
      <c r="J2728" s="6" t="s">
        <v>111</v>
      </c>
      <c r="K2728" s="38" t="s">
        <v>1134</v>
      </c>
      <c r="L2728" s="4" t="s">
        <v>25</v>
      </c>
      <c r="M2728" s="11">
        <f>_xlfn.NUMBERVALUE(LEFT(Table613612[[#This Row],[Fiscal Year]], 4))</f>
        <v>2017</v>
      </c>
      <c r="O2728" s="3">
        <v>2726</v>
      </c>
    </row>
    <row r="2729" spans="1:15" x14ac:dyDescent="0.25">
      <c r="A2729" s="9">
        <v>8</v>
      </c>
      <c r="B2729" s="9" t="s">
        <v>299</v>
      </c>
      <c r="C2729" s="3" t="s">
        <v>19</v>
      </c>
      <c r="D2729" s="3" t="s">
        <v>446</v>
      </c>
      <c r="E2729" s="28" t="s">
        <v>144</v>
      </c>
      <c r="F2729" s="9" t="s">
        <v>8</v>
      </c>
      <c r="G2729" s="48" t="s">
        <v>325</v>
      </c>
      <c r="H2729" s="8" t="s">
        <v>1128</v>
      </c>
      <c r="I2729" s="8" t="s">
        <v>429</v>
      </c>
      <c r="J2729" s="6" t="s">
        <v>109</v>
      </c>
      <c r="K2729" s="38" t="s">
        <v>1135</v>
      </c>
      <c r="L2729" s="4" t="s">
        <v>25</v>
      </c>
      <c r="M2729" s="11">
        <f>_xlfn.NUMBERVALUE(LEFT(Table613612[[#This Row],[Fiscal Year]], 4))</f>
        <v>2017</v>
      </c>
      <c r="O2729" s="3">
        <v>2727</v>
      </c>
    </row>
    <row r="2730" spans="1:15" x14ac:dyDescent="0.25">
      <c r="A2730" s="9">
        <v>8</v>
      </c>
      <c r="B2730" s="9" t="s">
        <v>299</v>
      </c>
      <c r="C2730" s="3" t="s">
        <v>19</v>
      </c>
      <c r="D2730" s="3" t="s">
        <v>446</v>
      </c>
      <c r="E2730" s="28" t="s">
        <v>144</v>
      </c>
      <c r="F2730" s="9" t="s">
        <v>8</v>
      </c>
      <c r="G2730" s="48" t="s">
        <v>326</v>
      </c>
      <c r="H2730" s="8" t="s">
        <v>1129</v>
      </c>
      <c r="I2730" s="8" t="s">
        <v>429</v>
      </c>
      <c r="J2730" s="6" t="s">
        <v>106</v>
      </c>
      <c r="K2730" s="38" t="s">
        <v>1136</v>
      </c>
      <c r="L2730" s="4" t="s">
        <v>25</v>
      </c>
      <c r="M2730" s="11">
        <f>_xlfn.NUMBERVALUE(LEFT(Table613612[[#This Row],[Fiscal Year]], 4))</f>
        <v>2017</v>
      </c>
      <c r="O2730" s="3">
        <v>2728</v>
      </c>
    </row>
    <row r="2731" spans="1:15" x14ac:dyDescent="0.25">
      <c r="A2731" s="9">
        <v>8</v>
      </c>
      <c r="B2731" s="9" t="s">
        <v>299</v>
      </c>
      <c r="C2731" s="3" t="s">
        <v>19</v>
      </c>
      <c r="D2731" s="3" t="s">
        <v>446</v>
      </c>
      <c r="E2731" s="28" t="s">
        <v>144</v>
      </c>
      <c r="F2731" s="9" t="s">
        <v>8</v>
      </c>
      <c r="G2731" s="48" t="s">
        <v>327</v>
      </c>
      <c r="H2731" s="8" t="s">
        <v>1130</v>
      </c>
      <c r="I2731" s="8" t="s">
        <v>429</v>
      </c>
      <c r="J2731" s="6" t="s">
        <v>108</v>
      </c>
      <c r="K2731" s="38" t="s">
        <v>1137</v>
      </c>
      <c r="L2731" s="4" t="s">
        <v>25</v>
      </c>
      <c r="M2731" s="11">
        <f>_xlfn.NUMBERVALUE(LEFT(Table613612[[#This Row],[Fiscal Year]], 4))</f>
        <v>2017</v>
      </c>
      <c r="O2731" s="3">
        <v>2729</v>
      </c>
    </row>
    <row r="2732" spans="1:15" x14ac:dyDescent="0.25">
      <c r="A2732" s="9">
        <v>8</v>
      </c>
      <c r="B2732" s="9" t="s">
        <v>299</v>
      </c>
      <c r="C2732" s="3" t="s">
        <v>19</v>
      </c>
      <c r="D2732" s="3" t="s">
        <v>446</v>
      </c>
      <c r="E2732" s="28" t="s">
        <v>144</v>
      </c>
      <c r="F2732" s="9" t="s">
        <v>8</v>
      </c>
      <c r="G2732" s="48" t="s">
        <v>328</v>
      </c>
      <c r="H2732" s="8" t="s">
        <v>1132</v>
      </c>
      <c r="I2732" s="8" t="s">
        <v>429</v>
      </c>
      <c r="J2732" s="6" t="s">
        <v>42</v>
      </c>
      <c r="K2732" s="38" t="s">
        <v>1138</v>
      </c>
      <c r="L2732" s="4" t="s">
        <v>25</v>
      </c>
      <c r="M2732" s="11">
        <f>_xlfn.NUMBERVALUE(LEFT(Table613612[[#This Row],[Fiscal Year]], 4))</f>
        <v>2017</v>
      </c>
      <c r="O2732" s="3">
        <v>2730</v>
      </c>
    </row>
    <row r="2733" spans="1:15" x14ac:dyDescent="0.25">
      <c r="A2733" s="9">
        <v>8</v>
      </c>
      <c r="B2733" s="9" t="s">
        <v>299</v>
      </c>
      <c r="C2733" s="3" t="s">
        <v>19</v>
      </c>
      <c r="D2733" s="3" t="s">
        <v>446</v>
      </c>
      <c r="E2733" s="28" t="s">
        <v>144</v>
      </c>
      <c r="F2733" s="9" t="s">
        <v>8</v>
      </c>
      <c r="G2733" s="48" t="s">
        <v>78</v>
      </c>
      <c r="H2733" s="8" t="s">
        <v>1131</v>
      </c>
      <c r="I2733" s="8" t="s">
        <v>429</v>
      </c>
      <c r="J2733" s="6" t="s">
        <v>47</v>
      </c>
      <c r="K2733" s="40" t="s">
        <v>1139</v>
      </c>
      <c r="L2733" s="4" t="s">
        <v>25</v>
      </c>
      <c r="M2733" s="11">
        <f>_xlfn.NUMBERVALUE(LEFT(Table613612[[#This Row],[Fiscal Year]], 4))</f>
        <v>2017</v>
      </c>
      <c r="O2733" s="3">
        <v>2731</v>
      </c>
    </row>
    <row r="2734" spans="1:15" x14ac:dyDescent="0.25">
      <c r="A2734" s="9">
        <v>8</v>
      </c>
      <c r="B2734" s="9" t="s">
        <v>299</v>
      </c>
      <c r="C2734" s="3" t="s">
        <v>19</v>
      </c>
      <c r="D2734" s="3" t="s">
        <v>446</v>
      </c>
      <c r="E2734" s="28" t="s">
        <v>144</v>
      </c>
      <c r="F2734" s="9" t="s">
        <v>8</v>
      </c>
      <c r="G2734" s="48" t="s">
        <v>329</v>
      </c>
      <c r="H2734" s="8" t="s">
        <v>1131</v>
      </c>
      <c r="I2734" s="8" t="s">
        <v>429</v>
      </c>
      <c r="J2734" s="6" t="s">
        <v>455</v>
      </c>
      <c r="K2734" s="40" t="s">
        <v>1139</v>
      </c>
      <c r="L2734" s="4" t="s">
        <v>25</v>
      </c>
      <c r="M2734" s="11">
        <f>_xlfn.NUMBERVALUE(LEFT(Table613612[[#This Row],[Fiscal Year]], 4))</f>
        <v>2017</v>
      </c>
      <c r="O2734" s="3">
        <v>2732</v>
      </c>
    </row>
    <row r="2735" spans="1:15" x14ac:dyDescent="0.25">
      <c r="A2735" s="9">
        <v>8</v>
      </c>
      <c r="B2735" s="9" t="s">
        <v>299</v>
      </c>
      <c r="C2735" s="3" t="s">
        <v>19</v>
      </c>
      <c r="D2735" s="3" t="s">
        <v>446</v>
      </c>
      <c r="E2735" s="28" t="s">
        <v>144</v>
      </c>
      <c r="F2735" s="9" t="s">
        <v>8</v>
      </c>
      <c r="G2735" s="48" t="s">
        <v>434</v>
      </c>
      <c r="H2735" s="8" t="s">
        <v>1133</v>
      </c>
      <c r="I2735" s="8" t="s">
        <v>429</v>
      </c>
      <c r="J2735" s="6" t="s">
        <v>605</v>
      </c>
      <c r="K2735" s="38">
        <v>28841</v>
      </c>
      <c r="L2735" s="4" t="s">
        <v>25</v>
      </c>
      <c r="M2735" s="11">
        <f>_xlfn.NUMBERVALUE(LEFT(Table613612[[#This Row],[Fiscal Year]], 4))</f>
        <v>2017</v>
      </c>
      <c r="N2735" s="42">
        <f t="shared" si="41"/>
        <v>29609.504981640152</v>
      </c>
      <c r="O2735" s="3">
        <v>2733</v>
      </c>
    </row>
    <row r="2736" spans="1:15" x14ac:dyDescent="0.25">
      <c r="E2736" s="11"/>
      <c r="G2736" s="66"/>
      <c r="H2736" s="8"/>
      <c r="I2736" s="8"/>
      <c r="J2736" s="6"/>
      <c r="L2736" s="4"/>
      <c r="O2736" s="3">
        <v>2734</v>
      </c>
    </row>
    <row r="2737" spans="1:15" x14ac:dyDescent="0.25">
      <c r="A2737" s="3">
        <v>8</v>
      </c>
      <c r="B2737" s="5" t="s">
        <v>1440</v>
      </c>
      <c r="C2737" s="3" t="s">
        <v>1440</v>
      </c>
      <c r="D2737" s="3" t="s">
        <v>446</v>
      </c>
      <c r="E2737" s="11" t="s">
        <v>144</v>
      </c>
      <c r="F2737" s="3" t="s">
        <v>5</v>
      </c>
      <c r="G2737" s="48" t="s">
        <v>32</v>
      </c>
      <c r="H2737" s="8"/>
      <c r="I2737" s="47" t="s">
        <v>578</v>
      </c>
      <c r="J2737" s="6" t="s">
        <v>110</v>
      </c>
      <c r="L2737" s="4" t="s">
        <v>29</v>
      </c>
      <c r="M2737" s="11">
        <f>_xlfn.NUMBERVALUE(LEFT(Table613612[[#This Row],[Fiscal Year]], 4))</f>
        <v>2015</v>
      </c>
      <c r="N2737" s="42">
        <f t="shared" si="41"/>
        <v>0</v>
      </c>
      <c r="O2737" s="3">
        <v>2735</v>
      </c>
    </row>
    <row r="2738" spans="1:15" x14ac:dyDescent="0.25">
      <c r="A2738" s="3">
        <v>8</v>
      </c>
      <c r="B2738" s="5" t="s">
        <v>1440</v>
      </c>
      <c r="C2738" s="3" t="s">
        <v>1440</v>
      </c>
      <c r="D2738" s="3" t="s">
        <v>446</v>
      </c>
      <c r="E2738" s="11" t="s">
        <v>144</v>
      </c>
      <c r="F2738" s="3" t="s">
        <v>5</v>
      </c>
      <c r="G2738" s="48" t="s">
        <v>98</v>
      </c>
      <c r="H2738" s="8"/>
      <c r="I2738" s="8"/>
      <c r="J2738" s="6" t="s">
        <v>106</v>
      </c>
      <c r="K2738" s="38" t="s">
        <v>435</v>
      </c>
      <c r="L2738" s="4" t="s">
        <v>29</v>
      </c>
      <c r="M2738" s="11">
        <f>_xlfn.NUMBERVALUE(LEFT(Table613612[[#This Row],[Fiscal Year]], 4))</f>
        <v>2015</v>
      </c>
      <c r="O2738" s="3">
        <v>2736</v>
      </c>
    </row>
    <row r="2739" spans="1:15" x14ac:dyDescent="0.25">
      <c r="A2739" s="3">
        <v>8</v>
      </c>
      <c r="B2739" s="5" t="s">
        <v>1440</v>
      </c>
      <c r="C2739" s="3" t="s">
        <v>1440</v>
      </c>
      <c r="D2739" s="3" t="s">
        <v>446</v>
      </c>
      <c r="E2739" s="11" t="s">
        <v>144</v>
      </c>
      <c r="F2739" s="3" t="s">
        <v>5</v>
      </c>
      <c r="G2739" s="66" t="s">
        <v>99</v>
      </c>
      <c r="H2739" s="8"/>
      <c r="I2739" s="8"/>
      <c r="J2739" s="6" t="s">
        <v>455</v>
      </c>
      <c r="K2739" s="38" t="s">
        <v>436</v>
      </c>
      <c r="L2739" s="4" t="s">
        <v>29</v>
      </c>
      <c r="M2739" s="11">
        <f>_xlfn.NUMBERVALUE(LEFT(Table613612[[#This Row],[Fiscal Year]], 4))</f>
        <v>2015</v>
      </c>
      <c r="O2739" s="3">
        <v>2737</v>
      </c>
    </row>
    <row r="2740" spans="1:15" x14ac:dyDescent="0.25">
      <c r="A2740" s="3">
        <v>8</v>
      </c>
      <c r="B2740" s="5" t="s">
        <v>1440</v>
      </c>
      <c r="C2740" s="3" t="s">
        <v>1440</v>
      </c>
      <c r="D2740" s="3" t="s">
        <v>446</v>
      </c>
      <c r="E2740" s="11" t="s">
        <v>144</v>
      </c>
      <c r="F2740" s="3" t="s">
        <v>5</v>
      </c>
      <c r="G2740" s="66" t="s">
        <v>100</v>
      </c>
      <c r="H2740" s="8" t="s">
        <v>579</v>
      </c>
      <c r="I2740" s="47" t="s">
        <v>578</v>
      </c>
      <c r="J2740" s="6" t="s">
        <v>605</v>
      </c>
      <c r="L2740" s="4" t="s">
        <v>29</v>
      </c>
      <c r="M2740" s="11">
        <f>_xlfn.NUMBERVALUE(LEFT(Table613612[[#This Row],[Fiscal Year]], 4))</f>
        <v>2015</v>
      </c>
      <c r="N2740" s="42">
        <f t="shared" si="41"/>
        <v>0</v>
      </c>
      <c r="O2740" s="3">
        <v>2738</v>
      </c>
    </row>
    <row r="2741" spans="1:15" x14ac:dyDescent="0.25">
      <c r="A2741" s="3">
        <v>8</v>
      </c>
      <c r="B2741" s="5" t="s">
        <v>1440</v>
      </c>
      <c r="C2741" s="3" t="s">
        <v>1440</v>
      </c>
      <c r="D2741" s="3" t="s">
        <v>446</v>
      </c>
      <c r="E2741" s="11" t="s">
        <v>144</v>
      </c>
      <c r="F2741" s="3" t="s">
        <v>5</v>
      </c>
      <c r="G2741" s="48" t="s">
        <v>101</v>
      </c>
      <c r="H2741" s="8"/>
      <c r="I2741" s="8"/>
      <c r="J2741" s="6" t="s">
        <v>108</v>
      </c>
      <c r="L2741" s="4" t="s">
        <v>29</v>
      </c>
      <c r="M2741" s="11">
        <f>_xlfn.NUMBERVALUE(LEFT(Table613612[[#This Row],[Fiscal Year]], 4))</f>
        <v>2015</v>
      </c>
      <c r="N2741" s="42">
        <f t="shared" si="41"/>
        <v>0</v>
      </c>
      <c r="O2741" s="3">
        <v>2739</v>
      </c>
    </row>
    <row r="2742" spans="1:15" x14ac:dyDescent="0.25">
      <c r="A2742" s="3">
        <v>8</v>
      </c>
      <c r="B2742" s="5" t="s">
        <v>1440</v>
      </c>
      <c r="C2742" s="3" t="s">
        <v>1440</v>
      </c>
      <c r="D2742" s="3" t="s">
        <v>446</v>
      </c>
      <c r="E2742" s="11" t="s">
        <v>144</v>
      </c>
      <c r="F2742" s="3" t="s">
        <v>5</v>
      </c>
      <c r="G2742" s="66" t="s">
        <v>102</v>
      </c>
      <c r="H2742" s="8"/>
      <c r="I2742" s="8"/>
      <c r="J2742" s="6" t="s">
        <v>455</v>
      </c>
      <c r="L2742" s="4" t="s">
        <v>29</v>
      </c>
      <c r="M2742" s="11">
        <f>_xlfn.NUMBERVALUE(LEFT(Table613612[[#This Row],[Fiscal Year]], 4))</f>
        <v>2015</v>
      </c>
      <c r="N2742" s="42">
        <f t="shared" si="41"/>
        <v>0</v>
      </c>
      <c r="O2742" s="3">
        <v>2740</v>
      </c>
    </row>
    <row r="2743" spans="1:15" x14ac:dyDescent="0.25">
      <c r="A2743" s="3">
        <v>8</v>
      </c>
      <c r="B2743" s="5" t="s">
        <v>1440</v>
      </c>
      <c r="C2743" s="3" t="s">
        <v>1440</v>
      </c>
      <c r="D2743" s="3" t="s">
        <v>446</v>
      </c>
      <c r="E2743" s="11" t="s">
        <v>144</v>
      </c>
      <c r="F2743" s="3" t="s">
        <v>5</v>
      </c>
      <c r="G2743" s="66" t="s">
        <v>97</v>
      </c>
      <c r="H2743" s="8"/>
      <c r="I2743" s="8"/>
      <c r="J2743" s="6" t="s">
        <v>42</v>
      </c>
      <c r="L2743" s="4" t="s">
        <v>29</v>
      </c>
      <c r="M2743" s="11">
        <f>_xlfn.NUMBERVALUE(LEFT(Table613612[[#This Row],[Fiscal Year]], 4))</f>
        <v>2015</v>
      </c>
      <c r="N2743" s="42">
        <f t="shared" si="41"/>
        <v>0</v>
      </c>
      <c r="O2743" s="3">
        <v>2741</v>
      </c>
    </row>
    <row r="2744" spans="1:15" x14ac:dyDescent="0.25">
      <c r="E2744" s="11"/>
      <c r="G2744" s="66"/>
      <c r="H2744" s="8"/>
      <c r="I2744" s="8"/>
      <c r="J2744" s="6"/>
      <c r="L2744" s="4"/>
      <c r="O2744" s="3">
        <v>2742</v>
      </c>
    </row>
    <row r="2745" spans="1:15" x14ac:dyDescent="0.25">
      <c r="A2745" s="3">
        <v>9</v>
      </c>
      <c r="B2745" s="3" t="s">
        <v>1434</v>
      </c>
      <c r="C2745" s="3" t="s">
        <v>1434</v>
      </c>
      <c r="D2745" s="3" t="s">
        <v>21</v>
      </c>
      <c r="E2745" s="11" t="s">
        <v>144</v>
      </c>
      <c r="F2745" s="3" t="s">
        <v>8</v>
      </c>
      <c r="G2745" s="48" t="s">
        <v>1140</v>
      </c>
      <c r="H2745" s="6"/>
      <c r="I2745" s="8"/>
      <c r="J2745" s="6" t="s">
        <v>110</v>
      </c>
      <c r="K2745" s="38">
        <v>10552305</v>
      </c>
      <c r="L2745" s="4" t="s">
        <v>25</v>
      </c>
      <c r="M2745" s="11">
        <f>_xlfn.NUMBERVALUE(LEFT(Table613612[[#This Row],[Fiscal Year]], 4))</f>
        <v>2017</v>
      </c>
      <c r="N2745" s="42">
        <f t="shared" si="41"/>
        <v>10833484.534700124</v>
      </c>
      <c r="O2745" s="3">
        <v>2743</v>
      </c>
    </row>
    <row r="2746" spans="1:15" x14ac:dyDescent="0.25">
      <c r="A2746" s="3">
        <v>9</v>
      </c>
      <c r="B2746" s="3" t="s">
        <v>1434</v>
      </c>
      <c r="C2746" s="3" t="s">
        <v>1434</v>
      </c>
      <c r="D2746" s="3" t="s">
        <v>21</v>
      </c>
      <c r="E2746" s="11" t="s">
        <v>144</v>
      </c>
      <c r="F2746" s="3" t="s">
        <v>8</v>
      </c>
      <c r="G2746" s="48" t="s">
        <v>1141</v>
      </c>
      <c r="H2746" s="8" t="s">
        <v>582</v>
      </c>
      <c r="I2746" s="47" t="s">
        <v>580</v>
      </c>
      <c r="J2746" s="6" t="s">
        <v>111</v>
      </c>
      <c r="K2746" s="38">
        <v>1965750</v>
      </c>
      <c r="L2746" s="4" t="s">
        <v>25</v>
      </c>
      <c r="M2746" s="11">
        <f>_xlfn.NUMBERVALUE(LEFT(Table613612[[#This Row],[Fiscal Year]], 4))</f>
        <v>2017</v>
      </c>
      <c r="N2746" s="42">
        <f t="shared" si="41"/>
        <v>2018129.8990208081</v>
      </c>
      <c r="O2746" s="3">
        <v>2744</v>
      </c>
    </row>
    <row r="2747" spans="1:15" x14ac:dyDescent="0.25">
      <c r="A2747" s="3">
        <v>9</v>
      </c>
      <c r="B2747" s="3" t="s">
        <v>1434</v>
      </c>
      <c r="C2747" s="3" t="s">
        <v>1434</v>
      </c>
      <c r="D2747" s="3" t="s">
        <v>21</v>
      </c>
      <c r="E2747" s="11" t="s">
        <v>144</v>
      </c>
      <c r="F2747" s="3" t="s">
        <v>8</v>
      </c>
      <c r="G2747" s="66" t="s">
        <v>1142</v>
      </c>
      <c r="H2747" s="8"/>
      <c r="I2747" s="8"/>
      <c r="J2747" s="6" t="s">
        <v>107</v>
      </c>
      <c r="K2747" s="38">
        <v>854195</v>
      </c>
      <c r="L2747" s="4" t="s">
        <v>25</v>
      </c>
      <c r="M2747" s="11">
        <f>_xlfn.NUMBERVALUE(LEFT(Table613612[[#This Row],[Fiscal Year]], 4))</f>
        <v>2017</v>
      </c>
      <c r="N2747" s="42">
        <f t="shared" si="41"/>
        <v>876956.10789473692</v>
      </c>
      <c r="O2747" s="3">
        <v>2745</v>
      </c>
    </row>
    <row r="2748" spans="1:15" x14ac:dyDescent="0.25">
      <c r="A2748" s="3">
        <v>9</v>
      </c>
      <c r="B2748" s="3" t="s">
        <v>1434</v>
      </c>
      <c r="C2748" s="3" t="s">
        <v>1434</v>
      </c>
      <c r="D2748" s="3" t="s">
        <v>21</v>
      </c>
      <c r="E2748" s="11" t="s">
        <v>144</v>
      </c>
      <c r="F2748" s="3" t="s">
        <v>8</v>
      </c>
      <c r="G2748" s="48" t="s">
        <v>1143</v>
      </c>
      <c r="H2748" s="8" t="s">
        <v>665</v>
      </c>
      <c r="I2748" s="70" t="s">
        <v>664</v>
      </c>
      <c r="J2748" s="6" t="s">
        <v>108</v>
      </c>
      <c r="K2748" s="38">
        <v>35368156</v>
      </c>
      <c r="L2748" s="4" t="s">
        <v>25</v>
      </c>
      <c r="M2748" s="11">
        <f>_xlfn.NUMBERVALUE(LEFT(Table613612[[#This Row],[Fiscal Year]], 4))</f>
        <v>2017</v>
      </c>
      <c r="N2748" s="42">
        <f t="shared" si="41"/>
        <v>36310585.322056308</v>
      </c>
      <c r="O2748" s="3">
        <v>2746</v>
      </c>
    </row>
    <row r="2749" spans="1:15" x14ac:dyDescent="0.25">
      <c r="A2749" s="3">
        <v>9</v>
      </c>
      <c r="B2749" s="3" t="s">
        <v>1434</v>
      </c>
      <c r="C2749" s="3" t="s">
        <v>1434</v>
      </c>
      <c r="D2749" s="3" t="s">
        <v>21</v>
      </c>
      <c r="E2749" s="11" t="s">
        <v>144</v>
      </c>
      <c r="F2749" s="3" t="s">
        <v>8</v>
      </c>
      <c r="G2749" s="48" t="s">
        <v>1144</v>
      </c>
      <c r="H2749" s="8"/>
      <c r="I2749" s="8"/>
      <c r="J2749" s="6" t="s">
        <v>76</v>
      </c>
      <c r="K2749" s="38">
        <v>1196196</v>
      </c>
      <c r="L2749" s="4" t="s">
        <v>25</v>
      </c>
      <c r="M2749" s="11">
        <f>_xlfn.NUMBERVALUE(LEFT(Table613612[[#This Row],[Fiscal Year]], 4))</f>
        <v>2017</v>
      </c>
      <c r="N2749" s="42">
        <f t="shared" si="41"/>
        <v>1228070.1577968178</v>
      </c>
      <c r="O2749" s="3">
        <v>2747</v>
      </c>
    </row>
    <row r="2750" spans="1:15" x14ac:dyDescent="0.25">
      <c r="A2750" s="3">
        <v>9</v>
      </c>
      <c r="B2750" s="3" t="s">
        <v>1434</v>
      </c>
      <c r="C2750" s="3" t="s">
        <v>1434</v>
      </c>
      <c r="D2750" s="3" t="s">
        <v>21</v>
      </c>
      <c r="E2750" s="11" t="s">
        <v>144</v>
      </c>
      <c r="F2750" s="3" t="s">
        <v>8</v>
      </c>
      <c r="G2750" s="66" t="s">
        <v>1145</v>
      </c>
      <c r="H2750" s="8"/>
      <c r="I2750" s="8"/>
      <c r="J2750" s="6" t="s">
        <v>109</v>
      </c>
      <c r="K2750" s="38">
        <v>1706604</v>
      </c>
      <c r="L2750" s="4" t="s">
        <v>25</v>
      </c>
      <c r="M2750" s="11">
        <f>_xlfn.NUMBERVALUE(LEFT(Table613612[[#This Row],[Fiscal Year]], 4))</f>
        <v>2017</v>
      </c>
      <c r="N2750" s="42">
        <f t="shared" si="41"/>
        <v>1752078.6255569158</v>
      </c>
      <c r="O2750" s="3">
        <v>2748</v>
      </c>
    </row>
    <row r="2751" spans="1:15" x14ac:dyDescent="0.25">
      <c r="A2751" s="3">
        <v>9</v>
      </c>
      <c r="B2751" s="3" t="s">
        <v>1434</v>
      </c>
      <c r="C2751" s="3" t="s">
        <v>1434</v>
      </c>
      <c r="D2751" s="3" t="s">
        <v>21</v>
      </c>
      <c r="E2751" s="11" t="s">
        <v>144</v>
      </c>
      <c r="F2751" s="3" t="s">
        <v>8</v>
      </c>
      <c r="G2751" s="66" t="s">
        <v>1146</v>
      </c>
      <c r="H2751" s="8"/>
      <c r="I2751" s="8"/>
      <c r="J2751" s="6" t="s">
        <v>453</v>
      </c>
      <c r="K2751" s="38">
        <v>6591636</v>
      </c>
      <c r="L2751" s="4" t="s">
        <v>25</v>
      </c>
      <c r="M2751" s="11">
        <f>_xlfn.NUMBERVALUE(LEFT(Table613612[[#This Row],[Fiscal Year]], 4))</f>
        <v>2017</v>
      </c>
      <c r="N2751" s="42">
        <f t="shared" si="41"/>
        <v>6767278.4917013468</v>
      </c>
      <c r="O2751" s="3">
        <v>2749</v>
      </c>
    </row>
    <row r="2752" spans="1:15" x14ac:dyDescent="0.25">
      <c r="A2752" s="3">
        <v>9</v>
      </c>
      <c r="B2752" s="3" t="s">
        <v>1434</v>
      </c>
      <c r="C2752" s="3" t="s">
        <v>1434</v>
      </c>
      <c r="D2752" s="3" t="s">
        <v>21</v>
      </c>
      <c r="E2752" s="11" t="s">
        <v>144</v>
      </c>
      <c r="F2752" s="3" t="s">
        <v>8</v>
      </c>
      <c r="G2752" s="66" t="s">
        <v>1147</v>
      </c>
      <c r="H2752" s="8"/>
      <c r="I2752" s="8"/>
      <c r="J2752" s="6" t="s">
        <v>106</v>
      </c>
      <c r="K2752" s="38">
        <v>7680158</v>
      </c>
      <c r="L2752" s="4" t="s">
        <v>25</v>
      </c>
      <c r="M2752" s="11">
        <f>_xlfn.NUMBERVALUE(LEFT(Table613612[[#This Row],[Fiscal Year]], 4))</f>
        <v>2017</v>
      </c>
      <c r="N2752" s="42">
        <f t="shared" si="41"/>
        <v>7884805.5393635258</v>
      </c>
      <c r="O2752" s="3">
        <v>2750</v>
      </c>
    </row>
    <row r="2753" spans="1:15" x14ac:dyDescent="0.25">
      <c r="A2753" s="3">
        <v>9</v>
      </c>
      <c r="B2753" s="3" t="s">
        <v>1434</v>
      </c>
      <c r="C2753" s="3" t="s">
        <v>1434</v>
      </c>
      <c r="D2753" s="3" t="s">
        <v>21</v>
      </c>
      <c r="E2753" s="11" t="s">
        <v>144</v>
      </c>
      <c r="F2753" s="3" t="s">
        <v>8</v>
      </c>
      <c r="G2753" s="48" t="s">
        <v>1148</v>
      </c>
      <c r="H2753" s="8"/>
      <c r="I2753" s="8"/>
      <c r="J2753" s="6" t="s">
        <v>605</v>
      </c>
      <c r="K2753" s="38">
        <v>986995</v>
      </c>
      <c r="L2753" s="4" t="s">
        <v>25</v>
      </c>
      <c r="M2753" s="11">
        <f>_xlfn.NUMBERVALUE(LEFT(Table613612[[#This Row],[Fiscal Year]], 4))</f>
        <v>2017</v>
      </c>
      <c r="N2753" s="42">
        <f t="shared" si="41"/>
        <v>1013294.7321297431</v>
      </c>
      <c r="O2753" s="3">
        <v>2751</v>
      </c>
    </row>
    <row r="2754" spans="1:15" x14ac:dyDescent="0.25">
      <c r="A2754" s="3">
        <v>9</v>
      </c>
      <c r="B2754" s="3" t="s">
        <v>1434</v>
      </c>
      <c r="C2754" s="3" t="s">
        <v>1434</v>
      </c>
      <c r="D2754" s="3" t="s">
        <v>21</v>
      </c>
      <c r="E2754" s="11" t="s">
        <v>144</v>
      </c>
      <c r="F2754" s="3" t="s">
        <v>8</v>
      </c>
      <c r="G2754" s="48" t="s">
        <v>1149</v>
      </c>
      <c r="H2754" s="8"/>
      <c r="I2754" s="8"/>
      <c r="J2754" s="6" t="s">
        <v>605</v>
      </c>
      <c r="K2754" s="38">
        <v>1124027</v>
      </c>
      <c r="L2754" s="4" t="s">
        <v>25</v>
      </c>
      <c r="M2754" s="11">
        <f>_xlfn.NUMBERVALUE(LEFT(Table613612[[#This Row],[Fiscal Year]], 4))</f>
        <v>2017</v>
      </c>
      <c r="N2754" s="42">
        <f t="shared" si="41"/>
        <v>1153978.1233659731</v>
      </c>
      <c r="O2754" s="3">
        <v>2752</v>
      </c>
    </row>
    <row r="2755" spans="1:15" x14ac:dyDescent="0.25">
      <c r="A2755" s="3">
        <v>9</v>
      </c>
      <c r="B2755" s="3" t="s">
        <v>1434</v>
      </c>
      <c r="C2755" s="3" t="s">
        <v>1434</v>
      </c>
      <c r="D2755" s="3" t="s">
        <v>21</v>
      </c>
      <c r="E2755" s="11" t="s">
        <v>144</v>
      </c>
      <c r="F2755" s="3" t="s">
        <v>8</v>
      </c>
      <c r="G2755" s="48" t="s">
        <v>1150</v>
      </c>
      <c r="H2755" s="8"/>
      <c r="I2755" s="8"/>
      <c r="J2755" s="6" t="s">
        <v>605</v>
      </c>
      <c r="K2755" s="38">
        <v>1087300</v>
      </c>
      <c r="L2755" s="4" t="s">
        <v>25</v>
      </c>
      <c r="M2755" s="11">
        <f>_xlfn.NUMBERVALUE(LEFT(Table613612[[#This Row],[Fiscal Year]], 4))</f>
        <v>2017</v>
      </c>
      <c r="N2755" s="42">
        <f t="shared" si="41"/>
        <v>1116272.4859241128</v>
      </c>
      <c r="O2755" s="3">
        <v>2753</v>
      </c>
    </row>
    <row r="2756" spans="1:15" x14ac:dyDescent="0.25">
      <c r="A2756" s="3">
        <v>9</v>
      </c>
      <c r="B2756" s="3" t="s">
        <v>1434</v>
      </c>
      <c r="C2756" s="3" t="s">
        <v>1434</v>
      </c>
      <c r="D2756" s="3" t="s">
        <v>21</v>
      </c>
      <c r="E2756" s="11" t="s">
        <v>144</v>
      </c>
      <c r="F2756" s="3" t="s">
        <v>8</v>
      </c>
      <c r="G2756" s="48" t="s">
        <v>1151</v>
      </c>
      <c r="H2756" s="8"/>
      <c r="I2756" s="8"/>
      <c r="J2756" s="6" t="s">
        <v>605</v>
      </c>
      <c r="K2756" s="38">
        <v>1016177</v>
      </c>
      <c r="L2756" s="4" t="s">
        <v>25</v>
      </c>
      <c r="M2756" s="11">
        <f>_xlfn.NUMBERVALUE(LEFT(Table613612[[#This Row],[Fiscal Year]], 4))</f>
        <v>2017</v>
      </c>
      <c r="N2756" s="42">
        <f t="shared" si="41"/>
        <v>1043254.3234883723</v>
      </c>
      <c r="O2756" s="3">
        <v>2754</v>
      </c>
    </row>
    <row r="2757" spans="1:15" x14ac:dyDescent="0.25">
      <c r="A2757" s="3">
        <v>9</v>
      </c>
      <c r="B2757" s="3" t="s">
        <v>1434</v>
      </c>
      <c r="C2757" s="3" t="s">
        <v>1434</v>
      </c>
      <c r="D2757" s="3" t="s">
        <v>21</v>
      </c>
      <c r="E2757" s="11" t="s">
        <v>144</v>
      </c>
      <c r="F2757" s="3" t="s">
        <v>8</v>
      </c>
      <c r="G2757" s="48" t="s">
        <v>1152</v>
      </c>
      <c r="H2757" s="8"/>
      <c r="I2757" s="8"/>
      <c r="J2757" s="6" t="s">
        <v>605</v>
      </c>
      <c r="K2757" s="38">
        <v>2528113</v>
      </c>
      <c r="L2757" s="4" t="s">
        <v>25</v>
      </c>
      <c r="M2757" s="11">
        <f>_xlfn.NUMBERVALUE(LEFT(Table613612[[#This Row],[Fiscal Year]], 4))</f>
        <v>2017</v>
      </c>
      <c r="N2757" s="42">
        <f t="shared" si="41"/>
        <v>2595477.7735740519</v>
      </c>
      <c r="O2757" s="3">
        <v>2755</v>
      </c>
    </row>
    <row r="2758" spans="1:15" x14ac:dyDescent="0.25">
      <c r="A2758" s="3">
        <v>9</v>
      </c>
      <c r="B2758" s="3" t="s">
        <v>1434</v>
      </c>
      <c r="C2758" s="3" t="s">
        <v>1434</v>
      </c>
      <c r="D2758" s="3" t="s">
        <v>21</v>
      </c>
      <c r="E2758" s="11" t="s">
        <v>144</v>
      </c>
      <c r="F2758" s="3" t="s">
        <v>8</v>
      </c>
      <c r="G2758" s="48" t="s">
        <v>1153</v>
      </c>
      <c r="H2758" s="8"/>
      <c r="I2758" s="8"/>
      <c r="J2758" s="6" t="s">
        <v>605</v>
      </c>
      <c r="K2758" s="38">
        <v>1210676</v>
      </c>
      <c r="L2758" s="4" t="s">
        <v>25</v>
      </c>
      <c r="M2758" s="11">
        <f>_xlfn.NUMBERVALUE(LEFT(Table613612[[#This Row],[Fiscal Year]], 4))</f>
        <v>2017</v>
      </c>
      <c r="N2758" s="42">
        <f t="shared" si="41"/>
        <v>1242935.9957405142</v>
      </c>
      <c r="O2758" s="3">
        <v>2756</v>
      </c>
    </row>
    <row r="2759" spans="1:15" x14ac:dyDescent="0.25">
      <c r="A2759" s="3">
        <v>9</v>
      </c>
      <c r="B2759" s="3" t="s">
        <v>1434</v>
      </c>
      <c r="C2759" s="3" t="s">
        <v>1434</v>
      </c>
      <c r="D2759" s="3" t="s">
        <v>21</v>
      </c>
      <c r="E2759" s="11" t="s">
        <v>144</v>
      </c>
      <c r="F2759" s="3" t="s">
        <v>8</v>
      </c>
      <c r="G2759" s="48" t="s">
        <v>1154</v>
      </c>
      <c r="H2759" s="8"/>
      <c r="I2759" s="8"/>
      <c r="J2759" s="6" t="s">
        <v>455</v>
      </c>
      <c r="K2759" s="38">
        <v>249000</v>
      </c>
      <c r="L2759" s="4" t="s">
        <v>25</v>
      </c>
      <c r="M2759" s="11">
        <f>_xlfn.NUMBERVALUE(LEFT(Table613612[[#This Row],[Fiscal Year]], 4))</f>
        <v>2017</v>
      </c>
      <c r="N2759" s="42">
        <f t="shared" si="41"/>
        <v>255634.92044063652</v>
      </c>
      <c r="O2759" s="3">
        <v>2757</v>
      </c>
    </row>
    <row r="2760" spans="1:15" x14ac:dyDescent="0.25">
      <c r="A2760" s="3">
        <v>9</v>
      </c>
      <c r="B2760" s="3" t="s">
        <v>1434</v>
      </c>
      <c r="C2760" s="3" t="s">
        <v>1434</v>
      </c>
      <c r="D2760" s="3" t="s">
        <v>21</v>
      </c>
      <c r="E2760" s="11" t="s">
        <v>144</v>
      </c>
      <c r="F2760" s="3" t="s">
        <v>8</v>
      </c>
      <c r="G2760" s="48" t="s">
        <v>1155</v>
      </c>
      <c r="H2760" s="8"/>
      <c r="I2760" s="8"/>
      <c r="J2760" s="6" t="s">
        <v>455</v>
      </c>
      <c r="K2760" s="38">
        <v>297339</v>
      </c>
      <c r="L2760" s="4" t="s">
        <v>25</v>
      </c>
      <c r="M2760" s="11">
        <f>_xlfn.NUMBERVALUE(LEFT(Table613612[[#This Row],[Fiscal Year]], 4))</f>
        <v>2017</v>
      </c>
      <c r="N2760" s="42">
        <f t="shared" si="41"/>
        <v>305261.9743329254</v>
      </c>
      <c r="O2760" s="3">
        <v>2758</v>
      </c>
    </row>
    <row r="2761" spans="1:15" x14ac:dyDescent="0.25">
      <c r="E2761" s="11"/>
      <c r="G2761" s="66"/>
      <c r="H2761" s="8"/>
      <c r="I2761" s="8"/>
      <c r="J2761" s="6"/>
      <c r="L2761" s="4"/>
      <c r="O2761" s="3">
        <v>2759</v>
      </c>
    </row>
    <row r="2762" spans="1:15" x14ac:dyDescent="0.25">
      <c r="A2762" s="3">
        <v>9</v>
      </c>
      <c r="B2762" s="3" t="s">
        <v>1428</v>
      </c>
      <c r="C2762" s="3" t="s">
        <v>1428</v>
      </c>
      <c r="D2762" s="3" t="s">
        <v>21</v>
      </c>
      <c r="E2762" s="11" t="s">
        <v>144</v>
      </c>
      <c r="F2762" s="3" t="s">
        <v>5</v>
      </c>
      <c r="G2762" s="56" t="s">
        <v>1156</v>
      </c>
      <c r="H2762" s="8"/>
      <c r="I2762" s="47" t="s">
        <v>636</v>
      </c>
      <c r="J2762" s="6" t="s">
        <v>110</v>
      </c>
      <c r="K2762" s="38">
        <v>8654026</v>
      </c>
      <c r="L2762" s="4" t="s">
        <v>25</v>
      </c>
      <c r="M2762" s="11">
        <f>_xlfn.NUMBERVALUE(LEFT(Table613612[[#This Row],[Fiscal Year]], 4))</f>
        <v>2017</v>
      </c>
      <c r="N2762" s="42">
        <f>K2762*(1+VLOOKUP(M2762,$AF$8:$AH$31,3,0))</f>
        <v>8884623.4859485943</v>
      </c>
      <c r="O2762" s="3">
        <v>2760</v>
      </c>
    </row>
    <row r="2763" spans="1:15" x14ac:dyDescent="0.25">
      <c r="A2763" s="3">
        <v>9</v>
      </c>
      <c r="B2763" s="3" t="s">
        <v>1428</v>
      </c>
      <c r="C2763" s="3" t="s">
        <v>1428</v>
      </c>
      <c r="D2763" s="3" t="s">
        <v>21</v>
      </c>
      <c r="E2763" s="11" t="s">
        <v>144</v>
      </c>
      <c r="F2763" s="3" t="s">
        <v>5</v>
      </c>
      <c r="G2763" s="56" t="s">
        <v>1157</v>
      </c>
      <c r="H2763" s="8"/>
      <c r="I2763" s="8"/>
      <c r="J2763" s="6" t="s">
        <v>111</v>
      </c>
      <c r="K2763" s="38" t="s">
        <v>1173</v>
      </c>
      <c r="L2763" s="4" t="s">
        <v>25</v>
      </c>
      <c r="M2763" s="11">
        <f>_xlfn.NUMBERVALUE(LEFT(Table613612[[#This Row],[Fiscal Year]], 4))</f>
        <v>2017</v>
      </c>
      <c r="O2763" s="3">
        <v>2761</v>
      </c>
    </row>
    <row r="2764" spans="1:15" x14ac:dyDescent="0.25">
      <c r="A2764" s="3">
        <v>9</v>
      </c>
      <c r="B2764" s="3" t="s">
        <v>1428</v>
      </c>
      <c r="C2764" s="3" t="s">
        <v>1428</v>
      </c>
      <c r="D2764" s="3" t="s">
        <v>21</v>
      </c>
      <c r="E2764" s="11" t="s">
        <v>144</v>
      </c>
      <c r="F2764" s="3" t="s">
        <v>5</v>
      </c>
      <c r="G2764" s="63" t="s">
        <v>1185</v>
      </c>
      <c r="H2764" s="8"/>
      <c r="I2764" s="8"/>
      <c r="J2764" s="6" t="s">
        <v>111</v>
      </c>
      <c r="K2764" s="38">
        <v>0</v>
      </c>
      <c r="L2764" s="4" t="s">
        <v>25</v>
      </c>
      <c r="M2764" s="11">
        <f>_xlfn.NUMBERVALUE(LEFT(Table613612[[#This Row],[Fiscal Year]], 4))</f>
        <v>2017</v>
      </c>
      <c r="N2764" s="42">
        <f>K2764*(1+VLOOKUP(M2764,$AF$8:$AH$31,3,0))</f>
        <v>0</v>
      </c>
      <c r="O2764" s="3">
        <v>2762</v>
      </c>
    </row>
    <row r="2765" spans="1:15" x14ac:dyDescent="0.25">
      <c r="A2765" s="3">
        <v>9</v>
      </c>
      <c r="B2765" s="3" t="s">
        <v>1428</v>
      </c>
      <c r="C2765" s="3" t="s">
        <v>1428</v>
      </c>
      <c r="D2765" s="3" t="s">
        <v>21</v>
      </c>
      <c r="E2765" s="11" t="s">
        <v>144</v>
      </c>
      <c r="F2765" s="3" t="s">
        <v>5</v>
      </c>
      <c r="G2765" s="63" t="s">
        <v>1186</v>
      </c>
      <c r="H2765" s="8"/>
      <c r="I2765" s="8"/>
      <c r="J2765" s="6" t="s">
        <v>111</v>
      </c>
      <c r="K2765" s="38">
        <v>0</v>
      </c>
      <c r="L2765" s="4" t="s">
        <v>25</v>
      </c>
      <c r="M2765" s="11">
        <f>_xlfn.NUMBERVALUE(LEFT(Table613612[[#This Row],[Fiscal Year]], 4))</f>
        <v>2017</v>
      </c>
      <c r="N2765" s="42">
        <f>K2765*(1+VLOOKUP(M2765,$AF$8:$AH$31,3,0))</f>
        <v>0</v>
      </c>
      <c r="O2765" s="3">
        <v>2763</v>
      </c>
    </row>
    <row r="2766" spans="1:15" x14ac:dyDescent="0.25">
      <c r="A2766" s="3">
        <v>9</v>
      </c>
      <c r="B2766" s="3" t="s">
        <v>1428</v>
      </c>
      <c r="C2766" s="3" t="s">
        <v>1428</v>
      </c>
      <c r="D2766" s="3" t="s">
        <v>21</v>
      </c>
      <c r="E2766" s="11" t="s">
        <v>144</v>
      </c>
      <c r="F2766" s="3" t="s">
        <v>5</v>
      </c>
      <c r="G2766" s="63" t="s">
        <v>1187</v>
      </c>
      <c r="H2766" s="52"/>
      <c r="I2766" s="52"/>
      <c r="J2766" s="6" t="s">
        <v>111</v>
      </c>
      <c r="K2766" s="38">
        <v>2047374</v>
      </c>
      <c r="L2766" s="4" t="s">
        <v>25</v>
      </c>
      <c r="M2766" s="11">
        <f>_xlfn.NUMBERVALUE(LEFT(Table613612[[#This Row],[Fiscal Year]], 4))</f>
        <v>2017</v>
      </c>
      <c r="N2766" s="42">
        <f>K2766*(1+VLOOKUP(M2766,$AF$8:$AH$31,3,0))</f>
        <v>2101928.873904529</v>
      </c>
      <c r="O2766" s="3">
        <v>2764</v>
      </c>
    </row>
    <row r="2767" spans="1:15" x14ac:dyDescent="0.25">
      <c r="A2767" s="3">
        <v>9</v>
      </c>
      <c r="B2767" s="3" t="s">
        <v>1428</v>
      </c>
      <c r="C2767" s="3" t="s">
        <v>1428</v>
      </c>
      <c r="D2767" s="3" t="s">
        <v>21</v>
      </c>
      <c r="E2767" s="11" t="s">
        <v>144</v>
      </c>
      <c r="F2767" s="3" t="s">
        <v>5</v>
      </c>
      <c r="G2767" s="63" t="s">
        <v>1176</v>
      </c>
      <c r="H2767" s="52"/>
      <c r="I2767" s="52"/>
      <c r="J2767" s="6" t="s">
        <v>76</v>
      </c>
      <c r="K2767" s="38" t="s">
        <v>1177</v>
      </c>
      <c r="L2767" s="4" t="s">
        <v>25</v>
      </c>
      <c r="M2767" s="11">
        <f>_xlfn.NUMBERVALUE(LEFT(Table613612[[#This Row],[Fiscal Year]], 4))</f>
        <v>2017</v>
      </c>
      <c r="O2767" s="3">
        <v>2765</v>
      </c>
    </row>
    <row r="2768" spans="1:15" x14ac:dyDescent="0.25">
      <c r="A2768" s="3">
        <v>9</v>
      </c>
      <c r="B2768" s="3" t="s">
        <v>1428</v>
      </c>
      <c r="C2768" s="3" t="s">
        <v>1428</v>
      </c>
      <c r="D2768" s="3" t="s">
        <v>21</v>
      </c>
      <c r="E2768" s="11" t="s">
        <v>144</v>
      </c>
      <c r="F2768" s="3" t="s">
        <v>5</v>
      </c>
      <c r="G2768" s="63" t="s">
        <v>1180</v>
      </c>
      <c r="H2768" s="52"/>
      <c r="I2768" s="52"/>
      <c r="J2768" s="6" t="s">
        <v>76</v>
      </c>
      <c r="K2768" s="38">
        <v>252662</v>
      </c>
      <c r="L2768" s="4" t="s">
        <v>25</v>
      </c>
      <c r="M2768" s="11">
        <f>_xlfn.NUMBERVALUE(LEFT(Table613612[[#This Row],[Fiscal Year]], 4))</f>
        <v>2017</v>
      </c>
      <c r="N2768" s="42">
        <f>K2768*(1+VLOOKUP(M2768,$AF$8:$AH$31,3,0))</f>
        <v>259394.49906976748</v>
      </c>
      <c r="O2768" s="3">
        <v>2766</v>
      </c>
    </row>
    <row r="2769" spans="1:15" x14ac:dyDescent="0.25">
      <c r="A2769" s="3">
        <v>9</v>
      </c>
      <c r="B2769" s="3" t="s">
        <v>1428</v>
      </c>
      <c r="C2769" s="3" t="s">
        <v>1428</v>
      </c>
      <c r="D2769" s="3" t="s">
        <v>21</v>
      </c>
      <c r="E2769" s="11" t="s">
        <v>144</v>
      </c>
      <c r="F2769" s="3" t="s">
        <v>5</v>
      </c>
      <c r="G2769" s="63" t="s">
        <v>1181</v>
      </c>
      <c r="H2769" s="52"/>
      <c r="I2769" s="52"/>
      <c r="J2769" s="6" t="s">
        <v>76</v>
      </c>
      <c r="K2769" s="38">
        <v>1074593</v>
      </c>
      <c r="L2769" s="4" t="s">
        <v>25</v>
      </c>
      <c r="M2769" s="11">
        <f>_xlfn.NUMBERVALUE(LEFT(Table613612[[#This Row],[Fiscal Year]], 4))</f>
        <v>2017</v>
      </c>
      <c r="N2769" s="42">
        <f>K2769*(1+VLOOKUP(M2769,$AF$8:$AH$31,3,0))</f>
        <v>1103226.8918115057</v>
      </c>
      <c r="O2769" s="3">
        <v>2767</v>
      </c>
    </row>
    <row r="2770" spans="1:15" x14ac:dyDescent="0.25">
      <c r="A2770" s="3">
        <v>9</v>
      </c>
      <c r="B2770" s="3" t="s">
        <v>1428</v>
      </c>
      <c r="C2770" s="3" t="s">
        <v>1428</v>
      </c>
      <c r="D2770" s="3" t="s">
        <v>21</v>
      </c>
      <c r="E2770" s="11" t="s">
        <v>144</v>
      </c>
      <c r="F2770" s="3" t="s">
        <v>5</v>
      </c>
      <c r="G2770" s="65" t="s">
        <v>1182</v>
      </c>
      <c r="H2770" s="52"/>
      <c r="I2770" s="52"/>
      <c r="J2770" s="6" t="s">
        <v>76</v>
      </c>
      <c r="K2770" s="38">
        <v>43500</v>
      </c>
      <c r="L2770" s="4" t="s">
        <v>25</v>
      </c>
      <c r="M2770" s="11">
        <f>_xlfn.NUMBERVALUE(LEFT(Table613612[[#This Row],[Fiscal Year]], 4))</f>
        <v>2017</v>
      </c>
      <c r="N2770" s="42">
        <f>K2770*(1+VLOOKUP(M2770,$AF$8:$AH$31,3,0))</f>
        <v>44659.112607099145</v>
      </c>
      <c r="O2770" s="3">
        <v>2768</v>
      </c>
    </row>
    <row r="2771" spans="1:15" x14ac:dyDescent="0.25">
      <c r="A2771" s="3">
        <v>9</v>
      </c>
      <c r="B2771" s="3" t="s">
        <v>1428</v>
      </c>
      <c r="C2771" s="3" t="s">
        <v>1428</v>
      </c>
      <c r="D2771" s="3" t="s">
        <v>21</v>
      </c>
      <c r="E2771" s="11" t="s">
        <v>144</v>
      </c>
      <c r="F2771" s="3" t="s">
        <v>5</v>
      </c>
      <c r="G2771" s="63" t="s">
        <v>1183</v>
      </c>
      <c r="H2771" s="52"/>
      <c r="I2771" s="52"/>
      <c r="J2771" s="6" t="s">
        <v>76</v>
      </c>
      <c r="K2771" s="38">
        <v>118546</v>
      </c>
      <c r="L2771" s="4" t="s">
        <v>25</v>
      </c>
      <c r="M2771" s="11">
        <f>_xlfn.NUMBERVALUE(LEFT(Table613612[[#This Row],[Fiscal Year]], 4))</f>
        <v>2017</v>
      </c>
      <c r="N2771" s="42">
        <f>K2771*(1+VLOOKUP(M2771,$AF$8:$AH$31,3,0))</f>
        <v>121704.80834761323</v>
      </c>
      <c r="O2771" s="3">
        <v>2769</v>
      </c>
    </row>
    <row r="2772" spans="1:15" x14ac:dyDescent="0.25">
      <c r="A2772" s="3">
        <v>9</v>
      </c>
      <c r="B2772" s="3" t="s">
        <v>1428</v>
      </c>
      <c r="C2772" s="3" t="s">
        <v>1428</v>
      </c>
      <c r="D2772" s="3" t="s">
        <v>21</v>
      </c>
      <c r="E2772" s="11" t="s">
        <v>144</v>
      </c>
      <c r="F2772" s="3" t="s">
        <v>5</v>
      </c>
      <c r="G2772" s="63" t="s">
        <v>1179</v>
      </c>
      <c r="H2772" s="52"/>
      <c r="I2772" s="52"/>
      <c r="J2772" s="6" t="s">
        <v>111</v>
      </c>
      <c r="K2772" s="38" t="s">
        <v>1426</v>
      </c>
      <c r="L2772" s="4" t="s">
        <v>25</v>
      </c>
      <c r="M2772" s="11">
        <f>_xlfn.NUMBERVALUE(LEFT(Table613612[[#This Row],[Fiscal Year]], 4))</f>
        <v>2017</v>
      </c>
      <c r="O2772" s="3">
        <v>2770</v>
      </c>
    </row>
    <row r="2773" spans="1:15" x14ac:dyDescent="0.25">
      <c r="A2773" s="3">
        <v>9</v>
      </c>
      <c r="B2773" s="3" t="s">
        <v>1428</v>
      </c>
      <c r="C2773" s="3" t="s">
        <v>1428</v>
      </c>
      <c r="D2773" s="3" t="s">
        <v>21</v>
      </c>
      <c r="E2773" s="11" t="s">
        <v>144</v>
      </c>
      <c r="F2773" s="3" t="s">
        <v>5</v>
      </c>
      <c r="G2773" s="63" t="s">
        <v>1184</v>
      </c>
      <c r="H2773" s="52"/>
      <c r="I2773" s="52"/>
      <c r="J2773" s="6" t="s">
        <v>111</v>
      </c>
      <c r="K2773" s="38">
        <v>558073</v>
      </c>
      <c r="L2773" s="4" t="s">
        <v>25</v>
      </c>
      <c r="M2773" s="11">
        <f>_xlfn.NUMBERVALUE(LEFT(Table613612[[#This Row],[Fiscal Year]], 4))</f>
        <v>2017</v>
      </c>
      <c r="N2773" s="42">
        <f>K2773*(1+VLOOKUP(M2773,$AF$8:$AH$31,3,0))</f>
        <v>572943.56206854351</v>
      </c>
      <c r="O2773" s="3">
        <v>2771</v>
      </c>
    </row>
    <row r="2774" spans="1:15" x14ac:dyDescent="0.25">
      <c r="A2774" s="3">
        <v>9</v>
      </c>
      <c r="B2774" s="3" t="s">
        <v>1428</v>
      </c>
      <c r="C2774" s="3" t="s">
        <v>1428</v>
      </c>
      <c r="D2774" s="3" t="s">
        <v>21</v>
      </c>
      <c r="E2774" s="11" t="s">
        <v>144</v>
      </c>
      <c r="F2774" s="3" t="s">
        <v>5</v>
      </c>
      <c r="G2774" s="56" t="s">
        <v>1158</v>
      </c>
      <c r="H2774" s="52"/>
      <c r="I2774" s="52"/>
      <c r="J2774" s="6" t="s">
        <v>76</v>
      </c>
      <c r="K2774" s="38" t="s">
        <v>1174</v>
      </c>
      <c r="L2774" s="4" t="s">
        <v>25</v>
      </c>
      <c r="M2774" s="11">
        <f>_xlfn.NUMBERVALUE(LEFT(Table613612[[#This Row],[Fiscal Year]], 4))</f>
        <v>2017</v>
      </c>
      <c r="O2774" s="3">
        <v>2772</v>
      </c>
    </row>
    <row r="2775" spans="1:15" x14ac:dyDescent="0.25">
      <c r="A2775" s="3">
        <v>9</v>
      </c>
      <c r="B2775" s="3" t="s">
        <v>1428</v>
      </c>
      <c r="C2775" s="3" t="s">
        <v>1428</v>
      </c>
      <c r="D2775" s="3" t="s">
        <v>21</v>
      </c>
      <c r="E2775" s="11" t="s">
        <v>144</v>
      </c>
      <c r="F2775" s="3" t="s">
        <v>5</v>
      </c>
      <c r="G2775" s="63" t="s">
        <v>1178</v>
      </c>
      <c r="H2775" s="8"/>
      <c r="I2775" s="8"/>
      <c r="J2775" s="6" t="s">
        <v>76</v>
      </c>
      <c r="K2775" s="38" t="s">
        <v>1427</v>
      </c>
      <c r="L2775" s="4" t="s">
        <v>25</v>
      </c>
      <c r="M2775" s="11">
        <f>_xlfn.NUMBERVALUE(LEFT(Table613612[[#This Row],[Fiscal Year]], 4))</f>
        <v>2017</v>
      </c>
      <c r="O2775" s="3">
        <v>2773</v>
      </c>
    </row>
    <row r="2776" spans="1:15" x14ac:dyDescent="0.25">
      <c r="A2776" s="3">
        <v>9</v>
      </c>
      <c r="B2776" s="3" t="s">
        <v>1428</v>
      </c>
      <c r="C2776" s="3" t="s">
        <v>1428</v>
      </c>
      <c r="D2776" s="3" t="s">
        <v>21</v>
      </c>
      <c r="E2776" s="11" t="s">
        <v>144</v>
      </c>
      <c r="F2776" s="3" t="s">
        <v>5</v>
      </c>
      <c r="G2776" s="63" t="s">
        <v>1188</v>
      </c>
      <c r="H2776" s="8"/>
      <c r="I2776" s="8"/>
      <c r="J2776" s="6" t="s">
        <v>107</v>
      </c>
      <c r="K2776" s="38">
        <v>1533589</v>
      </c>
      <c r="L2776" s="4" t="s">
        <v>25</v>
      </c>
      <c r="M2776" s="11">
        <f>_xlfn.NUMBERVALUE(LEFT(Table613612[[#This Row],[Fiscal Year]], 4))</f>
        <v>2017</v>
      </c>
      <c r="N2776" s="42">
        <f>K2776*(1+VLOOKUP(M2776,$AF$8:$AH$31,3,0))</f>
        <v>1574453.4217013465</v>
      </c>
      <c r="O2776" s="3">
        <v>2774</v>
      </c>
    </row>
    <row r="2777" spans="1:15" x14ac:dyDescent="0.25">
      <c r="A2777" s="3">
        <v>9</v>
      </c>
      <c r="B2777" s="3" t="s">
        <v>1428</v>
      </c>
      <c r="C2777" s="3" t="s">
        <v>1428</v>
      </c>
      <c r="D2777" s="3" t="s">
        <v>21</v>
      </c>
      <c r="E2777" s="11" t="s">
        <v>144</v>
      </c>
      <c r="F2777" s="3" t="s">
        <v>5</v>
      </c>
      <c r="G2777" s="63" t="s">
        <v>1189</v>
      </c>
      <c r="H2777" s="8"/>
      <c r="I2777" s="8"/>
      <c r="J2777" s="6" t="s">
        <v>76</v>
      </c>
      <c r="K2777" s="38">
        <v>1178673</v>
      </c>
      <c r="L2777" s="4" t="s">
        <v>25</v>
      </c>
      <c r="M2777" s="11">
        <f>_xlfn.NUMBERVALUE(LEFT(Table613612[[#This Row],[Fiscal Year]], 4))</f>
        <v>2017</v>
      </c>
      <c r="N2777" s="42">
        <f>K2777*(1+VLOOKUP(M2777,$AF$8:$AH$31,3,0))</f>
        <v>1210080.2352631581</v>
      </c>
      <c r="O2777" s="3">
        <v>2775</v>
      </c>
    </row>
    <row r="2778" spans="1:15" x14ac:dyDescent="0.25">
      <c r="A2778" s="3">
        <v>9</v>
      </c>
      <c r="B2778" s="3" t="s">
        <v>1428</v>
      </c>
      <c r="C2778" s="3" t="s">
        <v>1428</v>
      </c>
      <c r="D2778" s="3" t="s">
        <v>21</v>
      </c>
      <c r="E2778" s="11" t="s">
        <v>144</v>
      </c>
      <c r="F2778" s="3" t="s">
        <v>5</v>
      </c>
      <c r="G2778" s="56" t="s">
        <v>1190</v>
      </c>
      <c r="H2778" s="8"/>
      <c r="I2778" s="8"/>
      <c r="J2778" s="6" t="s">
        <v>107</v>
      </c>
      <c r="K2778" s="38">
        <v>1791775</v>
      </c>
      <c r="L2778" s="4" t="s">
        <v>25</v>
      </c>
      <c r="M2778" s="11">
        <f>_xlfn.NUMBERVALUE(LEFT(Table613612[[#This Row],[Fiscal Year]], 4))</f>
        <v>2017</v>
      </c>
      <c r="N2778" s="42">
        <f>K2778*(1+VLOOKUP(M2778,$AF$8:$AH$31,3,0))</f>
        <v>1839519.1147490821</v>
      </c>
      <c r="O2778" s="3">
        <v>2776</v>
      </c>
    </row>
    <row r="2779" spans="1:15" x14ac:dyDescent="0.25">
      <c r="A2779" s="3">
        <v>9</v>
      </c>
      <c r="B2779" s="3" t="s">
        <v>1428</v>
      </c>
      <c r="C2779" s="3" t="s">
        <v>1428</v>
      </c>
      <c r="D2779" s="3" t="s">
        <v>21</v>
      </c>
      <c r="E2779" s="11" t="s">
        <v>144</v>
      </c>
      <c r="F2779" s="3" t="s">
        <v>5</v>
      </c>
      <c r="G2779" s="63" t="s">
        <v>1159</v>
      </c>
      <c r="H2779" s="6"/>
      <c r="I2779" s="8"/>
      <c r="J2779" s="6" t="s">
        <v>108</v>
      </c>
      <c r="K2779" s="38" t="s">
        <v>1175</v>
      </c>
      <c r="L2779" s="4" t="s">
        <v>25</v>
      </c>
      <c r="M2779" s="11">
        <f>_xlfn.NUMBERVALUE(LEFT(Table613612[[#This Row],[Fiscal Year]], 4))</f>
        <v>2017</v>
      </c>
      <c r="O2779" s="3">
        <v>2777</v>
      </c>
    </row>
    <row r="2780" spans="1:15" x14ac:dyDescent="0.25">
      <c r="A2780" s="3">
        <v>9</v>
      </c>
      <c r="B2780" s="3" t="s">
        <v>1428</v>
      </c>
      <c r="C2780" s="3" t="s">
        <v>1428</v>
      </c>
      <c r="D2780" s="3" t="s">
        <v>21</v>
      </c>
      <c r="E2780" s="11" t="s">
        <v>144</v>
      </c>
      <c r="F2780" s="3" t="s">
        <v>5</v>
      </c>
      <c r="G2780" s="63" t="s">
        <v>1191</v>
      </c>
      <c r="H2780" s="8"/>
      <c r="I2780" s="8"/>
      <c r="J2780" s="6" t="s">
        <v>108</v>
      </c>
      <c r="K2780" s="38">
        <v>191806</v>
      </c>
      <c r="L2780" s="4" t="s">
        <v>25</v>
      </c>
      <c r="M2780" s="11">
        <f>_xlfn.NUMBERVALUE(LEFT(Table613612[[#This Row],[Fiscal Year]], 4))</f>
        <v>2017</v>
      </c>
      <c r="N2780" s="42">
        <f>K2780*(1+VLOOKUP(M2780,$AF$8:$AH$31,3,0))</f>
        <v>196916.91385556918</v>
      </c>
      <c r="O2780" s="3">
        <v>2778</v>
      </c>
    </row>
    <row r="2781" spans="1:15" x14ac:dyDescent="0.25">
      <c r="A2781" s="3">
        <v>9</v>
      </c>
      <c r="B2781" s="3" t="s">
        <v>1428</v>
      </c>
      <c r="C2781" s="3" t="s">
        <v>1428</v>
      </c>
      <c r="D2781" s="3" t="s">
        <v>21</v>
      </c>
      <c r="E2781" s="11" t="s">
        <v>144</v>
      </c>
      <c r="F2781" s="3" t="s">
        <v>5</v>
      </c>
      <c r="G2781" s="63" t="s">
        <v>1192</v>
      </c>
      <c r="H2781" s="6"/>
      <c r="I2781" s="8"/>
      <c r="J2781" s="6" t="s">
        <v>108</v>
      </c>
      <c r="K2781" s="38">
        <v>531283</v>
      </c>
      <c r="L2781" s="4" t="s">
        <v>25</v>
      </c>
      <c r="M2781" s="11">
        <f>_xlfn.NUMBERVALUE(LEFT(Table613612[[#This Row],[Fiscal Year]], 4))</f>
        <v>2017</v>
      </c>
      <c r="N2781" s="42">
        <f>K2781*(1+VLOOKUP(M2781,$AF$8:$AH$31,3,0))</f>
        <v>545439.70858017146</v>
      </c>
      <c r="O2781" s="3">
        <v>2779</v>
      </c>
    </row>
    <row r="2782" spans="1:15" x14ac:dyDescent="0.25">
      <c r="A2782" s="3">
        <v>9</v>
      </c>
      <c r="B2782" s="3" t="s">
        <v>1428</v>
      </c>
      <c r="C2782" s="3" t="s">
        <v>1428</v>
      </c>
      <c r="D2782" s="3" t="s">
        <v>21</v>
      </c>
      <c r="E2782" s="11" t="s">
        <v>144</v>
      </c>
      <c r="F2782" s="3" t="s">
        <v>5</v>
      </c>
      <c r="G2782" s="63" t="s">
        <v>1193</v>
      </c>
      <c r="H2782" s="6"/>
      <c r="I2782" s="8"/>
      <c r="J2782" s="6" t="s">
        <v>108</v>
      </c>
      <c r="K2782" s="38">
        <v>5189016</v>
      </c>
      <c r="L2782" s="4" t="s">
        <v>25</v>
      </c>
      <c r="M2782" s="11">
        <f>_xlfn.NUMBERVALUE(LEFT(Table613612[[#This Row],[Fiscal Year]], 4))</f>
        <v>2017</v>
      </c>
      <c r="N2782" s="42">
        <f>K2782*(1+VLOOKUP(M2782,$AF$8:$AH$31,3,0))</f>
        <v>5327283.9049204411</v>
      </c>
      <c r="O2782" s="3">
        <v>2780</v>
      </c>
    </row>
    <row r="2783" spans="1:15" x14ac:dyDescent="0.25">
      <c r="A2783" s="3">
        <v>9</v>
      </c>
      <c r="B2783" s="3" t="s">
        <v>1428</v>
      </c>
      <c r="C2783" s="3" t="s">
        <v>1428</v>
      </c>
      <c r="D2783" s="3" t="s">
        <v>21</v>
      </c>
      <c r="E2783" s="11" t="s">
        <v>144</v>
      </c>
      <c r="F2783" s="3" t="s">
        <v>5</v>
      </c>
      <c r="G2783" s="63" t="s">
        <v>1194</v>
      </c>
      <c r="H2783" s="6"/>
      <c r="I2783" s="8"/>
      <c r="J2783" s="6" t="s">
        <v>76</v>
      </c>
      <c r="K2783" s="38">
        <v>123810</v>
      </c>
      <c r="L2783" s="4" t="s">
        <v>25</v>
      </c>
      <c r="M2783" s="11">
        <f>_xlfn.NUMBERVALUE(LEFT(Table613612[[#This Row],[Fiscal Year]], 4))</f>
        <v>2017</v>
      </c>
      <c r="N2783" s="42">
        <f>K2783*(1+VLOOKUP(M2783,$AF$8:$AH$31,3,0))</f>
        <v>127109.07429620564</v>
      </c>
      <c r="O2783" s="3">
        <v>2781</v>
      </c>
    </row>
    <row r="2784" spans="1:15" x14ac:dyDescent="0.25">
      <c r="A2784" s="3">
        <v>9</v>
      </c>
      <c r="B2784" s="3" t="s">
        <v>1428</v>
      </c>
      <c r="C2784" s="3" t="s">
        <v>1428</v>
      </c>
      <c r="D2784" s="3" t="s">
        <v>21</v>
      </c>
      <c r="E2784" s="11" t="s">
        <v>144</v>
      </c>
      <c r="F2784" s="3" t="s">
        <v>5</v>
      </c>
      <c r="G2784" s="63" t="s">
        <v>1195</v>
      </c>
      <c r="H2784" s="6"/>
      <c r="I2784" s="8"/>
      <c r="J2784" s="6" t="s">
        <v>108</v>
      </c>
      <c r="K2784" s="38">
        <v>0</v>
      </c>
      <c r="L2784" s="4" t="s">
        <v>25</v>
      </c>
      <c r="M2784" s="11">
        <f>_xlfn.NUMBERVALUE(LEFT(Table613612[[#This Row],[Fiscal Year]], 4))</f>
        <v>2017</v>
      </c>
      <c r="N2784" s="42">
        <f>K2784*(1+VLOOKUP(M2784,$AF$8:$AH$31,3,0))</f>
        <v>0</v>
      </c>
      <c r="O2784" s="3">
        <v>2782</v>
      </c>
    </row>
    <row r="2785" spans="1:15" x14ac:dyDescent="0.25">
      <c r="A2785" s="3">
        <v>9</v>
      </c>
      <c r="B2785" s="3" t="s">
        <v>1428</v>
      </c>
      <c r="C2785" s="3" t="s">
        <v>1428</v>
      </c>
      <c r="D2785" s="3" t="s">
        <v>21</v>
      </c>
      <c r="E2785" s="11" t="s">
        <v>144</v>
      </c>
      <c r="F2785" s="3" t="s">
        <v>5</v>
      </c>
      <c r="G2785" s="63" t="s">
        <v>1196</v>
      </c>
      <c r="H2785" s="52"/>
      <c r="I2785" s="52"/>
      <c r="J2785" s="6" t="s">
        <v>108</v>
      </c>
      <c r="K2785" s="38">
        <v>563208</v>
      </c>
      <c r="L2785" s="4" t="s">
        <v>25</v>
      </c>
      <c r="M2785" s="11">
        <f>_xlfn.NUMBERVALUE(LEFT(Table613612[[#This Row],[Fiscal Year]], 4))</f>
        <v>2017</v>
      </c>
      <c r="N2785" s="42">
        <f t="shared" ref="N2785:N2795" si="42">K2785*(1+VLOOKUP(M2785,$AF$8:$AH$31,3,0))</f>
        <v>578215.39064871485</v>
      </c>
      <c r="O2785" s="3">
        <v>2783</v>
      </c>
    </row>
    <row r="2786" spans="1:15" x14ac:dyDescent="0.25">
      <c r="A2786" s="3">
        <v>9</v>
      </c>
      <c r="B2786" s="3" t="s">
        <v>1428</v>
      </c>
      <c r="C2786" s="3" t="s">
        <v>1428</v>
      </c>
      <c r="D2786" s="3" t="s">
        <v>21</v>
      </c>
      <c r="E2786" s="11" t="s">
        <v>144</v>
      </c>
      <c r="F2786" s="3" t="s">
        <v>5</v>
      </c>
      <c r="G2786" s="63" t="s">
        <v>1197</v>
      </c>
      <c r="H2786" s="52"/>
      <c r="I2786" s="52"/>
      <c r="J2786" s="6" t="s">
        <v>108</v>
      </c>
      <c r="K2786" s="38">
        <v>1046000</v>
      </c>
      <c r="L2786" s="4" t="s">
        <v>25</v>
      </c>
      <c r="M2786" s="11">
        <f>_xlfn.NUMBERVALUE(LEFT(Table613612[[#This Row],[Fiscal Year]], 4))</f>
        <v>2017</v>
      </c>
      <c r="N2786" s="42">
        <f t="shared" si="42"/>
        <v>1073871.9951040393</v>
      </c>
      <c r="O2786" s="3">
        <v>2784</v>
      </c>
    </row>
    <row r="2787" spans="1:15" x14ac:dyDescent="0.25">
      <c r="A2787" s="3">
        <v>9</v>
      </c>
      <c r="B2787" s="3" t="s">
        <v>1428</v>
      </c>
      <c r="C2787" s="3" t="s">
        <v>1428</v>
      </c>
      <c r="D2787" s="3" t="s">
        <v>21</v>
      </c>
      <c r="E2787" s="11" t="s">
        <v>144</v>
      </c>
      <c r="F2787" s="3" t="s">
        <v>5</v>
      </c>
      <c r="G2787" s="63" t="s">
        <v>1198</v>
      </c>
      <c r="H2787" s="52"/>
      <c r="I2787" s="52"/>
      <c r="J2787" s="6" t="s">
        <v>76</v>
      </c>
      <c r="K2787" s="38">
        <v>117000</v>
      </c>
      <c r="L2787" s="4" t="s">
        <v>25</v>
      </c>
      <c r="M2787" s="11">
        <f>_xlfn.NUMBERVALUE(LEFT(Table613612[[#This Row],[Fiscal Year]], 4))</f>
        <v>2017</v>
      </c>
      <c r="N2787" s="42">
        <f t="shared" si="42"/>
        <v>120117.61321909426</v>
      </c>
      <c r="O2787" s="3">
        <v>2785</v>
      </c>
    </row>
    <row r="2788" spans="1:15" x14ac:dyDescent="0.25">
      <c r="A2788" s="3">
        <v>9</v>
      </c>
      <c r="B2788" s="3" t="s">
        <v>1428</v>
      </c>
      <c r="C2788" s="3" t="s">
        <v>1428</v>
      </c>
      <c r="D2788" s="3" t="s">
        <v>21</v>
      </c>
      <c r="E2788" s="11" t="s">
        <v>144</v>
      </c>
      <c r="F2788" s="3" t="s">
        <v>5</v>
      </c>
      <c r="G2788" s="63" t="s">
        <v>1199</v>
      </c>
      <c r="H2788" s="52"/>
      <c r="I2788" s="52"/>
      <c r="J2788" s="6" t="s">
        <v>108</v>
      </c>
      <c r="K2788" s="38">
        <v>114000</v>
      </c>
      <c r="L2788" s="4" t="s">
        <v>25</v>
      </c>
      <c r="M2788" s="11">
        <f>_xlfn.NUMBERVALUE(LEFT(Table613612[[#This Row],[Fiscal Year]], 4))</f>
        <v>2017</v>
      </c>
      <c r="N2788" s="42">
        <f t="shared" si="42"/>
        <v>117037.67441860467</v>
      </c>
      <c r="O2788" s="3">
        <v>2786</v>
      </c>
    </row>
    <row r="2789" spans="1:15" x14ac:dyDescent="0.25">
      <c r="A2789" s="3">
        <v>9</v>
      </c>
      <c r="B2789" s="3" t="s">
        <v>1428</v>
      </c>
      <c r="C2789" s="3" t="s">
        <v>1428</v>
      </c>
      <c r="D2789" s="3" t="s">
        <v>21</v>
      </c>
      <c r="E2789" s="11" t="s">
        <v>144</v>
      </c>
      <c r="F2789" s="3" t="s">
        <v>5</v>
      </c>
      <c r="G2789" s="56" t="s">
        <v>1200</v>
      </c>
      <c r="H2789" s="52"/>
      <c r="I2789" s="52"/>
      <c r="J2789" s="6" t="s">
        <v>108</v>
      </c>
      <c r="K2789" s="38">
        <v>38650</v>
      </c>
      <c r="L2789" s="4" t="s">
        <v>25</v>
      </c>
      <c r="M2789" s="11">
        <f>_xlfn.NUMBERVALUE(LEFT(Table613612[[#This Row],[Fiscal Year]], 4))</f>
        <v>2017</v>
      </c>
      <c r="N2789" s="42">
        <f t="shared" si="42"/>
        <v>39679.878212974298</v>
      </c>
      <c r="O2789" s="3">
        <v>2787</v>
      </c>
    </row>
    <row r="2790" spans="1:15" x14ac:dyDescent="0.25">
      <c r="A2790" s="3">
        <v>9</v>
      </c>
      <c r="B2790" s="3" t="s">
        <v>1428</v>
      </c>
      <c r="C2790" s="3" t="s">
        <v>1428</v>
      </c>
      <c r="D2790" s="3" t="s">
        <v>21</v>
      </c>
      <c r="E2790" s="11" t="s">
        <v>144</v>
      </c>
      <c r="F2790" s="3" t="s">
        <v>5</v>
      </c>
      <c r="G2790" s="56" t="s">
        <v>1201</v>
      </c>
      <c r="H2790" s="52"/>
      <c r="I2790" s="52"/>
      <c r="J2790" s="6" t="s">
        <v>108</v>
      </c>
      <c r="K2790" s="38">
        <v>14500</v>
      </c>
      <c r="L2790" s="4" t="s">
        <v>25</v>
      </c>
      <c r="M2790" s="11">
        <f>_xlfn.NUMBERVALUE(LEFT(Table613612[[#This Row],[Fiscal Year]], 4))</f>
        <v>2017</v>
      </c>
      <c r="N2790" s="42">
        <f t="shared" si="42"/>
        <v>14886.37086903305</v>
      </c>
      <c r="O2790" s="3">
        <v>2788</v>
      </c>
    </row>
    <row r="2791" spans="1:15" x14ac:dyDescent="0.25">
      <c r="A2791" s="3">
        <v>9</v>
      </c>
      <c r="B2791" s="3" t="s">
        <v>1428</v>
      </c>
      <c r="C2791" s="3" t="s">
        <v>1428</v>
      </c>
      <c r="D2791" s="3" t="s">
        <v>21</v>
      </c>
      <c r="E2791" s="11" t="s">
        <v>144</v>
      </c>
      <c r="F2791" s="3" t="s">
        <v>5</v>
      </c>
      <c r="G2791" s="56" t="s">
        <v>1202</v>
      </c>
      <c r="H2791" s="52"/>
      <c r="I2791" s="52"/>
      <c r="J2791" s="6" t="s">
        <v>76</v>
      </c>
      <c r="K2791" s="38">
        <v>102950</v>
      </c>
      <c r="L2791" s="4" t="s">
        <v>25</v>
      </c>
      <c r="M2791" s="11">
        <f>_xlfn.NUMBERVALUE(LEFT(Table613612[[#This Row],[Fiscal Year]], 4))</f>
        <v>2017</v>
      </c>
      <c r="N2791" s="42">
        <f t="shared" si="42"/>
        <v>105693.23317013466</v>
      </c>
      <c r="O2791" s="3">
        <v>2789</v>
      </c>
    </row>
    <row r="2792" spans="1:15" x14ac:dyDescent="0.25">
      <c r="A2792" s="3">
        <v>9</v>
      </c>
      <c r="B2792" s="3" t="s">
        <v>1428</v>
      </c>
      <c r="C2792" s="3" t="s">
        <v>1428</v>
      </c>
      <c r="D2792" s="3" t="s">
        <v>21</v>
      </c>
      <c r="E2792" s="11" t="s">
        <v>144</v>
      </c>
      <c r="F2792" s="3" t="s">
        <v>5</v>
      </c>
      <c r="G2792" s="56" t="s">
        <v>1203</v>
      </c>
      <c r="H2792" s="52"/>
      <c r="I2792" s="52"/>
      <c r="J2792" s="6" t="s">
        <v>108</v>
      </c>
      <c r="K2792" s="38">
        <v>182382</v>
      </c>
      <c r="L2792" s="4" t="s">
        <v>25</v>
      </c>
      <c r="M2792" s="11">
        <f>_xlfn.NUMBERVALUE(LEFT(Table613612[[#This Row],[Fiscal Year]], 4))</f>
        <v>2017</v>
      </c>
      <c r="N2792" s="42">
        <f t="shared" si="42"/>
        <v>187241.79943696453</v>
      </c>
      <c r="O2792" s="3">
        <v>2790</v>
      </c>
    </row>
    <row r="2793" spans="1:15" x14ac:dyDescent="0.25">
      <c r="A2793" s="3">
        <v>9</v>
      </c>
      <c r="B2793" s="3" t="s">
        <v>1428</v>
      </c>
      <c r="C2793" s="3" t="s">
        <v>1428</v>
      </c>
      <c r="D2793" s="3" t="s">
        <v>21</v>
      </c>
      <c r="E2793" s="11" t="s">
        <v>144</v>
      </c>
      <c r="F2793" s="3" t="s">
        <v>5</v>
      </c>
      <c r="G2793" s="56" t="s">
        <v>1204</v>
      </c>
      <c r="H2793" s="8"/>
      <c r="I2793" s="8"/>
      <c r="J2793" s="6" t="s">
        <v>108</v>
      </c>
      <c r="K2793" s="38">
        <v>10000</v>
      </c>
      <c r="L2793" s="4" t="s">
        <v>25</v>
      </c>
      <c r="M2793" s="11">
        <f>_xlfn.NUMBERVALUE(LEFT(Table613612[[#This Row],[Fiscal Year]], 4))</f>
        <v>2017</v>
      </c>
      <c r="N2793" s="42">
        <f t="shared" si="42"/>
        <v>10266.462668298655</v>
      </c>
      <c r="O2793" s="3">
        <v>2791</v>
      </c>
    </row>
    <row r="2794" spans="1:15" x14ac:dyDescent="0.25">
      <c r="A2794" s="3">
        <v>9</v>
      </c>
      <c r="B2794" s="3" t="s">
        <v>1428</v>
      </c>
      <c r="C2794" s="3" t="s">
        <v>1428</v>
      </c>
      <c r="D2794" s="3" t="s">
        <v>21</v>
      </c>
      <c r="E2794" s="11" t="s">
        <v>144</v>
      </c>
      <c r="F2794" s="3" t="s">
        <v>5</v>
      </c>
      <c r="G2794" s="56" t="s">
        <v>1205</v>
      </c>
      <c r="H2794" s="8"/>
      <c r="I2794" s="8"/>
      <c r="J2794" s="6" t="s">
        <v>108</v>
      </c>
      <c r="K2794" s="38">
        <v>50000</v>
      </c>
      <c r="L2794" s="4" t="s">
        <v>25</v>
      </c>
      <c r="M2794" s="11">
        <f>_xlfn.NUMBERVALUE(LEFT(Table613612[[#This Row],[Fiscal Year]], 4))</f>
        <v>2017</v>
      </c>
      <c r="N2794" s="42">
        <f t="shared" si="42"/>
        <v>51332.313341493274</v>
      </c>
      <c r="O2794" s="3">
        <v>2792</v>
      </c>
    </row>
    <row r="2795" spans="1:15" x14ac:dyDescent="0.25">
      <c r="A2795" s="3">
        <v>9</v>
      </c>
      <c r="B2795" s="3" t="s">
        <v>1428</v>
      </c>
      <c r="C2795" s="3" t="s">
        <v>1428</v>
      </c>
      <c r="D2795" s="3" t="s">
        <v>21</v>
      </c>
      <c r="E2795" s="11" t="s">
        <v>144</v>
      </c>
      <c r="F2795" s="3" t="s">
        <v>5</v>
      </c>
      <c r="G2795" s="56" t="s">
        <v>1206</v>
      </c>
      <c r="H2795" s="8"/>
      <c r="I2795" s="8"/>
      <c r="J2795" s="6" t="s">
        <v>108</v>
      </c>
      <c r="K2795" s="38">
        <v>85725</v>
      </c>
      <c r="L2795" s="4" t="s">
        <v>25</v>
      </c>
      <c r="M2795" s="11">
        <f>_xlfn.NUMBERVALUE(LEFT(Table613612[[#This Row],[Fiscal Year]], 4))</f>
        <v>2017</v>
      </c>
      <c r="N2795" s="42">
        <f t="shared" si="42"/>
        <v>88009.251223990213</v>
      </c>
      <c r="O2795" s="3">
        <v>2793</v>
      </c>
    </row>
    <row r="2796" spans="1:15" x14ac:dyDescent="0.25">
      <c r="A2796" s="3">
        <v>9</v>
      </c>
      <c r="B2796" s="3" t="s">
        <v>1428</v>
      </c>
      <c r="C2796" s="3" t="s">
        <v>1428</v>
      </c>
      <c r="D2796" s="3" t="s">
        <v>21</v>
      </c>
      <c r="E2796" s="11" t="s">
        <v>144</v>
      </c>
      <c r="F2796" s="3" t="s">
        <v>5</v>
      </c>
      <c r="G2796" s="56" t="s">
        <v>1207</v>
      </c>
      <c r="H2796" s="8"/>
      <c r="I2796" s="8"/>
      <c r="J2796" s="6" t="s">
        <v>108</v>
      </c>
      <c r="K2796" s="38">
        <v>0</v>
      </c>
      <c r="L2796" s="4" t="s">
        <v>25</v>
      </c>
      <c r="M2796" s="11">
        <f>_xlfn.NUMBERVALUE(LEFT(Table613612[[#This Row],[Fiscal Year]], 4))</f>
        <v>2017</v>
      </c>
      <c r="N2796" s="42">
        <f t="shared" ref="N2796:N2804" si="43">K2796*(1+VLOOKUP(M2796,$AF$8:$AH$31,3,0))</f>
        <v>0</v>
      </c>
      <c r="O2796" s="3">
        <v>2794</v>
      </c>
    </row>
    <row r="2797" spans="1:15" x14ac:dyDescent="0.25">
      <c r="A2797" s="3">
        <v>9</v>
      </c>
      <c r="B2797" s="3" t="s">
        <v>1428</v>
      </c>
      <c r="C2797" s="3" t="s">
        <v>1428</v>
      </c>
      <c r="D2797" s="3" t="s">
        <v>21</v>
      </c>
      <c r="E2797" s="11" t="s">
        <v>144</v>
      </c>
      <c r="F2797" s="3" t="s">
        <v>5</v>
      </c>
      <c r="G2797" s="63" t="s">
        <v>1208</v>
      </c>
      <c r="H2797" s="8"/>
      <c r="I2797" s="8"/>
      <c r="J2797" s="6" t="s">
        <v>108</v>
      </c>
      <c r="K2797" s="38">
        <v>85463</v>
      </c>
      <c r="L2797" s="4" t="s">
        <v>25</v>
      </c>
      <c r="M2797" s="11">
        <f>_xlfn.NUMBERVALUE(LEFT(Table613612[[#This Row],[Fiscal Year]], 4))</f>
        <v>2017</v>
      </c>
      <c r="N2797" s="42">
        <f t="shared" si="43"/>
        <v>87740.269902080792</v>
      </c>
      <c r="O2797" s="3">
        <v>2795</v>
      </c>
    </row>
    <row r="2798" spans="1:15" x14ac:dyDescent="0.25">
      <c r="A2798" s="3">
        <v>9</v>
      </c>
      <c r="B2798" s="3" t="s">
        <v>1428</v>
      </c>
      <c r="C2798" s="3" t="s">
        <v>1428</v>
      </c>
      <c r="D2798" s="3" t="s">
        <v>21</v>
      </c>
      <c r="E2798" s="11" t="s">
        <v>144</v>
      </c>
      <c r="F2798" s="3" t="s">
        <v>5</v>
      </c>
      <c r="G2798" s="63" t="s">
        <v>1209</v>
      </c>
      <c r="H2798" s="8"/>
      <c r="I2798" s="8"/>
      <c r="J2798" s="6" t="s">
        <v>108</v>
      </c>
      <c r="K2798" s="38">
        <v>666736</v>
      </c>
      <c r="L2798" s="4" t="s">
        <v>25</v>
      </c>
      <c r="M2798" s="11">
        <f>_xlfn.NUMBERVALUE(LEFT(Table613612[[#This Row],[Fiscal Year]], 4))</f>
        <v>2017</v>
      </c>
      <c r="N2798" s="42">
        <f t="shared" si="43"/>
        <v>684502.02536107716</v>
      </c>
      <c r="O2798" s="3">
        <v>2796</v>
      </c>
    </row>
    <row r="2799" spans="1:15" x14ac:dyDescent="0.25">
      <c r="A2799" s="3">
        <v>9</v>
      </c>
      <c r="B2799" s="3" t="s">
        <v>1428</v>
      </c>
      <c r="C2799" s="3" t="s">
        <v>1428</v>
      </c>
      <c r="D2799" s="3" t="s">
        <v>21</v>
      </c>
      <c r="E2799" s="11" t="s">
        <v>144</v>
      </c>
      <c r="F2799" s="3" t="s">
        <v>5</v>
      </c>
      <c r="G2799" s="63" t="s">
        <v>1210</v>
      </c>
      <c r="H2799" s="8"/>
      <c r="I2799" s="8"/>
      <c r="J2799" s="6" t="s">
        <v>76</v>
      </c>
      <c r="K2799" s="38">
        <v>187890</v>
      </c>
      <c r="L2799" s="4" t="s">
        <v>25</v>
      </c>
      <c r="M2799" s="11">
        <f>_xlfn.NUMBERVALUE(LEFT(Table613612[[#This Row],[Fiscal Year]], 4))</f>
        <v>2017</v>
      </c>
      <c r="N2799" s="42">
        <f t="shared" si="43"/>
        <v>192896.56707466341</v>
      </c>
      <c r="O2799" s="3">
        <v>2797</v>
      </c>
    </row>
    <row r="2800" spans="1:15" x14ac:dyDescent="0.25">
      <c r="A2800" s="3">
        <v>9</v>
      </c>
      <c r="B2800" s="3" t="s">
        <v>1428</v>
      </c>
      <c r="C2800" s="3" t="s">
        <v>1428</v>
      </c>
      <c r="D2800" s="3" t="s">
        <v>21</v>
      </c>
      <c r="E2800" s="11" t="s">
        <v>144</v>
      </c>
      <c r="F2800" s="3" t="s">
        <v>5</v>
      </c>
      <c r="G2800" s="63" t="s">
        <v>1211</v>
      </c>
      <c r="H2800" s="8"/>
      <c r="I2800" s="8"/>
      <c r="J2800" s="6" t="s">
        <v>108</v>
      </c>
      <c r="K2800" s="38">
        <v>0</v>
      </c>
      <c r="L2800" s="4" t="s">
        <v>25</v>
      </c>
      <c r="M2800" s="11">
        <f>_xlfn.NUMBERVALUE(LEFT(Table613612[[#This Row],[Fiscal Year]], 4))</f>
        <v>2017</v>
      </c>
      <c r="N2800" s="42">
        <f t="shared" si="43"/>
        <v>0</v>
      </c>
      <c r="O2800" s="3">
        <v>2798</v>
      </c>
    </row>
    <row r="2801" spans="1:15" x14ac:dyDescent="0.25">
      <c r="A2801" s="3">
        <v>9</v>
      </c>
      <c r="B2801" s="3" t="s">
        <v>1428</v>
      </c>
      <c r="C2801" s="3" t="s">
        <v>1428</v>
      </c>
      <c r="D2801" s="3" t="s">
        <v>21</v>
      </c>
      <c r="E2801" s="11" t="s">
        <v>144</v>
      </c>
      <c r="F2801" s="3" t="s">
        <v>5</v>
      </c>
      <c r="G2801" s="63" t="s">
        <v>1212</v>
      </c>
      <c r="H2801" s="52"/>
      <c r="I2801" s="52"/>
      <c r="J2801" s="6" t="s">
        <v>108</v>
      </c>
      <c r="K2801" s="38">
        <v>1643</v>
      </c>
      <c r="L2801" s="4" t="s">
        <v>25</v>
      </c>
      <c r="M2801" s="11">
        <f>_xlfn.NUMBERVALUE(LEFT(Table613612[[#This Row],[Fiscal Year]], 4))</f>
        <v>2017</v>
      </c>
      <c r="N2801" s="42">
        <f t="shared" si="43"/>
        <v>1686.7798164014689</v>
      </c>
      <c r="O2801" s="3">
        <v>2799</v>
      </c>
    </row>
    <row r="2802" spans="1:15" x14ac:dyDescent="0.25">
      <c r="A2802" s="3">
        <v>9</v>
      </c>
      <c r="B2802" s="3" t="s">
        <v>1428</v>
      </c>
      <c r="C2802" s="3" t="s">
        <v>1428</v>
      </c>
      <c r="D2802" s="3" t="s">
        <v>21</v>
      </c>
      <c r="E2802" s="11" t="s">
        <v>144</v>
      </c>
      <c r="F2802" s="3" t="s">
        <v>5</v>
      </c>
      <c r="G2802" s="63" t="s">
        <v>1213</v>
      </c>
      <c r="H2802" s="52"/>
      <c r="I2802" s="52"/>
      <c r="J2802" s="6" t="s">
        <v>108</v>
      </c>
      <c r="K2802" s="38">
        <v>8284</v>
      </c>
      <c r="L2802" s="4" t="s">
        <v>25</v>
      </c>
      <c r="M2802" s="11">
        <f>_xlfn.NUMBERVALUE(LEFT(Table613612[[#This Row],[Fiscal Year]], 4))</f>
        <v>2017</v>
      </c>
      <c r="N2802" s="42">
        <f t="shared" si="43"/>
        <v>8504.7376744186058</v>
      </c>
      <c r="O2802" s="3">
        <v>2800</v>
      </c>
    </row>
    <row r="2803" spans="1:15" x14ac:dyDescent="0.25">
      <c r="A2803" s="3">
        <v>9</v>
      </c>
      <c r="B2803" s="3" t="s">
        <v>1428</v>
      </c>
      <c r="C2803" s="3" t="s">
        <v>1428</v>
      </c>
      <c r="D2803" s="3" t="s">
        <v>21</v>
      </c>
      <c r="E2803" s="11" t="s">
        <v>144</v>
      </c>
      <c r="F2803" s="3" t="s">
        <v>5</v>
      </c>
      <c r="G2803" s="63" t="s">
        <v>1214</v>
      </c>
      <c r="H2803" s="52"/>
      <c r="I2803" s="52"/>
      <c r="J2803" s="6" t="s">
        <v>76</v>
      </c>
      <c r="K2803" s="38">
        <v>1494</v>
      </c>
      <c r="L2803" s="4" t="s">
        <v>25</v>
      </c>
      <c r="M2803" s="11">
        <f>_xlfn.NUMBERVALUE(LEFT(Table613612[[#This Row],[Fiscal Year]], 4))</f>
        <v>2017</v>
      </c>
      <c r="N2803" s="42">
        <f t="shared" si="43"/>
        <v>1533.809522643819</v>
      </c>
      <c r="O2803" s="3">
        <v>2801</v>
      </c>
    </row>
    <row r="2804" spans="1:15" x14ac:dyDescent="0.25">
      <c r="A2804" s="3">
        <v>9</v>
      </c>
      <c r="B2804" s="3" t="s">
        <v>1428</v>
      </c>
      <c r="C2804" s="3" t="s">
        <v>1428</v>
      </c>
      <c r="D2804" s="3" t="s">
        <v>21</v>
      </c>
      <c r="E2804" s="11" t="s">
        <v>144</v>
      </c>
      <c r="F2804" s="3" t="s">
        <v>5</v>
      </c>
      <c r="G2804" s="63" t="s">
        <v>1215</v>
      </c>
      <c r="H2804" s="52"/>
      <c r="I2804" s="52"/>
      <c r="J2804" s="6" t="s">
        <v>108</v>
      </c>
      <c r="K2804" s="38">
        <v>0</v>
      </c>
      <c r="L2804" s="4" t="s">
        <v>25</v>
      </c>
      <c r="M2804" s="11">
        <f>_xlfn.NUMBERVALUE(LEFT(Table613612[[#This Row],[Fiscal Year]], 4))</f>
        <v>2017</v>
      </c>
      <c r="N2804" s="42">
        <f t="shared" si="43"/>
        <v>0</v>
      </c>
      <c r="O2804" s="3">
        <v>2802</v>
      </c>
    </row>
    <row r="2805" spans="1:15" x14ac:dyDescent="0.25">
      <c r="A2805" s="3">
        <v>9</v>
      </c>
      <c r="B2805" s="3" t="s">
        <v>1428</v>
      </c>
      <c r="C2805" s="3" t="s">
        <v>1428</v>
      </c>
      <c r="D2805" s="3" t="s">
        <v>21</v>
      </c>
      <c r="E2805" s="11" t="s">
        <v>144</v>
      </c>
      <c r="F2805" s="3" t="s">
        <v>5</v>
      </c>
      <c r="G2805" s="56" t="s">
        <v>1216</v>
      </c>
      <c r="H2805" s="8"/>
      <c r="I2805" s="8"/>
      <c r="J2805" s="6" t="s">
        <v>108</v>
      </c>
      <c r="K2805" s="38">
        <v>20000</v>
      </c>
      <c r="L2805" s="4" t="s">
        <v>25</v>
      </c>
      <c r="M2805" s="11">
        <f>_xlfn.NUMBERVALUE(LEFT(Table613612[[#This Row],[Fiscal Year]], 4))</f>
        <v>2017</v>
      </c>
      <c r="N2805" s="42">
        <f t="shared" ref="N2805:N2812" si="44">K2805*(1+VLOOKUP(M2805,$AF$8:$AH$31,3,0))</f>
        <v>20532.925336597309</v>
      </c>
      <c r="O2805" s="3">
        <v>2803</v>
      </c>
    </row>
    <row r="2806" spans="1:15" x14ac:dyDescent="0.25">
      <c r="A2806" s="3">
        <v>9</v>
      </c>
      <c r="B2806" s="3" t="s">
        <v>1428</v>
      </c>
      <c r="C2806" s="3" t="s">
        <v>1428</v>
      </c>
      <c r="D2806" s="3" t="s">
        <v>21</v>
      </c>
      <c r="E2806" s="11" t="s">
        <v>144</v>
      </c>
      <c r="F2806" s="3" t="s">
        <v>5</v>
      </c>
      <c r="G2806" s="56" t="s">
        <v>1217</v>
      </c>
      <c r="H2806" s="8"/>
      <c r="I2806" s="8"/>
      <c r="J2806" s="6" t="s">
        <v>76</v>
      </c>
      <c r="K2806" s="38">
        <v>50000</v>
      </c>
      <c r="L2806" s="4" t="s">
        <v>25</v>
      </c>
      <c r="M2806" s="11">
        <f>_xlfn.NUMBERVALUE(LEFT(Table613612[[#This Row],[Fiscal Year]], 4))</f>
        <v>2017</v>
      </c>
      <c r="N2806" s="42">
        <f t="shared" si="44"/>
        <v>51332.313341493274</v>
      </c>
      <c r="O2806" s="3">
        <v>2804</v>
      </c>
    </row>
    <row r="2807" spans="1:15" x14ac:dyDescent="0.25">
      <c r="A2807" s="3">
        <v>9</v>
      </c>
      <c r="B2807" s="3" t="s">
        <v>1428</v>
      </c>
      <c r="C2807" s="3" t="s">
        <v>1428</v>
      </c>
      <c r="D2807" s="3" t="s">
        <v>21</v>
      </c>
      <c r="E2807" s="11" t="s">
        <v>144</v>
      </c>
      <c r="F2807" s="3" t="s">
        <v>5</v>
      </c>
      <c r="G2807" s="56" t="s">
        <v>1218</v>
      </c>
      <c r="H2807" s="8"/>
      <c r="I2807" s="8"/>
      <c r="J2807" s="6" t="s">
        <v>108</v>
      </c>
      <c r="K2807" s="38">
        <v>8380</v>
      </c>
      <c r="L2807" s="4" t="s">
        <v>25</v>
      </c>
      <c r="M2807" s="11">
        <f>_xlfn.NUMBERVALUE(LEFT(Table613612[[#This Row],[Fiscal Year]], 4))</f>
        <v>2017</v>
      </c>
      <c r="N2807" s="42">
        <f t="shared" si="44"/>
        <v>8603.2957160342721</v>
      </c>
      <c r="O2807" s="3">
        <v>2805</v>
      </c>
    </row>
    <row r="2808" spans="1:15" x14ac:dyDescent="0.25">
      <c r="A2808" s="3">
        <v>9</v>
      </c>
      <c r="B2808" s="3" t="s">
        <v>1428</v>
      </c>
      <c r="C2808" s="3" t="s">
        <v>1428</v>
      </c>
      <c r="D2808" s="3" t="s">
        <v>21</v>
      </c>
      <c r="E2808" s="11" t="s">
        <v>144</v>
      </c>
      <c r="F2808" s="3" t="s">
        <v>5</v>
      </c>
      <c r="G2808" s="56" t="s">
        <v>1219</v>
      </c>
      <c r="H2808" s="8"/>
      <c r="I2808" s="8"/>
      <c r="J2808" s="6" t="s">
        <v>76</v>
      </c>
      <c r="K2808" s="38">
        <v>200000</v>
      </c>
      <c r="L2808" s="4" t="s">
        <v>25</v>
      </c>
      <c r="M2808" s="11">
        <f>_xlfn.NUMBERVALUE(LEFT(Table613612[[#This Row],[Fiscal Year]], 4))</f>
        <v>2017</v>
      </c>
      <c r="N2808" s="42">
        <f t="shared" si="44"/>
        <v>205329.2533659731</v>
      </c>
      <c r="O2808" s="3">
        <v>2806</v>
      </c>
    </row>
    <row r="2809" spans="1:15" x14ac:dyDescent="0.25">
      <c r="A2809" s="3">
        <v>9</v>
      </c>
      <c r="B2809" s="3" t="s">
        <v>1428</v>
      </c>
      <c r="C2809" s="3" t="s">
        <v>1428</v>
      </c>
      <c r="D2809" s="3" t="s">
        <v>21</v>
      </c>
      <c r="E2809" s="11" t="s">
        <v>144</v>
      </c>
      <c r="F2809" s="3" t="s">
        <v>5</v>
      </c>
      <c r="G2809" s="56" t="s">
        <v>1220</v>
      </c>
      <c r="H2809" s="52"/>
      <c r="I2809" s="52"/>
      <c r="J2809" s="6" t="s">
        <v>108</v>
      </c>
      <c r="K2809" s="41">
        <v>24750</v>
      </c>
      <c r="L2809" s="4" t="s">
        <v>25</v>
      </c>
      <c r="M2809" s="11">
        <f>_xlfn.NUMBERVALUE(LEFT(Table613612[[#This Row],[Fiscal Year]], 4))</f>
        <v>2017</v>
      </c>
      <c r="N2809" s="42">
        <f t="shared" si="44"/>
        <v>25409.495104039172</v>
      </c>
      <c r="O2809" s="3">
        <v>2807</v>
      </c>
    </row>
    <row r="2810" spans="1:15" x14ac:dyDescent="0.25">
      <c r="A2810" s="3">
        <v>9</v>
      </c>
      <c r="B2810" s="3" t="s">
        <v>1428</v>
      </c>
      <c r="C2810" s="3" t="s">
        <v>1428</v>
      </c>
      <c r="D2810" s="3" t="s">
        <v>21</v>
      </c>
      <c r="E2810" s="11" t="s">
        <v>144</v>
      </c>
      <c r="F2810" s="3" t="s">
        <v>5</v>
      </c>
      <c r="G2810" s="56" t="s">
        <v>1221</v>
      </c>
      <c r="H2810" s="52"/>
      <c r="I2810" s="52"/>
      <c r="J2810" s="6" t="s">
        <v>108</v>
      </c>
      <c r="K2810" s="41">
        <v>110448</v>
      </c>
      <c r="L2810" s="4" t="s">
        <v>25</v>
      </c>
      <c r="M2810" s="11">
        <f>_xlfn.NUMBERVALUE(LEFT(Table613612[[#This Row],[Fiscal Year]], 4))</f>
        <v>2017</v>
      </c>
      <c r="N2810" s="42">
        <f t="shared" si="44"/>
        <v>113391.02687882498</v>
      </c>
      <c r="O2810" s="3">
        <v>2808</v>
      </c>
    </row>
    <row r="2811" spans="1:15" x14ac:dyDescent="0.25">
      <c r="A2811" s="3">
        <v>9</v>
      </c>
      <c r="B2811" s="3" t="s">
        <v>1428</v>
      </c>
      <c r="C2811" s="3" t="s">
        <v>1428</v>
      </c>
      <c r="D2811" s="3" t="s">
        <v>21</v>
      </c>
      <c r="E2811" s="11" t="s">
        <v>144</v>
      </c>
      <c r="F2811" s="3" t="s">
        <v>5</v>
      </c>
      <c r="G2811" s="56" t="s">
        <v>1222</v>
      </c>
      <c r="H2811" s="52"/>
      <c r="I2811" s="52"/>
      <c r="J2811" s="6" t="s">
        <v>76</v>
      </c>
      <c r="K2811" s="41">
        <v>1005264</v>
      </c>
      <c r="L2811" s="4" t="s">
        <v>25</v>
      </c>
      <c r="M2811" s="11">
        <f>_xlfn.NUMBERVALUE(LEFT(Table613612[[#This Row],[Fiscal Year]], 4))</f>
        <v>2017</v>
      </c>
      <c r="N2811" s="42">
        <f t="shared" si="44"/>
        <v>1032050.5327784579</v>
      </c>
      <c r="O2811" s="3">
        <v>2809</v>
      </c>
    </row>
    <row r="2812" spans="1:15" x14ac:dyDescent="0.25">
      <c r="A2812" s="3">
        <v>9</v>
      </c>
      <c r="B2812" s="3" t="s">
        <v>1428</v>
      </c>
      <c r="C2812" s="3" t="s">
        <v>1428</v>
      </c>
      <c r="D2812" s="3" t="s">
        <v>21</v>
      </c>
      <c r="E2812" s="11" t="s">
        <v>144</v>
      </c>
      <c r="F2812" s="3" t="s">
        <v>5</v>
      </c>
      <c r="G2812" s="56" t="s">
        <v>1223</v>
      </c>
      <c r="H2812" s="52"/>
      <c r="I2812" s="52"/>
      <c r="J2812" s="6" t="s">
        <v>108</v>
      </c>
      <c r="K2812" s="41">
        <v>114036</v>
      </c>
      <c r="L2812" s="4" t="s">
        <v>25</v>
      </c>
      <c r="M2812" s="11">
        <f>_xlfn.NUMBERVALUE(LEFT(Table613612[[#This Row],[Fiscal Year]], 4))</f>
        <v>2017</v>
      </c>
      <c r="N2812" s="42">
        <f t="shared" si="44"/>
        <v>117074.63368421054</v>
      </c>
      <c r="O2812" s="3">
        <v>2810</v>
      </c>
    </row>
    <row r="2813" spans="1:15" x14ac:dyDescent="0.25">
      <c r="A2813" s="3">
        <v>9</v>
      </c>
      <c r="B2813" s="3" t="s">
        <v>1428</v>
      </c>
      <c r="C2813" s="3" t="s">
        <v>1428</v>
      </c>
      <c r="D2813" s="3" t="s">
        <v>21</v>
      </c>
      <c r="E2813" s="11" t="s">
        <v>144</v>
      </c>
      <c r="F2813" s="3" t="s">
        <v>5</v>
      </c>
      <c r="G2813" s="56" t="s">
        <v>1224</v>
      </c>
      <c r="H2813" s="52"/>
      <c r="I2813" s="52"/>
      <c r="J2813" s="6" t="s">
        <v>108</v>
      </c>
      <c r="K2813" s="41">
        <v>0</v>
      </c>
      <c r="L2813" s="4" t="s">
        <v>25</v>
      </c>
      <c r="M2813" s="11">
        <f>_xlfn.NUMBERVALUE(LEFT(Table613612[[#This Row],[Fiscal Year]], 4))</f>
        <v>2017</v>
      </c>
      <c r="N2813" s="42">
        <f t="shared" ref="N2813:N2825" si="45">K2813*(1+VLOOKUP(M2813,$AF$8:$AH$31,3,0))</f>
        <v>0</v>
      </c>
      <c r="O2813" s="3">
        <v>2811</v>
      </c>
    </row>
    <row r="2814" spans="1:15" x14ac:dyDescent="0.25">
      <c r="A2814" s="3">
        <v>9</v>
      </c>
      <c r="B2814" s="3" t="s">
        <v>1428</v>
      </c>
      <c r="C2814" s="3" t="s">
        <v>1428</v>
      </c>
      <c r="D2814" s="3" t="s">
        <v>21</v>
      </c>
      <c r="E2814" s="11" t="s">
        <v>144</v>
      </c>
      <c r="F2814" s="3" t="s">
        <v>5</v>
      </c>
      <c r="G2814" s="56" t="s">
        <v>1225</v>
      </c>
      <c r="H2814" s="52"/>
      <c r="I2814" s="52"/>
      <c r="J2814" s="6" t="s">
        <v>111</v>
      </c>
      <c r="K2814" s="41">
        <v>0</v>
      </c>
      <c r="L2814" s="4" t="s">
        <v>25</v>
      </c>
      <c r="M2814" s="11">
        <f>_xlfn.NUMBERVALUE(LEFT(Table613612[[#This Row],[Fiscal Year]], 4))</f>
        <v>2017</v>
      </c>
      <c r="N2814" s="42">
        <f t="shared" si="45"/>
        <v>0</v>
      </c>
      <c r="O2814" s="3">
        <v>2812</v>
      </c>
    </row>
    <row r="2815" spans="1:15" x14ac:dyDescent="0.25">
      <c r="A2815" s="3">
        <v>9</v>
      </c>
      <c r="B2815" s="3" t="s">
        <v>1428</v>
      </c>
      <c r="C2815" s="3" t="s">
        <v>1428</v>
      </c>
      <c r="D2815" s="3" t="s">
        <v>21</v>
      </c>
      <c r="E2815" s="11" t="s">
        <v>144</v>
      </c>
      <c r="F2815" s="3" t="s">
        <v>5</v>
      </c>
      <c r="G2815" s="56" t="s">
        <v>1226</v>
      </c>
      <c r="H2815" s="52"/>
      <c r="I2815" s="52"/>
      <c r="J2815" s="6" t="s">
        <v>108</v>
      </c>
      <c r="K2815" s="41">
        <v>113779</v>
      </c>
      <c r="L2815" s="4" t="s">
        <v>25</v>
      </c>
      <c r="M2815" s="11">
        <f>_xlfn.NUMBERVALUE(LEFT(Table613612[[#This Row],[Fiscal Year]], 4))</f>
        <v>2017</v>
      </c>
      <c r="N2815" s="42">
        <f t="shared" si="45"/>
        <v>116810.78559363527</v>
      </c>
      <c r="O2815" s="3">
        <v>2813</v>
      </c>
    </row>
    <row r="2816" spans="1:15" x14ac:dyDescent="0.25">
      <c r="A2816" s="3">
        <v>9</v>
      </c>
      <c r="B2816" s="3" t="s">
        <v>1428</v>
      </c>
      <c r="C2816" s="3" t="s">
        <v>1428</v>
      </c>
      <c r="D2816" s="3" t="s">
        <v>21</v>
      </c>
      <c r="E2816" s="11" t="s">
        <v>144</v>
      </c>
      <c r="F2816" s="3" t="s">
        <v>5</v>
      </c>
      <c r="G2816" s="56" t="s">
        <v>1227</v>
      </c>
      <c r="H2816" s="52"/>
      <c r="I2816" s="52"/>
      <c r="J2816" s="6" t="s">
        <v>76</v>
      </c>
      <c r="K2816" s="41">
        <v>162925</v>
      </c>
      <c r="L2816" s="4" t="s">
        <v>25</v>
      </c>
      <c r="M2816" s="11">
        <f>_xlfn.NUMBERVALUE(LEFT(Table613612[[#This Row],[Fiscal Year]], 4))</f>
        <v>2017</v>
      </c>
      <c r="N2816" s="42">
        <f t="shared" si="45"/>
        <v>167266.34302325585</v>
      </c>
      <c r="O2816" s="3">
        <v>2814</v>
      </c>
    </row>
    <row r="2817" spans="1:15" x14ac:dyDescent="0.25">
      <c r="A2817" s="3">
        <v>9</v>
      </c>
      <c r="B2817" s="3" t="s">
        <v>1428</v>
      </c>
      <c r="C2817" s="3" t="s">
        <v>1428</v>
      </c>
      <c r="D2817" s="3" t="s">
        <v>21</v>
      </c>
      <c r="E2817" s="11" t="s">
        <v>144</v>
      </c>
      <c r="F2817" s="3" t="s">
        <v>5</v>
      </c>
      <c r="G2817" s="56" t="s">
        <v>1228</v>
      </c>
      <c r="H2817" s="52"/>
      <c r="I2817" s="52"/>
      <c r="J2817" s="6" t="s">
        <v>108</v>
      </c>
      <c r="K2817" s="41">
        <v>0</v>
      </c>
      <c r="L2817" s="4" t="s">
        <v>25</v>
      </c>
      <c r="M2817" s="11">
        <f>_xlfn.NUMBERVALUE(LEFT(Table613612[[#This Row],[Fiscal Year]], 4))</f>
        <v>2017</v>
      </c>
      <c r="N2817" s="42">
        <f t="shared" si="45"/>
        <v>0</v>
      </c>
      <c r="O2817" s="3">
        <v>2815</v>
      </c>
    </row>
    <row r="2818" spans="1:15" x14ac:dyDescent="0.25">
      <c r="A2818" s="3">
        <v>9</v>
      </c>
      <c r="B2818" s="3" t="s">
        <v>1428</v>
      </c>
      <c r="C2818" s="3" t="s">
        <v>1428</v>
      </c>
      <c r="D2818" s="3" t="s">
        <v>21</v>
      </c>
      <c r="E2818" s="11" t="s">
        <v>144</v>
      </c>
      <c r="F2818" s="3" t="s">
        <v>5</v>
      </c>
      <c r="G2818" s="56" t="s">
        <v>1229</v>
      </c>
      <c r="H2818" s="52"/>
      <c r="I2818" s="52"/>
      <c r="J2818" s="6" t="s">
        <v>108</v>
      </c>
      <c r="K2818" s="41">
        <v>95209</v>
      </c>
      <c r="L2818" s="4" t="s">
        <v>25</v>
      </c>
      <c r="M2818" s="11">
        <f>_xlfn.NUMBERVALUE(LEFT(Table613612[[#This Row],[Fiscal Year]], 4))</f>
        <v>2017</v>
      </c>
      <c r="N2818" s="42">
        <f t="shared" si="45"/>
        <v>97745.964418604664</v>
      </c>
      <c r="O2818" s="3">
        <v>2816</v>
      </c>
    </row>
    <row r="2819" spans="1:15" x14ac:dyDescent="0.25">
      <c r="A2819" s="3">
        <v>9</v>
      </c>
      <c r="B2819" s="3" t="s">
        <v>1428</v>
      </c>
      <c r="C2819" s="3" t="s">
        <v>1428</v>
      </c>
      <c r="D2819" s="3" t="s">
        <v>21</v>
      </c>
      <c r="E2819" s="11" t="s">
        <v>144</v>
      </c>
      <c r="F2819" s="3" t="s">
        <v>5</v>
      </c>
      <c r="G2819" s="56" t="s">
        <v>1230</v>
      </c>
      <c r="H2819" s="52"/>
      <c r="I2819" s="52"/>
      <c r="J2819" s="6" t="s">
        <v>108</v>
      </c>
      <c r="K2819" s="41">
        <v>0</v>
      </c>
      <c r="L2819" s="4" t="s">
        <v>25</v>
      </c>
      <c r="M2819" s="11">
        <f>_xlfn.NUMBERVALUE(LEFT(Table613612[[#This Row],[Fiscal Year]], 4))</f>
        <v>2017</v>
      </c>
      <c r="N2819" s="42">
        <f t="shared" si="45"/>
        <v>0</v>
      </c>
      <c r="O2819" s="3">
        <v>2817</v>
      </c>
    </row>
    <row r="2820" spans="1:15" x14ac:dyDescent="0.25">
      <c r="A2820" s="3">
        <v>9</v>
      </c>
      <c r="B2820" s="3" t="s">
        <v>1428</v>
      </c>
      <c r="C2820" s="3" t="s">
        <v>1428</v>
      </c>
      <c r="D2820" s="3" t="s">
        <v>21</v>
      </c>
      <c r="E2820" s="11" t="s">
        <v>144</v>
      </c>
      <c r="F2820" s="3" t="s">
        <v>5</v>
      </c>
      <c r="G2820" s="56" t="s">
        <v>1231</v>
      </c>
      <c r="H2820" s="52"/>
      <c r="I2820" s="52"/>
      <c r="J2820" s="6" t="s">
        <v>76</v>
      </c>
      <c r="K2820" s="41">
        <v>0</v>
      </c>
      <c r="L2820" s="4" t="s">
        <v>25</v>
      </c>
      <c r="M2820" s="11">
        <f>_xlfn.NUMBERVALUE(LEFT(Table613612[[#This Row],[Fiscal Year]], 4))</f>
        <v>2017</v>
      </c>
      <c r="N2820" s="42">
        <f t="shared" si="45"/>
        <v>0</v>
      </c>
      <c r="O2820" s="3">
        <v>2818</v>
      </c>
    </row>
    <row r="2821" spans="1:15" x14ac:dyDescent="0.25">
      <c r="A2821" s="3">
        <v>9</v>
      </c>
      <c r="B2821" s="3" t="s">
        <v>1428</v>
      </c>
      <c r="C2821" s="3" t="s">
        <v>1428</v>
      </c>
      <c r="D2821" s="3" t="s">
        <v>21</v>
      </c>
      <c r="E2821" s="11" t="s">
        <v>144</v>
      </c>
      <c r="F2821" s="3" t="s">
        <v>5</v>
      </c>
      <c r="G2821" s="56" t="s">
        <v>1232</v>
      </c>
      <c r="H2821" s="52"/>
      <c r="I2821" s="52"/>
      <c r="J2821" s="6" t="s">
        <v>108</v>
      </c>
      <c r="K2821" s="41">
        <v>0</v>
      </c>
      <c r="L2821" s="4" t="s">
        <v>25</v>
      </c>
      <c r="M2821" s="11">
        <f>_xlfn.NUMBERVALUE(LEFT(Table613612[[#This Row],[Fiscal Year]], 4))</f>
        <v>2017</v>
      </c>
      <c r="N2821" s="42">
        <f t="shared" si="45"/>
        <v>0</v>
      </c>
      <c r="O2821" s="3">
        <v>2819</v>
      </c>
    </row>
    <row r="2822" spans="1:15" x14ac:dyDescent="0.25">
      <c r="A2822" s="3">
        <v>9</v>
      </c>
      <c r="B2822" s="3" t="s">
        <v>1428</v>
      </c>
      <c r="C2822" s="3" t="s">
        <v>1428</v>
      </c>
      <c r="D2822" s="3" t="s">
        <v>21</v>
      </c>
      <c r="E2822" s="11" t="s">
        <v>144</v>
      </c>
      <c r="F2822" s="3" t="s">
        <v>5</v>
      </c>
      <c r="G2822" s="56" t="s">
        <v>1233</v>
      </c>
      <c r="H2822" s="52"/>
      <c r="I2822" s="52"/>
      <c r="J2822" s="6" t="s">
        <v>109</v>
      </c>
      <c r="K2822" s="41">
        <v>259787</v>
      </c>
      <c r="L2822" s="4" t="s">
        <v>25</v>
      </c>
      <c r="M2822" s="11">
        <f>_xlfn.NUMBERVALUE(LEFT(Table613612[[#This Row],[Fiscal Year]], 4))</f>
        <v>2017</v>
      </c>
      <c r="N2822" s="42">
        <f t="shared" si="45"/>
        <v>266709.35372093029</v>
      </c>
      <c r="O2822" s="3">
        <v>2820</v>
      </c>
    </row>
    <row r="2823" spans="1:15" x14ac:dyDescent="0.25">
      <c r="A2823" s="3">
        <v>9</v>
      </c>
      <c r="B2823" s="3" t="s">
        <v>1428</v>
      </c>
      <c r="C2823" s="3" t="s">
        <v>1428</v>
      </c>
      <c r="D2823" s="3" t="s">
        <v>21</v>
      </c>
      <c r="E2823" s="11" t="s">
        <v>144</v>
      </c>
      <c r="F2823" s="3" t="s">
        <v>5</v>
      </c>
      <c r="G2823" s="56" t="s">
        <v>1234</v>
      </c>
      <c r="H2823" s="52"/>
      <c r="I2823" s="52"/>
      <c r="J2823" s="6" t="s">
        <v>109</v>
      </c>
      <c r="K2823" s="41">
        <v>949924</v>
      </c>
      <c r="L2823" s="4" t="s">
        <v>25</v>
      </c>
      <c r="M2823" s="11">
        <f>_xlfn.NUMBERVALUE(LEFT(Table613612[[#This Row],[Fiscal Year]], 4))</f>
        <v>2017</v>
      </c>
      <c r="N2823" s="42">
        <f t="shared" si="45"/>
        <v>975235.92837209313</v>
      </c>
      <c r="O2823" s="3">
        <v>2821</v>
      </c>
    </row>
    <row r="2824" spans="1:15" x14ac:dyDescent="0.25">
      <c r="A2824" s="3">
        <v>9</v>
      </c>
      <c r="B2824" s="3" t="s">
        <v>1428</v>
      </c>
      <c r="C2824" s="3" t="s">
        <v>1428</v>
      </c>
      <c r="D2824" s="3" t="s">
        <v>21</v>
      </c>
      <c r="E2824" s="11" t="s">
        <v>144</v>
      </c>
      <c r="F2824" s="3" t="s">
        <v>5</v>
      </c>
      <c r="G2824" s="56" t="s">
        <v>1235</v>
      </c>
      <c r="H2824" s="52"/>
      <c r="I2824" s="52"/>
      <c r="J2824" s="6" t="s">
        <v>109</v>
      </c>
      <c r="K2824" s="41">
        <v>224724</v>
      </c>
      <c r="L2824" s="4" t="s">
        <v>25</v>
      </c>
      <c r="M2824" s="11">
        <f>_xlfn.NUMBERVALUE(LEFT(Table613612[[#This Row],[Fiscal Year]], 4))</f>
        <v>2017</v>
      </c>
      <c r="N2824" s="42">
        <f t="shared" si="45"/>
        <v>230712.05566707469</v>
      </c>
      <c r="O2824" s="3">
        <v>2822</v>
      </c>
    </row>
    <row r="2825" spans="1:15" x14ac:dyDescent="0.25">
      <c r="A2825" s="3">
        <v>9</v>
      </c>
      <c r="B2825" s="3" t="s">
        <v>1428</v>
      </c>
      <c r="C2825" s="3" t="s">
        <v>1428</v>
      </c>
      <c r="D2825" s="3" t="s">
        <v>21</v>
      </c>
      <c r="E2825" s="11" t="s">
        <v>144</v>
      </c>
      <c r="F2825" s="3" t="s">
        <v>5</v>
      </c>
      <c r="G2825" s="56" t="s">
        <v>1236</v>
      </c>
      <c r="H2825" s="52"/>
      <c r="I2825" s="52"/>
      <c r="J2825" s="6" t="s">
        <v>109</v>
      </c>
      <c r="K2825" s="41">
        <v>0</v>
      </c>
      <c r="L2825" s="4" t="s">
        <v>25</v>
      </c>
      <c r="M2825" s="11">
        <f>_xlfn.NUMBERVALUE(LEFT(Table613612[[#This Row],[Fiscal Year]], 4))</f>
        <v>2017</v>
      </c>
      <c r="N2825" s="42">
        <f t="shared" si="45"/>
        <v>0</v>
      </c>
      <c r="O2825" s="3">
        <v>2823</v>
      </c>
    </row>
    <row r="2826" spans="1:15" x14ac:dyDescent="0.25">
      <c r="A2826" s="3">
        <v>9</v>
      </c>
      <c r="B2826" s="3" t="s">
        <v>1428</v>
      </c>
      <c r="C2826" s="3" t="s">
        <v>1428</v>
      </c>
      <c r="D2826" s="3" t="s">
        <v>21</v>
      </c>
      <c r="E2826" s="11" t="s">
        <v>144</v>
      </c>
      <c r="F2826" s="3" t="s">
        <v>5</v>
      </c>
      <c r="G2826" s="56" t="s">
        <v>1237</v>
      </c>
      <c r="H2826" s="52"/>
      <c r="I2826" s="52"/>
      <c r="J2826" s="6" t="s">
        <v>111</v>
      </c>
      <c r="K2826" s="41">
        <v>260229</v>
      </c>
      <c r="L2826" s="4" t="s">
        <v>25</v>
      </c>
      <c r="M2826" s="11">
        <f>_xlfn.NUMBERVALUE(LEFT(Table613612[[#This Row],[Fiscal Year]], 4))</f>
        <v>2017</v>
      </c>
      <c r="N2826" s="42">
        <f t="shared" ref="N2826:N2889" si="46">K2826*(1+VLOOKUP(M2826,$AF$8:$AH$31,3,0))</f>
        <v>267163.13137086906</v>
      </c>
      <c r="O2826" s="3">
        <v>2824</v>
      </c>
    </row>
    <row r="2827" spans="1:15" x14ac:dyDescent="0.25">
      <c r="A2827" s="3">
        <v>9</v>
      </c>
      <c r="B2827" s="3" t="s">
        <v>1428</v>
      </c>
      <c r="C2827" s="3" t="s">
        <v>1428</v>
      </c>
      <c r="D2827" s="3" t="s">
        <v>21</v>
      </c>
      <c r="E2827" s="11" t="s">
        <v>144</v>
      </c>
      <c r="F2827" s="3" t="s">
        <v>5</v>
      </c>
      <c r="G2827" s="56" t="s">
        <v>1238</v>
      </c>
      <c r="H2827" s="8"/>
      <c r="I2827" s="8"/>
      <c r="J2827" s="6" t="s">
        <v>111</v>
      </c>
      <c r="K2827" s="41">
        <v>924124</v>
      </c>
      <c r="L2827" s="4" t="s">
        <v>25</v>
      </c>
      <c r="M2827" s="11">
        <f>_xlfn.NUMBERVALUE(LEFT(Table613612[[#This Row],[Fiscal Year]], 4))</f>
        <v>2017</v>
      </c>
      <c r="N2827" s="42">
        <f t="shared" si="46"/>
        <v>948748.45468788256</v>
      </c>
      <c r="O2827" s="3">
        <v>2825</v>
      </c>
    </row>
    <row r="2828" spans="1:15" x14ac:dyDescent="0.25">
      <c r="A2828" s="3">
        <v>9</v>
      </c>
      <c r="B2828" s="3" t="s">
        <v>1428</v>
      </c>
      <c r="C2828" s="3" t="s">
        <v>1428</v>
      </c>
      <c r="D2828" s="3" t="s">
        <v>21</v>
      </c>
      <c r="E2828" s="11" t="s">
        <v>144</v>
      </c>
      <c r="F2828" s="3" t="s">
        <v>5</v>
      </c>
      <c r="G2828" s="56" t="s">
        <v>1239</v>
      </c>
      <c r="H2828" s="8"/>
      <c r="I2828" s="8"/>
      <c r="J2828" s="6" t="s">
        <v>42</v>
      </c>
      <c r="K2828" s="41">
        <v>961692</v>
      </c>
      <c r="L2828" s="4" t="s">
        <v>25</v>
      </c>
      <c r="M2828" s="11">
        <f>_xlfn.NUMBERVALUE(LEFT(Table613612[[#This Row],[Fiscal Year]], 4))</f>
        <v>2017</v>
      </c>
      <c r="N2828" s="42">
        <f t="shared" si="46"/>
        <v>987317.50164014695</v>
      </c>
      <c r="O2828" s="3">
        <v>2826</v>
      </c>
    </row>
    <row r="2829" spans="1:15" x14ac:dyDescent="0.25">
      <c r="A2829" s="3">
        <v>9</v>
      </c>
      <c r="B2829" s="3" t="s">
        <v>1428</v>
      </c>
      <c r="C2829" s="3" t="s">
        <v>1428</v>
      </c>
      <c r="D2829" s="3" t="s">
        <v>21</v>
      </c>
      <c r="E2829" s="11" t="s">
        <v>144</v>
      </c>
      <c r="F2829" s="3" t="s">
        <v>5</v>
      </c>
      <c r="G2829" s="56" t="s">
        <v>1160</v>
      </c>
      <c r="H2829" s="8"/>
      <c r="I2829" s="8"/>
      <c r="J2829" s="6" t="s">
        <v>106</v>
      </c>
      <c r="K2829" s="41">
        <v>424900</v>
      </c>
      <c r="L2829" s="4" t="s">
        <v>25</v>
      </c>
      <c r="M2829" s="11">
        <f>_xlfn.NUMBERVALUE(LEFT(Table613612[[#This Row],[Fiscal Year]], 4))</f>
        <v>2017</v>
      </c>
      <c r="N2829" s="42">
        <f t="shared" si="46"/>
        <v>436221.99877600983</v>
      </c>
      <c r="O2829" s="3">
        <v>2827</v>
      </c>
    </row>
    <row r="2830" spans="1:15" x14ac:dyDescent="0.25">
      <c r="A2830" s="3">
        <v>9</v>
      </c>
      <c r="B2830" s="3" t="s">
        <v>1428</v>
      </c>
      <c r="C2830" s="3" t="s">
        <v>1428</v>
      </c>
      <c r="D2830" s="3" t="s">
        <v>21</v>
      </c>
      <c r="E2830" s="11" t="s">
        <v>144</v>
      </c>
      <c r="F2830" s="3" t="s">
        <v>5</v>
      </c>
      <c r="G2830" s="56" t="s">
        <v>1161</v>
      </c>
      <c r="H2830" s="8"/>
      <c r="I2830" s="8"/>
      <c r="J2830" s="6" t="s">
        <v>42</v>
      </c>
      <c r="K2830" s="41">
        <v>0</v>
      </c>
      <c r="L2830" s="4" t="s">
        <v>25</v>
      </c>
      <c r="M2830" s="11">
        <f>_xlfn.NUMBERVALUE(LEFT(Table613612[[#This Row],[Fiscal Year]], 4))</f>
        <v>2017</v>
      </c>
      <c r="N2830" s="42">
        <f t="shared" si="46"/>
        <v>0</v>
      </c>
      <c r="O2830" s="3">
        <v>2828</v>
      </c>
    </row>
    <row r="2831" spans="1:15" x14ac:dyDescent="0.25">
      <c r="A2831" s="3">
        <v>9</v>
      </c>
      <c r="B2831" s="3" t="s">
        <v>1428</v>
      </c>
      <c r="C2831" s="3" t="s">
        <v>1428</v>
      </c>
      <c r="D2831" s="3" t="s">
        <v>21</v>
      </c>
      <c r="E2831" s="11" t="s">
        <v>144</v>
      </c>
      <c r="F2831" s="3" t="s">
        <v>5</v>
      </c>
      <c r="G2831" s="56" t="s">
        <v>1162</v>
      </c>
      <c r="H2831" s="52"/>
      <c r="I2831" s="52"/>
      <c r="J2831" s="6" t="s">
        <v>105</v>
      </c>
      <c r="K2831" s="41">
        <v>32500</v>
      </c>
      <c r="L2831" s="4" t="s">
        <v>25</v>
      </c>
      <c r="M2831" s="11">
        <f>_xlfn.NUMBERVALUE(LEFT(Table613612[[#This Row],[Fiscal Year]], 4))</f>
        <v>2017</v>
      </c>
      <c r="N2831" s="42">
        <f>K2831*(1+VLOOKUP(M2831,$AF$8:$AH$31,3,0))</f>
        <v>33366.003671970626</v>
      </c>
      <c r="O2831" s="3">
        <v>2829</v>
      </c>
    </row>
    <row r="2832" spans="1:15" x14ac:dyDescent="0.25">
      <c r="A2832" s="3">
        <v>9</v>
      </c>
      <c r="B2832" s="3" t="s">
        <v>1428</v>
      </c>
      <c r="C2832" s="3" t="s">
        <v>1428</v>
      </c>
      <c r="D2832" s="3" t="s">
        <v>21</v>
      </c>
      <c r="E2832" s="11" t="s">
        <v>144</v>
      </c>
      <c r="F2832" s="3" t="s">
        <v>5</v>
      </c>
      <c r="G2832" s="56" t="s">
        <v>1163</v>
      </c>
      <c r="H2832" s="8"/>
      <c r="I2832" s="8"/>
      <c r="J2832" s="6" t="s">
        <v>455</v>
      </c>
      <c r="K2832" s="41">
        <v>0</v>
      </c>
      <c r="L2832" s="4" t="s">
        <v>25</v>
      </c>
      <c r="M2832" s="11">
        <f>_xlfn.NUMBERVALUE(LEFT(Table613612[[#This Row],[Fiscal Year]], 4))</f>
        <v>2017</v>
      </c>
      <c r="N2832" s="42">
        <f t="shared" si="46"/>
        <v>0</v>
      </c>
      <c r="O2832" s="3">
        <v>2830</v>
      </c>
    </row>
    <row r="2833" spans="1:15" x14ac:dyDescent="0.25">
      <c r="A2833" s="3">
        <v>9</v>
      </c>
      <c r="B2833" s="3" t="s">
        <v>1428</v>
      </c>
      <c r="C2833" s="3" t="s">
        <v>1428</v>
      </c>
      <c r="D2833" s="3" t="s">
        <v>21</v>
      </c>
      <c r="E2833" s="11" t="s">
        <v>144</v>
      </c>
      <c r="F2833" s="3" t="s">
        <v>5</v>
      </c>
      <c r="G2833" s="56" t="s">
        <v>1164</v>
      </c>
      <c r="H2833" s="8"/>
      <c r="I2833" s="8"/>
      <c r="J2833" s="6" t="s">
        <v>108</v>
      </c>
      <c r="K2833" s="41">
        <v>0</v>
      </c>
      <c r="L2833" s="4" t="s">
        <v>25</v>
      </c>
      <c r="M2833" s="11">
        <f>_xlfn.NUMBERVALUE(LEFT(Table613612[[#This Row],[Fiscal Year]], 4))</f>
        <v>2017</v>
      </c>
      <c r="N2833" s="42">
        <f t="shared" si="46"/>
        <v>0</v>
      </c>
      <c r="O2833" s="3">
        <v>2831</v>
      </c>
    </row>
    <row r="2834" spans="1:15" x14ac:dyDescent="0.25">
      <c r="A2834" s="3">
        <v>9</v>
      </c>
      <c r="B2834" s="3" t="s">
        <v>1428</v>
      </c>
      <c r="C2834" s="3" t="s">
        <v>1428</v>
      </c>
      <c r="D2834" s="3" t="s">
        <v>21</v>
      </c>
      <c r="E2834" s="11" t="s">
        <v>144</v>
      </c>
      <c r="F2834" s="3" t="s">
        <v>5</v>
      </c>
      <c r="G2834" s="56" t="s">
        <v>1165</v>
      </c>
      <c r="H2834" s="8"/>
      <c r="I2834" s="8"/>
      <c r="J2834" s="6" t="s">
        <v>605</v>
      </c>
      <c r="K2834" s="41">
        <v>1364567</v>
      </c>
      <c r="L2834" s="4" t="s">
        <v>25</v>
      </c>
      <c r="M2834" s="11">
        <f>_xlfn.NUMBERVALUE(LEFT(Table613612[[#This Row],[Fiscal Year]], 4))</f>
        <v>2017</v>
      </c>
      <c r="N2834" s="42">
        <f t="shared" si="46"/>
        <v>1400927.616389229</v>
      </c>
      <c r="O2834" s="3">
        <v>2832</v>
      </c>
    </row>
    <row r="2835" spans="1:15" x14ac:dyDescent="0.25">
      <c r="A2835" s="3">
        <v>9</v>
      </c>
      <c r="B2835" s="3" t="s">
        <v>1428</v>
      </c>
      <c r="C2835" s="3" t="s">
        <v>1428</v>
      </c>
      <c r="D2835" s="3" t="s">
        <v>21</v>
      </c>
      <c r="E2835" s="11" t="s">
        <v>144</v>
      </c>
      <c r="F2835" s="3" t="s">
        <v>5</v>
      </c>
      <c r="G2835" s="56" t="s">
        <v>1166</v>
      </c>
      <c r="H2835" s="8"/>
      <c r="I2835" s="8"/>
      <c r="J2835" s="6" t="s">
        <v>605</v>
      </c>
      <c r="K2835" s="41">
        <v>1055954</v>
      </c>
      <c r="L2835" s="4" t="s">
        <v>25</v>
      </c>
      <c r="M2835" s="11">
        <f>_xlfn.NUMBERVALUE(LEFT(Table613612[[#This Row],[Fiscal Year]], 4))</f>
        <v>2017</v>
      </c>
      <c r="N2835" s="42">
        <f t="shared" si="46"/>
        <v>1084091.2320440637</v>
      </c>
      <c r="O2835" s="3">
        <v>2833</v>
      </c>
    </row>
    <row r="2836" spans="1:15" x14ac:dyDescent="0.25">
      <c r="A2836" s="3">
        <v>9</v>
      </c>
      <c r="B2836" s="3" t="s">
        <v>1428</v>
      </c>
      <c r="C2836" s="3" t="s">
        <v>1428</v>
      </c>
      <c r="D2836" s="3" t="s">
        <v>21</v>
      </c>
      <c r="E2836" s="11" t="s">
        <v>144</v>
      </c>
      <c r="F2836" s="3" t="s">
        <v>5</v>
      </c>
      <c r="G2836" s="56" t="s">
        <v>1167</v>
      </c>
      <c r="H2836" s="52"/>
      <c r="I2836" s="52"/>
      <c r="J2836" s="6" t="s">
        <v>605</v>
      </c>
      <c r="K2836" s="41">
        <v>3077350</v>
      </c>
      <c r="L2836" s="4" t="s">
        <v>25</v>
      </c>
      <c r="M2836" s="11">
        <f>_xlfn.NUMBERVALUE(LEFT(Table613612[[#This Row],[Fiscal Year]], 4))</f>
        <v>2017</v>
      </c>
      <c r="N2836" s="42">
        <f t="shared" si="46"/>
        <v>3159349.8892288865</v>
      </c>
      <c r="O2836" s="3">
        <v>2834</v>
      </c>
    </row>
    <row r="2837" spans="1:15" x14ac:dyDescent="0.25">
      <c r="A2837" s="3">
        <v>9</v>
      </c>
      <c r="B2837" s="3" t="s">
        <v>1428</v>
      </c>
      <c r="C2837" s="3" t="s">
        <v>1428</v>
      </c>
      <c r="D2837" s="3" t="s">
        <v>21</v>
      </c>
      <c r="E2837" s="11" t="s">
        <v>144</v>
      </c>
      <c r="F2837" s="3" t="s">
        <v>5</v>
      </c>
      <c r="G2837" s="48" t="s">
        <v>1168</v>
      </c>
      <c r="H2837" s="6"/>
      <c r="I2837" s="8"/>
      <c r="J2837" s="6" t="s">
        <v>605</v>
      </c>
      <c r="K2837" s="41">
        <v>0</v>
      </c>
      <c r="L2837" s="4" t="s">
        <v>25</v>
      </c>
      <c r="M2837" s="11">
        <f>_xlfn.NUMBERVALUE(LEFT(Table613612[[#This Row],[Fiscal Year]], 4))</f>
        <v>2017</v>
      </c>
      <c r="N2837" s="42">
        <f t="shared" si="46"/>
        <v>0</v>
      </c>
      <c r="O2837" s="3">
        <v>2835</v>
      </c>
    </row>
    <row r="2838" spans="1:15" x14ac:dyDescent="0.25">
      <c r="A2838" s="3">
        <v>9</v>
      </c>
      <c r="B2838" s="3" t="s">
        <v>1428</v>
      </c>
      <c r="C2838" s="3" t="s">
        <v>1428</v>
      </c>
      <c r="D2838" s="3" t="s">
        <v>21</v>
      </c>
      <c r="E2838" s="11" t="s">
        <v>144</v>
      </c>
      <c r="F2838" s="3" t="s">
        <v>5</v>
      </c>
      <c r="G2838" s="48" t="s">
        <v>1169</v>
      </c>
      <c r="H2838" s="8"/>
      <c r="I2838" s="8"/>
      <c r="J2838" s="6" t="s">
        <v>455</v>
      </c>
      <c r="K2838" s="41">
        <v>0</v>
      </c>
      <c r="L2838" s="4" t="s">
        <v>25</v>
      </c>
      <c r="M2838" s="11">
        <f>_xlfn.NUMBERVALUE(LEFT(Table613612[[#This Row],[Fiscal Year]], 4))</f>
        <v>2017</v>
      </c>
      <c r="N2838" s="42">
        <f t="shared" si="46"/>
        <v>0</v>
      </c>
      <c r="O2838" s="3">
        <v>2836</v>
      </c>
    </row>
    <row r="2839" spans="1:15" x14ac:dyDescent="0.25">
      <c r="A2839" s="3">
        <v>9</v>
      </c>
      <c r="B2839" s="3" t="s">
        <v>1428</v>
      </c>
      <c r="C2839" s="3" t="s">
        <v>1428</v>
      </c>
      <c r="D2839" s="3" t="s">
        <v>21</v>
      </c>
      <c r="E2839" s="11" t="s">
        <v>144</v>
      </c>
      <c r="F2839" s="3" t="s">
        <v>5</v>
      </c>
      <c r="G2839" s="56" t="s">
        <v>1170</v>
      </c>
      <c r="H2839" s="8"/>
      <c r="I2839" s="8"/>
      <c r="J2839" s="6" t="s">
        <v>455</v>
      </c>
      <c r="K2839" s="41">
        <v>1072369</v>
      </c>
      <c r="L2839" s="4" t="s">
        <v>25</v>
      </c>
      <c r="M2839" s="11">
        <f>_xlfn.NUMBERVALUE(LEFT(Table613612[[#This Row],[Fiscal Year]], 4))</f>
        <v>2017</v>
      </c>
      <c r="N2839" s="42">
        <f>K2839*(1+VLOOKUP(M2839,$AF$8:$AH$31,3,0))</f>
        <v>1100943.630514076</v>
      </c>
      <c r="O2839" s="3">
        <v>2837</v>
      </c>
    </row>
    <row r="2840" spans="1:15" x14ac:dyDescent="0.25">
      <c r="A2840" s="3">
        <v>9</v>
      </c>
      <c r="B2840" s="3" t="s">
        <v>1428</v>
      </c>
      <c r="C2840" s="3" t="s">
        <v>1428</v>
      </c>
      <c r="D2840" s="3" t="s">
        <v>21</v>
      </c>
      <c r="E2840" s="11" t="s">
        <v>144</v>
      </c>
      <c r="F2840" s="3" t="s">
        <v>5</v>
      </c>
      <c r="G2840" s="56" t="s">
        <v>1171</v>
      </c>
      <c r="H2840" s="8"/>
      <c r="I2840" s="8"/>
      <c r="J2840" s="6" t="s">
        <v>455</v>
      </c>
      <c r="K2840" s="41">
        <v>0</v>
      </c>
      <c r="L2840" s="4" t="s">
        <v>25</v>
      </c>
      <c r="M2840" s="11">
        <f>_xlfn.NUMBERVALUE(LEFT(Table613612[[#This Row],[Fiscal Year]], 4))</f>
        <v>2017</v>
      </c>
      <c r="N2840" s="42">
        <f t="shared" si="46"/>
        <v>0</v>
      </c>
      <c r="O2840" s="3">
        <v>2838</v>
      </c>
    </row>
    <row r="2841" spans="1:15" x14ac:dyDescent="0.25">
      <c r="A2841" s="3">
        <v>9</v>
      </c>
      <c r="B2841" s="3" t="s">
        <v>1428</v>
      </c>
      <c r="C2841" s="3" t="s">
        <v>1428</v>
      </c>
      <c r="D2841" s="3" t="s">
        <v>21</v>
      </c>
      <c r="E2841" s="11" t="s">
        <v>144</v>
      </c>
      <c r="F2841" s="3" t="s">
        <v>5</v>
      </c>
      <c r="G2841" s="56" t="s">
        <v>1172</v>
      </c>
      <c r="H2841" s="52"/>
      <c r="I2841" s="52"/>
      <c r="J2841" s="6" t="s">
        <v>455</v>
      </c>
      <c r="K2841" s="41">
        <v>0</v>
      </c>
      <c r="L2841" s="4" t="s">
        <v>25</v>
      </c>
      <c r="M2841" s="11">
        <f>_xlfn.NUMBERVALUE(LEFT(Table613612[[#This Row],[Fiscal Year]], 4))</f>
        <v>2017</v>
      </c>
      <c r="N2841" s="42">
        <f t="shared" si="46"/>
        <v>0</v>
      </c>
      <c r="O2841" s="3">
        <v>2839</v>
      </c>
    </row>
    <row r="2842" spans="1:15" x14ac:dyDescent="0.25">
      <c r="B2842" s="9"/>
      <c r="E2842" s="28"/>
      <c r="F2842" s="9"/>
      <c r="G2842" s="48"/>
      <c r="H2842" s="8"/>
      <c r="I2842" s="8"/>
      <c r="J2842" s="6"/>
      <c r="K2842" s="41"/>
      <c r="L2842" s="27"/>
      <c r="O2842" s="3">
        <v>2840</v>
      </c>
    </row>
    <row r="2843" spans="1:15" x14ac:dyDescent="0.25">
      <c r="A2843" s="3">
        <v>9</v>
      </c>
      <c r="B2843" s="9" t="s">
        <v>301</v>
      </c>
      <c r="C2843" s="3" t="s">
        <v>21</v>
      </c>
      <c r="D2843" s="3" t="s">
        <v>21</v>
      </c>
      <c r="E2843" s="11" t="s">
        <v>144</v>
      </c>
      <c r="F2843" s="9" t="s">
        <v>67</v>
      </c>
      <c r="G2843" s="48" t="s">
        <v>1240</v>
      </c>
      <c r="H2843" s="8" t="s">
        <v>583</v>
      </c>
      <c r="I2843" s="8"/>
      <c r="J2843" s="6" t="s">
        <v>110</v>
      </c>
      <c r="K2843" s="41">
        <v>37960</v>
      </c>
      <c r="L2843" s="27" t="s">
        <v>25</v>
      </c>
      <c r="M2843" s="11">
        <f>_xlfn.NUMBERVALUE(LEFT(Table613612[[#This Row],[Fiscal Year]], 4))</f>
        <v>2017</v>
      </c>
      <c r="N2843" s="42">
        <f t="shared" si="46"/>
        <v>38971.492288861693</v>
      </c>
      <c r="O2843" s="3">
        <v>2841</v>
      </c>
    </row>
    <row r="2844" spans="1:15" x14ac:dyDescent="0.25">
      <c r="A2844" s="3">
        <v>9</v>
      </c>
      <c r="B2844" s="9" t="s">
        <v>301</v>
      </c>
      <c r="C2844" s="3" t="s">
        <v>21</v>
      </c>
      <c r="D2844" s="3" t="s">
        <v>21</v>
      </c>
      <c r="E2844" s="11" t="s">
        <v>144</v>
      </c>
      <c r="F2844" s="9" t="s">
        <v>67</v>
      </c>
      <c r="G2844" s="48" t="s">
        <v>1241</v>
      </c>
      <c r="H2844" s="8"/>
      <c r="I2844" s="8"/>
      <c r="J2844" s="6" t="s">
        <v>111</v>
      </c>
      <c r="K2844" s="41">
        <v>67165</v>
      </c>
      <c r="L2844" s="27" t="s">
        <v>25</v>
      </c>
      <c r="M2844" s="11">
        <f>_xlfn.NUMBERVALUE(LEFT(Table613612[[#This Row],[Fiscal Year]], 4))</f>
        <v>2017</v>
      </c>
      <c r="N2844" s="42">
        <f t="shared" si="46"/>
        <v>68954.696511627917</v>
      </c>
      <c r="O2844" s="3">
        <v>2842</v>
      </c>
    </row>
    <row r="2845" spans="1:15" x14ac:dyDescent="0.25">
      <c r="A2845" s="3">
        <v>9</v>
      </c>
      <c r="B2845" s="9" t="s">
        <v>301</v>
      </c>
      <c r="C2845" s="3" t="s">
        <v>21</v>
      </c>
      <c r="D2845" s="3" t="s">
        <v>21</v>
      </c>
      <c r="E2845" s="11" t="s">
        <v>144</v>
      </c>
      <c r="F2845" s="9" t="s">
        <v>67</v>
      </c>
      <c r="G2845" s="48" t="s">
        <v>1242</v>
      </c>
      <c r="H2845" s="8"/>
      <c r="I2845" s="8"/>
      <c r="J2845" s="6" t="s">
        <v>107</v>
      </c>
      <c r="K2845" s="41">
        <v>124025</v>
      </c>
      <c r="L2845" s="27" t="s">
        <v>25</v>
      </c>
      <c r="M2845" s="11">
        <f>_xlfn.NUMBERVALUE(LEFT(Table613612[[#This Row],[Fiscal Year]], 4))</f>
        <v>2017</v>
      </c>
      <c r="N2845" s="42">
        <f t="shared" si="46"/>
        <v>127329.80324357406</v>
      </c>
      <c r="O2845" s="3">
        <v>2843</v>
      </c>
    </row>
    <row r="2846" spans="1:15" x14ac:dyDescent="0.25">
      <c r="A2846" s="3">
        <v>9</v>
      </c>
      <c r="B2846" s="9" t="s">
        <v>301</v>
      </c>
      <c r="C2846" s="3" t="s">
        <v>21</v>
      </c>
      <c r="D2846" s="3" t="s">
        <v>21</v>
      </c>
      <c r="E2846" s="11" t="s">
        <v>144</v>
      </c>
      <c r="F2846" s="9" t="s">
        <v>67</v>
      </c>
      <c r="G2846" s="66" t="s">
        <v>1243</v>
      </c>
      <c r="H2846" s="8"/>
      <c r="I2846" s="8"/>
      <c r="J2846" s="6" t="s">
        <v>108</v>
      </c>
      <c r="K2846" s="38">
        <v>1489345</v>
      </c>
      <c r="L2846" s="27" t="s">
        <v>25</v>
      </c>
      <c r="M2846" s="11">
        <f>_xlfn.NUMBERVALUE(LEFT(Table613612[[#This Row],[Fiscal Year]], 4))</f>
        <v>2017</v>
      </c>
      <c r="N2846" s="42">
        <f t="shared" si="46"/>
        <v>1529030.4842717261</v>
      </c>
      <c r="O2846" s="3">
        <v>2844</v>
      </c>
    </row>
    <row r="2847" spans="1:15" x14ac:dyDescent="0.25">
      <c r="A2847" s="3">
        <v>9</v>
      </c>
      <c r="B2847" s="9" t="s">
        <v>301</v>
      </c>
      <c r="C2847" s="3" t="s">
        <v>21</v>
      </c>
      <c r="D2847" s="3" t="s">
        <v>21</v>
      </c>
      <c r="E2847" s="11" t="s">
        <v>144</v>
      </c>
      <c r="F2847" s="9" t="s">
        <v>67</v>
      </c>
      <c r="G2847" s="66" t="s">
        <v>1244</v>
      </c>
      <c r="H2847" s="8"/>
      <c r="I2847" s="8"/>
      <c r="J2847" s="6" t="s">
        <v>109</v>
      </c>
      <c r="K2847" s="38">
        <v>628735</v>
      </c>
      <c r="L2847" s="27" t="s">
        <v>25</v>
      </c>
      <c r="M2847" s="11">
        <f>_xlfn.NUMBERVALUE(LEFT(Table613612[[#This Row],[Fiscal Year]], 4))</f>
        <v>2017</v>
      </c>
      <c r="N2847" s="42">
        <f t="shared" si="46"/>
        <v>645488.44057527545</v>
      </c>
      <c r="O2847" s="3">
        <v>2845</v>
      </c>
    </row>
    <row r="2848" spans="1:15" x14ac:dyDescent="0.25">
      <c r="A2848" s="3">
        <v>9</v>
      </c>
      <c r="B2848" s="9" t="s">
        <v>301</v>
      </c>
      <c r="C2848" s="3" t="s">
        <v>21</v>
      </c>
      <c r="D2848" s="3" t="s">
        <v>21</v>
      </c>
      <c r="E2848" s="11" t="s">
        <v>144</v>
      </c>
      <c r="F2848" s="9" t="s">
        <v>67</v>
      </c>
      <c r="G2848" s="66" t="s">
        <v>1245</v>
      </c>
      <c r="H2848" s="8"/>
      <c r="I2848" s="8"/>
      <c r="J2848" s="6" t="s">
        <v>111</v>
      </c>
      <c r="K2848" s="38">
        <v>0</v>
      </c>
      <c r="L2848" s="27" t="s">
        <v>25</v>
      </c>
      <c r="M2848" s="11">
        <f>_xlfn.NUMBERVALUE(LEFT(Table613612[[#This Row],[Fiscal Year]], 4))</f>
        <v>2017</v>
      </c>
      <c r="N2848" s="42">
        <f t="shared" si="46"/>
        <v>0</v>
      </c>
      <c r="O2848" s="3">
        <v>2846</v>
      </c>
    </row>
    <row r="2849" spans="1:15" x14ac:dyDescent="0.25">
      <c r="A2849" s="3">
        <v>9</v>
      </c>
      <c r="B2849" s="9" t="s">
        <v>301</v>
      </c>
      <c r="C2849" s="3" t="s">
        <v>21</v>
      </c>
      <c r="D2849" s="3" t="s">
        <v>21</v>
      </c>
      <c r="E2849" s="11" t="s">
        <v>144</v>
      </c>
      <c r="F2849" s="9" t="s">
        <v>67</v>
      </c>
      <c r="G2849" s="66" t="s">
        <v>1246</v>
      </c>
      <c r="H2849" s="8"/>
      <c r="I2849" s="8"/>
      <c r="J2849" s="6" t="s">
        <v>106</v>
      </c>
      <c r="K2849" s="38">
        <v>21555</v>
      </c>
      <c r="L2849" s="27" t="s">
        <v>25</v>
      </c>
      <c r="M2849" s="11">
        <f>_xlfn.NUMBERVALUE(LEFT(Table613612[[#This Row],[Fiscal Year]], 4))</f>
        <v>2017</v>
      </c>
      <c r="N2849" s="42">
        <f t="shared" si="46"/>
        <v>22129.360281517751</v>
      </c>
      <c r="O2849" s="3">
        <v>2847</v>
      </c>
    </row>
    <row r="2850" spans="1:15" x14ac:dyDescent="0.25">
      <c r="A2850" s="3">
        <v>9</v>
      </c>
      <c r="B2850" s="9" t="s">
        <v>301</v>
      </c>
      <c r="C2850" s="3" t="s">
        <v>21</v>
      </c>
      <c r="D2850" s="3" t="s">
        <v>21</v>
      </c>
      <c r="E2850" s="11" t="s">
        <v>144</v>
      </c>
      <c r="F2850" s="9" t="s">
        <v>67</v>
      </c>
      <c r="G2850" s="66" t="s">
        <v>1247</v>
      </c>
      <c r="H2850" s="8" t="s">
        <v>638</v>
      </c>
      <c r="I2850" s="47" t="s">
        <v>637</v>
      </c>
      <c r="J2850" s="6" t="s">
        <v>455</v>
      </c>
      <c r="K2850" s="38">
        <v>38580</v>
      </c>
      <c r="L2850" s="27" t="s">
        <v>25</v>
      </c>
      <c r="M2850" s="11">
        <f>_xlfn.NUMBERVALUE(LEFT(Table613612[[#This Row],[Fiscal Year]], 4))</f>
        <v>2017</v>
      </c>
      <c r="N2850" s="42">
        <f t="shared" si="46"/>
        <v>39608.012974296209</v>
      </c>
      <c r="O2850" s="3">
        <v>2848</v>
      </c>
    </row>
    <row r="2851" spans="1:15" x14ac:dyDescent="0.25">
      <c r="A2851" s="3">
        <v>9</v>
      </c>
      <c r="B2851" s="9" t="s">
        <v>301</v>
      </c>
      <c r="C2851" s="3" t="s">
        <v>21</v>
      </c>
      <c r="D2851" s="3" t="s">
        <v>21</v>
      </c>
      <c r="E2851" s="11" t="s">
        <v>144</v>
      </c>
      <c r="F2851" s="9" t="s">
        <v>67</v>
      </c>
      <c r="G2851" s="66" t="s">
        <v>1248</v>
      </c>
      <c r="H2851" s="8"/>
      <c r="I2851" s="8"/>
      <c r="J2851" s="6" t="s">
        <v>105</v>
      </c>
      <c r="K2851" s="38">
        <v>40480</v>
      </c>
      <c r="L2851" s="27" t="s">
        <v>25</v>
      </c>
      <c r="M2851" s="11">
        <f>_xlfn.NUMBERVALUE(LEFT(Table613612[[#This Row],[Fiscal Year]], 4))</f>
        <v>2017</v>
      </c>
      <c r="N2851" s="42">
        <f t="shared" si="46"/>
        <v>41558.640881272957</v>
      </c>
      <c r="O2851" s="3">
        <v>2849</v>
      </c>
    </row>
    <row r="2852" spans="1:15" x14ac:dyDescent="0.25">
      <c r="A2852" s="3">
        <v>9</v>
      </c>
      <c r="B2852" s="9" t="s">
        <v>301</v>
      </c>
      <c r="C2852" s="3" t="s">
        <v>21</v>
      </c>
      <c r="D2852" s="3" t="s">
        <v>21</v>
      </c>
      <c r="E2852" s="11" t="s">
        <v>144</v>
      </c>
      <c r="F2852" s="9" t="s">
        <v>67</v>
      </c>
      <c r="G2852" s="48" t="s">
        <v>1249</v>
      </c>
      <c r="H2852" s="8"/>
      <c r="I2852" s="8"/>
      <c r="J2852" s="6" t="s">
        <v>455</v>
      </c>
      <c r="K2852" s="38">
        <v>114620</v>
      </c>
      <c r="L2852" s="27" t="s">
        <v>25</v>
      </c>
      <c r="M2852" s="11">
        <f>_xlfn.NUMBERVALUE(LEFT(Table613612[[#This Row],[Fiscal Year]], 4))</f>
        <v>2017</v>
      </c>
      <c r="N2852" s="42">
        <f t="shared" si="46"/>
        <v>117674.19510403919</v>
      </c>
      <c r="O2852" s="3">
        <v>2850</v>
      </c>
    </row>
    <row r="2853" spans="1:15" x14ac:dyDescent="0.25">
      <c r="A2853" s="3">
        <v>9</v>
      </c>
      <c r="B2853" s="9" t="s">
        <v>301</v>
      </c>
      <c r="C2853" s="3" t="s">
        <v>21</v>
      </c>
      <c r="D2853" s="3" t="s">
        <v>21</v>
      </c>
      <c r="E2853" s="11" t="s">
        <v>144</v>
      </c>
      <c r="F2853" s="9" t="s">
        <v>67</v>
      </c>
      <c r="G2853" s="66" t="s">
        <v>1250</v>
      </c>
      <c r="H2853" s="8" t="s">
        <v>665</v>
      </c>
      <c r="I2853" s="70" t="s">
        <v>664</v>
      </c>
      <c r="J2853" s="6" t="s">
        <v>108</v>
      </c>
      <c r="K2853" s="38">
        <v>28270</v>
      </c>
      <c r="L2853" s="27" t="s">
        <v>25</v>
      </c>
      <c r="M2853" s="11">
        <f>_xlfn.NUMBERVALUE(LEFT(Table613612[[#This Row],[Fiscal Year]], 4))</f>
        <v>2017</v>
      </c>
      <c r="N2853" s="42">
        <f t="shared" si="46"/>
        <v>29023.289963280298</v>
      </c>
      <c r="O2853" s="3">
        <v>2851</v>
      </c>
    </row>
    <row r="2854" spans="1:15" x14ac:dyDescent="0.25">
      <c r="A2854" s="3">
        <v>9</v>
      </c>
      <c r="B2854" s="9" t="s">
        <v>301</v>
      </c>
      <c r="C2854" s="3" t="s">
        <v>21</v>
      </c>
      <c r="D2854" s="3" t="s">
        <v>21</v>
      </c>
      <c r="E2854" s="11" t="s">
        <v>144</v>
      </c>
      <c r="F2854" s="9" t="s">
        <v>67</v>
      </c>
      <c r="G2854" s="48" t="s">
        <v>1251</v>
      </c>
      <c r="H2854" s="8" t="s">
        <v>584</v>
      </c>
      <c r="I2854" s="8"/>
      <c r="J2854" s="6" t="s">
        <v>110</v>
      </c>
      <c r="K2854" s="38">
        <v>2335</v>
      </c>
      <c r="L2854" s="27" t="s">
        <v>25</v>
      </c>
      <c r="M2854" s="11">
        <f>_xlfn.NUMBERVALUE(LEFT(Table613612[[#This Row],[Fiscal Year]], 4))</f>
        <v>2017</v>
      </c>
      <c r="N2854" s="42">
        <f t="shared" si="46"/>
        <v>2397.219033047736</v>
      </c>
      <c r="O2854" s="3">
        <v>2852</v>
      </c>
    </row>
    <row r="2855" spans="1:15" x14ac:dyDescent="0.25">
      <c r="A2855" s="3">
        <v>9</v>
      </c>
      <c r="B2855" s="9" t="s">
        <v>301</v>
      </c>
      <c r="C2855" s="3" t="s">
        <v>21</v>
      </c>
      <c r="D2855" s="3" t="s">
        <v>21</v>
      </c>
      <c r="E2855" s="11" t="s">
        <v>144</v>
      </c>
      <c r="F2855" s="9" t="s">
        <v>67</v>
      </c>
      <c r="G2855" s="48" t="s">
        <v>1252</v>
      </c>
      <c r="H2855" s="8"/>
      <c r="I2855" s="8"/>
      <c r="J2855" s="6" t="s">
        <v>111</v>
      </c>
      <c r="K2855" s="38">
        <v>29530</v>
      </c>
      <c r="L2855" s="27" t="s">
        <v>25</v>
      </c>
      <c r="M2855" s="11">
        <f>_xlfn.NUMBERVALUE(LEFT(Table613612[[#This Row],[Fiscal Year]], 4))</f>
        <v>2017</v>
      </c>
      <c r="N2855" s="42">
        <f t="shared" si="46"/>
        <v>30316.864259485927</v>
      </c>
      <c r="O2855" s="3">
        <v>2853</v>
      </c>
    </row>
    <row r="2856" spans="1:15" x14ac:dyDescent="0.25">
      <c r="A2856" s="3">
        <v>9</v>
      </c>
      <c r="B2856" s="9" t="s">
        <v>301</v>
      </c>
      <c r="C2856" s="3" t="s">
        <v>21</v>
      </c>
      <c r="D2856" s="3" t="s">
        <v>21</v>
      </c>
      <c r="E2856" s="11" t="s">
        <v>144</v>
      </c>
      <c r="F2856" s="9" t="s">
        <v>67</v>
      </c>
      <c r="G2856" s="66" t="s">
        <v>1253</v>
      </c>
      <c r="H2856" s="8"/>
      <c r="I2856" s="8"/>
      <c r="J2856" s="6" t="s">
        <v>455</v>
      </c>
      <c r="K2856" s="38">
        <v>4465</v>
      </c>
      <c r="L2856" s="27" t="s">
        <v>25</v>
      </c>
      <c r="M2856" s="11">
        <f>_xlfn.NUMBERVALUE(LEFT(Table613612[[#This Row],[Fiscal Year]], 4))</f>
        <v>2017</v>
      </c>
      <c r="N2856" s="42">
        <f t="shared" si="46"/>
        <v>4583.9755813953498</v>
      </c>
      <c r="O2856" s="3">
        <v>2854</v>
      </c>
    </row>
    <row r="2857" spans="1:15" x14ac:dyDescent="0.25">
      <c r="A2857" s="3">
        <v>9</v>
      </c>
      <c r="B2857" s="9" t="s">
        <v>301</v>
      </c>
      <c r="C2857" s="3" t="s">
        <v>21</v>
      </c>
      <c r="D2857" s="3" t="s">
        <v>21</v>
      </c>
      <c r="E2857" s="11" t="s">
        <v>144</v>
      </c>
      <c r="F2857" s="9" t="s">
        <v>67</v>
      </c>
      <c r="G2857" s="48" t="s">
        <v>1254</v>
      </c>
      <c r="H2857" s="8"/>
      <c r="I2857" s="8"/>
      <c r="J2857" s="6" t="s">
        <v>605</v>
      </c>
      <c r="K2857" s="38">
        <v>1795</v>
      </c>
      <c r="L2857" s="27" t="s">
        <v>25</v>
      </c>
      <c r="M2857" s="11">
        <f>_xlfn.NUMBERVALUE(LEFT(Table613612[[#This Row],[Fiscal Year]], 4))</f>
        <v>2017</v>
      </c>
      <c r="N2857" s="42">
        <f t="shared" si="46"/>
        <v>1842.8300489596086</v>
      </c>
      <c r="O2857" s="3">
        <v>2855</v>
      </c>
    </row>
    <row r="2858" spans="1:15" x14ac:dyDescent="0.25">
      <c r="A2858" s="3">
        <v>9</v>
      </c>
      <c r="B2858" s="9" t="s">
        <v>301</v>
      </c>
      <c r="C2858" s="3" t="s">
        <v>21</v>
      </c>
      <c r="D2858" s="3" t="s">
        <v>21</v>
      </c>
      <c r="E2858" s="11" t="s">
        <v>144</v>
      </c>
      <c r="F2858" s="9" t="s">
        <v>67</v>
      </c>
      <c r="G2858" s="48" t="s">
        <v>1255</v>
      </c>
      <c r="H2858" s="8" t="s">
        <v>585</v>
      </c>
      <c r="I2858" s="8"/>
      <c r="J2858" s="6" t="s">
        <v>110</v>
      </c>
      <c r="K2858" s="38">
        <v>0</v>
      </c>
      <c r="L2858" s="27" t="s">
        <v>25</v>
      </c>
      <c r="M2858" s="11">
        <f>_xlfn.NUMBERVALUE(LEFT(Table613612[[#This Row],[Fiscal Year]], 4))</f>
        <v>2017</v>
      </c>
      <c r="N2858" s="42">
        <f t="shared" si="46"/>
        <v>0</v>
      </c>
      <c r="O2858" s="3">
        <v>2856</v>
      </c>
    </row>
    <row r="2859" spans="1:15" x14ac:dyDescent="0.25">
      <c r="A2859" s="3">
        <v>9</v>
      </c>
      <c r="B2859" s="9" t="s">
        <v>301</v>
      </c>
      <c r="C2859" s="3" t="s">
        <v>21</v>
      </c>
      <c r="D2859" s="3" t="s">
        <v>21</v>
      </c>
      <c r="E2859" s="11" t="s">
        <v>144</v>
      </c>
      <c r="F2859" s="9" t="s">
        <v>67</v>
      </c>
      <c r="G2859" s="66" t="s">
        <v>1256</v>
      </c>
      <c r="H2859" s="8"/>
      <c r="I2859" s="8"/>
      <c r="J2859" s="6" t="s">
        <v>455</v>
      </c>
      <c r="K2859" s="38">
        <v>1730</v>
      </c>
      <c r="L2859" s="27" t="s">
        <v>25</v>
      </c>
      <c r="M2859" s="11">
        <f>_xlfn.NUMBERVALUE(LEFT(Table613612[[#This Row],[Fiscal Year]], 4))</f>
        <v>2017</v>
      </c>
      <c r="N2859" s="42">
        <f t="shared" si="46"/>
        <v>1776.0980416156674</v>
      </c>
      <c r="O2859" s="3">
        <v>2857</v>
      </c>
    </row>
    <row r="2860" spans="1:15" x14ac:dyDescent="0.25">
      <c r="E2860" s="11"/>
      <c r="G2860" s="66"/>
      <c r="H2860" s="8"/>
      <c r="I2860" s="8"/>
      <c r="J2860" s="6"/>
      <c r="L2860" s="4"/>
      <c r="O2860" s="3">
        <v>2858</v>
      </c>
    </row>
    <row r="2861" spans="1:15" x14ac:dyDescent="0.25">
      <c r="A2861" s="3">
        <v>9</v>
      </c>
      <c r="B2861" s="3" t="s">
        <v>300</v>
      </c>
      <c r="C2861" s="3" t="s">
        <v>21</v>
      </c>
      <c r="D2861" s="3" t="s">
        <v>21</v>
      </c>
      <c r="E2861" s="11" t="s">
        <v>144</v>
      </c>
      <c r="F2861" s="3" t="s">
        <v>67</v>
      </c>
      <c r="G2861" s="48" t="s">
        <v>1373</v>
      </c>
      <c r="H2861" s="8" t="s">
        <v>586</v>
      </c>
      <c r="I2861" s="8"/>
      <c r="J2861" s="6" t="s">
        <v>108</v>
      </c>
      <c r="K2861" s="38">
        <v>221654</v>
      </c>
      <c r="L2861" s="27" t="s">
        <v>25</v>
      </c>
      <c r="M2861" s="11">
        <f>_xlfn.NUMBERVALUE(LEFT(Table613612[[#This Row],[Fiscal Year]], 4))</f>
        <v>2017</v>
      </c>
      <c r="N2861" s="42">
        <f t="shared" si="46"/>
        <v>227560.25162790701</v>
      </c>
      <c r="O2861" s="3">
        <v>2859</v>
      </c>
    </row>
    <row r="2862" spans="1:15" x14ac:dyDescent="0.25">
      <c r="A2862" s="3">
        <v>9</v>
      </c>
      <c r="B2862" s="3" t="s">
        <v>300</v>
      </c>
      <c r="C2862" s="3" t="s">
        <v>21</v>
      </c>
      <c r="D2862" s="3" t="s">
        <v>21</v>
      </c>
      <c r="E2862" s="11" t="s">
        <v>144</v>
      </c>
      <c r="F2862" s="3" t="s">
        <v>67</v>
      </c>
      <c r="G2862" s="48" t="s">
        <v>1374</v>
      </c>
      <c r="H2862" s="8"/>
      <c r="I2862" s="8"/>
      <c r="J2862" s="6" t="s">
        <v>108</v>
      </c>
      <c r="K2862" s="38">
        <v>58769</v>
      </c>
      <c r="L2862" s="27" t="s">
        <v>25</v>
      </c>
      <c r="M2862" s="11">
        <f>_xlfn.NUMBERVALUE(LEFT(Table613612[[#This Row],[Fiscal Year]], 4))</f>
        <v>2017</v>
      </c>
      <c r="N2862" s="42">
        <f t="shared" si="46"/>
        <v>60334.974455324365</v>
      </c>
      <c r="O2862" s="3">
        <v>2860</v>
      </c>
    </row>
    <row r="2863" spans="1:15" x14ac:dyDescent="0.25">
      <c r="A2863" s="3">
        <v>9</v>
      </c>
      <c r="B2863" s="3" t="s">
        <v>300</v>
      </c>
      <c r="C2863" s="3" t="s">
        <v>21</v>
      </c>
      <c r="D2863" s="3" t="s">
        <v>21</v>
      </c>
      <c r="E2863" s="11" t="s">
        <v>144</v>
      </c>
      <c r="F2863" s="3" t="s">
        <v>67</v>
      </c>
      <c r="G2863" s="48" t="s">
        <v>1375</v>
      </c>
      <c r="H2863" s="8"/>
      <c r="I2863" s="8"/>
      <c r="J2863" s="6" t="s">
        <v>108</v>
      </c>
      <c r="K2863" s="38">
        <v>13124</v>
      </c>
      <c r="L2863" s="27" t="s">
        <v>25</v>
      </c>
      <c r="M2863" s="11">
        <f>_xlfn.NUMBERVALUE(LEFT(Table613612[[#This Row],[Fiscal Year]], 4))</f>
        <v>2017</v>
      </c>
      <c r="N2863" s="42">
        <f t="shared" si="46"/>
        <v>13473.705605875155</v>
      </c>
      <c r="O2863" s="3">
        <v>2861</v>
      </c>
    </row>
    <row r="2864" spans="1:15" x14ac:dyDescent="0.25">
      <c r="A2864" s="3">
        <v>9</v>
      </c>
      <c r="B2864" s="3" t="s">
        <v>300</v>
      </c>
      <c r="C2864" s="3" t="s">
        <v>21</v>
      </c>
      <c r="D2864" s="3" t="s">
        <v>21</v>
      </c>
      <c r="E2864" s="11" t="s">
        <v>144</v>
      </c>
      <c r="F2864" s="3" t="s">
        <v>67</v>
      </c>
      <c r="G2864" s="48" t="s">
        <v>1376</v>
      </c>
      <c r="H2864" s="8"/>
      <c r="I2864" s="8"/>
      <c r="J2864" s="6" t="s">
        <v>108</v>
      </c>
      <c r="K2864" s="38">
        <v>638952</v>
      </c>
      <c r="L2864" s="27" t="s">
        <v>25</v>
      </c>
      <c r="M2864" s="11">
        <f>_xlfn.NUMBERVALUE(LEFT(Table613612[[#This Row],[Fiscal Year]], 4))</f>
        <v>2017</v>
      </c>
      <c r="N2864" s="42">
        <f t="shared" si="46"/>
        <v>655977.68548347626</v>
      </c>
      <c r="O2864" s="3">
        <v>2862</v>
      </c>
    </row>
    <row r="2865" spans="1:15" x14ac:dyDescent="0.25">
      <c r="A2865" s="3">
        <v>9</v>
      </c>
      <c r="B2865" s="3" t="s">
        <v>300</v>
      </c>
      <c r="C2865" s="3" t="s">
        <v>21</v>
      </c>
      <c r="D2865" s="3" t="s">
        <v>21</v>
      </c>
      <c r="E2865" s="11" t="s">
        <v>144</v>
      </c>
      <c r="F2865" s="3" t="s">
        <v>67</v>
      </c>
      <c r="G2865" s="48" t="s">
        <v>1376</v>
      </c>
      <c r="H2865" s="8"/>
      <c r="I2865" s="8"/>
      <c r="J2865" s="6" t="s">
        <v>108</v>
      </c>
      <c r="K2865" s="38">
        <v>84298</v>
      </c>
      <c r="L2865" s="27" t="s">
        <v>25</v>
      </c>
      <c r="M2865" s="11">
        <f>_xlfn.NUMBERVALUE(LEFT(Table613612[[#This Row],[Fiscal Year]], 4))</f>
        <v>2017</v>
      </c>
      <c r="N2865" s="42">
        <f t="shared" si="46"/>
        <v>86544.227001224004</v>
      </c>
      <c r="O2865" s="3">
        <v>2863</v>
      </c>
    </row>
    <row r="2866" spans="1:15" x14ac:dyDescent="0.25">
      <c r="A2866" s="3">
        <v>9</v>
      </c>
      <c r="B2866" s="3" t="s">
        <v>300</v>
      </c>
      <c r="C2866" s="3" t="s">
        <v>21</v>
      </c>
      <c r="D2866" s="3" t="s">
        <v>21</v>
      </c>
      <c r="E2866" s="11" t="s">
        <v>144</v>
      </c>
      <c r="F2866" s="3" t="s">
        <v>67</v>
      </c>
      <c r="G2866" s="48" t="s">
        <v>1377</v>
      </c>
      <c r="H2866" s="8"/>
      <c r="I2866" s="8"/>
      <c r="J2866" s="6" t="s">
        <v>108</v>
      </c>
      <c r="K2866" s="38">
        <v>1676456</v>
      </c>
      <c r="L2866" s="27" t="s">
        <v>25</v>
      </c>
      <c r="M2866" s="11">
        <f>_xlfn.NUMBERVALUE(LEFT(Table613612[[#This Row],[Fiscal Year]], 4))</f>
        <v>2017</v>
      </c>
      <c r="N2866" s="42">
        <f t="shared" si="46"/>
        <v>1721127.293904529</v>
      </c>
      <c r="O2866" s="3">
        <v>2864</v>
      </c>
    </row>
    <row r="2867" spans="1:15" x14ac:dyDescent="0.25">
      <c r="A2867" s="3">
        <v>9</v>
      </c>
      <c r="B2867" s="3" t="s">
        <v>300</v>
      </c>
      <c r="C2867" s="3" t="s">
        <v>21</v>
      </c>
      <c r="D2867" s="3" t="s">
        <v>21</v>
      </c>
      <c r="E2867" s="11" t="s">
        <v>144</v>
      </c>
      <c r="F2867" s="3" t="s">
        <v>67</v>
      </c>
      <c r="G2867" s="48" t="s">
        <v>1378</v>
      </c>
      <c r="H2867" s="8"/>
      <c r="I2867" s="8"/>
      <c r="J2867" s="6" t="s">
        <v>108</v>
      </c>
      <c r="K2867" s="38">
        <v>22172</v>
      </c>
      <c r="L2867" s="27" t="s">
        <v>25</v>
      </c>
      <c r="M2867" s="11">
        <f>_xlfn.NUMBERVALUE(LEFT(Table613612[[#This Row],[Fiscal Year]], 4))</f>
        <v>2017</v>
      </c>
      <c r="N2867" s="42">
        <f t="shared" si="46"/>
        <v>22762.801028151778</v>
      </c>
      <c r="O2867" s="3">
        <v>2865</v>
      </c>
    </row>
    <row r="2868" spans="1:15" x14ac:dyDescent="0.25">
      <c r="A2868" s="3">
        <v>9</v>
      </c>
      <c r="B2868" s="3" t="s">
        <v>300</v>
      </c>
      <c r="C2868" s="3" t="s">
        <v>21</v>
      </c>
      <c r="D2868" s="3" t="s">
        <v>21</v>
      </c>
      <c r="E2868" s="11" t="s">
        <v>144</v>
      </c>
      <c r="F2868" s="3" t="s">
        <v>67</v>
      </c>
      <c r="G2868" s="48" t="s">
        <v>1379</v>
      </c>
      <c r="H2868" s="49" t="s">
        <v>617</v>
      </c>
      <c r="I2868" s="8" t="s">
        <v>590</v>
      </c>
      <c r="J2868" s="6" t="s">
        <v>111</v>
      </c>
      <c r="K2868" s="38">
        <v>45574</v>
      </c>
      <c r="L2868" s="27" t="s">
        <v>25</v>
      </c>
      <c r="M2868" s="11">
        <f>_xlfn.NUMBERVALUE(LEFT(Table613612[[#This Row],[Fiscal Year]], 4))</f>
        <v>2017</v>
      </c>
      <c r="N2868" s="42">
        <f t="shared" si="46"/>
        <v>46788.376964504292</v>
      </c>
      <c r="O2868" s="3">
        <v>2866</v>
      </c>
    </row>
    <row r="2869" spans="1:15" x14ac:dyDescent="0.25">
      <c r="A2869" s="3">
        <v>9</v>
      </c>
      <c r="B2869" s="9" t="s">
        <v>300</v>
      </c>
      <c r="C2869" s="3" t="s">
        <v>21</v>
      </c>
      <c r="D2869" s="3" t="s">
        <v>21</v>
      </c>
      <c r="E2869" s="11" t="s">
        <v>144</v>
      </c>
      <c r="F2869" s="3" t="s">
        <v>67</v>
      </c>
      <c r="G2869" s="66" t="s">
        <v>1380</v>
      </c>
      <c r="H2869" s="49" t="s">
        <v>616</v>
      </c>
      <c r="I2869" s="8" t="s">
        <v>590</v>
      </c>
      <c r="J2869" s="6" t="s">
        <v>111</v>
      </c>
      <c r="K2869" s="38">
        <v>44677</v>
      </c>
      <c r="L2869" s="27" t="s">
        <v>25</v>
      </c>
      <c r="M2869" s="11">
        <f>_xlfn.NUMBERVALUE(LEFT(Table613612[[#This Row],[Fiscal Year]], 4))</f>
        <v>2017</v>
      </c>
      <c r="N2869" s="42">
        <f t="shared" si="46"/>
        <v>45867.475263157903</v>
      </c>
      <c r="O2869" s="3">
        <v>2867</v>
      </c>
    </row>
    <row r="2870" spans="1:15" x14ac:dyDescent="0.25">
      <c r="A2870" s="3">
        <v>9</v>
      </c>
      <c r="B2870" s="9" t="s">
        <v>300</v>
      </c>
      <c r="C2870" s="3" t="s">
        <v>21</v>
      </c>
      <c r="D2870" s="3" t="s">
        <v>21</v>
      </c>
      <c r="E2870" s="11" t="s">
        <v>144</v>
      </c>
      <c r="F2870" s="3" t="s">
        <v>67</v>
      </c>
      <c r="G2870" s="48" t="s">
        <v>1381</v>
      </c>
      <c r="H2870" s="72" t="s">
        <v>587</v>
      </c>
      <c r="I2870" s="8"/>
      <c r="J2870" s="6" t="s">
        <v>109</v>
      </c>
      <c r="K2870" s="38">
        <v>36448</v>
      </c>
      <c r="L2870" s="27" t="s">
        <v>25</v>
      </c>
      <c r="M2870" s="11">
        <f>_xlfn.NUMBERVALUE(LEFT(Table613612[[#This Row],[Fiscal Year]], 4))</f>
        <v>2017</v>
      </c>
      <c r="N2870" s="42">
        <f t="shared" si="46"/>
        <v>37419.203133414936</v>
      </c>
      <c r="O2870" s="3">
        <v>2868</v>
      </c>
    </row>
    <row r="2871" spans="1:15" x14ac:dyDescent="0.25">
      <c r="A2871" s="3">
        <v>9</v>
      </c>
      <c r="B2871" s="9" t="s">
        <v>300</v>
      </c>
      <c r="C2871" s="3" t="s">
        <v>21</v>
      </c>
      <c r="D2871" s="3" t="s">
        <v>21</v>
      </c>
      <c r="E2871" s="11" t="s">
        <v>144</v>
      </c>
      <c r="F2871" s="3" t="s">
        <v>67</v>
      </c>
      <c r="G2871" s="48" t="s">
        <v>1382</v>
      </c>
      <c r="H2871" s="72"/>
      <c r="I2871" s="8"/>
      <c r="J2871" s="6" t="s">
        <v>109</v>
      </c>
      <c r="K2871" s="38">
        <v>12676</v>
      </c>
      <c r="L2871" s="27" t="s">
        <v>25</v>
      </c>
      <c r="M2871" s="11">
        <f>_xlfn.NUMBERVALUE(LEFT(Table613612[[#This Row],[Fiscal Year]], 4))</f>
        <v>2017</v>
      </c>
      <c r="N2871" s="42">
        <f t="shared" si="46"/>
        <v>13013.768078335375</v>
      </c>
      <c r="O2871" s="3">
        <v>2869</v>
      </c>
    </row>
    <row r="2872" spans="1:15" x14ac:dyDescent="0.25">
      <c r="A2872" s="3">
        <v>9</v>
      </c>
      <c r="B2872" s="9" t="s">
        <v>300</v>
      </c>
      <c r="C2872" s="3" t="s">
        <v>21</v>
      </c>
      <c r="D2872" s="3" t="s">
        <v>21</v>
      </c>
      <c r="E2872" s="11" t="s">
        <v>144</v>
      </c>
      <c r="F2872" s="3" t="s">
        <v>67</v>
      </c>
      <c r="G2872" s="48" t="s">
        <v>1383</v>
      </c>
      <c r="H2872" s="72"/>
      <c r="I2872" s="8"/>
      <c r="J2872" s="6" t="s">
        <v>109</v>
      </c>
      <c r="K2872" s="38">
        <v>24180</v>
      </c>
      <c r="L2872" s="27" t="s">
        <v>25</v>
      </c>
      <c r="M2872" s="11">
        <f>_xlfn.NUMBERVALUE(LEFT(Table613612[[#This Row],[Fiscal Year]], 4))</f>
        <v>2017</v>
      </c>
      <c r="N2872" s="42">
        <f t="shared" si="46"/>
        <v>24824.306731946148</v>
      </c>
      <c r="O2872" s="3">
        <v>2870</v>
      </c>
    </row>
    <row r="2873" spans="1:15" x14ac:dyDescent="0.25">
      <c r="A2873" s="3">
        <v>9</v>
      </c>
      <c r="B2873" s="9" t="s">
        <v>300</v>
      </c>
      <c r="C2873" s="3" t="s">
        <v>21</v>
      </c>
      <c r="D2873" s="3" t="s">
        <v>21</v>
      </c>
      <c r="E2873" s="11" t="s">
        <v>144</v>
      </c>
      <c r="F2873" s="3" t="s">
        <v>67</v>
      </c>
      <c r="G2873" s="48" t="s">
        <v>1384</v>
      </c>
      <c r="H2873" s="72"/>
      <c r="I2873" s="8"/>
      <c r="J2873" s="6" t="s">
        <v>42</v>
      </c>
      <c r="K2873" s="38">
        <v>20576</v>
      </c>
      <c r="L2873" s="27" t="s">
        <v>25</v>
      </c>
      <c r="M2873" s="11">
        <f>_xlfn.NUMBERVALUE(LEFT(Table613612[[#This Row],[Fiscal Year]], 4))</f>
        <v>2017</v>
      </c>
      <c r="N2873" s="42">
        <f t="shared" si="46"/>
        <v>21124.27358629131</v>
      </c>
      <c r="O2873" s="3">
        <v>2871</v>
      </c>
    </row>
    <row r="2874" spans="1:15" x14ac:dyDescent="0.25">
      <c r="A2874" s="3">
        <v>9</v>
      </c>
      <c r="B2874" s="9" t="s">
        <v>300</v>
      </c>
      <c r="C2874" s="3" t="s">
        <v>21</v>
      </c>
      <c r="D2874" s="3" t="s">
        <v>21</v>
      </c>
      <c r="E2874" s="11" t="s">
        <v>144</v>
      </c>
      <c r="F2874" s="3" t="s">
        <v>67</v>
      </c>
      <c r="G2874" s="48" t="s">
        <v>1385</v>
      </c>
      <c r="H2874" s="72"/>
      <c r="I2874" s="8"/>
      <c r="J2874" s="6" t="s">
        <v>605</v>
      </c>
      <c r="K2874" s="38">
        <v>42306</v>
      </c>
      <c r="L2874" s="27" t="s">
        <v>25</v>
      </c>
      <c r="M2874" s="11">
        <f>_xlfn.NUMBERVALUE(LEFT(Table613612[[#This Row],[Fiscal Year]], 4))</f>
        <v>2017</v>
      </c>
      <c r="N2874" s="42">
        <f t="shared" si="46"/>
        <v>43433.29696450429</v>
      </c>
      <c r="O2874" s="3">
        <v>2872</v>
      </c>
    </row>
    <row r="2875" spans="1:15" x14ac:dyDescent="0.25">
      <c r="A2875" s="3">
        <v>9</v>
      </c>
      <c r="B2875" s="9" t="s">
        <v>300</v>
      </c>
      <c r="C2875" s="3" t="s">
        <v>21</v>
      </c>
      <c r="D2875" s="3" t="s">
        <v>21</v>
      </c>
      <c r="E2875" s="11" t="s">
        <v>144</v>
      </c>
      <c r="F2875" s="3" t="s">
        <v>67</v>
      </c>
      <c r="G2875" s="48" t="s">
        <v>1386</v>
      </c>
      <c r="H2875" s="72"/>
      <c r="I2875" s="8"/>
      <c r="J2875" s="6" t="s">
        <v>605</v>
      </c>
      <c r="K2875" s="38">
        <v>69934</v>
      </c>
      <c r="L2875" s="27" t="s">
        <v>25</v>
      </c>
      <c r="M2875" s="11">
        <f>_xlfn.NUMBERVALUE(LEFT(Table613612[[#This Row],[Fiscal Year]], 4))</f>
        <v>2017</v>
      </c>
      <c r="N2875" s="42">
        <f t="shared" si="46"/>
        <v>71797.48002447981</v>
      </c>
      <c r="O2875" s="3">
        <v>2873</v>
      </c>
    </row>
    <row r="2876" spans="1:15" x14ac:dyDescent="0.25">
      <c r="A2876" s="3">
        <v>9</v>
      </c>
      <c r="B2876" s="9" t="s">
        <v>300</v>
      </c>
      <c r="C2876" s="3" t="s">
        <v>21</v>
      </c>
      <c r="D2876" s="3" t="s">
        <v>21</v>
      </c>
      <c r="E2876" s="11" t="s">
        <v>144</v>
      </c>
      <c r="F2876" s="3" t="s">
        <v>67</v>
      </c>
      <c r="G2876" s="48" t="s">
        <v>1387</v>
      </c>
      <c r="H2876" s="72"/>
      <c r="I2876" s="8"/>
      <c r="J2876" s="6" t="s">
        <v>605</v>
      </c>
      <c r="K2876" s="38">
        <v>9097</v>
      </c>
      <c r="L2876" s="27" t="s">
        <v>25</v>
      </c>
      <c r="M2876" s="11">
        <f>_xlfn.NUMBERVALUE(LEFT(Table613612[[#This Row],[Fiscal Year]], 4))</f>
        <v>2017</v>
      </c>
      <c r="N2876" s="42">
        <f t="shared" si="46"/>
        <v>9339.4010893512859</v>
      </c>
      <c r="O2876" s="3">
        <v>2874</v>
      </c>
    </row>
    <row r="2877" spans="1:15" x14ac:dyDescent="0.25">
      <c r="A2877" s="3">
        <v>9</v>
      </c>
      <c r="B2877" s="9" t="s">
        <v>300</v>
      </c>
      <c r="C2877" s="3" t="s">
        <v>21</v>
      </c>
      <c r="D2877" s="3" t="s">
        <v>21</v>
      </c>
      <c r="E2877" s="11" t="s">
        <v>144</v>
      </c>
      <c r="F2877" s="3" t="s">
        <v>67</v>
      </c>
      <c r="G2877" s="48" t="s">
        <v>1388</v>
      </c>
      <c r="H2877" s="72"/>
      <c r="I2877" s="8"/>
      <c r="J2877" s="6" t="s">
        <v>605</v>
      </c>
      <c r="K2877" s="38">
        <v>869</v>
      </c>
      <c r="L2877" s="27" t="s">
        <v>25</v>
      </c>
      <c r="M2877" s="11">
        <f>_xlfn.NUMBERVALUE(LEFT(Table613612[[#This Row],[Fiscal Year]], 4))</f>
        <v>2017</v>
      </c>
      <c r="N2877" s="42">
        <f t="shared" si="46"/>
        <v>892.15560587515313</v>
      </c>
      <c r="O2877" s="3">
        <v>2875</v>
      </c>
    </row>
    <row r="2878" spans="1:15" x14ac:dyDescent="0.25">
      <c r="A2878" s="3">
        <v>9</v>
      </c>
      <c r="B2878" s="9" t="s">
        <v>300</v>
      </c>
      <c r="C2878" s="3" t="s">
        <v>21</v>
      </c>
      <c r="D2878" s="3" t="s">
        <v>21</v>
      </c>
      <c r="E2878" s="11" t="s">
        <v>144</v>
      </c>
      <c r="F2878" s="3" t="s">
        <v>67</v>
      </c>
      <c r="G2878" s="48" t="s">
        <v>1389</v>
      </c>
      <c r="H2878" s="72"/>
      <c r="I2878" s="8"/>
      <c r="J2878" s="6" t="s">
        <v>605</v>
      </c>
      <c r="K2878" s="38">
        <v>32584</v>
      </c>
      <c r="L2878" s="27" t="s">
        <v>25</v>
      </c>
      <c r="M2878" s="11">
        <f>_xlfn.NUMBERVALUE(LEFT(Table613612[[#This Row],[Fiscal Year]], 4))</f>
        <v>2017</v>
      </c>
      <c r="N2878" s="42">
        <f t="shared" si="46"/>
        <v>33452.241958384337</v>
      </c>
      <c r="O2878" s="3">
        <v>2876</v>
      </c>
    </row>
    <row r="2879" spans="1:15" x14ac:dyDescent="0.25">
      <c r="A2879" s="3">
        <v>9</v>
      </c>
      <c r="B2879" s="9" t="s">
        <v>300</v>
      </c>
      <c r="C2879" s="3" t="s">
        <v>21</v>
      </c>
      <c r="D2879" s="3" t="s">
        <v>21</v>
      </c>
      <c r="E2879" s="11" t="s">
        <v>144</v>
      </c>
      <c r="F2879" s="3" t="s">
        <v>67</v>
      </c>
      <c r="G2879" s="48" t="s">
        <v>1390</v>
      </c>
      <c r="H2879" s="72"/>
      <c r="I2879" s="8"/>
      <c r="J2879" s="6" t="s">
        <v>47</v>
      </c>
      <c r="K2879" s="38">
        <v>14940</v>
      </c>
      <c r="L2879" s="27" t="s">
        <v>25</v>
      </c>
      <c r="M2879" s="11">
        <f>_xlfn.NUMBERVALUE(LEFT(Table613612[[#This Row],[Fiscal Year]], 4))</f>
        <v>2017</v>
      </c>
      <c r="N2879" s="42">
        <f t="shared" si="46"/>
        <v>15338.09522643819</v>
      </c>
      <c r="O2879" s="3">
        <v>2877</v>
      </c>
    </row>
    <row r="2880" spans="1:15" x14ac:dyDescent="0.25">
      <c r="A2880" s="3">
        <v>9</v>
      </c>
      <c r="B2880" s="9" t="s">
        <v>300</v>
      </c>
      <c r="C2880" s="3" t="s">
        <v>21</v>
      </c>
      <c r="D2880" s="3" t="s">
        <v>21</v>
      </c>
      <c r="E2880" s="11" t="s">
        <v>144</v>
      </c>
      <c r="F2880" s="3" t="s">
        <v>67</v>
      </c>
      <c r="G2880" s="66" t="s">
        <v>1391</v>
      </c>
      <c r="H2880" s="72"/>
      <c r="I2880" s="8"/>
      <c r="J2880" s="6" t="s">
        <v>47</v>
      </c>
      <c r="K2880" s="38">
        <v>10992</v>
      </c>
      <c r="L2880" s="27" t="s">
        <v>25</v>
      </c>
      <c r="M2880" s="11">
        <f>_xlfn.NUMBERVALUE(LEFT(Table613612[[#This Row],[Fiscal Year]], 4))</f>
        <v>2017</v>
      </c>
      <c r="N2880" s="42">
        <f t="shared" si="46"/>
        <v>11284.895764993882</v>
      </c>
      <c r="O2880" s="3">
        <v>2878</v>
      </c>
    </row>
    <row r="2881" spans="1:15" x14ac:dyDescent="0.25">
      <c r="A2881" s="3">
        <v>9</v>
      </c>
      <c r="B2881" s="9" t="s">
        <v>300</v>
      </c>
      <c r="C2881" s="3" t="s">
        <v>21</v>
      </c>
      <c r="D2881" s="3" t="s">
        <v>21</v>
      </c>
      <c r="E2881" s="11" t="s">
        <v>144</v>
      </c>
      <c r="F2881" s="3" t="s">
        <v>67</v>
      </c>
      <c r="G2881" s="66" t="s">
        <v>1392</v>
      </c>
      <c r="H2881" s="8"/>
      <c r="I2881" s="8"/>
      <c r="J2881" s="6" t="s">
        <v>47</v>
      </c>
      <c r="K2881" s="38">
        <v>13139</v>
      </c>
      <c r="L2881" s="27" t="s">
        <v>25</v>
      </c>
      <c r="M2881" s="11">
        <f>_xlfn.NUMBERVALUE(LEFT(Table613612[[#This Row],[Fiscal Year]], 4))</f>
        <v>2017</v>
      </c>
      <c r="N2881" s="42">
        <f t="shared" si="46"/>
        <v>13489.105299877603</v>
      </c>
      <c r="O2881" s="3">
        <v>2879</v>
      </c>
    </row>
    <row r="2882" spans="1:15" x14ac:dyDescent="0.25">
      <c r="A2882" s="3">
        <v>9</v>
      </c>
      <c r="B2882" s="9" t="s">
        <v>300</v>
      </c>
      <c r="C2882" s="3" t="s">
        <v>21</v>
      </c>
      <c r="D2882" s="3" t="s">
        <v>21</v>
      </c>
      <c r="E2882" s="11" t="s">
        <v>144</v>
      </c>
      <c r="F2882" s="3" t="s">
        <v>67</v>
      </c>
      <c r="G2882" s="48" t="s">
        <v>1393</v>
      </c>
      <c r="H2882" s="8"/>
      <c r="I2882" s="8"/>
      <c r="J2882" s="6" t="s">
        <v>455</v>
      </c>
      <c r="K2882" s="38">
        <v>1913</v>
      </c>
      <c r="L2882" s="27" t="s">
        <v>25</v>
      </c>
      <c r="M2882" s="11">
        <f>_xlfn.NUMBERVALUE(LEFT(Table613612[[#This Row],[Fiscal Year]], 4))</f>
        <v>2017</v>
      </c>
      <c r="N2882" s="42">
        <f t="shared" si="46"/>
        <v>1963.9743084455326</v>
      </c>
      <c r="O2882" s="3">
        <v>2880</v>
      </c>
    </row>
    <row r="2883" spans="1:15" x14ac:dyDescent="0.25">
      <c r="A2883" s="3">
        <v>9</v>
      </c>
      <c r="B2883" s="9" t="s">
        <v>300</v>
      </c>
      <c r="C2883" s="3" t="s">
        <v>21</v>
      </c>
      <c r="D2883" s="3" t="s">
        <v>21</v>
      </c>
      <c r="E2883" s="11" t="s">
        <v>144</v>
      </c>
      <c r="F2883" s="3" t="s">
        <v>67</v>
      </c>
      <c r="G2883" s="48" t="s">
        <v>1394</v>
      </c>
      <c r="H2883" s="8"/>
      <c r="I2883" s="8"/>
      <c r="J2883" s="6" t="s">
        <v>455</v>
      </c>
      <c r="K2883" s="38">
        <v>5708</v>
      </c>
      <c r="L2883" s="27" t="s">
        <v>25</v>
      </c>
      <c r="M2883" s="11">
        <f>_xlfn.NUMBERVALUE(LEFT(Table613612[[#This Row],[Fiscal Year]], 4))</f>
        <v>2017</v>
      </c>
      <c r="N2883" s="42">
        <f t="shared" si="46"/>
        <v>5860.0968910648726</v>
      </c>
      <c r="O2883" s="3">
        <v>2881</v>
      </c>
    </row>
    <row r="2884" spans="1:15" x14ac:dyDescent="0.25">
      <c r="A2884" s="3">
        <v>9</v>
      </c>
      <c r="B2884" s="9" t="s">
        <v>300</v>
      </c>
      <c r="C2884" s="3" t="s">
        <v>21</v>
      </c>
      <c r="D2884" s="3" t="s">
        <v>21</v>
      </c>
      <c r="E2884" s="11" t="s">
        <v>144</v>
      </c>
      <c r="F2884" s="3" t="s">
        <v>67</v>
      </c>
      <c r="G2884" s="66" t="s">
        <v>1395</v>
      </c>
      <c r="H2884" s="8"/>
      <c r="I2884" s="8"/>
      <c r="J2884" s="6" t="s">
        <v>110</v>
      </c>
      <c r="K2884" s="38">
        <v>5021</v>
      </c>
      <c r="L2884" s="27" t="s">
        <v>25</v>
      </c>
      <c r="M2884" s="11">
        <f>_xlfn.NUMBERVALUE(LEFT(Table613612[[#This Row],[Fiscal Year]], 4))</f>
        <v>2017</v>
      </c>
      <c r="N2884" s="42">
        <f t="shared" si="46"/>
        <v>5154.790905752755</v>
      </c>
      <c r="O2884" s="3">
        <v>2882</v>
      </c>
    </row>
    <row r="2885" spans="1:15" x14ac:dyDescent="0.25">
      <c r="A2885" s="3">
        <v>9</v>
      </c>
      <c r="B2885" s="9" t="s">
        <v>300</v>
      </c>
      <c r="C2885" s="3" t="s">
        <v>21</v>
      </c>
      <c r="D2885" s="3" t="s">
        <v>21</v>
      </c>
      <c r="E2885" s="11" t="s">
        <v>144</v>
      </c>
      <c r="F2885" s="3" t="s">
        <v>67</v>
      </c>
      <c r="G2885" s="48" t="s">
        <v>1396</v>
      </c>
      <c r="H2885" s="8"/>
      <c r="I2885" s="8"/>
      <c r="J2885" s="6" t="s">
        <v>42</v>
      </c>
      <c r="K2885" s="38">
        <v>10512</v>
      </c>
      <c r="L2885" s="27" t="s">
        <v>25</v>
      </c>
      <c r="M2885" s="11">
        <f>_xlfn.NUMBERVALUE(LEFT(Table613612[[#This Row],[Fiscal Year]], 4))</f>
        <v>2017</v>
      </c>
      <c r="N2885" s="42">
        <f t="shared" si="46"/>
        <v>10792.105556915545</v>
      </c>
      <c r="O2885" s="3">
        <v>2883</v>
      </c>
    </row>
    <row r="2886" spans="1:15" x14ac:dyDescent="0.25">
      <c r="A2886" s="3">
        <v>9</v>
      </c>
      <c r="B2886" s="9" t="s">
        <v>300</v>
      </c>
      <c r="C2886" s="3" t="s">
        <v>21</v>
      </c>
      <c r="D2886" s="3" t="s">
        <v>21</v>
      </c>
      <c r="E2886" s="11" t="s">
        <v>144</v>
      </c>
      <c r="F2886" s="3" t="s">
        <v>67</v>
      </c>
      <c r="G2886" s="48" t="s">
        <v>1397</v>
      </c>
      <c r="H2886" s="8"/>
      <c r="I2886" s="8"/>
      <c r="J2886" s="6" t="s">
        <v>42</v>
      </c>
      <c r="K2886" s="38">
        <v>58765</v>
      </c>
      <c r="L2886" s="27" t="s">
        <v>25</v>
      </c>
      <c r="M2886" s="11">
        <f>_xlfn.NUMBERVALUE(LEFT(Table613612[[#This Row],[Fiscal Year]], 4))</f>
        <v>2017</v>
      </c>
      <c r="N2886" s="42">
        <f t="shared" si="46"/>
        <v>60330.867870257047</v>
      </c>
      <c r="O2886" s="3">
        <v>2884</v>
      </c>
    </row>
    <row r="2887" spans="1:15" x14ac:dyDescent="0.25">
      <c r="A2887" s="3">
        <v>9</v>
      </c>
      <c r="B2887" s="9" t="s">
        <v>300</v>
      </c>
      <c r="C2887" s="3" t="s">
        <v>21</v>
      </c>
      <c r="D2887" s="3" t="s">
        <v>21</v>
      </c>
      <c r="E2887" s="11" t="s">
        <v>144</v>
      </c>
      <c r="F2887" s="3" t="s">
        <v>67</v>
      </c>
      <c r="G2887" s="48" t="s">
        <v>1398</v>
      </c>
      <c r="H2887" s="8"/>
      <c r="I2887" s="8"/>
      <c r="J2887" s="6" t="s">
        <v>42</v>
      </c>
      <c r="K2887" s="38">
        <v>21595</v>
      </c>
      <c r="L2887" s="27" t="s">
        <v>25</v>
      </c>
      <c r="M2887" s="11">
        <f>_xlfn.NUMBERVALUE(LEFT(Table613612[[#This Row],[Fiscal Year]], 4))</f>
        <v>2017</v>
      </c>
      <c r="N2887" s="42">
        <f t="shared" si="46"/>
        <v>22170.426132190943</v>
      </c>
      <c r="O2887" s="3">
        <v>2885</v>
      </c>
    </row>
    <row r="2888" spans="1:15" x14ac:dyDescent="0.25">
      <c r="A2888" s="3">
        <v>9</v>
      </c>
      <c r="B2888" s="9" t="s">
        <v>300</v>
      </c>
      <c r="C2888" s="3" t="s">
        <v>21</v>
      </c>
      <c r="D2888" s="3" t="s">
        <v>21</v>
      </c>
      <c r="E2888" s="11" t="s">
        <v>144</v>
      </c>
      <c r="F2888" s="3" t="s">
        <v>67</v>
      </c>
      <c r="G2888" s="48" t="s">
        <v>1399</v>
      </c>
      <c r="H2888" s="8"/>
      <c r="I2888" s="8"/>
      <c r="J2888" s="6" t="s">
        <v>42</v>
      </c>
      <c r="K2888" s="38">
        <v>123333</v>
      </c>
      <c r="L2888" s="27" t="s">
        <v>25</v>
      </c>
      <c r="M2888" s="11">
        <f>_xlfn.NUMBERVALUE(LEFT(Table613612[[#This Row],[Fiscal Year]], 4))</f>
        <v>2017</v>
      </c>
      <c r="N2888" s="42">
        <f t="shared" si="46"/>
        <v>126619.3640269278</v>
      </c>
      <c r="O2888" s="3">
        <v>2886</v>
      </c>
    </row>
    <row r="2889" spans="1:15" x14ac:dyDescent="0.25">
      <c r="A2889" s="3">
        <v>9</v>
      </c>
      <c r="B2889" s="9" t="s">
        <v>300</v>
      </c>
      <c r="C2889" s="3" t="s">
        <v>21</v>
      </c>
      <c r="D2889" s="3" t="s">
        <v>21</v>
      </c>
      <c r="E2889" s="11" t="s">
        <v>144</v>
      </c>
      <c r="F2889" s="3" t="s">
        <v>67</v>
      </c>
      <c r="G2889" s="66" t="s">
        <v>1400</v>
      </c>
      <c r="H2889" s="8"/>
      <c r="I2889" s="8"/>
      <c r="J2889" s="6" t="s">
        <v>42</v>
      </c>
      <c r="K2889" s="38">
        <v>55000</v>
      </c>
      <c r="L2889" s="27" t="s">
        <v>25</v>
      </c>
      <c r="M2889" s="11">
        <f>_xlfn.NUMBERVALUE(LEFT(Table613612[[#This Row],[Fiscal Year]], 4))</f>
        <v>2017</v>
      </c>
      <c r="N2889" s="42">
        <f t="shared" si="46"/>
        <v>56465.544675642603</v>
      </c>
      <c r="O2889" s="3">
        <v>2887</v>
      </c>
    </row>
    <row r="2890" spans="1:15" x14ac:dyDescent="0.25">
      <c r="A2890" s="3">
        <v>9</v>
      </c>
      <c r="B2890" s="9" t="s">
        <v>300</v>
      </c>
      <c r="C2890" s="3" t="s">
        <v>21</v>
      </c>
      <c r="D2890" s="3" t="s">
        <v>21</v>
      </c>
      <c r="E2890" s="11" t="s">
        <v>144</v>
      </c>
      <c r="F2890" s="3" t="s">
        <v>67</v>
      </c>
      <c r="G2890" s="48" t="s">
        <v>1401</v>
      </c>
      <c r="H2890" s="8"/>
      <c r="I2890" s="8"/>
      <c r="J2890" s="6" t="s">
        <v>42</v>
      </c>
      <c r="K2890" s="38">
        <v>15000</v>
      </c>
      <c r="L2890" s="27" t="s">
        <v>25</v>
      </c>
      <c r="M2890" s="11">
        <f>_xlfn.NUMBERVALUE(LEFT(Table613612[[#This Row],[Fiscal Year]], 4))</f>
        <v>2017</v>
      </c>
      <c r="N2890" s="42">
        <f t="shared" ref="N2890:N2942" si="47">K2890*(1+VLOOKUP(M2890,$AF$8:$AH$31,3,0))</f>
        <v>15399.694002447983</v>
      </c>
      <c r="O2890" s="3">
        <v>2888</v>
      </c>
    </row>
    <row r="2891" spans="1:15" x14ac:dyDescent="0.25">
      <c r="A2891" s="3">
        <v>9</v>
      </c>
      <c r="B2891" s="9" t="s">
        <v>300</v>
      </c>
      <c r="C2891" s="3" t="s">
        <v>21</v>
      </c>
      <c r="D2891" s="3" t="s">
        <v>21</v>
      </c>
      <c r="E2891" s="11" t="s">
        <v>144</v>
      </c>
      <c r="F2891" s="3" t="s">
        <v>67</v>
      </c>
      <c r="G2891" s="48" t="s">
        <v>1402</v>
      </c>
      <c r="H2891" s="8"/>
      <c r="I2891" s="8"/>
      <c r="J2891" s="6" t="s">
        <v>42</v>
      </c>
      <c r="K2891" s="38">
        <v>10000</v>
      </c>
      <c r="L2891" s="27" t="s">
        <v>25</v>
      </c>
      <c r="M2891" s="11">
        <f>_xlfn.NUMBERVALUE(LEFT(Table613612[[#This Row],[Fiscal Year]], 4))</f>
        <v>2017</v>
      </c>
      <c r="N2891" s="42">
        <f t="shared" si="47"/>
        <v>10266.462668298655</v>
      </c>
      <c r="O2891" s="3">
        <v>2889</v>
      </c>
    </row>
    <row r="2892" spans="1:15" x14ac:dyDescent="0.25">
      <c r="A2892" s="3">
        <v>9</v>
      </c>
      <c r="B2892" s="9" t="s">
        <v>300</v>
      </c>
      <c r="C2892" s="3" t="s">
        <v>21</v>
      </c>
      <c r="D2892" s="3" t="s">
        <v>21</v>
      </c>
      <c r="E2892" s="11" t="s">
        <v>144</v>
      </c>
      <c r="F2892" s="3" t="s">
        <v>67</v>
      </c>
      <c r="G2892" s="48" t="s">
        <v>1403</v>
      </c>
      <c r="H2892" s="8"/>
      <c r="I2892" s="8"/>
      <c r="J2892" s="6" t="s">
        <v>42</v>
      </c>
      <c r="K2892" s="38">
        <v>20400</v>
      </c>
      <c r="L2892" s="27" t="s">
        <v>25</v>
      </c>
      <c r="M2892" s="11">
        <f>_xlfn.NUMBERVALUE(LEFT(Table613612[[#This Row],[Fiscal Year]], 4))</f>
        <v>2017</v>
      </c>
      <c r="N2892" s="42">
        <f t="shared" si="47"/>
        <v>20943.583843329256</v>
      </c>
      <c r="O2892" s="3">
        <v>2890</v>
      </c>
    </row>
    <row r="2893" spans="1:15" x14ac:dyDescent="0.25">
      <c r="A2893" s="3">
        <v>9</v>
      </c>
      <c r="B2893" s="9" t="s">
        <v>300</v>
      </c>
      <c r="C2893" s="3" t="s">
        <v>21</v>
      </c>
      <c r="D2893" s="3" t="s">
        <v>21</v>
      </c>
      <c r="E2893" s="11" t="s">
        <v>144</v>
      </c>
      <c r="F2893" s="3" t="s">
        <v>67</v>
      </c>
      <c r="G2893" s="48" t="s">
        <v>1404</v>
      </c>
      <c r="H2893" s="8"/>
      <c r="I2893" s="8"/>
      <c r="J2893" s="6" t="s">
        <v>42</v>
      </c>
      <c r="K2893" s="38">
        <v>21000</v>
      </c>
      <c r="L2893" s="27" t="s">
        <v>25</v>
      </c>
      <c r="M2893" s="11">
        <f>_xlfn.NUMBERVALUE(LEFT(Table613612[[#This Row],[Fiscal Year]], 4))</f>
        <v>2017</v>
      </c>
      <c r="N2893" s="42">
        <f t="shared" si="47"/>
        <v>21559.571603427175</v>
      </c>
      <c r="O2893" s="3">
        <v>2891</v>
      </c>
    </row>
    <row r="2894" spans="1:15" x14ac:dyDescent="0.25">
      <c r="A2894" s="3">
        <v>9</v>
      </c>
      <c r="B2894" s="9" t="s">
        <v>300</v>
      </c>
      <c r="C2894" s="3" t="s">
        <v>21</v>
      </c>
      <c r="D2894" s="3" t="s">
        <v>21</v>
      </c>
      <c r="E2894" s="11" t="s">
        <v>144</v>
      </c>
      <c r="F2894" s="3" t="s">
        <v>67</v>
      </c>
      <c r="G2894" s="66" t="s">
        <v>1405</v>
      </c>
      <c r="H2894" s="8"/>
      <c r="I2894" s="8"/>
      <c r="J2894" s="6" t="s">
        <v>42</v>
      </c>
      <c r="K2894" s="38">
        <v>10000</v>
      </c>
      <c r="L2894" s="27" t="s">
        <v>25</v>
      </c>
      <c r="M2894" s="11">
        <f>_xlfn.NUMBERVALUE(LEFT(Table613612[[#This Row],[Fiscal Year]], 4))</f>
        <v>2017</v>
      </c>
      <c r="N2894" s="42">
        <f t="shared" si="47"/>
        <v>10266.462668298655</v>
      </c>
      <c r="O2894" s="3">
        <v>2892</v>
      </c>
    </row>
    <row r="2895" spans="1:15" x14ac:dyDescent="0.25">
      <c r="A2895" s="3">
        <v>9</v>
      </c>
      <c r="B2895" s="9" t="s">
        <v>300</v>
      </c>
      <c r="C2895" s="3" t="s">
        <v>21</v>
      </c>
      <c r="D2895" s="3" t="s">
        <v>21</v>
      </c>
      <c r="E2895" s="11" t="s">
        <v>144</v>
      </c>
      <c r="F2895" s="3" t="s">
        <v>67</v>
      </c>
      <c r="G2895" s="48" t="s">
        <v>1406</v>
      </c>
      <c r="H2895" s="8"/>
      <c r="I2895" s="8"/>
      <c r="J2895" s="6" t="s">
        <v>42</v>
      </c>
      <c r="K2895" s="38">
        <v>13014</v>
      </c>
      <c r="L2895" s="27" t="s">
        <v>25</v>
      </c>
      <c r="M2895" s="11">
        <f>_xlfn.NUMBERVALUE(LEFT(Table613612[[#This Row],[Fiscal Year]], 4))</f>
        <v>2017</v>
      </c>
      <c r="N2895" s="42">
        <f t="shared" si="47"/>
        <v>13360.77451652387</v>
      </c>
      <c r="O2895" s="3">
        <v>2893</v>
      </c>
    </row>
    <row r="2896" spans="1:15" x14ac:dyDescent="0.25">
      <c r="A2896" s="3">
        <v>9</v>
      </c>
      <c r="B2896" s="9" t="s">
        <v>300</v>
      </c>
      <c r="C2896" s="3" t="s">
        <v>21</v>
      </c>
      <c r="D2896" s="3" t="s">
        <v>21</v>
      </c>
      <c r="E2896" s="11" t="s">
        <v>144</v>
      </c>
      <c r="F2896" s="3" t="s">
        <v>67</v>
      </c>
      <c r="G2896" s="48" t="s">
        <v>1407</v>
      </c>
      <c r="H2896" s="8"/>
      <c r="I2896" s="8"/>
      <c r="J2896" s="6" t="s">
        <v>42</v>
      </c>
      <c r="K2896" s="38">
        <v>11860</v>
      </c>
      <c r="L2896" s="27" t="s">
        <v>25</v>
      </c>
      <c r="M2896" s="11">
        <f>_xlfn.NUMBERVALUE(LEFT(Table613612[[#This Row],[Fiscal Year]], 4))</f>
        <v>2017</v>
      </c>
      <c r="N2896" s="42">
        <f t="shared" si="47"/>
        <v>12176.024724602205</v>
      </c>
      <c r="O2896" s="3">
        <v>2894</v>
      </c>
    </row>
    <row r="2897" spans="1:15" x14ac:dyDescent="0.25">
      <c r="A2897" s="3">
        <v>9</v>
      </c>
      <c r="B2897" s="9" t="s">
        <v>300</v>
      </c>
      <c r="C2897" s="3" t="s">
        <v>21</v>
      </c>
      <c r="D2897" s="3" t="s">
        <v>21</v>
      </c>
      <c r="E2897" s="11" t="s">
        <v>144</v>
      </c>
      <c r="F2897" s="3" t="s">
        <v>67</v>
      </c>
      <c r="G2897" s="66" t="s">
        <v>1408</v>
      </c>
      <c r="H2897" s="8"/>
      <c r="I2897" s="8"/>
      <c r="J2897" s="6" t="s">
        <v>42</v>
      </c>
      <c r="K2897" s="38">
        <v>37875</v>
      </c>
      <c r="L2897" s="27" t="s">
        <v>25</v>
      </c>
      <c r="M2897" s="11">
        <f>_xlfn.NUMBERVALUE(LEFT(Table613612[[#This Row],[Fiscal Year]], 4))</f>
        <v>2017</v>
      </c>
      <c r="N2897" s="42">
        <f t="shared" si="47"/>
        <v>38884.227356181153</v>
      </c>
      <c r="O2897" s="3">
        <v>2895</v>
      </c>
    </row>
    <row r="2898" spans="1:15" x14ac:dyDescent="0.25">
      <c r="A2898" s="3">
        <v>9</v>
      </c>
      <c r="B2898" s="9" t="s">
        <v>300</v>
      </c>
      <c r="C2898" s="3" t="s">
        <v>21</v>
      </c>
      <c r="D2898" s="3" t="s">
        <v>21</v>
      </c>
      <c r="E2898" s="11" t="s">
        <v>144</v>
      </c>
      <c r="F2898" s="3" t="s">
        <v>67</v>
      </c>
      <c r="G2898" s="48" t="s">
        <v>1409</v>
      </c>
      <c r="H2898" s="8" t="s">
        <v>649</v>
      </c>
      <c r="I2898" s="70" t="s">
        <v>650</v>
      </c>
      <c r="J2898" s="6" t="s">
        <v>455</v>
      </c>
      <c r="K2898" s="38">
        <v>172805</v>
      </c>
      <c r="L2898" s="27" t="s">
        <v>25</v>
      </c>
      <c r="M2898" s="11">
        <f>_xlfn.NUMBERVALUE(LEFT(Table613612[[#This Row],[Fiscal Year]], 4))</f>
        <v>2017</v>
      </c>
      <c r="N2898" s="42">
        <f t="shared" si="47"/>
        <v>177409.60813953492</v>
      </c>
      <c r="O2898" s="3">
        <v>2896</v>
      </c>
    </row>
    <row r="2899" spans="1:15" x14ac:dyDescent="0.25">
      <c r="A2899" s="3">
        <v>9</v>
      </c>
      <c r="B2899" s="9" t="s">
        <v>300</v>
      </c>
      <c r="C2899" s="3" t="s">
        <v>21</v>
      </c>
      <c r="D2899" s="3" t="s">
        <v>21</v>
      </c>
      <c r="E2899" s="11" t="s">
        <v>144</v>
      </c>
      <c r="F2899" s="3" t="s">
        <v>67</v>
      </c>
      <c r="G2899" s="66" t="s">
        <v>1410</v>
      </c>
      <c r="H2899" s="8"/>
      <c r="I2899" s="8"/>
      <c r="J2899" s="6" t="s">
        <v>76</v>
      </c>
      <c r="K2899" s="38">
        <v>66402</v>
      </c>
      <c r="L2899" s="27" t="s">
        <v>25</v>
      </c>
      <c r="M2899" s="11">
        <f>_xlfn.NUMBERVALUE(LEFT(Table613612[[#This Row],[Fiscal Year]], 4))</f>
        <v>2017</v>
      </c>
      <c r="N2899" s="42">
        <f t="shared" si="47"/>
        <v>68171.365410036728</v>
      </c>
      <c r="O2899" s="3">
        <v>2897</v>
      </c>
    </row>
    <row r="2900" spans="1:15" x14ac:dyDescent="0.25">
      <c r="A2900" s="3">
        <v>9</v>
      </c>
      <c r="B2900" s="9" t="s">
        <v>300</v>
      </c>
      <c r="C2900" s="3" t="s">
        <v>21</v>
      </c>
      <c r="D2900" s="3" t="s">
        <v>21</v>
      </c>
      <c r="E2900" s="11" t="s">
        <v>144</v>
      </c>
      <c r="F2900" s="3" t="s">
        <v>67</v>
      </c>
      <c r="G2900" s="66" t="s">
        <v>1411</v>
      </c>
      <c r="H2900" s="8"/>
      <c r="I2900" s="70" t="s">
        <v>651</v>
      </c>
      <c r="J2900" s="6" t="s">
        <v>455</v>
      </c>
      <c r="K2900" s="38">
        <v>197923</v>
      </c>
      <c r="L2900" s="27" t="s">
        <v>25</v>
      </c>
      <c r="M2900" s="11">
        <f>_xlfn.NUMBERVALUE(LEFT(Table613612[[#This Row],[Fiscal Year]], 4))</f>
        <v>2017</v>
      </c>
      <c r="N2900" s="42">
        <f t="shared" si="47"/>
        <v>203196.90906976745</v>
      </c>
      <c r="O2900" s="3">
        <v>2898</v>
      </c>
    </row>
    <row r="2901" spans="1:15" x14ac:dyDescent="0.25">
      <c r="A2901" s="3">
        <v>9</v>
      </c>
      <c r="B2901" s="9" t="s">
        <v>300</v>
      </c>
      <c r="C2901" s="3" t="s">
        <v>21</v>
      </c>
      <c r="D2901" s="3" t="s">
        <v>21</v>
      </c>
      <c r="E2901" s="11" t="s">
        <v>144</v>
      </c>
      <c r="F2901" s="3" t="s">
        <v>67</v>
      </c>
      <c r="G2901" s="48" t="s">
        <v>1412</v>
      </c>
      <c r="H2901" s="8"/>
      <c r="I2901" s="8"/>
      <c r="J2901" s="6" t="s">
        <v>109</v>
      </c>
      <c r="K2901" s="38">
        <v>75800</v>
      </c>
      <c r="L2901" s="27" t="s">
        <v>25</v>
      </c>
      <c r="M2901" s="11">
        <f>_xlfn.NUMBERVALUE(LEFT(Table613612[[#This Row],[Fiscal Year]], 4))</f>
        <v>2017</v>
      </c>
      <c r="N2901" s="42">
        <f t="shared" si="47"/>
        <v>77819.787025703801</v>
      </c>
      <c r="O2901" s="3">
        <v>2899</v>
      </c>
    </row>
    <row r="2902" spans="1:15" x14ac:dyDescent="0.25">
      <c r="A2902" s="3">
        <v>9</v>
      </c>
      <c r="B2902" s="9" t="s">
        <v>300</v>
      </c>
      <c r="C2902" s="3" t="s">
        <v>21</v>
      </c>
      <c r="D2902" s="3" t="s">
        <v>21</v>
      </c>
      <c r="E2902" s="11" t="s">
        <v>144</v>
      </c>
      <c r="F2902" s="3" t="s">
        <v>67</v>
      </c>
      <c r="G2902" s="48" t="s">
        <v>1413</v>
      </c>
      <c r="H2902" s="8"/>
      <c r="I2902" s="8"/>
      <c r="J2902" s="6" t="s">
        <v>109</v>
      </c>
      <c r="K2902" s="38">
        <v>4051</v>
      </c>
      <c r="L2902" s="27" t="s">
        <v>25</v>
      </c>
      <c r="M2902" s="11">
        <f>_xlfn.NUMBERVALUE(LEFT(Table613612[[#This Row],[Fiscal Year]], 4))</f>
        <v>2017</v>
      </c>
      <c r="N2902" s="42">
        <f t="shared" si="47"/>
        <v>4158.9440269277848</v>
      </c>
      <c r="O2902" s="3">
        <v>2900</v>
      </c>
    </row>
    <row r="2903" spans="1:15" x14ac:dyDescent="0.25">
      <c r="A2903" s="3">
        <v>9</v>
      </c>
      <c r="B2903" s="9" t="s">
        <v>300</v>
      </c>
      <c r="C2903" s="3" t="s">
        <v>21</v>
      </c>
      <c r="D2903" s="3" t="s">
        <v>21</v>
      </c>
      <c r="E2903" s="11" t="s">
        <v>144</v>
      </c>
      <c r="F2903" s="3" t="s">
        <v>67</v>
      </c>
      <c r="G2903" s="48" t="s">
        <v>1414</v>
      </c>
      <c r="H2903" s="8"/>
      <c r="I2903" s="8"/>
      <c r="J2903" s="6" t="s">
        <v>605</v>
      </c>
      <c r="K2903" s="38">
        <v>222260</v>
      </c>
      <c r="L2903" s="27" t="s">
        <v>25</v>
      </c>
      <c r="M2903" s="11">
        <f>_xlfn.NUMBERVALUE(LEFT(Table613612[[#This Row],[Fiscal Year]], 4))</f>
        <v>2017</v>
      </c>
      <c r="N2903" s="42">
        <f t="shared" si="47"/>
        <v>228182.3992656059</v>
      </c>
      <c r="O2903" s="3">
        <v>2901</v>
      </c>
    </row>
    <row r="2904" spans="1:15" x14ac:dyDescent="0.25">
      <c r="A2904" s="3">
        <v>9</v>
      </c>
      <c r="B2904" s="9" t="s">
        <v>300</v>
      </c>
      <c r="C2904" s="3" t="s">
        <v>21</v>
      </c>
      <c r="D2904" s="3" t="s">
        <v>21</v>
      </c>
      <c r="E2904" s="11" t="s">
        <v>144</v>
      </c>
      <c r="F2904" s="3" t="s">
        <v>67</v>
      </c>
      <c r="G2904" s="48" t="s">
        <v>1415</v>
      </c>
      <c r="H2904" s="8"/>
      <c r="I2904" s="8"/>
      <c r="J2904" s="6" t="s">
        <v>605</v>
      </c>
      <c r="K2904" s="38">
        <v>39998</v>
      </c>
      <c r="L2904" s="27" t="s">
        <v>25</v>
      </c>
      <c r="M2904" s="11">
        <f>_xlfn.NUMBERVALUE(LEFT(Table613612[[#This Row],[Fiscal Year]], 4))</f>
        <v>2017</v>
      </c>
      <c r="N2904" s="42">
        <f t="shared" si="47"/>
        <v>41063.797380660959</v>
      </c>
      <c r="O2904" s="3">
        <v>2902</v>
      </c>
    </row>
    <row r="2905" spans="1:15" x14ac:dyDescent="0.25">
      <c r="A2905" s="3">
        <v>9</v>
      </c>
      <c r="B2905" s="9" t="s">
        <v>300</v>
      </c>
      <c r="C2905" s="3" t="s">
        <v>21</v>
      </c>
      <c r="D2905" s="3" t="s">
        <v>21</v>
      </c>
      <c r="E2905" s="11" t="s">
        <v>144</v>
      </c>
      <c r="F2905" s="3" t="s">
        <v>67</v>
      </c>
      <c r="G2905" s="48" t="s">
        <v>1416</v>
      </c>
      <c r="H2905" s="8"/>
      <c r="I2905" s="8"/>
      <c r="J2905" s="6" t="s">
        <v>605</v>
      </c>
      <c r="K2905" s="38">
        <v>6317</v>
      </c>
      <c r="L2905" s="27" t="s">
        <v>25</v>
      </c>
      <c r="M2905" s="11">
        <f>_xlfn.NUMBERVALUE(LEFT(Table613612[[#This Row],[Fiscal Year]], 4))</f>
        <v>2017</v>
      </c>
      <c r="N2905" s="42">
        <f t="shared" si="47"/>
        <v>6485.32446756426</v>
      </c>
      <c r="O2905" s="3">
        <v>2903</v>
      </c>
    </row>
    <row r="2906" spans="1:15" x14ac:dyDescent="0.25">
      <c r="A2906" s="3">
        <v>9</v>
      </c>
      <c r="B2906" s="9" t="s">
        <v>300</v>
      </c>
      <c r="C2906" s="3" t="s">
        <v>21</v>
      </c>
      <c r="D2906" s="3" t="s">
        <v>21</v>
      </c>
      <c r="E2906" s="11" t="s">
        <v>144</v>
      </c>
      <c r="F2906" s="3" t="s">
        <v>67</v>
      </c>
      <c r="G2906" s="48" t="s">
        <v>1417</v>
      </c>
      <c r="H2906" s="8"/>
      <c r="I2906" s="8"/>
      <c r="J2906" s="6" t="s">
        <v>47</v>
      </c>
      <c r="K2906" s="38">
        <v>70066</v>
      </c>
      <c r="L2906" s="27" t="s">
        <v>25</v>
      </c>
      <c r="M2906" s="11">
        <f>_xlfn.NUMBERVALUE(LEFT(Table613612[[#This Row],[Fiscal Year]], 4))</f>
        <v>2017</v>
      </c>
      <c r="N2906" s="42">
        <f t="shared" si="47"/>
        <v>71932.99733170135</v>
      </c>
      <c r="O2906" s="3">
        <v>2904</v>
      </c>
    </row>
    <row r="2907" spans="1:15" x14ac:dyDescent="0.25">
      <c r="A2907" s="3">
        <v>9</v>
      </c>
      <c r="B2907" s="9" t="s">
        <v>300</v>
      </c>
      <c r="C2907" s="3" t="s">
        <v>21</v>
      </c>
      <c r="D2907" s="3" t="s">
        <v>21</v>
      </c>
      <c r="E2907" s="11" t="s">
        <v>144</v>
      </c>
      <c r="F2907" s="3" t="s">
        <v>67</v>
      </c>
      <c r="G2907" s="48" t="s">
        <v>1418</v>
      </c>
      <c r="H2907" s="8"/>
      <c r="I2907" s="8"/>
      <c r="J2907" s="6" t="s">
        <v>47</v>
      </c>
      <c r="K2907" s="38">
        <v>2824</v>
      </c>
      <c r="L2907" s="27" t="s">
        <v>25</v>
      </c>
      <c r="M2907" s="11">
        <f>_xlfn.NUMBERVALUE(LEFT(Table613612[[#This Row],[Fiscal Year]], 4))</f>
        <v>2017</v>
      </c>
      <c r="N2907" s="42">
        <f t="shared" si="47"/>
        <v>2899.2490575275401</v>
      </c>
      <c r="O2907" s="3">
        <v>2905</v>
      </c>
    </row>
    <row r="2908" spans="1:15" x14ac:dyDescent="0.25">
      <c r="A2908" s="3">
        <v>9</v>
      </c>
      <c r="B2908" s="9" t="s">
        <v>300</v>
      </c>
      <c r="C2908" s="3" t="s">
        <v>21</v>
      </c>
      <c r="D2908" s="3" t="s">
        <v>21</v>
      </c>
      <c r="E2908" s="11" t="s">
        <v>144</v>
      </c>
      <c r="F2908" s="3" t="s">
        <v>67</v>
      </c>
      <c r="G2908" s="48" t="s">
        <v>1419</v>
      </c>
      <c r="H2908" s="8"/>
      <c r="I2908" s="8"/>
      <c r="J2908" s="6" t="s">
        <v>109</v>
      </c>
      <c r="K2908" s="38">
        <v>70904</v>
      </c>
      <c r="L2908" s="27" t="s">
        <v>25</v>
      </c>
      <c r="M2908" s="11">
        <f>_xlfn.NUMBERVALUE(LEFT(Table613612[[#This Row],[Fiscal Year]], 4))</f>
        <v>2017</v>
      </c>
      <c r="N2908" s="42">
        <f t="shared" si="47"/>
        <v>72793.326903304784</v>
      </c>
      <c r="O2908" s="3">
        <v>2906</v>
      </c>
    </row>
    <row r="2909" spans="1:15" x14ac:dyDescent="0.25">
      <c r="A2909" s="3">
        <v>9</v>
      </c>
      <c r="B2909" s="3" t="s">
        <v>300</v>
      </c>
      <c r="C2909" s="3" t="s">
        <v>21</v>
      </c>
      <c r="D2909" s="3" t="s">
        <v>21</v>
      </c>
      <c r="E2909" s="11" t="s">
        <v>144</v>
      </c>
      <c r="F2909" s="3" t="s">
        <v>67</v>
      </c>
      <c r="G2909" s="48" t="s">
        <v>1420</v>
      </c>
      <c r="H2909" s="8"/>
      <c r="I2909" s="8"/>
      <c r="J2909" s="6" t="s">
        <v>605</v>
      </c>
      <c r="K2909" s="38">
        <v>46910</v>
      </c>
      <c r="L2909" s="27" t="s">
        <v>25</v>
      </c>
      <c r="M2909" s="11">
        <f>_xlfn.NUMBERVALUE(LEFT(Table613612[[#This Row],[Fiscal Year]], 4))</f>
        <v>2017</v>
      </c>
      <c r="N2909" s="42">
        <f t="shared" si="47"/>
        <v>48159.976376988991</v>
      </c>
      <c r="O2909" s="3">
        <v>2907</v>
      </c>
    </row>
    <row r="2910" spans="1:15" x14ac:dyDescent="0.25">
      <c r="A2910" s="3">
        <v>9</v>
      </c>
      <c r="B2910" s="3" t="s">
        <v>300</v>
      </c>
      <c r="C2910" s="3" t="s">
        <v>21</v>
      </c>
      <c r="D2910" s="3" t="s">
        <v>21</v>
      </c>
      <c r="E2910" s="11" t="s">
        <v>144</v>
      </c>
      <c r="F2910" s="3" t="s">
        <v>67</v>
      </c>
      <c r="G2910" s="48" t="s">
        <v>1421</v>
      </c>
      <c r="H2910" s="8"/>
      <c r="I2910" s="8"/>
      <c r="J2910" s="6" t="s">
        <v>108</v>
      </c>
      <c r="K2910" s="38">
        <v>168192</v>
      </c>
      <c r="L2910" s="27" t="s">
        <v>25</v>
      </c>
      <c r="M2910" s="11">
        <f>_xlfn.NUMBERVALUE(LEFT(Table613612[[#This Row],[Fiscal Year]], 4))</f>
        <v>2017</v>
      </c>
      <c r="N2910" s="42">
        <f t="shared" si="47"/>
        <v>172673.68891064872</v>
      </c>
      <c r="O2910" s="3">
        <v>2908</v>
      </c>
    </row>
    <row r="2911" spans="1:15" x14ac:dyDescent="0.25">
      <c r="A2911" s="3">
        <v>9</v>
      </c>
      <c r="B2911" s="3" t="s">
        <v>300</v>
      </c>
      <c r="C2911" s="3" t="s">
        <v>21</v>
      </c>
      <c r="D2911" s="3" t="s">
        <v>21</v>
      </c>
      <c r="E2911" s="11" t="s">
        <v>144</v>
      </c>
      <c r="F2911" s="3" t="s">
        <v>67</v>
      </c>
      <c r="G2911" s="48" t="s">
        <v>1422</v>
      </c>
      <c r="H2911" s="8"/>
      <c r="I2911" s="8"/>
      <c r="J2911" s="6" t="s">
        <v>108</v>
      </c>
      <c r="K2911" s="38">
        <v>303358</v>
      </c>
      <c r="L2911" s="27" t="s">
        <v>25</v>
      </c>
      <c r="M2911" s="11">
        <f>_xlfn.NUMBERVALUE(LEFT(Table613612[[#This Row],[Fiscal Year]], 4))</f>
        <v>2017</v>
      </c>
      <c r="N2911" s="42">
        <f t="shared" si="47"/>
        <v>311441.35821297433</v>
      </c>
      <c r="O2911" s="3">
        <v>2909</v>
      </c>
    </row>
    <row r="2912" spans="1:15" x14ac:dyDescent="0.25">
      <c r="A2912" s="3">
        <v>9</v>
      </c>
      <c r="B2912" s="3" t="s">
        <v>300</v>
      </c>
      <c r="C2912" s="3" t="s">
        <v>21</v>
      </c>
      <c r="D2912" s="3" t="s">
        <v>21</v>
      </c>
      <c r="E2912" s="11" t="s">
        <v>144</v>
      </c>
      <c r="F2912" s="3" t="s">
        <v>67</v>
      </c>
      <c r="G2912" s="48" t="s">
        <v>1423</v>
      </c>
      <c r="H2912" s="8"/>
      <c r="I2912" s="8"/>
      <c r="J2912" s="6" t="s">
        <v>108</v>
      </c>
      <c r="K2912" s="38">
        <v>21000</v>
      </c>
      <c r="L2912" s="27" t="s">
        <v>25</v>
      </c>
      <c r="M2912" s="11">
        <f>_xlfn.NUMBERVALUE(LEFT(Table613612[[#This Row],[Fiscal Year]], 4))</f>
        <v>2017</v>
      </c>
      <c r="N2912" s="42">
        <f t="shared" si="47"/>
        <v>21559.571603427175</v>
      </c>
      <c r="O2912" s="3">
        <v>2910</v>
      </c>
    </row>
    <row r="2913" spans="1:15" x14ac:dyDescent="0.25">
      <c r="A2913" s="3">
        <v>9</v>
      </c>
      <c r="B2913" s="3" t="s">
        <v>300</v>
      </c>
      <c r="C2913" s="3" t="s">
        <v>21</v>
      </c>
      <c r="D2913" s="3" t="s">
        <v>21</v>
      </c>
      <c r="E2913" s="11" t="s">
        <v>144</v>
      </c>
      <c r="F2913" s="3" t="s">
        <v>67</v>
      </c>
      <c r="G2913" s="48" t="s">
        <v>1424</v>
      </c>
      <c r="H2913" s="8"/>
      <c r="I2913" s="8"/>
      <c r="J2913" s="6" t="s">
        <v>108</v>
      </c>
      <c r="K2913" s="38">
        <v>7309</v>
      </c>
      <c r="L2913" s="27" t="s">
        <v>25</v>
      </c>
      <c r="M2913" s="11">
        <f>_xlfn.NUMBERVALUE(LEFT(Table613612[[#This Row],[Fiscal Year]], 4))</f>
        <v>2017</v>
      </c>
      <c r="N2913" s="42">
        <f t="shared" si="47"/>
        <v>7503.7575642594866</v>
      </c>
      <c r="O2913" s="3">
        <v>2911</v>
      </c>
    </row>
    <row r="2914" spans="1:15" x14ac:dyDescent="0.25">
      <c r="A2914" s="3">
        <v>9</v>
      </c>
      <c r="B2914" s="3" t="s">
        <v>300</v>
      </c>
      <c r="C2914" s="3" t="s">
        <v>21</v>
      </c>
      <c r="D2914" s="3" t="s">
        <v>21</v>
      </c>
      <c r="E2914" s="11" t="s">
        <v>144</v>
      </c>
      <c r="F2914" s="3" t="s">
        <v>67</v>
      </c>
      <c r="G2914" s="48" t="s">
        <v>1425</v>
      </c>
      <c r="H2914" s="8"/>
      <c r="I2914" s="8"/>
      <c r="J2914" s="6" t="s">
        <v>108</v>
      </c>
      <c r="K2914" s="38">
        <v>104320</v>
      </c>
      <c r="L2914" s="27" t="s">
        <v>25</v>
      </c>
      <c r="M2914" s="11">
        <f>_xlfn.NUMBERVALUE(LEFT(Table613612[[#This Row],[Fiscal Year]], 4))</f>
        <v>2017</v>
      </c>
      <c r="N2914" s="42">
        <f t="shared" si="47"/>
        <v>107099.73855569157</v>
      </c>
      <c r="O2914" s="3">
        <v>2912</v>
      </c>
    </row>
    <row r="2915" spans="1:15" x14ac:dyDescent="0.25">
      <c r="E2915" s="11"/>
      <c r="G2915" s="66"/>
      <c r="H2915" s="8"/>
      <c r="I2915" s="8"/>
      <c r="J2915" s="6"/>
      <c r="L2915" s="4"/>
      <c r="O2915" s="3">
        <v>2913</v>
      </c>
    </row>
    <row r="2916" spans="1:15" x14ac:dyDescent="0.25">
      <c r="A2916" s="3">
        <v>9</v>
      </c>
      <c r="B2916" s="3" t="s">
        <v>22</v>
      </c>
      <c r="C2916" s="3" t="s">
        <v>21</v>
      </c>
      <c r="D2916" s="3" t="s">
        <v>21</v>
      </c>
      <c r="E2916" s="11" t="s">
        <v>144</v>
      </c>
      <c r="F2916" s="3" t="s">
        <v>8</v>
      </c>
      <c r="G2916" s="48" t="s">
        <v>343</v>
      </c>
      <c r="H2916" s="8"/>
      <c r="I2916" s="8"/>
      <c r="J2916" s="6" t="s">
        <v>110</v>
      </c>
      <c r="K2916" s="58">
        <v>235542</v>
      </c>
      <c r="L2916" s="4" t="s">
        <v>25</v>
      </c>
      <c r="M2916" s="11">
        <f>_xlfn.NUMBERVALUE(LEFT(Table613612[[#This Row],[Fiscal Year]], 4))</f>
        <v>2017</v>
      </c>
      <c r="N2916" s="42">
        <f t="shared" si="47"/>
        <v>241818.31498164017</v>
      </c>
      <c r="O2916" s="3">
        <v>2914</v>
      </c>
    </row>
    <row r="2917" spans="1:15" x14ac:dyDescent="0.25">
      <c r="A2917" s="3">
        <v>9</v>
      </c>
      <c r="B2917" s="3" t="s">
        <v>22</v>
      </c>
      <c r="C2917" s="3" t="s">
        <v>21</v>
      </c>
      <c r="D2917" s="3" t="s">
        <v>21</v>
      </c>
      <c r="E2917" s="11" t="s">
        <v>144</v>
      </c>
      <c r="F2917" s="3" t="s">
        <v>8</v>
      </c>
      <c r="G2917" s="66" t="s">
        <v>344</v>
      </c>
      <c r="H2917" s="8"/>
      <c r="I2917" s="8"/>
      <c r="J2917" s="6" t="s">
        <v>455</v>
      </c>
      <c r="K2917" s="38">
        <v>1500</v>
      </c>
      <c r="L2917" s="4" t="s">
        <v>25</v>
      </c>
      <c r="M2917" s="11">
        <f>_xlfn.NUMBERVALUE(LEFT(Table613612[[#This Row],[Fiscal Year]], 4))</f>
        <v>2017</v>
      </c>
      <c r="N2917" s="42">
        <f t="shared" si="47"/>
        <v>1539.9694002447982</v>
      </c>
      <c r="O2917" s="3">
        <v>2915</v>
      </c>
    </row>
    <row r="2918" spans="1:15" x14ac:dyDescent="0.25">
      <c r="A2918" s="3">
        <v>9</v>
      </c>
      <c r="B2918" s="3" t="s">
        <v>22</v>
      </c>
      <c r="C2918" s="3" t="s">
        <v>21</v>
      </c>
      <c r="D2918" s="3" t="s">
        <v>21</v>
      </c>
      <c r="E2918" s="11" t="s">
        <v>144</v>
      </c>
      <c r="F2918" s="3" t="s">
        <v>8</v>
      </c>
      <c r="G2918" s="48" t="s">
        <v>345</v>
      </c>
      <c r="H2918" s="8"/>
      <c r="I2918" s="8"/>
      <c r="J2918" s="6" t="s">
        <v>110</v>
      </c>
      <c r="K2918" s="38">
        <v>900</v>
      </c>
      <c r="L2918" s="4" t="s">
        <v>25</v>
      </c>
      <c r="M2918" s="11">
        <f>_xlfn.NUMBERVALUE(LEFT(Table613612[[#This Row],[Fiscal Year]], 4))</f>
        <v>2017</v>
      </c>
      <c r="N2918" s="42">
        <f t="shared" si="47"/>
        <v>923.98164014687893</v>
      </c>
      <c r="O2918" s="3">
        <v>2916</v>
      </c>
    </row>
    <row r="2919" spans="1:15" x14ac:dyDescent="0.25">
      <c r="A2919" s="3">
        <v>9</v>
      </c>
      <c r="B2919" s="3" t="s">
        <v>22</v>
      </c>
      <c r="C2919" s="3" t="s">
        <v>21</v>
      </c>
      <c r="D2919" s="3" t="s">
        <v>21</v>
      </c>
      <c r="E2919" s="11" t="s">
        <v>144</v>
      </c>
      <c r="F2919" s="3" t="s">
        <v>8</v>
      </c>
      <c r="G2919" s="48" t="s">
        <v>346</v>
      </c>
      <c r="H2919" s="8"/>
      <c r="I2919" s="8"/>
      <c r="J2919" s="6" t="s">
        <v>110</v>
      </c>
      <c r="K2919" s="38">
        <v>35864</v>
      </c>
      <c r="L2919" s="4" t="s">
        <v>25</v>
      </c>
      <c r="M2919" s="11">
        <f>_xlfn.NUMBERVALUE(LEFT(Table613612[[#This Row],[Fiscal Year]], 4))</f>
        <v>2017</v>
      </c>
      <c r="N2919" s="42">
        <f t="shared" si="47"/>
        <v>36819.641713586294</v>
      </c>
      <c r="O2919" s="3">
        <v>2917</v>
      </c>
    </row>
    <row r="2920" spans="1:15" x14ac:dyDescent="0.25">
      <c r="A2920" s="3">
        <v>9</v>
      </c>
      <c r="B2920" s="3" t="s">
        <v>22</v>
      </c>
      <c r="C2920" s="3" t="s">
        <v>21</v>
      </c>
      <c r="D2920" s="3" t="s">
        <v>21</v>
      </c>
      <c r="E2920" s="11" t="s">
        <v>144</v>
      </c>
      <c r="F2920" s="3" t="s">
        <v>8</v>
      </c>
      <c r="G2920" s="48" t="s">
        <v>347</v>
      </c>
      <c r="H2920" s="8"/>
      <c r="I2920" s="8"/>
      <c r="J2920" s="6" t="s">
        <v>110</v>
      </c>
      <c r="K2920" s="38">
        <v>14752</v>
      </c>
      <c r="L2920" s="4" t="s">
        <v>25</v>
      </c>
      <c r="M2920" s="11">
        <f>_xlfn.NUMBERVALUE(LEFT(Table613612[[#This Row],[Fiscal Year]], 4))</f>
        <v>2017</v>
      </c>
      <c r="N2920" s="42">
        <f t="shared" si="47"/>
        <v>15145.085728274176</v>
      </c>
      <c r="O2920" s="3">
        <v>2918</v>
      </c>
    </row>
    <row r="2921" spans="1:15" x14ac:dyDescent="0.25">
      <c r="A2921" s="3">
        <v>9</v>
      </c>
      <c r="B2921" s="3" t="s">
        <v>22</v>
      </c>
      <c r="C2921" s="3" t="s">
        <v>21</v>
      </c>
      <c r="D2921" s="3" t="s">
        <v>21</v>
      </c>
      <c r="E2921" s="11" t="s">
        <v>144</v>
      </c>
      <c r="F2921" s="3" t="s">
        <v>8</v>
      </c>
      <c r="G2921" s="48" t="s">
        <v>348</v>
      </c>
      <c r="H2921" s="8"/>
      <c r="I2921" s="8"/>
      <c r="J2921" s="6" t="s">
        <v>110</v>
      </c>
      <c r="K2921" s="38">
        <v>3971</v>
      </c>
      <c r="L2921" s="4" t="s">
        <v>25</v>
      </c>
      <c r="M2921" s="11">
        <f>_xlfn.NUMBERVALUE(LEFT(Table613612[[#This Row],[Fiscal Year]], 4))</f>
        <v>2017</v>
      </c>
      <c r="N2921" s="42">
        <f t="shared" si="47"/>
        <v>4076.8123255813957</v>
      </c>
      <c r="O2921" s="3">
        <v>2919</v>
      </c>
    </row>
    <row r="2922" spans="1:15" x14ac:dyDescent="0.25">
      <c r="A2922" s="3">
        <v>9</v>
      </c>
      <c r="B2922" s="3" t="s">
        <v>22</v>
      </c>
      <c r="C2922" s="3" t="s">
        <v>21</v>
      </c>
      <c r="D2922" s="3" t="s">
        <v>21</v>
      </c>
      <c r="E2922" s="11" t="s">
        <v>144</v>
      </c>
      <c r="F2922" s="3" t="s">
        <v>8</v>
      </c>
      <c r="G2922" s="66" t="s">
        <v>349</v>
      </c>
      <c r="H2922" s="8"/>
      <c r="I2922" s="8"/>
      <c r="J2922" s="6" t="s">
        <v>110</v>
      </c>
      <c r="K2922" s="38">
        <v>33097</v>
      </c>
      <c r="L2922" s="4" t="s">
        <v>25</v>
      </c>
      <c r="M2922" s="11">
        <f>_xlfn.NUMBERVALUE(LEFT(Table613612[[#This Row],[Fiscal Year]], 4))</f>
        <v>2017</v>
      </c>
      <c r="N2922" s="42">
        <f t="shared" si="47"/>
        <v>33978.91149326806</v>
      </c>
      <c r="O2922" s="3">
        <v>2920</v>
      </c>
    </row>
    <row r="2923" spans="1:15" x14ac:dyDescent="0.25">
      <c r="A2923" s="3">
        <v>9</v>
      </c>
      <c r="B2923" s="3" t="s">
        <v>22</v>
      </c>
      <c r="C2923" s="3" t="s">
        <v>21</v>
      </c>
      <c r="D2923" s="3" t="s">
        <v>21</v>
      </c>
      <c r="E2923" s="11" t="s">
        <v>144</v>
      </c>
      <c r="F2923" s="3" t="s">
        <v>8</v>
      </c>
      <c r="G2923" s="66" t="s">
        <v>350</v>
      </c>
      <c r="H2923" s="8"/>
      <c r="I2923" s="8"/>
      <c r="J2923" s="6" t="s">
        <v>110</v>
      </c>
      <c r="K2923" s="38">
        <v>78010</v>
      </c>
      <c r="L2923" s="4" t="s">
        <v>25</v>
      </c>
      <c r="M2923" s="11">
        <f>_xlfn.NUMBERVALUE(LEFT(Table613612[[#This Row],[Fiscal Year]], 4))</f>
        <v>2017</v>
      </c>
      <c r="N2923" s="42">
        <f t="shared" si="47"/>
        <v>80088.675275397807</v>
      </c>
      <c r="O2923" s="3">
        <v>2921</v>
      </c>
    </row>
    <row r="2924" spans="1:15" x14ac:dyDescent="0.25">
      <c r="A2924" s="3">
        <v>9</v>
      </c>
      <c r="B2924" s="3" t="s">
        <v>22</v>
      </c>
      <c r="C2924" s="3" t="s">
        <v>21</v>
      </c>
      <c r="D2924" s="3" t="s">
        <v>21</v>
      </c>
      <c r="E2924" s="11" t="s">
        <v>144</v>
      </c>
      <c r="F2924" s="3" t="s">
        <v>8</v>
      </c>
      <c r="G2924" s="48" t="s">
        <v>351</v>
      </c>
      <c r="H2924" s="8" t="s">
        <v>652</v>
      </c>
      <c r="I2924" s="8"/>
      <c r="J2924" s="6" t="s">
        <v>455</v>
      </c>
      <c r="K2924" s="38">
        <v>682</v>
      </c>
      <c r="L2924" s="4" t="s">
        <v>25</v>
      </c>
      <c r="M2924" s="11">
        <f>_xlfn.NUMBERVALUE(LEFT(Table613612[[#This Row],[Fiscal Year]], 4))</f>
        <v>2017</v>
      </c>
      <c r="N2924" s="42">
        <f t="shared" si="47"/>
        <v>700.17275397796823</v>
      </c>
      <c r="O2924" s="3">
        <v>2922</v>
      </c>
    </row>
    <row r="2925" spans="1:15" x14ac:dyDescent="0.25">
      <c r="A2925" s="3">
        <v>9</v>
      </c>
      <c r="B2925" s="3" t="s">
        <v>22</v>
      </c>
      <c r="C2925" s="3" t="s">
        <v>21</v>
      </c>
      <c r="D2925" s="3" t="s">
        <v>21</v>
      </c>
      <c r="E2925" s="11" t="s">
        <v>144</v>
      </c>
      <c r="F2925" s="3" t="s">
        <v>8</v>
      </c>
      <c r="G2925" s="66" t="s">
        <v>452</v>
      </c>
      <c r="H2925" s="8"/>
      <c r="I2925" s="8"/>
      <c r="J2925" s="6" t="s">
        <v>110</v>
      </c>
      <c r="K2925" s="38">
        <v>3900</v>
      </c>
      <c r="L2925" s="4" t="s">
        <v>25</v>
      </c>
      <c r="M2925" s="11">
        <f>_xlfn.NUMBERVALUE(LEFT(Table613612[[#This Row],[Fiscal Year]], 4))</f>
        <v>2017</v>
      </c>
      <c r="N2925" s="42">
        <f t="shared" si="47"/>
        <v>4003.9204406364752</v>
      </c>
      <c r="O2925" s="3">
        <v>2923</v>
      </c>
    </row>
    <row r="2926" spans="1:15" x14ac:dyDescent="0.25">
      <c r="A2926" s="3">
        <v>9</v>
      </c>
      <c r="B2926" s="3" t="s">
        <v>22</v>
      </c>
      <c r="C2926" s="3" t="s">
        <v>21</v>
      </c>
      <c r="D2926" s="3" t="s">
        <v>21</v>
      </c>
      <c r="E2926" s="11" t="s">
        <v>144</v>
      </c>
      <c r="F2926" s="3" t="s">
        <v>8</v>
      </c>
      <c r="G2926" s="66" t="s">
        <v>352</v>
      </c>
      <c r="H2926" s="8" t="s">
        <v>653</v>
      </c>
      <c r="I2926" s="8"/>
      <c r="J2926" s="6" t="s">
        <v>455</v>
      </c>
      <c r="K2926" s="38">
        <v>236000</v>
      </c>
      <c r="L2926" s="4" t="s">
        <v>25</v>
      </c>
      <c r="M2926" s="11">
        <f>_xlfn.NUMBERVALUE(LEFT(Table613612[[#This Row],[Fiscal Year]], 4))</f>
        <v>2017</v>
      </c>
      <c r="N2926" s="42">
        <f t="shared" si="47"/>
        <v>242288.51897184824</v>
      </c>
      <c r="O2926" s="3">
        <v>2924</v>
      </c>
    </row>
    <row r="2927" spans="1:15" x14ac:dyDescent="0.25">
      <c r="A2927" s="3">
        <v>9</v>
      </c>
      <c r="B2927" s="3" t="s">
        <v>22</v>
      </c>
      <c r="C2927" s="3" t="s">
        <v>21</v>
      </c>
      <c r="D2927" s="3" t="s">
        <v>21</v>
      </c>
      <c r="E2927" s="11" t="s">
        <v>144</v>
      </c>
      <c r="F2927" s="3" t="s">
        <v>8</v>
      </c>
      <c r="G2927" s="48" t="s">
        <v>438</v>
      </c>
      <c r="H2927" s="8"/>
      <c r="I2927" s="8"/>
      <c r="J2927" s="6" t="s">
        <v>108</v>
      </c>
      <c r="K2927" s="38">
        <v>1550</v>
      </c>
      <c r="L2927" s="4" t="s">
        <v>25</v>
      </c>
      <c r="M2927" s="11">
        <f>_xlfn.NUMBERVALUE(LEFT(Table613612[[#This Row],[Fiscal Year]], 4))</f>
        <v>2017</v>
      </c>
      <c r="N2927" s="42">
        <f t="shared" si="47"/>
        <v>1591.3017135862915</v>
      </c>
      <c r="O2927" s="3">
        <v>2925</v>
      </c>
    </row>
    <row r="2928" spans="1:15" x14ac:dyDescent="0.25">
      <c r="A2928" s="3">
        <v>9</v>
      </c>
      <c r="B2928" s="3" t="s">
        <v>22</v>
      </c>
      <c r="C2928" s="3" t="s">
        <v>21</v>
      </c>
      <c r="D2928" s="3" t="s">
        <v>21</v>
      </c>
      <c r="E2928" s="11" t="s">
        <v>144</v>
      </c>
      <c r="F2928" s="3" t="s">
        <v>8</v>
      </c>
      <c r="G2928" s="48" t="s">
        <v>437</v>
      </c>
      <c r="H2928" s="8"/>
      <c r="I2928" s="8"/>
      <c r="J2928" s="6" t="s">
        <v>108</v>
      </c>
      <c r="K2928" s="38">
        <v>625</v>
      </c>
      <c r="L2928" s="4" t="s">
        <v>25</v>
      </c>
      <c r="M2928" s="11">
        <v>2017</v>
      </c>
      <c r="N2928" s="42">
        <f t="shared" si="47"/>
        <v>641.65391676866591</v>
      </c>
      <c r="O2928" s="3">
        <v>2926</v>
      </c>
    </row>
    <row r="2929" spans="1:15" x14ac:dyDescent="0.25">
      <c r="A2929" s="3">
        <v>9</v>
      </c>
      <c r="B2929" s="3" t="s">
        <v>22</v>
      </c>
      <c r="C2929" s="3" t="s">
        <v>21</v>
      </c>
      <c r="D2929" s="3" t="s">
        <v>21</v>
      </c>
      <c r="E2929" s="11" t="s">
        <v>144</v>
      </c>
      <c r="F2929" s="3" t="s">
        <v>8</v>
      </c>
      <c r="G2929" s="66" t="s">
        <v>353</v>
      </c>
      <c r="H2929" s="8"/>
      <c r="I2929" s="8"/>
      <c r="J2929" s="6" t="s">
        <v>108</v>
      </c>
      <c r="K2929" s="38">
        <v>300</v>
      </c>
      <c r="L2929" s="4" t="s">
        <v>25</v>
      </c>
      <c r="M2929" s="11">
        <f>_xlfn.NUMBERVALUE(LEFT(Table613612[[#This Row],[Fiscal Year]], 4))</f>
        <v>2017</v>
      </c>
      <c r="N2929" s="42">
        <f t="shared" si="47"/>
        <v>307.99388004895962</v>
      </c>
      <c r="O2929" s="3">
        <v>2927</v>
      </c>
    </row>
    <row r="2930" spans="1:15" x14ac:dyDescent="0.25">
      <c r="A2930" s="3">
        <v>9</v>
      </c>
      <c r="B2930" s="3" t="s">
        <v>22</v>
      </c>
      <c r="C2930" s="3" t="s">
        <v>21</v>
      </c>
      <c r="D2930" s="3" t="s">
        <v>21</v>
      </c>
      <c r="E2930" s="11" t="s">
        <v>144</v>
      </c>
      <c r="F2930" s="3" t="s">
        <v>8</v>
      </c>
      <c r="G2930" s="66" t="s">
        <v>354</v>
      </c>
      <c r="H2930" s="8" t="s">
        <v>656</v>
      </c>
      <c r="I2930" s="8" t="s">
        <v>657</v>
      </c>
      <c r="J2930" s="6" t="s">
        <v>455</v>
      </c>
      <c r="K2930" s="38">
        <v>10095</v>
      </c>
      <c r="L2930" s="4" t="s">
        <v>25</v>
      </c>
      <c r="M2930" s="11">
        <f>_xlfn.NUMBERVALUE(LEFT(Table613612[[#This Row],[Fiscal Year]], 4))</f>
        <v>2017</v>
      </c>
      <c r="N2930" s="42">
        <f t="shared" si="47"/>
        <v>10363.994063647491</v>
      </c>
      <c r="O2930" s="3">
        <v>2928</v>
      </c>
    </row>
    <row r="2931" spans="1:15" x14ac:dyDescent="0.25">
      <c r="A2931" s="3">
        <v>9</v>
      </c>
      <c r="B2931" s="3" t="s">
        <v>22</v>
      </c>
      <c r="C2931" s="3" t="s">
        <v>21</v>
      </c>
      <c r="D2931" s="3" t="s">
        <v>21</v>
      </c>
      <c r="E2931" s="11" t="s">
        <v>144</v>
      </c>
      <c r="F2931" s="3" t="s">
        <v>8</v>
      </c>
      <c r="G2931" s="66" t="s">
        <v>355</v>
      </c>
      <c r="H2931" s="8" t="s">
        <v>658</v>
      </c>
      <c r="I2931" s="8" t="s">
        <v>659</v>
      </c>
      <c r="J2931" s="6" t="s">
        <v>108</v>
      </c>
      <c r="K2931" s="38">
        <v>25055</v>
      </c>
      <c r="L2931" s="4" t="s">
        <v>25</v>
      </c>
      <c r="M2931" s="11">
        <f>_xlfn.NUMBERVALUE(LEFT(Table613612[[#This Row],[Fiscal Year]], 4))</f>
        <v>2017</v>
      </c>
      <c r="N2931" s="42">
        <f t="shared" si="47"/>
        <v>25722.622215422281</v>
      </c>
      <c r="O2931" s="3">
        <v>2929</v>
      </c>
    </row>
    <row r="2932" spans="1:15" x14ac:dyDescent="0.25">
      <c r="A2932" s="3">
        <v>9</v>
      </c>
      <c r="B2932" s="3" t="s">
        <v>22</v>
      </c>
      <c r="C2932" s="3" t="s">
        <v>21</v>
      </c>
      <c r="D2932" s="3" t="s">
        <v>21</v>
      </c>
      <c r="E2932" s="11" t="s">
        <v>144</v>
      </c>
      <c r="F2932" s="3" t="s">
        <v>8</v>
      </c>
      <c r="G2932" s="66" t="s">
        <v>356</v>
      </c>
      <c r="H2932" s="8" t="s">
        <v>654</v>
      </c>
      <c r="I2932" s="8" t="s">
        <v>655</v>
      </c>
      <c r="J2932" s="6" t="s">
        <v>455</v>
      </c>
      <c r="K2932" s="38">
        <v>155800</v>
      </c>
      <c r="L2932" s="4" t="s">
        <v>25</v>
      </c>
      <c r="M2932" s="11">
        <f>_xlfn.NUMBERVALUE(LEFT(Table613612[[#This Row],[Fiscal Year]], 4))</f>
        <v>2017</v>
      </c>
      <c r="N2932" s="42">
        <f t="shared" si="47"/>
        <v>159951.48837209304</v>
      </c>
      <c r="O2932" s="3">
        <v>2930</v>
      </c>
    </row>
    <row r="2933" spans="1:15" x14ac:dyDescent="0.25">
      <c r="E2933" s="11"/>
      <c r="G2933" s="66"/>
      <c r="H2933" s="8"/>
      <c r="I2933" s="8"/>
      <c r="J2933" s="6"/>
      <c r="L2933" s="4"/>
      <c r="O2933" s="3">
        <v>2931</v>
      </c>
    </row>
    <row r="2934" spans="1:15" x14ac:dyDescent="0.25">
      <c r="A2934" s="3">
        <v>9</v>
      </c>
      <c r="B2934" s="3" t="s">
        <v>302</v>
      </c>
      <c r="C2934" s="3" t="s">
        <v>21</v>
      </c>
      <c r="D2934" s="3" t="s">
        <v>21</v>
      </c>
      <c r="E2934" s="11" t="s">
        <v>144</v>
      </c>
      <c r="F2934" s="3" t="s">
        <v>8</v>
      </c>
      <c r="G2934" s="48" t="s">
        <v>1240</v>
      </c>
      <c r="H2934" s="8"/>
      <c r="I2934" s="8"/>
      <c r="J2934" s="6" t="s">
        <v>110</v>
      </c>
      <c r="K2934" s="38">
        <v>543045</v>
      </c>
      <c r="L2934" s="4" t="s">
        <v>25</v>
      </c>
      <c r="M2934" s="11">
        <f>_xlfn.NUMBERVALUE(LEFT(Table613612[[#This Row],[Fiscal Year]], 4))</f>
        <v>2017</v>
      </c>
      <c r="N2934" s="42">
        <f t="shared" si="47"/>
        <v>557515.12197062431</v>
      </c>
      <c r="O2934" s="3">
        <v>2932</v>
      </c>
    </row>
    <row r="2935" spans="1:15" x14ac:dyDescent="0.25">
      <c r="A2935" s="3">
        <v>9</v>
      </c>
      <c r="B2935" s="3" t="s">
        <v>302</v>
      </c>
      <c r="C2935" s="3" t="s">
        <v>21</v>
      </c>
      <c r="D2935" s="3" t="s">
        <v>21</v>
      </c>
      <c r="E2935" s="11" t="s">
        <v>144</v>
      </c>
      <c r="F2935" s="3" t="s">
        <v>8</v>
      </c>
      <c r="G2935" s="66" t="s">
        <v>1241</v>
      </c>
      <c r="H2935" s="8"/>
      <c r="I2935" s="8"/>
      <c r="J2935" s="6" t="s">
        <v>111</v>
      </c>
      <c r="K2935" s="38">
        <v>340387</v>
      </c>
      <c r="L2935" s="4" t="s">
        <v>25</v>
      </c>
      <c r="M2935" s="11">
        <f>_xlfn.NUMBERVALUE(LEFT(Table613612[[#This Row],[Fiscal Year]], 4))</f>
        <v>2017</v>
      </c>
      <c r="N2935" s="42">
        <f t="shared" si="47"/>
        <v>349457.04282741743</v>
      </c>
      <c r="O2935" s="3">
        <v>2933</v>
      </c>
    </row>
    <row r="2936" spans="1:15" x14ac:dyDescent="0.25">
      <c r="A2936" s="3">
        <v>9</v>
      </c>
      <c r="B2936" s="3" t="s">
        <v>302</v>
      </c>
      <c r="C2936" s="3" t="s">
        <v>21</v>
      </c>
      <c r="D2936" s="3" t="s">
        <v>21</v>
      </c>
      <c r="E2936" s="11" t="s">
        <v>144</v>
      </c>
      <c r="F2936" s="3" t="s">
        <v>8</v>
      </c>
      <c r="G2936" s="66" t="s">
        <v>1242</v>
      </c>
      <c r="H2936" s="8"/>
      <c r="I2936" s="8"/>
      <c r="J2936" s="6" t="s">
        <v>107</v>
      </c>
      <c r="K2936" s="38">
        <v>446345</v>
      </c>
      <c r="L2936" s="4" t="s">
        <v>25</v>
      </c>
      <c r="M2936" s="11">
        <f>_xlfn.NUMBERVALUE(LEFT(Table613612[[#This Row],[Fiscal Year]], 4))</f>
        <v>2017</v>
      </c>
      <c r="N2936" s="42">
        <f t="shared" si="47"/>
        <v>458238.42796817631</v>
      </c>
      <c r="O2936" s="3">
        <v>2934</v>
      </c>
    </row>
    <row r="2937" spans="1:15" x14ac:dyDescent="0.25">
      <c r="A2937" s="3">
        <v>9</v>
      </c>
      <c r="B2937" s="3" t="s">
        <v>302</v>
      </c>
      <c r="C2937" s="3" t="s">
        <v>21</v>
      </c>
      <c r="D2937" s="3" t="s">
        <v>21</v>
      </c>
      <c r="E2937" s="11" t="s">
        <v>144</v>
      </c>
      <c r="F2937" s="3" t="s">
        <v>8</v>
      </c>
      <c r="G2937" s="66" t="s">
        <v>1243</v>
      </c>
      <c r="H2937" s="8"/>
      <c r="I2937" s="8"/>
      <c r="J2937" s="6" t="s">
        <v>108</v>
      </c>
      <c r="K2937" s="38">
        <v>1487502</v>
      </c>
      <c r="L2937" s="4" t="s">
        <v>25</v>
      </c>
      <c r="M2937" s="11">
        <f>_xlfn.NUMBERVALUE(LEFT(Table613612[[#This Row],[Fiscal Year]], 4))</f>
        <v>2017</v>
      </c>
      <c r="N2937" s="42">
        <f t="shared" si="47"/>
        <v>1527138.3752019585</v>
      </c>
      <c r="O2937" s="3">
        <v>2935</v>
      </c>
    </row>
    <row r="2938" spans="1:15" x14ac:dyDescent="0.25">
      <c r="A2938" s="3">
        <v>9</v>
      </c>
      <c r="B2938" s="3" t="s">
        <v>302</v>
      </c>
      <c r="C2938" s="3" t="s">
        <v>21</v>
      </c>
      <c r="D2938" s="3" t="s">
        <v>21</v>
      </c>
      <c r="E2938" s="11" t="s">
        <v>144</v>
      </c>
      <c r="F2938" s="3" t="s">
        <v>8</v>
      </c>
      <c r="G2938" s="66" t="s">
        <v>1257</v>
      </c>
      <c r="H2938" s="8"/>
      <c r="I2938" s="8"/>
      <c r="J2938" s="6" t="s">
        <v>109</v>
      </c>
      <c r="K2938" s="38">
        <v>21492</v>
      </c>
      <c r="L2938" s="4" t="s">
        <v>25</v>
      </c>
      <c r="M2938" s="11">
        <f>_xlfn.NUMBERVALUE(LEFT(Table613612[[#This Row],[Fiscal Year]], 4))</f>
        <v>2017</v>
      </c>
      <c r="N2938" s="42">
        <f t="shared" si="47"/>
        <v>22064.68156670747</v>
      </c>
      <c r="O2938" s="3">
        <v>2936</v>
      </c>
    </row>
    <row r="2939" spans="1:15" x14ac:dyDescent="0.25">
      <c r="A2939" s="3">
        <v>9</v>
      </c>
      <c r="B2939" s="3" t="s">
        <v>302</v>
      </c>
      <c r="C2939" s="3" t="s">
        <v>21</v>
      </c>
      <c r="D2939" s="3" t="s">
        <v>21</v>
      </c>
      <c r="E2939" s="11" t="s">
        <v>144</v>
      </c>
      <c r="F2939" s="3" t="s">
        <v>8</v>
      </c>
      <c r="G2939" s="66" t="s">
        <v>1245</v>
      </c>
      <c r="H2939" s="8" t="s">
        <v>662</v>
      </c>
      <c r="I2939" s="8" t="s">
        <v>663</v>
      </c>
      <c r="J2939" s="6" t="s">
        <v>111</v>
      </c>
      <c r="K2939" s="38">
        <v>3208</v>
      </c>
      <c r="L2939" s="4" t="s">
        <v>25</v>
      </c>
      <c r="M2939" s="11">
        <f>_xlfn.NUMBERVALUE(LEFT(Table613612[[#This Row],[Fiscal Year]], 4))</f>
        <v>2017</v>
      </c>
      <c r="N2939" s="42">
        <f t="shared" si="47"/>
        <v>3293.4812239902085</v>
      </c>
      <c r="O2939" s="3">
        <v>2937</v>
      </c>
    </row>
    <row r="2940" spans="1:15" x14ac:dyDescent="0.25">
      <c r="A2940" s="3">
        <v>9</v>
      </c>
      <c r="B2940" s="3" t="s">
        <v>302</v>
      </c>
      <c r="C2940" s="3" t="s">
        <v>21</v>
      </c>
      <c r="D2940" s="3" t="s">
        <v>21</v>
      </c>
      <c r="E2940" s="11" t="s">
        <v>144</v>
      </c>
      <c r="F2940" s="3" t="s">
        <v>8</v>
      </c>
      <c r="G2940" s="66" t="s">
        <v>1246</v>
      </c>
      <c r="H2940" s="8"/>
      <c r="I2940" s="8"/>
      <c r="J2940" s="6" t="s">
        <v>106</v>
      </c>
      <c r="K2940" s="38">
        <v>28870</v>
      </c>
      <c r="L2940" s="4" t="s">
        <v>25</v>
      </c>
      <c r="M2940" s="11">
        <f>_xlfn.NUMBERVALUE(LEFT(Table613612[[#This Row],[Fiscal Year]], 4))</f>
        <v>2017</v>
      </c>
      <c r="N2940" s="42">
        <f t="shared" si="47"/>
        <v>29639.277723378218</v>
      </c>
      <c r="O2940" s="3">
        <v>2938</v>
      </c>
    </row>
    <row r="2941" spans="1:15" x14ac:dyDescent="0.25">
      <c r="A2941" s="3">
        <v>9</v>
      </c>
      <c r="B2941" s="3" t="s">
        <v>302</v>
      </c>
      <c r="C2941" s="3" t="s">
        <v>21</v>
      </c>
      <c r="D2941" s="3" t="s">
        <v>21</v>
      </c>
      <c r="E2941" s="11" t="s">
        <v>144</v>
      </c>
      <c r="F2941" s="3" t="s">
        <v>8</v>
      </c>
      <c r="G2941" s="66" t="s">
        <v>1258</v>
      </c>
      <c r="H2941" s="8"/>
      <c r="I2941" s="8"/>
      <c r="J2941" s="6" t="s">
        <v>47</v>
      </c>
      <c r="K2941" s="38">
        <v>48413</v>
      </c>
      <c r="L2941" s="4" t="s">
        <v>25</v>
      </c>
      <c r="M2941" s="11">
        <f>_xlfn.NUMBERVALUE(LEFT(Table613612[[#This Row],[Fiscal Year]], 4))</f>
        <v>2017</v>
      </c>
      <c r="N2941" s="42">
        <f t="shared" si="47"/>
        <v>49703.025716034281</v>
      </c>
      <c r="O2941" s="3">
        <v>2939</v>
      </c>
    </row>
    <row r="2942" spans="1:15" x14ac:dyDescent="0.25">
      <c r="A2942" s="3">
        <v>9</v>
      </c>
      <c r="B2942" s="3" t="s">
        <v>302</v>
      </c>
      <c r="C2942" s="3" t="s">
        <v>21</v>
      </c>
      <c r="D2942" s="3" t="s">
        <v>21</v>
      </c>
      <c r="E2942" s="11" t="s">
        <v>144</v>
      </c>
      <c r="F2942" s="3" t="s">
        <v>8</v>
      </c>
      <c r="G2942" s="66" t="s">
        <v>1247</v>
      </c>
      <c r="H2942" s="8"/>
      <c r="I2942" s="8"/>
      <c r="J2942" s="6" t="s">
        <v>455</v>
      </c>
      <c r="K2942" s="38">
        <v>38664</v>
      </c>
      <c r="L2942" s="4" t="s">
        <v>25</v>
      </c>
      <c r="M2942" s="11">
        <f>_xlfn.NUMBERVALUE(LEFT(Table613612[[#This Row],[Fiscal Year]], 4))</f>
        <v>2017</v>
      </c>
      <c r="N2942" s="42">
        <f t="shared" si="47"/>
        <v>39694.25126070992</v>
      </c>
      <c r="O2942" s="3">
        <v>2940</v>
      </c>
    </row>
    <row r="2943" spans="1:15" x14ac:dyDescent="0.25">
      <c r="A2943" s="3">
        <v>9</v>
      </c>
      <c r="B2943" s="3" t="s">
        <v>302</v>
      </c>
      <c r="C2943" s="3" t="s">
        <v>21</v>
      </c>
      <c r="D2943" s="3" t="s">
        <v>21</v>
      </c>
      <c r="E2943" s="11" t="s">
        <v>144</v>
      </c>
      <c r="F2943" s="3" t="s">
        <v>8</v>
      </c>
      <c r="G2943" s="66" t="s">
        <v>1248</v>
      </c>
      <c r="H2943" s="8" t="s">
        <v>660</v>
      </c>
      <c r="I2943" s="8" t="s">
        <v>663</v>
      </c>
      <c r="J2943" s="6" t="s">
        <v>105</v>
      </c>
      <c r="K2943" s="38" t="s">
        <v>660</v>
      </c>
      <c r="L2943" s="4" t="s">
        <v>25</v>
      </c>
      <c r="M2943" s="11">
        <f>_xlfn.NUMBERVALUE(LEFT(Table613612[[#This Row],[Fiscal Year]], 4))</f>
        <v>2017</v>
      </c>
      <c r="O2943" s="3">
        <v>2941</v>
      </c>
    </row>
    <row r="2944" spans="1:15" x14ac:dyDescent="0.25">
      <c r="A2944" s="3">
        <v>9</v>
      </c>
      <c r="B2944" s="3" t="s">
        <v>302</v>
      </c>
      <c r="C2944" s="3" t="s">
        <v>21</v>
      </c>
      <c r="D2944" s="3" t="s">
        <v>21</v>
      </c>
      <c r="E2944" s="11" t="s">
        <v>144</v>
      </c>
      <c r="F2944" s="3" t="s">
        <v>8</v>
      </c>
      <c r="G2944" s="48" t="s">
        <v>1249</v>
      </c>
      <c r="H2944" s="8"/>
      <c r="I2944" s="8"/>
      <c r="J2944" s="6" t="s">
        <v>455</v>
      </c>
      <c r="K2944" s="38">
        <v>0</v>
      </c>
      <c r="L2944" s="4" t="s">
        <v>25</v>
      </c>
      <c r="M2944" s="11">
        <f>_xlfn.NUMBERVALUE(LEFT(Table613612[[#This Row],[Fiscal Year]], 4))</f>
        <v>2017</v>
      </c>
      <c r="N2944" s="42">
        <f>K2944*(1+VLOOKUP(M2944,$AF$8:$AH$31,3,0))</f>
        <v>0</v>
      </c>
      <c r="O2944" s="3">
        <v>2942</v>
      </c>
    </row>
    <row r="2945" spans="1:15" x14ac:dyDescent="0.25">
      <c r="A2945" s="3">
        <v>9</v>
      </c>
      <c r="B2945" s="3" t="s">
        <v>302</v>
      </c>
      <c r="C2945" s="3" t="s">
        <v>21</v>
      </c>
      <c r="D2945" s="3" t="s">
        <v>21</v>
      </c>
      <c r="E2945" s="11" t="s">
        <v>144</v>
      </c>
      <c r="F2945" s="3" t="s">
        <v>8</v>
      </c>
      <c r="G2945" s="66" t="s">
        <v>1250</v>
      </c>
      <c r="H2945" s="8" t="s">
        <v>665</v>
      </c>
      <c r="I2945" s="70" t="s">
        <v>664</v>
      </c>
      <c r="J2945" s="6" t="s">
        <v>108</v>
      </c>
      <c r="K2945" s="38">
        <v>0</v>
      </c>
      <c r="L2945" s="4" t="s">
        <v>25</v>
      </c>
      <c r="M2945" s="11">
        <f>_xlfn.NUMBERVALUE(LEFT(Table613612[[#This Row],[Fiscal Year]], 4))</f>
        <v>2017</v>
      </c>
      <c r="N2945" s="42">
        <f>K2945*(1+VLOOKUP(M2945,$AF$8:$AH$31,3,0))</f>
        <v>0</v>
      </c>
      <c r="O2945" s="3">
        <v>2943</v>
      </c>
    </row>
    <row r="2946" spans="1:15" x14ac:dyDescent="0.25">
      <c r="A2946" s="3">
        <v>9</v>
      </c>
      <c r="B2946" s="3" t="s">
        <v>302</v>
      </c>
      <c r="C2946" s="3" t="s">
        <v>21</v>
      </c>
      <c r="D2946" s="3" t="s">
        <v>21</v>
      </c>
      <c r="E2946" s="11" t="s">
        <v>144</v>
      </c>
      <c r="F2946" s="3" t="s">
        <v>8</v>
      </c>
      <c r="G2946" s="48" t="s">
        <v>1259</v>
      </c>
      <c r="H2946" s="8" t="s">
        <v>661</v>
      </c>
      <c r="I2946" s="8" t="s">
        <v>663</v>
      </c>
      <c r="J2946" s="6" t="s">
        <v>605</v>
      </c>
      <c r="K2946" s="38">
        <v>32004</v>
      </c>
      <c r="L2946" s="4" t="s">
        <v>25</v>
      </c>
      <c r="M2946" s="11">
        <f>_xlfn.NUMBERVALUE(LEFT(Table613612[[#This Row],[Fiscal Year]], 4))</f>
        <v>2017</v>
      </c>
      <c r="N2946" s="42">
        <f t="shared" ref="N2946:N3009" si="48">K2946*(1+VLOOKUP(M2946,$AF$8:$AH$31,3,0))</f>
        <v>32856.787123623013</v>
      </c>
      <c r="O2946" s="3">
        <v>2944</v>
      </c>
    </row>
    <row r="2947" spans="1:15" x14ac:dyDescent="0.25">
      <c r="A2947" s="3">
        <v>9</v>
      </c>
      <c r="B2947" s="3" t="s">
        <v>302</v>
      </c>
      <c r="C2947" s="3" t="s">
        <v>21</v>
      </c>
      <c r="D2947" s="3" t="s">
        <v>21</v>
      </c>
      <c r="E2947" s="11" t="s">
        <v>144</v>
      </c>
      <c r="F2947" s="3" t="s">
        <v>8</v>
      </c>
      <c r="G2947" s="48" t="s">
        <v>1260</v>
      </c>
      <c r="H2947" s="8"/>
      <c r="I2947" s="8"/>
      <c r="J2947" s="6" t="s">
        <v>455</v>
      </c>
      <c r="K2947" s="38">
        <v>84442</v>
      </c>
      <c r="L2947" s="4" t="s">
        <v>25</v>
      </c>
      <c r="M2947" s="11">
        <f>_xlfn.NUMBERVALUE(LEFT(Table613612[[#This Row],[Fiscal Year]], 4))</f>
        <v>2017</v>
      </c>
      <c r="N2947" s="42">
        <f t="shared" si="48"/>
        <v>86692.0640636475</v>
      </c>
      <c r="O2947" s="3">
        <v>2945</v>
      </c>
    </row>
    <row r="2948" spans="1:15" x14ac:dyDescent="0.25">
      <c r="E2948" s="11"/>
      <c r="G2948" s="66"/>
      <c r="H2948" s="8"/>
      <c r="I2948" s="8"/>
      <c r="J2948" s="6"/>
      <c r="L2948" s="4"/>
      <c r="O2948" s="3">
        <v>2946</v>
      </c>
    </row>
    <row r="2949" spans="1:15" x14ac:dyDescent="0.25">
      <c r="A2949" s="3">
        <v>9</v>
      </c>
      <c r="B2949" s="3" t="s">
        <v>303</v>
      </c>
      <c r="C2949" s="3" t="s">
        <v>21</v>
      </c>
      <c r="D2949" s="3" t="s">
        <v>21</v>
      </c>
      <c r="E2949" s="11" t="s">
        <v>144</v>
      </c>
      <c r="F2949" s="3" t="s">
        <v>8</v>
      </c>
      <c r="G2949" s="48" t="s">
        <v>1240</v>
      </c>
      <c r="H2949" s="8"/>
      <c r="I2949" s="8"/>
      <c r="J2949" s="6" t="s">
        <v>110</v>
      </c>
      <c r="K2949" s="38">
        <v>130893</v>
      </c>
      <c r="L2949" s="4" t="s">
        <v>25</v>
      </c>
      <c r="M2949" s="11">
        <f>_xlfn.NUMBERVALUE(LEFT(Table613612[[#This Row],[Fiscal Year]], 4))</f>
        <v>2017</v>
      </c>
      <c r="N2949" s="42">
        <f t="shared" si="48"/>
        <v>134380.80980416157</v>
      </c>
      <c r="O2949" s="3">
        <v>2947</v>
      </c>
    </row>
    <row r="2950" spans="1:15" x14ac:dyDescent="0.25">
      <c r="A2950" s="3">
        <v>9</v>
      </c>
      <c r="B2950" s="3" t="s">
        <v>303</v>
      </c>
      <c r="C2950" s="3" t="s">
        <v>21</v>
      </c>
      <c r="D2950" s="3" t="s">
        <v>21</v>
      </c>
      <c r="E2950" s="11" t="s">
        <v>144</v>
      </c>
      <c r="F2950" s="3" t="s">
        <v>8</v>
      </c>
      <c r="G2950" s="66" t="s">
        <v>1241</v>
      </c>
      <c r="H2950" s="8"/>
      <c r="I2950" s="8"/>
      <c r="J2950" s="6" t="s">
        <v>111</v>
      </c>
      <c r="K2950" s="38">
        <v>275449</v>
      </c>
      <c r="L2950" s="4" t="s">
        <v>25</v>
      </c>
      <c r="M2950" s="11">
        <f>_xlfn.NUMBERVALUE(LEFT(Table613612[[#This Row],[Fiscal Year]], 4))</f>
        <v>2017</v>
      </c>
      <c r="N2950" s="42">
        <f t="shared" si="48"/>
        <v>282788.6875520196</v>
      </c>
      <c r="O2950" s="3">
        <v>2948</v>
      </c>
    </row>
    <row r="2951" spans="1:15" x14ac:dyDescent="0.25">
      <c r="A2951" s="3">
        <v>9</v>
      </c>
      <c r="B2951" s="3" t="s">
        <v>303</v>
      </c>
      <c r="C2951" s="3" t="s">
        <v>21</v>
      </c>
      <c r="D2951" s="3" t="s">
        <v>21</v>
      </c>
      <c r="E2951" s="11" t="s">
        <v>144</v>
      </c>
      <c r="F2951" s="3" t="s">
        <v>8</v>
      </c>
      <c r="G2951" s="66" t="s">
        <v>1242</v>
      </c>
      <c r="H2951" s="8" t="s">
        <v>666</v>
      </c>
      <c r="I2951" s="8"/>
      <c r="J2951" s="6" t="s">
        <v>107</v>
      </c>
      <c r="K2951" s="38">
        <v>181841</v>
      </c>
      <c r="L2951" s="4" t="s">
        <v>25</v>
      </c>
      <c r="M2951" s="11">
        <f>_xlfn.NUMBERVALUE(LEFT(Table613612[[#This Row],[Fiscal Year]], 4))</f>
        <v>2017</v>
      </c>
      <c r="N2951" s="42">
        <f t="shared" si="48"/>
        <v>186686.38380660958</v>
      </c>
      <c r="O2951" s="3">
        <v>2949</v>
      </c>
    </row>
    <row r="2952" spans="1:15" x14ac:dyDescent="0.25">
      <c r="A2952" s="3">
        <v>9</v>
      </c>
      <c r="B2952" s="3" t="s">
        <v>303</v>
      </c>
      <c r="C2952" s="3" t="s">
        <v>21</v>
      </c>
      <c r="D2952" s="3" t="s">
        <v>21</v>
      </c>
      <c r="E2952" s="11" t="s">
        <v>144</v>
      </c>
      <c r="F2952" s="3" t="s">
        <v>8</v>
      </c>
      <c r="G2952" s="48" t="s">
        <v>1243</v>
      </c>
      <c r="H2952" s="8"/>
      <c r="I2952" s="8"/>
      <c r="J2952" s="6" t="s">
        <v>108</v>
      </c>
      <c r="K2952" s="38">
        <v>1627820</v>
      </c>
      <c r="L2952" s="4" t="s">
        <v>25</v>
      </c>
      <c r="M2952" s="11">
        <f>_xlfn.NUMBERVALUE(LEFT(Table613612[[#This Row],[Fiscal Year]], 4))</f>
        <v>2017</v>
      </c>
      <c r="N2952" s="42">
        <f t="shared" si="48"/>
        <v>1671195.3260709916</v>
      </c>
      <c r="O2952" s="3">
        <v>2950</v>
      </c>
    </row>
    <row r="2953" spans="1:15" x14ac:dyDescent="0.25">
      <c r="A2953" s="3">
        <v>9</v>
      </c>
      <c r="B2953" s="3" t="s">
        <v>303</v>
      </c>
      <c r="C2953" s="3" t="s">
        <v>21</v>
      </c>
      <c r="D2953" s="3" t="s">
        <v>21</v>
      </c>
      <c r="E2953" s="11" t="s">
        <v>144</v>
      </c>
      <c r="F2953" s="3" t="s">
        <v>8</v>
      </c>
      <c r="G2953" s="66" t="s">
        <v>1257</v>
      </c>
      <c r="H2953" s="8"/>
      <c r="I2953" s="8"/>
      <c r="J2953" s="6" t="s">
        <v>109</v>
      </c>
      <c r="K2953" s="38">
        <v>98545</v>
      </c>
      <c r="L2953" s="4" t="s">
        <v>25</v>
      </c>
      <c r="M2953" s="11">
        <f>_xlfn.NUMBERVALUE(LEFT(Table613612[[#This Row],[Fiscal Year]], 4))</f>
        <v>2017</v>
      </c>
      <c r="N2953" s="42">
        <f t="shared" si="48"/>
        <v>101170.8563647491</v>
      </c>
      <c r="O2953" s="3">
        <v>2951</v>
      </c>
    </row>
    <row r="2954" spans="1:15" x14ac:dyDescent="0.25">
      <c r="A2954" s="3">
        <v>9</v>
      </c>
      <c r="B2954" s="3" t="s">
        <v>303</v>
      </c>
      <c r="C2954" s="3" t="s">
        <v>21</v>
      </c>
      <c r="D2954" s="3" t="s">
        <v>21</v>
      </c>
      <c r="E2954" s="11" t="s">
        <v>144</v>
      </c>
      <c r="F2954" s="3" t="s">
        <v>8</v>
      </c>
      <c r="G2954" s="66" t="s">
        <v>1245</v>
      </c>
      <c r="H2954" s="8"/>
      <c r="I2954" s="8"/>
      <c r="J2954" s="6" t="s">
        <v>111</v>
      </c>
      <c r="K2954" s="38">
        <v>24636</v>
      </c>
      <c r="L2954" s="4" t="s">
        <v>25</v>
      </c>
      <c r="M2954" s="11">
        <f>_xlfn.NUMBERVALUE(LEFT(Table613612[[#This Row],[Fiscal Year]], 4))</f>
        <v>2017</v>
      </c>
      <c r="N2954" s="42">
        <f t="shared" si="48"/>
        <v>25292.457429620565</v>
      </c>
      <c r="O2954" s="3">
        <v>2952</v>
      </c>
    </row>
    <row r="2955" spans="1:15" x14ac:dyDescent="0.25">
      <c r="A2955" s="3">
        <v>9</v>
      </c>
      <c r="B2955" s="3" t="s">
        <v>303</v>
      </c>
      <c r="C2955" s="3" t="s">
        <v>21</v>
      </c>
      <c r="D2955" s="3" t="s">
        <v>21</v>
      </c>
      <c r="E2955" s="11" t="s">
        <v>144</v>
      </c>
      <c r="F2955" s="3" t="s">
        <v>8</v>
      </c>
      <c r="G2955" s="66" t="s">
        <v>1261</v>
      </c>
      <c r="H2955" s="8"/>
      <c r="I2955" s="8"/>
      <c r="J2955" s="6" t="s">
        <v>106</v>
      </c>
      <c r="K2955" s="38">
        <v>123182</v>
      </c>
      <c r="L2955" s="4" t="s">
        <v>25</v>
      </c>
      <c r="M2955" s="11">
        <f>_xlfn.NUMBERVALUE(LEFT(Table613612[[#This Row],[Fiscal Year]], 4))</f>
        <v>2017</v>
      </c>
      <c r="N2955" s="42">
        <f t="shared" si="48"/>
        <v>126464.34044063649</v>
      </c>
      <c r="O2955" s="3">
        <v>2953</v>
      </c>
    </row>
    <row r="2956" spans="1:15" x14ac:dyDescent="0.25">
      <c r="A2956" s="3">
        <v>9</v>
      </c>
      <c r="B2956" s="3" t="s">
        <v>303</v>
      </c>
      <c r="C2956" s="3" t="s">
        <v>21</v>
      </c>
      <c r="D2956" s="3" t="s">
        <v>21</v>
      </c>
      <c r="E2956" s="11" t="s">
        <v>144</v>
      </c>
      <c r="F2956" s="3" t="s">
        <v>8</v>
      </c>
      <c r="G2956" s="66" t="s">
        <v>1247</v>
      </c>
      <c r="H2956" s="8" t="s">
        <v>667</v>
      </c>
      <c r="I2956" s="8" t="s">
        <v>668</v>
      </c>
      <c r="J2956" s="6" t="s">
        <v>455</v>
      </c>
      <c r="K2956" s="38">
        <v>24636</v>
      </c>
      <c r="L2956" s="4" t="s">
        <v>25</v>
      </c>
      <c r="M2956" s="11">
        <f>_xlfn.NUMBERVALUE(LEFT(Table613612[[#This Row],[Fiscal Year]], 4))</f>
        <v>2017</v>
      </c>
      <c r="N2956" s="42">
        <f t="shared" si="48"/>
        <v>25292.457429620565</v>
      </c>
      <c r="O2956" s="3">
        <v>2954</v>
      </c>
    </row>
    <row r="2957" spans="1:15" x14ac:dyDescent="0.25">
      <c r="A2957" s="3">
        <v>9</v>
      </c>
      <c r="B2957" s="3" t="s">
        <v>303</v>
      </c>
      <c r="C2957" s="3" t="s">
        <v>21</v>
      </c>
      <c r="D2957" s="3" t="s">
        <v>21</v>
      </c>
      <c r="E2957" s="11" t="s">
        <v>144</v>
      </c>
      <c r="F2957" s="3" t="s">
        <v>8</v>
      </c>
      <c r="G2957" s="66" t="s">
        <v>1248</v>
      </c>
      <c r="H2957" s="8"/>
      <c r="I2957" s="8"/>
      <c r="J2957" s="6" t="s">
        <v>105</v>
      </c>
      <c r="K2957" s="38">
        <v>12318</v>
      </c>
      <c r="L2957" s="4" t="s">
        <v>25</v>
      </c>
      <c r="M2957" s="11">
        <f>_xlfn.NUMBERVALUE(LEFT(Table613612[[#This Row],[Fiscal Year]], 4))</f>
        <v>2017</v>
      </c>
      <c r="N2957" s="42">
        <f t="shared" si="48"/>
        <v>12646.228714810282</v>
      </c>
      <c r="O2957" s="3">
        <v>2955</v>
      </c>
    </row>
    <row r="2958" spans="1:15" x14ac:dyDescent="0.25">
      <c r="A2958" s="3">
        <v>9</v>
      </c>
      <c r="B2958" s="3" t="s">
        <v>303</v>
      </c>
      <c r="C2958" s="3" t="s">
        <v>21</v>
      </c>
      <c r="D2958" s="3" t="s">
        <v>21</v>
      </c>
      <c r="E2958" s="11" t="s">
        <v>144</v>
      </c>
      <c r="F2958" s="3" t="s">
        <v>8</v>
      </c>
      <c r="G2958" s="48" t="s">
        <v>1262</v>
      </c>
      <c r="H2958" s="8"/>
      <c r="I2958" s="8"/>
      <c r="J2958" s="6" t="s">
        <v>455</v>
      </c>
      <c r="K2958" s="38">
        <v>0</v>
      </c>
      <c r="L2958" s="4" t="s">
        <v>25</v>
      </c>
      <c r="M2958" s="11">
        <f>_xlfn.NUMBERVALUE(LEFT(Table613612[[#This Row],[Fiscal Year]], 4))</f>
        <v>2017</v>
      </c>
      <c r="N2958" s="42">
        <f t="shared" si="48"/>
        <v>0</v>
      </c>
      <c r="O2958" s="3">
        <v>2956</v>
      </c>
    </row>
    <row r="2959" spans="1:15" x14ac:dyDescent="0.25">
      <c r="A2959" s="3">
        <v>9</v>
      </c>
      <c r="B2959" s="3" t="s">
        <v>303</v>
      </c>
      <c r="C2959" s="3" t="s">
        <v>21</v>
      </c>
      <c r="D2959" s="3" t="s">
        <v>21</v>
      </c>
      <c r="E2959" s="11" t="s">
        <v>144</v>
      </c>
      <c r="F2959" s="3" t="s">
        <v>8</v>
      </c>
      <c r="G2959" s="66" t="s">
        <v>1250</v>
      </c>
      <c r="H2959" s="8" t="s">
        <v>665</v>
      </c>
      <c r="I2959" s="70" t="s">
        <v>664</v>
      </c>
      <c r="J2959" s="6" t="s">
        <v>108</v>
      </c>
      <c r="K2959" s="38">
        <v>12318</v>
      </c>
      <c r="L2959" s="4" t="s">
        <v>25</v>
      </c>
      <c r="M2959" s="11">
        <f>_xlfn.NUMBERVALUE(LEFT(Table613612[[#This Row],[Fiscal Year]], 4))</f>
        <v>2017</v>
      </c>
      <c r="N2959" s="42">
        <f t="shared" si="48"/>
        <v>12646.228714810282</v>
      </c>
      <c r="O2959" s="3">
        <v>2957</v>
      </c>
    </row>
    <row r="2960" spans="1:15" x14ac:dyDescent="0.25">
      <c r="A2960" s="3">
        <v>9</v>
      </c>
      <c r="B2960" s="3" t="s">
        <v>303</v>
      </c>
      <c r="C2960" s="3" t="s">
        <v>21</v>
      </c>
      <c r="D2960" s="3" t="s">
        <v>21</v>
      </c>
      <c r="E2960" s="11" t="s">
        <v>144</v>
      </c>
      <c r="F2960" s="3" t="s">
        <v>8</v>
      </c>
      <c r="G2960" s="48" t="s">
        <v>1263</v>
      </c>
      <c r="H2960" s="8"/>
      <c r="I2960" s="8"/>
      <c r="J2960" s="6" t="s">
        <v>47</v>
      </c>
      <c r="K2960" s="38">
        <v>20542</v>
      </c>
      <c r="L2960" s="4" t="s">
        <v>25</v>
      </c>
      <c r="M2960" s="11">
        <f>_xlfn.NUMBERVALUE(LEFT(Table613612[[#This Row],[Fiscal Year]], 4))</f>
        <v>2017</v>
      </c>
      <c r="N2960" s="42">
        <f t="shared" si="48"/>
        <v>21089.367613219096</v>
      </c>
      <c r="O2960" s="3">
        <v>2958</v>
      </c>
    </row>
    <row r="2961" spans="1:15" x14ac:dyDescent="0.25">
      <c r="A2961" s="3">
        <v>9</v>
      </c>
      <c r="B2961" s="3" t="s">
        <v>303</v>
      </c>
      <c r="C2961" s="3" t="s">
        <v>21</v>
      </c>
      <c r="D2961" s="3" t="s">
        <v>21</v>
      </c>
      <c r="E2961" s="11" t="s">
        <v>144</v>
      </c>
      <c r="F2961" s="3" t="s">
        <v>8</v>
      </c>
      <c r="G2961" s="66" t="s">
        <v>1264</v>
      </c>
      <c r="H2961" s="8"/>
      <c r="I2961" s="8"/>
      <c r="J2961" s="6" t="s">
        <v>605</v>
      </c>
      <c r="K2961" s="38">
        <v>6849</v>
      </c>
      <c r="L2961" s="4" t="s">
        <v>25</v>
      </c>
      <c r="M2961" s="11">
        <f>_xlfn.NUMBERVALUE(LEFT(Table613612[[#This Row],[Fiscal Year]], 4))</f>
        <v>2017</v>
      </c>
      <c r="N2961" s="42">
        <f t="shared" si="48"/>
        <v>7031.5002815177486</v>
      </c>
      <c r="O2961" s="3">
        <v>2959</v>
      </c>
    </row>
    <row r="2962" spans="1:15" x14ac:dyDescent="0.25">
      <c r="A2962" s="3">
        <v>9</v>
      </c>
      <c r="B2962" s="3" t="s">
        <v>303</v>
      </c>
      <c r="C2962" s="3" t="s">
        <v>21</v>
      </c>
      <c r="D2962" s="3" t="s">
        <v>21</v>
      </c>
      <c r="E2962" s="11" t="s">
        <v>144</v>
      </c>
      <c r="F2962" s="3" t="s">
        <v>8</v>
      </c>
      <c r="G2962" s="48" t="s">
        <v>1265</v>
      </c>
      <c r="H2962" s="8"/>
      <c r="I2962" s="8"/>
      <c r="J2962" s="6" t="s">
        <v>455</v>
      </c>
      <c r="K2962" s="38">
        <v>4678</v>
      </c>
      <c r="L2962" s="4" t="s">
        <v>25</v>
      </c>
      <c r="M2962" s="11">
        <f>_xlfn.NUMBERVALUE(LEFT(Table613612[[#This Row],[Fiscal Year]], 4))</f>
        <v>2017</v>
      </c>
      <c r="N2962" s="42">
        <f t="shared" si="48"/>
        <v>4802.651236230111</v>
      </c>
      <c r="O2962" s="3">
        <v>2960</v>
      </c>
    </row>
    <row r="2963" spans="1:15" x14ac:dyDescent="0.25">
      <c r="E2963" s="11"/>
      <c r="G2963" s="66"/>
      <c r="H2963" s="8"/>
      <c r="I2963" s="8"/>
      <c r="J2963" s="6"/>
      <c r="L2963" s="4"/>
      <c r="O2963" s="3">
        <v>2961</v>
      </c>
    </row>
    <row r="2964" spans="1:15" x14ac:dyDescent="0.25">
      <c r="A2964" s="3">
        <v>9</v>
      </c>
      <c r="B2964" s="3" t="s">
        <v>304</v>
      </c>
      <c r="C2964" s="3" t="s">
        <v>21</v>
      </c>
      <c r="D2964" s="3" t="s">
        <v>21</v>
      </c>
      <c r="E2964" s="11" t="s">
        <v>144</v>
      </c>
      <c r="F2964" s="3" t="s">
        <v>8</v>
      </c>
      <c r="G2964" s="63" t="s">
        <v>76</v>
      </c>
      <c r="H2964" s="52"/>
      <c r="I2964" s="52"/>
      <c r="J2964" s="6" t="s">
        <v>76</v>
      </c>
      <c r="K2964" s="38">
        <v>252098</v>
      </c>
      <c r="L2964" s="4" t="s">
        <v>25</v>
      </c>
      <c r="M2964" s="11">
        <f>_xlfn.NUMBERVALUE(LEFT(Table613612[[#This Row],[Fiscal Year]], 4))</f>
        <v>2017</v>
      </c>
      <c r="N2964" s="42">
        <f t="shared" si="48"/>
        <v>258815.47057527542</v>
      </c>
      <c r="O2964" s="3">
        <v>2962</v>
      </c>
    </row>
    <row r="2965" spans="1:15" x14ac:dyDescent="0.25">
      <c r="A2965" s="3">
        <v>9</v>
      </c>
      <c r="B2965" s="3" t="s">
        <v>304</v>
      </c>
      <c r="C2965" s="3" t="s">
        <v>21</v>
      </c>
      <c r="D2965" s="3" t="s">
        <v>21</v>
      </c>
      <c r="E2965" s="11" t="s">
        <v>144</v>
      </c>
      <c r="F2965" s="3" t="s">
        <v>8</v>
      </c>
      <c r="G2965" s="63" t="s">
        <v>71</v>
      </c>
      <c r="H2965" s="52"/>
      <c r="I2965" s="52"/>
      <c r="J2965" s="6" t="s">
        <v>108</v>
      </c>
      <c r="K2965" s="38">
        <v>620809</v>
      </c>
      <c r="L2965" s="4" t="s">
        <v>25</v>
      </c>
      <c r="M2965" s="11">
        <f>_xlfn.NUMBERVALUE(LEFT(Table613612[[#This Row],[Fiscal Year]], 4))</f>
        <v>2017</v>
      </c>
      <c r="N2965" s="42">
        <f t="shared" si="48"/>
        <v>637351.24226438196</v>
      </c>
      <c r="O2965" s="3">
        <v>2963</v>
      </c>
    </row>
    <row r="2966" spans="1:15" x14ac:dyDescent="0.25">
      <c r="A2966" s="3">
        <v>9</v>
      </c>
      <c r="B2966" s="3" t="s">
        <v>304</v>
      </c>
      <c r="C2966" s="3" t="s">
        <v>21</v>
      </c>
      <c r="D2966" s="3" t="s">
        <v>21</v>
      </c>
      <c r="E2966" s="11" t="s">
        <v>144</v>
      </c>
      <c r="F2966" s="3" t="s">
        <v>8</v>
      </c>
      <c r="G2966" s="64" t="s">
        <v>1266</v>
      </c>
      <c r="H2966" s="50"/>
      <c r="I2966" s="52"/>
      <c r="J2966" s="75" t="s">
        <v>47</v>
      </c>
      <c r="K2966" s="38">
        <v>59974</v>
      </c>
      <c r="L2966" s="4" t="s">
        <v>25</v>
      </c>
      <c r="M2966" s="11">
        <f>_xlfn.NUMBERVALUE(LEFT(Table613612[[#This Row],[Fiscal Year]], 4))</f>
        <v>2017</v>
      </c>
      <c r="N2966" s="42">
        <f t="shared" si="48"/>
        <v>61572.083206854353</v>
      </c>
      <c r="O2966" s="3">
        <v>2964</v>
      </c>
    </row>
    <row r="2967" spans="1:15" x14ac:dyDescent="0.25">
      <c r="A2967" s="3">
        <v>9</v>
      </c>
      <c r="B2967" s="3" t="s">
        <v>304</v>
      </c>
      <c r="C2967" s="3" t="s">
        <v>21</v>
      </c>
      <c r="D2967" s="3" t="s">
        <v>21</v>
      </c>
      <c r="E2967" s="11" t="s">
        <v>144</v>
      </c>
      <c r="F2967" s="3" t="s">
        <v>8</v>
      </c>
      <c r="G2967" s="48" t="s">
        <v>1267</v>
      </c>
      <c r="H2967" s="8"/>
      <c r="I2967" s="8"/>
      <c r="J2967" s="6" t="s">
        <v>605</v>
      </c>
      <c r="K2967" s="38">
        <v>96452</v>
      </c>
      <c r="L2967" s="4" t="s">
        <v>25</v>
      </c>
      <c r="M2967" s="11">
        <v>2017</v>
      </c>
      <c r="N2967" s="42">
        <f t="shared" si="48"/>
        <v>99022.085728274193</v>
      </c>
      <c r="O2967" s="3">
        <v>2965</v>
      </c>
    </row>
    <row r="2968" spans="1:15" x14ac:dyDescent="0.25">
      <c r="A2968" s="3">
        <v>9</v>
      </c>
      <c r="B2968" s="3" t="s">
        <v>304</v>
      </c>
      <c r="C2968" s="3" t="s">
        <v>21</v>
      </c>
      <c r="D2968" s="3" t="s">
        <v>21</v>
      </c>
      <c r="E2968" s="11" t="s">
        <v>144</v>
      </c>
      <c r="F2968" s="3" t="s">
        <v>8</v>
      </c>
      <c r="G2968" s="48" t="s">
        <v>1268</v>
      </c>
      <c r="H2968" s="8"/>
      <c r="I2968" s="8"/>
      <c r="J2968" s="6" t="s">
        <v>455</v>
      </c>
      <c r="K2968" s="38">
        <v>35462</v>
      </c>
      <c r="L2968" s="4" t="s">
        <v>25</v>
      </c>
      <c r="M2968" s="11">
        <f>_xlfn.NUMBERVALUE(LEFT(Table613612[[#This Row],[Fiscal Year]], 4))</f>
        <v>2017</v>
      </c>
      <c r="N2968" s="42">
        <f t="shared" si="48"/>
        <v>36406.929914320688</v>
      </c>
      <c r="O2968" s="3">
        <v>2966</v>
      </c>
    </row>
    <row r="2969" spans="1:15" x14ac:dyDescent="0.25">
      <c r="A2969" s="3">
        <v>9</v>
      </c>
      <c r="B2969" s="3" t="s">
        <v>304</v>
      </c>
      <c r="C2969" s="3" t="s">
        <v>21</v>
      </c>
      <c r="D2969" s="3" t="s">
        <v>21</v>
      </c>
      <c r="E2969" s="11" t="s">
        <v>144</v>
      </c>
      <c r="F2969" s="3" t="s">
        <v>8</v>
      </c>
      <c r="G2969" s="48" t="s">
        <v>1269</v>
      </c>
      <c r="H2969" s="8"/>
      <c r="I2969" s="8"/>
      <c r="J2969" s="6" t="s">
        <v>110</v>
      </c>
      <c r="K2969" s="38">
        <v>126732</v>
      </c>
      <c r="L2969" s="4" t="s">
        <v>25</v>
      </c>
      <c r="M2969" s="11">
        <f>_xlfn.NUMBERVALUE(LEFT(Table613612[[#This Row],[Fiscal Year]], 4))</f>
        <v>2017</v>
      </c>
      <c r="N2969" s="42">
        <f t="shared" si="48"/>
        <v>130108.93468788252</v>
      </c>
      <c r="O2969" s="3">
        <v>2967</v>
      </c>
    </row>
    <row r="2970" spans="1:15" x14ac:dyDescent="0.25">
      <c r="A2970" s="3">
        <v>9</v>
      </c>
      <c r="B2970" s="3" t="s">
        <v>304</v>
      </c>
      <c r="C2970" s="3" t="s">
        <v>21</v>
      </c>
      <c r="D2970" s="3" t="s">
        <v>21</v>
      </c>
      <c r="E2970" s="11" t="s">
        <v>144</v>
      </c>
      <c r="F2970" s="3" t="s">
        <v>8</v>
      </c>
      <c r="G2970" s="48" t="s">
        <v>1270</v>
      </c>
      <c r="H2970" s="8"/>
      <c r="I2970" s="8"/>
      <c r="J2970" s="6" t="s">
        <v>110</v>
      </c>
      <c r="K2970" s="38">
        <v>651453</v>
      </c>
      <c r="L2970" s="4" t="s">
        <v>25</v>
      </c>
      <c r="M2970" s="11">
        <f>_xlfn.NUMBERVALUE(LEFT(Table613612[[#This Row],[Fiscal Year]], 4))</f>
        <v>2017</v>
      </c>
      <c r="N2970" s="42">
        <f t="shared" si="48"/>
        <v>668811.79046511638</v>
      </c>
      <c r="O2970" s="3">
        <v>2968</v>
      </c>
    </row>
    <row r="2971" spans="1:15" x14ac:dyDescent="0.25">
      <c r="A2971" s="3">
        <v>9</v>
      </c>
      <c r="B2971" s="3" t="s">
        <v>304</v>
      </c>
      <c r="C2971" s="3" t="s">
        <v>21</v>
      </c>
      <c r="D2971" s="3" t="s">
        <v>21</v>
      </c>
      <c r="E2971" s="11" t="s">
        <v>144</v>
      </c>
      <c r="F2971" s="3" t="s">
        <v>8</v>
      </c>
      <c r="G2971" s="48" t="s">
        <v>1271</v>
      </c>
      <c r="H2971" s="8" t="s">
        <v>669</v>
      </c>
      <c r="I2971" s="8" t="s">
        <v>670</v>
      </c>
      <c r="J2971" s="6" t="s">
        <v>455</v>
      </c>
      <c r="K2971" s="38">
        <v>60138</v>
      </c>
      <c r="L2971" s="4" t="s">
        <v>25</v>
      </c>
      <c r="M2971" s="11">
        <f>_xlfn.NUMBERVALUE(LEFT(Table613612[[#This Row],[Fiscal Year]], 4))</f>
        <v>2017</v>
      </c>
      <c r="N2971" s="42">
        <f t="shared" si="48"/>
        <v>61740.453194614449</v>
      </c>
      <c r="O2971" s="3">
        <v>2969</v>
      </c>
    </row>
    <row r="2972" spans="1:15" x14ac:dyDescent="0.25">
      <c r="E2972" s="11"/>
      <c r="G2972" s="66"/>
      <c r="H2972" s="6"/>
      <c r="I2972" s="8"/>
      <c r="J2972" s="6"/>
      <c r="L2972" s="4"/>
      <c r="O2972" s="3">
        <v>2970</v>
      </c>
    </row>
    <row r="2973" spans="1:15" x14ac:dyDescent="0.25">
      <c r="E2973" s="11"/>
      <c r="G2973" s="66"/>
      <c r="H2973" s="6"/>
      <c r="I2973" s="8"/>
      <c r="J2973" s="6"/>
      <c r="L2973" s="4"/>
      <c r="O2973" s="3">
        <v>2971</v>
      </c>
    </row>
    <row r="2974" spans="1:15" x14ac:dyDescent="0.25">
      <c r="E2974" s="11"/>
      <c r="G2974" s="66"/>
      <c r="H2974" s="8"/>
      <c r="I2974" s="8"/>
      <c r="J2974" s="6"/>
      <c r="L2974" s="4"/>
      <c r="O2974" s="3">
        <v>2972</v>
      </c>
    </row>
    <row r="2975" spans="1:15" x14ac:dyDescent="0.25">
      <c r="A2975" s="3">
        <v>9</v>
      </c>
      <c r="B2975" s="3" t="s">
        <v>305</v>
      </c>
      <c r="C2975" s="3" t="s">
        <v>21</v>
      </c>
      <c r="D2975" s="3" t="s">
        <v>21</v>
      </c>
      <c r="E2975" s="11" t="s">
        <v>144</v>
      </c>
      <c r="F2975" s="3" t="s">
        <v>8</v>
      </c>
      <c r="G2975" s="48" t="s">
        <v>333</v>
      </c>
      <c r="H2975" s="8"/>
      <c r="I2975" s="8"/>
      <c r="J2975" s="6" t="s">
        <v>110</v>
      </c>
      <c r="K2975" s="38">
        <v>308360</v>
      </c>
      <c r="L2975" s="4" t="s">
        <v>25</v>
      </c>
      <c r="M2975" s="11">
        <f>_xlfn.NUMBERVALUE(LEFT(Table613612[[#This Row],[Fiscal Year]], 4))</f>
        <v>2017</v>
      </c>
      <c r="N2975" s="42">
        <f t="shared" si="48"/>
        <v>316576.64283965732</v>
      </c>
      <c r="O2975" s="3">
        <v>2973</v>
      </c>
    </row>
    <row r="2976" spans="1:15" x14ac:dyDescent="0.25">
      <c r="A2976" s="3">
        <v>9</v>
      </c>
      <c r="B2976" s="3" t="s">
        <v>305</v>
      </c>
      <c r="C2976" s="3" t="s">
        <v>21</v>
      </c>
      <c r="D2976" s="3" t="s">
        <v>21</v>
      </c>
      <c r="E2976" s="11" t="s">
        <v>144</v>
      </c>
      <c r="F2976" s="3" t="s">
        <v>8</v>
      </c>
      <c r="G2976" s="66" t="s">
        <v>209</v>
      </c>
      <c r="H2976" s="8"/>
      <c r="I2976" s="8"/>
      <c r="J2976" s="6" t="s">
        <v>111</v>
      </c>
      <c r="K2976" s="38">
        <v>318419</v>
      </c>
      <c r="L2976" s="4" t="s">
        <v>25</v>
      </c>
      <c r="M2976" s="11">
        <f>_xlfn.NUMBERVALUE(LEFT(Table613612[[#This Row],[Fiscal Year]], 4))</f>
        <v>2017</v>
      </c>
      <c r="N2976" s="42">
        <f t="shared" si="48"/>
        <v>326903.67763769894</v>
      </c>
      <c r="O2976" s="3">
        <v>2974</v>
      </c>
    </row>
    <row r="2977" spans="1:15" x14ac:dyDescent="0.25">
      <c r="A2977" s="3">
        <v>9</v>
      </c>
      <c r="B2977" s="3" t="s">
        <v>305</v>
      </c>
      <c r="C2977" s="3" t="s">
        <v>21</v>
      </c>
      <c r="D2977" s="3" t="s">
        <v>21</v>
      </c>
      <c r="E2977" s="11" t="s">
        <v>144</v>
      </c>
      <c r="F2977" s="3" t="s">
        <v>8</v>
      </c>
      <c r="G2977" s="66" t="s">
        <v>70</v>
      </c>
      <c r="H2977" s="8"/>
      <c r="I2977" s="8"/>
      <c r="J2977" s="6" t="s">
        <v>107</v>
      </c>
      <c r="K2977" s="38">
        <v>397176</v>
      </c>
      <c r="L2977" s="4" t="s">
        <v>25</v>
      </c>
      <c r="M2977" s="11">
        <f>_xlfn.NUMBERVALUE(LEFT(Table613612[[#This Row],[Fiscal Year]], 4))</f>
        <v>2017</v>
      </c>
      <c r="N2977" s="42">
        <f t="shared" si="48"/>
        <v>407759.25767441868</v>
      </c>
      <c r="O2977" s="3">
        <v>2975</v>
      </c>
    </row>
    <row r="2978" spans="1:15" x14ac:dyDescent="0.25">
      <c r="A2978" s="3">
        <v>9</v>
      </c>
      <c r="B2978" s="3" t="s">
        <v>305</v>
      </c>
      <c r="C2978" s="3" t="s">
        <v>21</v>
      </c>
      <c r="D2978" s="3" t="s">
        <v>21</v>
      </c>
      <c r="E2978" s="11" t="s">
        <v>144</v>
      </c>
      <c r="F2978" s="3" t="s">
        <v>8</v>
      </c>
      <c r="G2978" s="48" t="s">
        <v>337</v>
      </c>
      <c r="H2978" s="8" t="s">
        <v>676</v>
      </c>
      <c r="I2978" s="8" t="s">
        <v>675</v>
      </c>
      <c r="J2978" s="6" t="s">
        <v>108</v>
      </c>
      <c r="K2978" s="38">
        <v>2269179</v>
      </c>
      <c r="L2978" s="4" t="s">
        <v>25</v>
      </c>
      <c r="M2978" s="11">
        <f>_xlfn.NUMBERVALUE(LEFT(Table613612[[#This Row],[Fiscal Year]], 4))</f>
        <v>2017</v>
      </c>
      <c r="N2978" s="42">
        <f t="shared" si="48"/>
        <v>2329644.1491187275</v>
      </c>
      <c r="O2978" s="3">
        <v>2976</v>
      </c>
    </row>
    <row r="2979" spans="1:15" x14ac:dyDescent="0.25">
      <c r="A2979" s="3">
        <v>9</v>
      </c>
      <c r="B2979" s="3" t="s">
        <v>305</v>
      </c>
      <c r="C2979" s="3" t="s">
        <v>21</v>
      </c>
      <c r="D2979" s="3" t="s">
        <v>21</v>
      </c>
      <c r="E2979" s="11" t="s">
        <v>144</v>
      </c>
      <c r="F2979" s="3" t="s">
        <v>8</v>
      </c>
      <c r="G2979" s="66" t="s">
        <v>208</v>
      </c>
      <c r="H2979" s="8"/>
      <c r="I2979" s="8"/>
      <c r="J2979" s="6" t="s">
        <v>109</v>
      </c>
      <c r="K2979" s="38">
        <v>356304</v>
      </c>
      <c r="L2979" s="4" t="s">
        <v>25</v>
      </c>
      <c r="M2979" s="11">
        <f>_xlfn.NUMBERVALUE(LEFT(Table613612[[#This Row],[Fiscal Year]], 4))</f>
        <v>2017</v>
      </c>
      <c r="N2979" s="42">
        <f t="shared" si="48"/>
        <v>365798.17145654839</v>
      </c>
      <c r="O2979" s="3">
        <v>2977</v>
      </c>
    </row>
    <row r="2980" spans="1:15" x14ac:dyDescent="0.25">
      <c r="A2980" s="3">
        <v>9</v>
      </c>
      <c r="B2980" s="3" t="s">
        <v>305</v>
      </c>
      <c r="C2980" s="3" t="s">
        <v>21</v>
      </c>
      <c r="D2980" s="3" t="s">
        <v>21</v>
      </c>
      <c r="E2980" s="11" t="s">
        <v>144</v>
      </c>
      <c r="F2980" s="3" t="s">
        <v>8</v>
      </c>
      <c r="G2980" s="66" t="s">
        <v>335</v>
      </c>
      <c r="H2980" s="8"/>
      <c r="I2980" s="8"/>
      <c r="J2980" s="6" t="s">
        <v>453</v>
      </c>
      <c r="K2980" s="38">
        <v>93023</v>
      </c>
      <c r="L2980" s="4" t="s">
        <v>25</v>
      </c>
      <c r="M2980" s="11">
        <f>_xlfn.NUMBERVALUE(LEFT(Table613612[[#This Row],[Fiscal Year]], 4))</f>
        <v>2017</v>
      </c>
      <c r="N2980" s="42">
        <f t="shared" si="48"/>
        <v>95501.715679314584</v>
      </c>
      <c r="O2980" s="3">
        <v>2978</v>
      </c>
    </row>
    <row r="2981" spans="1:15" x14ac:dyDescent="0.25">
      <c r="A2981" s="3">
        <v>9</v>
      </c>
      <c r="B2981" s="3" t="s">
        <v>305</v>
      </c>
      <c r="C2981" s="3" t="s">
        <v>21</v>
      </c>
      <c r="D2981" s="3" t="s">
        <v>21</v>
      </c>
      <c r="E2981" s="11" t="s">
        <v>144</v>
      </c>
      <c r="F2981" s="3" t="s">
        <v>8</v>
      </c>
      <c r="G2981" s="66" t="s">
        <v>338</v>
      </c>
      <c r="H2981" s="8"/>
      <c r="I2981" s="8"/>
      <c r="J2981" s="6" t="s">
        <v>106</v>
      </c>
      <c r="K2981" s="38">
        <v>92892</v>
      </c>
      <c r="L2981" s="4" t="s">
        <v>25</v>
      </c>
      <c r="M2981" s="11">
        <f>_xlfn.NUMBERVALUE(LEFT(Table613612[[#This Row],[Fiscal Year]], 4))</f>
        <v>2017</v>
      </c>
      <c r="N2981" s="42">
        <f t="shared" si="48"/>
        <v>95367.225018359866</v>
      </c>
      <c r="O2981" s="3">
        <v>2979</v>
      </c>
    </row>
    <row r="2982" spans="1:15" x14ac:dyDescent="0.25">
      <c r="A2982" s="3">
        <v>9</v>
      </c>
      <c r="B2982" s="3" t="s">
        <v>305</v>
      </c>
      <c r="C2982" s="3" t="s">
        <v>21</v>
      </c>
      <c r="D2982" s="3" t="s">
        <v>21</v>
      </c>
      <c r="E2982" s="11" t="s">
        <v>144</v>
      </c>
      <c r="F2982" s="3" t="s">
        <v>8</v>
      </c>
      <c r="G2982" s="48" t="s">
        <v>341</v>
      </c>
      <c r="H2982" s="6" t="s">
        <v>674</v>
      </c>
      <c r="I2982" s="70" t="s">
        <v>673</v>
      </c>
      <c r="J2982" s="6" t="s">
        <v>455</v>
      </c>
      <c r="K2982" s="38">
        <v>85368</v>
      </c>
      <c r="L2982" s="4" t="s">
        <v>25</v>
      </c>
      <c r="M2982" s="11">
        <f>_xlfn.NUMBERVALUE(LEFT(Table613612[[#This Row],[Fiscal Year]], 4))</f>
        <v>2017</v>
      </c>
      <c r="N2982" s="42">
        <f t="shared" si="48"/>
        <v>87642.738506731956</v>
      </c>
      <c r="O2982" s="3">
        <v>2980</v>
      </c>
    </row>
    <row r="2983" spans="1:15" x14ac:dyDescent="0.25">
      <c r="A2983" s="3">
        <v>9</v>
      </c>
      <c r="B2983" s="3" t="s">
        <v>305</v>
      </c>
      <c r="C2983" s="3" t="s">
        <v>21</v>
      </c>
      <c r="D2983" s="3" t="s">
        <v>21</v>
      </c>
      <c r="E2983" s="11" t="s">
        <v>144</v>
      </c>
      <c r="F2983" s="3" t="s">
        <v>8</v>
      </c>
      <c r="G2983" s="66" t="s">
        <v>357</v>
      </c>
      <c r="H2983" s="8"/>
      <c r="I2983" s="8"/>
      <c r="J2983" s="6" t="s">
        <v>605</v>
      </c>
      <c r="K2983" s="38">
        <v>187409</v>
      </c>
      <c r="L2983" s="4" t="s">
        <v>25</v>
      </c>
      <c r="M2983" s="11">
        <f>_xlfn.NUMBERVALUE(LEFT(Table613612[[#This Row],[Fiscal Year]], 4))</f>
        <v>2017</v>
      </c>
      <c r="N2983" s="42">
        <f t="shared" si="48"/>
        <v>192402.75022031827</v>
      </c>
      <c r="O2983" s="3">
        <v>2981</v>
      </c>
    </row>
    <row r="2984" spans="1:15" x14ac:dyDescent="0.25">
      <c r="A2984" s="3">
        <v>9</v>
      </c>
      <c r="B2984" s="3" t="s">
        <v>305</v>
      </c>
      <c r="C2984" s="3" t="s">
        <v>21</v>
      </c>
      <c r="D2984" s="3" t="s">
        <v>21</v>
      </c>
      <c r="E2984" s="11" t="s">
        <v>144</v>
      </c>
      <c r="F2984" s="3" t="s">
        <v>8</v>
      </c>
      <c r="G2984" s="66" t="s">
        <v>358</v>
      </c>
      <c r="H2984" s="8"/>
      <c r="I2984" s="8"/>
      <c r="J2984" s="6" t="s">
        <v>455</v>
      </c>
      <c r="K2984" s="38">
        <v>23168</v>
      </c>
      <c r="L2984" s="4" t="s">
        <v>25</v>
      </c>
      <c r="M2984" s="11">
        <f>_xlfn.NUMBERVALUE(LEFT(Table613612[[#This Row],[Fiscal Year]], 4))</f>
        <v>2017</v>
      </c>
      <c r="N2984" s="42">
        <f t="shared" si="48"/>
        <v>23785.340709914322</v>
      </c>
      <c r="O2984" s="3">
        <v>2982</v>
      </c>
    </row>
    <row r="2985" spans="1:15" x14ac:dyDescent="0.25">
      <c r="A2985" s="3">
        <v>9</v>
      </c>
      <c r="B2985" s="3" t="s">
        <v>305</v>
      </c>
      <c r="C2985" s="3" t="s">
        <v>21</v>
      </c>
      <c r="D2985" s="3" t="s">
        <v>21</v>
      </c>
      <c r="E2985" s="11" t="s">
        <v>144</v>
      </c>
      <c r="F2985" s="3" t="s">
        <v>8</v>
      </c>
      <c r="G2985" s="48" t="s">
        <v>359</v>
      </c>
      <c r="H2985" s="8" t="s">
        <v>672</v>
      </c>
      <c r="I2985" s="8" t="s">
        <v>671</v>
      </c>
      <c r="J2985" s="6" t="s">
        <v>455</v>
      </c>
      <c r="K2985" s="38">
        <v>83472</v>
      </c>
      <c r="L2985" s="4" t="s">
        <v>25</v>
      </c>
      <c r="M2985" s="11">
        <f>_xlfn.NUMBERVALUE(LEFT(Table613612[[#This Row],[Fiscal Year]], 4))</f>
        <v>2017</v>
      </c>
      <c r="N2985" s="42">
        <f t="shared" si="48"/>
        <v>85696.217184822526</v>
      </c>
      <c r="O2985" s="3">
        <v>2983</v>
      </c>
    </row>
    <row r="2986" spans="1:15" x14ac:dyDescent="0.25">
      <c r="E2986" s="11"/>
      <c r="G2986" s="66"/>
      <c r="H2986" s="8"/>
      <c r="I2986" s="8"/>
      <c r="J2986" s="6"/>
      <c r="L2986" s="4"/>
      <c r="O2986" s="3">
        <v>2984</v>
      </c>
    </row>
    <row r="2987" spans="1:15" x14ac:dyDescent="0.25">
      <c r="A2987" s="3">
        <v>9</v>
      </c>
      <c r="B2987" s="3" t="s">
        <v>306</v>
      </c>
      <c r="C2987" s="3" t="s">
        <v>21</v>
      </c>
      <c r="D2987" s="3" t="s">
        <v>21</v>
      </c>
      <c r="E2987" s="11" t="s">
        <v>144</v>
      </c>
      <c r="F2987" s="3" t="s">
        <v>8</v>
      </c>
      <c r="G2987" s="48" t="s">
        <v>1140</v>
      </c>
      <c r="H2987" s="8"/>
      <c r="I2987" s="8"/>
      <c r="J2987" s="6" t="s">
        <v>110</v>
      </c>
      <c r="K2987" s="38">
        <v>59470</v>
      </c>
      <c r="L2987" s="4" t="s">
        <v>25</v>
      </c>
      <c r="M2987" s="11">
        <f>_xlfn.NUMBERVALUE(LEFT(Table613612[[#This Row],[Fiscal Year]], 4))</f>
        <v>2017</v>
      </c>
      <c r="N2987" s="42">
        <f t="shared" si="48"/>
        <v>61054.653488372103</v>
      </c>
      <c r="O2987" s="3">
        <v>2985</v>
      </c>
    </row>
    <row r="2988" spans="1:15" x14ac:dyDescent="0.25">
      <c r="A2988" s="3">
        <v>9</v>
      </c>
      <c r="B2988" s="3" t="s">
        <v>306</v>
      </c>
      <c r="C2988" s="3" t="s">
        <v>21</v>
      </c>
      <c r="D2988" s="3" t="s">
        <v>21</v>
      </c>
      <c r="E2988" s="11" t="s">
        <v>144</v>
      </c>
      <c r="F2988" s="3" t="s">
        <v>8</v>
      </c>
      <c r="G2988" s="66" t="s">
        <v>1272</v>
      </c>
      <c r="H2988" s="8"/>
      <c r="I2988" s="8"/>
      <c r="J2988" s="6" t="s">
        <v>111</v>
      </c>
      <c r="K2988" s="38">
        <v>24675</v>
      </c>
      <c r="L2988" s="4" t="s">
        <v>25</v>
      </c>
      <c r="M2988" s="11">
        <f>_xlfn.NUMBERVALUE(LEFT(Table613612[[#This Row],[Fiscal Year]], 4))</f>
        <v>2017</v>
      </c>
      <c r="N2988" s="42">
        <f t="shared" si="48"/>
        <v>25332.496634026931</v>
      </c>
      <c r="O2988" s="3">
        <v>2986</v>
      </c>
    </row>
    <row r="2989" spans="1:15" x14ac:dyDescent="0.25">
      <c r="A2989" s="3">
        <v>9</v>
      </c>
      <c r="B2989" s="3" t="s">
        <v>306</v>
      </c>
      <c r="C2989" s="3" t="s">
        <v>21</v>
      </c>
      <c r="D2989" s="3" t="s">
        <v>21</v>
      </c>
      <c r="E2989" s="11" t="s">
        <v>144</v>
      </c>
      <c r="F2989" s="3" t="s">
        <v>8</v>
      </c>
      <c r="G2989" s="66" t="s">
        <v>1273</v>
      </c>
      <c r="H2989" s="8"/>
      <c r="I2989" s="8"/>
      <c r="J2989" s="6" t="s">
        <v>107</v>
      </c>
      <c r="K2989" s="38">
        <v>27475</v>
      </c>
      <c r="L2989" s="4" t="s">
        <v>25</v>
      </c>
      <c r="M2989" s="11">
        <f>_xlfn.NUMBERVALUE(LEFT(Table613612[[#This Row],[Fiscal Year]], 4))</f>
        <v>2017</v>
      </c>
      <c r="N2989" s="42">
        <f t="shared" si="48"/>
        <v>28207.106181150553</v>
      </c>
      <c r="O2989" s="3">
        <v>2987</v>
      </c>
    </row>
    <row r="2990" spans="1:15" x14ac:dyDescent="0.25">
      <c r="A2990" s="3">
        <v>9</v>
      </c>
      <c r="B2990" s="3" t="s">
        <v>306</v>
      </c>
      <c r="C2990" s="3" t="s">
        <v>21</v>
      </c>
      <c r="D2990" s="3" t="s">
        <v>21</v>
      </c>
      <c r="E2990" s="11" t="s">
        <v>144</v>
      </c>
      <c r="F2990" s="3" t="s">
        <v>8</v>
      </c>
      <c r="G2990" s="48" t="s">
        <v>1274</v>
      </c>
      <c r="H2990" s="8" t="s">
        <v>665</v>
      </c>
      <c r="I2990" s="70" t="s">
        <v>664</v>
      </c>
      <c r="J2990" s="6" t="s">
        <v>108</v>
      </c>
      <c r="K2990" s="38">
        <v>153215</v>
      </c>
      <c r="L2990" s="4" t="s">
        <v>25</v>
      </c>
      <c r="M2990" s="11">
        <f>_xlfn.NUMBERVALUE(LEFT(Table613612[[#This Row],[Fiscal Year]], 4))</f>
        <v>2017</v>
      </c>
      <c r="N2990" s="42">
        <f t="shared" si="48"/>
        <v>157297.60777233783</v>
      </c>
      <c r="O2990" s="3">
        <v>2988</v>
      </c>
    </row>
    <row r="2991" spans="1:15" x14ac:dyDescent="0.25">
      <c r="A2991" s="3">
        <v>9</v>
      </c>
      <c r="B2991" s="3" t="s">
        <v>306</v>
      </c>
      <c r="C2991" s="3" t="s">
        <v>21</v>
      </c>
      <c r="D2991" s="3" t="s">
        <v>21</v>
      </c>
      <c r="E2991" s="11" t="s">
        <v>144</v>
      </c>
      <c r="F2991" s="3" t="s">
        <v>8</v>
      </c>
      <c r="G2991" s="66" t="s">
        <v>1145</v>
      </c>
      <c r="H2991" s="8"/>
      <c r="I2991" s="8"/>
      <c r="J2991" s="6" t="s">
        <v>109</v>
      </c>
      <c r="K2991" s="38">
        <v>13080</v>
      </c>
      <c r="L2991" s="4" t="s">
        <v>25</v>
      </c>
      <c r="M2991" s="11">
        <f>_xlfn.NUMBERVALUE(LEFT(Table613612[[#This Row],[Fiscal Year]], 4))</f>
        <v>2017</v>
      </c>
      <c r="N2991" s="42">
        <f t="shared" si="48"/>
        <v>13428.53317013464</v>
      </c>
      <c r="O2991" s="3">
        <v>2989</v>
      </c>
    </row>
    <row r="2992" spans="1:15" x14ac:dyDescent="0.25">
      <c r="A2992" s="3">
        <v>9</v>
      </c>
      <c r="B2992" s="3" t="s">
        <v>306</v>
      </c>
      <c r="C2992" s="3" t="s">
        <v>21</v>
      </c>
      <c r="D2992" s="3" t="s">
        <v>21</v>
      </c>
      <c r="E2992" s="11" t="s">
        <v>144</v>
      </c>
      <c r="F2992" s="3" t="s">
        <v>8</v>
      </c>
      <c r="G2992" s="66" t="s">
        <v>1146</v>
      </c>
      <c r="H2992" s="8"/>
      <c r="I2992" s="8"/>
      <c r="J2992" s="6" t="s">
        <v>453</v>
      </c>
      <c r="K2992" s="38">
        <v>27080</v>
      </c>
      <c r="L2992" s="4" t="s">
        <v>25</v>
      </c>
      <c r="M2992" s="11">
        <f>_xlfn.NUMBERVALUE(LEFT(Table613612[[#This Row],[Fiscal Year]], 4))</f>
        <v>2017</v>
      </c>
      <c r="N2992" s="42">
        <f t="shared" si="48"/>
        <v>27801.580905752759</v>
      </c>
      <c r="O2992" s="3">
        <v>2990</v>
      </c>
    </row>
    <row r="2993" spans="1:15" x14ac:dyDescent="0.25">
      <c r="A2993" s="3">
        <v>9</v>
      </c>
      <c r="B2993" s="3" t="s">
        <v>306</v>
      </c>
      <c r="C2993" s="3" t="s">
        <v>21</v>
      </c>
      <c r="D2993" s="3" t="s">
        <v>21</v>
      </c>
      <c r="E2993" s="11" t="s">
        <v>144</v>
      </c>
      <c r="F2993" s="3" t="s">
        <v>8</v>
      </c>
      <c r="G2993" s="66" t="s">
        <v>1275</v>
      </c>
      <c r="H2993" s="8" t="s">
        <v>677</v>
      </c>
      <c r="I2993" s="8" t="s">
        <v>678</v>
      </c>
      <c r="J2993" s="6" t="s">
        <v>106</v>
      </c>
      <c r="K2993" s="38">
        <v>57745</v>
      </c>
      <c r="L2993" s="4" t="s">
        <v>25</v>
      </c>
      <c r="M2993" s="11">
        <f>_xlfn.NUMBERVALUE(LEFT(Table613612[[#This Row],[Fiscal Year]], 4))</f>
        <v>2017</v>
      </c>
      <c r="N2993" s="42">
        <f t="shared" si="48"/>
        <v>59283.688678090584</v>
      </c>
      <c r="O2993" s="3">
        <v>2991</v>
      </c>
    </row>
    <row r="2994" spans="1:15" x14ac:dyDescent="0.25">
      <c r="A2994" s="3">
        <v>9</v>
      </c>
      <c r="B2994" s="3" t="s">
        <v>306</v>
      </c>
      <c r="C2994" s="3" t="s">
        <v>21</v>
      </c>
      <c r="D2994" s="3" t="s">
        <v>21</v>
      </c>
      <c r="E2994" s="11" t="s">
        <v>144</v>
      </c>
      <c r="F2994" s="3" t="s">
        <v>8</v>
      </c>
      <c r="G2994" s="66" t="s">
        <v>1276</v>
      </c>
      <c r="H2994" s="8"/>
      <c r="I2994" s="8"/>
      <c r="J2994" s="6" t="s">
        <v>605</v>
      </c>
      <c r="K2994" s="38">
        <v>31580</v>
      </c>
      <c r="L2994" s="4" t="s">
        <v>25</v>
      </c>
      <c r="M2994" s="11">
        <f>_xlfn.NUMBERVALUE(LEFT(Table613612[[#This Row],[Fiscal Year]], 4))</f>
        <v>2017</v>
      </c>
      <c r="N2994" s="42">
        <f t="shared" si="48"/>
        <v>32421.489106487152</v>
      </c>
      <c r="O2994" s="3">
        <v>2992</v>
      </c>
    </row>
    <row r="2995" spans="1:15" x14ac:dyDescent="0.25">
      <c r="A2995" s="3">
        <v>9</v>
      </c>
      <c r="B2995" s="3" t="s">
        <v>306</v>
      </c>
      <c r="C2995" s="3" t="s">
        <v>21</v>
      </c>
      <c r="D2995" s="3" t="s">
        <v>21</v>
      </c>
      <c r="E2995" s="11" t="s">
        <v>144</v>
      </c>
      <c r="F2995" s="3" t="s">
        <v>8</v>
      </c>
      <c r="G2995" s="48" t="s">
        <v>1277</v>
      </c>
      <c r="H2995" s="8"/>
      <c r="I2995" s="8"/>
      <c r="J2995" s="6" t="s">
        <v>605</v>
      </c>
      <c r="K2995" s="38">
        <v>52580</v>
      </c>
      <c r="L2995" s="4" t="s">
        <v>25</v>
      </c>
      <c r="M2995" s="11">
        <f>_xlfn.NUMBERVALUE(LEFT(Table613612[[#This Row],[Fiscal Year]], 4))</f>
        <v>2017</v>
      </c>
      <c r="N2995" s="42">
        <f t="shared" si="48"/>
        <v>53981.060709914324</v>
      </c>
      <c r="O2995" s="3">
        <v>2993</v>
      </c>
    </row>
    <row r="2996" spans="1:15" x14ac:dyDescent="0.25">
      <c r="A2996" s="3">
        <v>9</v>
      </c>
      <c r="B2996" s="3" t="s">
        <v>306</v>
      </c>
      <c r="C2996" s="3" t="s">
        <v>21</v>
      </c>
      <c r="D2996" s="3" t="s">
        <v>21</v>
      </c>
      <c r="E2996" s="11" t="s">
        <v>144</v>
      </c>
      <c r="F2996" s="3" t="s">
        <v>8</v>
      </c>
      <c r="G2996" s="48" t="s">
        <v>1278</v>
      </c>
      <c r="H2996" s="8"/>
      <c r="I2996" s="8"/>
      <c r="J2996" s="6" t="s">
        <v>455</v>
      </c>
      <c r="K2996" s="38">
        <v>31680</v>
      </c>
      <c r="L2996" s="4" t="s">
        <v>25</v>
      </c>
      <c r="M2996" s="11">
        <f>_xlfn.NUMBERVALUE(LEFT(Table613612[[#This Row],[Fiscal Year]], 4))</f>
        <v>2017</v>
      </c>
      <c r="N2996" s="42">
        <f t="shared" si="48"/>
        <v>32524.15373317014</v>
      </c>
      <c r="O2996" s="3">
        <v>2994</v>
      </c>
    </row>
    <row r="2997" spans="1:15" x14ac:dyDescent="0.25">
      <c r="E2997" s="11"/>
      <c r="G2997" s="66"/>
      <c r="H2997" s="8"/>
      <c r="I2997" s="8"/>
      <c r="J2997" s="6"/>
      <c r="L2997" s="4"/>
      <c r="O2997" s="3">
        <v>2995</v>
      </c>
    </row>
    <row r="2998" spans="1:15" x14ac:dyDescent="0.25">
      <c r="A2998" s="3">
        <v>9</v>
      </c>
      <c r="B2998" s="3" t="s">
        <v>307</v>
      </c>
      <c r="C2998" s="3" t="s">
        <v>21</v>
      </c>
      <c r="D2998" s="3" t="s">
        <v>21</v>
      </c>
      <c r="E2998" s="11" t="s">
        <v>144</v>
      </c>
      <c r="F2998" s="3" t="s">
        <v>8</v>
      </c>
      <c r="G2998" s="48" t="s">
        <v>1140</v>
      </c>
      <c r="H2998" s="8"/>
      <c r="I2998" s="8"/>
      <c r="J2998" s="6" t="s">
        <v>110</v>
      </c>
      <c r="K2998" s="38">
        <v>507867</v>
      </c>
      <c r="L2998" s="4" t="s">
        <v>25</v>
      </c>
      <c r="M2998" s="11">
        <f>_xlfn.NUMBERVALUE(LEFT(Table613612[[#This Row],[Fiscal Year]], 4))</f>
        <v>2017</v>
      </c>
      <c r="N2998" s="42">
        <f t="shared" si="48"/>
        <v>521399.75959608331</v>
      </c>
      <c r="O2998" s="3">
        <v>2996</v>
      </c>
    </row>
    <row r="2999" spans="1:15" x14ac:dyDescent="0.25">
      <c r="A2999" s="3">
        <v>9</v>
      </c>
      <c r="B2999" s="3" t="s">
        <v>307</v>
      </c>
      <c r="C2999" s="3" t="s">
        <v>21</v>
      </c>
      <c r="D2999" s="3" t="s">
        <v>21</v>
      </c>
      <c r="E2999" s="11" t="s">
        <v>144</v>
      </c>
      <c r="F2999" s="3" t="s">
        <v>8</v>
      </c>
      <c r="G2999" s="66" t="s">
        <v>1272</v>
      </c>
      <c r="H2999" s="8"/>
      <c r="I2999" s="8"/>
      <c r="J2999" s="6" t="s">
        <v>111</v>
      </c>
      <c r="K2999" s="38">
        <v>664601</v>
      </c>
      <c r="L2999" s="4" t="s">
        <v>25</v>
      </c>
      <c r="M2999" s="11">
        <f>_xlfn.NUMBERVALUE(LEFT(Table613612[[#This Row],[Fiscal Year]], 4))</f>
        <v>2017</v>
      </c>
      <c r="N2999" s="42">
        <f t="shared" si="48"/>
        <v>682310.13558139547</v>
      </c>
      <c r="O2999" s="3">
        <v>2997</v>
      </c>
    </row>
    <row r="3000" spans="1:15" x14ac:dyDescent="0.25">
      <c r="A3000" s="3">
        <v>9</v>
      </c>
      <c r="B3000" s="3" t="s">
        <v>307</v>
      </c>
      <c r="C3000" s="3" t="s">
        <v>21</v>
      </c>
      <c r="D3000" s="3" t="s">
        <v>21</v>
      </c>
      <c r="E3000" s="11" t="s">
        <v>144</v>
      </c>
      <c r="F3000" s="3" t="s">
        <v>8</v>
      </c>
      <c r="G3000" s="66" t="s">
        <v>1273</v>
      </c>
      <c r="H3000" s="8"/>
      <c r="I3000" s="8"/>
      <c r="J3000" s="6" t="s">
        <v>107</v>
      </c>
      <c r="K3000" s="38">
        <v>1373995</v>
      </c>
      <c r="L3000" s="4" t="s">
        <v>25</v>
      </c>
      <c r="M3000" s="11">
        <f>_xlfn.NUMBERVALUE(LEFT(Table613612[[#This Row],[Fiscal Year]], 4))</f>
        <v>2017</v>
      </c>
      <c r="N3000" s="42">
        <f t="shared" si="48"/>
        <v>1410606.8373929011</v>
      </c>
      <c r="O3000" s="3">
        <v>2998</v>
      </c>
    </row>
    <row r="3001" spans="1:15" x14ac:dyDescent="0.25">
      <c r="A3001" s="3">
        <v>9</v>
      </c>
      <c r="B3001" s="3" t="s">
        <v>307</v>
      </c>
      <c r="C3001" s="3" t="s">
        <v>21</v>
      </c>
      <c r="D3001" s="3" t="s">
        <v>21</v>
      </c>
      <c r="E3001" s="11" t="s">
        <v>144</v>
      </c>
      <c r="F3001" s="3" t="s">
        <v>8</v>
      </c>
      <c r="G3001" s="48" t="s">
        <v>1279</v>
      </c>
      <c r="H3001" s="8" t="s">
        <v>681</v>
      </c>
      <c r="I3001" s="70" t="s">
        <v>679</v>
      </c>
      <c r="J3001" s="6" t="s">
        <v>108</v>
      </c>
      <c r="K3001" s="38">
        <v>1304494</v>
      </c>
      <c r="L3001" s="4" t="s">
        <v>25</v>
      </c>
      <c r="M3001" s="11">
        <f>_xlfn.NUMBERVALUE(LEFT(Table613612[[#This Row],[Fiscal Year]], 4))</f>
        <v>2017</v>
      </c>
      <c r="N3001" s="42">
        <f t="shared" si="48"/>
        <v>1339253.8952019585</v>
      </c>
      <c r="O3001" s="3">
        <v>2999</v>
      </c>
    </row>
    <row r="3002" spans="1:15" x14ac:dyDescent="0.25">
      <c r="A3002" s="3">
        <v>9</v>
      </c>
      <c r="B3002" s="3" t="s">
        <v>307</v>
      </c>
      <c r="C3002" s="3" t="s">
        <v>21</v>
      </c>
      <c r="D3002" s="3" t="s">
        <v>21</v>
      </c>
      <c r="E3002" s="11" t="s">
        <v>144</v>
      </c>
      <c r="F3002" s="3" t="s">
        <v>8</v>
      </c>
      <c r="G3002" s="66" t="s">
        <v>1280</v>
      </c>
      <c r="H3002" s="8"/>
      <c r="I3002" s="8"/>
      <c r="J3002" s="6" t="s">
        <v>109</v>
      </c>
      <c r="K3002" s="38">
        <v>78724</v>
      </c>
      <c r="L3002" s="4" t="s">
        <v>25</v>
      </c>
      <c r="M3002" s="11">
        <f>_xlfn.NUMBERVALUE(LEFT(Table613612[[#This Row],[Fiscal Year]], 4))</f>
        <v>2017</v>
      </c>
      <c r="N3002" s="42">
        <f t="shared" si="48"/>
        <v>80821.700709914337</v>
      </c>
      <c r="O3002" s="3">
        <v>3000</v>
      </c>
    </row>
    <row r="3003" spans="1:15" x14ac:dyDescent="0.25">
      <c r="A3003" s="3">
        <v>9</v>
      </c>
      <c r="B3003" s="3" t="s">
        <v>307</v>
      </c>
      <c r="C3003" s="3" t="s">
        <v>21</v>
      </c>
      <c r="D3003" s="3" t="s">
        <v>21</v>
      </c>
      <c r="E3003" s="11" t="s">
        <v>144</v>
      </c>
      <c r="F3003" s="3" t="s">
        <v>8</v>
      </c>
      <c r="G3003" s="66" t="s">
        <v>1281</v>
      </c>
      <c r="H3003" s="8"/>
      <c r="I3003" s="8"/>
      <c r="J3003" s="6" t="s">
        <v>111</v>
      </c>
      <c r="K3003" s="38">
        <v>40520</v>
      </c>
      <c r="L3003" s="4" t="s">
        <v>25</v>
      </c>
      <c r="M3003" s="11">
        <f>_xlfn.NUMBERVALUE(LEFT(Table613612[[#This Row],[Fiscal Year]], 4))</f>
        <v>2017</v>
      </c>
      <c r="N3003" s="42">
        <f t="shared" si="48"/>
        <v>41599.706731946149</v>
      </c>
      <c r="O3003" s="3">
        <v>3001</v>
      </c>
    </row>
    <row r="3004" spans="1:15" x14ac:dyDescent="0.25">
      <c r="A3004" s="3">
        <v>9</v>
      </c>
      <c r="B3004" s="3" t="s">
        <v>307</v>
      </c>
      <c r="C3004" s="3" t="s">
        <v>21</v>
      </c>
      <c r="D3004" s="3" t="s">
        <v>21</v>
      </c>
      <c r="E3004" s="11" t="s">
        <v>144</v>
      </c>
      <c r="F3004" s="3" t="s">
        <v>8</v>
      </c>
      <c r="G3004" s="66" t="s">
        <v>1275</v>
      </c>
      <c r="H3004" s="8"/>
      <c r="I3004" s="8"/>
      <c r="J3004" s="6" t="s">
        <v>106</v>
      </c>
      <c r="K3004" s="38">
        <v>190481</v>
      </c>
      <c r="L3004" s="4" t="s">
        <v>25</v>
      </c>
      <c r="M3004" s="11">
        <f>_xlfn.NUMBERVALUE(LEFT(Table613612[[#This Row],[Fiscal Year]], 4))</f>
        <v>2017</v>
      </c>
      <c r="N3004" s="42">
        <f t="shared" si="48"/>
        <v>195556.60755201962</v>
      </c>
      <c r="O3004" s="3">
        <v>3002</v>
      </c>
    </row>
    <row r="3005" spans="1:15" x14ac:dyDescent="0.25">
      <c r="A3005" s="3">
        <v>9</v>
      </c>
      <c r="B3005" s="3" t="s">
        <v>307</v>
      </c>
      <c r="C3005" s="3" t="s">
        <v>21</v>
      </c>
      <c r="D3005" s="3" t="s">
        <v>21</v>
      </c>
      <c r="E3005" s="11" t="s">
        <v>144</v>
      </c>
      <c r="F3005" s="3" t="s">
        <v>8</v>
      </c>
      <c r="G3005" s="66" t="s">
        <v>1282</v>
      </c>
      <c r="H3005" s="8"/>
      <c r="I3005" s="8"/>
      <c r="J3005" s="6" t="s">
        <v>42</v>
      </c>
      <c r="K3005" s="38">
        <v>19646</v>
      </c>
      <c r="L3005" s="4" t="s">
        <v>25</v>
      </c>
      <c r="M3005" s="11">
        <f>_xlfn.NUMBERVALUE(LEFT(Table613612[[#This Row],[Fiscal Year]], 4))</f>
        <v>2017</v>
      </c>
      <c r="N3005" s="42">
        <f t="shared" si="48"/>
        <v>20169.492558139536</v>
      </c>
      <c r="O3005" s="3">
        <v>3003</v>
      </c>
    </row>
    <row r="3006" spans="1:15" x14ac:dyDescent="0.25">
      <c r="A3006" s="3">
        <v>9</v>
      </c>
      <c r="B3006" s="3" t="s">
        <v>307</v>
      </c>
      <c r="C3006" s="3" t="s">
        <v>21</v>
      </c>
      <c r="D3006" s="3" t="s">
        <v>21</v>
      </c>
      <c r="E3006" s="11" t="s">
        <v>144</v>
      </c>
      <c r="F3006" s="3" t="s">
        <v>8</v>
      </c>
      <c r="G3006" s="48" t="s">
        <v>1283</v>
      </c>
      <c r="H3006" s="8" t="s">
        <v>680</v>
      </c>
      <c r="I3006" s="70" t="s">
        <v>679</v>
      </c>
      <c r="J3006" s="6" t="s">
        <v>455</v>
      </c>
      <c r="K3006" s="38">
        <v>32267</v>
      </c>
      <c r="L3006" s="4" t="s">
        <v>25</v>
      </c>
      <c r="M3006" s="11">
        <f>_xlfn.NUMBERVALUE(LEFT(Table613612[[#This Row],[Fiscal Year]], 4))</f>
        <v>2017</v>
      </c>
      <c r="N3006" s="42">
        <f t="shared" si="48"/>
        <v>33126.795091799271</v>
      </c>
      <c r="O3006" s="3">
        <v>3004</v>
      </c>
    </row>
    <row r="3007" spans="1:15" x14ac:dyDescent="0.25">
      <c r="A3007" s="3">
        <v>9</v>
      </c>
      <c r="B3007" s="3" t="s">
        <v>307</v>
      </c>
      <c r="C3007" s="3" t="s">
        <v>21</v>
      </c>
      <c r="D3007" s="3" t="s">
        <v>21</v>
      </c>
      <c r="E3007" s="11" t="s">
        <v>144</v>
      </c>
      <c r="F3007" s="3" t="s">
        <v>8</v>
      </c>
      <c r="G3007" s="66" t="s">
        <v>1284</v>
      </c>
      <c r="H3007" s="8" t="s">
        <v>665</v>
      </c>
      <c r="I3007" s="70" t="s">
        <v>664</v>
      </c>
      <c r="J3007" s="6" t="s">
        <v>108</v>
      </c>
      <c r="K3007" s="38">
        <v>0</v>
      </c>
      <c r="L3007" s="4" t="s">
        <v>25</v>
      </c>
      <c r="M3007" s="11">
        <f>_xlfn.NUMBERVALUE(LEFT(Table613612[[#This Row],[Fiscal Year]], 4))</f>
        <v>2017</v>
      </c>
      <c r="N3007" s="42">
        <f t="shared" si="48"/>
        <v>0</v>
      </c>
      <c r="O3007" s="3">
        <v>3005</v>
      </c>
    </row>
    <row r="3008" spans="1:15" x14ac:dyDescent="0.25">
      <c r="A3008" s="3">
        <v>9</v>
      </c>
      <c r="B3008" s="3" t="s">
        <v>307</v>
      </c>
      <c r="C3008" s="3" t="s">
        <v>21</v>
      </c>
      <c r="D3008" s="3" t="s">
        <v>21</v>
      </c>
      <c r="E3008" s="11" t="s">
        <v>144</v>
      </c>
      <c r="F3008" s="3" t="s">
        <v>8</v>
      </c>
      <c r="G3008" s="66" t="s">
        <v>1285</v>
      </c>
      <c r="H3008" s="8"/>
      <c r="I3008" s="8"/>
      <c r="J3008" s="6" t="s">
        <v>455</v>
      </c>
      <c r="K3008" s="38">
        <v>59925</v>
      </c>
      <c r="L3008" s="4" t="s">
        <v>25</v>
      </c>
      <c r="M3008" s="11">
        <f>_xlfn.NUMBERVALUE(LEFT(Table613612[[#This Row],[Fiscal Year]], 4))</f>
        <v>2017</v>
      </c>
      <c r="N3008" s="42">
        <f t="shared" si="48"/>
        <v>61521.777539779687</v>
      </c>
      <c r="O3008" s="3">
        <v>3006</v>
      </c>
    </row>
    <row r="3009" spans="1:15" x14ac:dyDescent="0.25">
      <c r="A3009" s="3">
        <v>9</v>
      </c>
      <c r="B3009" s="3" t="s">
        <v>307</v>
      </c>
      <c r="C3009" s="3" t="s">
        <v>21</v>
      </c>
      <c r="D3009" s="3" t="s">
        <v>21</v>
      </c>
      <c r="E3009" s="11" t="s">
        <v>144</v>
      </c>
      <c r="F3009" s="3" t="s">
        <v>8</v>
      </c>
      <c r="G3009" s="48" t="s">
        <v>1287</v>
      </c>
      <c r="H3009" s="8"/>
      <c r="I3009" s="8"/>
      <c r="J3009" s="6" t="s">
        <v>605</v>
      </c>
      <c r="K3009" s="38">
        <v>36133</v>
      </c>
      <c r="L3009" s="4" t="s">
        <v>25</v>
      </c>
      <c r="M3009" s="11">
        <f>_xlfn.NUMBERVALUE(LEFT(Table613612[[#This Row],[Fiscal Year]], 4))</f>
        <v>2017</v>
      </c>
      <c r="N3009" s="42">
        <f t="shared" si="48"/>
        <v>37095.80955936353</v>
      </c>
      <c r="O3009" s="3">
        <v>3007</v>
      </c>
    </row>
    <row r="3010" spans="1:15" x14ac:dyDescent="0.25">
      <c r="A3010" s="3">
        <v>9</v>
      </c>
      <c r="B3010" s="3" t="s">
        <v>307</v>
      </c>
      <c r="C3010" s="3" t="s">
        <v>21</v>
      </c>
      <c r="D3010" s="3" t="s">
        <v>21</v>
      </c>
      <c r="E3010" s="11" t="s">
        <v>144</v>
      </c>
      <c r="F3010" s="3" t="s">
        <v>8</v>
      </c>
      <c r="G3010" s="48" t="s">
        <v>1288</v>
      </c>
      <c r="H3010" s="8"/>
      <c r="I3010" s="8"/>
      <c r="J3010" s="6" t="s">
        <v>605</v>
      </c>
      <c r="K3010" s="38">
        <v>22100</v>
      </c>
      <c r="L3010" s="4" t="s">
        <v>25</v>
      </c>
      <c r="M3010" s="11">
        <f>_xlfn.NUMBERVALUE(LEFT(Table613612[[#This Row],[Fiscal Year]], 4))</f>
        <v>2017</v>
      </c>
      <c r="N3010" s="42">
        <f t="shared" ref="N3010:N3073" si="49">K3010*(1+VLOOKUP(M3010,$AF$8:$AH$31,3,0))</f>
        <v>22688.882496940027</v>
      </c>
      <c r="O3010" s="3">
        <v>3008</v>
      </c>
    </row>
    <row r="3011" spans="1:15" x14ac:dyDescent="0.25">
      <c r="A3011" s="3">
        <v>9</v>
      </c>
      <c r="B3011" s="3" t="s">
        <v>307</v>
      </c>
      <c r="C3011" s="3" t="s">
        <v>21</v>
      </c>
      <c r="D3011" s="3" t="s">
        <v>21</v>
      </c>
      <c r="E3011" s="11" t="s">
        <v>144</v>
      </c>
      <c r="F3011" s="3" t="s">
        <v>8</v>
      </c>
      <c r="G3011" s="69" t="s">
        <v>1289</v>
      </c>
      <c r="H3011" s="8" t="s">
        <v>680</v>
      </c>
      <c r="I3011" s="8"/>
      <c r="J3011" s="6" t="s">
        <v>605</v>
      </c>
      <c r="K3011" s="38">
        <v>31537</v>
      </c>
      <c r="L3011" s="4" t="s">
        <v>25</v>
      </c>
      <c r="M3011" s="11">
        <f>_xlfn.NUMBERVALUE(LEFT(Table613612[[#This Row],[Fiscal Year]], 4))</f>
        <v>2017</v>
      </c>
      <c r="N3011" s="42">
        <f t="shared" si="49"/>
        <v>32377.343317013467</v>
      </c>
      <c r="O3011" s="3">
        <v>3009</v>
      </c>
    </row>
    <row r="3012" spans="1:15" x14ac:dyDescent="0.25">
      <c r="A3012" s="3">
        <v>9</v>
      </c>
      <c r="B3012" s="3" t="s">
        <v>307</v>
      </c>
      <c r="C3012" s="3" t="s">
        <v>21</v>
      </c>
      <c r="D3012" s="3" t="s">
        <v>21</v>
      </c>
      <c r="E3012" s="11" t="s">
        <v>144</v>
      </c>
      <c r="F3012" s="3" t="s">
        <v>8</v>
      </c>
      <c r="G3012" s="48" t="s">
        <v>1290</v>
      </c>
      <c r="H3012" s="8"/>
      <c r="I3012" s="8"/>
      <c r="J3012" s="6" t="s">
        <v>455</v>
      </c>
      <c r="K3012" s="38">
        <v>6171</v>
      </c>
      <c r="L3012" s="4" t="s">
        <v>25</v>
      </c>
      <c r="M3012" s="11">
        <f>_xlfn.NUMBERVALUE(LEFT(Table613612[[#This Row],[Fiscal Year]], 4))</f>
        <v>2017</v>
      </c>
      <c r="N3012" s="42">
        <f t="shared" si="49"/>
        <v>6335.4341126070995</v>
      </c>
      <c r="O3012" s="3">
        <v>3010</v>
      </c>
    </row>
    <row r="3013" spans="1:15" x14ac:dyDescent="0.25">
      <c r="A3013" s="3">
        <v>9</v>
      </c>
      <c r="B3013" s="3" t="s">
        <v>307</v>
      </c>
      <c r="C3013" s="3" t="s">
        <v>21</v>
      </c>
      <c r="D3013" s="3" t="s">
        <v>21</v>
      </c>
      <c r="E3013" s="11" t="s">
        <v>144</v>
      </c>
      <c r="F3013" s="3" t="s">
        <v>8</v>
      </c>
      <c r="G3013" s="48" t="s">
        <v>1291</v>
      </c>
      <c r="H3013" s="8"/>
      <c r="I3013" s="8"/>
      <c r="J3013" s="6" t="s">
        <v>110</v>
      </c>
      <c r="K3013" s="38">
        <v>4193</v>
      </c>
      <c r="L3013" s="4" t="s">
        <v>25</v>
      </c>
      <c r="M3013" s="11">
        <f>_xlfn.NUMBERVALUE(LEFT(Table613612[[#This Row],[Fiscal Year]], 4))</f>
        <v>2017</v>
      </c>
      <c r="N3013" s="42">
        <f t="shared" si="49"/>
        <v>4304.7277968176259</v>
      </c>
      <c r="O3013" s="3">
        <v>3011</v>
      </c>
    </row>
    <row r="3014" spans="1:15" x14ac:dyDescent="0.25">
      <c r="E3014" s="11"/>
      <c r="G3014" s="66"/>
      <c r="H3014" s="8"/>
      <c r="I3014" s="8"/>
      <c r="J3014" s="6"/>
      <c r="L3014" s="4"/>
      <c r="O3014" s="3">
        <v>3012</v>
      </c>
    </row>
    <row r="3015" spans="1:15" x14ac:dyDescent="0.25">
      <c r="A3015" s="3">
        <v>9</v>
      </c>
      <c r="B3015" s="3" t="s">
        <v>308</v>
      </c>
      <c r="C3015" s="3" t="s">
        <v>21</v>
      </c>
      <c r="D3015" s="3" t="s">
        <v>21</v>
      </c>
      <c r="E3015" s="11" t="s">
        <v>144</v>
      </c>
      <c r="F3015" s="3" t="s">
        <v>8</v>
      </c>
      <c r="G3015" s="48" t="s">
        <v>1140</v>
      </c>
      <c r="H3015" s="8"/>
      <c r="I3015" s="8"/>
      <c r="J3015" s="6" t="s">
        <v>110</v>
      </c>
      <c r="K3015" s="38">
        <v>63053</v>
      </c>
      <c r="L3015" s="4" t="s">
        <v>25</v>
      </c>
      <c r="M3015" s="11">
        <f>_xlfn.NUMBERVALUE(LEFT(Table613612[[#This Row],[Fiscal Year]], 4))</f>
        <v>2017</v>
      </c>
      <c r="N3015" s="42">
        <f t="shared" si="49"/>
        <v>64733.127062423511</v>
      </c>
      <c r="O3015" s="3">
        <v>3013</v>
      </c>
    </row>
    <row r="3016" spans="1:15" x14ac:dyDescent="0.25">
      <c r="A3016" s="3">
        <v>9</v>
      </c>
      <c r="B3016" s="3" t="s">
        <v>308</v>
      </c>
      <c r="C3016" s="3" t="s">
        <v>21</v>
      </c>
      <c r="D3016" s="3" t="s">
        <v>21</v>
      </c>
      <c r="E3016" s="11" t="s">
        <v>144</v>
      </c>
      <c r="F3016" s="3" t="s">
        <v>8</v>
      </c>
      <c r="G3016" s="48" t="s">
        <v>1272</v>
      </c>
      <c r="H3016" s="8"/>
      <c r="I3016" s="8"/>
      <c r="J3016" s="6" t="s">
        <v>111</v>
      </c>
      <c r="K3016" s="38">
        <v>45742</v>
      </c>
      <c r="L3016" s="4" t="s">
        <v>25</v>
      </c>
      <c r="M3016" s="11">
        <f>_xlfn.NUMBERVALUE(LEFT(Table613612[[#This Row],[Fiscal Year]], 4))</f>
        <v>2017</v>
      </c>
      <c r="N3016" s="42">
        <f t="shared" si="49"/>
        <v>46960.853537331706</v>
      </c>
      <c r="O3016" s="3">
        <v>3014</v>
      </c>
    </row>
    <row r="3017" spans="1:15" x14ac:dyDescent="0.25">
      <c r="A3017" s="3">
        <v>9</v>
      </c>
      <c r="B3017" s="3" t="s">
        <v>308</v>
      </c>
      <c r="C3017" s="3" t="s">
        <v>21</v>
      </c>
      <c r="D3017" s="3" t="s">
        <v>21</v>
      </c>
      <c r="E3017" s="11" t="s">
        <v>144</v>
      </c>
      <c r="F3017" s="3" t="s">
        <v>8</v>
      </c>
      <c r="G3017" s="48" t="s">
        <v>1273</v>
      </c>
      <c r="H3017" s="8"/>
      <c r="I3017" s="8"/>
      <c r="J3017" s="6" t="s">
        <v>107</v>
      </c>
      <c r="K3017" s="38">
        <v>31094</v>
      </c>
      <c r="L3017" s="4" t="s">
        <v>25</v>
      </c>
      <c r="M3017" s="11">
        <f>_xlfn.NUMBERVALUE(LEFT(Table613612[[#This Row],[Fiscal Year]], 4))</f>
        <v>2017</v>
      </c>
      <c r="N3017" s="42">
        <f t="shared" si="49"/>
        <v>31922.539020807839</v>
      </c>
      <c r="O3017" s="3">
        <v>3015</v>
      </c>
    </row>
    <row r="3018" spans="1:15" x14ac:dyDescent="0.25">
      <c r="A3018" s="3">
        <v>9</v>
      </c>
      <c r="B3018" s="3" t="s">
        <v>308</v>
      </c>
      <c r="C3018" s="3" t="s">
        <v>21</v>
      </c>
      <c r="D3018" s="3" t="s">
        <v>21</v>
      </c>
      <c r="E3018" s="11" t="s">
        <v>144</v>
      </c>
      <c r="F3018" s="3" t="s">
        <v>8</v>
      </c>
      <c r="G3018" s="48" t="s">
        <v>1286</v>
      </c>
      <c r="H3018" s="8" t="s">
        <v>665</v>
      </c>
      <c r="I3018" s="70" t="s">
        <v>664</v>
      </c>
      <c r="J3018" s="6" t="s">
        <v>108</v>
      </c>
      <c r="K3018" s="38">
        <v>228470</v>
      </c>
      <c r="L3018" s="4" t="s">
        <v>25</v>
      </c>
      <c r="M3018" s="11">
        <f>_xlfn.NUMBERVALUE(LEFT(Table613612[[#This Row],[Fiscal Year]], 4))</f>
        <v>2017</v>
      </c>
      <c r="N3018" s="42">
        <f t="shared" si="49"/>
        <v>234557.87258261937</v>
      </c>
      <c r="O3018" s="3">
        <v>3016</v>
      </c>
    </row>
    <row r="3019" spans="1:15" x14ac:dyDescent="0.25">
      <c r="A3019" s="3">
        <v>9</v>
      </c>
      <c r="B3019" s="3" t="s">
        <v>308</v>
      </c>
      <c r="C3019" s="3" t="s">
        <v>21</v>
      </c>
      <c r="D3019" s="3" t="s">
        <v>21</v>
      </c>
      <c r="E3019" s="11" t="s">
        <v>144</v>
      </c>
      <c r="F3019" s="3" t="s">
        <v>8</v>
      </c>
      <c r="G3019" s="48" t="s">
        <v>1145</v>
      </c>
      <c r="H3019" s="8"/>
      <c r="I3019" s="8"/>
      <c r="J3019" s="6" t="s">
        <v>109</v>
      </c>
      <c r="K3019" s="38">
        <v>10700</v>
      </c>
      <c r="L3019" s="4" t="s">
        <v>25</v>
      </c>
      <c r="M3019" s="11">
        <f>_xlfn.NUMBERVALUE(LEFT(Table613612[[#This Row],[Fiscal Year]], 4))</f>
        <v>2017</v>
      </c>
      <c r="N3019" s="42">
        <f t="shared" si="49"/>
        <v>10985.115055079561</v>
      </c>
      <c r="O3019" s="3">
        <v>3017</v>
      </c>
    </row>
    <row r="3020" spans="1:15" x14ac:dyDescent="0.25">
      <c r="A3020" s="3">
        <v>9</v>
      </c>
      <c r="B3020" s="3" t="s">
        <v>308</v>
      </c>
      <c r="C3020" s="3" t="s">
        <v>21</v>
      </c>
      <c r="D3020" s="3" t="s">
        <v>21</v>
      </c>
      <c r="E3020" s="11" t="s">
        <v>144</v>
      </c>
      <c r="F3020" s="3" t="s">
        <v>8</v>
      </c>
      <c r="G3020" s="48" t="s">
        <v>1146</v>
      </c>
      <c r="H3020" s="8" t="s">
        <v>682</v>
      </c>
      <c r="I3020" s="70" t="s">
        <v>679</v>
      </c>
      <c r="J3020" s="6" t="s">
        <v>453</v>
      </c>
      <c r="K3020" s="38">
        <v>52508</v>
      </c>
      <c r="L3020" s="4" t="s">
        <v>25</v>
      </c>
      <c r="M3020" s="11">
        <f>_xlfn.NUMBERVALUE(LEFT(Table613612[[#This Row],[Fiscal Year]], 4))</f>
        <v>2017</v>
      </c>
      <c r="N3020" s="42">
        <f t="shared" si="49"/>
        <v>53907.142178702576</v>
      </c>
      <c r="O3020" s="3">
        <v>3018</v>
      </c>
    </row>
    <row r="3021" spans="1:15" x14ac:dyDescent="0.25">
      <c r="A3021" s="3">
        <v>9</v>
      </c>
      <c r="B3021" s="3" t="s">
        <v>308</v>
      </c>
      <c r="C3021" s="3" t="s">
        <v>21</v>
      </c>
      <c r="D3021" s="3" t="s">
        <v>21</v>
      </c>
      <c r="E3021" s="11" t="s">
        <v>144</v>
      </c>
      <c r="F3021" s="3" t="s">
        <v>8</v>
      </c>
      <c r="G3021" s="48" t="s">
        <v>1275</v>
      </c>
      <c r="H3021" s="8"/>
      <c r="I3021" s="8"/>
      <c r="J3021" s="6" t="s">
        <v>106</v>
      </c>
      <c r="K3021" s="38">
        <v>37476</v>
      </c>
      <c r="L3021" s="4" t="s">
        <v>25</v>
      </c>
      <c r="M3021" s="11">
        <f>_xlfn.NUMBERVALUE(LEFT(Table613612[[#This Row],[Fiscal Year]], 4))</f>
        <v>2017</v>
      </c>
      <c r="N3021" s="42">
        <f t="shared" si="49"/>
        <v>38474.595495716036</v>
      </c>
      <c r="O3021" s="3">
        <v>3019</v>
      </c>
    </row>
    <row r="3022" spans="1:15" x14ac:dyDescent="0.25">
      <c r="A3022" s="3">
        <v>9</v>
      </c>
      <c r="B3022" s="3" t="s">
        <v>308</v>
      </c>
      <c r="C3022" s="3" t="s">
        <v>21</v>
      </c>
      <c r="D3022" s="3" t="s">
        <v>21</v>
      </c>
      <c r="E3022" s="11" t="s">
        <v>144</v>
      </c>
      <c r="F3022" s="3" t="s">
        <v>8</v>
      </c>
      <c r="G3022" s="48" t="s">
        <v>1277</v>
      </c>
      <c r="H3022" s="8"/>
      <c r="I3022" s="8"/>
      <c r="J3022" s="6" t="s">
        <v>605</v>
      </c>
      <c r="K3022" s="38">
        <v>47975</v>
      </c>
      <c r="L3022" s="4" t="s">
        <v>25</v>
      </c>
      <c r="M3022" s="11">
        <f>_xlfn.NUMBERVALUE(LEFT(Table613612[[#This Row],[Fiscal Year]], 4))</f>
        <v>2017</v>
      </c>
      <c r="N3022" s="42">
        <f t="shared" si="49"/>
        <v>49253.354651162794</v>
      </c>
      <c r="O3022" s="3">
        <v>3020</v>
      </c>
    </row>
    <row r="3023" spans="1:15" x14ac:dyDescent="0.25">
      <c r="A3023" s="3">
        <v>9</v>
      </c>
      <c r="B3023" s="3" t="s">
        <v>308</v>
      </c>
      <c r="C3023" s="3" t="s">
        <v>21</v>
      </c>
      <c r="D3023" s="3" t="s">
        <v>21</v>
      </c>
      <c r="E3023" s="11" t="s">
        <v>144</v>
      </c>
      <c r="F3023" s="3" t="s">
        <v>8</v>
      </c>
      <c r="G3023" s="48" t="s">
        <v>1292</v>
      </c>
      <c r="H3023" s="8"/>
      <c r="I3023" s="8"/>
      <c r="J3023" s="6" t="s">
        <v>605</v>
      </c>
      <c r="K3023" s="38">
        <v>37275</v>
      </c>
      <c r="L3023" s="4" t="s">
        <v>25</v>
      </c>
      <c r="M3023" s="11">
        <f>_xlfn.NUMBERVALUE(LEFT(Table613612[[#This Row],[Fiscal Year]], 4))</f>
        <v>2017</v>
      </c>
      <c r="N3023" s="42">
        <f t="shared" si="49"/>
        <v>38268.239596083236</v>
      </c>
      <c r="O3023" s="3">
        <v>3021</v>
      </c>
    </row>
    <row r="3024" spans="1:15" x14ac:dyDescent="0.25">
      <c r="A3024" s="3">
        <v>9</v>
      </c>
      <c r="B3024" s="3" t="s">
        <v>308</v>
      </c>
      <c r="C3024" s="3" t="s">
        <v>21</v>
      </c>
      <c r="D3024" s="3" t="s">
        <v>21</v>
      </c>
      <c r="E3024" s="11" t="s">
        <v>144</v>
      </c>
      <c r="F3024" s="3" t="s">
        <v>8</v>
      </c>
      <c r="G3024" s="56" t="s">
        <v>1293</v>
      </c>
      <c r="H3024" s="8"/>
      <c r="I3024" s="8"/>
      <c r="J3024" s="6" t="s">
        <v>455</v>
      </c>
      <c r="K3024" s="38">
        <v>37918</v>
      </c>
      <c r="L3024" s="4" t="s">
        <v>25</v>
      </c>
      <c r="M3024" s="11">
        <f>_xlfn.NUMBERVALUE(LEFT(Table613612[[#This Row],[Fiscal Year]], 4))</f>
        <v>2017</v>
      </c>
      <c r="N3024" s="42">
        <f t="shared" si="49"/>
        <v>38928.373145654841</v>
      </c>
      <c r="O3024" s="3">
        <v>3022</v>
      </c>
    </row>
    <row r="3025" spans="1:15" x14ac:dyDescent="0.25">
      <c r="E3025" s="11"/>
      <c r="G3025" s="66"/>
      <c r="H3025" s="8"/>
      <c r="I3025" s="8"/>
      <c r="J3025" s="6"/>
      <c r="L3025" s="4"/>
      <c r="O3025" s="3">
        <v>3023</v>
      </c>
    </row>
    <row r="3026" spans="1:15" x14ac:dyDescent="0.25">
      <c r="A3026" s="3">
        <v>9</v>
      </c>
      <c r="B3026" s="3" t="s">
        <v>309</v>
      </c>
      <c r="C3026" s="3" t="s">
        <v>21</v>
      </c>
      <c r="D3026" s="3" t="s">
        <v>21</v>
      </c>
      <c r="E3026" s="11" t="s">
        <v>144</v>
      </c>
      <c r="F3026" s="3" t="s">
        <v>8</v>
      </c>
      <c r="G3026" s="48" t="s">
        <v>1294</v>
      </c>
      <c r="H3026" s="8"/>
      <c r="I3026" s="8"/>
      <c r="J3026" s="6" t="s">
        <v>110</v>
      </c>
      <c r="K3026" s="38">
        <v>270088</v>
      </c>
      <c r="L3026" s="4" t="s">
        <v>25</v>
      </c>
      <c r="M3026" s="11">
        <f>_xlfn.NUMBERVALUE(LEFT(Table613612[[#This Row],[Fiscal Year]], 4))</f>
        <v>2017</v>
      </c>
      <c r="N3026" s="42">
        <f t="shared" si="49"/>
        <v>277284.8369155447</v>
      </c>
      <c r="O3026" s="3">
        <v>3024</v>
      </c>
    </row>
    <row r="3027" spans="1:15" x14ac:dyDescent="0.25">
      <c r="A3027" s="3">
        <v>9</v>
      </c>
      <c r="B3027" s="3" t="s">
        <v>309</v>
      </c>
      <c r="C3027" s="3" t="s">
        <v>21</v>
      </c>
      <c r="D3027" s="3" t="s">
        <v>21</v>
      </c>
      <c r="E3027" s="11" t="s">
        <v>144</v>
      </c>
      <c r="F3027" s="3" t="s">
        <v>8</v>
      </c>
      <c r="G3027" s="66" t="s">
        <v>1272</v>
      </c>
      <c r="H3027" s="8"/>
      <c r="I3027" s="8"/>
      <c r="J3027" s="6" t="s">
        <v>111</v>
      </c>
      <c r="K3027" s="38">
        <v>15102</v>
      </c>
      <c r="L3027" s="4" t="s">
        <v>25</v>
      </c>
      <c r="M3027" s="11">
        <f>_xlfn.NUMBERVALUE(LEFT(Table613612[[#This Row],[Fiscal Year]], 4))</f>
        <v>2017</v>
      </c>
      <c r="N3027" s="42">
        <f t="shared" si="49"/>
        <v>15504.411921664629</v>
      </c>
      <c r="O3027" s="3">
        <v>3025</v>
      </c>
    </row>
    <row r="3028" spans="1:15" x14ac:dyDescent="0.25">
      <c r="A3028" s="3">
        <v>9</v>
      </c>
      <c r="B3028" s="3" t="s">
        <v>309</v>
      </c>
      <c r="C3028" s="3" t="s">
        <v>21</v>
      </c>
      <c r="D3028" s="3" t="s">
        <v>21</v>
      </c>
      <c r="E3028" s="11" t="s">
        <v>144</v>
      </c>
      <c r="F3028" s="3" t="s">
        <v>8</v>
      </c>
      <c r="G3028" s="66" t="s">
        <v>1273</v>
      </c>
      <c r="H3028" s="8"/>
      <c r="I3028" s="8"/>
      <c r="J3028" s="6" t="s">
        <v>107</v>
      </c>
      <c r="K3028" s="38">
        <v>48111</v>
      </c>
      <c r="L3028" s="4" t="s">
        <v>25</v>
      </c>
      <c r="M3028" s="11">
        <f>_xlfn.NUMBERVALUE(LEFT(Table613612[[#This Row],[Fiscal Year]], 4))</f>
        <v>2017</v>
      </c>
      <c r="N3028" s="42">
        <f t="shared" si="49"/>
        <v>49392.97854345166</v>
      </c>
      <c r="O3028" s="3">
        <v>3026</v>
      </c>
    </row>
    <row r="3029" spans="1:15" x14ac:dyDescent="0.25">
      <c r="A3029" s="3">
        <v>9</v>
      </c>
      <c r="B3029" s="3" t="s">
        <v>309</v>
      </c>
      <c r="C3029" s="3" t="s">
        <v>21</v>
      </c>
      <c r="D3029" s="3" t="s">
        <v>21</v>
      </c>
      <c r="E3029" s="11" t="s">
        <v>144</v>
      </c>
      <c r="F3029" s="3" t="s">
        <v>8</v>
      </c>
      <c r="G3029" s="48" t="s">
        <v>1279</v>
      </c>
      <c r="H3029" s="8"/>
      <c r="I3029" s="8"/>
      <c r="J3029" s="6" t="s">
        <v>108</v>
      </c>
      <c r="K3029" s="38">
        <v>1119975</v>
      </c>
      <c r="L3029" s="4" t="s">
        <v>25</v>
      </c>
      <c r="M3029" s="11">
        <f>_xlfn.NUMBERVALUE(LEFT(Table613612[[#This Row],[Fiscal Year]], 4))</f>
        <v>2017</v>
      </c>
      <c r="N3029" s="42">
        <f t="shared" si="49"/>
        <v>1149818.1526927785</v>
      </c>
      <c r="O3029" s="3">
        <v>3027</v>
      </c>
    </row>
    <row r="3030" spans="1:15" x14ac:dyDescent="0.25">
      <c r="A3030" s="3">
        <v>9</v>
      </c>
      <c r="B3030" s="3" t="s">
        <v>309</v>
      </c>
      <c r="C3030" s="3" t="s">
        <v>21</v>
      </c>
      <c r="D3030" s="3" t="s">
        <v>21</v>
      </c>
      <c r="E3030" s="11" t="s">
        <v>144</v>
      </c>
      <c r="F3030" s="3" t="s">
        <v>8</v>
      </c>
      <c r="G3030" s="66" t="s">
        <v>1145</v>
      </c>
      <c r="H3030" s="8"/>
      <c r="I3030" s="8"/>
      <c r="J3030" s="6" t="s">
        <v>109</v>
      </c>
      <c r="K3030" s="38">
        <v>76111</v>
      </c>
      <c r="L3030" s="4" t="s">
        <v>25</v>
      </c>
      <c r="M3030" s="11">
        <f>_xlfn.NUMBERVALUE(LEFT(Table613612[[#This Row],[Fiscal Year]], 4))</f>
        <v>2017</v>
      </c>
      <c r="N3030" s="42">
        <f t="shared" si="49"/>
        <v>78139.074014687896</v>
      </c>
      <c r="O3030" s="3">
        <v>3028</v>
      </c>
    </row>
    <row r="3031" spans="1:15" x14ac:dyDescent="0.25">
      <c r="A3031" s="3">
        <v>9</v>
      </c>
      <c r="B3031" s="3" t="s">
        <v>309</v>
      </c>
      <c r="C3031" s="3" t="s">
        <v>21</v>
      </c>
      <c r="D3031" s="3" t="s">
        <v>21</v>
      </c>
      <c r="E3031" s="11" t="s">
        <v>144</v>
      </c>
      <c r="F3031" s="3" t="s">
        <v>8</v>
      </c>
      <c r="G3031" s="66" t="s">
        <v>1281</v>
      </c>
      <c r="H3031" s="8"/>
      <c r="I3031" s="8"/>
      <c r="J3031" s="6" t="s">
        <v>111</v>
      </c>
      <c r="K3031" s="38">
        <v>16990</v>
      </c>
      <c r="L3031" s="4" t="s">
        <v>25</v>
      </c>
      <c r="M3031" s="11">
        <f>_xlfn.NUMBERVALUE(LEFT(Table613612[[#This Row],[Fiscal Year]], 4))</f>
        <v>2017</v>
      </c>
      <c r="N3031" s="42">
        <f t="shared" si="49"/>
        <v>17442.720073439414</v>
      </c>
      <c r="O3031" s="3">
        <v>3029</v>
      </c>
    </row>
    <row r="3032" spans="1:15" x14ac:dyDescent="0.25">
      <c r="A3032" s="3">
        <v>9</v>
      </c>
      <c r="B3032" s="3" t="s">
        <v>309</v>
      </c>
      <c r="C3032" s="3" t="s">
        <v>21</v>
      </c>
      <c r="D3032" s="3" t="s">
        <v>21</v>
      </c>
      <c r="E3032" s="11" t="s">
        <v>144</v>
      </c>
      <c r="F3032" s="3" t="s">
        <v>8</v>
      </c>
      <c r="G3032" s="66" t="s">
        <v>1275</v>
      </c>
      <c r="H3032" s="8"/>
      <c r="I3032" s="8"/>
      <c r="J3032" s="6" t="s">
        <v>106</v>
      </c>
      <c r="K3032" s="38">
        <v>0</v>
      </c>
      <c r="L3032" s="4" t="s">
        <v>25</v>
      </c>
      <c r="M3032" s="11">
        <f>_xlfn.NUMBERVALUE(LEFT(Table613612[[#This Row],[Fiscal Year]], 4))</f>
        <v>2017</v>
      </c>
      <c r="N3032" s="42">
        <f t="shared" si="49"/>
        <v>0</v>
      </c>
      <c r="O3032" s="3">
        <v>3030</v>
      </c>
    </row>
    <row r="3033" spans="1:15" x14ac:dyDescent="0.25">
      <c r="A3033" s="3">
        <v>9</v>
      </c>
      <c r="B3033" s="3" t="s">
        <v>309</v>
      </c>
      <c r="C3033" s="3" t="s">
        <v>21</v>
      </c>
      <c r="D3033" s="3" t="s">
        <v>21</v>
      </c>
      <c r="E3033" s="11" t="s">
        <v>144</v>
      </c>
      <c r="F3033" s="3" t="s">
        <v>8</v>
      </c>
      <c r="G3033" s="66" t="s">
        <v>1295</v>
      </c>
      <c r="H3033" s="8" t="s">
        <v>684</v>
      </c>
      <c r="I3033" s="8" t="s">
        <v>683</v>
      </c>
      <c r="J3033" s="6" t="s">
        <v>455</v>
      </c>
      <c r="K3033" s="38">
        <v>1000</v>
      </c>
      <c r="L3033" s="4" t="s">
        <v>25</v>
      </c>
      <c r="M3033" s="11">
        <f>_xlfn.NUMBERVALUE(LEFT(Table613612[[#This Row],[Fiscal Year]], 4))</f>
        <v>2017</v>
      </c>
      <c r="N3033" s="42">
        <f t="shared" si="49"/>
        <v>1026.6462668298655</v>
      </c>
      <c r="O3033" s="3">
        <v>3031</v>
      </c>
    </row>
    <row r="3034" spans="1:15" x14ac:dyDescent="0.25">
      <c r="A3034" s="3">
        <v>9</v>
      </c>
      <c r="B3034" s="3" t="s">
        <v>309</v>
      </c>
      <c r="C3034" s="3" t="s">
        <v>21</v>
      </c>
      <c r="D3034" s="3" t="s">
        <v>21</v>
      </c>
      <c r="E3034" s="11" t="s">
        <v>144</v>
      </c>
      <c r="F3034" s="3" t="s">
        <v>8</v>
      </c>
      <c r="G3034" s="66" t="s">
        <v>1296</v>
      </c>
      <c r="H3034" s="8"/>
      <c r="I3034" s="8"/>
      <c r="J3034" s="6" t="s">
        <v>105</v>
      </c>
      <c r="K3034" s="38">
        <v>222168</v>
      </c>
      <c r="L3034" s="4" t="s">
        <v>25</v>
      </c>
      <c r="M3034" s="11">
        <f>_xlfn.NUMBERVALUE(LEFT(Table613612[[#This Row],[Fiscal Year]], 4))</f>
        <v>2017</v>
      </c>
      <c r="N3034" s="42">
        <f t="shared" si="49"/>
        <v>228087.94780905754</v>
      </c>
      <c r="O3034" s="3">
        <v>3032</v>
      </c>
    </row>
    <row r="3035" spans="1:15" x14ac:dyDescent="0.25">
      <c r="A3035" s="3">
        <v>9</v>
      </c>
      <c r="B3035" s="3" t="s">
        <v>309</v>
      </c>
      <c r="C3035" s="3" t="s">
        <v>21</v>
      </c>
      <c r="D3035" s="3" t="s">
        <v>21</v>
      </c>
      <c r="E3035" s="11" t="s">
        <v>144</v>
      </c>
      <c r="F3035" s="3" t="s">
        <v>8</v>
      </c>
      <c r="G3035" s="48" t="s">
        <v>1297</v>
      </c>
      <c r="H3035" s="8"/>
      <c r="I3035" s="8"/>
      <c r="J3035" s="6" t="s">
        <v>605</v>
      </c>
      <c r="K3035" s="38">
        <v>129323</v>
      </c>
      <c r="L3035" s="4" t="s">
        <v>25</v>
      </c>
      <c r="M3035" s="11">
        <f>_xlfn.NUMBERVALUE(LEFT(Table613612[[#This Row],[Fiscal Year]], 4))</f>
        <v>2017</v>
      </c>
      <c r="N3035" s="42">
        <f t="shared" si="49"/>
        <v>132768.97516523869</v>
      </c>
      <c r="O3035" s="3">
        <v>3033</v>
      </c>
    </row>
    <row r="3036" spans="1:15" x14ac:dyDescent="0.25">
      <c r="A3036" s="3">
        <v>9</v>
      </c>
      <c r="B3036" s="3" t="s">
        <v>309</v>
      </c>
      <c r="C3036" s="3" t="s">
        <v>21</v>
      </c>
      <c r="D3036" s="3" t="s">
        <v>21</v>
      </c>
      <c r="E3036" s="11" t="s">
        <v>144</v>
      </c>
      <c r="F3036" s="3" t="s">
        <v>8</v>
      </c>
      <c r="G3036" s="48" t="s">
        <v>1298</v>
      </c>
      <c r="H3036" s="8"/>
      <c r="I3036" s="8"/>
      <c r="J3036" s="6" t="s">
        <v>605</v>
      </c>
      <c r="K3036" s="38">
        <v>44533</v>
      </c>
      <c r="L3036" s="4" t="s">
        <v>25</v>
      </c>
      <c r="M3036" s="11">
        <f>_xlfn.NUMBERVALUE(LEFT(Table613612[[#This Row],[Fiscal Year]], 4))</f>
        <v>2017</v>
      </c>
      <c r="N3036" s="42">
        <f t="shared" si="49"/>
        <v>45719.6382007344</v>
      </c>
      <c r="O3036" s="3">
        <v>3034</v>
      </c>
    </row>
    <row r="3037" spans="1:15" x14ac:dyDescent="0.25">
      <c r="A3037" s="3">
        <v>9</v>
      </c>
      <c r="B3037" s="3" t="s">
        <v>309</v>
      </c>
      <c r="C3037" s="3" t="s">
        <v>21</v>
      </c>
      <c r="D3037" s="3" t="s">
        <v>21</v>
      </c>
      <c r="E3037" s="11" t="s">
        <v>144</v>
      </c>
      <c r="F3037" s="3" t="s">
        <v>8</v>
      </c>
      <c r="G3037" s="56" t="s">
        <v>360</v>
      </c>
      <c r="H3037" s="8"/>
      <c r="I3037" s="8"/>
      <c r="J3037" s="6" t="s">
        <v>455</v>
      </c>
      <c r="K3037" s="38">
        <v>67437</v>
      </c>
      <c r="L3037" s="4" t="s">
        <v>25</v>
      </c>
      <c r="M3037" s="11">
        <f>_xlfn.NUMBERVALUE(LEFT(Table613612[[#This Row],[Fiscal Year]], 4))</f>
        <v>2017</v>
      </c>
      <c r="N3037" s="42">
        <f t="shared" si="49"/>
        <v>69233.944296205635</v>
      </c>
      <c r="O3037" s="3">
        <v>3035</v>
      </c>
    </row>
    <row r="3038" spans="1:15" x14ac:dyDescent="0.25">
      <c r="E3038" s="11"/>
      <c r="G3038" s="66"/>
      <c r="H3038" s="8"/>
      <c r="I3038" s="8"/>
      <c r="J3038" s="6"/>
      <c r="L3038" s="4"/>
      <c r="O3038" s="3">
        <v>3036</v>
      </c>
    </row>
    <row r="3039" spans="1:15" x14ac:dyDescent="0.25">
      <c r="A3039" s="3">
        <v>9</v>
      </c>
      <c r="B3039" s="3" t="s">
        <v>310</v>
      </c>
      <c r="C3039" s="3" t="s">
        <v>21</v>
      </c>
      <c r="D3039" s="3" t="s">
        <v>21</v>
      </c>
      <c r="E3039" s="11" t="s">
        <v>144</v>
      </c>
      <c r="F3039" s="3" t="s">
        <v>8</v>
      </c>
      <c r="G3039" s="48" t="s">
        <v>1140</v>
      </c>
      <c r="H3039" s="8"/>
      <c r="I3039" s="8"/>
      <c r="J3039" s="6" t="s">
        <v>110</v>
      </c>
      <c r="K3039" s="38">
        <v>184385.73</v>
      </c>
      <c r="L3039" s="4" t="s">
        <v>25</v>
      </c>
      <c r="M3039" s="11">
        <f>_xlfn.NUMBERVALUE(LEFT(Table613612[[#This Row],[Fiscal Year]], 4))</f>
        <v>2017</v>
      </c>
      <c r="N3039" s="42">
        <f t="shared" si="49"/>
        <v>189298.92136119955</v>
      </c>
      <c r="O3039" s="3">
        <v>3037</v>
      </c>
    </row>
    <row r="3040" spans="1:15" x14ac:dyDescent="0.25">
      <c r="A3040" s="3">
        <v>9</v>
      </c>
      <c r="B3040" s="3" t="s">
        <v>310</v>
      </c>
      <c r="C3040" s="3" t="s">
        <v>21</v>
      </c>
      <c r="D3040" s="3" t="s">
        <v>21</v>
      </c>
      <c r="E3040" s="11" t="s">
        <v>144</v>
      </c>
      <c r="F3040" s="3" t="s">
        <v>8</v>
      </c>
      <c r="G3040" s="48" t="s">
        <v>1272</v>
      </c>
      <c r="H3040" s="8"/>
      <c r="I3040" s="8"/>
      <c r="J3040" s="6" t="s">
        <v>111</v>
      </c>
      <c r="K3040" s="38">
        <v>46064.7</v>
      </c>
      <c r="L3040" s="4" t="s">
        <v>25</v>
      </c>
      <c r="M3040" s="11">
        <f>_xlfn.NUMBERVALUE(LEFT(Table613612[[#This Row],[Fiscal Year]], 4))</f>
        <v>2017</v>
      </c>
      <c r="N3040" s="42">
        <f t="shared" si="49"/>
        <v>47292.152287637698</v>
      </c>
      <c r="O3040" s="3">
        <v>3038</v>
      </c>
    </row>
    <row r="3041" spans="1:15" x14ac:dyDescent="0.25">
      <c r="A3041" s="3">
        <v>9</v>
      </c>
      <c r="B3041" s="3" t="s">
        <v>310</v>
      </c>
      <c r="C3041" s="3" t="s">
        <v>21</v>
      </c>
      <c r="D3041" s="3" t="s">
        <v>21</v>
      </c>
      <c r="E3041" s="11" t="s">
        <v>144</v>
      </c>
      <c r="F3041" s="3" t="s">
        <v>8</v>
      </c>
      <c r="G3041" s="48" t="s">
        <v>1299</v>
      </c>
      <c r="H3041" s="8"/>
      <c r="I3041" s="8"/>
      <c r="J3041" s="6" t="s">
        <v>107</v>
      </c>
      <c r="K3041" s="38">
        <v>37646.07</v>
      </c>
      <c r="L3041" s="4" t="s">
        <v>25</v>
      </c>
      <c r="M3041" s="11">
        <f>_xlfn.NUMBERVALUE(LEFT(Table613612[[#This Row],[Fiscal Year]], 4))</f>
        <v>2017</v>
      </c>
      <c r="N3041" s="42">
        <f t="shared" si="49"/>
        <v>38649.197226315795</v>
      </c>
      <c r="O3041" s="3">
        <v>3039</v>
      </c>
    </row>
    <row r="3042" spans="1:15" x14ac:dyDescent="0.25">
      <c r="A3042" s="3">
        <v>9</v>
      </c>
      <c r="B3042" s="3" t="s">
        <v>310</v>
      </c>
      <c r="C3042" s="3" t="s">
        <v>21</v>
      </c>
      <c r="D3042" s="3" t="s">
        <v>21</v>
      </c>
      <c r="E3042" s="11" t="s">
        <v>144</v>
      </c>
      <c r="F3042" s="3" t="s">
        <v>8</v>
      </c>
      <c r="G3042" s="48" t="s">
        <v>1300</v>
      </c>
      <c r="H3042" s="8" t="s">
        <v>685</v>
      </c>
      <c r="I3042" s="70" t="s">
        <v>686</v>
      </c>
      <c r="J3042" s="6" t="s">
        <v>108</v>
      </c>
      <c r="K3042" s="38">
        <v>1264855.17</v>
      </c>
      <c r="L3042" s="4" t="s">
        <v>25</v>
      </c>
      <c r="M3042" s="11">
        <f>_xlfn.NUMBERVALUE(LEFT(Table613612[[#This Row],[Fiscal Year]], 4))</f>
        <v>2017</v>
      </c>
      <c r="N3042" s="42">
        <f t="shared" si="49"/>
        <v>1298558.8383609548</v>
      </c>
      <c r="O3042" s="3">
        <v>3040</v>
      </c>
    </row>
    <row r="3043" spans="1:15" x14ac:dyDescent="0.25">
      <c r="A3043" s="3">
        <v>9</v>
      </c>
      <c r="B3043" s="3" t="s">
        <v>310</v>
      </c>
      <c r="C3043" s="3" t="s">
        <v>21</v>
      </c>
      <c r="D3043" s="3" t="s">
        <v>21</v>
      </c>
      <c r="E3043" s="11" t="s">
        <v>144</v>
      </c>
      <c r="F3043" s="3" t="s">
        <v>8</v>
      </c>
      <c r="G3043" s="48" t="s">
        <v>1301</v>
      </c>
      <c r="H3043" s="8"/>
      <c r="I3043" s="8"/>
      <c r="J3043" s="6" t="s">
        <v>109</v>
      </c>
      <c r="K3043" s="38">
        <v>25255.89</v>
      </c>
      <c r="L3043" s="4" t="s">
        <v>25</v>
      </c>
      <c r="M3043" s="11">
        <f>_xlfn.NUMBERVALUE(LEFT(Table613612[[#This Row],[Fiscal Year]], 4))</f>
        <v>2017</v>
      </c>
      <c r="N3043" s="42">
        <f t="shared" si="49"/>
        <v>25928.865183965732</v>
      </c>
      <c r="O3043" s="3">
        <v>3041</v>
      </c>
    </row>
    <row r="3044" spans="1:15" x14ac:dyDescent="0.25">
      <c r="A3044" s="3">
        <v>9</v>
      </c>
      <c r="B3044" s="3" t="s">
        <v>310</v>
      </c>
      <c r="C3044" s="3" t="s">
        <v>21</v>
      </c>
      <c r="D3044" s="3" t="s">
        <v>21</v>
      </c>
      <c r="E3044" s="11" t="s">
        <v>144</v>
      </c>
      <c r="F3044" s="3" t="s">
        <v>8</v>
      </c>
      <c r="G3044" s="48" t="s">
        <v>1302</v>
      </c>
      <c r="H3044" s="8"/>
      <c r="I3044" s="8"/>
      <c r="J3044" s="6" t="s">
        <v>111</v>
      </c>
      <c r="K3044" s="38">
        <v>16837.259999999998</v>
      </c>
      <c r="L3044" s="4" t="s">
        <v>25</v>
      </c>
      <c r="M3044" s="11">
        <f>_xlfn.NUMBERVALUE(LEFT(Table613612[[#This Row],[Fiscal Year]], 4))</f>
        <v>2017</v>
      </c>
      <c r="N3044" s="42">
        <f t="shared" si="49"/>
        <v>17285.910122643818</v>
      </c>
      <c r="O3044" s="3">
        <v>3042</v>
      </c>
    </row>
    <row r="3045" spans="1:15" x14ac:dyDescent="0.25">
      <c r="A3045" s="3">
        <v>9</v>
      </c>
      <c r="B3045" s="3" t="s">
        <v>310</v>
      </c>
      <c r="C3045" s="3" t="s">
        <v>21</v>
      </c>
      <c r="D3045" s="3" t="s">
        <v>21</v>
      </c>
      <c r="E3045" s="11" t="s">
        <v>144</v>
      </c>
      <c r="F3045" s="3" t="s">
        <v>8</v>
      </c>
      <c r="G3045" s="48" t="s">
        <v>1147</v>
      </c>
      <c r="H3045" s="8"/>
      <c r="I3045" s="8"/>
      <c r="J3045" s="6" t="s">
        <v>106</v>
      </c>
      <c r="K3045" s="38">
        <v>446529.91</v>
      </c>
      <c r="L3045" s="4" t="s">
        <v>25</v>
      </c>
      <c r="M3045" s="11">
        <f>_xlfn.NUMBERVALUE(LEFT(Table613612[[#This Row],[Fiscal Year]], 4))</f>
        <v>2017</v>
      </c>
      <c r="N3045" s="42">
        <f t="shared" si="49"/>
        <v>458428.2651293758</v>
      </c>
      <c r="O3045" s="3">
        <v>3043</v>
      </c>
    </row>
    <row r="3046" spans="1:15" x14ac:dyDescent="0.25">
      <c r="A3046" s="3">
        <v>9</v>
      </c>
      <c r="B3046" s="3" t="s">
        <v>310</v>
      </c>
      <c r="C3046" s="3" t="s">
        <v>21</v>
      </c>
      <c r="D3046" s="3" t="s">
        <v>21</v>
      </c>
      <c r="E3046" s="11" t="s">
        <v>144</v>
      </c>
      <c r="F3046" s="3" t="s">
        <v>8</v>
      </c>
      <c r="G3046" s="48" t="s">
        <v>1295</v>
      </c>
      <c r="H3046" s="8"/>
      <c r="I3046" s="8"/>
      <c r="J3046" s="6" t="s">
        <v>455</v>
      </c>
      <c r="K3046" s="38">
        <v>25575.23</v>
      </c>
      <c r="L3046" s="4" t="s">
        <v>25</v>
      </c>
      <c r="M3046" s="11">
        <f>_xlfn.NUMBERVALUE(LEFT(Table613612[[#This Row],[Fiscal Year]], 4))</f>
        <v>2017</v>
      </c>
      <c r="N3046" s="42">
        <f t="shared" si="49"/>
        <v>26256.714402815182</v>
      </c>
      <c r="O3046" s="3">
        <v>3044</v>
      </c>
    </row>
    <row r="3047" spans="1:15" x14ac:dyDescent="0.25">
      <c r="A3047" s="3">
        <v>9</v>
      </c>
      <c r="B3047" s="3" t="s">
        <v>310</v>
      </c>
      <c r="C3047" s="3" t="s">
        <v>21</v>
      </c>
      <c r="D3047" s="3" t="s">
        <v>21</v>
      </c>
      <c r="E3047" s="11" t="s">
        <v>144</v>
      </c>
      <c r="F3047" s="3" t="s">
        <v>8</v>
      </c>
      <c r="G3047" s="48" t="s">
        <v>1296</v>
      </c>
      <c r="H3047" s="44" t="s">
        <v>687</v>
      </c>
      <c r="I3047" s="70" t="s">
        <v>686</v>
      </c>
      <c r="J3047" s="6" t="s">
        <v>105</v>
      </c>
      <c r="K3047" s="38">
        <v>0</v>
      </c>
      <c r="L3047" s="4" t="s">
        <v>25</v>
      </c>
      <c r="M3047" s="11">
        <f>_xlfn.NUMBERVALUE(LEFT(Table613612[[#This Row],[Fiscal Year]], 4))</f>
        <v>2017</v>
      </c>
      <c r="N3047" s="42">
        <f t="shared" si="49"/>
        <v>0</v>
      </c>
      <c r="O3047" s="3">
        <v>3045</v>
      </c>
    </row>
    <row r="3048" spans="1:15" x14ac:dyDescent="0.25">
      <c r="A3048" s="3">
        <v>9</v>
      </c>
      <c r="B3048" s="3" t="s">
        <v>310</v>
      </c>
      <c r="C3048" s="3" t="s">
        <v>21</v>
      </c>
      <c r="D3048" s="3" t="s">
        <v>21</v>
      </c>
      <c r="E3048" s="11" t="s">
        <v>144</v>
      </c>
      <c r="F3048" s="3" t="s">
        <v>8</v>
      </c>
      <c r="G3048" s="48" t="s">
        <v>1303</v>
      </c>
      <c r="H3048" s="8"/>
      <c r="I3048" s="8"/>
      <c r="J3048" s="6" t="s">
        <v>455</v>
      </c>
      <c r="K3048" s="38">
        <v>0</v>
      </c>
      <c r="L3048" s="4" t="s">
        <v>25</v>
      </c>
      <c r="M3048" s="11">
        <f>_xlfn.NUMBERVALUE(LEFT(Table613612[[#This Row],[Fiscal Year]], 4))</f>
        <v>2017</v>
      </c>
      <c r="N3048" s="42">
        <f t="shared" si="49"/>
        <v>0</v>
      </c>
      <c r="O3048" s="3">
        <v>3046</v>
      </c>
    </row>
    <row r="3049" spans="1:15" x14ac:dyDescent="0.25">
      <c r="A3049" s="3">
        <v>9</v>
      </c>
      <c r="B3049" s="3" t="s">
        <v>310</v>
      </c>
      <c r="C3049" s="3" t="s">
        <v>21</v>
      </c>
      <c r="D3049" s="3" t="s">
        <v>21</v>
      </c>
      <c r="E3049" s="11" t="s">
        <v>144</v>
      </c>
      <c r="F3049" s="3" t="s">
        <v>8</v>
      </c>
      <c r="G3049" s="48" t="s">
        <v>1284</v>
      </c>
      <c r="H3049" s="8" t="s">
        <v>665</v>
      </c>
      <c r="I3049" s="70" t="s">
        <v>664</v>
      </c>
      <c r="J3049" s="6" t="s">
        <v>108</v>
      </c>
      <c r="K3049" s="38">
        <v>0</v>
      </c>
      <c r="L3049" s="4" t="s">
        <v>25</v>
      </c>
      <c r="M3049" s="11">
        <f>_xlfn.NUMBERVALUE(LEFT(Table613612[[#This Row],[Fiscal Year]], 4))</f>
        <v>2017</v>
      </c>
      <c r="N3049" s="42">
        <f t="shared" si="49"/>
        <v>0</v>
      </c>
      <c r="O3049" s="3">
        <v>3047</v>
      </c>
    </row>
    <row r="3050" spans="1:15" x14ac:dyDescent="0.25">
      <c r="A3050" s="3">
        <v>9</v>
      </c>
      <c r="B3050" s="3" t="s">
        <v>310</v>
      </c>
      <c r="C3050" s="3" t="s">
        <v>21</v>
      </c>
      <c r="D3050" s="3" t="s">
        <v>21</v>
      </c>
      <c r="E3050" s="11" t="s">
        <v>144</v>
      </c>
      <c r="F3050" s="3" t="s">
        <v>8</v>
      </c>
      <c r="G3050" s="48" t="s">
        <v>1304</v>
      </c>
      <c r="H3050" s="8"/>
      <c r="I3050" s="8"/>
      <c r="J3050" s="6" t="s">
        <v>108</v>
      </c>
      <c r="K3050" s="38">
        <v>8628.4</v>
      </c>
      <c r="L3050" s="4" t="s">
        <v>25</v>
      </c>
      <c r="M3050" s="11">
        <f>_xlfn.NUMBERVALUE(LEFT(Table613612[[#This Row],[Fiscal Year]], 4))</f>
        <v>2017</v>
      </c>
      <c r="N3050" s="42">
        <f t="shared" si="49"/>
        <v>8858.3146487148115</v>
      </c>
      <c r="O3050" s="3">
        <v>3048</v>
      </c>
    </row>
    <row r="3051" spans="1:15" x14ac:dyDescent="0.25">
      <c r="A3051" s="3">
        <v>9</v>
      </c>
      <c r="B3051" s="3" t="s">
        <v>310</v>
      </c>
      <c r="C3051" s="3" t="s">
        <v>21</v>
      </c>
      <c r="D3051" s="3" t="s">
        <v>21</v>
      </c>
      <c r="E3051" s="11" t="s">
        <v>144</v>
      </c>
      <c r="F3051" s="3" t="s">
        <v>8</v>
      </c>
      <c r="G3051" s="48" t="s">
        <v>1305</v>
      </c>
      <c r="H3051" s="8" t="s">
        <v>600</v>
      </c>
      <c r="I3051" s="8" t="s">
        <v>590</v>
      </c>
      <c r="J3051" s="6" t="s">
        <v>42</v>
      </c>
      <c r="K3051" s="38">
        <v>275671.93</v>
      </c>
      <c r="L3051" s="4" t="s">
        <v>25</v>
      </c>
      <c r="M3051" s="11">
        <f>_xlfn.NUMBERVALUE(LEFT(Table613612[[#This Row],[Fiscal Year]], 4))</f>
        <v>2017</v>
      </c>
      <c r="N3051" s="42">
        <f t="shared" si="49"/>
        <v>283017.55780428398</v>
      </c>
      <c r="O3051" s="3">
        <v>3049</v>
      </c>
    </row>
    <row r="3052" spans="1:15" x14ac:dyDescent="0.25">
      <c r="A3052" s="3">
        <v>9</v>
      </c>
      <c r="B3052" s="3" t="s">
        <v>310</v>
      </c>
      <c r="C3052" s="3" t="s">
        <v>21</v>
      </c>
      <c r="D3052" s="3" t="s">
        <v>21</v>
      </c>
      <c r="E3052" s="11" t="s">
        <v>144</v>
      </c>
      <c r="F3052" s="3" t="s">
        <v>8</v>
      </c>
      <c r="G3052" s="66" t="s">
        <v>1306</v>
      </c>
      <c r="H3052" s="8"/>
      <c r="I3052" s="8"/>
      <c r="J3052" s="6" t="s">
        <v>108</v>
      </c>
      <c r="K3052" s="38">
        <v>8240739.1600000001</v>
      </c>
      <c r="L3052" s="4" t="s">
        <v>25</v>
      </c>
      <c r="M3052" s="11">
        <f>_xlfn.NUMBERVALUE(LEFT(Table613612[[#This Row],[Fiscal Year]], 4))</f>
        <v>2017</v>
      </c>
      <c r="N3052" s="42">
        <f t="shared" si="49"/>
        <v>8460324.0945326816</v>
      </c>
      <c r="O3052" s="3">
        <v>3050</v>
      </c>
    </row>
    <row r="3053" spans="1:15" x14ac:dyDescent="0.25">
      <c r="A3053" s="3">
        <v>9</v>
      </c>
      <c r="B3053" s="3" t="s">
        <v>310</v>
      </c>
      <c r="C3053" s="3" t="s">
        <v>21</v>
      </c>
      <c r="D3053" s="3" t="s">
        <v>21</v>
      </c>
      <c r="E3053" s="11" t="s">
        <v>144</v>
      </c>
      <c r="F3053" s="3" t="s">
        <v>8</v>
      </c>
      <c r="G3053" s="66" t="s">
        <v>1307</v>
      </c>
      <c r="H3053" s="8"/>
      <c r="I3053" s="8"/>
      <c r="J3053" s="6" t="s">
        <v>76</v>
      </c>
      <c r="K3053" s="38">
        <v>169162</v>
      </c>
      <c r="L3053" s="4" t="s">
        <v>25</v>
      </c>
      <c r="M3053" s="11">
        <f>_xlfn.NUMBERVALUE(LEFT(Table613612[[#This Row],[Fiscal Year]], 4))</f>
        <v>2017</v>
      </c>
      <c r="N3053" s="42">
        <f t="shared" si="49"/>
        <v>173669.53578947371</v>
      </c>
      <c r="O3053" s="3">
        <v>3051</v>
      </c>
    </row>
    <row r="3054" spans="1:15" x14ac:dyDescent="0.25">
      <c r="A3054" s="3">
        <v>9</v>
      </c>
      <c r="B3054" s="3" t="s">
        <v>310</v>
      </c>
      <c r="C3054" s="3" t="s">
        <v>21</v>
      </c>
      <c r="D3054" s="3" t="s">
        <v>21</v>
      </c>
      <c r="E3054" s="11" t="s">
        <v>144</v>
      </c>
      <c r="F3054" s="3" t="s">
        <v>8</v>
      </c>
      <c r="G3054" s="61" t="s">
        <v>361</v>
      </c>
      <c r="H3054" s="8" t="s">
        <v>688</v>
      </c>
      <c r="I3054" s="70" t="s">
        <v>686</v>
      </c>
      <c r="J3054" s="6" t="s">
        <v>455</v>
      </c>
      <c r="K3054" s="38" t="s">
        <v>827</v>
      </c>
      <c r="L3054" s="4" t="s">
        <v>25</v>
      </c>
      <c r="M3054" s="11">
        <f>_xlfn.NUMBERVALUE(LEFT(Table613612[[#This Row],[Fiscal Year]], 4))</f>
        <v>2017</v>
      </c>
      <c r="O3054" s="3">
        <v>3052</v>
      </c>
    </row>
    <row r="3055" spans="1:15" x14ac:dyDescent="0.25">
      <c r="A3055" s="3">
        <v>9</v>
      </c>
      <c r="B3055" s="3" t="s">
        <v>310</v>
      </c>
      <c r="C3055" s="3" t="s">
        <v>21</v>
      </c>
      <c r="D3055" s="3" t="s">
        <v>21</v>
      </c>
      <c r="E3055" s="11" t="s">
        <v>144</v>
      </c>
      <c r="F3055" s="3" t="s">
        <v>8</v>
      </c>
      <c r="G3055" s="69" t="s">
        <v>362</v>
      </c>
      <c r="H3055" s="8" t="s">
        <v>595</v>
      </c>
      <c r="I3055" s="8" t="s">
        <v>590</v>
      </c>
      <c r="J3055" s="6" t="s">
        <v>455</v>
      </c>
      <c r="K3055" s="38" t="s">
        <v>827</v>
      </c>
      <c r="L3055" s="4" t="s">
        <v>25</v>
      </c>
      <c r="M3055" s="11">
        <f>_xlfn.NUMBERVALUE(LEFT(Table613612[[#This Row],[Fiscal Year]], 4))</f>
        <v>2017</v>
      </c>
      <c r="O3055" s="3">
        <v>3053</v>
      </c>
    </row>
    <row r="3056" spans="1:15" x14ac:dyDescent="0.25">
      <c r="A3056" s="3">
        <v>9</v>
      </c>
      <c r="B3056" s="3" t="s">
        <v>310</v>
      </c>
      <c r="C3056" s="3" t="s">
        <v>21</v>
      </c>
      <c r="D3056" s="3" t="s">
        <v>21</v>
      </c>
      <c r="E3056" s="11" t="s">
        <v>144</v>
      </c>
      <c r="F3056" s="3" t="s">
        <v>8</v>
      </c>
      <c r="G3056" s="69" t="s">
        <v>363</v>
      </c>
      <c r="H3056" s="8" t="s">
        <v>596</v>
      </c>
      <c r="I3056" s="8"/>
      <c r="J3056" s="6" t="s">
        <v>111</v>
      </c>
      <c r="K3056" s="38" t="s">
        <v>827</v>
      </c>
      <c r="L3056" s="4" t="s">
        <v>25</v>
      </c>
      <c r="M3056" s="11">
        <f>_xlfn.NUMBERVALUE(LEFT(Table613612[[#This Row],[Fiscal Year]], 4))</f>
        <v>2017</v>
      </c>
      <c r="O3056" s="3">
        <v>3054</v>
      </c>
    </row>
    <row r="3057" spans="1:15" x14ac:dyDescent="0.25">
      <c r="A3057" s="3">
        <v>9</v>
      </c>
      <c r="B3057" s="3" t="s">
        <v>310</v>
      </c>
      <c r="C3057" s="3" t="s">
        <v>21</v>
      </c>
      <c r="D3057" s="3" t="s">
        <v>21</v>
      </c>
      <c r="E3057" s="11" t="s">
        <v>144</v>
      </c>
      <c r="F3057" s="3" t="s">
        <v>8</v>
      </c>
      <c r="G3057" s="69" t="s">
        <v>336</v>
      </c>
      <c r="H3057" s="8"/>
      <c r="I3057" s="8"/>
      <c r="J3057" s="6" t="s">
        <v>108</v>
      </c>
      <c r="K3057" s="38" t="s">
        <v>827</v>
      </c>
      <c r="L3057" s="4" t="s">
        <v>25</v>
      </c>
      <c r="M3057" s="11">
        <f>_xlfn.NUMBERVALUE(LEFT(Table613612[[#This Row],[Fiscal Year]], 4))</f>
        <v>2017</v>
      </c>
      <c r="O3057" s="3">
        <v>3055</v>
      </c>
    </row>
    <row r="3058" spans="1:15" x14ac:dyDescent="0.25">
      <c r="A3058" s="3">
        <v>9</v>
      </c>
      <c r="B3058" s="3" t="s">
        <v>310</v>
      </c>
      <c r="C3058" s="3" t="s">
        <v>21</v>
      </c>
      <c r="D3058" s="3" t="s">
        <v>21</v>
      </c>
      <c r="E3058" s="11" t="s">
        <v>144</v>
      </c>
      <c r="F3058" s="3" t="s">
        <v>8</v>
      </c>
      <c r="G3058" s="69" t="s">
        <v>364</v>
      </c>
      <c r="H3058" s="8"/>
      <c r="I3058" s="8"/>
      <c r="J3058" s="6" t="s">
        <v>108</v>
      </c>
      <c r="K3058" s="38" t="s">
        <v>827</v>
      </c>
      <c r="L3058" s="4" t="s">
        <v>25</v>
      </c>
      <c r="M3058" s="11">
        <f>_xlfn.NUMBERVALUE(LEFT(Table613612[[#This Row],[Fiscal Year]], 4))</f>
        <v>2017</v>
      </c>
      <c r="O3058" s="3">
        <v>3056</v>
      </c>
    </row>
    <row r="3059" spans="1:15" x14ac:dyDescent="0.25">
      <c r="A3059" s="3">
        <v>9</v>
      </c>
      <c r="B3059" s="3" t="s">
        <v>310</v>
      </c>
      <c r="C3059" s="3" t="s">
        <v>21</v>
      </c>
      <c r="D3059" s="3" t="s">
        <v>21</v>
      </c>
      <c r="E3059" s="11" t="s">
        <v>144</v>
      </c>
      <c r="F3059" s="3" t="s">
        <v>8</v>
      </c>
      <c r="G3059" s="69" t="s">
        <v>365</v>
      </c>
      <c r="H3059" s="8"/>
      <c r="I3059" s="8"/>
      <c r="J3059" s="6" t="s">
        <v>108</v>
      </c>
      <c r="K3059" s="38" t="s">
        <v>827</v>
      </c>
      <c r="L3059" s="4" t="s">
        <v>25</v>
      </c>
      <c r="M3059" s="11">
        <f>_xlfn.NUMBERVALUE(LEFT(Table613612[[#This Row],[Fiscal Year]], 4))</f>
        <v>2017</v>
      </c>
      <c r="O3059" s="3">
        <v>3057</v>
      </c>
    </row>
    <row r="3060" spans="1:15" x14ac:dyDescent="0.25">
      <c r="A3060" s="3">
        <v>9</v>
      </c>
      <c r="B3060" s="3" t="s">
        <v>310</v>
      </c>
      <c r="C3060" s="3" t="s">
        <v>21</v>
      </c>
      <c r="D3060" s="3" t="s">
        <v>21</v>
      </c>
      <c r="E3060" s="11" t="s">
        <v>144</v>
      </c>
      <c r="F3060" s="3" t="s">
        <v>8</v>
      </c>
      <c r="G3060" s="63" t="s">
        <v>366</v>
      </c>
      <c r="H3060" s="8"/>
      <c r="I3060" s="8"/>
      <c r="J3060" s="6" t="s">
        <v>455</v>
      </c>
      <c r="K3060" s="38">
        <v>38527.89</v>
      </c>
      <c r="L3060" s="4" t="s">
        <v>25</v>
      </c>
      <c r="M3060" s="11">
        <f>_xlfn.NUMBERVALUE(LEFT(Table613612[[#This Row],[Fiscal Year]], 4))</f>
        <v>2017</v>
      </c>
      <c r="N3060" s="42">
        <f t="shared" si="49"/>
        <v>39554.514437331709</v>
      </c>
      <c r="O3060" s="3">
        <v>3058</v>
      </c>
    </row>
    <row r="3061" spans="1:15" x14ac:dyDescent="0.25">
      <c r="A3061" s="3">
        <v>9</v>
      </c>
      <c r="B3061" s="3" t="s">
        <v>310</v>
      </c>
      <c r="C3061" s="3" t="s">
        <v>21</v>
      </c>
      <c r="D3061" s="3" t="s">
        <v>21</v>
      </c>
      <c r="E3061" s="11" t="s">
        <v>144</v>
      </c>
      <c r="F3061" s="3" t="s">
        <v>8</v>
      </c>
      <c r="G3061" s="63" t="s">
        <v>367</v>
      </c>
      <c r="H3061" s="8"/>
      <c r="I3061" s="8"/>
      <c r="J3061" s="6" t="s">
        <v>605</v>
      </c>
      <c r="K3061" s="38">
        <v>246173.86</v>
      </c>
      <c r="L3061" s="4" t="s">
        <v>25</v>
      </c>
      <c r="M3061" s="11">
        <f>_xlfn.NUMBERVALUE(LEFT(Table613612[[#This Row],[Fiscal Year]], 4))</f>
        <v>2017</v>
      </c>
      <c r="N3061" s="42">
        <f t="shared" si="49"/>
        <v>252733.47436009793</v>
      </c>
      <c r="O3061" s="3">
        <v>3059</v>
      </c>
    </row>
    <row r="3062" spans="1:15" x14ac:dyDescent="0.25">
      <c r="E3062" s="11"/>
      <c r="G3062" s="66"/>
      <c r="H3062" s="8"/>
      <c r="I3062" s="8"/>
      <c r="J3062" s="6"/>
      <c r="L3062" s="4"/>
      <c r="O3062" s="3">
        <v>3060</v>
      </c>
    </row>
    <row r="3063" spans="1:15" x14ac:dyDescent="0.25">
      <c r="A3063" s="3">
        <v>9</v>
      </c>
      <c r="B3063" s="3" t="s">
        <v>311</v>
      </c>
      <c r="C3063" s="3" t="s">
        <v>21</v>
      </c>
      <c r="D3063" s="3" t="s">
        <v>21</v>
      </c>
      <c r="E3063" s="11" t="s">
        <v>144</v>
      </c>
      <c r="F3063" s="3" t="s">
        <v>8</v>
      </c>
      <c r="G3063" s="48" t="s">
        <v>1308</v>
      </c>
      <c r="H3063" s="8" t="s">
        <v>689</v>
      </c>
      <c r="I3063" s="8"/>
      <c r="J3063" s="6" t="s">
        <v>110</v>
      </c>
      <c r="K3063" s="38">
        <v>358560.58</v>
      </c>
      <c r="L3063" s="4" t="s">
        <v>25</v>
      </c>
      <c r="M3063" s="11">
        <f>_xlfn.NUMBERVALUE(LEFT(Table613612[[#This Row],[Fiscal Year]], 4))</f>
        <v>2017</v>
      </c>
      <c r="N3063" s="42">
        <f t="shared" si="49"/>
        <v>368114.88088935136</v>
      </c>
      <c r="O3063" s="3">
        <v>3061</v>
      </c>
    </row>
    <row r="3064" spans="1:15" x14ac:dyDescent="0.25">
      <c r="A3064" s="3">
        <v>9</v>
      </c>
      <c r="B3064" s="3" t="s">
        <v>311</v>
      </c>
      <c r="C3064" s="3" t="s">
        <v>21</v>
      </c>
      <c r="D3064" s="3" t="s">
        <v>21</v>
      </c>
      <c r="E3064" s="11" t="s">
        <v>144</v>
      </c>
      <c r="F3064" s="3" t="s">
        <v>8</v>
      </c>
      <c r="G3064" s="48" t="s">
        <v>1309</v>
      </c>
      <c r="H3064" s="8"/>
      <c r="I3064" s="8"/>
      <c r="J3064" s="6" t="s">
        <v>110</v>
      </c>
      <c r="K3064" s="38">
        <v>20868.07</v>
      </c>
      <c r="L3064" s="4" t="s">
        <v>25</v>
      </c>
      <c r="M3064" s="11">
        <f>_xlfn.NUMBERVALUE(LEFT(Table613612[[#This Row],[Fiscal Year]], 4))</f>
        <v>2017</v>
      </c>
      <c r="N3064" s="42">
        <f t="shared" si="49"/>
        <v>21424.12616144431</v>
      </c>
      <c r="O3064" s="3">
        <v>3062</v>
      </c>
    </row>
    <row r="3065" spans="1:15" x14ac:dyDescent="0.25">
      <c r="A3065" s="3">
        <v>9</v>
      </c>
      <c r="B3065" s="3" t="s">
        <v>311</v>
      </c>
      <c r="C3065" s="3" t="s">
        <v>21</v>
      </c>
      <c r="D3065" s="3" t="s">
        <v>21</v>
      </c>
      <c r="E3065" s="11" t="s">
        <v>144</v>
      </c>
      <c r="F3065" s="3" t="s">
        <v>8</v>
      </c>
      <c r="G3065" s="48" t="s">
        <v>1310</v>
      </c>
      <c r="H3065" s="8"/>
      <c r="I3065" s="8"/>
      <c r="J3065" s="6" t="s">
        <v>110</v>
      </c>
      <c r="K3065" s="38">
        <v>5001.37</v>
      </c>
      <c r="L3065" s="4" t="s">
        <v>25</v>
      </c>
      <c r="M3065" s="11">
        <f>_xlfn.NUMBERVALUE(LEFT(Table613612[[#This Row],[Fiscal Year]], 4))</f>
        <v>2017</v>
      </c>
      <c r="N3065" s="42">
        <f t="shared" si="49"/>
        <v>5134.6378395348838</v>
      </c>
      <c r="O3065" s="3">
        <v>3063</v>
      </c>
    </row>
    <row r="3066" spans="1:15" x14ac:dyDescent="0.25">
      <c r="A3066" s="3">
        <v>9</v>
      </c>
      <c r="B3066" s="3" t="s">
        <v>311</v>
      </c>
      <c r="C3066" s="3" t="s">
        <v>21</v>
      </c>
      <c r="D3066" s="3" t="s">
        <v>21</v>
      </c>
      <c r="E3066" s="11" t="s">
        <v>144</v>
      </c>
      <c r="F3066" s="3" t="s">
        <v>8</v>
      </c>
      <c r="G3066" s="48" t="s">
        <v>1311</v>
      </c>
      <c r="H3066" s="8"/>
      <c r="I3066" s="8"/>
      <c r="J3066" s="6" t="s">
        <v>108</v>
      </c>
      <c r="K3066" s="38">
        <v>149570.26999999999</v>
      </c>
      <c r="L3066" s="4" t="s">
        <v>25</v>
      </c>
      <c r="M3066" s="11">
        <f>_xlfn.NUMBERVALUE(LEFT(Table613612[[#This Row],[Fiscal Year]], 4))</f>
        <v>2017</v>
      </c>
      <c r="N3066" s="42">
        <f t="shared" si="49"/>
        <v>153555.75932423503</v>
      </c>
      <c r="O3066" s="3">
        <v>3064</v>
      </c>
    </row>
    <row r="3067" spans="1:15" x14ac:dyDescent="0.25">
      <c r="A3067" s="3">
        <v>9</v>
      </c>
      <c r="B3067" s="3" t="s">
        <v>311</v>
      </c>
      <c r="C3067" s="3" t="s">
        <v>21</v>
      </c>
      <c r="D3067" s="3" t="s">
        <v>21</v>
      </c>
      <c r="E3067" s="11" t="s">
        <v>144</v>
      </c>
      <c r="F3067" s="3" t="s">
        <v>8</v>
      </c>
      <c r="G3067" s="48" t="s">
        <v>1312</v>
      </c>
      <c r="H3067" s="8"/>
      <c r="I3067" s="8"/>
      <c r="J3067" s="6" t="s">
        <v>108</v>
      </c>
      <c r="K3067" s="38">
        <v>0</v>
      </c>
      <c r="L3067" s="4" t="s">
        <v>25</v>
      </c>
      <c r="M3067" s="11">
        <f>_xlfn.NUMBERVALUE(LEFT(Table613612[[#This Row],[Fiscal Year]], 4))</f>
        <v>2017</v>
      </c>
      <c r="N3067" s="42">
        <f t="shared" si="49"/>
        <v>0</v>
      </c>
      <c r="O3067" s="3">
        <v>3065</v>
      </c>
    </row>
    <row r="3068" spans="1:15" x14ac:dyDescent="0.25">
      <c r="A3068" s="3">
        <v>9</v>
      </c>
      <c r="B3068" s="3" t="s">
        <v>311</v>
      </c>
      <c r="C3068" s="3" t="s">
        <v>21</v>
      </c>
      <c r="D3068" s="3" t="s">
        <v>21</v>
      </c>
      <c r="E3068" s="11" t="s">
        <v>144</v>
      </c>
      <c r="F3068" s="3" t="s">
        <v>8</v>
      </c>
      <c r="G3068" s="48" t="s">
        <v>1313</v>
      </c>
      <c r="H3068" s="8"/>
      <c r="I3068" s="8"/>
      <c r="J3068" s="6" t="s">
        <v>108</v>
      </c>
      <c r="K3068" s="38">
        <v>0</v>
      </c>
      <c r="L3068" s="4" t="s">
        <v>25</v>
      </c>
      <c r="M3068" s="11">
        <f>_xlfn.NUMBERVALUE(LEFT(Table613612[[#This Row],[Fiscal Year]], 4))</f>
        <v>2017</v>
      </c>
      <c r="N3068" s="42">
        <f t="shared" si="49"/>
        <v>0</v>
      </c>
      <c r="O3068" s="3">
        <v>3066</v>
      </c>
    </row>
    <row r="3069" spans="1:15" x14ac:dyDescent="0.25">
      <c r="A3069" s="3">
        <v>9</v>
      </c>
      <c r="B3069" s="3" t="s">
        <v>311</v>
      </c>
      <c r="C3069" s="3" t="s">
        <v>21</v>
      </c>
      <c r="D3069" s="3" t="s">
        <v>21</v>
      </c>
      <c r="E3069" s="11" t="s">
        <v>144</v>
      </c>
      <c r="F3069" s="3" t="s">
        <v>8</v>
      </c>
      <c r="G3069" s="48" t="s">
        <v>1314</v>
      </c>
      <c r="H3069" s="8"/>
      <c r="I3069" s="8"/>
      <c r="J3069" s="6" t="s">
        <v>108</v>
      </c>
      <c r="K3069" s="38">
        <v>26615.33</v>
      </c>
      <c r="L3069" s="4" t="s">
        <v>25</v>
      </c>
      <c r="M3069" s="11">
        <f>_xlfn.NUMBERVALUE(LEFT(Table613612[[#This Row],[Fiscal Year]], 4))</f>
        <v>2017</v>
      </c>
      <c r="N3069" s="42">
        <f t="shared" si="49"/>
        <v>27324.529184944924</v>
      </c>
      <c r="O3069" s="3">
        <v>3067</v>
      </c>
    </row>
    <row r="3070" spans="1:15" x14ac:dyDescent="0.25">
      <c r="A3070" s="3">
        <v>9</v>
      </c>
      <c r="B3070" s="3" t="s">
        <v>311</v>
      </c>
      <c r="C3070" s="3" t="s">
        <v>21</v>
      </c>
      <c r="D3070" s="3" t="s">
        <v>21</v>
      </c>
      <c r="E3070" s="11" t="s">
        <v>144</v>
      </c>
      <c r="F3070" s="3" t="s">
        <v>8</v>
      </c>
      <c r="G3070" s="48" t="s">
        <v>1315</v>
      </c>
      <c r="H3070" s="8"/>
      <c r="I3070" s="8"/>
      <c r="J3070" s="6" t="s">
        <v>108</v>
      </c>
      <c r="K3070" s="38">
        <v>61.64</v>
      </c>
      <c r="L3070" s="4" t="s">
        <v>25</v>
      </c>
      <c r="M3070" s="11">
        <f>_xlfn.NUMBERVALUE(LEFT(Table613612[[#This Row],[Fiscal Year]], 4))</f>
        <v>2017</v>
      </c>
      <c r="N3070" s="42">
        <f t="shared" si="49"/>
        <v>63.282475887392906</v>
      </c>
      <c r="O3070" s="3">
        <v>3068</v>
      </c>
    </row>
    <row r="3071" spans="1:15" x14ac:dyDescent="0.25">
      <c r="A3071" s="3">
        <v>9</v>
      </c>
      <c r="B3071" s="3" t="s">
        <v>311</v>
      </c>
      <c r="C3071" s="3" t="s">
        <v>21</v>
      </c>
      <c r="D3071" s="3" t="s">
        <v>21</v>
      </c>
      <c r="E3071" s="11" t="s">
        <v>144</v>
      </c>
      <c r="F3071" s="3" t="s">
        <v>8</v>
      </c>
      <c r="G3071" s="48" t="s">
        <v>1316</v>
      </c>
      <c r="H3071" s="8"/>
      <c r="I3071" s="8"/>
      <c r="J3071" s="6" t="s">
        <v>108</v>
      </c>
      <c r="K3071" s="38">
        <v>1428.03</v>
      </c>
      <c r="L3071" s="4" t="s">
        <v>25</v>
      </c>
      <c r="M3071" s="11">
        <f>_xlfn.NUMBERVALUE(LEFT(Table613612[[#This Row],[Fiscal Year]], 4))</f>
        <v>2017</v>
      </c>
      <c r="N3071" s="42">
        <f t="shared" si="49"/>
        <v>1466.0816684210529</v>
      </c>
      <c r="O3071" s="3">
        <v>3069</v>
      </c>
    </row>
    <row r="3072" spans="1:15" x14ac:dyDescent="0.25">
      <c r="A3072" s="3">
        <v>9</v>
      </c>
      <c r="B3072" s="3" t="s">
        <v>311</v>
      </c>
      <c r="C3072" s="3" t="s">
        <v>21</v>
      </c>
      <c r="D3072" s="3" t="s">
        <v>21</v>
      </c>
      <c r="E3072" s="11" t="s">
        <v>144</v>
      </c>
      <c r="F3072" s="3" t="s">
        <v>8</v>
      </c>
      <c r="G3072" s="48" t="s">
        <v>1317</v>
      </c>
      <c r="H3072" s="8"/>
      <c r="I3072" s="8"/>
      <c r="J3072" s="6" t="s">
        <v>108</v>
      </c>
      <c r="K3072" s="38">
        <v>0</v>
      </c>
      <c r="L3072" s="4" t="s">
        <v>25</v>
      </c>
      <c r="M3072" s="11">
        <f>_xlfn.NUMBERVALUE(LEFT(Table613612[[#This Row],[Fiscal Year]], 4))</f>
        <v>2017</v>
      </c>
      <c r="N3072" s="42">
        <f t="shared" si="49"/>
        <v>0</v>
      </c>
      <c r="O3072" s="3">
        <v>3070</v>
      </c>
    </row>
    <row r="3073" spans="1:15" x14ac:dyDescent="0.25">
      <c r="A3073" s="3">
        <v>9</v>
      </c>
      <c r="B3073" s="3" t="s">
        <v>311</v>
      </c>
      <c r="C3073" s="3" t="s">
        <v>21</v>
      </c>
      <c r="D3073" s="3" t="s">
        <v>21</v>
      </c>
      <c r="E3073" s="11" t="s">
        <v>144</v>
      </c>
      <c r="F3073" s="3" t="s">
        <v>8</v>
      </c>
      <c r="G3073" s="48" t="s">
        <v>1318</v>
      </c>
      <c r="H3073" s="8"/>
      <c r="I3073" s="8"/>
      <c r="J3073" s="6" t="s">
        <v>108</v>
      </c>
      <c r="K3073" s="38">
        <v>22170.639999999999</v>
      </c>
      <c r="L3073" s="4" t="s">
        <v>25</v>
      </c>
      <c r="M3073" s="11">
        <f>_xlfn.NUMBERVALUE(LEFT(Table613612[[#This Row],[Fiscal Year]], 4))</f>
        <v>2017</v>
      </c>
      <c r="N3073" s="42">
        <f t="shared" si="49"/>
        <v>22761.404789228887</v>
      </c>
      <c r="O3073" s="3">
        <v>3071</v>
      </c>
    </row>
    <row r="3074" spans="1:15" x14ac:dyDescent="0.25">
      <c r="A3074" s="3">
        <v>9</v>
      </c>
      <c r="B3074" s="3" t="s">
        <v>311</v>
      </c>
      <c r="C3074" s="3" t="s">
        <v>21</v>
      </c>
      <c r="D3074" s="3" t="s">
        <v>21</v>
      </c>
      <c r="E3074" s="11" t="s">
        <v>144</v>
      </c>
      <c r="F3074" s="3" t="s">
        <v>8</v>
      </c>
      <c r="G3074" s="48" t="s">
        <v>1319</v>
      </c>
      <c r="H3074" s="8"/>
      <c r="I3074" s="8"/>
      <c r="J3074" s="6" t="s">
        <v>108</v>
      </c>
      <c r="K3074" s="38">
        <v>32.1</v>
      </c>
      <c r="L3074" s="4" t="s">
        <v>25</v>
      </c>
      <c r="M3074" s="11">
        <f>_xlfn.NUMBERVALUE(LEFT(Table613612[[#This Row],[Fiscal Year]], 4))</f>
        <v>2017</v>
      </c>
      <c r="N3074" s="42">
        <f t="shared" ref="N3074:N3131" si="50">K3074*(1+VLOOKUP(M3074,$AF$8:$AH$31,3,0))</f>
        <v>32.955345165238683</v>
      </c>
      <c r="O3074" s="3">
        <v>3072</v>
      </c>
    </row>
    <row r="3075" spans="1:15" x14ac:dyDescent="0.25">
      <c r="A3075" s="3">
        <v>9</v>
      </c>
      <c r="B3075" s="3" t="s">
        <v>311</v>
      </c>
      <c r="C3075" s="3" t="s">
        <v>21</v>
      </c>
      <c r="D3075" s="3" t="s">
        <v>21</v>
      </c>
      <c r="E3075" s="11" t="s">
        <v>144</v>
      </c>
      <c r="F3075" s="3" t="s">
        <v>8</v>
      </c>
      <c r="G3075" s="48" t="s">
        <v>1320</v>
      </c>
      <c r="H3075" s="8"/>
      <c r="I3075" s="8"/>
      <c r="J3075" s="6" t="s">
        <v>108</v>
      </c>
      <c r="K3075" s="38">
        <v>139899.95000000001</v>
      </c>
      <c r="L3075" s="4" t="s">
        <v>25</v>
      </c>
      <c r="M3075" s="11">
        <f>_xlfn.NUMBERVALUE(LEFT(Table613612[[#This Row],[Fiscal Year]], 4))</f>
        <v>2017</v>
      </c>
      <c r="N3075" s="42">
        <f t="shared" si="50"/>
        <v>143627.76139718486</v>
      </c>
      <c r="O3075" s="3">
        <v>3073</v>
      </c>
    </row>
    <row r="3076" spans="1:15" x14ac:dyDescent="0.25">
      <c r="A3076" s="3">
        <v>9</v>
      </c>
      <c r="B3076" s="3" t="s">
        <v>311</v>
      </c>
      <c r="C3076" s="3" t="s">
        <v>21</v>
      </c>
      <c r="D3076" s="3" t="s">
        <v>21</v>
      </c>
      <c r="E3076" s="11" t="s">
        <v>144</v>
      </c>
      <c r="F3076" s="3" t="s">
        <v>8</v>
      </c>
      <c r="G3076" s="48" t="s">
        <v>1321</v>
      </c>
      <c r="H3076" s="8"/>
      <c r="I3076" s="8"/>
      <c r="J3076" s="6" t="s">
        <v>108</v>
      </c>
      <c r="K3076" s="38">
        <v>27.2</v>
      </c>
      <c r="L3076" s="4" t="s">
        <v>25</v>
      </c>
      <c r="M3076" s="11">
        <f>_xlfn.NUMBERVALUE(LEFT(Table613612[[#This Row],[Fiscal Year]], 4))</f>
        <v>2017</v>
      </c>
      <c r="N3076" s="42">
        <f t="shared" si="50"/>
        <v>27.924778457772341</v>
      </c>
      <c r="O3076" s="3">
        <v>3074</v>
      </c>
    </row>
    <row r="3077" spans="1:15" x14ac:dyDescent="0.25">
      <c r="A3077" s="3">
        <v>9</v>
      </c>
      <c r="B3077" s="3" t="s">
        <v>311</v>
      </c>
      <c r="C3077" s="3" t="s">
        <v>21</v>
      </c>
      <c r="D3077" s="3" t="s">
        <v>21</v>
      </c>
      <c r="E3077" s="11" t="s">
        <v>144</v>
      </c>
      <c r="F3077" s="3" t="s">
        <v>8</v>
      </c>
      <c r="G3077" s="48" t="s">
        <v>1322</v>
      </c>
      <c r="H3077" s="8"/>
      <c r="I3077" s="8"/>
      <c r="J3077" s="6" t="s">
        <v>108</v>
      </c>
      <c r="K3077" s="38">
        <v>0</v>
      </c>
      <c r="L3077" s="4" t="s">
        <v>25</v>
      </c>
      <c r="M3077" s="11">
        <f>_xlfn.NUMBERVALUE(LEFT(Table613612[[#This Row],[Fiscal Year]], 4))</f>
        <v>2017</v>
      </c>
      <c r="N3077" s="42">
        <f t="shared" si="50"/>
        <v>0</v>
      </c>
      <c r="O3077" s="3">
        <v>3075</v>
      </c>
    </row>
    <row r="3078" spans="1:15" x14ac:dyDescent="0.25">
      <c r="A3078" s="3">
        <v>9</v>
      </c>
      <c r="B3078" s="3" t="s">
        <v>311</v>
      </c>
      <c r="C3078" s="3" t="s">
        <v>21</v>
      </c>
      <c r="D3078" s="3" t="s">
        <v>21</v>
      </c>
      <c r="E3078" s="11" t="s">
        <v>144</v>
      </c>
      <c r="F3078" s="3" t="s">
        <v>8</v>
      </c>
      <c r="G3078" s="48" t="s">
        <v>1323</v>
      </c>
      <c r="H3078" s="8"/>
      <c r="I3078" s="8"/>
      <c r="J3078" s="6" t="s">
        <v>108</v>
      </c>
      <c r="K3078" s="38">
        <v>3182.91</v>
      </c>
      <c r="L3078" s="4" t="s">
        <v>25</v>
      </c>
      <c r="M3078" s="11">
        <f>_xlfn.NUMBERVALUE(LEFT(Table613612[[#This Row],[Fiscal Year]], 4))</f>
        <v>2017</v>
      </c>
      <c r="N3078" s="42">
        <f t="shared" si="50"/>
        <v>3267.722669155447</v>
      </c>
      <c r="O3078" s="3">
        <v>3076</v>
      </c>
    </row>
    <row r="3079" spans="1:15" x14ac:dyDescent="0.25">
      <c r="A3079" s="3">
        <v>9</v>
      </c>
      <c r="B3079" s="3" t="s">
        <v>311</v>
      </c>
      <c r="C3079" s="3" t="s">
        <v>21</v>
      </c>
      <c r="D3079" s="3" t="s">
        <v>21</v>
      </c>
      <c r="E3079" s="11" t="s">
        <v>144</v>
      </c>
      <c r="F3079" s="3" t="s">
        <v>8</v>
      </c>
      <c r="G3079" s="48" t="s">
        <v>1324</v>
      </c>
      <c r="H3079" s="8"/>
      <c r="I3079" s="8"/>
      <c r="J3079" s="6" t="s">
        <v>108</v>
      </c>
      <c r="K3079" s="38">
        <v>670</v>
      </c>
      <c r="L3079" s="4" t="s">
        <v>25</v>
      </c>
      <c r="M3079" s="11">
        <f>_xlfn.NUMBERVALUE(LEFT(Table613612[[#This Row],[Fiscal Year]], 4))</f>
        <v>2017</v>
      </c>
      <c r="N3079" s="42">
        <f t="shared" si="50"/>
        <v>687.85299877600983</v>
      </c>
      <c r="O3079" s="3">
        <v>3077</v>
      </c>
    </row>
    <row r="3080" spans="1:15" x14ac:dyDescent="0.25">
      <c r="A3080" s="3">
        <v>9</v>
      </c>
      <c r="B3080" s="3" t="s">
        <v>311</v>
      </c>
      <c r="C3080" s="3" t="s">
        <v>21</v>
      </c>
      <c r="D3080" s="3" t="s">
        <v>21</v>
      </c>
      <c r="E3080" s="11" t="s">
        <v>144</v>
      </c>
      <c r="F3080" s="3" t="s">
        <v>8</v>
      </c>
      <c r="G3080" s="48" t="s">
        <v>1325</v>
      </c>
      <c r="H3080" s="8"/>
      <c r="I3080" s="8"/>
      <c r="J3080" s="6" t="s">
        <v>108</v>
      </c>
      <c r="K3080" s="38">
        <v>55.66</v>
      </c>
      <c r="L3080" s="4" t="s">
        <v>25</v>
      </c>
      <c r="M3080" s="11">
        <f>_xlfn.NUMBERVALUE(LEFT(Table613612[[#This Row],[Fiscal Year]], 4))</f>
        <v>2017</v>
      </c>
      <c r="N3080" s="42">
        <f t="shared" si="50"/>
        <v>57.143131211750308</v>
      </c>
      <c r="O3080" s="3">
        <v>3078</v>
      </c>
    </row>
    <row r="3081" spans="1:15" x14ac:dyDescent="0.25">
      <c r="A3081" s="3">
        <v>9</v>
      </c>
      <c r="B3081" s="3" t="s">
        <v>311</v>
      </c>
      <c r="C3081" s="3" t="s">
        <v>21</v>
      </c>
      <c r="D3081" s="3" t="s">
        <v>21</v>
      </c>
      <c r="E3081" s="11" t="s">
        <v>144</v>
      </c>
      <c r="F3081" s="3" t="s">
        <v>8</v>
      </c>
      <c r="G3081" s="48" t="s">
        <v>1326</v>
      </c>
      <c r="H3081" s="8"/>
      <c r="I3081" s="8"/>
      <c r="J3081" s="6" t="s">
        <v>108</v>
      </c>
      <c r="K3081" s="38">
        <v>1388.98</v>
      </c>
      <c r="L3081" s="4" t="s">
        <v>25</v>
      </c>
      <c r="M3081" s="11">
        <f>_xlfn.NUMBERVALUE(LEFT(Table613612[[#This Row],[Fiscal Year]], 4))</f>
        <v>2017</v>
      </c>
      <c r="N3081" s="42">
        <f t="shared" si="50"/>
        <v>1425.9911317013466</v>
      </c>
      <c r="O3081" s="3">
        <v>3079</v>
      </c>
    </row>
    <row r="3082" spans="1:15" x14ac:dyDescent="0.25">
      <c r="A3082" s="3">
        <v>9</v>
      </c>
      <c r="B3082" s="3" t="s">
        <v>311</v>
      </c>
      <c r="C3082" s="3" t="s">
        <v>21</v>
      </c>
      <c r="D3082" s="3" t="s">
        <v>21</v>
      </c>
      <c r="E3082" s="11" t="s">
        <v>144</v>
      </c>
      <c r="F3082" s="3" t="s">
        <v>8</v>
      </c>
      <c r="G3082" s="48" t="s">
        <v>1327</v>
      </c>
      <c r="H3082" s="8"/>
      <c r="I3082" s="8"/>
      <c r="J3082" s="6" t="s">
        <v>108</v>
      </c>
      <c r="K3082" s="38">
        <v>853.56</v>
      </c>
      <c r="L3082" s="4" t="s">
        <v>25</v>
      </c>
      <c r="M3082" s="11">
        <f>_xlfn.NUMBERVALUE(LEFT(Table613612[[#This Row],[Fiscal Year]], 4))</f>
        <v>2017</v>
      </c>
      <c r="N3082" s="42">
        <f t="shared" si="50"/>
        <v>876.30418751529987</v>
      </c>
      <c r="O3082" s="3">
        <v>3080</v>
      </c>
    </row>
    <row r="3083" spans="1:15" x14ac:dyDescent="0.25">
      <c r="A3083" s="3">
        <v>9</v>
      </c>
      <c r="B3083" s="3" t="s">
        <v>311</v>
      </c>
      <c r="C3083" s="3" t="s">
        <v>21</v>
      </c>
      <c r="D3083" s="3" t="s">
        <v>21</v>
      </c>
      <c r="E3083" s="11" t="s">
        <v>144</v>
      </c>
      <c r="F3083" s="3" t="s">
        <v>8</v>
      </c>
      <c r="G3083" s="48" t="s">
        <v>1328</v>
      </c>
      <c r="H3083" s="8"/>
      <c r="I3083" s="8"/>
      <c r="J3083" s="6" t="s">
        <v>108</v>
      </c>
      <c r="K3083" s="38">
        <v>501.74</v>
      </c>
      <c r="L3083" s="4" t="s">
        <v>25</v>
      </c>
      <c r="M3083" s="11">
        <f>_xlfn.NUMBERVALUE(LEFT(Table613612[[#This Row],[Fiscal Year]], 4))</f>
        <v>2017</v>
      </c>
      <c r="N3083" s="42">
        <f t="shared" si="50"/>
        <v>515.10949791921666</v>
      </c>
      <c r="O3083" s="3">
        <v>3081</v>
      </c>
    </row>
    <row r="3084" spans="1:15" x14ac:dyDescent="0.25">
      <c r="A3084" s="3">
        <v>9</v>
      </c>
      <c r="B3084" s="3" t="s">
        <v>311</v>
      </c>
      <c r="C3084" s="3" t="s">
        <v>21</v>
      </c>
      <c r="D3084" s="3" t="s">
        <v>21</v>
      </c>
      <c r="E3084" s="11" t="s">
        <v>144</v>
      </c>
      <c r="F3084" s="3" t="s">
        <v>8</v>
      </c>
      <c r="G3084" s="48" t="s">
        <v>1329</v>
      </c>
      <c r="H3084" s="8"/>
      <c r="I3084" s="8"/>
      <c r="J3084" s="6" t="s">
        <v>110</v>
      </c>
      <c r="K3084" s="38">
        <v>12000</v>
      </c>
      <c r="L3084" s="4" t="s">
        <v>25</v>
      </c>
      <c r="M3084" s="11">
        <f>_xlfn.NUMBERVALUE(LEFT(Table613612[[#This Row],[Fiscal Year]], 4))</f>
        <v>2017</v>
      </c>
      <c r="N3084" s="42">
        <f t="shared" si="50"/>
        <v>12319.755201958385</v>
      </c>
      <c r="O3084" s="3">
        <v>3082</v>
      </c>
    </row>
    <row r="3085" spans="1:15" x14ac:dyDescent="0.25">
      <c r="A3085" s="3">
        <v>9</v>
      </c>
      <c r="B3085" s="3" t="s">
        <v>311</v>
      </c>
      <c r="C3085" s="3" t="s">
        <v>21</v>
      </c>
      <c r="D3085" s="3" t="s">
        <v>21</v>
      </c>
      <c r="E3085" s="11" t="s">
        <v>144</v>
      </c>
      <c r="F3085" s="3" t="s">
        <v>8</v>
      </c>
      <c r="G3085" s="48" t="s">
        <v>1330</v>
      </c>
      <c r="H3085" s="8"/>
      <c r="I3085" s="8"/>
      <c r="J3085" s="6" t="s">
        <v>110</v>
      </c>
      <c r="K3085" s="38">
        <v>0</v>
      </c>
      <c r="L3085" s="4" t="s">
        <v>25</v>
      </c>
      <c r="M3085" s="11">
        <f>_xlfn.NUMBERVALUE(LEFT(Table613612[[#This Row],[Fiscal Year]], 4))</f>
        <v>2017</v>
      </c>
      <c r="N3085" s="42">
        <f t="shared" si="50"/>
        <v>0</v>
      </c>
      <c r="O3085" s="3">
        <v>3083</v>
      </c>
    </row>
    <row r="3086" spans="1:15" x14ac:dyDescent="0.25">
      <c r="A3086" s="3">
        <v>9</v>
      </c>
      <c r="B3086" s="3" t="s">
        <v>311</v>
      </c>
      <c r="C3086" s="3" t="s">
        <v>21</v>
      </c>
      <c r="D3086" s="3" t="s">
        <v>21</v>
      </c>
      <c r="E3086" s="11" t="s">
        <v>144</v>
      </c>
      <c r="F3086" s="3" t="s">
        <v>8</v>
      </c>
      <c r="G3086" s="48" t="s">
        <v>1331</v>
      </c>
      <c r="H3086" s="8"/>
      <c r="I3086" s="8"/>
      <c r="J3086" s="6" t="s">
        <v>108</v>
      </c>
      <c r="K3086" s="38">
        <v>0</v>
      </c>
      <c r="L3086" s="4" t="s">
        <v>25</v>
      </c>
      <c r="M3086" s="11">
        <f>_xlfn.NUMBERVALUE(LEFT(Table613612[[#This Row],[Fiscal Year]], 4))</f>
        <v>2017</v>
      </c>
      <c r="N3086" s="42">
        <f t="shared" si="50"/>
        <v>0</v>
      </c>
      <c r="O3086" s="3">
        <v>3084</v>
      </c>
    </row>
    <row r="3087" spans="1:15" x14ac:dyDescent="0.25">
      <c r="A3087" s="3">
        <v>9</v>
      </c>
      <c r="B3087" s="3" t="s">
        <v>311</v>
      </c>
      <c r="C3087" s="3" t="s">
        <v>21</v>
      </c>
      <c r="D3087" s="3" t="s">
        <v>21</v>
      </c>
      <c r="E3087" s="11" t="s">
        <v>144</v>
      </c>
      <c r="F3087" s="3" t="s">
        <v>8</v>
      </c>
      <c r="G3087" s="48" t="s">
        <v>1332</v>
      </c>
      <c r="H3087" s="8"/>
      <c r="I3087" s="8"/>
      <c r="J3087" s="6" t="s">
        <v>108</v>
      </c>
      <c r="K3087" s="38">
        <v>274002.82</v>
      </c>
      <c r="L3087" s="4" t="s">
        <v>25</v>
      </c>
      <c r="M3087" s="11">
        <f>_xlfn.NUMBERVALUE(LEFT(Table613612[[#This Row],[Fiscal Year]], 4))</f>
        <v>2017</v>
      </c>
      <c r="N3087" s="42">
        <f t="shared" si="50"/>
        <v>281303.97225385561</v>
      </c>
      <c r="O3087" s="3">
        <v>3085</v>
      </c>
    </row>
    <row r="3088" spans="1:15" ht="15" customHeight="1" x14ac:dyDescent="0.25">
      <c r="A3088" s="3">
        <v>9</v>
      </c>
      <c r="B3088" s="3" t="s">
        <v>311</v>
      </c>
      <c r="C3088" s="3" t="s">
        <v>21</v>
      </c>
      <c r="D3088" s="3" t="s">
        <v>21</v>
      </c>
      <c r="E3088" s="11" t="s">
        <v>144</v>
      </c>
      <c r="F3088" s="3" t="s">
        <v>8</v>
      </c>
      <c r="G3088" s="48" t="s">
        <v>1334</v>
      </c>
      <c r="H3088" s="8"/>
      <c r="I3088" s="8"/>
      <c r="J3088" s="6" t="s">
        <v>455</v>
      </c>
      <c r="K3088" s="38">
        <v>76073</v>
      </c>
      <c r="L3088" s="4" t="s">
        <v>25</v>
      </c>
      <c r="M3088" s="11">
        <f>_xlfn.NUMBERVALUE(LEFT(Table613612[[#This Row],[Fiscal Year]], 4))</f>
        <v>2017</v>
      </c>
      <c r="N3088" s="42">
        <f t="shared" si="50"/>
        <v>78100.061456548356</v>
      </c>
      <c r="O3088" s="3">
        <v>3086</v>
      </c>
    </row>
    <row r="3089" spans="1:15" x14ac:dyDescent="0.25">
      <c r="A3089" s="3">
        <v>9</v>
      </c>
      <c r="B3089" s="3" t="s">
        <v>311</v>
      </c>
      <c r="C3089" s="3" t="s">
        <v>21</v>
      </c>
      <c r="D3089" s="3" t="s">
        <v>21</v>
      </c>
      <c r="E3089" s="11" t="s">
        <v>144</v>
      </c>
      <c r="F3089" s="3" t="s">
        <v>8</v>
      </c>
      <c r="G3089" s="66" t="s">
        <v>1333</v>
      </c>
      <c r="H3089" s="8"/>
      <c r="I3089" s="8"/>
      <c r="J3089" s="6" t="s">
        <v>455</v>
      </c>
      <c r="K3089" s="38">
        <v>0</v>
      </c>
      <c r="L3089" s="4" t="s">
        <v>25</v>
      </c>
      <c r="M3089" s="11">
        <f>_xlfn.NUMBERVALUE(LEFT(Table613612[[#This Row],[Fiscal Year]], 4))</f>
        <v>2017</v>
      </c>
      <c r="N3089" s="42">
        <f t="shared" si="50"/>
        <v>0</v>
      </c>
      <c r="O3089" s="3">
        <v>3087</v>
      </c>
    </row>
    <row r="3090" spans="1:15" x14ac:dyDescent="0.25">
      <c r="E3090" s="11"/>
      <c r="G3090" s="66"/>
      <c r="H3090" s="6"/>
      <c r="I3090" s="8"/>
      <c r="J3090" s="6"/>
      <c r="L3090" s="4"/>
      <c r="O3090" s="3">
        <v>3088</v>
      </c>
    </row>
    <row r="3091" spans="1:15" x14ac:dyDescent="0.25">
      <c r="A3091" s="3">
        <v>9</v>
      </c>
      <c r="B3091" s="3" t="s">
        <v>312</v>
      </c>
      <c r="C3091" s="3" t="s">
        <v>21</v>
      </c>
      <c r="D3091" s="3" t="s">
        <v>21</v>
      </c>
      <c r="E3091" s="11" t="s">
        <v>144</v>
      </c>
      <c r="F3091" s="3" t="s">
        <v>8</v>
      </c>
      <c r="G3091" s="66" t="s">
        <v>370</v>
      </c>
      <c r="H3091" s="8"/>
      <c r="I3091" s="8"/>
      <c r="J3091" s="6" t="s">
        <v>110</v>
      </c>
      <c r="K3091" s="38">
        <v>18882</v>
      </c>
      <c r="L3091" s="4" t="s">
        <v>25</v>
      </c>
      <c r="M3091" s="11">
        <f>_xlfn.NUMBERVALUE(LEFT(Table613612[[#This Row],[Fiscal Year]], 4))</f>
        <v>2017</v>
      </c>
      <c r="N3091" s="42">
        <f t="shared" si="50"/>
        <v>19385.134810281521</v>
      </c>
      <c r="O3091" s="3">
        <v>3089</v>
      </c>
    </row>
    <row r="3092" spans="1:15" x14ac:dyDescent="0.25">
      <c r="A3092" s="3">
        <v>9</v>
      </c>
      <c r="B3092" s="3" t="s">
        <v>312</v>
      </c>
      <c r="C3092" s="3" t="s">
        <v>21</v>
      </c>
      <c r="D3092" s="3" t="s">
        <v>21</v>
      </c>
      <c r="E3092" s="11" t="s">
        <v>144</v>
      </c>
      <c r="F3092" s="3" t="s">
        <v>8</v>
      </c>
      <c r="G3092" s="48" t="s">
        <v>371</v>
      </c>
      <c r="H3092" s="8"/>
      <c r="I3092" s="8"/>
      <c r="J3092" s="6" t="s">
        <v>108</v>
      </c>
      <c r="K3092" s="38">
        <v>207751</v>
      </c>
      <c r="L3092" s="4" t="s">
        <v>25</v>
      </c>
      <c r="M3092" s="11">
        <f>_xlfn.NUMBERVALUE(LEFT(Table613612[[#This Row],[Fiscal Year]], 4))</f>
        <v>2017</v>
      </c>
      <c r="N3092" s="42">
        <f t="shared" si="50"/>
        <v>213286.78858017139</v>
      </c>
      <c r="O3092" s="3">
        <v>3090</v>
      </c>
    </row>
    <row r="3093" spans="1:15" x14ac:dyDescent="0.25">
      <c r="A3093" s="3">
        <v>9</v>
      </c>
      <c r="B3093" s="3" t="s">
        <v>312</v>
      </c>
      <c r="C3093" s="3" t="s">
        <v>21</v>
      </c>
      <c r="D3093" s="3" t="s">
        <v>21</v>
      </c>
      <c r="E3093" s="11" t="s">
        <v>144</v>
      </c>
      <c r="F3093" s="3" t="s">
        <v>8</v>
      </c>
      <c r="G3093" s="48" t="s">
        <v>372</v>
      </c>
      <c r="H3093" s="8"/>
      <c r="I3093" s="8"/>
      <c r="J3093" s="6" t="s">
        <v>605</v>
      </c>
      <c r="K3093" s="38">
        <v>304075</v>
      </c>
      <c r="L3093" s="4" t="s">
        <v>25</v>
      </c>
      <c r="M3093" s="11">
        <f>_xlfn.NUMBERVALUE(LEFT(Table613612[[#This Row],[Fiscal Year]], 4))</f>
        <v>2017</v>
      </c>
      <c r="N3093" s="42">
        <f t="shared" si="50"/>
        <v>312177.46358629136</v>
      </c>
      <c r="O3093" s="3">
        <v>3091</v>
      </c>
    </row>
    <row r="3094" spans="1:15" x14ac:dyDescent="0.25">
      <c r="A3094" s="3">
        <v>9</v>
      </c>
      <c r="B3094" s="3" t="s">
        <v>312</v>
      </c>
      <c r="C3094" s="3" t="s">
        <v>21</v>
      </c>
      <c r="D3094" s="3" t="s">
        <v>21</v>
      </c>
      <c r="E3094" s="11" t="s">
        <v>144</v>
      </c>
      <c r="F3094" s="3" t="s">
        <v>8</v>
      </c>
      <c r="G3094" s="48" t="s">
        <v>373</v>
      </c>
      <c r="H3094" s="8"/>
      <c r="I3094" s="8"/>
      <c r="J3094" s="6" t="s">
        <v>108</v>
      </c>
      <c r="K3094" s="38">
        <v>58031</v>
      </c>
      <c r="L3094" s="4" t="s">
        <v>25</v>
      </c>
      <c r="M3094" s="11">
        <f>_xlfn.NUMBERVALUE(LEFT(Table613612[[#This Row],[Fiscal Year]], 4))</f>
        <v>2017</v>
      </c>
      <c r="N3094" s="42">
        <f t="shared" si="50"/>
        <v>59577.309510403924</v>
      </c>
      <c r="O3094" s="3">
        <v>3092</v>
      </c>
    </row>
    <row r="3095" spans="1:15" x14ac:dyDescent="0.25">
      <c r="A3095" s="3">
        <v>9</v>
      </c>
      <c r="B3095" s="3" t="s">
        <v>312</v>
      </c>
      <c r="C3095" s="3" t="s">
        <v>21</v>
      </c>
      <c r="D3095" s="3" t="s">
        <v>21</v>
      </c>
      <c r="E3095" s="11" t="s">
        <v>144</v>
      </c>
      <c r="F3095" s="3" t="s">
        <v>8</v>
      </c>
      <c r="G3095" s="66" t="s">
        <v>374</v>
      </c>
      <c r="H3095" s="8"/>
      <c r="I3095" s="8"/>
      <c r="J3095" s="6" t="s">
        <v>108</v>
      </c>
      <c r="K3095" s="38">
        <v>6916</v>
      </c>
      <c r="L3095" s="4" t="s">
        <v>25</v>
      </c>
      <c r="M3095" s="11">
        <f>_xlfn.NUMBERVALUE(LEFT(Table613612[[#This Row],[Fiscal Year]], 4))</f>
        <v>2017</v>
      </c>
      <c r="N3095" s="42">
        <f t="shared" si="50"/>
        <v>7100.2855813953493</v>
      </c>
      <c r="O3095" s="3">
        <v>3093</v>
      </c>
    </row>
    <row r="3096" spans="1:15" x14ac:dyDescent="0.25">
      <c r="A3096" s="3">
        <v>9</v>
      </c>
      <c r="B3096" s="3" t="s">
        <v>312</v>
      </c>
      <c r="C3096" s="3" t="s">
        <v>21</v>
      </c>
      <c r="D3096" s="3" t="s">
        <v>21</v>
      </c>
      <c r="E3096" s="11" t="s">
        <v>144</v>
      </c>
      <c r="F3096" s="3" t="s">
        <v>8</v>
      </c>
      <c r="G3096" s="48" t="s">
        <v>375</v>
      </c>
      <c r="H3096" s="8"/>
      <c r="I3096" s="8"/>
      <c r="J3096" s="6" t="s">
        <v>108</v>
      </c>
      <c r="K3096" s="38">
        <v>23467</v>
      </c>
      <c r="L3096" s="4" t="s">
        <v>25</v>
      </c>
      <c r="M3096" s="11">
        <f>_xlfn.NUMBERVALUE(LEFT(Table613612[[#This Row],[Fiscal Year]], 4))</f>
        <v>2017</v>
      </c>
      <c r="N3096" s="42">
        <f t="shared" si="50"/>
        <v>24092.307943696454</v>
      </c>
      <c r="O3096" s="3">
        <v>3094</v>
      </c>
    </row>
    <row r="3097" spans="1:15" x14ac:dyDescent="0.25">
      <c r="A3097" s="3">
        <v>9</v>
      </c>
      <c r="B3097" s="3" t="s">
        <v>312</v>
      </c>
      <c r="C3097" s="3" t="s">
        <v>21</v>
      </c>
      <c r="D3097" s="3" t="s">
        <v>21</v>
      </c>
      <c r="E3097" s="11" t="s">
        <v>144</v>
      </c>
      <c r="F3097" s="3" t="s">
        <v>8</v>
      </c>
      <c r="G3097" s="48" t="s">
        <v>96</v>
      </c>
      <c r="H3097" s="8"/>
      <c r="I3097" s="8"/>
      <c r="J3097" s="6" t="s">
        <v>455</v>
      </c>
      <c r="K3097" s="38">
        <v>161511</v>
      </c>
      <c r="L3097" s="4" t="s">
        <v>25</v>
      </c>
      <c r="M3097" s="11">
        <f>_xlfn.NUMBERVALUE(LEFT(Table613612[[#This Row],[Fiscal Year]], 4))</f>
        <v>2017</v>
      </c>
      <c r="N3097" s="42">
        <f t="shared" si="50"/>
        <v>165814.66520195841</v>
      </c>
      <c r="O3097" s="3">
        <v>3095</v>
      </c>
    </row>
    <row r="3098" spans="1:15" x14ac:dyDescent="0.25">
      <c r="A3098" s="3">
        <v>9</v>
      </c>
      <c r="B3098" s="3" t="s">
        <v>312</v>
      </c>
      <c r="C3098" s="3" t="s">
        <v>21</v>
      </c>
      <c r="D3098" s="3" t="s">
        <v>21</v>
      </c>
      <c r="E3098" s="11" t="s">
        <v>144</v>
      </c>
      <c r="F3098" s="3" t="s">
        <v>8</v>
      </c>
      <c r="G3098" s="66" t="s">
        <v>376</v>
      </c>
      <c r="H3098" s="8"/>
      <c r="I3098" s="8"/>
      <c r="J3098" s="6" t="s">
        <v>108</v>
      </c>
      <c r="K3098" s="38">
        <v>410055</v>
      </c>
      <c r="L3098" s="4" t="s">
        <v>25</v>
      </c>
      <c r="M3098" s="11">
        <f>_xlfn.NUMBERVALUE(LEFT(Table613612[[#This Row],[Fiscal Year]], 4))</f>
        <v>2017</v>
      </c>
      <c r="N3098" s="42">
        <f t="shared" si="50"/>
        <v>420981.43494492047</v>
      </c>
      <c r="O3098" s="3">
        <v>3096</v>
      </c>
    </row>
    <row r="3099" spans="1:15" x14ac:dyDescent="0.25">
      <c r="A3099" s="3">
        <v>9</v>
      </c>
      <c r="B3099" s="3" t="s">
        <v>312</v>
      </c>
      <c r="C3099" s="3" t="s">
        <v>21</v>
      </c>
      <c r="D3099" s="3" t="s">
        <v>21</v>
      </c>
      <c r="E3099" s="11" t="s">
        <v>144</v>
      </c>
      <c r="F3099" s="3" t="s">
        <v>8</v>
      </c>
      <c r="G3099" s="66" t="s">
        <v>377</v>
      </c>
      <c r="H3099" s="8"/>
      <c r="I3099" s="8"/>
      <c r="J3099" s="6" t="s">
        <v>110</v>
      </c>
      <c r="K3099" s="38">
        <v>8055</v>
      </c>
      <c r="L3099" s="4" t="s">
        <v>25</v>
      </c>
      <c r="M3099" s="11">
        <f>_xlfn.NUMBERVALUE(LEFT(Table613612[[#This Row],[Fiscal Year]], 4))</f>
        <v>2017</v>
      </c>
      <c r="N3099" s="42">
        <f t="shared" si="50"/>
        <v>8269.635679314566</v>
      </c>
      <c r="O3099" s="3">
        <v>3097</v>
      </c>
    </row>
    <row r="3100" spans="1:15" x14ac:dyDescent="0.25">
      <c r="A3100" s="3">
        <v>9</v>
      </c>
      <c r="B3100" s="3" t="s">
        <v>312</v>
      </c>
      <c r="C3100" s="3" t="s">
        <v>21</v>
      </c>
      <c r="D3100" s="3" t="s">
        <v>21</v>
      </c>
      <c r="E3100" s="11" t="s">
        <v>144</v>
      </c>
      <c r="F3100" s="3" t="s">
        <v>8</v>
      </c>
      <c r="G3100" s="66" t="s">
        <v>378</v>
      </c>
      <c r="H3100" s="8"/>
      <c r="I3100" s="8"/>
      <c r="J3100" s="6" t="s">
        <v>110</v>
      </c>
      <c r="K3100" s="38">
        <v>24552</v>
      </c>
      <c r="L3100" s="4" t="s">
        <v>25</v>
      </c>
      <c r="M3100" s="11">
        <f>_xlfn.NUMBERVALUE(LEFT(Table613612[[#This Row],[Fiscal Year]], 4))</f>
        <v>2017</v>
      </c>
      <c r="N3100" s="42">
        <f t="shared" si="50"/>
        <v>25206.219143206858</v>
      </c>
      <c r="O3100" s="3">
        <v>3098</v>
      </c>
    </row>
    <row r="3101" spans="1:15" x14ac:dyDescent="0.25">
      <c r="A3101" s="3">
        <v>9</v>
      </c>
      <c r="B3101" s="3" t="s">
        <v>312</v>
      </c>
      <c r="C3101" s="3" t="s">
        <v>21</v>
      </c>
      <c r="D3101" s="3" t="s">
        <v>21</v>
      </c>
      <c r="E3101" s="11" t="s">
        <v>144</v>
      </c>
      <c r="F3101" s="3" t="s">
        <v>8</v>
      </c>
      <c r="G3101" s="66" t="s">
        <v>379</v>
      </c>
      <c r="H3101" s="8"/>
      <c r="I3101" s="8"/>
      <c r="J3101" s="6" t="s">
        <v>110</v>
      </c>
      <c r="K3101" s="38">
        <v>21056</v>
      </c>
      <c r="L3101" s="4" t="s">
        <v>25</v>
      </c>
      <c r="M3101" s="11">
        <f>_xlfn.NUMBERVALUE(LEFT(Table613612[[#This Row],[Fiscal Year]], 4))</f>
        <v>2017</v>
      </c>
      <c r="N3101" s="42">
        <f t="shared" si="50"/>
        <v>21617.063794369649</v>
      </c>
      <c r="O3101" s="3">
        <v>3099</v>
      </c>
    </row>
    <row r="3102" spans="1:15" x14ac:dyDescent="0.25">
      <c r="A3102" s="3">
        <v>9</v>
      </c>
      <c r="B3102" s="3" t="s">
        <v>312</v>
      </c>
      <c r="C3102" s="3" t="s">
        <v>21</v>
      </c>
      <c r="D3102" s="3" t="s">
        <v>21</v>
      </c>
      <c r="E3102" s="11" t="s">
        <v>144</v>
      </c>
      <c r="F3102" s="3" t="s">
        <v>8</v>
      </c>
      <c r="G3102" s="66" t="s">
        <v>380</v>
      </c>
      <c r="H3102" s="8"/>
      <c r="I3102" s="8"/>
      <c r="J3102" s="6" t="s">
        <v>110</v>
      </c>
      <c r="K3102" s="38">
        <v>16904</v>
      </c>
      <c r="L3102" s="4" t="s">
        <v>25</v>
      </c>
      <c r="M3102" s="11">
        <f>_xlfn.NUMBERVALUE(LEFT(Table613612[[#This Row],[Fiscal Year]], 4))</f>
        <v>2017</v>
      </c>
      <c r="N3102" s="42">
        <f t="shared" si="50"/>
        <v>17354.428494492047</v>
      </c>
      <c r="O3102" s="3">
        <v>3100</v>
      </c>
    </row>
    <row r="3103" spans="1:15" x14ac:dyDescent="0.25">
      <c r="A3103" s="3">
        <v>9</v>
      </c>
      <c r="B3103" s="3" t="s">
        <v>312</v>
      </c>
      <c r="C3103" s="3" t="s">
        <v>21</v>
      </c>
      <c r="D3103" s="3" t="s">
        <v>21</v>
      </c>
      <c r="E3103" s="11" t="s">
        <v>144</v>
      </c>
      <c r="F3103" s="3" t="s">
        <v>8</v>
      </c>
      <c r="G3103" s="66" t="s">
        <v>381</v>
      </c>
      <c r="H3103" s="8"/>
      <c r="I3103" s="8"/>
      <c r="J3103" s="6" t="s">
        <v>110</v>
      </c>
      <c r="K3103" s="38">
        <v>8313</v>
      </c>
      <c r="L3103" s="4" t="s">
        <v>25</v>
      </c>
      <c r="M3103" s="11">
        <f>_xlfn.NUMBERVALUE(LEFT(Table613612[[#This Row],[Fiscal Year]], 4))</f>
        <v>2017</v>
      </c>
      <c r="N3103" s="42">
        <f t="shared" si="50"/>
        <v>8534.5104161566724</v>
      </c>
      <c r="O3103" s="3">
        <v>3101</v>
      </c>
    </row>
    <row r="3104" spans="1:15" x14ac:dyDescent="0.25">
      <c r="A3104" s="3">
        <v>9</v>
      </c>
      <c r="B3104" s="3" t="s">
        <v>312</v>
      </c>
      <c r="C3104" s="3" t="s">
        <v>21</v>
      </c>
      <c r="D3104" s="3" t="s">
        <v>21</v>
      </c>
      <c r="E3104" s="11" t="s">
        <v>144</v>
      </c>
      <c r="F3104" s="3" t="s">
        <v>8</v>
      </c>
      <c r="G3104" s="66" t="s">
        <v>454</v>
      </c>
      <c r="H3104" s="8" t="s">
        <v>589</v>
      </c>
      <c r="I3104" s="8" t="s">
        <v>590</v>
      </c>
      <c r="J3104" s="6" t="s">
        <v>110</v>
      </c>
      <c r="K3104" s="38">
        <v>79847</v>
      </c>
      <c r="L3104" s="4" t="s">
        <v>25</v>
      </c>
      <c r="M3104" s="11">
        <f>_xlfn.NUMBERVALUE(LEFT(Table613612[[#This Row],[Fiscal Year]], 4))</f>
        <v>2017</v>
      </c>
      <c r="N3104" s="42">
        <f t="shared" si="50"/>
        <v>81974.624467564267</v>
      </c>
      <c r="O3104" s="3">
        <v>3102</v>
      </c>
    </row>
    <row r="3105" spans="1:15" x14ac:dyDescent="0.25">
      <c r="A3105" s="3">
        <v>9</v>
      </c>
      <c r="B3105" s="3" t="s">
        <v>312</v>
      </c>
      <c r="C3105" s="3" t="s">
        <v>21</v>
      </c>
      <c r="D3105" s="3" t="s">
        <v>21</v>
      </c>
      <c r="E3105" s="11" t="s">
        <v>144</v>
      </c>
      <c r="F3105" s="3" t="s">
        <v>8</v>
      </c>
      <c r="G3105" s="66" t="s">
        <v>382</v>
      </c>
      <c r="H3105" s="8" t="s">
        <v>690</v>
      </c>
      <c r="I3105" s="8" t="s">
        <v>691</v>
      </c>
      <c r="J3105" s="6" t="s">
        <v>455</v>
      </c>
      <c r="K3105" s="38">
        <v>6596</v>
      </c>
      <c r="L3105" s="4" t="s">
        <v>25</v>
      </c>
      <c r="M3105" s="11">
        <f>_xlfn.NUMBERVALUE(LEFT(Table613612[[#This Row],[Fiscal Year]], 4))</f>
        <v>2017</v>
      </c>
      <c r="N3105" s="42">
        <f t="shared" si="50"/>
        <v>6771.7587760097931</v>
      </c>
      <c r="O3105" s="3">
        <v>3103</v>
      </c>
    </row>
    <row r="3106" spans="1:15" x14ac:dyDescent="0.25">
      <c r="A3106" s="3">
        <v>9</v>
      </c>
      <c r="B3106" s="3" t="s">
        <v>312</v>
      </c>
      <c r="C3106" s="3" t="s">
        <v>21</v>
      </c>
      <c r="D3106" s="3" t="s">
        <v>21</v>
      </c>
      <c r="E3106" s="11" t="s">
        <v>144</v>
      </c>
      <c r="F3106" s="3" t="s">
        <v>8</v>
      </c>
      <c r="G3106" s="66" t="s">
        <v>383</v>
      </c>
      <c r="H3106" s="8"/>
      <c r="I3106" s="8"/>
      <c r="J3106" s="6" t="s">
        <v>110</v>
      </c>
      <c r="K3106" s="38" t="s">
        <v>439</v>
      </c>
      <c r="L3106" s="4" t="s">
        <v>25</v>
      </c>
      <c r="M3106" s="11">
        <f>_xlfn.NUMBERVALUE(LEFT(Table613612[[#This Row],[Fiscal Year]], 4))</f>
        <v>2017</v>
      </c>
      <c r="O3106" s="3">
        <v>3104</v>
      </c>
    </row>
    <row r="3107" spans="1:15" x14ac:dyDescent="0.25">
      <c r="A3107" s="3">
        <v>9</v>
      </c>
      <c r="B3107" s="3" t="s">
        <v>312</v>
      </c>
      <c r="C3107" s="3" t="s">
        <v>21</v>
      </c>
      <c r="D3107" s="3" t="s">
        <v>21</v>
      </c>
      <c r="E3107" s="11" t="s">
        <v>144</v>
      </c>
      <c r="F3107" s="3" t="s">
        <v>8</v>
      </c>
      <c r="G3107" s="66" t="s">
        <v>384</v>
      </c>
      <c r="H3107" s="8" t="s">
        <v>591</v>
      </c>
      <c r="I3107" s="8" t="s">
        <v>590</v>
      </c>
      <c r="J3107" s="6" t="s">
        <v>110</v>
      </c>
      <c r="K3107" s="38">
        <v>36046</v>
      </c>
      <c r="L3107" s="4" t="s">
        <v>25</v>
      </c>
      <c r="M3107" s="11">
        <f>_xlfn.NUMBERVALUE(LEFT(Table613612[[#This Row],[Fiscal Year]], 4))</f>
        <v>2017</v>
      </c>
      <c r="N3107" s="42">
        <f t="shared" si="50"/>
        <v>37006.49133414933</v>
      </c>
      <c r="O3107" s="3">
        <v>3105</v>
      </c>
    </row>
    <row r="3108" spans="1:15" x14ac:dyDescent="0.25">
      <c r="A3108" s="3">
        <v>9</v>
      </c>
      <c r="B3108" s="3" t="s">
        <v>312</v>
      </c>
      <c r="C3108" s="3" t="s">
        <v>21</v>
      </c>
      <c r="D3108" s="3" t="s">
        <v>21</v>
      </c>
      <c r="E3108" s="11" t="s">
        <v>144</v>
      </c>
      <c r="F3108" s="3" t="s">
        <v>8</v>
      </c>
      <c r="G3108" s="66" t="s">
        <v>1335</v>
      </c>
      <c r="H3108" s="8"/>
      <c r="I3108" s="8"/>
      <c r="J3108" s="75" t="s">
        <v>110</v>
      </c>
      <c r="K3108" s="38">
        <v>107603</v>
      </c>
      <c r="L3108" s="4" t="s">
        <v>25</v>
      </c>
      <c r="M3108" s="11">
        <f>_xlfn.NUMBERVALUE(LEFT(Table613612[[#This Row],[Fiscal Year]], 4))</f>
        <v>2017</v>
      </c>
      <c r="N3108" s="42">
        <f t="shared" si="50"/>
        <v>110470.21824969402</v>
      </c>
      <c r="O3108" s="3">
        <v>3106</v>
      </c>
    </row>
    <row r="3109" spans="1:15" x14ac:dyDescent="0.25">
      <c r="A3109" s="3">
        <v>9</v>
      </c>
      <c r="B3109" s="3" t="s">
        <v>312</v>
      </c>
      <c r="C3109" s="3" t="s">
        <v>21</v>
      </c>
      <c r="D3109" s="3" t="s">
        <v>21</v>
      </c>
      <c r="E3109" s="11" t="s">
        <v>144</v>
      </c>
      <c r="F3109" s="3" t="s">
        <v>8</v>
      </c>
      <c r="G3109" s="66" t="s">
        <v>1336</v>
      </c>
      <c r="H3109" s="8"/>
      <c r="I3109" s="8"/>
      <c r="J3109" s="75" t="s">
        <v>107</v>
      </c>
      <c r="K3109" s="38">
        <v>81011</v>
      </c>
      <c r="L3109" s="4" t="s">
        <v>25</v>
      </c>
      <c r="M3109" s="11">
        <f>_xlfn.NUMBERVALUE(LEFT(Table613612[[#This Row],[Fiscal Year]], 4))</f>
        <v>2017</v>
      </c>
      <c r="N3109" s="42">
        <f t="shared" si="50"/>
        <v>83169.640722154232</v>
      </c>
      <c r="O3109" s="3">
        <v>3107</v>
      </c>
    </row>
    <row r="3110" spans="1:15" x14ac:dyDescent="0.25">
      <c r="A3110" s="3">
        <v>9</v>
      </c>
      <c r="B3110" s="3" t="s">
        <v>312</v>
      </c>
      <c r="C3110" s="3" t="s">
        <v>21</v>
      </c>
      <c r="D3110" s="3" t="s">
        <v>21</v>
      </c>
      <c r="E3110" s="11" t="s">
        <v>144</v>
      </c>
      <c r="F3110" s="3" t="s">
        <v>8</v>
      </c>
      <c r="G3110" s="66" t="s">
        <v>1337</v>
      </c>
      <c r="H3110" s="8"/>
      <c r="I3110" s="8"/>
      <c r="J3110" s="75" t="s">
        <v>108</v>
      </c>
      <c r="K3110" s="38">
        <v>1256152</v>
      </c>
      <c r="L3110" s="4" t="s">
        <v>25</v>
      </c>
      <c r="M3110" s="11">
        <f>_xlfn.NUMBERVALUE(LEFT(Table613612[[#This Row],[Fiscal Year]], 4))</f>
        <v>2017</v>
      </c>
      <c r="N3110" s="42">
        <f t="shared" si="50"/>
        <v>1289623.7613708691</v>
      </c>
      <c r="O3110" s="3">
        <v>3108</v>
      </c>
    </row>
    <row r="3111" spans="1:15" x14ac:dyDescent="0.25">
      <c r="A3111" s="3">
        <v>9</v>
      </c>
      <c r="B3111" s="3" t="s">
        <v>312</v>
      </c>
      <c r="C3111" s="3" t="s">
        <v>21</v>
      </c>
      <c r="D3111" s="3" t="s">
        <v>21</v>
      </c>
      <c r="E3111" s="11" t="s">
        <v>144</v>
      </c>
      <c r="F3111" s="3" t="s">
        <v>8</v>
      </c>
      <c r="G3111" s="66" t="s">
        <v>1338</v>
      </c>
      <c r="H3111" s="8"/>
      <c r="I3111" s="8"/>
      <c r="J3111" s="75" t="s">
        <v>453</v>
      </c>
      <c r="K3111" s="38">
        <v>15000</v>
      </c>
      <c r="L3111" s="4" t="s">
        <v>25</v>
      </c>
      <c r="M3111" s="11">
        <f>_xlfn.NUMBERVALUE(LEFT(Table613612[[#This Row],[Fiscal Year]], 4))</f>
        <v>2017</v>
      </c>
      <c r="N3111" s="42">
        <f t="shared" si="50"/>
        <v>15399.694002447983</v>
      </c>
      <c r="O3111" s="3">
        <v>3109</v>
      </c>
    </row>
    <row r="3112" spans="1:15" x14ac:dyDescent="0.25">
      <c r="A3112" s="3">
        <v>9</v>
      </c>
      <c r="B3112" s="3" t="s">
        <v>312</v>
      </c>
      <c r="C3112" s="3" t="s">
        <v>21</v>
      </c>
      <c r="D3112" s="3" t="s">
        <v>21</v>
      </c>
      <c r="E3112" s="11" t="s">
        <v>144</v>
      </c>
      <c r="F3112" s="3" t="s">
        <v>8</v>
      </c>
      <c r="G3112" s="66" t="s">
        <v>1339</v>
      </c>
      <c r="H3112" s="8"/>
      <c r="I3112" s="8"/>
      <c r="J3112" s="75" t="s">
        <v>76</v>
      </c>
      <c r="K3112" s="38">
        <v>1923696</v>
      </c>
      <c r="L3112" s="4" t="s">
        <v>25</v>
      </c>
      <c r="M3112" s="11">
        <f>_xlfn.NUMBERVALUE(LEFT(Table613612[[#This Row],[Fiscal Year]], 4))</f>
        <v>2017</v>
      </c>
      <c r="N3112" s="42">
        <f t="shared" si="50"/>
        <v>1974955.3169155449</v>
      </c>
      <c r="O3112" s="3">
        <v>3110</v>
      </c>
    </row>
    <row r="3113" spans="1:15" x14ac:dyDescent="0.25">
      <c r="A3113" s="3">
        <v>9</v>
      </c>
      <c r="B3113" s="3" t="s">
        <v>312</v>
      </c>
      <c r="C3113" s="3" t="s">
        <v>21</v>
      </c>
      <c r="D3113" s="3" t="s">
        <v>21</v>
      </c>
      <c r="E3113" s="11" t="s">
        <v>144</v>
      </c>
      <c r="F3113" s="3" t="s">
        <v>8</v>
      </c>
      <c r="G3113" s="66" t="s">
        <v>1340</v>
      </c>
      <c r="H3113" s="8"/>
      <c r="I3113" s="8"/>
      <c r="J3113" s="75" t="s">
        <v>605</v>
      </c>
      <c r="K3113" s="38">
        <v>284571</v>
      </c>
      <c r="L3113" s="4" t="s">
        <v>25</v>
      </c>
      <c r="M3113" s="11">
        <f>_xlfn.NUMBERVALUE(LEFT(Table613612[[#This Row],[Fiscal Year]], 4))</f>
        <v>2017</v>
      </c>
      <c r="N3113" s="42">
        <f t="shared" si="50"/>
        <v>292153.75479804166</v>
      </c>
      <c r="O3113" s="3">
        <v>3111</v>
      </c>
    </row>
    <row r="3114" spans="1:15" x14ac:dyDescent="0.25">
      <c r="A3114" s="3">
        <v>9</v>
      </c>
      <c r="B3114" s="3" t="s">
        <v>312</v>
      </c>
      <c r="C3114" s="3" t="s">
        <v>21</v>
      </c>
      <c r="D3114" s="3" t="s">
        <v>21</v>
      </c>
      <c r="E3114" s="11" t="s">
        <v>144</v>
      </c>
      <c r="F3114" s="3" t="s">
        <v>8</v>
      </c>
      <c r="G3114" s="66" t="s">
        <v>1341</v>
      </c>
      <c r="H3114" s="8"/>
      <c r="I3114" s="8"/>
      <c r="J3114" s="75" t="s">
        <v>605</v>
      </c>
      <c r="K3114" s="38">
        <v>234001</v>
      </c>
      <c r="L3114" s="4" t="s">
        <v>25</v>
      </c>
      <c r="M3114" s="11">
        <f>_xlfn.NUMBERVALUE(LEFT(Table613612[[#This Row],[Fiscal Year]], 4))</f>
        <v>2017</v>
      </c>
      <c r="N3114" s="42">
        <f t="shared" si="50"/>
        <v>240236.25308445535</v>
      </c>
      <c r="O3114" s="3">
        <v>3112</v>
      </c>
    </row>
    <row r="3115" spans="1:15" x14ac:dyDescent="0.25">
      <c r="E3115" s="11"/>
      <c r="G3115" s="66"/>
      <c r="H3115" s="8"/>
      <c r="I3115" s="8"/>
      <c r="J3115" s="6"/>
      <c r="L3115" s="4"/>
      <c r="O3115" s="3">
        <v>3113</v>
      </c>
    </row>
    <row r="3116" spans="1:15" x14ac:dyDescent="0.25">
      <c r="A3116" s="3">
        <v>9</v>
      </c>
      <c r="B3116" s="3" t="s">
        <v>313</v>
      </c>
      <c r="C3116" s="3" t="s">
        <v>21</v>
      </c>
      <c r="D3116" s="3" t="s">
        <v>21</v>
      </c>
      <c r="E3116" s="11" t="s">
        <v>144</v>
      </c>
      <c r="F3116" s="3" t="s">
        <v>8</v>
      </c>
      <c r="G3116" s="48" t="s">
        <v>1240</v>
      </c>
      <c r="H3116" s="8"/>
      <c r="I3116" s="8"/>
      <c r="J3116" s="6" t="s">
        <v>110</v>
      </c>
      <c r="K3116" s="38">
        <v>79682</v>
      </c>
      <c r="L3116" s="4" t="s">
        <v>25</v>
      </c>
      <c r="M3116" s="11">
        <f>_xlfn.NUMBERVALUE(LEFT(Table613612[[#This Row],[Fiscal Year]], 4))</f>
        <v>2017</v>
      </c>
      <c r="N3116" s="42">
        <f t="shared" si="50"/>
        <v>81805.227833537341</v>
      </c>
      <c r="O3116" s="3">
        <v>3114</v>
      </c>
    </row>
    <row r="3117" spans="1:15" x14ac:dyDescent="0.25">
      <c r="A3117" s="3">
        <v>9</v>
      </c>
      <c r="B3117" s="3" t="s">
        <v>313</v>
      </c>
      <c r="C3117" s="3" t="s">
        <v>21</v>
      </c>
      <c r="D3117" s="3" t="s">
        <v>21</v>
      </c>
      <c r="E3117" s="11" t="s">
        <v>144</v>
      </c>
      <c r="F3117" s="3" t="s">
        <v>8</v>
      </c>
      <c r="G3117" s="48" t="s">
        <v>1241</v>
      </c>
      <c r="H3117" s="8"/>
      <c r="I3117" s="8"/>
      <c r="J3117" s="6" t="s">
        <v>111</v>
      </c>
      <c r="K3117" s="38">
        <v>18827</v>
      </c>
      <c r="L3117" s="4" t="s">
        <v>25</v>
      </c>
      <c r="M3117" s="11">
        <f>_xlfn.NUMBERVALUE(LEFT(Table613612[[#This Row],[Fiscal Year]], 4))</f>
        <v>2017</v>
      </c>
      <c r="N3117" s="42">
        <f t="shared" si="50"/>
        <v>19328.669265605877</v>
      </c>
      <c r="O3117" s="3">
        <v>3115</v>
      </c>
    </row>
    <row r="3118" spans="1:15" x14ac:dyDescent="0.25">
      <c r="A3118" s="3">
        <v>9</v>
      </c>
      <c r="B3118" s="3" t="s">
        <v>313</v>
      </c>
      <c r="C3118" s="3" t="s">
        <v>21</v>
      </c>
      <c r="D3118" s="3" t="s">
        <v>21</v>
      </c>
      <c r="E3118" s="11" t="s">
        <v>144</v>
      </c>
      <c r="F3118" s="3" t="s">
        <v>8</v>
      </c>
      <c r="G3118" s="48" t="s">
        <v>1242</v>
      </c>
      <c r="H3118" s="8"/>
      <c r="I3118" s="8"/>
      <c r="J3118" s="6" t="s">
        <v>107</v>
      </c>
      <c r="K3118" s="38">
        <v>33138</v>
      </c>
      <c r="L3118" s="4" t="s">
        <v>25</v>
      </c>
      <c r="M3118" s="11">
        <f>_xlfn.NUMBERVALUE(LEFT(Table613612[[#This Row],[Fiscal Year]], 4))</f>
        <v>2017</v>
      </c>
      <c r="N3118" s="42">
        <f t="shared" si="50"/>
        <v>34021.003990208083</v>
      </c>
      <c r="O3118" s="3">
        <v>3116</v>
      </c>
    </row>
    <row r="3119" spans="1:15" x14ac:dyDescent="0.25">
      <c r="A3119" s="3">
        <v>9</v>
      </c>
      <c r="B3119" s="3" t="s">
        <v>313</v>
      </c>
      <c r="C3119" s="3" t="s">
        <v>21</v>
      </c>
      <c r="D3119" s="3" t="s">
        <v>21</v>
      </c>
      <c r="E3119" s="11" t="s">
        <v>144</v>
      </c>
      <c r="F3119" s="3" t="s">
        <v>8</v>
      </c>
      <c r="G3119" s="48" t="s">
        <v>1243</v>
      </c>
      <c r="H3119" s="8"/>
      <c r="I3119" s="8"/>
      <c r="J3119" s="6" t="s">
        <v>108</v>
      </c>
      <c r="K3119" s="38">
        <v>4376</v>
      </c>
      <c r="L3119" s="4" t="s">
        <v>25</v>
      </c>
      <c r="M3119" s="11">
        <f>_xlfn.NUMBERVALUE(LEFT(Table613612[[#This Row],[Fiscal Year]], 4))</f>
        <v>2017</v>
      </c>
      <c r="N3119" s="42">
        <f t="shared" si="50"/>
        <v>4492.6040636474918</v>
      </c>
      <c r="O3119" s="3">
        <v>3117</v>
      </c>
    </row>
    <row r="3120" spans="1:15" x14ac:dyDescent="0.25">
      <c r="A3120" s="3">
        <v>9</v>
      </c>
      <c r="B3120" s="3" t="s">
        <v>313</v>
      </c>
      <c r="C3120" s="3" t="s">
        <v>21</v>
      </c>
      <c r="D3120" s="3" t="s">
        <v>21</v>
      </c>
      <c r="E3120" s="11" t="s">
        <v>144</v>
      </c>
      <c r="F3120" s="3" t="s">
        <v>8</v>
      </c>
      <c r="G3120" s="48" t="s">
        <v>1257</v>
      </c>
      <c r="H3120" s="8"/>
      <c r="I3120" s="8"/>
      <c r="J3120" s="6" t="s">
        <v>109</v>
      </c>
      <c r="K3120" s="38">
        <v>75707</v>
      </c>
      <c r="L3120" s="4" t="s">
        <v>25</v>
      </c>
      <c r="M3120" s="11">
        <f>_xlfn.NUMBERVALUE(LEFT(Table613612[[#This Row],[Fiscal Year]], 4))</f>
        <v>2017</v>
      </c>
      <c r="N3120" s="42">
        <f t="shared" si="50"/>
        <v>77724.308922888624</v>
      </c>
      <c r="O3120" s="3">
        <v>3118</v>
      </c>
    </row>
    <row r="3121" spans="1:15" x14ac:dyDescent="0.25">
      <c r="A3121" s="3">
        <v>9</v>
      </c>
      <c r="B3121" s="3" t="s">
        <v>313</v>
      </c>
      <c r="C3121" s="3" t="s">
        <v>21</v>
      </c>
      <c r="D3121" s="3" t="s">
        <v>21</v>
      </c>
      <c r="E3121" s="11" t="s">
        <v>144</v>
      </c>
      <c r="F3121" s="3" t="s">
        <v>8</v>
      </c>
      <c r="G3121" s="48" t="s">
        <v>1245</v>
      </c>
      <c r="H3121" s="8"/>
      <c r="I3121" s="8"/>
      <c r="J3121" s="6" t="s">
        <v>111</v>
      </c>
      <c r="K3121" s="38">
        <v>1139</v>
      </c>
      <c r="L3121" s="4" t="s">
        <v>25</v>
      </c>
      <c r="M3121" s="11">
        <f>_xlfn.NUMBERVALUE(LEFT(Table613612[[#This Row],[Fiscal Year]], 4))</f>
        <v>2017</v>
      </c>
      <c r="N3121" s="42">
        <f t="shared" si="50"/>
        <v>1169.3500979192168</v>
      </c>
      <c r="O3121" s="3">
        <v>3119</v>
      </c>
    </row>
    <row r="3122" spans="1:15" x14ac:dyDescent="0.25">
      <c r="A3122" s="3">
        <v>9</v>
      </c>
      <c r="B3122" s="3" t="s">
        <v>313</v>
      </c>
      <c r="C3122" s="3" t="s">
        <v>21</v>
      </c>
      <c r="D3122" s="3" t="s">
        <v>21</v>
      </c>
      <c r="E3122" s="11" t="s">
        <v>144</v>
      </c>
      <c r="F3122" s="3" t="s">
        <v>8</v>
      </c>
      <c r="G3122" s="48" t="s">
        <v>1246</v>
      </c>
      <c r="H3122" s="8"/>
      <c r="I3122" s="8"/>
      <c r="J3122" s="6" t="s">
        <v>106</v>
      </c>
      <c r="K3122" s="38">
        <v>74860</v>
      </c>
      <c r="L3122" s="4" t="s">
        <v>25</v>
      </c>
      <c r="M3122" s="11">
        <f>_xlfn.NUMBERVALUE(LEFT(Table613612[[#This Row],[Fiscal Year]], 4))</f>
        <v>2017</v>
      </c>
      <c r="N3122" s="42">
        <f t="shared" si="50"/>
        <v>76854.739534883731</v>
      </c>
      <c r="O3122" s="3">
        <v>3120</v>
      </c>
    </row>
    <row r="3123" spans="1:15" x14ac:dyDescent="0.25">
      <c r="A3123" s="3">
        <v>9</v>
      </c>
      <c r="B3123" s="3" t="s">
        <v>313</v>
      </c>
      <c r="C3123" s="3" t="s">
        <v>21</v>
      </c>
      <c r="D3123" s="3" t="s">
        <v>21</v>
      </c>
      <c r="E3123" s="11" t="s">
        <v>144</v>
      </c>
      <c r="F3123" s="3" t="s">
        <v>8</v>
      </c>
      <c r="G3123" s="48" t="s">
        <v>1342</v>
      </c>
      <c r="H3123" s="8"/>
      <c r="I3123" s="8"/>
      <c r="J3123" s="6" t="s">
        <v>453</v>
      </c>
      <c r="K3123" s="38">
        <v>13376</v>
      </c>
      <c r="L3123" s="4" t="s">
        <v>25</v>
      </c>
      <c r="M3123" s="11">
        <f>_xlfn.NUMBERVALUE(LEFT(Table613612[[#This Row],[Fiscal Year]], 4))</f>
        <v>2017</v>
      </c>
      <c r="N3123" s="42">
        <f t="shared" si="50"/>
        <v>13732.42046511628</v>
      </c>
      <c r="O3123" s="3">
        <v>3121</v>
      </c>
    </row>
    <row r="3124" spans="1:15" x14ac:dyDescent="0.25">
      <c r="A3124" s="3">
        <v>9</v>
      </c>
      <c r="B3124" s="3" t="s">
        <v>313</v>
      </c>
      <c r="C3124" s="3" t="s">
        <v>21</v>
      </c>
      <c r="D3124" s="3" t="s">
        <v>21</v>
      </c>
      <c r="E3124" s="11" t="s">
        <v>144</v>
      </c>
      <c r="F3124" s="3" t="s">
        <v>8</v>
      </c>
      <c r="G3124" s="48" t="s">
        <v>1249</v>
      </c>
      <c r="H3124" s="8" t="s">
        <v>692</v>
      </c>
      <c r="I3124" s="8"/>
      <c r="J3124" s="6" t="s">
        <v>455</v>
      </c>
      <c r="K3124" s="38">
        <v>31836</v>
      </c>
      <c r="L3124" s="4" t="s">
        <v>25</v>
      </c>
      <c r="M3124" s="11">
        <f>_xlfn.NUMBERVALUE(LEFT(Table613612[[#This Row],[Fiscal Year]], 4))</f>
        <v>2017</v>
      </c>
      <c r="N3124" s="42">
        <f t="shared" si="50"/>
        <v>32684.310550795599</v>
      </c>
      <c r="O3124" s="3">
        <v>3122</v>
      </c>
    </row>
    <row r="3125" spans="1:15" x14ac:dyDescent="0.25">
      <c r="A3125" s="3">
        <v>9</v>
      </c>
      <c r="B3125" s="3" t="s">
        <v>313</v>
      </c>
      <c r="C3125" s="3" t="s">
        <v>21</v>
      </c>
      <c r="D3125" s="3" t="s">
        <v>21</v>
      </c>
      <c r="E3125" s="11" t="s">
        <v>144</v>
      </c>
      <c r="F3125" s="3" t="s">
        <v>8</v>
      </c>
      <c r="G3125" s="48" t="s">
        <v>1250</v>
      </c>
      <c r="H3125" s="8" t="s">
        <v>665</v>
      </c>
      <c r="I3125" s="70" t="s">
        <v>664</v>
      </c>
      <c r="J3125" s="6" t="s">
        <v>108</v>
      </c>
      <c r="K3125" s="38">
        <v>0</v>
      </c>
      <c r="L3125" s="4" t="s">
        <v>25</v>
      </c>
      <c r="M3125" s="11">
        <f>_xlfn.NUMBERVALUE(LEFT(Table613612[[#This Row],[Fiscal Year]], 4))</f>
        <v>2017</v>
      </c>
      <c r="N3125" s="42">
        <f t="shared" si="50"/>
        <v>0</v>
      </c>
      <c r="O3125" s="3">
        <v>3123</v>
      </c>
    </row>
    <row r="3126" spans="1:15" x14ac:dyDescent="0.25">
      <c r="A3126" s="3">
        <v>9</v>
      </c>
      <c r="B3126" s="3" t="s">
        <v>313</v>
      </c>
      <c r="C3126" s="3" t="s">
        <v>21</v>
      </c>
      <c r="D3126" s="3" t="s">
        <v>21</v>
      </c>
      <c r="E3126" s="11" t="s">
        <v>144</v>
      </c>
      <c r="F3126" s="3" t="s">
        <v>8</v>
      </c>
      <c r="G3126" s="48" t="s">
        <v>1343</v>
      </c>
      <c r="H3126" s="8"/>
      <c r="I3126" s="8"/>
      <c r="J3126" s="6" t="s">
        <v>605</v>
      </c>
      <c r="K3126" s="38">
        <v>9672</v>
      </c>
      <c r="L3126" s="4" t="s">
        <v>25</v>
      </c>
      <c r="M3126" s="11">
        <f>_xlfn.NUMBERVALUE(LEFT(Table613612[[#This Row],[Fiscal Year]], 4))</f>
        <v>2017</v>
      </c>
      <c r="N3126" s="42">
        <f t="shared" si="50"/>
        <v>9929.7226927784595</v>
      </c>
      <c r="O3126" s="3">
        <v>3124</v>
      </c>
    </row>
    <row r="3127" spans="1:15" x14ac:dyDescent="0.25">
      <c r="A3127" s="3">
        <v>9</v>
      </c>
      <c r="B3127" s="3" t="s">
        <v>313</v>
      </c>
      <c r="C3127" s="3" t="s">
        <v>21</v>
      </c>
      <c r="D3127" s="3" t="s">
        <v>21</v>
      </c>
      <c r="E3127" s="11" t="s">
        <v>144</v>
      </c>
      <c r="F3127" s="3" t="s">
        <v>8</v>
      </c>
      <c r="G3127" s="48" t="s">
        <v>1344</v>
      </c>
      <c r="H3127" s="8"/>
      <c r="I3127" s="8"/>
      <c r="J3127" s="6" t="s">
        <v>605</v>
      </c>
      <c r="K3127" s="38">
        <v>84251</v>
      </c>
      <c r="L3127" s="4" t="s">
        <v>25</v>
      </c>
      <c r="M3127" s="11">
        <f>_xlfn.NUMBERVALUE(LEFT(Table613612[[#This Row],[Fiscal Year]], 4))</f>
        <v>2017</v>
      </c>
      <c r="N3127" s="42">
        <f t="shared" si="50"/>
        <v>86495.97462668299</v>
      </c>
      <c r="O3127" s="3">
        <v>3125</v>
      </c>
    </row>
    <row r="3128" spans="1:15" x14ac:dyDescent="0.25">
      <c r="A3128" s="3">
        <v>9</v>
      </c>
      <c r="B3128" s="3" t="s">
        <v>313</v>
      </c>
      <c r="C3128" s="3" t="s">
        <v>21</v>
      </c>
      <c r="D3128" s="3" t="s">
        <v>21</v>
      </c>
      <c r="E3128" s="11" t="s">
        <v>144</v>
      </c>
      <c r="F3128" s="3" t="s">
        <v>8</v>
      </c>
      <c r="G3128" s="48" t="s">
        <v>1345</v>
      </c>
      <c r="H3128" s="8"/>
      <c r="I3128" s="8"/>
      <c r="J3128" s="6" t="s">
        <v>110</v>
      </c>
      <c r="K3128" s="38">
        <v>21344</v>
      </c>
      <c r="L3128" s="4" t="s">
        <v>25</v>
      </c>
      <c r="M3128" s="11">
        <f>_xlfn.NUMBERVALUE(LEFT(Table613612[[#This Row],[Fiscal Year]], 4))</f>
        <v>2017</v>
      </c>
      <c r="N3128" s="42">
        <f t="shared" si="50"/>
        <v>21912.737919216648</v>
      </c>
      <c r="O3128" s="3">
        <v>3126</v>
      </c>
    </row>
    <row r="3129" spans="1:15" x14ac:dyDescent="0.25">
      <c r="A3129" s="3">
        <v>9</v>
      </c>
      <c r="B3129" s="3" t="s">
        <v>313</v>
      </c>
      <c r="C3129" s="3" t="s">
        <v>21</v>
      </c>
      <c r="D3129" s="3" t="s">
        <v>21</v>
      </c>
      <c r="E3129" s="11" t="s">
        <v>144</v>
      </c>
      <c r="F3129" s="3" t="s">
        <v>8</v>
      </c>
      <c r="G3129" s="48" t="s">
        <v>1346</v>
      </c>
      <c r="H3129" s="8"/>
      <c r="I3129" s="8"/>
      <c r="J3129" s="6" t="s">
        <v>455</v>
      </c>
      <c r="K3129" s="38">
        <v>3917</v>
      </c>
      <c r="L3129" s="4" t="s">
        <v>25</v>
      </c>
      <c r="M3129" s="11">
        <f>_xlfn.NUMBERVALUE(LEFT(Table613612[[#This Row],[Fiscal Year]], 4))</f>
        <v>2017</v>
      </c>
      <c r="N3129" s="42">
        <f t="shared" si="50"/>
        <v>4021.373427172583</v>
      </c>
      <c r="O3129" s="3">
        <v>3127</v>
      </c>
    </row>
    <row r="3130" spans="1:15" x14ac:dyDescent="0.25">
      <c r="A3130" s="3">
        <v>9</v>
      </c>
      <c r="B3130" s="3" t="s">
        <v>313</v>
      </c>
      <c r="C3130" s="3" t="s">
        <v>21</v>
      </c>
      <c r="D3130" s="3" t="s">
        <v>21</v>
      </c>
      <c r="E3130" s="11" t="s">
        <v>144</v>
      </c>
      <c r="F3130" s="3" t="s">
        <v>8</v>
      </c>
      <c r="G3130" s="56" t="s">
        <v>1347</v>
      </c>
      <c r="H3130" s="8"/>
      <c r="I3130" s="8"/>
      <c r="J3130" s="75" t="s">
        <v>110</v>
      </c>
      <c r="K3130" s="38">
        <v>11392</v>
      </c>
      <c r="L3130" s="4" t="s">
        <v>25</v>
      </c>
      <c r="M3130" s="11">
        <v>2017</v>
      </c>
      <c r="N3130" s="42">
        <f t="shared" si="50"/>
        <v>11695.554271725827</v>
      </c>
      <c r="O3130" s="3">
        <v>3128</v>
      </c>
    </row>
    <row r="3131" spans="1:15" x14ac:dyDescent="0.25">
      <c r="A3131" s="3">
        <v>9</v>
      </c>
      <c r="B3131" s="3" t="s">
        <v>313</v>
      </c>
      <c r="C3131" s="3" t="s">
        <v>21</v>
      </c>
      <c r="D3131" s="3" t="s">
        <v>21</v>
      </c>
      <c r="E3131" s="11" t="s">
        <v>144</v>
      </c>
      <c r="F3131" s="3" t="s">
        <v>8</v>
      </c>
      <c r="G3131" s="56" t="s">
        <v>1348</v>
      </c>
      <c r="H3131" s="8"/>
      <c r="I3131" s="8"/>
      <c r="J3131" s="75" t="s">
        <v>110</v>
      </c>
      <c r="K3131" s="38">
        <v>71167</v>
      </c>
      <c r="L3131" s="4" t="s">
        <v>25</v>
      </c>
      <c r="M3131" s="11">
        <v>2017</v>
      </c>
      <c r="N3131" s="42">
        <f t="shared" si="50"/>
        <v>73063.334871481042</v>
      </c>
      <c r="O3131" s="3">
        <v>3129</v>
      </c>
    </row>
    <row r="3132" spans="1:15" x14ac:dyDescent="0.25">
      <c r="A3132" s="3">
        <v>9</v>
      </c>
      <c r="B3132" s="3" t="s">
        <v>313</v>
      </c>
      <c r="C3132" s="3" t="s">
        <v>21</v>
      </c>
      <c r="D3132" s="3" t="s">
        <v>21</v>
      </c>
      <c r="E3132" s="11" t="s">
        <v>144</v>
      </c>
      <c r="F3132" s="3" t="s">
        <v>8</v>
      </c>
      <c r="G3132" s="56" t="s">
        <v>1349</v>
      </c>
      <c r="H3132" s="8"/>
      <c r="I3132" s="8"/>
      <c r="J3132" s="75" t="s">
        <v>605</v>
      </c>
      <c r="K3132" s="38">
        <v>0</v>
      </c>
      <c r="L3132" s="4" t="s">
        <v>25</v>
      </c>
      <c r="M3132" s="11">
        <v>2017</v>
      </c>
      <c r="N3132" s="42">
        <f>K3132*(1+VLOOKUP(M3132,$AF$8:$AH$31,3,0))</f>
        <v>0</v>
      </c>
      <c r="O3132" s="3">
        <v>3130</v>
      </c>
    </row>
    <row r="3133" spans="1:15" x14ac:dyDescent="0.25">
      <c r="A3133" s="3">
        <v>9</v>
      </c>
      <c r="B3133" s="3" t="s">
        <v>313</v>
      </c>
      <c r="C3133" s="3" t="s">
        <v>21</v>
      </c>
      <c r="D3133" s="3" t="s">
        <v>21</v>
      </c>
      <c r="E3133" s="11" t="s">
        <v>144</v>
      </c>
      <c r="F3133" s="3" t="s">
        <v>8</v>
      </c>
      <c r="G3133" s="56" t="s">
        <v>1350</v>
      </c>
      <c r="H3133" s="8"/>
      <c r="I3133" s="8"/>
      <c r="J3133" s="75" t="s">
        <v>455</v>
      </c>
      <c r="K3133" s="38">
        <v>0</v>
      </c>
      <c r="L3133" s="4" t="s">
        <v>25</v>
      </c>
      <c r="M3133" s="11">
        <v>2017</v>
      </c>
      <c r="N3133" s="42">
        <f>K3133*(1+VLOOKUP(M3133,$AF$8:$AH$31,3,0))</f>
        <v>0</v>
      </c>
      <c r="O3133" s="3">
        <v>3131</v>
      </c>
    </row>
    <row r="3134" spans="1:15" x14ac:dyDescent="0.25">
      <c r="E3134" s="11"/>
      <c r="G3134" s="66"/>
      <c r="H3134" s="8"/>
      <c r="I3134" s="8"/>
      <c r="J3134" s="6"/>
      <c r="L3134" s="4"/>
      <c r="O3134" s="3">
        <v>3132</v>
      </c>
    </row>
    <row r="3135" spans="1:15" x14ac:dyDescent="0.25">
      <c r="A3135" s="3">
        <v>9</v>
      </c>
      <c r="B3135" s="3" t="s">
        <v>314</v>
      </c>
      <c r="C3135" s="3" t="s">
        <v>21</v>
      </c>
      <c r="D3135" s="3" t="s">
        <v>21</v>
      </c>
      <c r="E3135" s="11" t="s">
        <v>144</v>
      </c>
      <c r="F3135" s="3" t="s">
        <v>8</v>
      </c>
      <c r="G3135" s="66" t="s">
        <v>385</v>
      </c>
      <c r="H3135" s="8"/>
      <c r="I3135" s="8"/>
      <c r="J3135" s="6" t="s">
        <v>110</v>
      </c>
      <c r="K3135" s="38">
        <v>14230</v>
      </c>
      <c r="L3135" s="4" t="s">
        <v>25</v>
      </c>
      <c r="M3135" s="11">
        <f>_xlfn.NUMBERVALUE(LEFT(Table613612[[#This Row],[Fiscal Year]], 4))</f>
        <v>2017</v>
      </c>
      <c r="N3135" s="42">
        <f t="shared" ref="N3135:N3198" si="51">K3135*(1+VLOOKUP(M3135,$AF$8:$AH$31,3,0))</f>
        <v>14609.176376988986</v>
      </c>
      <c r="O3135" s="3">
        <v>3133</v>
      </c>
    </row>
    <row r="3136" spans="1:15" x14ac:dyDescent="0.25">
      <c r="A3136" s="3">
        <v>9</v>
      </c>
      <c r="B3136" s="3" t="s">
        <v>314</v>
      </c>
      <c r="C3136" s="3" t="s">
        <v>21</v>
      </c>
      <c r="D3136" s="3" t="s">
        <v>21</v>
      </c>
      <c r="E3136" s="11" t="s">
        <v>144</v>
      </c>
      <c r="F3136" s="3" t="s">
        <v>8</v>
      </c>
      <c r="G3136" s="48" t="s">
        <v>333</v>
      </c>
      <c r="H3136" s="8"/>
      <c r="I3136" s="8"/>
      <c r="J3136" s="6" t="s">
        <v>110</v>
      </c>
      <c r="K3136" s="38">
        <v>27337.18</v>
      </c>
      <c r="L3136" s="4" t="s">
        <v>25</v>
      </c>
      <c r="M3136" s="11">
        <f>_xlfn.NUMBERVALUE(LEFT(Table613612[[#This Row],[Fiscal Year]], 4))</f>
        <v>2017</v>
      </c>
      <c r="N3136" s="42">
        <f t="shared" si="51"/>
        <v>28065.613792656062</v>
      </c>
      <c r="O3136" s="3">
        <v>3134</v>
      </c>
    </row>
    <row r="3137" spans="1:15" x14ac:dyDescent="0.25">
      <c r="A3137" s="3">
        <v>9</v>
      </c>
      <c r="B3137" s="3" t="s">
        <v>314</v>
      </c>
      <c r="C3137" s="3" t="s">
        <v>21</v>
      </c>
      <c r="D3137" s="3" t="s">
        <v>21</v>
      </c>
      <c r="E3137" s="11" t="s">
        <v>144</v>
      </c>
      <c r="F3137" s="3" t="s">
        <v>8</v>
      </c>
      <c r="G3137" s="66" t="s">
        <v>209</v>
      </c>
      <c r="H3137" s="8"/>
      <c r="I3137" s="8"/>
      <c r="J3137" s="6" t="s">
        <v>111</v>
      </c>
      <c r="K3137" s="38">
        <v>26456.69</v>
      </c>
      <c r="L3137" s="4" t="s">
        <v>25</v>
      </c>
      <c r="M3137" s="11">
        <f>_xlfn.NUMBERVALUE(LEFT(Table613612[[#This Row],[Fiscal Year]], 4))</f>
        <v>2017</v>
      </c>
      <c r="N3137" s="42">
        <f t="shared" si="51"/>
        <v>27161.662021175034</v>
      </c>
      <c r="O3137" s="3">
        <v>3135</v>
      </c>
    </row>
    <row r="3138" spans="1:15" x14ac:dyDescent="0.25">
      <c r="A3138" s="3">
        <v>9</v>
      </c>
      <c r="B3138" s="3" t="s">
        <v>314</v>
      </c>
      <c r="C3138" s="3" t="s">
        <v>21</v>
      </c>
      <c r="D3138" s="3" t="s">
        <v>21</v>
      </c>
      <c r="E3138" s="11" t="s">
        <v>144</v>
      </c>
      <c r="F3138" s="3" t="s">
        <v>8</v>
      </c>
      <c r="G3138" s="66" t="s">
        <v>70</v>
      </c>
      <c r="H3138" s="8"/>
      <c r="I3138" s="8"/>
      <c r="J3138" s="6" t="s">
        <v>107</v>
      </c>
      <c r="K3138" s="38">
        <v>25676.33</v>
      </c>
      <c r="L3138" s="4" t="s">
        <v>25</v>
      </c>
      <c r="M3138" s="11">
        <f>_xlfn.NUMBERVALUE(LEFT(Table613612[[#This Row],[Fiscal Year]], 4))</f>
        <v>2017</v>
      </c>
      <c r="N3138" s="42">
        <f t="shared" si="51"/>
        <v>26360.508340391683</v>
      </c>
      <c r="O3138" s="3">
        <v>3136</v>
      </c>
    </row>
    <row r="3139" spans="1:15" x14ac:dyDescent="0.25">
      <c r="A3139" s="3">
        <v>9</v>
      </c>
      <c r="B3139" s="3" t="s">
        <v>314</v>
      </c>
      <c r="C3139" s="3" t="s">
        <v>21</v>
      </c>
      <c r="D3139" s="3" t="s">
        <v>21</v>
      </c>
      <c r="E3139" s="11" t="s">
        <v>144</v>
      </c>
      <c r="F3139" s="3" t="s">
        <v>8</v>
      </c>
      <c r="G3139" s="48" t="s">
        <v>337</v>
      </c>
      <c r="H3139" s="8" t="s">
        <v>693</v>
      </c>
      <c r="I3139" s="8"/>
      <c r="J3139" s="6" t="s">
        <v>108</v>
      </c>
      <c r="K3139" s="38">
        <v>45913.49</v>
      </c>
      <c r="L3139" s="4" t="s">
        <v>25</v>
      </c>
      <c r="M3139" s="11">
        <f>_xlfn.NUMBERVALUE(LEFT(Table613612[[#This Row],[Fiscal Year]], 4))</f>
        <v>2017</v>
      </c>
      <c r="N3139" s="42">
        <f t="shared" si="51"/>
        <v>47136.913105630359</v>
      </c>
      <c r="O3139" s="3">
        <v>3137</v>
      </c>
    </row>
    <row r="3140" spans="1:15" x14ac:dyDescent="0.25">
      <c r="A3140" s="3">
        <v>9</v>
      </c>
      <c r="B3140" s="3" t="s">
        <v>314</v>
      </c>
      <c r="C3140" s="3" t="s">
        <v>21</v>
      </c>
      <c r="D3140" s="3" t="s">
        <v>21</v>
      </c>
      <c r="E3140" s="11" t="s">
        <v>144</v>
      </c>
      <c r="F3140" s="3" t="s">
        <v>8</v>
      </c>
      <c r="G3140" s="66" t="s">
        <v>334</v>
      </c>
      <c r="H3140" s="8"/>
      <c r="I3140" s="8"/>
      <c r="J3140" s="6" t="s">
        <v>109</v>
      </c>
      <c r="K3140" s="38">
        <v>33440.639999999999</v>
      </c>
      <c r="L3140" s="4" t="s">
        <v>25</v>
      </c>
      <c r="M3140" s="11">
        <f>_xlfn.NUMBERVALUE(LEFT(Table613612[[#This Row],[Fiscal Year]], 4))</f>
        <v>2017</v>
      </c>
      <c r="N3140" s="42">
        <f t="shared" si="51"/>
        <v>34331.708216401472</v>
      </c>
      <c r="O3140" s="3">
        <v>3138</v>
      </c>
    </row>
    <row r="3141" spans="1:15" x14ac:dyDescent="0.25">
      <c r="A3141" s="3">
        <v>9</v>
      </c>
      <c r="B3141" s="3" t="s">
        <v>314</v>
      </c>
      <c r="C3141" s="3" t="s">
        <v>21</v>
      </c>
      <c r="D3141" s="3" t="s">
        <v>21</v>
      </c>
      <c r="E3141" s="11" t="s">
        <v>144</v>
      </c>
      <c r="F3141" s="3" t="s">
        <v>8</v>
      </c>
      <c r="G3141" s="66" t="s">
        <v>49</v>
      </c>
      <c r="H3141" s="8"/>
      <c r="I3141" s="8"/>
      <c r="J3141" s="6" t="s">
        <v>111</v>
      </c>
      <c r="K3141" s="38">
        <v>8642.01</v>
      </c>
      <c r="L3141" s="4" t="s">
        <v>25</v>
      </c>
      <c r="M3141" s="11">
        <f>_xlfn.NUMBERVALUE(LEFT(Table613612[[#This Row],[Fiscal Year]], 4))</f>
        <v>2017</v>
      </c>
      <c r="N3141" s="42">
        <f t="shared" si="51"/>
        <v>8872.2873044063654</v>
      </c>
      <c r="O3141" s="3">
        <v>3139</v>
      </c>
    </row>
    <row r="3142" spans="1:15" x14ac:dyDescent="0.25">
      <c r="A3142" s="3">
        <v>9</v>
      </c>
      <c r="B3142" s="3" t="s">
        <v>314</v>
      </c>
      <c r="C3142" s="3" t="s">
        <v>21</v>
      </c>
      <c r="D3142" s="3" t="s">
        <v>21</v>
      </c>
      <c r="E3142" s="11" t="s">
        <v>144</v>
      </c>
      <c r="F3142" s="3" t="s">
        <v>8</v>
      </c>
      <c r="G3142" s="66" t="s">
        <v>338</v>
      </c>
      <c r="H3142" s="8"/>
      <c r="I3142" s="8"/>
      <c r="J3142" s="6" t="s">
        <v>106</v>
      </c>
      <c r="K3142" s="38">
        <v>10981.91</v>
      </c>
      <c r="L3142" s="4" t="s">
        <v>25</v>
      </c>
      <c r="M3142" s="11">
        <f>_xlfn.NUMBERVALUE(LEFT(Table613612[[#This Row],[Fiscal Year]], 4))</f>
        <v>2017</v>
      </c>
      <c r="N3142" s="42">
        <f t="shared" si="51"/>
        <v>11274.536904161569</v>
      </c>
      <c r="O3142" s="3">
        <v>3140</v>
      </c>
    </row>
    <row r="3143" spans="1:15" x14ac:dyDescent="0.25">
      <c r="A3143" s="3">
        <v>9</v>
      </c>
      <c r="B3143" s="3" t="s">
        <v>314</v>
      </c>
      <c r="C3143" s="3" t="s">
        <v>21</v>
      </c>
      <c r="D3143" s="3" t="s">
        <v>21</v>
      </c>
      <c r="E3143" s="11" t="s">
        <v>144</v>
      </c>
      <c r="F3143" s="3" t="s">
        <v>8</v>
      </c>
      <c r="G3143" s="66" t="s">
        <v>339</v>
      </c>
      <c r="H3143" s="8" t="s">
        <v>696</v>
      </c>
      <c r="I3143" s="8" t="s">
        <v>695</v>
      </c>
      <c r="J3143" s="6" t="s">
        <v>455</v>
      </c>
      <c r="K3143" s="38">
        <v>8142.01</v>
      </c>
      <c r="L3143" s="4" t="s">
        <v>25</v>
      </c>
      <c r="M3143" s="11">
        <f>_xlfn.NUMBERVALUE(LEFT(Table613612[[#This Row],[Fiscal Year]], 4))</f>
        <v>2017</v>
      </c>
      <c r="N3143" s="42">
        <f t="shared" si="51"/>
        <v>8358.964170991434</v>
      </c>
      <c r="O3143" s="3">
        <v>3141</v>
      </c>
    </row>
    <row r="3144" spans="1:15" x14ac:dyDescent="0.25">
      <c r="A3144" s="3">
        <v>9</v>
      </c>
      <c r="B3144" s="3" t="s">
        <v>314</v>
      </c>
      <c r="C3144" s="3" t="s">
        <v>21</v>
      </c>
      <c r="D3144" s="3" t="s">
        <v>21</v>
      </c>
      <c r="E3144" s="11" t="s">
        <v>144</v>
      </c>
      <c r="F3144" s="3" t="s">
        <v>8</v>
      </c>
      <c r="G3144" s="66" t="s">
        <v>340</v>
      </c>
      <c r="H3144" s="8"/>
      <c r="I3144" s="8"/>
      <c r="J3144" s="6" t="s">
        <v>105</v>
      </c>
      <c r="K3144" s="38">
        <v>3419.64</v>
      </c>
      <c r="L3144" s="4" t="s">
        <v>25</v>
      </c>
      <c r="M3144" s="11">
        <f>_xlfn.NUMBERVALUE(LEFT(Table613612[[#This Row],[Fiscal Year]], 4))</f>
        <v>2017</v>
      </c>
      <c r="N3144" s="42">
        <f t="shared" si="51"/>
        <v>3510.760639902081</v>
      </c>
      <c r="O3144" s="3">
        <v>3142</v>
      </c>
    </row>
    <row r="3145" spans="1:15" x14ac:dyDescent="0.25">
      <c r="A3145" s="3">
        <v>9</v>
      </c>
      <c r="B3145" s="3" t="s">
        <v>314</v>
      </c>
      <c r="C3145" s="3" t="s">
        <v>21</v>
      </c>
      <c r="D3145" s="3" t="s">
        <v>21</v>
      </c>
      <c r="E3145" s="11" t="s">
        <v>144</v>
      </c>
      <c r="F3145" s="3" t="s">
        <v>8</v>
      </c>
      <c r="G3145" s="48" t="s">
        <v>341</v>
      </c>
      <c r="H3145" s="8"/>
      <c r="I3145" s="8"/>
      <c r="J3145" s="6" t="s">
        <v>455</v>
      </c>
      <c r="K3145" s="38">
        <v>0</v>
      </c>
      <c r="L3145" s="4" t="s">
        <v>25</v>
      </c>
      <c r="M3145" s="11">
        <f>_xlfn.NUMBERVALUE(LEFT(Table613612[[#This Row],[Fiscal Year]], 4))</f>
        <v>2017</v>
      </c>
      <c r="N3145" s="42">
        <f t="shared" si="51"/>
        <v>0</v>
      </c>
      <c r="O3145" s="3">
        <v>3143</v>
      </c>
    </row>
    <row r="3146" spans="1:15" x14ac:dyDescent="0.25">
      <c r="A3146" s="3">
        <v>9</v>
      </c>
      <c r="B3146" s="3" t="s">
        <v>314</v>
      </c>
      <c r="C3146" s="3" t="s">
        <v>21</v>
      </c>
      <c r="D3146" s="3" t="s">
        <v>21</v>
      </c>
      <c r="E3146" s="11" t="s">
        <v>144</v>
      </c>
      <c r="F3146" s="3" t="s">
        <v>8</v>
      </c>
      <c r="G3146" s="66" t="s">
        <v>342</v>
      </c>
      <c r="H3146" s="8" t="s">
        <v>665</v>
      </c>
      <c r="I3146" s="70" t="s">
        <v>664</v>
      </c>
      <c r="J3146" s="6" t="s">
        <v>108</v>
      </c>
      <c r="K3146" s="38">
        <v>0</v>
      </c>
      <c r="L3146" s="4" t="s">
        <v>25</v>
      </c>
      <c r="M3146" s="11">
        <f>_xlfn.NUMBERVALUE(LEFT(Table613612[[#This Row],[Fiscal Year]], 4))</f>
        <v>2017</v>
      </c>
      <c r="N3146" s="42">
        <f t="shared" si="51"/>
        <v>0</v>
      </c>
      <c r="O3146" s="3">
        <v>3144</v>
      </c>
    </row>
    <row r="3147" spans="1:15" x14ac:dyDescent="0.25">
      <c r="A3147" s="3">
        <v>9</v>
      </c>
      <c r="B3147" s="3" t="s">
        <v>314</v>
      </c>
      <c r="C3147" s="3" t="s">
        <v>21</v>
      </c>
      <c r="D3147" s="3" t="s">
        <v>21</v>
      </c>
      <c r="E3147" s="11" t="s">
        <v>144</v>
      </c>
      <c r="F3147" s="3" t="s">
        <v>8</v>
      </c>
      <c r="G3147" s="69" t="s">
        <v>1351</v>
      </c>
      <c r="H3147" s="8"/>
      <c r="I3147" s="8"/>
      <c r="J3147" s="6" t="s">
        <v>605</v>
      </c>
      <c r="K3147" s="38">
        <v>9099</v>
      </c>
      <c r="L3147" s="4" t="s">
        <v>25</v>
      </c>
      <c r="M3147" s="11">
        <f>_xlfn.NUMBERVALUE(LEFT(Table613612[[#This Row],[Fiscal Year]], 4))</f>
        <v>2017</v>
      </c>
      <c r="N3147" s="42">
        <f t="shared" si="51"/>
        <v>9341.4543818849452</v>
      </c>
      <c r="O3147" s="3">
        <v>3145</v>
      </c>
    </row>
    <row r="3148" spans="1:15" x14ac:dyDescent="0.25">
      <c r="A3148" s="3">
        <v>9</v>
      </c>
      <c r="B3148" s="3" t="s">
        <v>314</v>
      </c>
      <c r="C3148" s="3" t="s">
        <v>21</v>
      </c>
      <c r="D3148" s="3" t="s">
        <v>21</v>
      </c>
      <c r="E3148" s="11" t="s">
        <v>144</v>
      </c>
      <c r="F3148" s="3" t="s">
        <v>8</v>
      </c>
      <c r="G3148" s="48" t="s">
        <v>386</v>
      </c>
      <c r="H3148" s="8"/>
      <c r="I3148" s="8"/>
      <c r="J3148" s="6" t="s">
        <v>605</v>
      </c>
      <c r="K3148" s="38">
        <v>30309.24</v>
      </c>
      <c r="L3148" s="4" t="s">
        <v>25</v>
      </c>
      <c r="M3148" s="11">
        <f>_xlfn.NUMBERVALUE(LEFT(Table613612[[#This Row],[Fiscal Year]], 4))</f>
        <v>2017</v>
      </c>
      <c r="N3148" s="42">
        <f t="shared" si="51"/>
        <v>31116.868096450435</v>
      </c>
      <c r="O3148" s="3">
        <v>3146</v>
      </c>
    </row>
    <row r="3149" spans="1:15" x14ac:dyDescent="0.25">
      <c r="A3149" s="3">
        <v>9</v>
      </c>
      <c r="B3149" s="3" t="s">
        <v>314</v>
      </c>
      <c r="C3149" s="3" t="s">
        <v>21</v>
      </c>
      <c r="D3149" s="3" t="s">
        <v>21</v>
      </c>
      <c r="E3149" s="11" t="s">
        <v>144</v>
      </c>
      <c r="F3149" s="3" t="s">
        <v>8</v>
      </c>
      <c r="G3149" s="48" t="s">
        <v>387</v>
      </c>
      <c r="H3149" s="8"/>
      <c r="I3149" s="8"/>
      <c r="J3149" s="6" t="s">
        <v>455</v>
      </c>
      <c r="K3149" s="38">
        <v>2327</v>
      </c>
      <c r="L3149" s="4" t="s">
        <v>25</v>
      </c>
      <c r="M3149" s="11">
        <f>_xlfn.NUMBERVALUE(LEFT(Table613612[[#This Row],[Fiscal Year]], 4))</f>
        <v>2017</v>
      </c>
      <c r="N3149" s="42">
        <f t="shared" si="51"/>
        <v>2389.0058629130972</v>
      </c>
      <c r="O3149" s="3">
        <v>3147</v>
      </c>
    </row>
    <row r="3150" spans="1:15" x14ac:dyDescent="0.25">
      <c r="E3150" s="11"/>
      <c r="G3150" s="66"/>
      <c r="H3150" s="8"/>
      <c r="I3150" s="8"/>
      <c r="J3150" s="6"/>
      <c r="L3150" s="4"/>
      <c r="O3150" s="3">
        <v>3148</v>
      </c>
    </row>
    <row r="3151" spans="1:15" x14ac:dyDescent="0.25">
      <c r="A3151" s="3">
        <v>9</v>
      </c>
      <c r="B3151" s="3" t="s">
        <v>315</v>
      </c>
      <c r="C3151" s="3" t="s">
        <v>21</v>
      </c>
      <c r="D3151" s="3" t="s">
        <v>21</v>
      </c>
      <c r="E3151" s="11" t="s">
        <v>144</v>
      </c>
      <c r="F3151" s="3" t="s">
        <v>8</v>
      </c>
      <c r="G3151" s="48" t="s">
        <v>1352</v>
      </c>
      <c r="H3151" s="8"/>
      <c r="I3151" s="8"/>
      <c r="J3151" s="6" t="s">
        <v>110</v>
      </c>
      <c r="K3151" s="38">
        <v>35411</v>
      </c>
      <c r="L3151" s="4" t="s">
        <v>25</v>
      </c>
      <c r="M3151" s="11">
        <f>_xlfn.NUMBERVALUE(LEFT(Table613612[[#This Row],[Fiscal Year]], 4))</f>
        <v>2017</v>
      </c>
      <c r="N3151" s="42">
        <f t="shared" si="51"/>
        <v>36354.57095471237</v>
      </c>
      <c r="O3151" s="3">
        <v>3149</v>
      </c>
    </row>
    <row r="3152" spans="1:15" x14ac:dyDescent="0.25">
      <c r="A3152" s="3">
        <v>9</v>
      </c>
      <c r="B3152" s="3" t="s">
        <v>315</v>
      </c>
      <c r="C3152" s="3" t="s">
        <v>21</v>
      </c>
      <c r="D3152" s="3" t="s">
        <v>21</v>
      </c>
      <c r="E3152" s="11" t="s">
        <v>144</v>
      </c>
      <c r="F3152" s="3" t="s">
        <v>8</v>
      </c>
      <c r="G3152" s="66" t="s">
        <v>1353</v>
      </c>
      <c r="H3152" s="8"/>
      <c r="I3152" s="8"/>
      <c r="J3152" s="6" t="s">
        <v>111</v>
      </c>
      <c r="K3152" s="38">
        <v>40465</v>
      </c>
      <c r="L3152" s="4" t="s">
        <v>25</v>
      </c>
      <c r="M3152" s="11">
        <f>_xlfn.NUMBERVALUE(LEFT(Table613612[[#This Row],[Fiscal Year]], 4))</f>
        <v>2017</v>
      </c>
      <c r="N3152" s="42">
        <f t="shared" si="51"/>
        <v>41543.241187270505</v>
      </c>
      <c r="O3152" s="3">
        <v>3150</v>
      </c>
    </row>
    <row r="3153" spans="1:15" x14ac:dyDescent="0.25">
      <c r="A3153" s="3">
        <v>9</v>
      </c>
      <c r="B3153" s="3" t="s">
        <v>315</v>
      </c>
      <c r="C3153" s="3" t="s">
        <v>21</v>
      </c>
      <c r="D3153" s="3" t="s">
        <v>21</v>
      </c>
      <c r="E3153" s="11" t="s">
        <v>144</v>
      </c>
      <c r="F3153" s="3" t="s">
        <v>8</v>
      </c>
      <c r="G3153" s="66" t="s">
        <v>1354</v>
      </c>
      <c r="H3153" s="8"/>
      <c r="I3153" s="8"/>
      <c r="J3153" s="6" t="s">
        <v>107</v>
      </c>
      <c r="K3153" s="38">
        <v>31486</v>
      </c>
      <c r="L3153" s="4" t="s">
        <v>25</v>
      </c>
      <c r="M3153" s="11">
        <f>_xlfn.NUMBERVALUE(LEFT(Table613612[[#This Row],[Fiscal Year]], 4))</f>
        <v>2017</v>
      </c>
      <c r="N3153" s="42">
        <f t="shared" si="51"/>
        <v>32324.984357405145</v>
      </c>
      <c r="O3153" s="3">
        <v>3151</v>
      </c>
    </row>
    <row r="3154" spans="1:15" x14ac:dyDescent="0.25">
      <c r="A3154" s="3">
        <v>9</v>
      </c>
      <c r="B3154" s="3" t="s">
        <v>315</v>
      </c>
      <c r="C3154" s="3" t="s">
        <v>21</v>
      </c>
      <c r="D3154" s="3" t="s">
        <v>21</v>
      </c>
      <c r="E3154" s="11" t="s">
        <v>144</v>
      </c>
      <c r="F3154" s="3" t="s">
        <v>8</v>
      </c>
      <c r="G3154" s="48" t="s">
        <v>1355</v>
      </c>
      <c r="H3154" s="8"/>
      <c r="I3154" s="8"/>
      <c r="J3154" s="6" t="s">
        <v>108</v>
      </c>
      <c r="K3154" s="38">
        <v>335779</v>
      </c>
      <c r="L3154" s="4" t="s">
        <v>25</v>
      </c>
      <c r="M3154" s="11">
        <f>_xlfn.NUMBERVALUE(LEFT(Table613612[[#This Row],[Fiscal Year]], 4))</f>
        <v>2017</v>
      </c>
      <c r="N3154" s="42">
        <f t="shared" si="51"/>
        <v>344726.25682986539</v>
      </c>
      <c r="O3154" s="3">
        <v>3152</v>
      </c>
    </row>
    <row r="3155" spans="1:15" x14ac:dyDescent="0.25">
      <c r="A3155" s="3">
        <v>9</v>
      </c>
      <c r="B3155" s="3" t="s">
        <v>315</v>
      </c>
      <c r="C3155" s="3" t="s">
        <v>21</v>
      </c>
      <c r="D3155" s="3" t="s">
        <v>21</v>
      </c>
      <c r="E3155" s="11" t="s">
        <v>144</v>
      </c>
      <c r="F3155" s="3" t="s">
        <v>8</v>
      </c>
      <c r="G3155" s="66" t="s">
        <v>1356</v>
      </c>
      <c r="H3155" s="8"/>
      <c r="I3155" s="8"/>
      <c r="J3155" s="6" t="s">
        <v>109</v>
      </c>
      <c r="K3155" s="38">
        <v>68949</v>
      </c>
      <c r="L3155" s="4" t="s">
        <v>25</v>
      </c>
      <c r="M3155" s="11">
        <f>_xlfn.NUMBERVALUE(LEFT(Table613612[[#This Row],[Fiscal Year]], 4))</f>
        <v>2017</v>
      </c>
      <c r="N3155" s="42">
        <f t="shared" si="51"/>
        <v>70786.233451652399</v>
      </c>
      <c r="O3155" s="3">
        <v>3153</v>
      </c>
    </row>
    <row r="3156" spans="1:15" x14ac:dyDescent="0.25">
      <c r="A3156" s="3">
        <v>9</v>
      </c>
      <c r="B3156" s="3" t="s">
        <v>315</v>
      </c>
      <c r="C3156" s="3" t="s">
        <v>21</v>
      </c>
      <c r="D3156" s="3" t="s">
        <v>21</v>
      </c>
      <c r="E3156" s="11" t="s">
        <v>144</v>
      </c>
      <c r="F3156" s="3" t="s">
        <v>8</v>
      </c>
      <c r="G3156" s="66" t="s">
        <v>1357</v>
      </c>
      <c r="H3156" s="8"/>
      <c r="I3156" s="8"/>
      <c r="J3156" s="6" t="s">
        <v>111</v>
      </c>
      <c r="K3156" s="38">
        <v>9073</v>
      </c>
      <c r="L3156" s="4" t="s">
        <v>25</v>
      </c>
      <c r="M3156" s="11">
        <f>_xlfn.NUMBERVALUE(LEFT(Table613612[[#This Row],[Fiscal Year]], 4))</f>
        <v>2017</v>
      </c>
      <c r="N3156" s="42">
        <f t="shared" si="51"/>
        <v>9314.7615789473693</v>
      </c>
      <c r="O3156" s="3">
        <v>3154</v>
      </c>
    </row>
    <row r="3157" spans="1:15" x14ac:dyDescent="0.25">
      <c r="A3157" s="3">
        <v>9</v>
      </c>
      <c r="B3157" s="3" t="s">
        <v>315</v>
      </c>
      <c r="C3157" s="3" t="s">
        <v>21</v>
      </c>
      <c r="D3157" s="3" t="s">
        <v>21</v>
      </c>
      <c r="E3157" s="11" t="s">
        <v>144</v>
      </c>
      <c r="F3157" s="3" t="s">
        <v>8</v>
      </c>
      <c r="G3157" s="66" t="s">
        <v>1358</v>
      </c>
      <c r="H3157" s="8"/>
      <c r="I3157" s="8"/>
      <c r="J3157" s="6" t="s">
        <v>106</v>
      </c>
      <c r="K3157" s="38">
        <v>43245</v>
      </c>
      <c r="L3157" s="4" t="s">
        <v>25</v>
      </c>
      <c r="M3157" s="11">
        <f>_xlfn.NUMBERVALUE(LEFT(Table613612[[#This Row],[Fiscal Year]], 4))</f>
        <v>2017</v>
      </c>
      <c r="N3157" s="42">
        <f t="shared" si="51"/>
        <v>44397.317809057531</v>
      </c>
      <c r="O3157" s="3">
        <v>3155</v>
      </c>
    </row>
    <row r="3158" spans="1:15" x14ac:dyDescent="0.25">
      <c r="A3158" s="3">
        <v>9</v>
      </c>
      <c r="B3158" s="3" t="s">
        <v>315</v>
      </c>
      <c r="C3158" s="3" t="s">
        <v>21</v>
      </c>
      <c r="D3158" s="3" t="s">
        <v>21</v>
      </c>
      <c r="E3158" s="11" t="s">
        <v>144</v>
      </c>
      <c r="F3158" s="3" t="s">
        <v>8</v>
      </c>
      <c r="G3158" s="48" t="s">
        <v>1359</v>
      </c>
      <c r="H3158" s="8" t="s">
        <v>694</v>
      </c>
      <c r="I3158" s="8" t="s">
        <v>699</v>
      </c>
      <c r="J3158" s="6" t="s">
        <v>455</v>
      </c>
      <c r="K3158" s="38">
        <v>10342</v>
      </c>
      <c r="L3158" s="4" t="s">
        <v>25</v>
      </c>
      <c r="M3158" s="11">
        <f>_xlfn.NUMBERVALUE(LEFT(Table613612[[#This Row],[Fiscal Year]], 4))</f>
        <v>2017</v>
      </c>
      <c r="N3158" s="42">
        <f t="shared" si="51"/>
        <v>10617.575691554468</v>
      </c>
      <c r="O3158" s="3">
        <v>3156</v>
      </c>
    </row>
    <row r="3159" spans="1:15" x14ac:dyDescent="0.25">
      <c r="A3159" s="3">
        <v>9</v>
      </c>
      <c r="B3159" s="3" t="s">
        <v>315</v>
      </c>
      <c r="C3159" s="3" t="s">
        <v>21</v>
      </c>
      <c r="D3159" s="3" t="s">
        <v>21</v>
      </c>
      <c r="E3159" s="11" t="s">
        <v>144</v>
      </c>
      <c r="F3159" s="3" t="s">
        <v>8</v>
      </c>
      <c r="G3159" s="66" t="s">
        <v>1360</v>
      </c>
      <c r="H3159" s="8"/>
      <c r="I3159" s="8"/>
      <c r="J3159" s="6" t="s">
        <v>105</v>
      </c>
      <c r="K3159" s="38">
        <v>8056</v>
      </c>
      <c r="L3159" s="4" t="s">
        <v>25</v>
      </c>
      <c r="M3159" s="11">
        <f>_xlfn.NUMBERVALUE(LEFT(Table613612[[#This Row],[Fiscal Year]], 4))</f>
        <v>2017</v>
      </c>
      <c r="N3159" s="42">
        <f t="shared" si="51"/>
        <v>8270.6623255813956</v>
      </c>
      <c r="O3159" s="3">
        <v>3157</v>
      </c>
    </row>
    <row r="3160" spans="1:15" x14ac:dyDescent="0.25">
      <c r="A3160" s="3">
        <v>9</v>
      </c>
      <c r="B3160" s="3" t="s">
        <v>315</v>
      </c>
      <c r="C3160" s="3" t="s">
        <v>21</v>
      </c>
      <c r="D3160" s="3" t="s">
        <v>21</v>
      </c>
      <c r="E3160" s="11" t="s">
        <v>144</v>
      </c>
      <c r="F3160" s="3" t="s">
        <v>8</v>
      </c>
      <c r="G3160" s="48" t="s">
        <v>1361</v>
      </c>
      <c r="H3160" s="8" t="s">
        <v>700</v>
      </c>
      <c r="I3160" s="8" t="s">
        <v>701</v>
      </c>
      <c r="J3160" s="6" t="s">
        <v>455</v>
      </c>
      <c r="K3160" s="38">
        <v>3200</v>
      </c>
      <c r="L3160" s="4" t="s">
        <v>25</v>
      </c>
      <c r="M3160" s="11">
        <f>_xlfn.NUMBERVALUE(LEFT(Table613612[[#This Row],[Fiscal Year]], 4))</f>
        <v>2017</v>
      </c>
      <c r="N3160" s="42">
        <f t="shared" si="51"/>
        <v>3285.2680538555696</v>
      </c>
      <c r="O3160" s="3">
        <v>3158</v>
      </c>
    </row>
    <row r="3161" spans="1:15" x14ac:dyDescent="0.25">
      <c r="A3161" s="3">
        <v>9</v>
      </c>
      <c r="B3161" s="3" t="s">
        <v>315</v>
      </c>
      <c r="C3161" s="3" t="s">
        <v>21</v>
      </c>
      <c r="D3161" s="3" t="s">
        <v>21</v>
      </c>
      <c r="E3161" s="11" t="s">
        <v>144</v>
      </c>
      <c r="F3161" s="3" t="s">
        <v>8</v>
      </c>
      <c r="G3161" s="56" t="s">
        <v>388</v>
      </c>
      <c r="H3161" s="8"/>
      <c r="I3161" s="8"/>
      <c r="J3161" s="6" t="s">
        <v>605</v>
      </c>
      <c r="K3161" s="38">
        <v>60637</v>
      </c>
      <c r="L3161" s="4" t="s">
        <v>25</v>
      </c>
      <c r="M3161" s="11">
        <f>_xlfn.NUMBERVALUE(LEFT(Table613612[[#This Row],[Fiscal Year]], 4))</f>
        <v>2017</v>
      </c>
      <c r="N3161" s="42">
        <f t="shared" si="51"/>
        <v>62252.749681762551</v>
      </c>
      <c r="O3161" s="3">
        <v>3159</v>
      </c>
    </row>
    <row r="3162" spans="1:15" x14ac:dyDescent="0.25">
      <c r="A3162" s="3">
        <v>9</v>
      </c>
      <c r="B3162" s="3" t="s">
        <v>315</v>
      </c>
      <c r="C3162" s="3" t="s">
        <v>21</v>
      </c>
      <c r="D3162" s="3" t="s">
        <v>21</v>
      </c>
      <c r="E3162" s="11" t="s">
        <v>144</v>
      </c>
      <c r="F3162" s="3" t="s">
        <v>8</v>
      </c>
      <c r="G3162" s="56" t="s">
        <v>389</v>
      </c>
      <c r="H3162" s="8" t="s">
        <v>697</v>
      </c>
      <c r="I3162" s="8" t="s">
        <v>698</v>
      </c>
      <c r="J3162" s="6" t="s">
        <v>455</v>
      </c>
      <c r="K3162" s="38">
        <v>34453</v>
      </c>
      <c r="L3162" s="4" t="s">
        <v>25</v>
      </c>
      <c r="M3162" s="11">
        <f>_xlfn.NUMBERVALUE(LEFT(Table613612[[#This Row],[Fiscal Year]], 4))</f>
        <v>2017</v>
      </c>
      <c r="N3162" s="42">
        <f t="shared" si="51"/>
        <v>35371.043831089359</v>
      </c>
      <c r="O3162" s="3">
        <v>3160</v>
      </c>
    </row>
    <row r="3163" spans="1:15" x14ac:dyDescent="0.25">
      <c r="E3163" s="11"/>
      <c r="G3163" s="66"/>
      <c r="H3163" s="8"/>
      <c r="I3163" s="8"/>
      <c r="J3163" s="6"/>
      <c r="L3163" s="4"/>
      <c r="O3163" s="3">
        <v>3161</v>
      </c>
    </row>
    <row r="3164" spans="1:15" x14ac:dyDescent="0.25">
      <c r="A3164" s="3">
        <v>9</v>
      </c>
      <c r="B3164" s="3" t="s">
        <v>316</v>
      </c>
      <c r="C3164" s="3" t="s">
        <v>21</v>
      </c>
      <c r="D3164" s="3" t="s">
        <v>21</v>
      </c>
      <c r="E3164" s="11" t="s">
        <v>144</v>
      </c>
      <c r="F3164" s="3" t="s">
        <v>8</v>
      </c>
      <c r="G3164" s="48" t="s">
        <v>1362</v>
      </c>
      <c r="H3164" s="8"/>
      <c r="I3164" s="8"/>
      <c r="J3164" s="8" t="s">
        <v>110</v>
      </c>
      <c r="K3164" s="38">
        <v>21344</v>
      </c>
      <c r="L3164" s="4" t="s">
        <v>25</v>
      </c>
      <c r="M3164" s="11">
        <f>_xlfn.NUMBERVALUE(LEFT(Table613612[[#This Row],[Fiscal Year]], 4))</f>
        <v>2017</v>
      </c>
      <c r="N3164" s="42">
        <f t="shared" si="51"/>
        <v>21912.737919216648</v>
      </c>
      <c r="O3164" s="3">
        <v>3162</v>
      </c>
    </row>
    <row r="3165" spans="1:15" x14ac:dyDescent="0.25">
      <c r="A3165" s="3">
        <v>9</v>
      </c>
      <c r="B3165" s="3" t="s">
        <v>316</v>
      </c>
      <c r="C3165" s="3" t="s">
        <v>21</v>
      </c>
      <c r="D3165" s="3" t="s">
        <v>21</v>
      </c>
      <c r="E3165" s="11" t="s">
        <v>144</v>
      </c>
      <c r="F3165" s="3" t="s">
        <v>8</v>
      </c>
      <c r="G3165" s="48" t="s">
        <v>1363</v>
      </c>
      <c r="H3165" s="8"/>
      <c r="I3165" s="8"/>
      <c r="J3165" s="6" t="s">
        <v>111</v>
      </c>
      <c r="K3165" s="38">
        <v>131937</v>
      </c>
      <c r="L3165" s="4" t="s">
        <v>25</v>
      </c>
      <c r="M3165" s="11">
        <f>_xlfn.NUMBERVALUE(LEFT(Table613612[[#This Row],[Fiscal Year]], 4))</f>
        <v>2017</v>
      </c>
      <c r="N3165" s="42">
        <f t="shared" si="51"/>
        <v>135452.62850673197</v>
      </c>
      <c r="O3165" s="3">
        <v>3163</v>
      </c>
    </row>
    <row r="3166" spans="1:15" x14ac:dyDescent="0.25">
      <c r="A3166" s="3">
        <v>9</v>
      </c>
      <c r="B3166" s="3" t="s">
        <v>316</v>
      </c>
      <c r="C3166" s="3" t="s">
        <v>21</v>
      </c>
      <c r="D3166" s="3" t="s">
        <v>21</v>
      </c>
      <c r="E3166" s="11" t="s">
        <v>144</v>
      </c>
      <c r="F3166" s="3" t="s">
        <v>8</v>
      </c>
      <c r="G3166" s="48" t="s">
        <v>1364</v>
      </c>
      <c r="H3166" s="8"/>
      <c r="I3166" s="8"/>
      <c r="J3166" s="6" t="s">
        <v>110</v>
      </c>
      <c r="K3166" s="38">
        <v>38550</v>
      </c>
      <c r="L3166" s="4" t="s">
        <v>25</v>
      </c>
      <c r="M3166" s="11">
        <f>_xlfn.NUMBERVALUE(LEFT(Table613612[[#This Row],[Fiscal Year]], 4))</f>
        <v>2017</v>
      </c>
      <c r="N3166" s="42">
        <f t="shared" si="51"/>
        <v>39577.213586291313</v>
      </c>
      <c r="O3166" s="3">
        <v>3164</v>
      </c>
    </row>
    <row r="3167" spans="1:15" x14ac:dyDescent="0.25">
      <c r="A3167" s="3">
        <v>9</v>
      </c>
      <c r="B3167" s="3" t="s">
        <v>316</v>
      </c>
      <c r="C3167" s="3" t="s">
        <v>21</v>
      </c>
      <c r="D3167" s="3" t="s">
        <v>21</v>
      </c>
      <c r="E3167" s="11" t="s">
        <v>144</v>
      </c>
      <c r="F3167" s="3" t="s">
        <v>8</v>
      </c>
      <c r="G3167" s="66" t="s">
        <v>1365</v>
      </c>
      <c r="H3167" s="8"/>
      <c r="I3167" s="8"/>
      <c r="J3167" s="6" t="s">
        <v>108</v>
      </c>
      <c r="K3167" s="38">
        <v>4957</v>
      </c>
      <c r="L3167" s="4" t="s">
        <v>25</v>
      </c>
      <c r="M3167" s="11">
        <f>_xlfn.NUMBERVALUE(LEFT(Table613612[[#This Row],[Fiscal Year]], 4))</f>
        <v>2017</v>
      </c>
      <c r="N3167" s="42">
        <f t="shared" si="51"/>
        <v>5089.0855446756432</v>
      </c>
      <c r="O3167" s="3">
        <v>3165</v>
      </c>
    </row>
    <row r="3168" spans="1:15" x14ac:dyDescent="0.25">
      <c r="A3168" s="3">
        <v>9</v>
      </c>
      <c r="B3168" s="3" t="s">
        <v>316</v>
      </c>
      <c r="C3168" s="3" t="s">
        <v>21</v>
      </c>
      <c r="D3168" s="3" t="s">
        <v>21</v>
      </c>
      <c r="E3168" s="11" t="s">
        <v>144</v>
      </c>
      <c r="F3168" s="3" t="s">
        <v>8</v>
      </c>
      <c r="G3168" s="48" t="s">
        <v>1366</v>
      </c>
      <c r="H3168" s="8"/>
      <c r="I3168" s="8"/>
      <c r="J3168" s="6" t="s">
        <v>108</v>
      </c>
      <c r="K3168" s="38">
        <v>195812</v>
      </c>
      <c r="L3168" s="4" t="s">
        <v>25</v>
      </c>
      <c r="M3168" s="11">
        <f>_xlfn.NUMBERVALUE(LEFT(Table613612[[#This Row],[Fiscal Year]], 4))</f>
        <v>2017</v>
      </c>
      <c r="N3168" s="42">
        <f t="shared" si="51"/>
        <v>201029.65880048962</v>
      </c>
      <c r="O3168" s="3">
        <v>3166</v>
      </c>
    </row>
    <row r="3169" spans="1:15" x14ac:dyDescent="0.25">
      <c r="A3169" s="3">
        <v>9</v>
      </c>
      <c r="B3169" s="3" t="s">
        <v>316</v>
      </c>
      <c r="C3169" s="3" t="s">
        <v>21</v>
      </c>
      <c r="D3169" s="3" t="s">
        <v>21</v>
      </c>
      <c r="E3169" s="11" t="s">
        <v>144</v>
      </c>
      <c r="F3169" s="3" t="s">
        <v>8</v>
      </c>
      <c r="G3169" s="48" t="s">
        <v>1367</v>
      </c>
      <c r="H3169" s="8"/>
      <c r="I3169" s="8"/>
      <c r="J3169" s="6" t="s">
        <v>111</v>
      </c>
      <c r="K3169" s="38">
        <v>262856</v>
      </c>
      <c r="L3169" s="4" t="s">
        <v>25</v>
      </c>
      <c r="M3169" s="11">
        <f>_xlfn.NUMBERVALUE(LEFT(Table613612[[#This Row],[Fiscal Year]], 4))</f>
        <v>2017</v>
      </c>
      <c r="N3169" s="42">
        <f t="shared" si="51"/>
        <v>269860.13111383113</v>
      </c>
      <c r="O3169" s="3">
        <v>3167</v>
      </c>
    </row>
    <row r="3170" spans="1:15" x14ac:dyDescent="0.25">
      <c r="A3170" s="3">
        <v>9</v>
      </c>
      <c r="B3170" s="3" t="s">
        <v>316</v>
      </c>
      <c r="C3170" s="3" t="s">
        <v>21</v>
      </c>
      <c r="D3170" s="3" t="s">
        <v>21</v>
      </c>
      <c r="E3170" s="11" t="s">
        <v>144</v>
      </c>
      <c r="F3170" s="3" t="s">
        <v>8</v>
      </c>
      <c r="G3170" s="48" t="s">
        <v>1368</v>
      </c>
      <c r="H3170" s="8"/>
      <c r="I3170" s="8"/>
      <c r="J3170" s="6" t="s">
        <v>76</v>
      </c>
      <c r="K3170" s="38">
        <v>6633</v>
      </c>
      <c r="L3170" s="4" t="s">
        <v>25</v>
      </c>
      <c r="M3170" s="11">
        <f>_xlfn.NUMBERVALUE(LEFT(Table613612[[#This Row],[Fiscal Year]], 4))</f>
        <v>2017</v>
      </c>
      <c r="N3170" s="42">
        <f t="shared" si="51"/>
        <v>6809.7446878824976</v>
      </c>
      <c r="O3170" s="3">
        <v>3168</v>
      </c>
    </row>
    <row r="3171" spans="1:15" x14ac:dyDescent="0.25">
      <c r="A3171" s="3">
        <v>9</v>
      </c>
      <c r="B3171" s="3" t="s">
        <v>316</v>
      </c>
      <c r="C3171" s="3" t="s">
        <v>21</v>
      </c>
      <c r="D3171" s="3" t="s">
        <v>21</v>
      </c>
      <c r="E3171" s="11" t="s">
        <v>144</v>
      </c>
      <c r="F3171" s="3" t="s">
        <v>8</v>
      </c>
      <c r="G3171" s="66" t="s">
        <v>1369</v>
      </c>
      <c r="H3171" s="8"/>
      <c r="I3171" s="8"/>
      <c r="J3171" s="6" t="s">
        <v>105</v>
      </c>
      <c r="K3171" s="38">
        <v>680</v>
      </c>
      <c r="L3171" s="4" t="s">
        <v>25</v>
      </c>
      <c r="M3171" s="11">
        <f>_xlfn.NUMBERVALUE(LEFT(Table613612[[#This Row],[Fiscal Year]], 4))</f>
        <v>2017</v>
      </c>
      <c r="N3171" s="42">
        <f t="shared" si="51"/>
        <v>698.11946144430851</v>
      </c>
      <c r="O3171" s="3">
        <v>3169</v>
      </c>
    </row>
    <row r="3172" spans="1:15" x14ac:dyDescent="0.25">
      <c r="A3172" s="3">
        <v>9</v>
      </c>
      <c r="B3172" s="3" t="s">
        <v>316</v>
      </c>
      <c r="C3172" s="3" t="s">
        <v>21</v>
      </c>
      <c r="D3172" s="3" t="s">
        <v>21</v>
      </c>
      <c r="E3172" s="11" t="s">
        <v>144</v>
      </c>
      <c r="F3172" s="3" t="s">
        <v>8</v>
      </c>
      <c r="G3172" s="66" t="s">
        <v>1372</v>
      </c>
      <c r="H3172" s="8"/>
      <c r="I3172" s="8"/>
      <c r="J3172" s="6" t="s">
        <v>110</v>
      </c>
      <c r="K3172" s="38">
        <v>10500</v>
      </c>
      <c r="L3172" s="4" t="s">
        <v>25</v>
      </c>
      <c r="M3172" s="11">
        <f>_xlfn.NUMBERVALUE(LEFT(Table613612[[#This Row],[Fiscal Year]], 4))</f>
        <v>2017</v>
      </c>
      <c r="N3172" s="42">
        <f t="shared" si="51"/>
        <v>10779.785801713588</v>
      </c>
      <c r="O3172" s="3">
        <v>3170</v>
      </c>
    </row>
    <row r="3173" spans="1:15" x14ac:dyDescent="0.25">
      <c r="A3173" s="3">
        <v>9</v>
      </c>
      <c r="B3173" s="3" t="s">
        <v>316</v>
      </c>
      <c r="C3173" s="3" t="s">
        <v>21</v>
      </c>
      <c r="D3173" s="3" t="s">
        <v>21</v>
      </c>
      <c r="E3173" s="11" t="s">
        <v>144</v>
      </c>
      <c r="F3173" s="3" t="s">
        <v>8</v>
      </c>
      <c r="G3173" s="66" t="s">
        <v>1370</v>
      </c>
      <c r="H3173" s="8"/>
      <c r="I3173" s="8"/>
      <c r="J3173" s="6" t="s">
        <v>110</v>
      </c>
      <c r="K3173" s="38">
        <v>12711</v>
      </c>
      <c r="L3173" s="4" t="s">
        <v>25</v>
      </c>
      <c r="M3173" s="11">
        <f>_xlfn.NUMBERVALUE(LEFT(Table613612[[#This Row],[Fiscal Year]], 4))</f>
        <v>2017</v>
      </c>
      <c r="N3173" s="42">
        <f t="shared" si="51"/>
        <v>13049.70069767442</v>
      </c>
      <c r="O3173" s="3">
        <v>3171</v>
      </c>
    </row>
    <row r="3174" spans="1:15" x14ac:dyDescent="0.25">
      <c r="A3174" s="3">
        <v>9</v>
      </c>
      <c r="B3174" s="3" t="s">
        <v>316</v>
      </c>
      <c r="C3174" s="3" t="s">
        <v>21</v>
      </c>
      <c r="D3174" s="3" t="s">
        <v>21</v>
      </c>
      <c r="E3174" s="11" t="s">
        <v>144</v>
      </c>
      <c r="F3174" s="3" t="s">
        <v>8</v>
      </c>
      <c r="G3174" s="66" t="s">
        <v>1258</v>
      </c>
      <c r="H3174" s="8"/>
      <c r="I3174" s="8"/>
      <c r="J3174" s="6" t="s">
        <v>47</v>
      </c>
      <c r="K3174" s="38">
        <v>21686</v>
      </c>
      <c r="L3174" s="4" t="s">
        <v>25</v>
      </c>
      <c r="M3174" s="11">
        <f>_xlfn.NUMBERVALUE(LEFT(Table613612[[#This Row],[Fiscal Year]], 4))</f>
        <v>2017</v>
      </c>
      <c r="N3174" s="42">
        <f t="shared" si="51"/>
        <v>22263.850942472462</v>
      </c>
      <c r="O3174" s="3">
        <v>3172</v>
      </c>
    </row>
    <row r="3175" spans="1:15" x14ac:dyDescent="0.25">
      <c r="A3175" s="3">
        <v>9</v>
      </c>
      <c r="B3175" s="3" t="s">
        <v>316</v>
      </c>
      <c r="C3175" s="3" t="s">
        <v>21</v>
      </c>
      <c r="D3175" s="3" t="s">
        <v>21</v>
      </c>
      <c r="E3175" s="11" t="s">
        <v>144</v>
      </c>
      <c r="F3175" s="3" t="s">
        <v>8</v>
      </c>
      <c r="G3175" s="48" t="s">
        <v>1371</v>
      </c>
      <c r="H3175" s="8"/>
      <c r="I3175" s="8"/>
      <c r="J3175" s="6" t="s">
        <v>110</v>
      </c>
      <c r="K3175" s="38">
        <v>159</v>
      </c>
      <c r="L3175" s="4" t="s">
        <v>25</v>
      </c>
      <c r="M3175" s="11">
        <f>_xlfn.NUMBERVALUE(LEFT(Table613612[[#This Row],[Fiscal Year]], 4))</f>
        <v>2017</v>
      </c>
      <c r="N3175" s="42">
        <f t="shared" si="51"/>
        <v>163.23675642594861</v>
      </c>
      <c r="O3175" s="3">
        <v>3173</v>
      </c>
    </row>
    <row r="3176" spans="1:15" x14ac:dyDescent="0.25">
      <c r="A3176" s="3">
        <v>9</v>
      </c>
      <c r="B3176" s="3" t="s">
        <v>316</v>
      </c>
      <c r="C3176" s="3" t="s">
        <v>21</v>
      </c>
      <c r="D3176" s="3" t="s">
        <v>21</v>
      </c>
      <c r="E3176" s="11" t="s">
        <v>144</v>
      </c>
      <c r="F3176" s="3" t="s">
        <v>8</v>
      </c>
      <c r="G3176" s="56" t="s">
        <v>390</v>
      </c>
      <c r="H3176" s="8"/>
      <c r="I3176" s="8"/>
      <c r="J3176" s="6" t="s">
        <v>455</v>
      </c>
      <c r="K3176" s="38">
        <v>78043</v>
      </c>
      <c r="L3176" s="4" t="s">
        <v>25</v>
      </c>
      <c r="M3176" s="11">
        <f>_xlfn.NUMBERVALUE(LEFT(Table613612[[#This Row],[Fiscal Year]], 4))</f>
        <v>2017</v>
      </c>
      <c r="N3176" s="42">
        <f t="shared" si="51"/>
        <v>80122.554602203192</v>
      </c>
      <c r="O3176" s="3">
        <v>3174</v>
      </c>
    </row>
    <row r="3177" spans="1:15" x14ac:dyDescent="0.25">
      <c r="E3177" s="11"/>
      <c r="G3177" s="66"/>
      <c r="H3177" s="8"/>
      <c r="I3177" s="8"/>
      <c r="J3177" s="6"/>
      <c r="L3177" s="4"/>
      <c r="O3177" s="3">
        <v>3175</v>
      </c>
    </row>
    <row r="3178" spans="1:15" x14ac:dyDescent="0.25">
      <c r="A3178" s="3">
        <v>9</v>
      </c>
      <c r="B3178" s="5" t="s">
        <v>317</v>
      </c>
      <c r="C3178" s="3" t="s">
        <v>21</v>
      </c>
      <c r="D3178" s="3" t="s">
        <v>21</v>
      </c>
      <c r="E3178" s="28" t="s">
        <v>144</v>
      </c>
      <c r="F3178" s="9" t="s">
        <v>8</v>
      </c>
      <c r="G3178" s="48" t="s">
        <v>368</v>
      </c>
      <c r="H3178" s="8"/>
      <c r="I3178" s="8"/>
      <c r="J3178" s="6" t="s">
        <v>110</v>
      </c>
      <c r="K3178" s="38">
        <v>611742</v>
      </c>
      <c r="L3178" s="4" t="s">
        <v>24</v>
      </c>
      <c r="M3178" s="11">
        <f>_xlfn.NUMBERVALUE(LEFT(Table613612[[#This Row],[Fiscal Year]], 4))</f>
        <v>2016</v>
      </c>
      <c r="N3178" s="42">
        <f t="shared" si="51"/>
        <v>641388.54667499999</v>
      </c>
      <c r="O3178" s="3">
        <v>3176</v>
      </c>
    </row>
    <row r="3179" spans="1:15" x14ac:dyDescent="0.25">
      <c r="A3179" s="3">
        <v>9</v>
      </c>
      <c r="B3179" s="3" t="s">
        <v>317</v>
      </c>
      <c r="C3179" s="3" t="s">
        <v>21</v>
      </c>
      <c r="D3179" s="3" t="s">
        <v>21</v>
      </c>
      <c r="E3179" s="11" t="s">
        <v>144</v>
      </c>
      <c r="F3179" s="3" t="s">
        <v>8</v>
      </c>
      <c r="G3179" s="48" t="s">
        <v>344</v>
      </c>
      <c r="H3179" s="8"/>
      <c r="I3179" s="8"/>
      <c r="J3179" s="6" t="s">
        <v>455</v>
      </c>
      <c r="K3179" s="38">
        <v>250</v>
      </c>
      <c r="L3179" s="4" t="s">
        <v>24</v>
      </c>
      <c r="M3179" s="11">
        <f>_xlfn.NUMBERVALUE(LEFT(Table613612[[#This Row],[Fiscal Year]], 4))</f>
        <v>2016</v>
      </c>
      <c r="N3179" s="42">
        <f t="shared" si="51"/>
        <v>262.11562500000002</v>
      </c>
      <c r="O3179" s="3">
        <v>3177</v>
      </c>
    </row>
    <row r="3180" spans="1:15" x14ac:dyDescent="0.25">
      <c r="A3180" s="3">
        <v>9</v>
      </c>
      <c r="B3180" s="3" t="s">
        <v>317</v>
      </c>
      <c r="C3180" s="3" t="s">
        <v>21</v>
      </c>
      <c r="D3180" s="3" t="s">
        <v>21</v>
      </c>
      <c r="E3180" s="11" t="s">
        <v>144</v>
      </c>
      <c r="F3180" s="3" t="s">
        <v>8</v>
      </c>
      <c r="G3180" s="66" t="s">
        <v>391</v>
      </c>
      <c r="H3180" s="8"/>
      <c r="I3180" s="8"/>
      <c r="J3180" s="6" t="s">
        <v>110</v>
      </c>
      <c r="K3180" s="38">
        <v>35304</v>
      </c>
      <c r="L3180" s="4" t="s">
        <v>24</v>
      </c>
      <c r="M3180" s="11">
        <f>_xlfn.NUMBERVALUE(LEFT(Table613612[[#This Row],[Fiscal Year]], 4))</f>
        <v>2016</v>
      </c>
      <c r="N3180" s="42">
        <f t="shared" si="51"/>
        <v>37014.920100000003</v>
      </c>
      <c r="O3180" s="3">
        <v>3178</v>
      </c>
    </row>
    <row r="3181" spans="1:15" x14ac:dyDescent="0.25">
      <c r="A3181" s="3">
        <v>9</v>
      </c>
      <c r="B3181" s="3" t="s">
        <v>317</v>
      </c>
      <c r="C3181" s="3" t="s">
        <v>21</v>
      </c>
      <c r="D3181" s="3" t="s">
        <v>21</v>
      </c>
      <c r="E3181" s="11" t="s">
        <v>144</v>
      </c>
      <c r="F3181" s="3" t="s">
        <v>8</v>
      </c>
      <c r="G3181" s="48" t="s">
        <v>392</v>
      </c>
      <c r="H3181" s="8"/>
      <c r="I3181" s="8"/>
      <c r="J3181" s="6" t="s">
        <v>110</v>
      </c>
      <c r="K3181" s="38">
        <v>8600</v>
      </c>
      <c r="L3181" s="4" t="s">
        <v>24</v>
      </c>
      <c r="M3181" s="11">
        <f>_xlfn.NUMBERVALUE(LEFT(Table613612[[#This Row],[Fiscal Year]], 4))</f>
        <v>2016</v>
      </c>
      <c r="N3181" s="42">
        <f t="shared" si="51"/>
        <v>9016.7775000000001</v>
      </c>
      <c r="O3181" s="3">
        <v>3179</v>
      </c>
    </row>
    <row r="3182" spans="1:15" x14ac:dyDescent="0.25">
      <c r="A3182" s="3">
        <v>9</v>
      </c>
      <c r="B3182" s="3" t="s">
        <v>317</v>
      </c>
      <c r="C3182" s="3" t="s">
        <v>21</v>
      </c>
      <c r="D3182" s="3" t="s">
        <v>21</v>
      </c>
      <c r="E3182" s="11" t="s">
        <v>144</v>
      </c>
      <c r="F3182" s="3" t="s">
        <v>8</v>
      </c>
      <c r="G3182" s="66" t="s">
        <v>393</v>
      </c>
      <c r="H3182" s="8"/>
      <c r="I3182" s="8"/>
      <c r="J3182" s="6" t="s">
        <v>110</v>
      </c>
      <c r="K3182" s="38">
        <v>239316</v>
      </c>
      <c r="L3182" s="4" t="s">
        <v>24</v>
      </c>
      <c r="M3182" s="11">
        <f>_xlfn.NUMBERVALUE(LEFT(Table613612[[#This Row],[Fiscal Year]], 4))</f>
        <v>2016</v>
      </c>
      <c r="N3182" s="42">
        <f t="shared" si="51"/>
        <v>250913.85165000003</v>
      </c>
      <c r="O3182" s="3">
        <v>3180</v>
      </c>
    </row>
    <row r="3183" spans="1:15" x14ac:dyDescent="0.25">
      <c r="A3183" s="3">
        <v>9</v>
      </c>
      <c r="B3183" s="3" t="s">
        <v>317</v>
      </c>
      <c r="C3183" s="3" t="s">
        <v>21</v>
      </c>
      <c r="D3183" s="3" t="s">
        <v>21</v>
      </c>
      <c r="E3183" s="11" t="s">
        <v>144</v>
      </c>
      <c r="F3183" s="3" t="s">
        <v>8</v>
      </c>
      <c r="G3183" s="66" t="s">
        <v>394</v>
      </c>
      <c r="H3183" s="8"/>
      <c r="I3183" s="8"/>
      <c r="J3183" s="6" t="s">
        <v>110</v>
      </c>
      <c r="K3183" s="38">
        <v>1101</v>
      </c>
      <c r="L3183" s="4" t="s">
        <v>24</v>
      </c>
      <c r="M3183" s="11">
        <f>_xlfn.NUMBERVALUE(LEFT(Table613612[[#This Row],[Fiscal Year]], 4))</f>
        <v>2016</v>
      </c>
      <c r="N3183" s="42">
        <f t="shared" si="51"/>
        <v>1154.3572125000001</v>
      </c>
      <c r="O3183" s="3">
        <v>3181</v>
      </c>
    </row>
    <row r="3184" spans="1:15" x14ac:dyDescent="0.25">
      <c r="A3184" s="3">
        <v>9</v>
      </c>
      <c r="B3184" s="3" t="s">
        <v>317</v>
      </c>
      <c r="C3184" s="3" t="s">
        <v>21</v>
      </c>
      <c r="D3184" s="3" t="s">
        <v>21</v>
      </c>
      <c r="E3184" s="11" t="s">
        <v>144</v>
      </c>
      <c r="F3184" s="3" t="s">
        <v>8</v>
      </c>
      <c r="G3184" s="48" t="s">
        <v>395</v>
      </c>
      <c r="H3184" s="8"/>
      <c r="I3184" s="8"/>
      <c r="J3184" s="6" t="s">
        <v>110</v>
      </c>
      <c r="K3184" s="38">
        <v>35798</v>
      </c>
      <c r="L3184" s="4" t="s">
        <v>24</v>
      </c>
      <c r="M3184" s="11">
        <f>_xlfn.NUMBERVALUE(LEFT(Table613612[[#This Row],[Fiscal Year]], 4))</f>
        <v>2016</v>
      </c>
      <c r="N3184" s="42">
        <f t="shared" si="51"/>
        <v>37532.860575000006</v>
      </c>
      <c r="O3184" s="3">
        <v>3182</v>
      </c>
    </row>
    <row r="3185" spans="1:15" x14ac:dyDescent="0.25">
      <c r="A3185" s="3">
        <v>9</v>
      </c>
      <c r="B3185" s="3" t="s">
        <v>317</v>
      </c>
      <c r="C3185" s="3" t="s">
        <v>21</v>
      </c>
      <c r="D3185" s="3" t="s">
        <v>21</v>
      </c>
      <c r="E3185" s="11" t="s">
        <v>144</v>
      </c>
      <c r="F3185" s="3" t="s">
        <v>8</v>
      </c>
      <c r="G3185" s="48" t="s">
        <v>396</v>
      </c>
      <c r="H3185" s="8"/>
      <c r="I3185" s="8"/>
      <c r="J3185" s="6" t="s">
        <v>110</v>
      </c>
      <c r="K3185" s="38">
        <v>10011</v>
      </c>
      <c r="L3185" s="4" t="s">
        <v>24</v>
      </c>
      <c r="M3185" s="11">
        <f>_xlfn.NUMBERVALUE(LEFT(Table613612[[#This Row],[Fiscal Year]], 4))</f>
        <v>2016</v>
      </c>
      <c r="N3185" s="42">
        <f t="shared" si="51"/>
        <v>10496.1580875</v>
      </c>
      <c r="O3185" s="3">
        <v>3183</v>
      </c>
    </row>
    <row r="3186" spans="1:15" x14ac:dyDescent="0.25">
      <c r="A3186" s="3">
        <v>9</v>
      </c>
      <c r="B3186" s="3" t="s">
        <v>317</v>
      </c>
      <c r="C3186" s="3" t="s">
        <v>21</v>
      </c>
      <c r="D3186" s="3" t="s">
        <v>21</v>
      </c>
      <c r="E3186" s="11" t="s">
        <v>144</v>
      </c>
      <c r="F3186" s="3" t="s">
        <v>8</v>
      </c>
      <c r="G3186" s="66" t="s">
        <v>397</v>
      </c>
      <c r="H3186" s="8"/>
      <c r="I3186" s="8"/>
      <c r="J3186" s="6" t="s">
        <v>110</v>
      </c>
      <c r="K3186" s="38">
        <v>104873</v>
      </c>
      <c r="L3186" s="4" t="s">
        <v>24</v>
      </c>
      <c r="M3186" s="11">
        <f>_xlfn.NUMBERVALUE(LEFT(Table613612[[#This Row],[Fiscal Year]], 4))</f>
        <v>2016</v>
      </c>
      <c r="N3186" s="42">
        <f t="shared" si="51"/>
        <v>109955.40776250001</v>
      </c>
      <c r="O3186" s="3">
        <v>3184</v>
      </c>
    </row>
    <row r="3187" spans="1:15" x14ac:dyDescent="0.25">
      <c r="A3187" s="3">
        <v>9</v>
      </c>
      <c r="B3187" s="3" t="s">
        <v>317</v>
      </c>
      <c r="C3187" s="3" t="s">
        <v>21</v>
      </c>
      <c r="D3187" s="3" t="s">
        <v>21</v>
      </c>
      <c r="E3187" s="11" t="s">
        <v>144</v>
      </c>
      <c r="F3187" s="3" t="s">
        <v>8</v>
      </c>
      <c r="G3187" s="66" t="s">
        <v>398</v>
      </c>
      <c r="H3187" s="8"/>
      <c r="I3187" s="8"/>
      <c r="J3187" s="6" t="s">
        <v>110</v>
      </c>
      <c r="K3187" s="38">
        <v>0</v>
      </c>
      <c r="L3187" s="4" t="s">
        <v>24</v>
      </c>
      <c r="M3187" s="11">
        <f>_xlfn.NUMBERVALUE(LEFT(Table613612[[#This Row],[Fiscal Year]], 4))</f>
        <v>2016</v>
      </c>
      <c r="N3187" s="42">
        <f t="shared" si="51"/>
        <v>0</v>
      </c>
      <c r="O3187" s="3">
        <v>3185</v>
      </c>
    </row>
    <row r="3188" spans="1:15" x14ac:dyDescent="0.25">
      <c r="A3188" s="3">
        <v>9</v>
      </c>
      <c r="B3188" s="3" t="s">
        <v>317</v>
      </c>
      <c r="C3188" s="3" t="s">
        <v>21</v>
      </c>
      <c r="D3188" s="3" t="s">
        <v>21</v>
      </c>
      <c r="E3188" s="11" t="s">
        <v>144</v>
      </c>
      <c r="F3188" s="3" t="s">
        <v>8</v>
      </c>
      <c r="G3188" s="66" t="s">
        <v>399</v>
      </c>
      <c r="H3188" s="8"/>
      <c r="I3188" s="8"/>
      <c r="J3188" s="6" t="s">
        <v>110</v>
      </c>
      <c r="K3188" s="38">
        <v>58215</v>
      </c>
      <c r="L3188" s="4" t="s">
        <v>24</v>
      </c>
      <c r="M3188" s="11">
        <f>_xlfn.NUMBERVALUE(LEFT(Table613612[[#This Row],[Fiscal Year]], 4))</f>
        <v>2016</v>
      </c>
      <c r="N3188" s="42">
        <f t="shared" si="51"/>
        <v>61036.244437500005</v>
      </c>
      <c r="O3188" s="3">
        <v>3186</v>
      </c>
    </row>
    <row r="3189" spans="1:15" x14ac:dyDescent="0.25">
      <c r="A3189" s="3">
        <v>9</v>
      </c>
      <c r="B3189" s="3" t="s">
        <v>317</v>
      </c>
      <c r="C3189" s="3" t="s">
        <v>21</v>
      </c>
      <c r="D3189" s="3" t="s">
        <v>21</v>
      </c>
      <c r="E3189" s="11" t="s">
        <v>144</v>
      </c>
      <c r="F3189" s="3" t="s">
        <v>8</v>
      </c>
      <c r="G3189" s="66" t="s">
        <v>400</v>
      </c>
      <c r="H3189" s="8"/>
      <c r="I3189" s="8"/>
      <c r="J3189" s="6" t="s">
        <v>110</v>
      </c>
      <c r="K3189" s="38">
        <v>1190</v>
      </c>
      <c r="L3189" s="4" t="s">
        <v>24</v>
      </c>
      <c r="M3189" s="11">
        <f>_xlfn.NUMBERVALUE(LEFT(Table613612[[#This Row],[Fiscal Year]], 4))</f>
        <v>2016</v>
      </c>
      <c r="N3189" s="42">
        <f t="shared" si="51"/>
        <v>1247.6703750000001</v>
      </c>
      <c r="O3189" s="3">
        <v>3187</v>
      </c>
    </row>
    <row r="3190" spans="1:15" x14ac:dyDescent="0.25">
      <c r="A3190" s="3">
        <v>9</v>
      </c>
      <c r="B3190" s="3" t="s">
        <v>317</v>
      </c>
      <c r="C3190" s="3" t="s">
        <v>21</v>
      </c>
      <c r="D3190" s="3" t="s">
        <v>21</v>
      </c>
      <c r="E3190" s="11" t="s">
        <v>144</v>
      </c>
      <c r="F3190" s="3" t="s">
        <v>8</v>
      </c>
      <c r="G3190" s="48" t="s">
        <v>401</v>
      </c>
      <c r="H3190" s="8"/>
      <c r="I3190" s="8"/>
      <c r="J3190" s="6" t="s">
        <v>110</v>
      </c>
      <c r="K3190" s="38">
        <v>909</v>
      </c>
      <c r="L3190" s="4" t="s">
        <v>24</v>
      </c>
      <c r="M3190" s="11">
        <f>_xlfn.NUMBERVALUE(LEFT(Table613612[[#This Row],[Fiscal Year]], 4))</f>
        <v>2016</v>
      </c>
      <c r="N3190" s="42">
        <f t="shared" si="51"/>
        <v>953.05241250000006</v>
      </c>
      <c r="O3190" s="3">
        <v>3188</v>
      </c>
    </row>
    <row r="3191" spans="1:15" x14ac:dyDescent="0.25">
      <c r="A3191" s="3">
        <v>9</v>
      </c>
      <c r="B3191" s="3" t="s">
        <v>317</v>
      </c>
      <c r="C3191" s="3" t="s">
        <v>21</v>
      </c>
      <c r="D3191" s="3" t="s">
        <v>21</v>
      </c>
      <c r="E3191" s="11" t="s">
        <v>144</v>
      </c>
      <c r="F3191" s="3" t="s">
        <v>8</v>
      </c>
      <c r="G3191" s="48" t="s">
        <v>402</v>
      </c>
      <c r="H3191" s="8"/>
      <c r="I3191" s="8"/>
      <c r="J3191" s="6" t="s">
        <v>110</v>
      </c>
      <c r="K3191" s="38">
        <v>408</v>
      </c>
      <c r="L3191" s="4" t="s">
        <v>24</v>
      </c>
      <c r="M3191" s="11">
        <f>_xlfn.NUMBERVALUE(LEFT(Table613612[[#This Row],[Fiscal Year]], 4))</f>
        <v>2016</v>
      </c>
      <c r="N3191" s="42">
        <f t="shared" si="51"/>
        <v>427.77270000000004</v>
      </c>
      <c r="O3191" s="3">
        <v>3189</v>
      </c>
    </row>
    <row r="3192" spans="1:15" x14ac:dyDescent="0.25">
      <c r="A3192" s="3">
        <v>9</v>
      </c>
      <c r="B3192" s="3" t="s">
        <v>317</v>
      </c>
      <c r="C3192" s="3" t="s">
        <v>21</v>
      </c>
      <c r="D3192" s="3" t="s">
        <v>21</v>
      </c>
      <c r="E3192" s="11" t="s">
        <v>144</v>
      </c>
      <c r="F3192" s="3" t="s">
        <v>8</v>
      </c>
      <c r="G3192" s="66" t="s">
        <v>403</v>
      </c>
      <c r="H3192" s="8"/>
      <c r="I3192" s="8"/>
      <c r="J3192" s="6" t="s">
        <v>110</v>
      </c>
      <c r="K3192" s="38">
        <v>2000</v>
      </c>
      <c r="L3192" s="4" t="s">
        <v>24</v>
      </c>
      <c r="M3192" s="11">
        <f>_xlfn.NUMBERVALUE(LEFT(Table613612[[#This Row],[Fiscal Year]], 4))</f>
        <v>2016</v>
      </c>
      <c r="N3192" s="42">
        <f t="shared" si="51"/>
        <v>2096.9250000000002</v>
      </c>
      <c r="O3192" s="3">
        <v>3190</v>
      </c>
    </row>
    <row r="3193" spans="1:15" x14ac:dyDescent="0.25">
      <c r="A3193" s="3">
        <v>9</v>
      </c>
      <c r="B3193" s="3" t="s">
        <v>317</v>
      </c>
      <c r="C3193" s="3" t="s">
        <v>21</v>
      </c>
      <c r="D3193" s="3" t="s">
        <v>21</v>
      </c>
      <c r="E3193" s="11" t="s">
        <v>144</v>
      </c>
      <c r="F3193" s="3" t="s">
        <v>8</v>
      </c>
      <c r="G3193" s="66" t="s">
        <v>426</v>
      </c>
      <c r="H3193" s="8"/>
      <c r="I3193" s="8"/>
      <c r="J3193" s="6" t="s">
        <v>110</v>
      </c>
      <c r="K3193" s="38">
        <v>3000</v>
      </c>
      <c r="L3193" s="4" t="s">
        <v>24</v>
      </c>
      <c r="M3193" s="11">
        <f>_xlfn.NUMBERVALUE(LEFT(Table613612[[#This Row],[Fiscal Year]], 4))</f>
        <v>2016</v>
      </c>
      <c r="N3193" s="42">
        <f t="shared" si="51"/>
        <v>3145.3875000000003</v>
      </c>
      <c r="O3193" s="3">
        <v>3191</v>
      </c>
    </row>
    <row r="3194" spans="1:15" x14ac:dyDescent="0.25">
      <c r="A3194" s="3">
        <v>9</v>
      </c>
      <c r="B3194" s="3" t="s">
        <v>317</v>
      </c>
      <c r="C3194" s="3" t="s">
        <v>21</v>
      </c>
      <c r="D3194" s="3" t="s">
        <v>21</v>
      </c>
      <c r="E3194" s="11" t="s">
        <v>144</v>
      </c>
      <c r="F3194" s="3" t="s">
        <v>8</v>
      </c>
      <c r="G3194" s="66" t="s">
        <v>45</v>
      </c>
      <c r="H3194" s="8"/>
      <c r="I3194" s="8"/>
      <c r="J3194" s="6" t="s">
        <v>110</v>
      </c>
      <c r="K3194" s="38">
        <v>3000</v>
      </c>
      <c r="L3194" s="4" t="s">
        <v>24</v>
      </c>
      <c r="M3194" s="11">
        <f>_xlfn.NUMBERVALUE(LEFT(Table613612[[#This Row],[Fiscal Year]], 4))</f>
        <v>2016</v>
      </c>
      <c r="N3194" s="42">
        <f t="shared" si="51"/>
        <v>3145.3875000000003</v>
      </c>
      <c r="O3194" s="3">
        <v>3192</v>
      </c>
    </row>
    <row r="3195" spans="1:15" x14ac:dyDescent="0.25">
      <c r="A3195" s="3">
        <v>9</v>
      </c>
      <c r="B3195" s="3" t="s">
        <v>317</v>
      </c>
      <c r="C3195" s="3" t="s">
        <v>21</v>
      </c>
      <c r="D3195" s="3" t="s">
        <v>21</v>
      </c>
      <c r="E3195" s="11" t="s">
        <v>144</v>
      </c>
      <c r="F3195" s="3" t="s">
        <v>8</v>
      </c>
      <c r="G3195" s="48" t="s">
        <v>404</v>
      </c>
      <c r="H3195" s="8"/>
      <c r="I3195" s="8"/>
      <c r="J3195" s="6" t="s">
        <v>110</v>
      </c>
      <c r="K3195" s="38">
        <v>25000</v>
      </c>
      <c r="L3195" s="4" t="s">
        <v>24</v>
      </c>
      <c r="M3195" s="11">
        <f>_xlfn.NUMBERVALUE(LEFT(Table613612[[#This Row],[Fiscal Year]], 4))</f>
        <v>2016</v>
      </c>
      <c r="N3195" s="42">
        <f t="shared" si="51"/>
        <v>26211.562500000004</v>
      </c>
      <c r="O3195" s="3">
        <v>3193</v>
      </c>
    </row>
    <row r="3196" spans="1:15" x14ac:dyDescent="0.25">
      <c r="A3196" s="3">
        <v>9</v>
      </c>
      <c r="B3196" s="3" t="s">
        <v>317</v>
      </c>
      <c r="C3196" s="3" t="s">
        <v>21</v>
      </c>
      <c r="D3196" s="3" t="s">
        <v>21</v>
      </c>
      <c r="E3196" s="11" t="s">
        <v>144</v>
      </c>
      <c r="F3196" s="3" t="s">
        <v>8</v>
      </c>
      <c r="G3196" s="66" t="s">
        <v>405</v>
      </c>
      <c r="H3196" s="8" t="s">
        <v>702</v>
      </c>
      <c r="I3196" s="8" t="s">
        <v>703</v>
      </c>
      <c r="J3196" s="6" t="s">
        <v>455</v>
      </c>
      <c r="K3196" s="38">
        <v>300000</v>
      </c>
      <c r="L3196" s="4" t="s">
        <v>24</v>
      </c>
      <c r="M3196" s="11">
        <f>_xlfn.NUMBERVALUE(LEFT(Table613612[[#This Row],[Fiscal Year]], 4))</f>
        <v>2016</v>
      </c>
      <c r="N3196" s="42">
        <f t="shared" si="51"/>
        <v>314538.75</v>
      </c>
      <c r="O3196" s="3">
        <v>3194</v>
      </c>
    </row>
    <row r="3197" spans="1:15" x14ac:dyDescent="0.25">
      <c r="A3197" s="3">
        <v>9</v>
      </c>
      <c r="B3197" s="3" t="s">
        <v>317</v>
      </c>
      <c r="C3197" s="3" t="s">
        <v>21</v>
      </c>
      <c r="D3197" s="3" t="s">
        <v>21</v>
      </c>
      <c r="E3197" s="11" t="s">
        <v>144</v>
      </c>
      <c r="F3197" s="3" t="s">
        <v>8</v>
      </c>
      <c r="G3197" s="66" t="s">
        <v>406</v>
      </c>
      <c r="H3197" s="8"/>
      <c r="I3197" s="8"/>
      <c r="J3197" s="6" t="s">
        <v>110</v>
      </c>
      <c r="K3197" s="38">
        <v>219977</v>
      </c>
      <c r="L3197" s="4" t="s">
        <v>24</v>
      </c>
      <c r="M3197" s="11">
        <f>_xlfn.NUMBERVALUE(LEFT(Table613612[[#This Row],[Fiscal Year]], 4))</f>
        <v>2016</v>
      </c>
      <c r="N3197" s="42">
        <f t="shared" si="51"/>
        <v>230637.6353625</v>
      </c>
      <c r="O3197" s="3">
        <v>3195</v>
      </c>
    </row>
    <row r="3198" spans="1:15" x14ac:dyDescent="0.25">
      <c r="A3198" s="3">
        <v>9</v>
      </c>
      <c r="B3198" s="3" t="s">
        <v>317</v>
      </c>
      <c r="C3198" s="3" t="s">
        <v>21</v>
      </c>
      <c r="D3198" s="3" t="s">
        <v>21</v>
      </c>
      <c r="E3198" s="11" t="s">
        <v>144</v>
      </c>
      <c r="F3198" s="3" t="s">
        <v>8</v>
      </c>
      <c r="G3198" s="66" t="s">
        <v>427</v>
      </c>
      <c r="H3198" s="8"/>
      <c r="I3198" s="8"/>
      <c r="J3198" s="6" t="s">
        <v>76</v>
      </c>
      <c r="K3198" s="38">
        <v>5241</v>
      </c>
      <c r="L3198" s="4" t="s">
        <v>24</v>
      </c>
      <c r="M3198" s="11">
        <f>_xlfn.NUMBERVALUE(LEFT(Table613612[[#This Row],[Fiscal Year]], 4))</f>
        <v>2016</v>
      </c>
      <c r="N3198" s="42">
        <f t="shared" si="51"/>
        <v>5494.9919625000002</v>
      </c>
      <c r="O3198" s="3">
        <v>3196</v>
      </c>
    </row>
    <row r="3199" spans="1:15" x14ac:dyDescent="0.25">
      <c r="A3199" s="3">
        <v>9</v>
      </c>
      <c r="B3199" s="3" t="s">
        <v>317</v>
      </c>
      <c r="C3199" s="3" t="s">
        <v>21</v>
      </c>
      <c r="D3199" s="3" t="s">
        <v>21</v>
      </c>
      <c r="E3199" s="11" t="s">
        <v>144</v>
      </c>
      <c r="F3199" s="3" t="s">
        <v>8</v>
      </c>
      <c r="G3199" s="66" t="s">
        <v>407</v>
      </c>
      <c r="H3199" s="8" t="s">
        <v>592</v>
      </c>
      <c r="I3199" s="8" t="s">
        <v>590</v>
      </c>
      <c r="J3199" s="6" t="s">
        <v>453</v>
      </c>
      <c r="K3199" s="38">
        <v>500</v>
      </c>
      <c r="L3199" s="4" t="s">
        <v>24</v>
      </c>
      <c r="M3199" s="11">
        <f>_xlfn.NUMBERVALUE(LEFT(Table613612[[#This Row],[Fiscal Year]], 4))</f>
        <v>2016</v>
      </c>
      <c r="N3199" s="42">
        <f t="shared" ref="N3199:N3208" si="52">K3199*(1+VLOOKUP(M3199,$AF$8:$AH$31,3,0))</f>
        <v>524.23125000000005</v>
      </c>
      <c r="O3199" s="3">
        <v>3197</v>
      </c>
    </row>
    <row r="3200" spans="1:15" x14ac:dyDescent="0.25">
      <c r="A3200" s="3">
        <v>9</v>
      </c>
      <c r="B3200" s="3" t="s">
        <v>317</v>
      </c>
      <c r="C3200" s="3" t="s">
        <v>21</v>
      </c>
      <c r="D3200" s="3" t="s">
        <v>21</v>
      </c>
      <c r="E3200" s="11" t="s">
        <v>144</v>
      </c>
      <c r="F3200" s="3" t="s">
        <v>8</v>
      </c>
      <c r="G3200" s="66" t="s">
        <v>369</v>
      </c>
      <c r="H3200" s="8"/>
      <c r="I3200" s="8"/>
      <c r="J3200" s="6" t="s">
        <v>110</v>
      </c>
      <c r="K3200" s="38">
        <v>7000</v>
      </c>
      <c r="L3200" s="4" t="s">
        <v>24</v>
      </c>
      <c r="M3200" s="11">
        <f>_xlfn.NUMBERVALUE(LEFT(Table613612[[#This Row],[Fiscal Year]], 4))</f>
        <v>2016</v>
      </c>
      <c r="N3200" s="42">
        <f t="shared" si="52"/>
        <v>7339.2375000000002</v>
      </c>
      <c r="O3200" s="3">
        <v>3198</v>
      </c>
    </row>
    <row r="3201" spans="1:15" x14ac:dyDescent="0.25">
      <c r="A3201" s="3">
        <v>9</v>
      </c>
      <c r="B3201" s="3" t="s">
        <v>317</v>
      </c>
      <c r="C3201" s="3" t="s">
        <v>21</v>
      </c>
      <c r="D3201" s="3" t="s">
        <v>21</v>
      </c>
      <c r="E3201" s="11" t="s">
        <v>144</v>
      </c>
      <c r="F3201" s="3" t="s">
        <v>8</v>
      </c>
      <c r="G3201" s="66" t="s">
        <v>408</v>
      </c>
      <c r="H3201" s="8" t="s">
        <v>704</v>
      </c>
      <c r="I3201" s="8"/>
      <c r="J3201" s="6" t="s">
        <v>455</v>
      </c>
      <c r="K3201" s="38">
        <v>750</v>
      </c>
      <c r="L3201" s="4" t="s">
        <v>24</v>
      </c>
      <c r="M3201" s="11">
        <f>_xlfn.NUMBERVALUE(LEFT(Table613612[[#This Row],[Fiscal Year]], 4))</f>
        <v>2016</v>
      </c>
      <c r="N3201" s="42">
        <f t="shared" si="52"/>
        <v>786.34687500000007</v>
      </c>
      <c r="O3201" s="3">
        <v>3199</v>
      </c>
    </row>
    <row r="3202" spans="1:15" x14ac:dyDescent="0.25">
      <c r="A3202" s="3">
        <v>9</v>
      </c>
      <c r="B3202" s="3" t="s">
        <v>317</v>
      </c>
      <c r="C3202" s="3" t="s">
        <v>21</v>
      </c>
      <c r="D3202" s="3" t="s">
        <v>21</v>
      </c>
      <c r="E3202" s="11" t="s">
        <v>144</v>
      </c>
      <c r="F3202" s="3" t="s">
        <v>8</v>
      </c>
      <c r="G3202" s="66" t="s">
        <v>409</v>
      </c>
      <c r="H3202" s="8"/>
      <c r="I3202" s="8"/>
      <c r="J3202" s="6" t="s">
        <v>110</v>
      </c>
      <c r="K3202" s="38">
        <v>200</v>
      </c>
      <c r="L3202" s="4" t="s">
        <v>24</v>
      </c>
      <c r="M3202" s="11">
        <f>_xlfn.NUMBERVALUE(LEFT(Table613612[[#This Row],[Fiscal Year]], 4))</f>
        <v>2016</v>
      </c>
      <c r="N3202" s="42">
        <f t="shared" si="52"/>
        <v>209.69250000000002</v>
      </c>
      <c r="O3202" s="3">
        <v>3200</v>
      </c>
    </row>
    <row r="3203" spans="1:15" x14ac:dyDescent="0.25">
      <c r="A3203" s="3">
        <v>9</v>
      </c>
      <c r="B3203" s="3" t="s">
        <v>317</v>
      </c>
      <c r="C3203" s="3" t="s">
        <v>21</v>
      </c>
      <c r="D3203" s="3" t="s">
        <v>21</v>
      </c>
      <c r="E3203" s="11" t="s">
        <v>144</v>
      </c>
      <c r="F3203" s="3" t="s">
        <v>8</v>
      </c>
      <c r="G3203" s="66" t="s">
        <v>410</v>
      </c>
      <c r="H3203" s="8"/>
      <c r="I3203" s="8"/>
      <c r="J3203" s="8" t="s">
        <v>110</v>
      </c>
      <c r="K3203" s="38">
        <v>40000</v>
      </c>
      <c r="L3203" s="4" t="s">
        <v>24</v>
      </c>
      <c r="M3203" s="11">
        <f>_xlfn.NUMBERVALUE(LEFT(Table613612[[#This Row],[Fiscal Year]], 4))</f>
        <v>2016</v>
      </c>
      <c r="N3203" s="42">
        <f t="shared" si="52"/>
        <v>41938.5</v>
      </c>
      <c r="O3203" s="3">
        <v>3201</v>
      </c>
    </row>
    <row r="3204" spans="1:15" x14ac:dyDescent="0.25">
      <c r="A3204" s="3">
        <v>9</v>
      </c>
      <c r="B3204" s="3" t="s">
        <v>317</v>
      </c>
      <c r="C3204" s="3" t="s">
        <v>21</v>
      </c>
      <c r="D3204" s="3" t="s">
        <v>21</v>
      </c>
      <c r="E3204" s="11" t="s">
        <v>144</v>
      </c>
      <c r="F3204" s="3" t="s">
        <v>8</v>
      </c>
      <c r="G3204" s="48" t="s">
        <v>411</v>
      </c>
      <c r="H3204" s="8"/>
      <c r="I3204" s="8"/>
      <c r="J3204" s="6" t="s">
        <v>110</v>
      </c>
      <c r="K3204" s="38">
        <v>5000</v>
      </c>
      <c r="L3204" s="4" t="s">
        <v>24</v>
      </c>
      <c r="M3204" s="11">
        <f>_xlfn.NUMBERVALUE(LEFT(Table613612[[#This Row],[Fiscal Year]], 4))</f>
        <v>2016</v>
      </c>
      <c r="N3204" s="42">
        <f t="shared" si="52"/>
        <v>5242.3125</v>
      </c>
      <c r="O3204" s="3">
        <v>3202</v>
      </c>
    </row>
    <row r="3205" spans="1:15" x14ac:dyDescent="0.25">
      <c r="A3205" s="3">
        <v>9</v>
      </c>
      <c r="B3205" s="3" t="s">
        <v>317</v>
      </c>
      <c r="C3205" s="3" t="s">
        <v>21</v>
      </c>
      <c r="D3205" s="3" t="s">
        <v>21</v>
      </c>
      <c r="E3205" s="11" t="s">
        <v>144</v>
      </c>
      <c r="F3205" s="3" t="s">
        <v>8</v>
      </c>
      <c r="G3205" s="48" t="s">
        <v>412</v>
      </c>
      <c r="H3205" s="8"/>
      <c r="I3205" s="8"/>
      <c r="J3205" s="6" t="s">
        <v>110</v>
      </c>
      <c r="K3205" s="38">
        <v>5500</v>
      </c>
      <c r="L3205" s="4" t="s">
        <v>24</v>
      </c>
      <c r="M3205" s="11">
        <f>_xlfn.NUMBERVALUE(LEFT(Table613612[[#This Row],[Fiscal Year]], 4))</f>
        <v>2016</v>
      </c>
      <c r="N3205" s="42">
        <f t="shared" si="52"/>
        <v>5766.5437500000007</v>
      </c>
      <c r="O3205" s="3">
        <v>3203</v>
      </c>
    </row>
    <row r="3206" spans="1:15" x14ac:dyDescent="0.25">
      <c r="A3206" s="3">
        <v>9</v>
      </c>
      <c r="B3206" s="3" t="s">
        <v>317</v>
      </c>
      <c r="C3206" s="3" t="s">
        <v>21</v>
      </c>
      <c r="D3206" s="3" t="s">
        <v>21</v>
      </c>
      <c r="E3206" s="11" t="s">
        <v>144</v>
      </c>
      <c r="F3206" s="3" t="s">
        <v>8</v>
      </c>
      <c r="G3206" s="66" t="s">
        <v>413</v>
      </c>
      <c r="H3206" s="8"/>
      <c r="I3206" s="8"/>
      <c r="J3206" s="6" t="s">
        <v>108</v>
      </c>
      <c r="K3206" s="38">
        <v>2000</v>
      </c>
      <c r="L3206" s="4" t="s">
        <v>24</v>
      </c>
      <c r="M3206" s="11">
        <f>_xlfn.NUMBERVALUE(LEFT(Table613612[[#This Row],[Fiscal Year]], 4))</f>
        <v>2016</v>
      </c>
      <c r="N3206" s="42">
        <f t="shared" si="52"/>
        <v>2096.9250000000002</v>
      </c>
      <c r="O3206" s="3">
        <v>3204</v>
      </c>
    </row>
    <row r="3207" spans="1:15" x14ac:dyDescent="0.25">
      <c r="A3207" s="3">
        <v>9</v>
      </c>
      <c r="B3207" s="3" t="s">
        <v>317</v>
      </c>
      <c r="C3207" s="3" t="s">
        <v>21</v>
      </c>
      <c r="D3207" s="3" t="s">
        <v>21</v>
      </c>
      <c r="E3207" s="11" t="s">
        <v>144</v>
      </c>
      <c r="F3207" s="3" t="s">
        <v>8</v>
      </c>
      <c r="G3207" s="48" t="s">
        <v>414</v>
      </c>
      <c r="H3207" s="8"/>
      <c r="I3207" s="8"/>
      <c r="J3207" s="6" t="s">
        <v>110</v>
      </c>
      <c r="K3207" s="38">
        <v>45000</v>
      </c>
      <c r="L3207" s="4" t="s">
        <v>24</v>
      </c>
      <c r="M3207" s="11">
        <f>_xlfn.NUMBERVALUE(LEFT(Table613612[[#This Row],[Fiscal Year]], 4))</f>
        <v>2016</v>
      </c>
      <c r="N3207" s="42">
        <f t="shared" si="52"/>
        <v>47180.8125</v>
      </c>
      <c r="O3207" s="3">
        <v>3205</v>
      </c>
    </row>
    <row r="3208" spans="1:15" x14ac:dyDescent="0.25">
      <c r="A3208" s="3">
        <v>9</v>
      </c>
      <c r="B3208" s="3" t="s">
        <v>317</v>
      </c>
      <c r="C3208" s="3" t="s">
        <v>21</v>
      </c>
      <c r="D3208" s="3" t="s">
        <v>21</v>
      </c>
      <c r="E3208" s="11" t="s">
        <v>144</v>
      </c>
      <c r="F3208" s="3" t="s">
        <v>8</v>
      </c>
      <c r="G3208" s="66" t="s">
        <v>415</v>
      </c>
      <c r="H3208" s="8" t="s">
        <v>603</v>
      </c>
      <c r="I3208" s="8" t="s">
        <v>590</v>
      </c>
      <c r="J3208" s="6" t="s">
        <v>110</v>
      </c>
      <c r="K3208" s="38">
        <v>8000</v>
      </c>
      <c r="L3208" s="4" t="s">
        <v>24</v>
      </c>
      <c r="M3208" s="11">
        <f>_xlfn.NUMBERVALUE(LEFT(Table613612[[#This Row],[Fiscal Year]], 4))</f>
        <v>2016</v>
      </c>
      <c r="N3208" s="42">
        <f t="shared" si="52"/>
        <v>8387.7000000000007</v>
      </c>
      <c r="O3208" s="3">
        <v>3206</v>
      </c>
    </row>
    <row r="3209" spans="1:15" x14ac:dyDescent="0.25">
      <c r="C3209" s="1"/>
      <c r="D3209" s="1"/>
      <c r="E3209" s="11"/>
      <c r="H3209" s="48"/>
      <c r="I3209" s="9"/>
      <c r="J3209" s="6"/>
      <c r="L3209" s="4"/>
      <c r="N3209" s="43"/>
    </row>
    <row r="3210" spans="1:15" x14ac:dyDescent="0.25">
      <c r="C3210" s="1"/>
      <c r="D3210" s="1"/>
      <c r="E3210" s="11"/>
      <c r="G3210" s="9"/>
      <c r="H3210" s="8"/>
      <c r="I3210" s="9"/>
      <c r="J3210" s="6"/>
      <c r="L3210" s="4"/>
      <c r="N3210" s="43"/>
    </row>
    <row r="3211" spans="1:15" x14ac:dyDescent="0.25">
      <c r="E3211" s="11"/>
      <c r="H3211" s="9"/>
      <c r="I3211" s="9"/>
      <c r="J3211" s="6"/>
      <c r="L3211" s="4"/>
      <c r="N3211" s="42">
        <f>SUM(N3:N3208)</f>
        <v>701771750.57926023</v>
      </c>
    </row>
    <row r="3212" spans="1:15" x14ac:dyDescent="0.25">
      <c r="E3212" s="11"/>
      <c r="I3212" s="9"/>
      <c r="J3212" s="6"/>
      <c r="L3212" s="4"/>
    </row>
    <row r="3213" spans="1:15" x14ac:dyDescent="0.25">
      <c r="E3213" s="11"/>
      <c r="I3213" s="9"/>
      <c r="J3213" s="6"/>
      <c r="L3213" s="4"/>
    </row>
    <row r="3214" spans="1:15" x14ac:dyDescent="0.25">
      <c r="E3214" s="11"/>
      <c r="I3214" s="9"/>
      <c r="J3214" s="6"/>
      <c r="L3214" s="4"/>
    </row>
    <row r="3215" spans="1:15" x14ac:dyDescent="0.25">
      <c r="E3215" s="11"/>
      <c r="I3215" s="9"/>
      <c r="J3215" s="6"/>
      <c r="L3215" s="4"/>
    </row>
    <row r="3216" spans="1:15" x14ac:dyDescent="0.25">
      <c r="E3216" s="11"/>
      <c r="I3216" s="9"/>
      <c r="J3216" s="6"/>
      <c r="L3216" s="4"/>
    </row>
    <row r="3217" spans="3:14" x14ac:dyDescent="0.25">
      <c r="E3217" s="11"/>
      <c r="I3217" s="9"/>
      <c r="J3217" s="6"/>
      <c r="L3217" s="4"/>
    </row>
    <row r="3218" spans="3:14" x14ac:dyDescent="0.25">
      <c r="C3218" s="1"/>
      <c r="D3218" s="1"/>
      <c r="E3218" s="11"/>
      <c r="H3218" s="48"/>
      <c r="I3218" s="9"/>
      <c r="J3218" s="6"/>
      <c r="L3218" s="4"/>
      <c r="N3218" s="43"/>
    </row>
    <row r="3219" spans="3:14" x14ac:dyDescent="0.25">
      <c r="E3219" s="11"/>
      <c r="H3219" s="9"/>
      <c r="I3219" s="9"/>
      <c r="J3219" s="6"/>
      <c r="L3219" s="4"/>
    </row>
    <row r="3220" spans="3:14" x14ac:dyDescent="0.25">
      <c r="C3220" s="1"/>
      <c r="D3220" s="1"/>
      <c r="E3220" s="11"/>
      <c r="H3220" s="9"/>
      <c r="I3220" s="9"/>
      <c r="J3220" s="6"/>
      <c r="L3220" s="4"/>
      <c r="N3220" s="43"/>
    </row>
    <row r="3221" spans="3:14" x14ac:dyDescent="0.25">
      <c r="C3221" s="1"/>
      <c r="D3221" s="1"/>
      <c r="E3221" s="11"/>
      <c r="H3221" s="9"/>
      <c r="I3221" s="9"/>
      <c r="J3221" s="6"/>
      <c r="L3221" s="4"/>
      <c r="N3221" s="43"/>
    </row>
    <row r="3222" spans="3:14" x14ac:dyDescent="0.25">
      <c r="C3222" s="1"/>
      <c r="D3222" s="1"/>
      <c r="E3222" s="11"/>
      <c r="H3222" s="9"/>
      <c r="I3222" s="9"/>
      <c r="J3222" s="6"/>
      <c r="L3222" s="4"/>
      <c r="N3222" s="43"/>
    </row>
    <row r="3223" spans="3:14" x14ac:dyDescent="0.25">
      <c r="E3223" s="11"/>
      <c r="J3223" s="6"/>
      <c r="L3223" s="4"/>
    </row>
    <row r="3224" spans="3:14" x14ac:dyDescent="0.25">
      <c r="E3224" s="11"/>
      <c r="G3224" s="9"/>
      <c r="J3224" s="6"/>
      <c r="L3224" s="4"/>
      <c r="N3224" s="43"/>
    </row>
    <row r="3225" spans="3:14" x14ac:dyDescent="0.25">
      <c r="E3225" s="11"/>
      <c r="G3225" s="9"/>
      <c r="J3225" s="6"/>
      <c r="L3225" s="4"/>
      <c r="N3225" s="43"/>
    </row>
    <row r="3226" spans="3:14" x14ac:dyDescent="0.25">
      <c r="E3226" s="11"/>
      <c r="J3226" s="6"/>
      <c r="L3226" s="4"/>
    </row>
    <row r="3227" spans="3:14" x14ac:dyDescent="0.25">
      <c r="E3227" s="11"/>
      <c r="J3227" s="6"/>
      <c r="L3227" s="4"/>
    </row>
    <row r="3228" spans="3:14" x14ac:dyDescent="0.25">
      <c r="E3228" s="11"/>
      <c r="J3228" s="6"/>
      <c r="L3228" s="4"/>
    </row>
    <row r="3229" spans="3:14" x14ac:dyDescent="0.25">
      <c r="E3229" s="11"/>
      <c r="J3229" s="6"/>
      <c r="L3229" s="4"/>
    </row>
    <row r="3230" spans="3:14" x14ac:dyDescent="0.25">
      <c r="E3230" s="11"/>
      <c r="J3230" s="6"/>
      <c r="L3230" s="4"/>
    </row>
    <row r="3231" spans="3:14" x14ac:dyDescent="0.25">
      <c r="E3231" s="11"/>
      <c r="J3231" s="6"/>
      <c r="L3231" s="4"/>
    </row>
    <row r="3232" spans="3:14" x14ac:dyDescent="0.25">
      <c r="E3232" s="11"/>
      <c r="J3232" s="6"/>
      <c r="L3232" s="4"/>
    </row>
    <row r="3233" spans="5:12" x14ac:dyDescent="0.25">
      <c r="E3233" s="11"/>
      <c r="J3233" s="6"/>
      <c r="L3233" s="4"/>
    </row>
    <row r="3234" spans="5:12" x14ac:dyDescent="0.25">
      <c r="E3234" s="11"/>
      <c r="J3234" s="6"/>
      <c r="L3234" s="4"/>
    </row>
    <row r="3235" spans="5:12" x14ac:dyDescent="0.25">
      <c r="E3235" s="11"/>
      <c r="J3235" s="6"/>
      <c r="L3235" s="4"/>
    </row>
    <row r="3236" spans="5:12" x14ac:dyDescent="0.25">
      <c r="E3236" s="11"/>
      <c r="J3236" s="6"/>
      <c r="L3236" s="4"/>
    </row>
    <row r="3237" spans="5:12" x14ac:dyDescent="0.25">
      <c r="E3237" s="11"/>
      <c r="J3237" s="6"/>
      <c r="L3237" s="4"/>
    </row>
    <row r="3238" spans="5:12" x14ac:dyDescent="0.25">
      <c r="E3238" s="11"/>
      <c r="J3238" s="6"/>
      <c r="L3238" s="4"/>
    </row>
    <row r="3239" spans="5:12" x14ac:dyDescent="0.25">
      <c r="E3239" s="11"/>
      <c r="J3239" s="6"/>
      <c r="L3239" s="4"/>
    </row>
    <row r="3240" spans="5:12" x14ac:dyDescent="0.25">
      <c r="E3240" s="11"/>
      <c r="J3240" s="6"/>
      <c r="L3240" s="4"/>
    </row>
    <row r="3241" spans="5:12" x14ac:dyDescent="0.25">
      <c r="E3241" s="11"/>
      <c r="J3241" s="6"/>
      <c r="L3241" s="4"/>
    </row>
    <row r="3242" spans="5:12" x14ac:dyDescent="0.25">
      <c r="E3242" s="11"/>
      <c r="J3242" s="6"/>
      <c r="L3242" s="4"/>
    </row>
    <row r="3243" spans="5:12" x14ac:dyDescent="0.25">
      <c r="E3243" s="11"/>
      <c r="J3243" s="6"/>
      <c r="L3243" s="4"/>
    </row>
    <row r="3244" spans="5:12" x14ac:dyDescent="0.25">
      <c r="E3244" s="11"/>
      <c r="J3244" s="6"/>
      <c r="L3244" s="4"/>
    </row>
    <row r="3245" spans="5:12" x14ac:dyDescent="0.25">
      <c r="E3245" s="11"/>
      <c r="J3245" s="6"/>
      <c r="L3245" s="4"/>
    </row>
    <row r="3246" spans="5:12" x14ac:dyDescent="0.25">
      <c r="E3246" s="11"/>
      <c r="J3246" s="6"/>
      <c r="L3246" s="4"/>
    </row>
  </sheetData>
  <mergeCells count="2">
    <mergeCell ref="A1:O1"/>
    <mergeCell ref="AF7:AH7"/>
  </mergeCells>
  <dataValidations count="2">
    <dataValidation type="list" allowBlank="1" showInputMessage="1" showErrorMessage="1" sqref="J3218:J3223 J2780 J1573:J2778 J2974:J3089 J3:J1571 J2785:J2971 J3091:J3210" xr:uid="{AB48FAE5-4BF9-45E3-AF6A-07DE361469A0}">
      <formula1>$S$4:$S$18</formula1>
    </dataValidation>
    <dataValidation type="list" allowBlank="1" showInputMessage="1" showErrorMessage="1" sqref="S4:S12" xr:uid="{C056F5BB-7EC1-4DF6-9E7B-9D34C2D4D5AE}">
      <formula1>$S$4:$S$12</formula1>
    </dataValidation>
  </dataValidations>
  <hyperlinks>
    <hyperlink ref="I2516" r:id="rId1" xr:uid="{355203B5-B711-4C22-BDF1-B3B7DA276A14}"/>
    <hyperlink ref="I2551" r:id="rId2" xr:uid="{E67B9AA3-23B1-4C07-8020-3D35920F3959}"/>
    <hyperlink ref="I2571" r:id="rId3" xr:uid="{1890CECE-0421-4C44-AA76-B136534FA2B0}"/>
    <hyperlink ref="I2591" r:id="rId4" xr:uid="{5C4F55D4-CE91-4C52-B8D5-DB1875A3198F}"/>
    <hyperlink ref="I2574" r:id="rId5" xr:uid="{9459CA0F-6757-4C54-954D-AD6ABABC56FA}"/>
    <hyperlink ref="I2645" r:id="rId6" xr:uid="{16003A77-D47C-4A0F-AFA0-E83BD67ECFB0}"/>
    <hyperlink ref="I2654" r:id="rId7" xr:uid="{16AAA814-E6F9-4218-BF3C-DED1C4785764}"/>
    <hyperlink ref="I2660" r:id="rId8" xr:uid="{4733BBE8-B561-42BC-97FA-B56B15D70300}"/>
    <hyperlink ref="I2671" r:id="rId9" xr:uid="{F12E1002-1E2E-43A6-A1B5-BC9B2568633D}"/>
    <hyperlink ref="I2672" r:id="rId10" xr:uid="{F2B7427C-B506-424A-9B4B-AD0F04E94FCC}"/>
    <hyperlink ref="I2685" r:id="rId11" xr:uid="{56CD8FE2-6E22-428D-B157-58C6401C57CA}"/>
    <hyperlink ref="I2698" r:id="rId12" display="http://rcflood.org/downloads/NPDES/Documents/SM_Indiv_SWMP/Murrieta SWMP Final.pdf" xr:uid="{3FD9C8BD-B5A9-4AFF-A9A5-8473BC0EE716}"/>
    <hyperlink ref="I2711" r:id="rId13" xr:uid="{C645A5DB-5FD5-4A4D-8350-7EB61323E784}"/>
    <hyperlink ref="I2699" r:id="rId14" xr:uid="{6E6281F0-76E8-4DCA-923A-7DDCFEE66A52}"/>
    <hyperlink ref="I2724" r:id="rId15" xr:uid="{00CB6AC6-D26B-4A27-9BF0-B7CA7EB62372}"/>
    <hyperlink ref="I2737" r:id="rId16" xr:uid="{E7E65846-335A-4843-ACD6-B0ABAEE244E2}"/>
    <hyperlink ref="I2740" r:id="rId17" xr:uid="{66C06AA0-C9D7-452E-8E2F-EF9630300322}"/>
    <hyperlink ref="I2712" r:id="rId18" xr:uid="{8080FF35-1BDA-4F50-9389-EE8392AD7D23}"/>
    <hyperlink ref="I2746" r:id="rId19" xr:uid="{69F56618-6713-4823-9583-32C04A416812}"/>
    <hyperlink ref="I377" r:id="rId20" xr:uid="{AD2F8F5C-5DCA-46D2-9EA2-96DCC538DEDA}"/>
    <hyperlink ref="I1282" r:id="rId21" xr:uid="{62ABB1AE-EB60-4E88-9EB0-36800A4CD10C}"/>
    <hyperlink ref="I1299" r:id="rId22" xr:uid="{FB164F45-5AE7-4587-B78D-A0A0F71EA746}"/>
    <hyperlink ref="I1316" r:id="rId23" xr:uid="{5D04BB5C-F633-4137-A63A-37B44CB40B56}"/>
    <hyperlink ref="I1333" r:id="rId24" xr:uid="{CBA8CA17-EC66-4D6E-8A23-C92B9722C14A}"/>
    <hyperlink ref="I1350" r:id="rId25" xr:uid="{50B3086A-C993-456D-9E13-8AE189FB152E}"/>
    <hyperlink ref="I1367" r:id="rId26" xr:uid="{A0793CAD-30B3-47CB-B745-2A3B2D0A33A6}"/>
    <hyperlink ref="I1384" r:id="rId27" xr:uid="{35C52A84-D0B9-42A2-9838-FF82E27A9EA7}"/>
    <hyperlink ref="I1401" r:id="rId28" xr:uid="{4386D767-7749-430A-9455-C2147E3EDBC8}"/>
    <hyperlink ref="I1418" r:id="rId29" xr:uid="{9E9FFCD0-17D8-4CF2-B055-542A32830C1A}"/>
    <hyperlink ref="I1436" r:id="rId30" xr:uid="{CCF944E1-59D8-407E-95BC-B684EDAB7550}"/>
    <hyperlink ref="I1452" r:id="rId31" xr:uid="{197A377F-63F0-4672-AE92-4861E9632D63}"/>
    <hyperlink ref="I1469" r:id="rId32" xr:uid="{54666D22-867D-4784-B75E-5193E5526946}"/>
    <hyperlink ref="I1573" r:id="rId33" xr:uid="{2D6FD975-1CA1-4916-8921-4F596E64EB52}"/>
    <hyperlink ref="I2507" r:id="rId34" xr:uid="{D128DFF9-D6F2-4054-8F02-17BE6E499CFE}"/>
    <hyperlink ref="I2670" r:id="rId35" xr:uid="{7F3508F1-DD49-4C75-89EE-4FEA0300E6B9}"/>
    <hyperlink ref="I326" r:id="rId36" xr:uid="{AD8371B6-06C5-4AC8-A056-542FD78D9430}"/>
    <hyperlink ref="I1759" r:id="rId37" xr:uid="{A21657B2-991D-4D99-854C-84F476827992}"/>
    <hyperlink ref="I2535" r:id="rId38" xr:uid="{311650EE-F9F8-4A1C-82FE-0E760C4A0787}"/>
    <hyperlink ref="I2538" r:id="rId39" xr:uid="{804B89EE-03B3-48FC-B8D0-E53F27E35C20}"/>
    <hyperlink ref="I2540" r:id="rId40" xr:uid="{32A98AF9-CE3E-4CD8-BC5F-804ECD1777DD}"/>
    <hyperlink ref="I2587" r:id="rId41" xr:uid="{6BB8EED9-E174-4B74-80E3-E11829200527}"/>
    <hyperlink ref="I2599" r:id="rId42" xr:uid="{A45DDF4E-430A-4FA8-AFB3-F6CCD809D016}"/>
    <hyperlink ref="I2639" r:id="rId43" xr:uid="{BA90FF9F-1029-4EC0-9377-D1F75A1C35EF}"/>
    <hyperlink ref="I2679" r:id="rId44" xr:uid="{4EFDF246-14A8-4D8E-883B-A3AB183D594B}"/>
    <hyperlink ref="I2683" r:id="rId45" xr:uid="{B2CE8280-8EA1-4A97-9E5F-6506782F81A7}"/>
    <hyperlink ref="I2762" r:id="rId46" xr:uid="{FA1B53FA-E4A1-4D35-AE93-8CB4BF7D278F}"/>
    <hyperlink ref="I2850" r:id="rId47" display="https://www.waterboards.ca.gov/sandiego/board_info/agendas/2006/dec/item10/suppdoc2.pdf" xr:uid="{BB0DC05B-C874-4F54-8CAC-B4B6FA300077}"/>
    <hyperlink ref="I149" r:id="rId48" xr:uid="{1EBF24A4-6901-4355-946E-2AB3D1F64DDA}"/>
    <hyperlink ref="H1510" r:id="rId49" xr:uid="{C8BDF85B-C751-4503-A3EC-9DF8ED4DE04B}"/>
    <hyperlink ref="H1524" r:id="rId50" xr:uid="{B11E13A1-ED60-4562-97DC-5F1C7E80BF4F}"/>
    <hyperlink ref="I2898" r:id="rId51" xr:uid="{C70A85AA-0FA3-48D7-AB6F-8AFF2231F67B}"/>
    <hyperlink ref="I2900" r:id="rId52" xr:uid="{D6BA5A36-2E36-428A-A2AC-B5A868B1853E}"/>
    <hyperlink ref="I2853" r:id="rId53" xr:uid="{46AE6FA6-825D-4F23-806F-DA404D96C312}"/>
    <hyperlink ref="I2945" r:id="rId54" xr:uid="{4C9B3DA2-2E85-4E05-9FA2-47EDEEF52661}"/>
    <hyperlink ref="I2959" r:id="rId55" xr:uid="{E2F9DEDE-98B8-4609-8FE6-E307B38B1984}"/>
    <hyperlink ref="I2990" r:id="rId56" xr:uid="{873B594E-DE74-4859-888A-8D56D31042A0}"/>
    <hyperlink ref="I3007" r:id="rId57" xr:uid="{F6A6EA96-2978-4FB6-A759-656CEBF8B08F}"/>
    <hyperlink ref="I3018" r:id="rId58" xr:uid="{75B72FC8-AFAC-4C4A-A793-20FB5D84151C}"/>
    <hyperlink ref="I3049" r:id="rId59" xr:uid="{0B5E880C-FD6C-4773-88D7-423822D46A38}"/>
    <hyperlink ref="I3125" r:id="rId60" xr:uid="{45649B86-EF0B-4C01-BBBA-0E4DE4229981}"/>
    <hyperlink ref="I3146" r:id="rId61" xr:uid="{F7CE1FCE-6347-459E-9E6A-BDB3868BDDD4}"/>
    <hyperlink ref="I2748" r:id="rId62" xr:uid="{D9825601-4383-48AF-B588-9471C8B7DAF6}"/>
    <hyperlink ref="I2982" r:id="rId63" xr:uid="{90654C52-0E44-4EB3-8110-05570D0310AB}"/>
    <hyperlink ref="I3006" r:id="rId64" xr:uid="{3718862A-3E0B-4E8C-B7A2-3A0F30C78035}"/>
    <hyperlink ref="I3001" r:id="rId65" xr:uid="{331244BD-7033-4A55-9CCA-BD652E2107DE}"/>
    <hyperlink ref="I3020" r:id="rId66" xr:uid="{9504505F-0146-427F-A5AF-0F3A9BBE20E3}"/>
    <hyperlink ref="I3042" r:id="rId67" xr:uid="{75CD8AFF-8681-4FFD-9588-218552EE43C4}"/>
    <hyperlink ref="I3047" r:id="rId68" xr:uid="{9F695095-BB50-49EA-A8BE-ECE9B3B6D6C6}"/>
    <hyperlink ref="I3054" r:id="rId69" xr:uid="{9DFC1F35-2C47-4F88-9FFA-6B1572694858}"/>
  </hyperlinks>
  <pageMargins left="0.7" right="0.7" top="0.75" bottom="0.75" header="0.3" footer="0.3"/>
  <pageSetup orientation="portrait" r:id="rId70"/>
  <legacyDrawing r:id="rId71"/>
  <tableParts count="1">
    <tablePart r:id="rId7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19D81-CD38-456B-9D53-02626BD5795A}">
  <sheetPr>
    <tabColor rgb="FFFFC000"/>
  </sheetPr>
  <dimension ref="A1:C31"/>
  <sheetViews>
    <sheetView tabSelected="1" workbookViewId="0">
      <selection activeCell="A6" sqref="A6"/>
    </sheetView>
  </sheetViews>
  <sheetFormatPr defaultColWidth="8.7109375" defaultRowHeight="15" x14ac:dyDescent="0.25"/>
  <cols>
    <col min="1" max="1" width="20.28515625" style="130" customWidth="1"/>
    <col min="2" max="2" width="134.85546875" style="119" customWidth="1"/>
    <col min="3" max="3" width="21.28515625" style="119" customWidth="1"/>
    <col min="4" max="16384" width="8.7109375" style="119"/>
  </cols>
  <sheetData>
    <row r="1" spans="1:3" s="117" customFormat="1" ht="20.25" thickBot="1" x14ac:dyDescent="0.35">
      <c r="A1" s="242" t="s">
        <v>2128</v>
      </c>
      <c r="B1" s="242"/>
      <c r="C1" s="132"/>
    </row>
    <row r="2" spans="1:3" s="118" customFormat="1" ht="15.75" thickTop="1" x14ac:dyDescent="0.25">
      <c r="A2" s="243" t="s">
        <v>1922</v>
      </c>
      <c r="B2" s="243"/>
      <c r="C2" s="133"/>
    </row>
    <row r="3" spans="1:3" s="120" customFormat="1" ht="264.75" customHeight="1" x14ac:dyDescent="0.25">
      <c r="A3" s="244" t="s">
        <v>2124</v>
      </c>
      <c r="B3" s="244"/>
      <c r="C3" s="244"/>
    </row>
    <row r="4" spans="1:3" ht="18" thickBot="1" x14ac:dyDescent="0.35">
      <c r="A4" s="241" t="s">
        <v>2123</v>
      </c>
      <c r="B4" s="241"/>
      <c r="C4" s="131"/>
    </row>
    <row r="5" spans="1:3" ht="15.75" thickTop="1" x14ac:dyDescent="0.25">
      <c r="A5" s="121"/>
      <c r="B5" s="122"/>
      <c r="C5" s="122"/>
    </row>
    <row r="6" spans="1:3" x14ac:dyDescent="0.25">
      <c r="A6" s="123" t="s">
        <v>2113</v>
      </c>
      <c r="B6" s="124" t="s">
        <v>1923</v>
      </c>
      <c r="C6" s="209" t="s">
        <v>2114</v>
      </c>
    </row>
    <row r="7" spans="1:3" x14ac:dyDescent="0.25">
      <c r="A7" s="128" t="s">
        <v>1924</v>
      </c>
      <c r="B7" s="212" t="s">
        <v>1928</v>
      </c>
      <c r="C7" s="216" t="s">
        <v>1924</v>
      </c>
    </row>
    <row r="8" spans="1:3" x14ac:dyDescent="0.25">
      <c r="A8" s="213" t="s">
        <v>1925</v>
      </c>
      <c r="B8" s="214" t="s">
        <v>1927</v>
      </c>
      <c r="C8" s="217" t="s">
        <v>1925</v>
      </c>
    </row>
    <row r="9" spans="1:3" ht="25.5" x14ac:dyDescent="0.25">
      <c r="A9" s="128" t="s">
        <v>1926</v>
      </c>
      <c r="B9" s="129" t="s">
        <v>1929</v>
      </c>
      <c r="C9" s="216" t="s">
        <v>1926</v>
      </c>
    </row>
    <row r="10" spans="1:3" x14ac:dyDescent="0.25">
      <c r="A10" s="125" t="s">
        <v>1935</v>
      </c>
      <c r="B10" s="126" t="s">
        <v>1940</v>
      </c>
      <c r="C10" s="218" t="s">
        <v>2115</v>
      </c>
    </row>
    <row r="11" spans="1:3" x14ac:dyDescent="0.25">
      <c r="A11" s="125" t="s">
        <v>1936</v>
      </c>
      <c r="B11" s="127" t="s">
        <v>1941</v>
      </c>
      <c r="C11" s="218" t="s">
        <v>2115</v>
      </c>
    </row>
    <row r="12" spans="1:3" ht="25.5" x14ac:dyDescent="0.25">
      <c r="A12" s="125" t="s">
        <v>1938</v>
      </c>
      <c r="B12" s="127" t="s">
        <v>1942</v>
      </c>
      <c r="C12" s="218" t="s">
        <v>2115</v>
      </c>
    </row>
    <row r="13" spans="1:3" ht="25.5" x14ac:dyDescent="0.25">
      <c r="A13" s="128" t="s">
        <v>1963</v>
      </c>
      <c r="B13" s="129" t="s">
        <v>1968</v>
      </c>
      <c r="C13" s="219" t="s">
        <v>2116</v>
      </c>
    </row>
    <row r="14" spans="1:3" x14ac:dyDescent="0.25">
      <c r="A14" s="128" t="s">
        <v>1964</v>
      </c>
      <c r="B14" s="129" t="s">
        <v>1969</v>
      </c>
      <c r="C14" s="219" t="s">
        <v>2116</v>
      </c>
    </row>
    <row r="15" spans="1:3" ht="25.5" x14ac:dyDescent="0.25">
      <c r="A15" s="128" t="s">
        <v>1965</v>
      </c>
      <c r="B15" s="129" t="s">
        <v>1970</v>
      </c>
      <c r="C15" s="219" t="s">
        <v>2116</v>
      </c>
    </row>
    <row r="16" spans="1:3" ht="25.5" x14ac:dyDescent="0.25">
      <c r="A16" s="128" t="s">
        <v>1966</v>
      </c>
      <c r="B16" s="129" t="s">
        <v>1971</v>
      </c>
      <c r="C16" s="219" t="s">
        <v>2116</v>
      </c>
    </row>
    <row r="17" spans="1:3" x14ac:dyDescent="0.25">
      <c r="A17" s="128" t="s">
        <v>1967</v>
      </c>
      <c r="B17" s="129" t="s">
        <v>1972</v>
      </c>
      <c r="C17" s="219" t="s">
        <v>2116</v>
      </c>
    </row>
    <row r="18" spans="1:3" x14ac:dyDescent="0.25">
      <c r="A18" s="125" t="s">
        <v>2019</v>
      </c>
      <c r="B18" s="127" t="s">
        <v>2021</v>
      </c>
      <c r="C18" s="218" t="s">
        <v>2117</v>
      </c>
    </row>
    <row r="19" spans="1:3" x14ac:dyDescent="0.25">
      <c r="A19" s="125" t="s">
        <v>2020</v>
      </c>
      <c r="B19" s="127" t="s">
        <v>2022</v>
      </c>
      <c r="C19" s="218" t="s">
        <v>2117</v>
      </c>
    </row>
    <row r="20" spans="1:3" x14ac:dyDescent="0.25">
      <c r="A20" s="128" t="s">
        <v>2041</v>
      </c>
      <c r="B20" s="129" t="s">
        <v>2044</v>
      </c>
      <c r="C20" s="219" t="s">
        <v>2118</v>
      </c>
    </row>
    <row r="21" spans="1:3" ht="25.5" x14ac:dyDescent="0.25">
      <c r="A21" s="128" t="s">
        <v>2042</v>
      </c>
      <c r="B21" s="129" t="s">
        <v>2045</v>
      </c>
      <c r="C21" s="219" t="s">
        <v>2118</v>
      </c>
    </row>
    <row r="22" spans="1:3" ht="25.5" x14ac:dyDescent="0.25">
      <c r="A22" s="128" t="s">
        <v>2119</v>
      </c>
      <c r="B22" s="129" t="s">
        <v>2046</v>
      </c>
      <c r="C22" s="219" t="s">
        <v>2118</v>
      </c>
    </row>
    <row r="23" spans="1:3" x14ac:dyDescent="0.25">
      <c r="A23" s="125" t="s">
        <v>2058</v>
      </c>
      <c r="B23" s="127" t="s">
        <v>2063</v>
      </c>
      <c r="C23" s="218" t="s">
        <v>2120</v>
      </c>
    </row>
    <row r="24" spans="1:3" ht="25.5" x14ac:dyDescent="0.25">
      <c r="A24" s="125" t="s">
        <v>2059</v>
      </c>
      <c r="B24" s="127" t="s">
        <v>2064</v>
      </c>
      <c r="C24" s="218" t="s">
        <v>2120</v>
      </c>
    </row>
    <row r="25" spans="1:3" ht="25.5" x14ac:dyDescent="0.25">
      <c r="A25" s="125" t="s">
        <v>2061</v>
      </c>
      <c r="B25" s="127" t="s">
        <v>2065</v>
      </c>
      <c r="C25" s="218" t="s">
        <v>2120</v>
      </c>
    </row>
    <row r="26" spans="1:3" ht="25.5" x14ac:dyDescent="0.25">
      <c r="A26" s="125" t="s">
        <v>2062</v>
      </c>
      <c r="B26" s="127" t="s">
        <v>2066</v>
      </c>
      <c r="C26" s="218" t="s">
        <v>2120</v>
      </c>
    </row>
    <row r="27" spans="1:3" x14ac:dyDescent="0.25">
      <c r="A27" s="128" t="s">
        <v>2103</v>
      </c>
      <c r="B27" s="129" t="s">
        <v>2105</v>
      </c>
      <c r="C27" s="219" t="s">
        <v>2121</v>
      </c>
    </row>
    <row r="28" spans="1:3" x14ac:dyDescent="0.25">
      <c r="A28" s="125" t="s">
        <v>2106</v>
      </c>
      <c r="B28" s="127" t="s">
        <v>2110</v>
      </c>
      <c r="C28" s="218" t="s">
        <v>2122</v>
      </c>
    </row>
    <row r="29" spans="1:3" x14ac:dyDescent="0.25">
      <c r="A29" s="210" t="s">
        <v>2108</v>
      </c>
      <c r="B29" s="211" t="s">
        <v>2111</v>
      </c>
      <c r="C29" s="220" t="s">
        <v>2122</v>
      </c>
    </row>
    <row r="30" spans="1:3" x14ac:dyDescent="0.25">
      <c r="A30" s="128" t="s">
        <v>1930</v>
      </c>
      <c r="B30" s="129" t="s">
        <v>1932</v>
      </c>
      <c r="C30" s="216" t="s">
        <v>1930</v>
      </c>
    </row>
    <row r="31" spans="1:3" x14ac:dyDescent="0.25">
      <c r="A31" s="213" t="s">
        <v>1931</v>
      </c>
      <c r="B31" s="215" t="s">
        <v>1933</v>
      </c>
      <c r="C31" s="217" t="s">
        <v>1931</v>
      </c>
    </row>
  </sheetData>
  <mergeCells count="4">
    <mergeCell ref="A4:B4"/>
    <mergeCell ref="A1:B1"/>
    <mergeCell ref="A2:B2"/>
    <mergeCell ref="A3:C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07DA-3DC6-4C8E-953C-CA02401C1CA6}">
  <sheetPr>
    <tabColor theme="8" tint="-0.249977111117893"/>
  </sheetPr>
  <dimension ref="A1"/>
  <sheetViews>
    <sheetView workbookViewId="0">
      <selection activeCell="A2" sqref="A2"/>
    </sheetView>
  </sheetViews>
  <sheetFormatPr defaultRowHeight="15" x14ac:dyDescent="0.25"/>
  <cols>
    <col min="1" max="16384" width="9.140625" style="134"/>
  </cols>
  <sheetData>
    <row r="1" spans="1:1" ht="18.75" x14ac:dyDescent="0.3">
      <c r="A1" s="135" t="s">
        <v>2127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42AA-EE13-4617-984F-2159268A4FA5}">
  <sheetPr codeName="Sheet7">
    <tabColor theme="8" tint="0.39997558519241921"/>
  </sheetPr>
  <dimension ref="A1:T604"/>
  <sheetViews>
    <sheetView zoomScale="70" zoomScaleNormal="70" workbookViewId="0">
      <selection activeCell="A2" sqref="A2"/>
    </sheetView>
  </sheetViews>
  <sheetFormatPr defaultColWidth="19" defaultRowHeight="15" x14ac:dyDescent="0.25"/>
  <cols>
    <col min="1" max="1" width="43.5703125" customWidth="1"/>
    <col min="2" max="9" width="19.140625" customWidth="1"/>
    <col min="10" max="10" width="19.140625" style="10" customWidth="1"/>
    <col min="11" max="11" width="19.140625" customWidth="1"/>
    <col min="12" max="15" width="19.140625" style="10" customWidth="1"/>
    <col min="16" max="16" width="19" style="10"/>
    <col min="17" max="17" width="17.28515625" style="10" bestFit="1" customWidth="1"/>
    <col min="18" max="18" width="28.140625" bestFit="1" customWidth="1"/>
    <col min="19" max="19" width="18.85546875" customWidth="1"/>
    <col min="20" max="20" width="44.85546875" bestFit="1" customWidth="1"/>
    <col min="21" max="21" width="28.5703125" bestFit="1" customWidth="1"/>
  </cols>
  <sheetData>
    <row r="1" spans="1:20" ht="24.75" customHeight="1" x14ac:dyDescent="0.25">
      <c r="A1" s="245" t="s">
        <v>1864</v>
      </c>
      <c r="B1" s="245"/>
      <c r="C1" s="245"/>
      <c r="D1" s="245"/>
      <c r="E1" s="245"/>
      <c r="F1" s="245"/>
      <c r="G1" s="245"/>
      <c r="H1" s="245"/>
      <c r="I1" s="245"/>
      <c r="J1" s="245"/>
      <c r="K1" s="245"/>
      <c r="L1" s="245"/>
      <c r="M1" s="245"/>
      <c r="N1" s="245"/>
      <c r="O1" s="245"/>
      <c r="P1" s="89"/>
      <c r="Q1"/>
    </row>
    <row r="2" spans="1:20" s="80" customFormat="1" ht="45" x14ac:dyDescent="0.25">
      <c r="A2" s="85" t="s">
        <v>36</v>
      </c>
      <c r="B2" s="85" t="s">
        <v>1</v>
      </c>
      <c r="C2" s="85" t="s">
        <v>5</v>
      </c>
      <c r="D2" s="85" t="s">
        <v>1836</v>
      </c>
      <c r="E2" s="85" t="s">
        <v>1837</v>
      </c>
      <c r="F2" s="85" t="s">
        <v>142</v>
      </c>
      <c r="G2" s="85" t="s">
        <v>456</v>
      </c>
      <c r="H2" s="86" t="s">
        <v>114</v>
      </c>
      <c r="I2" s="86" t="s">
        <v>115</v>
      </c>
      <c r="J2" s="85" t="s">
        <v>2</v>
      </c>
      <c r="K2" s="87" t="s">
        <v>440</v>
      </c>
      <c r="L2" s="87" t="s">
        <v>1432</v>
      </c>
      <c r="M2" s="87" t="s">
        <v>1433</v>
      </c>
      <c r="N2" s="87" t="s">
        <v>1868</v>
      </c>
      <c r="O2" s="87" t="s">
        <v>1852</v>
      </c>
      <c r="P2" s="87"/>
    </row>
    <row r="3" spans="1:20" x14ac:dyDescent="0.25">
      <c r="A3" s="19" t="s">
        <v>145</v>
      </c>
      <c r="B3" s="19" t="str">
        <f>INDEX(Places[Type],MATCH(Budgets[[#This Row],[Jurisdiction]],Places[Jurisdiction],0))</f>
        <v>City</v>
      </c>
      <c r="C3" s="19" t="str">
        <f>INDEX(Places[County],MATCH(Budgets[[#This Row],[Jurisdiction]],Places[Jurisdiction],0))</f>
        <v>Los Angeles</v>
      </c>
      <c r="D3" s="19" t="str">
        <f>INDEX(Places[Majority RB],MATCH(Budgets[[#This Row],[Jurisdiction]],Places[Jurisdiction],0))</f>
        <v>Los Angeles</v>
      </c>
      <c r="E3" s="19">
        <f>INDEX(Places[Majority RB '#],MATCH(Budgets[[#This Row],[Jurisdiction]],Places[Jurisdiction],0))</f>
        <v>4</v>
      </c>
      <c r="F3" s="19" t="str">
        <f>VLOOKUP(Budgets[[#This Row],[Jurisdiction]],Places[#All],8,FALSE)</f>
        <v>Phase I MS4</v>
      </c>
      <c r="G3" s="81"/>
      <c r="H3" s="21" t="s">
        <v>1869</v>
      </c>
      <c r="I3" s="21">
        <f>VALUE(LEFT(Budgets[[#This Row],[Fiscal Year]],4))</f>
        <v>2016</v>
      </c>
      <c r="J3" s="20">
        <v>805000</v>
      </c>
      <c r="K3" s="27">
        <f>IF(Budgets[[#This Row],[Reference Year]]&gt;2018,Budgets[[#This Row],[Value]],Budgets[[#This Row],[Value]]*(1+VLOOKUP(Budgets[[#This Row],[Reference Year]],Inflation[#All],3,FALSE)))</f>
        <v>844012.31250000012</v>
      </c>
      <c r="L3" s="27">
        <f>Budgets[[#This Row],[2018 $ Value]]/VLOOKUP(Budgets[[#This Row],[Jurisdiction]],Places[],6,FALSE)</f>
        <v>41.227643244431427</v>
      </c>
      <c r="M3" s="27">
        <f>Budgets[[#This Row],[2018 $ Value]]/VLOOKUP(Budgets[[#This Row],[Jurisdiction]],Places[],7,FALSE)</f>
        <v>108206.70673076925</v>
      </c>
      <c r="N3" s="27"/>
      <c r="O3" s="27" t="s">
        <v>1853</v>
      </c>
      <c r="P3" s="4"/>
      <c r="Q3"/>
    </row>
    <row r="4" spans="1:20" x14ac:dyDescent="0.25">
      <c r="A4" s="19" t="s">
        <v>187</v>
      </c>
      <c r="B4" s="19" t="str">
        <f>INDEX(Places[Type],MATCH(Budgets[[#This Row],[Jurisdiction]],Places[Jurisdiction],0))</f>
        <v>City</v>
      </c>
      <c r="C4" s="19" t="str">
        <f>INDEX(Places[County],MATCH(Budgets[[#This Row],[Jurisdiction]],Places[Jurisdiction],0))</f>
        <v>Los Angeles</v>
      </c>
      <c r="D4" s="21" t="str">
        <f>INDEX(Places[Majority RB],MATCH(Budgets[[#This Row],[Jurisdiction]],Places[Jurisdiction],0))</f>
        <v>Los Angeles</v>
      </c>
      <c r="E4" s="19">
        <f>INDEX(Places[Majority RB '#],MATCH(Budgets[[#This Row],[Jurisdiction]],Places[Jurisdiction],0))</f>
        <v>4</v>
      </c>
      <c r="F4" s="19" t="str">
        <f>VLOOKUP(Budgets[[#This Row],[Jurisdiction]],Places[#All],8,FALSE)</f>
        <v>Phase I MS4</v>
      </c>
      <c r="G4" s="81"/>
      <c r="H4" s="21" t="s">
        <v>1870</v>
      </c>
      <c r="I4" s="21">
        <f>VALUE(LEFT(Budgets[[#This Row],[Fiscal Year]],4))</f>
        <v>2011</v>
      </c>
      <c r="J4" s="20">
        <v>7698000</v>
      </c>
      <c r="K4" s="27">
        <f>IF(Budgets[[#This Row],[Reference Year]]&gt;2018,Budgets[[#This Row],[Value]],Budgets[[#This Row],[Value]]*(1+VLOOKUP(Budgets[[#This Row],[Reference Year]],Inflation[#All],3,FALSE)))</f>
        <v>8612963.263672743</v>
      </c>
      <c r="L4" s="27">
        <f>Budgets[[#This Row],[2018 $ Value]]/VLOOKUP(Budgets[[#This Row],[Jurisdiction]],Places[],6,FALSE)</f>
        <v>101.7491436835963</v>
      </c>
      <c r="M4" s="27">
        <f>Budgets[[#This Row],[2018 $ Value]]/VLOOKUP(Budgets[[#This Row],[Jurisdiction]],Places[],7,FALSE)</f>
        <v>1133284.63995694</v>
      </c>
      <c r="N4" s="27"/>
      <c r="O4" s="27" t="s">
        <v>1460</v>
      </c>
      <c r="P4" s="4"/>
      <c r="Q4"/>
      <c r="R4" s="44"/>
    </row>
    <row r="5" spans="1:20" x14ac:dyDescent="0.25">
      <c r="A5" s="19" t="s">
        <v>187</v>
      </c>
      <c r="B5" s="19" t="str">
        <f>INDEX(Places[Type],MATCH(Budgets[[#This Row],[Jurisdiction]],Places[Jurisdiction],0))</f>
        <v>City</v>
      </c>
      <c r="C5" s="19" t="str">
        <f>INDEX(Places[County],MATCH(Budgets[[#This Row],[Jurisdiction]],Places[Jurisdiction],0))</f>
        <v>Los Angeles</v>
      </c>
      <c r="D5" s="21" t="str">
        <f>INDEX(Places[Majority RB],MATCH(Budgets[[#This Row],[Jurisdiction]],Places[Jurisdiction],0))</f>
        <v>Los Angeles</v>
      </c>
      <c r="E5" s="19">
        <f>INDEX(Places[Majority RB '#],MATCH(Budgets[[#This Row],[Jurisdiction]],Places[Jurisdiction],0))</f>
        <v>4</v>
      </c>
      <c r="F5" s="19" t="str">
        <f>VLOOKUP(Budgets[[#This Row],[Jurisdiction]],Places[#All],8,FALSE)</f>
        <v>Phase I MS4</v>
      </c>
      <c r="G5" s="81"/>
      <c r="H5" s="21" t="s">
        <v>1871</v>
      </c>
      <c r="I5" s="21">
        <f>VALUE(LEFT(Budgets[[#This Row],[Fiscal Year]],4))</f>
        <v>2012</v>
      </c>
      <c r="J5" s="20">
        <v>7839000</v>
      </c>
      <c r="K5" s="27">
        <f>IF(Budgets[[#This Row],[Reference Year]]&gt;2018,Budgets[[#This Row],[Value]],Budgets[[#This Row],[Value]]*(1+VLOOKUP(Budgets[[#This Row],[Reference Year]],Inflation[#All],3,FALSE)))</f>
        <v>8591182.0949477348</v>
      </c>
      <c r="L5" s="27">
        <f>Budgets[[#This Row],[2018 $ Value]]/VLOOKUP(Budgets[[#This Row],[Jurisdiction]],Places[],6,FALSE)</f>
        <v>101.4918320942685</v>
      </c>
      <c r="M5" s="27">
        <f>Budgets[[#This Row],[2018 $ Value]]/VLOOKUP(Budgets[[#This Row],[Jurisdiction]],Places[],7,FALSE)</f>
        <v>1130418.6967036494</v>
      </c>
      <c r="N5" s="27"/>
      <c r="O5" s="27" t="s">
        <v>1460</v>
      </c>
      <c r="P5" s="4"/>
      <c r="Q5"/>
      <c r="R5" s="44"/>
    </row>
    <row r="6" spans="1:20" x14ac:dyDescent="0.25">
      <c r="A6" s="19" t="s">
        <v>187</v>
      </c>
      <c r="B6" s="19" t="str">
        <f>INDEX(Places[Type],MATCH(Budgets[[#This Row],[Jurisdiction]],Places[Jurisdiction],0))</f>
        <v>City</v>
      </c>
      <c r="C6" s="19" t="str">
        <f>INDEX(Places[County],MATCH(Budgets[[#This Row],[Jurisdiction]],Places[Jurisdiction],0))</f>
        <v>Los Angeles</v>
      </c>
      <c r="D6" s="21" t="str">
        <f>INDEX(Places[Majority RB],MATCH(Budgets[[#This Row],[Jurisdiction]],Places[Jurisdiction],0))</f>
        <v>Los Angeles</v>
      </c>
      <c r="E6" s="19">
        <f>INDEX(Places[Majority RB '#],MATCH(Budgets[[#This Row],[Jurisdiction]],Places[Jurisdiction],0))</f>
        <v>4</v>
      </c>
      <c r="F6" s="19" t="str">
        <f>VLOOKUP(Budgets[[#This Row],[Jurisdiction]],Places[#All],8,FALSE)</f>
        <v>Phase I MS4</v>
      </c>
      <c r="G6" s="81"/>
      <c r="H6" s="21" t="s">
        <v>1869</v>
      </c>
      <c r="I6" s="21">
        <f>VALUE(LEFT(Budgets[[#This Row],[Fiscal Year]],4))</f>
        <v>2016</v>
      </c>
      <c r="J6" s="20">
        <v>964500</v>
      </c>
      <c r="K6" s="27">
        <f>IF(Budgets[[#This Row],[Reference Year]]&gt;2018,Budgets[[#This Row],[Value]],Budgets[[#This Row],[Value]]*(1+VLOOKUP(Budgets[[#This Row],[Reference Year]],Inflation[#All],3,FALSE)))</f>
        <v>1011242.08125</v>
      </c>
      <c r="L6" s="27">
        <f>Budgets[[#This Row],[2018 $ Value]]/VLOOKUP(Budgets[[#This Row],[Jurisdiction]],Places[],6,FALSE)</f>
        <v>11.946296840482463</v>
      </c>
      <c r="M6" s="27">
        <f>Budgets[[#This Row],[2018 $ Value]]/VLOOKUP(Budgets[[#This Row],[Jurisdiction]],Places[],7,FALSE)</f>
        <v>133058.16858552632</v>
      </c>
      <c r="N6" s="27"/>
      <c r="O6" s="27" t="s">
        <v>1853</v>
      </c>
      <c r="P6" s="4"/>
      <c r="Q6"/>
      <c r="R6" s="44"/>
    </row>
    <row r="7" spans="1:20" x14ac:dyDescent="0.25">
      <c r="A7" s="19" t="s">
        <v>263</v>
      </c>
      <c r="B7" s="19" t="str">
        <f>INDEX(Places[Type],MATCH(Budgets[[#This Row],[Jurisdiction]],Places[Jurisdiction],0))</f>
        <v>City</v>
      </c>
      <c r="C7" s="19" t="str">
        <f>INDEX(Places[County],MATCH(Budgets[[#This Row],[Jurisdiction]],Places[Jurisdiction],0))</f>
        <v>Orange</v>
      </c>
      <c r="D7" s="21" t="str">
        <f>INDEX(Places[Majority RB],MATCH(Budgets[[#This Row],[Jurisdiction]],Places[Jurisdiction],0))</f>
        <v>San Diego</v>
      </c>
      <c r="E7" s="19">
        <f>INDEX(Places[Majority RB '#],MATCH(Budgets[[#This Row],[Jurisdiction]],Places[Jurisdiction],0))</f>
        <v>9</v>
      </c>
      <c r="F7" s="19" t="str">
        <f>VLOOKUP(Budgets[[#This Row],[Jurisdiction]],Places[#All],8,FALSE)</f>
        <v>Phase I MS4</v>
      </c>
      <c r="G7" s="81"/>
      <c r="H7" s="21" t="s">
        <v>1872</v>
      </c>
      <c r="I7" s="21">
        <f>VALUE(LEFT(Budgets[[#This Row],[Fiscal Year]],4))</f>
        <v>2002</v>
      </c>
      <c r="J7" s="20">
        <v>380018</v>
      </c>
      <c r="K7" s="27">
        <f>IF(Budgets[[#This Row],[Reference Year]]&gt;2018,Budgets[[#This Row],[Value]],Budgets[[#This Row],[Value]]*(1+VLOOKUP(Budgets[[#This Row],[Reference Year]],Inflation[#All],3,FALSE)))</f>
        <v>531541.46391328506</v>
      </c>
      <c r="L7" s="27">
        <f>Budgets[[#This Row],[2018 $ Value]]/VLOOKUP(Budgets[[#This Row],[Jurisdiction]],Places[],6,FALSE)</f>
        <v>10.264786974746249</v>
      </c>
      <c r="M7" s="27">
        <f>Budgets[[#This Row],[2018 $ Value]]/VLOOKUP(Budgets[[#This Row],[Jurisdiction]],Places[],7,FALSE)</f>
        <v>77034.994770041303</v>
      </c>
      <c r="N7" s="27"/>
      <c r="O7" s="27" t="s">
        <v>1460</v>
      </c>
      <c r="P7" s="4"/>
      <c r="Q7"/>
      <c r="R7" s="44"/>
    </row>
    <row r="8" spans="1:20" x14ac:dyDescent="0.25">
      <c r="A8" s="19" t="s">
        <v>263</v>
      </c>
      <c r="B8" s="19" t="str">
        <f>INDEX(Places[Type],MATCH(Budgets[[#This Row],[Jurisdiction]],Places[Jurisdiction],0))</f>
        <v>City</v>
      </c>
      <c r="C8" s="19" t="str">
        <f>INDEX(Places[County],MATCH(Budgets[[#This Row],[Jurisdiction]],Places[Jurisdiction],0))</f>
        <v>Orange</v>
      </c>
      <c r="D8" s="21" t="str">
        <f>INDEX(Places[Majority RB],MATCH(Budgets[[#This Row],[Jurisdiction]],Places[Jurisdiction],0))</f>
        <v>San Diego</v>
      </c>
      <c r="E8" s="19">
        <f>INDEX(Places[Majority RB '#],MATCH(Budgets[[#This Row],[Jurisdiction]],Places[Jurisdiction],0))</f>
        <v>9</v>
      </c>
      <c r="F8" s="19" t="str">
        <f>VLOOKUP(Budgets[[#This Row],[Jurisdiction]],Places[#All],8,FALSE)</f>
        <v>Phase I MS4</v>
      </c>
      <c r="G8" s="81"/>
      <c r="H8" s="21" t="s">
        <v>1873</v>
      </c>
      <c r="I8" s="21">
        <f>VALUE(LEFT(Budgets[[#This Row],[Fiscal Year]],4))</f>
        <v>2015</v>
      </c>
      <c r="J8" s="20">
        <v>1587563</v>
      </c>
      <c r="K8" s="27">
        <f>IF(Budgets[[#This Row],[Reference Year]]&gt;2018,Budgets[[#This Row],[Value]],Budgets[[#This Row],[Value]]*(1+VLOOKUP(Budgets[[#This Row],[Reference Year]],Inflation[#All],3,FALSE)))</f>
        <v>1685569.8955822785</v>
      </c>
      <c r="L8" s="27">
        <f>Budgets[[#This Row],[2018 $ Value]]/VLOOKUP(Budgets[[#This Row],[Jurisdiction]],Places[],6,FALSE)</f>
        <v>32.550642017308355</v>
      </c>
      <c r="M8" s="27">
        <f>Budgets[[#This Row],[2018 $ Value]]/VLOOKUP(Budgets[[#This Row],[Jurisdiction]],Places[],7,FALSE)</f>
        <v>244285.49211337368</v>
      </c>
      <c r="N8" s="27"/>
      <c r="O8" s="27" t="s">
        <v>1460</v>
      </c>
      <c r="P8" s="4"/>
      <c r="Q8"/>
      <c r="R8" s="44"/>
    </row>
    <row r="9" spans="1:20" x14ac:dyDescent="0.25">
      <c r="A9" s="19" t="s">
        <v>263</v>
      </c>
      <c r="B9" s="19" t="str">
        <f>INDEX(Places[Type],MATCH(Budgets[[#This Row],[Jurisdiction]],Places[Jurisdiction],0))</f>
        <v>City</v>
      </c>
      <c r="C9" s="19" t="str">
        <f>INDEX(Places[County],MATCH(Budgets[[#This Row],[Jurisdiction]],Places[Jurisdiction],0))</f>
        <v>Orange</v>
      </c>
      <c r="D9" s="21" t="str">
        <f>INDEX(Places[Majority RB],MATCH(Budgets[[#This Row],[Jurisdiction]],Places[Jurisdiction],0))</f>
        <v>San Diego</v>
      </c>
      <c r="E9" s="19">
        <f>INDEX(Places[Majority RB '#],MATCH(Budgets[[#This Row],[Jurisdiction]],Places[Jurisdiction],0))</f>
        <v>9</v>
      </c>
      <c r="F9" s="19" t="str">
        <f>VLOOKUP(Budgets[[#This Row],[Jurisdiction]],Places[#All],8,FALSE)</f>
        <v>Phase I MS4</v>
      </c>
      <c r="G9" s="81"/>
      <c r="H9" s="21" t="s">
        <v>1869</v>
      </c>
      <c r="I9" s="21">
        <f>VALUE(LEFT(Budgets[[#This Row],[Fiscal Year]],4))</f>
        <v>2016</v>
      </c>
      <c r="J9" s="20">
        <v>1920296</v>
      </c>
      <c r="K9" s="27">
        <f>IF(Budgets[[#This Row],[Reference Year]]&gt;2018,Budgets[[#This Row],[Value]],Budgets[[#This Row],[Value]]*(1+VLOOKUP(Budgets[[#This Row],[Reference Year]],Inflation[#All],3,FALSE)))</f>
        <v>2013358.3449000001</v>
      </c>
      <c r="L9" s="27">
        <f>Budgets[[#This Row],[2018 $ Value]]/VLOOKUP(Budgets[[#This Row],[Jurisdiction]],Places[],6,FALSE)</f>
        <v>38.880681785528068</v>
      </c>
      <c r="M9" s="27">
        <f>Budgets[[#This Row],[2018 $ Value]]/VLOOKUP(Budgets[[#This Row],[Jurisdiction]],Places[],7,FALSE)</f>
        <v>291791.06447826087</v>
      </c>
      <c r="N9" s="27"/>
      <c r="O9" s="27" t="s">
        <v>1460</v>
      </c>
      <c r="P9" s="4"/>
      <c r="Q9"/>
      <c r="R9" s="44"/>
    </row>
    <row r="10" spans="1:20" x14ac:dyDescent="0.25">
      <c r="A10" s="19" t="s">
        <v>263</v>
      </c>
      <c r="B10" s="19" t="str">
        <f>INDEX(Places[Type],MATCH(Budgets[[#This Row],[Jurisdiction]],Places[Jurisdiction],0))</f>
        <v>City</v>
      </c>
      <c r="C10" s="19" t="str">
        <f>INDEX(Places[County],MATCH(Budgets[[#This Row],[Jurisdiction]],Places[Jurisdiction],0))</f>
        <v>Orange</v>
      </c>
      <c r="D10" s="21" t="str">
        <f>INDEX(Places[Majority RB],MATCH(Budgets[[#This Row],[Jurisdiction]],Places[Jurisdiction],0))</f>
        <v>San Diego</v>
      </c>
      <c r="E10" s="19">
        <f>INDEX(Places[Majority RB '#],MATCH(Budgets[[#This Row],[Jurisdiction]],Places[Jurisdiction],0))</f>
        <v>9</v>
      </c>
      <c r="F10" s="19" t="str">
        <f>VLOOKUP(Budgets[[#This Row],[Jurisdiction]],Places[#All],8,FALSE)</f>
        <v>Phase I MS4</v>
      </c>
      <c r="G10" s="81"/>
      <c r="H10" s="21" t="s">
        <v>1874</v>
      </c>
      <c r="I10" s="21">
        <f>VALUE(LEFT(Budgets[[#This Row],[Fiscal Year]],4))</f>
        <v>2017</v>
      </c>
      <c r="J10" s="20">
        <v>1986238.68</v>
      </c>
      <c r="K10" s="27">
        <f>IF(Budgets[[#This Row],[Reference Year]]&gt;2018,Budgets[[#This Row],[Value]],Budgets[[#This Row],[Value]]*(1+VLOOKUP(Budgets[[#This Row],[Reference Year]],Inflation[#All],3,FALSE)))</f>
        <v>2039164.5258550798</v>
      </c>
      <c r="L10" s="27">
        <f>Budgets[[#This Row],[2018 $ Value]]/VLOOKUP(Budgets[[#This Row],[Jurisdiction]],Places[],6,FALSE)</f>
        <v>39.379034158991942</v>
      </c>
      <c r="M10" s="27">
        <f>Budgets[[#This Row],[2018 $ Value]]/VLOOKUP(Budgets[[#This Row],[Jurisdiction]],Places[],7,FALSE)</f>
        <v>295531.09070363472</v>
      </c>
      <c r="N10" s="27"/>
      <c r="O10" s="27" t="s">
        <v>1853</v>
      </c>
      <c r="P10" s="4"/>
      <c r="Q10"/>
      <c r="R10" s="44"/>
    </row>
    <row r="11" spans="1:20" x14ac:dyDescent="0.25">
      <c r="A11" s="19" t="s">
        <v>265</v>
      </c>
      <c r="B11" s="19" t="str">
        <f>INDEX(Places[Type],MATCH(Budgets[[#This Row],[Jurisdiction]],Places[Jurisdiction],0))</f>
        <v>City</v>
      </c>
      <c r="C11" s="19" t="str">
        <f>INDEX(Places[County],MATCH(Budgets[[#This Row],[Jurisdiction]],Places[Jurisdiction],0))</f>
        <v>Orange</v>
      </c>
      <c r="D11" s="21" t="str">
        <f>INDEX(Places[Majority RB],MATCH(Budgets[[#This Row],[Jurisdiction]],Places[Jurisdiction],0))</f>
        <v>Santa Ana</v>
      </c>
      <c r="E11" s="19">
        <f>INDEX(Places[Majority RB '#],MATCH(Budgets[[#This Row],[Jurisdiction]],Places[Jurisdiction],0))</f>
        <v>8</v>
      </c>
      <c r="F11" s="19" t="str">
        <f>VLOOKUP(Budgets[[#This Row],[Jurisdiction]],Places[#All],8,FALSE)</f>
        <v>Phase I MS4</v>
      </c>
      <c r="G11" s="81"/>
      <c r="H11" s="21" t="s">
        <v>1875</v>
      </c>
      <c r="I11" s="21">
        <f>VALUE(LEFT(Budgets[[#This Row],[Fiscal Year]],4))</f>
        <v>2001</v>
      </c>
      <c r="J11" s="20">
        <v>20006916</v>
      </c>
      <c r="K11" s="27">
        <f>IF(Budgets[[#This Row],[Reference Year]]&gt;2018,Budgets[[#This Row],[Value]],Budgets[[#This Row],[Value]]*(1+VLOOKUP(Budgets[[#This Row],[Reference Year]],Inflation[#All],3,FALSE)))</f>
        <v>28426653.190265387</v>
      </c>
      <c r="L11" s="27">
        <f>Budgets[[#This Row],[2018 $ Value]]/VLOOKUP(Budgets[[#This Row],[Jurisdiction]],Places[],6,FALSE)</f>
        <v>80.756390364527178</v>
      </c>
      <c r="M11" s="27">
        <f>Budgets[[#This Row],[2018 $ Value]]/VLOOKUP(Budgets[[#This Row],[Jurisdiction]],Places[],7,FALSE)</f>
        <v>568533.06380530773</v>
      </c>
      <c r="N11" s="27"/>
      <c r="O11" s="27" t="s">
        <v>1460</v>
      </c>
      <c r="P11" s="4"/>
      <c r="Q11"/>
      <c r="R11" s="44"/>
    </row>
    <row r="12" spans="1:20" x14ac:dyDescent="0.25">
      <c r="A12" s="19" t="s">
        <v>265</v>
      </c>
      <c r="B12" s="19" t="str">
        <f>INDEX(Places[Type],MATCH(Budgets[[#This Row],[Jurisdiction]],Places[Jurisdiction],0))</f>
        <v>City</v>
      </c>
      <c r="C12" s="19" t="str">
        <f>INDEX(Places[County],MATCH(Budgets[[#This Row],[Jurisdiction]],Places[Jurisdiction],0))</f>
        <v>Orange</v>
      </c>
      <c r="D12" s="21" t="str">
        <f>INDEX(Places[Majority RB],MATCH(Budgets[[#This Row],[Jurisdiction]],Places[Jurisdiction],0))</f>
        <v>Santa Ana</v>
      </c>
      <c r="E12" s="19">
        <f>INDEX(Places[Majority RB '#],MATCH(Budgets[[#This Row],[Jurisdiction]],Places[Jurisdiction],0))</f>
        <v>8</v>
      </c>
      <c r="F12" s="19" t="str">
        <f>VLOOKUP(Budgets[[#This Row],[Jurisdiction]],Places[#All],8,FALSE)</f>
        <v>Phase I MS4</v>
      </c>
      <c r="G12" s="81"/>
      <c r="H12" s="21" t="s">
        <v>1872</v>
      </c>
      <c r="I12" s="21">
        <f>VALUE(LEFT(Budgets[[#This Row],[Fiscal Year]],4))</f>
        <v>2002</v>
      </c>
      <c r="J12" s="20">
        <v>2095153</v>
      </c>
      <c r="K12" s="27">
        <f>IF(Budgets[[#This Row],[Reference Year]]&gt;2018,Budgets[[#This Row],[Value]],Budgets[[#This Row],[Value]]*(1+VLOOKUP(Budgets[[#This Row],[Reference Year]],Inflation[#All],3,FALSE)))</f>
        <v>2930547.2181378542</v>
      </c>
      <c r="L12" s="27">
        <f>Budgets[[#This Row],[2018 $ Value]]/VLOOKUP(Budgets[[#This Row],[Jurisdiction]],Places[],6,FALSE)</f>
        <v>8.3252999762442421</v>
      </c>
      <c r="M12" s="27">
        <f>Budgets[[#This Row],[2018 $ Value]]/VLOOKUP(Budgets[[#This Row],[Jurisdiction]],Places[],7,FALSE)</f>
        <v>58610.944362757087</v>
      </c>
      <c r="N12" s="27"/>
      <c r="O12" s="27" t="s">
        <v>1853</v>
      </c>
      <c r="P12" s="4"/>
      <c r="Q12"/>
      <c r="R12" s="44"/>
    </row>
    <row r="13" spans="1:20" x14ac:dyDescent="0.25">
      <c r="A13" s="19" t="s">
        <v>179</v>
      </c>
      <c r="B13" s="19" t="str">
        <f>INDEX(Places[Type],MATCH(Budgets[[#This Row],[Jurisdiction]],Places[Jurisdiction],0))</f>
        <v>City</v>
      </c>
      <c r="C13" s="19" t="str">
        <f>INDEX(Places[County],MATCH(Budgets[[#This Row],[Jurisdiction]],Places[Jurisdiction],0))</f>
        <v>Los Angeles</v>
      </c>
      <c r="D13" s="21" t="str">
        <f>INDEX(Places[Majority RB],MATCH(Budgets[[#This Row],[Jurisdiction]],Places[Jurisdiction],0))</f>
        <v>Los Angeles</v>
      </c>
      <c r="E13" s="19">
        <f>INDEX(Places[Majority RB '#],MATCH(Budgets[[#This Row],[Jurisdiction]],Places[Jurisdiction],0))</f>
        <v>4</v>
      </c>
      <c r="F13" s="19" t="str">
        <f>VLOOKUP(Budgets[[#This Row],[Jurisdiction]],Places[#All],8,FALSE)</f>
        <v>Phase I MS4</v>
      </c>
      <c r="G13" s="81"/>
      <c r="H13" s="21" t="s">
        <v>1870</v>
      </c>
      <c r="I13" s="21">
        <f>VALUE(LEFT(Budgets[[#This Row],[Fiscal Year]],4))</f>
        <v>2011</v>
      </c>
      <c r="J13" s="20">
        <v>1016000</v>
      </c>
      <c r="K13" s="27">
        <f>IF(Budgets[[#This Row],[Reference Year]]&gt;2018,Budgets[[#This Row],[Value]],Budgets[[#This Row],[Value]]*(1+VLOOKUP(Budgets[[#This Row],[Reference Year]],Inflation[#All],3,FALSE)))</f>
        <v>1136758.9862160962</v>
      </c>
      <c r="L13" s="27">
        <f>Budgets[[#This Row],[2018 $ Value]]/VLOOKUP(Budgets[[#This Row],[Jurisdiction]],Places[],6,FALSE)</f>
        <v>19.395307732743493</v>
      </c>
      <c r="M13" s="27">
        <f>Budgets[[#This Row],[2018 $ Value]]/VLOOKUP(Budgets[[#This Row],[Jurisdiction]],Places[],7,FALSE)</f>
        <v>104289.81524918313</v>
      </c>
      <c r="N13" s="27"/>
      <c r="O13" s="27" t="s">
        <v>1460</v>
      </c>
      <c r="P13" s="4"/>
      <c r="Q13"/>
      <c r="R13" s="44"/>
      <c r="T13" s="13"/>
    </row>
    <row r="14" spans="1:20" x14ac:dyDescent="0.25">
      <c r="A14" s="19" t="s">
        <v>179</v>
      </c>
      <c r="B14" s="19" t="str">
        <f>INDEX(Places[Type],MATCH(Budgets[[#This Row],[Jurisdiction]],Places[Jurisdiction],0))</f>
        <v>City</v>
      </c>
      <c r="C14" s="19" t="str">
        <f>INDEX(Places[County],MATCH(Budgets[[#This Row],[Jurisdiction]],Places[Jurisdiction],0))</f>
        <v>Los Angeles</v>
      </c>
      <c r="D14" s="21" t="str">
        <f>INDEX(Places[Majority RB],MATCH(Budgets[[#This Row],[Jurisdiction]],Places[Jurisdiction],0))</f>
        <v>Los Angeles</v>
      </c>
      <c r="E14" s="19">
        <f>INDEX(Places[Majority RB '#],MATCH(Budgets[[#This Row],[Jurisdiction]],Places[Jurisdiction],0))</f>
        <v>4</v>
      </c>
      <c r="F14" s="19" t="str">
        <f>VLOOKUP(Budgets[[#This Row],[Jurisdiction]],Places[#All],8,FALSE)</f>
        <v>Phase I MS4</v>
      </c>
      <c r="G14" s="81"/>
      <c r="H14" s="21" t="s">
        <v>1869</v>
      </c>
      <c r="I14" s="21">
        <f>VALUE(LEFT(Budgets[[#This Row],[Fiscal Year]],4))</f>
        <v>2016</v>
      </c>
      <c r="J14" s="20">
        <v>878500</v>
      </c>
      <c r="K14" s="27">
        <f>IF(Budgets[[#This Row],[Reference Year]]&gt;2018,Budgets[[#This Row],[Value]],Budgets[[#This Row],[Value]]*(1+VLOOKUP(Budgets[[#This Row],[Reference Year]],Inflation[#All],3,FALSE)))</f>
        <v>921074.30625000002</v>
      </c>
      <c r="L14" s="27">
        <f>Budgets[[#This Row],[2018 $ Value]]/VLOOKUP(Budgets[[#This Row],[Jurisdiction]],Places[],6,FALSE)</f>
        <v>15.715309780754138</v>
      </c>
      <c r="M14" s="27">
        <f>Budgets[[#This Row],[2018 $ Value]]/VLOOKUP(Budgets[[#This Row],[Jurisdiction]],Places[],7,FALSE)</f>
        <v>84502.229931192662</v>
      </c>
      <c r="N14" s="27"/>
      <c r="O14" s="27" t="s">
        <v>1853</v>
      </c>
      <c r="P14" s="4"/>
      <c r="Q14"/>
      <c r="R14" s="44"/>
      <c r="T14" s="13"/>
    </row>
    <row r="15" spans="1:20" x14ac:dyDescent="0.25">
      <c r="A15" s="19" t="s">
        <v>166</v>
      </c>
      <c r="B15" s="19" t="str">
        <f>INDEX(Places[Type],MATCH(Budgets[[#This Row],[Jurisdiction]],Places[Jurisdiction],0))</f>
        <v>City</v>
      </c>
      <c r="C15" s="19" t="str">
        <f>INDEX(Places[County],MATCH(Budgets[[#This Row],[Jurisdiction]],Places[Jurisdiction],0))</f>
        <v>Los Angeles</v>
      </c>
      <c r="D15" s="21" t="str">
        <f>INDEX(Places[Majority RB],MATCH(Budgets[[#This Row],[Jurisdiction]],Places[Jurisdiction],0))</f>
        <v>Los Angeles</v>
      </c>
      <c r="E15" s="19">
        <f>INDEX(Places[Majority RB '#],MATCH(Budgets[[#This Row],[Jurisdiction]],Places[Jurisdiction],0))</f>
        <v>4</v>
      </c>
      <c r="F15" s="19" t="str">
        <f>VLOOKUP(Budgets[[#This Row],[Jurisdiction]],Places[#All],8,FALSE)</f>
        <v>Phase I MS4</v>
      </c>
      <c r="G15" s="81"/>
      <c r="H15" s="100" t="s">
        <v>1870</v>
      </c>
      <c r="I15" s="21">
        <f>VALUE(LEFT(Budgets[[#This Row],[Fiscal Year]],4))</f>
        <v>2011</v>
      </c>
      <c r="J15" s="20">
        <v>956325</v>
      </c>
      <c r="K15" s="27">
        <f>IF(Budgets[[#This Row],[Reference Year]]&gt;2018,Budgets[[#This Row],[Value]],Budgets[[#This Row],[Value]]*(1+VLOOKUP(Budgets[[#This Row],[Reference Year]],Inflation[#All],3,FALSE)))</f>
        <v>1069991.178634949</v>
      </c>
      <c r="L15" s="27">
        <f>Budgets[[#This Row],[2018 $ Value]]/VLOOKUP(Budgets[[#This Row],[Jurisdiction]],Places[],6,FALSE)</f>
        <v>63.880070366265613</v>
      </c>
      <c r="M15" s="27">
        <f>Budgets[[#This Row],[2018 $ Value]]/VLOOKUP(Budgets[[#This Row],[Jurisdiction]],Places[],7,FALSE)</f>
        <v>668744.48664684314</v>
      </c>
      <c r="N15" s="27"/>
      <c r="O15" s="27" t="s">
        <v>1460</v>
      </c>
      <c r="P15" s="4"/>
      <c r="Q15"/>
      <c r="R15" s="44"/>
      <c r="T15" s="14"/>
    </row>
    <row r="16" spans="1:20" x14ac:dyDescent="0.25">
      <c r="A16" s="19" t="s">
        <v>166</v>
      </c>
      <c r="B16" s="19" t="str">
        <f>INDEX(Places[Type],MATCH(Budgets[[#This Row],[Jurisdiction]],Places[Jurisdiction],0))</f>
        <v>City</v>
      </c>
      <c r="C16" s="19" t="str">
        <f>INDEX(Places[County],MATCH(Budgets[[#This Row],[Jurisdiction]],Places[Jurisdiction],0))</f>
        <v>Los Angeles</v>
      </c>
      <c r="D16" s="21" t="str">
        <f>INDEX(Places[Majority RB],MATCH(Budgets[[#This Row],[Jurisdiction]],Places[Jurisdiction],0))</f>
        <v>Los Angeles</v>
      </c>
      <c r="E16" s="19">
        <f>INDEX(Places[Majority RB '#],MATCH(Budgets[[#This Row],[Jurisdiction]],Places[Jurisdiction],0))</f>
        <v>4</v>
      </c>
      <c r="F16" s="19" t="str">
        <f>VLOOKUP(Budgets[[#This Row],[Jurisdiction]],Places[#All],8,FALSE)</f>
        <v>Phase I MS4</v>
      </c>
      <c r="G16" s="81"/>
      <c r="H16" s="100" t="s">
        <v>1871</v>
      </c>
      <c r="I16" s="21">
        <f>VALUE(LEFT(Budgets[[#This Row],[Fiscal Year]],4))</f>
        <v>2012</v>
      </c>
      <c r="J16" s="20">
        <v>1009302</v>
      </c>
      <c r="K16" s="27">
        <f>IF(Budgets[[#This Row],[Reference Year]]&gt;2018,Budgets[[#This Row],[Value]],Budgets[[#This Row],[Value]]*(1+VLOOKUP(Budgets[[#This Row],[Reference Year]],Inflation[#All],3,FALSE)))</f>
        <v>1106148.395304878</v>
      </c>
      <c r="L16" s="27">
        <f>Budgets[[#This Row],[2018 $ Value]]/VLOOKUP(Budgets[[#This Row],[Jurisdiction]],Places[],6,FALSE)</f>
        <v>66.038710167455406</v>
      </c>
      <c r="M16" s="27">
        <f>Budgets[[#This Row],[2018 $ Value]]/VLOOKUP(Budgets[[#This Row],[Jurisdiction]],Places[],7,FALSE)</f>
        <v>691342.74706554867</v>
      </c>
      <c r="N16" s="27"/>
      <c r="O16" s="27" t="s">
        <v>1460</v>
      </c>
      <c r="P16" s="4"/>
      <c r="Q16"/>
      <c r="R16" s="44"/>
      <c r="T16" s="14"/>
    </row>
    <row r="17" spans="1:20" x14ac:dyDescent="0.25">
      <c r="A17" s="19" t="s">
        <v>166</v>
      </c>
      <c r="B17" s="19" t="str">
        <f>INDEX(Places[Type],MATCH(Budgets[[#This Row],[Jurisdiction]],Places[Jurisdiction],0))</f>
        <v>City</v>
      </c>
      <c r="C17" s="19" t="str">
        <f>INDEX(Places[County],MATCH(Budgets[[#This Row],[Jurisdiction]],Places[Jurisdiction],0))</f>
        <v>Los Angeles</v>
      </c>
      <c r="D17" s="21" t="str">
        <f>INDEX(Places[Majority RB],MATCH(Budgets[[#This Row],[Jurisdiction]],Places[Jurisdiction],0))</f>
        <v>Los Angeles</v>
      </c>
      <c r="E17" s="19">
        <f>INDEX(Places[Majority RB '#],MATCH(Budgets[[#This Row],[Jurisdiction]],Places[Jurisdiction],0))</f>
        <v>4</v>
      </c>
      <c r="F17" s="19" t="str">
        <f>VLOOKUP(Budgets[[#This Row],[Jurisdiction]],Places[#All],8,FALSE)</f>
        <v>Phase I MS4</v>
      </c>
      <c r="G17" s="81"/>
      <c r="H17" s="100" t="s">
        <v>1869</v>
      </c>
      <c r="I17" s="21">
        <f>VALUE(LEFT(Budgets[[#This Row],[Fiscal Year]],4))</f>
        <v>2016</v>
      </c>
      <c r="J17" s="20">
        <v>165000</v>
      </c>
      <c r="K17" s="27">
        <f>IF(Budgets[[#This Row],[Reference Year]]&gt;2018,Budgets[[#This Row],[Value]],Budgets[[#This Row],[Value]]*(1+VLOOKUP(Budgets[[#This Row],[Reference Year]],Inflation[#All],3,FALSE)))</f>
        <v>172996.3125</v>
      </c>
      <c r="L17" s="27">
        <f>Budgets[[#This Row],[2018 $ Value]]/VLOOKUP(Budgets[[#This Row],[Jurisdiction]],Places[],6,FALSE)</f>
        <v>10.328138059701493</v>
      </c>
      <c r="M17" s="27">
        <f>Budgets[[#This Row],[2018 $ Value]]/VLOOKUP(Budgets[[#This Row],[Jurisdiction]],Places[],7,FALSE)</f>
        <v>108122.6953125</v>
      </c>
      <c r="N17" s="27"/>
      <c r="O17" s="27" t="s">
        <v>1853</v>
      </c>
      <c r="P17" s="4"/>
      <c r="Q17"/>
      <c r="R17" s="44"/>
      <c r="T17" s="14"/>
    </row>
    <row r="18" spans="1:20" x14ac:dyDescent="0.25">
      <c r="A18" s="19" t="s">
        <v>180</v>
      </c>
      <c r="B18" s="19" t="str">
        <f>INDEX(Places[Type],MATCH(Budgets[[#This Row],[Jurisdiction]],Places[Jurisdiction],0))</f>
        <v>City</v>
      </c>
      <c r="C18" s="19" t="str">
        <f>INDEX(Places[County],MATCH(Budgets[[#This Row],[Jurisdiction]],Places[Jurisdiction],0))</f>
        <v>Los Angeles</v>
      </c>
      <c r="D18" s="21" t="str">
        <f>INDEX(Places[Majority RB],MATCH(Budgets[[#This Row],[Jurisdiction]],Places[Jurisdiction],0))</f>
        <v>Los Angeles</v>
      </c>
      <c r="E18" s="19">
        <f>INDEX(Places[Majority RB '#],MATCH(Budgets[[#This Row],[Jurisdiction]],Places[Jurisdiction],0))</f>
        <v>4</v>
      </c>
      <c r="F18" s="19" t="str">
        <f>VLOOKUP(Budgets[[#This Row],[Jurisdiction]],Places[#All],8,FALSE)</f>
        <v>Phase I MS4</v>
      </c>
      <c r="G18" s="81"/>
      <c r="H18" s="21" t="s">
        <v>1870</v>
      </c>
      <c r="I18" s="21">
        <f>VALUE(LEFT(Budgets[[#This Row],[Fiscal Year]],4))</f>
        <v>2011</v>
      </c>
      <c r="J18" s="20">
        <v>315990</v>
      </c>
      <c r="K18" s="27">
        <f>IF(Budgets[[#This Row],[Reference Year]]&gt;2018,Budgets[[#This Row],[Value]],Budgets[[#This Row],[Value]]*(1+VLOOKUP(Budgets[[#This Row],[Reference Year]],Inflation[#All],3,FALSE)))</f>
        <v>353547.70871498447</v>
      </c>
      <c r="L18" s="27">
        <f>Budgets[[#This Row],[2018 $ Value]]/VLOOKUP(Budgets[[#This Row],[Jurisdiction]],Places[],6,FALSE)</f>
        <v>7.0768987692658731</v>
      </c>
      <c r="M18" s="27">
        <f>Budgets[[#This Row],[2018 $ Value]]/VLOOKUP(Budgets[[#This Row],[Jurisdiction]],Places[],7,FALSE)</f>
        <v>36448.217393297375</v>
      </c>
      <c r="N18" s="27"/>
      <c r="O18" s="27" t="s">
        <v>1460</v>
      </c>
      <c r="P18" s="4"/>
      <c r="Q18"/>
      <c r="T18" s="14"/>
    </row>
    <row r="19" spans="1:20" x14ac:dyDescent="0.25">
      <c r="A19" s="19" t="s">
        <v>180</v>
      </c>
      <c r="B19" s="19" t="str">
        <f>INDEX(Places[Type],MATCH(Budgets[[#This Row],[Jurisdiction]],Places[Jurisdiction],0))</f>
        <v>City</v>
      </c>
      <c r="C19" s="19" t="str">
        <f>INDEX(Places[County],MATCH(Budgets[[#This Row],[Jurisdiction]],Places[Jurisdiction],0))</f>
        <v>Los Angeles</v>
      </c>
      <c r="D19" s="21" t="str">
        <f>INDEX(Places[Majority RB],MATCH(Budgets[[#This Row],[Jurisdiction]],Places[Jurisdiction],0))</f>
        <v>Los Angeles</v>
      </c>
      <c r="E19" s="19">
        <f>INDEX(Places[Majority RB '#],MATCH(Budgets[[#This Row],[Jurisdiction]],Places[Jurisdiction],0))</f>
        <v>4</v>
      </c>
      <c r="F19" s="19" t="str">
        <f>VLOOKUP(Budgets[[#This Row],[Jurisdiction]],Places[#All],8,FALSE)</f>
        <v>Phase I MS4</v>
      </c>
      <c r="G19" s="81"/>
      <c r="H19" s="21" t="s">
        <v>1871</v>
      </c>
      <c r="I19" s="21">
        <f>VALUE(LEFT(Budgets[[#This Row],[Fiscal Year]],4))</f>
        <v>2012</v>
      </c>
      <c r="J19" s="20">
        <v>317650</v>
      </c>
      <c r="K19" s="27">
        <f>IF(Budgets[[#This Row],[Reference Year]]&gt;2018,Budgets[[#This Row],[Value]],Budgets[[#This Row],[Value]]*(1+VLOOKUP(Budgets[[#This Row],[Reference Year]],Inflation[#All],3,FALSE)))</f>
        <v>348129.7349738676</v>
      </c>
      <c r="L19" s="27">
        <f>Budgets[[#This Row],[2018 $ Value]]/VLOOKUP(Budgets[[#This Row],[Jurisdiction]],Places[],6,FALSE)</f>
        <v>6.96844819596196</v>
      </c>
      <c r="M19" s="27">
        <f>Budgets[[#This Row],[2018 $ Value]]/VLOOKUP(Budgets[[#This Row],[Jurisdiction]],Places[],7,FALSE)</f>
        <v>35889.663399367797</v>
      </c>
      <c r="N19" s="27"/>
      <c r="O19" s="27" t="s">
        <v>1460</v>
      </c>
      <c r="P19" s="4"/>
      <c r="Q19"/>
      <c r="T19" s="14"/>
    </row>
    <row r="20" spans="1:20" x14ac:dyDescent="0.25">
      <c r="A20" s="19" t="s">
        <v>180</v>
      </c>
      <c r="B20" s="19" t="str">
        <f>INDEX(Places[Type],MATCH(Budgets[[#This Row],[Jurisdiction]],Places[Jurisdiction],0))</f>
        <v>City</v>
      </c>
      <c r="C20" s="19" t="str">
        <f>INDEX(Places[County],MATCH(Budgets[[#This Row],[Jurisdiction]],Places[Jurisdiction],0))</f>
        <v>Los Angeles</v>
      </c>
      <c r="D20" s="21" t="str">
        <f>INDEX(Places[Majority RB],MATCH(Budgets[[#This Row],[Jurisdiction]],Places[Jurisdiction],0))</f>
        <v>Los Angeles</v>
      </c>
      <c r="E20" s="19">
        <f>INDEX(Places[Majority RB '#],MATCH(Budgets[[#This Row],[Jurisdiction]],Places[Jurisdiction],0))</f>
        <v>4</v>
      </c>
      <c r="F20" s="19" t="str">
        <f>VLOOKUP(Budgets[[#This Row],[Jurisdiction]],Places[#All],8,FALSE)</f>
        <v>Phase I MS4</v>
      </c>
      <c r="G20" s="81"/>
      <c r="H20" s="21" t="s">
        <v>1869</v>
      </c>
      <c r="I20" s="21">
        <f>VALUE(LEFT(Budgets[[#This Row],[Fiscal Year]],4))</f>
        <v>2016</v>
      </c>
      <c r="J20" s="20">
        <v>691000</v>
      </c>
      <c r="K20" s="27">
        <f>IF(Budgets[[#This Row],[Reference Year]]&gt;2018,Budgets[[#This Row],[Value]],Budgets[[#This Row],[Value]]*(1+VLOOKUP(Budgets[[#This Row],[Reference Year]],Inflation[#All],3,FALSE)))</f>
        <v>724487.58750000002</v>
      </c>
      <c r="L20" s="27">
        <f>Budgets[[#This Row],[2018 $ Value]]/VLOOKUP(Budgets[[#This Row],[Jurisdiction]],Places[],6,FALSE)</f>
        <v>14.50193337403419</v>
      </c>
      <c r="M20" s="27">
        <f>Budgets[[#This Row],[2018 $ Value]]/VLOOKUP(Budgets[[#This Row],[Jurisdiction]],Places[],7,FALSE)</f>
        <v>74689.442010309285</v>
      </c>
      <c r="N20" s="27"/>
      <c r="O20" s="27" t="s">
        <v>1853</v>
      </c>
      <c r="P20" s="4"/>
      <c r="Q20"/>
      <c r="T20" s="14"/>
    </row>
    <row r="21" spans="1:20" x14ac:dyDescent="0.25">
      <c r="A21" s="19" t="s">
        <v>200</v>
      </c>
      <c r="B21" s="19" t="str">
        <f>INDEX(Places[Type],MATCH(Budgets[[#This Row],[Jurisdiction]],Places[Jurisdiction],0))</f>
        <v>City</v>
      </c>
      <c r="C21" s="19" t="str">
        <f>INDEX(Places[County],MATCH(Budgets[[#This Row],[Jurisdiction]],Places[Jurisdiction],0))</f>
        <v>Los Angeles</v>
      </c>
      <c r="D21" s="21" t="str">
        <f>INDEX(Places[Majority RB],MATCH(Budgets[[#This Row],[Jurisdiction]],Places[Jurisdiction],0))</f>
        <v>Los Angeles</v>
      </c>
      <c r="E21" s="19">
        <f>INDEX(Places[Majority RB '#],MATCH(Budgets[[#This Row],[Jurisdiction]],Places[Jurisdiction],0))</f>
        <v>4</v>
      </c>
      <c r="F21" s="19" t="str">
        <f>VLOOKUP(Budgets[[#This Row],[Jurisdiction]],Places[#All],8,FALSE)</f>
        <v>Phase I MS4</v>
      </c>
      <c r="G21" s="81"/>
      <c r="H21" s="21" t="s">
        <v>1870</v>
      </c>
      <c r="I21" s="21">
        <f>VALUE(LEFT(Budgets[[#This Row],[Fiscal Year]],4))</f>
        <v>2011</v>
      </c>
      <c r="J21" s="20">
        <v>742400</v>
      </c>
      <c r="K21" s="27">
        <f>IF(Budgets[[#This Row],[Reference Year]]&gt;2018,Budgets[[#This Row],[Value]],Budgets[[#This Row],[Value]]*(1+VLOOKUP(Budgets[[#This Row],[Reference Year]],Inflation[#All],3,FALSE)))</f>
        <v>830639.6371720765</v>
      </c>
      <c r="L21" s="27">
        <f>Budgets[[#This Row],[2018 $ Value]]/VLOOKUP(Budgets[[#This Row],[Jurisdiction]],Places[],6,FALSE)</f>
        <v>10.956427488320955</v>
      </c>
      <c r="M21" s="27">
        <f>Budgets[[#This Row],[2018 $ Value]]/VLOOKUP(Budgets[[#This Row],[Jurisdiction]],Places[],7,FALSE)</f>
        <v>125854.49048061766</v>
      </c>
      <c r="N21" s="27"/>
      <c r="O21" s="27" t="s">
        <v>1460</v>
      </c>
      <c r="P21" s="4"/>
      <c r="Q21"/>
      <c r="T21" s="14"/>
    </row>
    <row r="22" spans="1:20" x14ac:dyDescent="0.25">
      <c r="A22" s="19" t="s">
        <v>200</v>
      </c>
      <c r="B22" s="19" t="str">
        <f>INDEX(Places[Type],MATCH(Budgets[[#This Row],[Jurisdiction]],Places[Jurisdiction],0))</f>
        <v>City</v>
      </c>
      <c r="C22" s="19" t="str">
        <f>INDEX(Places[County],MATCH(Budgets[[#This Row],[Jurisdiction]],Places[Jurisdiction],0))</f>
        <v>Los Angeles</v>
      </c>
      <c r="D22" s="21" t="str">
        <f>INDEX(Places[Majority RB],MATCH(Budgets[[#This Row],[Jurisdiction]],Places[Jurisdiction],0))</f>
        <v>Los Angeles</v>
      </c>
      <c r="E22" s="19">
        <f>INDEX(Places[Majority RB '#],MATCH(Budgets[[#This Row],[Jurisdiction]],Places[Jurisdiction],0))</f>
        <v>4</v>
      </c>
      <c r="F22" s="19" t="str">
        <f>VLOOKUP(Budgets[[#This Row],[Jurisdiction]],Places[#All],8,FALSE)</f>
        <v>Phase I MS4</v>
      </c>
      <c r="G22" s="81"/>
      <c r="H22" s="21" t="s">
        <v>1871</v>
      </c>
      <c r="I22" s="21">
        <f>VALUE(LEFT(Budgets[[#This Row],[Fiscal Year]],4))</f>
        <v>2012</v>
      </c>
      <c r="J22" s="20">
        <v>610500</v>
      </c>
      <c r="K22" s="27">
        <f>IF(Budgets[[#This Row],[Reference Year]]&gt;2018,Budgets[[#This Row],[Value]],Budgets[[#This Row],[Value]]*(1+VLOOKUP(Budgets[[#This Row],[Reference Year]],Inflation[#All],3,FALSE)))</f>
        <v>669079.81489547039</v>
      </c>
      <c r="L22" s="27">
        <f>Budgets[[#This Row],[2018 $ Value]]/VLOOKUP(Budgets[[#This Row],[Jurisdiction]],Places[],6,FALSE)</f>
        <v>8.8253968962509113</v>
      </c>
      <c r="M22" s="27">
        <f>Budgets[[#This Row],[2018 $ Value]]/VLOOKUP(Budgets[[#This Row],[Jurisdiction]],Places[],7,FALSE)</f>
        <v>101375.72952961673</v>
      </c>
      <c r="N22" s="27"/>
      <c r="O22" s="27" t="s">
        <v>1460</v>
      </c>
      <c r="P22" s="4"/>
      <c r="Q22"/>
      <c r="T22" s="14"/>
    </row>
    <row r="23" spans="1:20" x14ac:dyDescent="0.25">
      <c r="A23" s="19" t="s">
        <v>200</v>
      </c>
      <c r="B23" s="19" t="str">
        <f>INDEX(Places[Type],MATCH(Budgets[[#This Row],[Jurisdiction]],Places[Jurisdiction],0))</f>
        <v>City</v>
      </c>
      <c r="C23" s="19" t="str">
        <f>INDEX(Places[County],MATCH(Budgets[[#This Row],[Jurisdiction]],Places[Jurisdiction],0))</f>
        <v>Los Angeles</v>
      </c>
      <c r="D23" s="21" t="str">
        <f>INDEX(Places[Majority RB],MATCH(Budgets[[#This Row],[Jurisdiction]],Places[Jurisdiction],0))</f>
        <v>Los Angeles</v>
      </c>
      <c r="E23" s="19">
        <f>INDEX(Places[Majority RB '#],MATCH(Budgets[[#This Row],[Jurisdiction]],Places[Jurisdiction],0))</f>
        <v>4</v>
      </c>
      <c r="F23" s="19" t="str">
        <f>VLOOKUP(Budgets[[#This Row],[Jurisdiction]],Places[#All],8,FALSE)</f>
        <v>Phase I MS4</v>
      </c>
      <c r="G23" s="81"/>
      <c r="H23" s="21" t="s">
        <v>1869</v>
      </c>
      <c r="I23" s="21">
        <f>VALUE(LEFT(Budgets[[#This Row],[Fiscal Year]],4))</f>
        <v>2016</v>
      </c>
      <c r="J23" s="20">
        <v>5785000</v>
      </c>
      <c r="K23" s="27">
        <f>IF(Budgets[[#This Row],[Reference Year]]&gt;2018,Budgets[[#This Row],[Value]],Budgets[[#This Row],[Value]]*(1+VLOOKUP(Budgets[[#This Row],[Reference Year]],Inflation[#All],3,FALSE)))</f>
        <v>6065355.5625</v>
      </c>
      <c r="L23" s="27">
        <f>Budgets[[#This Row],[2018 $ Value]]/VLOOKUP(Budgets[[#This Row],[Jurisdiction]],Places[],6,FALSE)</f>
        <v>80.004162379802935</v>
      </c>
      <c r="M23" s="27">
        <f>Budgets[[#This Row],[2018 $ Value]]/VLOOKUP(Budgets[[#This Row],[Jurisdiction]],Places[],7,FALSE)</f>
        <v>918993.26704545459</v>
      </c>
      <c r="N23" s="27"/>
      <c r="O23" s="27" t="s">
        <v>1853</v>
      </c>
      <c r="P23" s="4"/>
      <c r="Q23"/>
      <c r="T23" s="14"/>
    </row>
    <row r="24" spans="1:20" x14ac:dyDescent="0.25">
      <c r="A24" s="19" t="s">
        <v>227</v>
      </c>
      <c r="B24" s="19" t="str">
        <f>INDEX(Places[Type],MATCH(Budgets[[#This Row],[Jurisdiction]],Places[Jurisdiction],0))</f>
        <v>City</v>
      </c>
      <c r="C24" s="19" t="str">
        <f>INDEX(Places[County],MATCH(Budgets[[#This Row],[Jurisdiction]],Places[Jurisdiction],0))</f>
        <v>Riverside</v>
      </c>
      <c r="D24" s="21" t="str">
        <f>INDEX(Places[Majority RB],MATCH(Budgets[[#This Row],[Jurisdiction]],Places[Jurisdiction],0))</f>
        <v>Santa Ana</v>
      </c>
      <c r="E24" s="19">
        <f>INDEX(Places[Majority RB '#],MATCH(Budgets[[#This Row],[Jurisdiction]],Places[Jurisdiction],0))</f>
        <v>8</v>
      </c>
      <c r="F24" s="19" t="str">
        <f>VLOOKUP(Budgets[[#This Row],[Jurisdiction]],Places[#All],8,FALSE)</f>
        <v>Phase I MS4</v>
      </c>
      <c r="G24" s="81"/>
      <c r="H24" s="21" t="s">
        <v>1869</v>
      </c>
      <c r="I24" s="21">
        <f>VALUE(LEFT(Budgets[[#This Row],[Fiscal Year]],4))</f>
        <v>2016</v>
      </c>
      <c r="J24" s="20">
        <v>295500</v>
      </c>
      <c r="K24" s="27">
        <f>IF(Budgets[[#This Row],[Reference Year]]&gt;2018,Budgets[[#This Row],[Value]],Budgets[[#This Row],[Value]]*(1+VLOOKUP(Budgets[[#This Row],[Reference Year]],Inflation[#All],3,FALSE)))</f>
        <v>309820.66875000001</v>
      </c>
      <c r="L24" s="27">
        <f>Budgets[[#This Row],[2018 $ Value]]/VLOOKUP(Budgets[[#This Row],[Jurisdiction]],Places[],6,FALSE)</f>
        <v>6.2919247933632541</v>
      </c>
      <c r="M24" s="27">
        <f>Budgets[[#This Row],[2018 $ Value]]/VLOOKUP(Budgets[[#This Row],[Jurisdiction]],Places[],7,FALSE)</f>
        <v>10091.878460912052</v>
      </c>
      <c r="N24" s="27"/>
      <c r="O24" s="27" t="s">
        <v>1853</v>
      </c>
      <c r="P24" s="4"/>
      <c r="Q24"/>
      <c r="T24" s="14"/>
    </row>
    <row r="25" spans="1:20" x14ac:dyDescent="0.25">
      <c r="A25" s="19" t="s">
        <v>159</v>
      </c>
      <c r="B25" s="19" t="str">
        <f>INDEX(Places[Type],MATCH(Budgets[[#This Row],[Jurisdiction]],Places[Jurisdiction],0))</f>
        <v>City</v>
      </c>
      <c r="C25" s="19" t="str">
        <f>INDEX(Places[County],MATCH(Budgets[[#This Row],[Jurisdiction]],Places[Jurisdiction],0))</f>
        <v>Los Angeles</v>
      </c>
      <c r="D25" s="21" t="str">
        <f>INDEX(Places[Majority RB],MATCH(Budgets[[#This Row],[Jurisdiction]],Places[Jurisdiction],0))</f>
        <v>Los Angeles</v>
      </c>
      <c r="E25" s="19">
        <f>INDEX(Places[Majority RB '#],MATCH(Budgets[[#This Row],[Jurisdiction]],Places[Jurisdiction],0))</f>
        <v>4</v>
      </c>
      <c r="F25" s="19" t="str">
        <f>VLOOKUP(Budgets[[#This Row],[Jurisdiction]],Places[#All],8,FALSE)</f>
        <v>Phase I MS4</v>
      </c>
      <c r="G25" s="81"/>
      <c r="H25" s="100" t="s">
        <v>1870</v>
      </c>
      <c r="I25" s="21">
        <f>VALUE(LEFT(Budgets[[#This Row],[Fiscal Year]],4))</f>
        <v>2011</v>
      </c>
      <c r="J25" s="20">
        <v>625448</v>
      </c>
      <c r="K25" s="27">
        <f>IF(Budgets[[#This Row],[Reference Year]]&gt;2018,Budgets[[#This Row],[Value]],Budgets[[#This Row],[Value]]*(1+VLOOKUP(Budgets[[#This Row],[Reference Year]],Inflation[#All],3,FALSE)))</f>
        <v>699787.04174299689</v>
      </c>
      <c r="L25" s="27">
        <f>Budgets[[#This Row],[2018 $ Value]]/VLOOKUP(Budgets[[#This Row],[Jurisdiction]],Places[],6,FALSE)</f>
        <v>19.58651594668039</v>
      </c>
      <c r="M25" s="27">
        <f>Budgets[[#This Row],[2018 $ Value]]/VLOOKUP(Budgets[[#This Row],[Jurisdiction]],Places[],7,FALSE)</f>
        <v>279914.81669719878</v>
      </c>
      <c r="N25" s="27"/>
      <c r="O25" s="27" t="s">
        <v>1460</v>
      </c>
      <c r="P25" s="4"/>
      <c r="Q25"/>
      <c r="T25" s="14"/>
    </row>
    <row r="26" spans="1:20" x14ac:dyDescent="0.25">
      <c r="A26" s="19" t="s">
        <v>159</v>
      </c>
      <c r="B26" s="19" t="str">
        <f>INDEX(Places[Type],MATCH(Budgets[[#This Row],[Jurisdiction]],Places[Jurisdiction],0))</f>
        <v>City</v>
      </c>
      <c r="C26" s="19" t="str">
        <f>INDEX(Places[County],MATCH(Budgets[[#This Row],[Jurisdiction]],Places[Jurisdiction],0))</f>
        <v>Los Angeles</v>
      </c>
      <c r="D26" s="21" t="str">
        <f>INDEX(Places[Majority RB],MATCH(Budgets[[#This Row],[Jurisdiction]],Places[Jurisdiction],0))</f>
        <v>Los Angeles</v>
      </c>
      <c r="E26" s="19">
        <f>INDEX(Places[Majority RB '#],MATCH(Budgets[[#This Row],[Jurisdiction]],Places[Jurisdiction],0))</f>
        <v>4</v>
      </c>
      <c r="F26" s="19" t="str">
        <f>VLOOKUP(Budgets[[#This Row],[Jurisdiction]],Places[#All],8,FALSE)</f>
        <v>Phase I MS4</v>
      </c>
      <c r="G26" s="81"/>
      <c r="H26" s="100" t="s">
        <v>1871</v>
      </c>
      <c r="I26" s="21">
        <f>VALUE(LEFT(Budgets[[#This Row],[Fiscal Year]],4))</f>
        <v>2012</v>
      </c>
      <c r="J26" s="20">
        <v>507300</v>
      </c>
      <c r="K26" s="27">
        <f>IF(Budgets[[#This Row],[Reference Year]]&gt;2018,Budgets[[#This Row],[Value]],Budgets[[#This Row],[Value]]*(1+VLOOKUP(Budgets[[#This Row],[Reference Year]],Inflation[#All],3,FALSE)))</f>
        <v>555977.37935540068</v>
      </c>
      <c r="L26" s="27">
        <f>Budgets[[#This Row],[2018 $ Value]]/VLOOKUP(Budgets[[#This Row],[Jurisdiction]],Places[],6,FALSE)</f>
        <v>15.561391047788868</v>
      </c>
      <c r="M26" s="27">
        <f>Budgets[[#This Row],[2018 $ Value]]/VLOOKUP(Budgets[[#This Row],[Jurisdiction]],Places[],7,FALSE)</f>
        <v>222390.95174216028</v>
      </c>
      <c r="N26" s="27"/>
      <c r="O26" s="27" t="s">
        <v>1460</v>
      </c>
      <c r="P26" s="4"/>
      <c r="Q26"/>
      <c r="T26" s="14"/>
    </row>
    <row r="27" spans="1:20" x14ac:dyDescent="0.25">
      <c r="A27" s="19" t="s">
        <v>159</v>
      </c>
      <c r="B27" s="19" t="str">
        <f>INDEX(Places[Type],MATCH(Budgets[[#This Row],[Jurisdiction]],Places[Jurisdiction],0))</f>
        <v>City</v>
      </c>
      <c r="C27" s="19" t="str">
        <f>INDEX(Places[County],MATCH(Budgets[[#This Row],[Jurisdiction]],Places[Jurisdiction],0))</f>
        <v>Los Angeles</v>
      </c>
      <c r="D27" s="21" t="str">
        <f>INDEX(Places[Majority RB],MATCH(Budgets[[#This Row],[Jurisdiction]],Places[Jurisdiction],0))</f>
        <v>Los Angeles</v>
      </c>
      <c r="E27" s="19">
        <f>INDEX(Places[Majority RB '#],MATCH(Budgets[[#This Row],[Jurisdiction]],Places[Jurisdiction],0))</f>
        <v>4</v>
      </c>
      <c r="F27" s="19" t="str">
        <f>VLOOKUP(Budgets[[#This Row],[Jurisdiction]],Places[#All],8,FALSE)</f>
        <v>Phase I MS4</v>
      </c>
      <c r="G27" s="81"/>
      <c r="H27" s="100" t="s">
        <v>1869</v>
      </c>
      <c r="I27" s="21">
        <f>VALUE(LEFT(Budgets[[#This Row],[Fiscal Year]],4))</f>
        <v>2016</v>
      </c>
      <c r="J27" s="20">
        <v>315000</v>
      </c>
      <c r="K27" s="27">
        <f>IF(Budgets[[#This Row],[Reference Year]]&gt;2018,Budgets[[#This Row],[Value]],Budgets[[#This Row],[Value]]*(1+VLOOKUP(Budgets[[#This Row],[Reference Year]],Inflation[#All],3,FALSE)))</f>
        <v>330265.6875</v>
      </c>
      <c r="L27" s="27">
        <f>Budgets[[#This Row],[2018 $ Value]]/VLOOKUP(Budgets[[#This Row],[Jurisdiction]],Places[],6,FALSE)</f>
        <v>9.2438895963949843</v>
      </c>
      <c r="M27" s="27">
        <f>Budgets[[#This Row],[2018 $ Value]]/VLOOKUP(Budgets[[#This Row],[Jurisdiction]],Places[],7,FALSE)</f>
        <v>132106.27499999999</v>
      </c>
      <c r="N27" s="27"/>
      <c r="O27" s="27" t="s">
        <v>1853</v>
      </c>
      <c r="P27" s="4"/>
      <c r="Q27"/>
      <c r="T27" s="14"/>
    </row>
    <row r="28" spans="1:20" x14ac:dyDescent="0.25">
      <c r="A28" s="19" t="s">
        <v>160</v>
      </c>
      <c r="B28" s="19" t="str">
        <f>INDEX(Places[Type],MATCH(Budgets[[#This Row],[Jurisdiction]],Places[Jurisdiction],0))</f>
        <v>City</v>
      </c>
      <c r="C28" s="19" t="str">
        <f>INDEX(Places[County],MATCH(Budgets[[#This Row],[Jurisdiction]],Places[Jurisdiction],0))</f>
        <v>Los Angeles</v>
      </c>
      <c r="D28" s="21" t="str">
        <f>INDEX(Places[Majority RB],MATCH(Budgets[[#This Row],[Jurisdiction]],Places[Jurisdiction],0))</f>
        <v>Los Angeles</v>
      </c>
      <c r="E28" s="19">
        <f>INDEX(Places[Majority RB '#],MATCH(Budgets[[#This Row],[Jurisdiction]],Places[Jurisdiction],0))</f>
        <v>4</v>
      </c>
      <c r="F28" s="19" t="str">
        <f>VLOOKUP(Budgets[[#This Row],[Jurisdiction]],Places[#All],8,FALSE)</f>
        <v>Phase I MS4</v>
      </c>
      <c r="G28" s="81"/>
      <c r="H28" s="100" t="s">
        <v>1870</v>
      </c>
      <c r="I28" s="21">
        <f>VALUE(LEFT(Budgets[[#This Row],[Fiscal Year]],4))</f>
        <v>2011</v>
      </c>
      <c r="J28" s="20">
        <v>3096200</v>
      </c>
      <c r="K28" s="27">
        <f>IF(Budgets[[#This Row],[Reference Year]]&gt;2018,Budgets[[#This Row],[Value]],Budgets[[#This Row],[Value]]*(1+VLOOKUP(Budgets[[#This Row],[Reference Year]],Inflation[#All],3,FALSE)))</f>
        <v>3464205.879057359</v>
      </c>
      <c r="L28" s="27">
        <f>Budgets[[#This Row],[2018 $ Value]]/VLOOKUP(Budgets[[#This Row],[Jurisdiction]],Places[],6,FALSE)</f>
        <v>44.913275843141655</v>
      </c>
      <c r="M28" s="27">
        <f>Budgets[[#This Row],[2018 $ Value]]/VLOOKUP(Budgets[[#This Row],[Jurisdiction]],Places[],7,FALSE)</f>
        <v>567902.60312415729</v>
      </c>
      <c r="N28" s="27"/>
      <c r="O28" s="27" t="s">
        <v>1460</v>
      </c>
      <c r="P28" s="4"/>
      <c r="Q28"/>
      <c r="T28" s="14"/>
    </row>
    <row r="29" spans="1:20" x14ac:dyDescent="0.25">
      <c r="A29" s="19" t="s">
        <v>160</v>
      </c>
      <c r="B29" s="19" t="str">
        <f>INDEX(Places[Type],MATCH(Budgets[[#This Row],[Jurisdiction]],Places[Jurisdiction],0))</f>
        <v>City</v>
      </c>
      <c r="C29" s="19" t="str">
        <f>INDEX(Places[County],MATCH(Budgets[[#This Row],[Jurisdiction]],Places[Jurisdiction],0))</f>
        <v>Los Angeles</v>
      </c>
      <c r="D29" s="21" t="str">
        <f>INDEX(Places[Majority RB],MATCH(Budgets[[#This Row],[Jurisdiction]],Places[Jurisdiction],0))</f>
        <v>Los Angeles</v>
      </c>
      <c r="E29" s="19">
        <f>INDEX(Places[Majority RB '#],MATCH(Budgets[[#This Row],[Jurisdiction]],Places[Jurisdiction],0))</f>
        <v>4</v>
      </c>
      <c r="F29" s="19" t="str">
        <f>VLOOKUP(Budgets[[#This Row],[Jurisdiction]],Places[#All],8,FALSE)</f>
        <v>Phase I MS4</v>
      </c>
      <c r="G29" s="81"/>
      <c r="H29" s="100" t="s">
        <v>1871</v>
      </c>
      <c r="I29" s="21">
        <f>VALUE(LEFT(Budgets[[#This Row],[Fiscal Year]],4))</f>
        <v>2012</v>
      </c>
      <c r="J29" s="20">
        <v>3486500</v>
      </c>
      <c r="K29" s="27">
        <f>IF(Budgets[[#This Row],[Reference Year]]&gt;2018,Budgets[[#This Row],[Value]],Budgets[[#This Row],[Value]]*(1+VLOOKUP(Budgets[[#This Row],[Reference Year]],Inflation[#All],3,FALSE)))</f>
        <v>3821043.0378919863</v>
      </c>
      <c r="L29" s="27">
        <f>Budgets[[#This Row],[2018 $ Value]]/VLOOKUP(Budgets[[#This Row],[Jurisdiction]],Places[],6,FALSE)</f>
        <v>49.539653808351844</v>
      </c>
      <c r="M29" s="27">
        <f>Budgets[[#This Row],[2018 $ Value]]/VLOOKUP(Budgets[[#This Row],[Jurisdiction]],Places[],7,FALSE)</f>
        <v>626400.49801507976</v>
      </c>
      <c r="N29" s="27"/>
      <c r="O29" s="27" t="s">
        <v>1460</v>
      </c>
      <c r="P29" s="4"/>
      <c r="Q29"/>
      <c r="T29" s="14"/>
    </row>
    <row r="30" spans="1:20" x14ac:dyDescent="0.25">
      <c r="A30" s="19" t="s">
        <v>160</v>
      </c>
      <c r="B30" s="19" t="str">
        <f>INDEX(Places[Type],MATCH(Budgets[[#This Row],[Jurisdiction]],Places[Jurisdiction],0))</f>
        <v>City</v>
      </c>
      <c r="C30" s="19" t="str">
        <f>INDEX(Places[County],MATCH(Budgets[[#This Row],[Jurisdiction]],Places[Jurisdiction],0))</f>
        <v>Los Angeles</v>
      </c>
      <c r="D30" s="21" t="str">
        <f>INDEX(Places[Majority RB],MATCH(Budgets[[#This Row],[Jurisdiction]],Places[Jurisdiction],0))</f>
        <v>Los Angeles</v>
      </c>
      <c r="E30" s="19">
        <f>INDEX(Places[Majority RB '#],MATCH(Budgets[[#This Row],[Jurisdiction]],Places[Jurisdiction],0))</f>
        <v>4</v>
      </c>
      <c r="F30" s="19" t="str">
        <f>VLOOKUP(Budgets[[#This Row],[Jurisdiction]],Places[#All],8,FALSE)</f>
        <v>Phase I MS4</v>
      </c>
      <c r="G30" s="81"/>
      <c r="H30" s="100" t="s">
        <v>1869</v>
      </c>
      <c r="I30" s="21">
        <f>VALUE(LEFT(Budgets[[#This Row],[Fiscal Year]],4))</f>
        <v>2016</v>
      </c>
      <c r="J30" s="20">
        <v>3566000</v>
      </c>
      <c r="K30" s="27">
        <f>IF(Budgets[[#This Row],[Reference Year]]&gt;2018,Budgets[[#This Row],[Value]],Budgets[[#This Row],[Value]]*(1+VLOOKUP(Budgets[[#This Row],[Reference Year]],Inflation[#All],3,FALSE)))</f>
        <v>3738817.2750000004</v>
      </c>
      <c r="L30" s="27">
        <f>Budgets[[#This Row],[2018 $ Value]]/VLOOKUP(Budgets[[#This Row],[Jurisdiction]],Places[],6,FALSE)</f>
        <v>48.473600433029524</v>
      </c>
      <c r="M30" s="27">
        <f>Budgets[[#This Row],[2018 $ Value]]/VLOOKUP(Budgets[[#This Row],[Jurisdiction]],Places[],7,FALSE)</f>
        <v>612920.86475409847</v>
      </c>
      <c r="N30" s="27"/>
      <c r="O30" s="27" t="s">
        <v>1853</v>
      </c>
      <c r="P30" s="4"/>
      <c r="Q30"/>
      <c r="T30" s="14"/>
    </row>
    <row r="31" spans="1:20" x14ac:dyDescent="0.25">
      <c r="A31" s="19" t="s">
        <v>428</v>
      </c>
      <c r="B31" s="19" t="str">
        <f>INDEX(Places[Type],MATCH(Budgets[[#This Row],[Jurisdiction]],Places[Jurisdiction],0))</f>
        <v>City</v>
      </c>
      <c r="C31" s="19" t="str">
        <f>INDEX(Places[County],MATCH(Budgets[[#This Row],[Jurisdiction]],Places[Jurisdiction],0))</f>
        <v>Alameda</v>
      </c>
      <c r="D31" s="19" t="str">
        <f>INDEX(Places[Majority RB],MATCH(Budgets[[#This Row],[Jurisdiction]],Places[Jurisdiction],0))</f>
        <v>San Francisco Bay</v>
      </c>
      <c r="E31" s="19">
        <f>INDEX(Places[Majority RB '#],MATCH(Budgets[[#This Row],[Jurisdiction]],Places[Jurisdiction],0))</f>
        <v>2</v>
      </c>
      <c r="F31" s="19" t="str">
        <f>VLOOKUP(Budgets[[#This Row],[Jurisdiction]],Places[#All],8,FALSE)</f>
        <v>Phase I MS4</v>
      </c>
      <c r="G31" s="81"/>
      <c r="H31" s="19" t="s">
        <v>1876</v>
      </c>
      <c r="I31" s="21">
        <f>VALUE(LEFT(Budgets[[#This Row],[Fiscal Year]],4))</f>
        <v>2018</v>
      </c>
      <c r="J31" s="20">
        <v>6121312</v>
      </c>
      <c r="K31" s="27">
        <f>IF(Budgets[[#This Row],[Reference Year]]&gt;2018,Budgets[[#This Row],[Value]],Budgets[[#This Row],[Value]]*(1+VLOOKUP(Budgets[[#This Row],[Reference Year]],Inflation[#All],3,FALSE)))</f>
        <v>6121312</v>
      </c>
      <c r="L31" s="27">
        <f>Budgets[[#This Row],[2018 $ Value]]/VLOOKUP(Budgets[[#This Row],[Jurisdiction]],Places[],6,FALSE)</f>
        <v>50.3219420764039</v>
      </c>
      <c r="M31" s="27">
        <f>Budgets[[#This Row],[2018 $ Value]]/VLOOKUP(Budgets[[#This Row],[Jurisdiction]],Places[],7,FALSE)</f>
        <v>582982.09523809527</v>
      </c>
      <c r="N31" s="27"/>
      <c r="O31" s="27" t="s">
        <v>1460</v>
      </c>
      <c r="P31" s="4"/>
      <c r="Q31"/>
      <c r="T31" s="14"/>
    </row>
    <row r="32" spans="1:20" x14ac:dyDescent="0.25">
      <c r="A32" s="19" t="s">
        <v>428</v>
      </c>
      <c r="B32" s="19" t="str">
        <f>INDEX(Places[Type],MATCH(Budgets[[#This Row],[Jurisdiction]],Places[Jurisdiction],0))</f>
        <v>City</v>
      </c>
      <c r="C32" s="19" t="str">
        <f>INDEX(Places[County],MATCH(Budgets[[#This Row],[Jurisdiction]],Places[Jurisdiction],0))</f>
        <v>Alameda</v>
      </c>
      <c r="D32" s="19" t="str">
        <f>INDEX(Places[Majority RB],MATCH(Budgets[[#This Row],[Jurisdiction]],Places[Jurisdiction],0))</f>
        <v>San Francisco Bay</v>
      </c>
      <c r="E32" s="19">
        <f>INDEX(Places[Majority RB '#],MATCH(Budgets[[#This Row],[Jurisdiction]],Places[Jurisdiction],0))</f>
        <v>2</v>
      </c>
      <c r="F32" s="19" t="str">
        <f>VLOOKUP(Budgets[[#This Row],[Jurisdiction]],Places[#All],8,FALSE)</f>
        <v>Phase I MS4</v>
      </c>
      <c r="G32" s="81"/>
      <c r="H32" s="19" t="s">
        <v>1877</v>
      </c>
      <c r="I32" s="21">
        <f>VALUE(LEFT(Budgets[[#This Row],[Fiscal Year]],4))</f>
        <v>2019</v>
      </c>
      <c r="J32" s="20">
        <v>4913706</v>
      </c>
      <c r="K32" s="27">
        <f>IF(Budgets[[#This Row],[Reference Year]]&gt;2018,Budgets[[#This Row],[Value]],Budgets[[#This Row],[Value]]*(1+VLOOKUP(Budgets[[#This Row],[Reference Year]],Inflation[#All],3,FALSE)))</f>
        <v>4913706</v>
      </c>
      <c r="L32" s="27">
        <f>Budgets[[#This Row],[2018 $ Value]]/VLOOKUP(Budgets[[#This Row],[Jurisdiction]],Places[],6,FALSE)</f>
        <v>40.394482214348542</v>
      </c>
      <c r="M32" s="27">
        <f>Budgets[[#This Row],[2018 $ Value]]/VLOOKUP(Budgets[[#This Row],[Jurisdiction]],Places[],7,FALSE)</f>
        <v>467972</v>
      </c>
      <c r="N32" s="27"/>
      <c r="O32" s="27" t="s">
        <v>1460</v>
      </c>
      <c r="P32" s="4"/>
      <c r="Q32"/>
      <c r="T32" s="13"/>
    </row>
    <row r="33" spans="1:20" x14ac:dyDescent="0.25">
      <c r="A33" s="19" t="s">
        <v>428</v>
      </c>
      <c r="B33" s="19" t="str">
        <f>INDEX(Places[Type],MATCH(Budgets[[#This Row],[Jurisdiction]],Places[Jurisdiction],0))</f>
        <v>City</v>
      </c>
      <c r="C33" s="19" t="str">
        <f>INDEX(Places[County],MATCH(Budgets[[#This Row],[Jurisdiction]],Places[Jurisdiction],0))</f>
        <v>Alameda</v>
      </c>
      <c r="D33" s="19" t="str">
        <f>INDEX(Places[Majority RB],MATCH(Budgets[[#This Row],[Jurisdiction]],Places[Jurisdiction],0))</f>
        <v>San Francisco Bay</v>
      </c>
      <c r="E33" s="19">
        <f>INDEX(Places[Majority RB '#],MATCH(Budgets[[#This Row],[Jurisdiction]],Places[Jurisdiction],0))</f>
        <v>2</v>
      </c>
      <c r="F33" s="19" t="str">
        <f>VLOOKUP(Budgets[[#This Row],[Jurisdiction]],Places[#All],8,FALSE)</f>
        <v>Phase I MS4</v>
      </c>
      <c r="G33" s="81"/>
      <c r="H33" s="19" t="s">
        <v>1878</v>
      </c>
      <c r="I33" s="21">
        <f>VALUE(LEFT(Budgets[[#This Row],[Fiscal Year]],4))</f>
        <v>2020</v>
      </c>
      <c r="J33" s="20">
        <v>5175458</v>
      </c>
      <c r="K33" s="27">
        <f>IF(Budgets[[#This Row],[Reference Year]]&gt;2018,Budgets[[#This Row],[Value]],Budgets[[#This Row],[Value]]*(1+VLOOKUP(Budgets[[#This Row],[Reference Year]],Inflation[#All],3,FALSE)))</f>
        <v>5175458</v>
      </c>
      <c r="L33" s="27">
        <f>Budgets[[#This Row],[2018 $ Value]]/VLOOKUP(Budgets[[#This Row],[Jurisdiction]],Places[],6,FALSE)</f>
        <v>42.546287085981106</v>
      </c>
      <c r="M33" s="27">
        <f>Budgets[[#This Row],[2018 $ Value]]/VLOOKUP(Budgets[[#This Row],[Jurisdiction]],Places[],7,FALSE)</f>
        <v>492900.76190476189</v>
      </c>
      <c r="N33" s="27"/>
      <c r="O33" s="27" t="s">
        <v>1460</v>
      </c>
      <c r="P33" s="4"/>
      <c r="Q33"/>
      <c r="T33" s="13"/>
    </row>
    <row r="34" spans="1:20" x14ac:dyDescent="0.25">
      <c r="A34" s="19" t="s">
        <v>428</v>
      </c>
      <c r="B34" s="19" t="str">
        <f>INDEX(Places[Type],MATCH(Budgets[[#This Row],[Jurisdiction]],Places[Jurisdiction],0))</f>
        <v>City</v>
      </c>
      <c r="C34" s="19" t="str">
        <f>INDEX(Places[County],MATCH(Budgets[[#This Row],[Jurisdiction]],Places[Jurisdiction],0))</f>
        <v>Alameda</v>
      </c>
      <c r="D34" s="19" t="str">
        <f>INDEX(Places[Majority RB],MATCH(Budgets[[#This Row],[Jurisdiction]],Places[Jurisdiction],0))</f>
        <v>San Francisco Bay</v>
      </c>
      <c r="E34" s="19">
        <f>INDEX(Places[Majority RB '#],MATCH(Budgets[[#This Row],[Jurisdiction]],Places[Jurisdiction],0))</f>
        <v>2</v>
      </c>
      <c r="F34" s="19" t="str">
        <f>VLOOKUP(Budgets[[#This Row],[Jurisdiction]],Places[#All],8,FALSE)</f>
        <v>Phase I MS4</v>
      </c>
      <c r="G34" s="81"/>
      <c r="H34" s="19" t="s">
        <v>1879</v>
      </c>
      <c r="I34" s="21">
        <f>VALUE(LEFT(Budgets[[#This Row],[Fiscal Year]],4))</f>
        <v>2021</v>
      </c>
      <c r="J34" s="20">
        <v>5437651</v>
      </c>
      <c r="K34" s="27">
        <f>IF(Budgets[[#This Row],[Reference Year]]&gt;2018,Budgets[[#This Row],[Value]],Budgets[[#This Row],[Value]]*(1+VLOOKUP(Budgets[[#This Row],[Reference Year]],Inflation[#All],3,FALSE)))</f>
        <v>5437651</v>
      </c>
      <c r="L34" s="27">
        <f>Budgets[[#This Row],[2018 $ Value]]/VLOOKUP(Budgets[[#This Row],[Jurisdiction]],Places[],6,FALSE)</f>
        <v>44.701717320355463</v>
      </c>
      <c r="M34" s="27">
        <f>Budgets[[#This Row],[2018 $ Value]]/VLOOKUP(Budgets[[#This Row],[Jurisdiction]],Places[],7,FALSE)</f>
        <v>517871.52380952379</v>
      </c>
      <c r="N34" s="27"/>
      <c r="O34" s="27" t="s">
        <v>1853</v>
      </c>
      <c r="P34" s="4"/>
      <c r="Q34"/>
      <c r="T34" s="13"/>
    </row>
    <row r="35" spans="1:20" x14ac:dyDescent="0.25">
      <c r="A35" s="19" t="s">
        <v>218</v>
      </c>
      <c r="B35" s="19" t="str">
        <f>INDEX(Places[Type],MATCH(Budgets[[#This Row],[Jurisdiction]],Places[Jurisdiction],0))</f>
        <v>City</v>
      </c>
      <c r="C35" s="19" t="str">
        <f>INDEX(Places[County],MATCH(Budgets[[#This Row],[Jurisdiction]],Places[Jurisdiction],0))</f>
        <v>Los Angeles</v>
      </c>
      <c r="D35" s="21" t="str">
        <f>INDEX(Places[Majority RB],MATCH(Budgets[[#This Row],[Jurisdiction]],Places[Jurisdiction],0))</f>
        <v>Los Angeles</v>
      </c>
      <c r="E35" s="19">
        <f>INDEX(Places[Majority RB '#],MATCH(Budgets[[#This Row],[Jurisdiction]],Places[Jurisdiction],0))</f>
        <v>4</v>
      </c>
      <c r="F35" s="19" t="str">
        <f>VLOOKUP(Budgets[[#This Row],[Jurisdiction]],Places[#All],8,FALSE)</f>
        <v>Phase I MS4</v>
      </c>
      <c r="G35" s="81"/>
      <c r="H35" s="100" t="s">
        <v>1870</v>
      </c>
      <c r="I35" s="21">
        <f>VALUE(LEFT(Budgets[[#This Row],[Fiscal Year]],4))</f>
        <v>2011</v>
      </c>
      <c r="J35" s="20">
        <v>6229958</v>
      </c>
      <c r="K35" s="27">
        <f>IF(Budgets[[#This Row],[Reference Year]]&gt;2018,Budgets[[#This Row],[Value]],Budgets[[#This Row],[Value]]*(1+VLOOKUP(Budgets[[#This Row],[Reference Year]],Inflation[#All],3,FALSE)))</f>
        <v>6970433.799457537</v>
      </c>
      <c r="L35" s="27">
        <f>Budgets[[#This Row],[2018 $ Value]]/VLOOKUP(Budgets[[#This Row],[Jurisdiction]],Places[],6,FALSE)</f>
        <v>203.91521514956372</v>
      </c>
      <c r="M35" s="27">
        <f>Budgets[[#This Row],[2018 $ Value]]/VLOOKUP(Budgets[[#This Row],[Jurisdiction]],Places[],7,FALSE)</f>
        <v>1222883.1227118485</v>
      </c>
      <c r="N35" s="27"/>
      <c r="O35" s="27" t="s">
        <v>1460</v>
      </c>
      <c r="P35" s="4"/>
      <c r="Q35"/>
      <c r="T35" s="13"/>
    </row>
    <row r="36" spans="1:20" x14ac:dyDescent="0.25">
      <c r="A36" s="19" t="s">
        <v>218</v>
      </c>
      <c r="B36" s="19" t="str">
        <f>INDEX(Places[Type],MATCH(Budgets[[#This Row],[Jurisdiction]],Places[Jurisdiction],0))</f>
        <v>City</v>
      </c>
      <c r="C36" s="19" t="str">
        <f>INDEX(Places[County],MATCH(Budgets[[#This Row],[Jurisdiction]],Places[Jurisdiction],0))</f>
        <v>Los Angeles</v>
      </c>
      <c r="D36" s="21" t="str">
        <f>INDEX(Places[Majority RB],MATCH(Budgets[[#This Row],[Jurisdiction]],Places[Jurisdiction],0))</f>
        <v>Los Angeles</v>
      </c>
      <c r="E36" s="19">
        <f>INDEX(Places[Majority RB '#],MATCH(Budgets[[#This Row],[Jurisdiction]],Places[Jurisdiction],0))</f>
        <v>4</v>
      </c>
      <c r="F36" s="19" t="str">
        <f>VLOOKUP(Budgets[[#This Row],[Jurisdiction]],Places[#All],8,FALSE)</f>
        <v>Phase I MS4</v>
      </c>
      <c r="G36" s="81"/>
      <c r="H36" s="100" t="s">
        <v>1871</v>
      </c>
      <c r="I36" s="21">
        <f>VALUE(LEFT(Budgets[[#This Row],[Fiscal Year]],4))</f>
        <v>2012</v>
      </c>
      <c r="J36" s="20">
        <v>5110392</v>
      </c>
      <c r="K36" s="27">
        <f>IF(Budgets[[#This Row],[Reference Year]]&gt;2018,Budgets[[#This Row],[Value]],Budgets[[#This Row],[Value]]*(1+VLOOKUP(Budgets[[#This Row],[Reference Year]],Inflation[#All],3,FALSE)))</f>
        <v>5600753.6992682926</v>
      </c>
      <c r="L36" s="27">
        <f>Budgets[[#This Row],[2018 $ Value]]/VLOOKUP(Budgets[[#This Row],[Jurisdiction]],Places[],6,FALSE)</f>
        <v>163.84617205243228</v>
      </c>
      <c r="M36" s="27">
        <f>Budgets[[#This Row],[2018 $ Value]]/VLOOKUP(Budgets[[#This Row],[Jurisdiction]],Places[],7,FALSE)</f>
        <v>982588.36829268292</v>
      </c>
      <c r="N36" s="27"/>
      <c r="O36" s="27" t="s">
        <v>1460</v>
      </c>
      <c r="P36" s="4"/>
      <c r="Q36"/>
    </row>
    <row r="37" spans="1:20" x14ac:dyDescent="0.25">
      <c r="A37" s="19" t="s">
        <v>218</v>
      </c>
      <c r="B37" s="19" t="str">
        <f>INDEX(Places[Type],MATCH(Budgets[[#This Row],[Jurisdiction]],Places[Jurisdiction],0))</f>
        <v>City</v>
      </c>
      <c r="C37" s="19" t="str">
        <f>INDEX(Places[County],MATCH(Budgets[[#This Row],[Jurisdiction]],Places[Jurisdiction],0))</f>
        <v>Los Angeles</v>
      </c>
      <c r="D37" s="21" t="str">
        <f>INDEX(Places[Majority RB],MATCH(Budgets[[#This Row],[Jurisdiction]],Places[Jurisdiction],0))</f>
        <v>Los Angeles</v>
      </c>
      <c r="E37" s="19">
        <f>INDEX(Places[Majority RB '#],MATCH(Budgets[[#This Row],[Jurisdiction]],Places[Jurisdiction],0))</f>
        <v>4</v>
      </c>
      <c r="F37" s="19" t="str">
        <f>VLOOKUP(Budgets[[#This Row],[Jurisdiction]],Places[#All],8,FALSE)</f>
        <v>Phase I MS4</v>
      </c>
      <c r="G37" s="81"/>
      <c r="H37" s="100" t="s">
        <v>1869</v>
      </c>
      <c r="I37" s="21">
        <f>VALUE(LEFT(Budgets[[#This Row],[Fiscal Year]],4))</f>
        <v>2016</v>
      </c>
      <c r="J37" s="20">
        <v>6758354.0800000001</v>
      </c>
      <c r="K37" s="27">
        <f>IF(Budgets[[#This Row],[Reference Year]]&gt;2018,Budgets[[#This Row],[Value]],Budgets[[#This Row],[Value]]*(1+VLOOKUP(Budgets[[#This Row],[Reference Year]],Inflation[#All],3,FALSE)))</f>
        <v>7085880.8146020006</v>
      </c>
      <c r="L37" s="27">
        <f>Budgets[[#This Row],[2018 $ Value]]/VLOOKUP(Budgets[[#This Row],[Jurisdiction]],Places[],6,FALSE)</f>
        <v>207.29253765327798</v>
      </c>
      <c r="M37" s="27">
        <f>Budgets[[#This Row],[2018 $ Value]]/VLOOKUP(Budgets[[#This Row],[Jurisdiction]],Places[],7,FALSE)</f>
        <v>1243136.9850178948</v>
      </c>
      <c r="N37" s="27"/>
      <c r="O37" s="27" t="s">
        <v>1853</v>
      </c>
      <c r="P37" s="4"/>
      <c r="Q37"/>
    </row>
    <row r="38" spans="1:20" x14ac:dyDescent="0.25">
      <c r="A38" s="19" t="s">
        <v>240</v>
      </c>
      <c r="B38" s="19" t="str">
        <f>INDEX(Places[Type],MATCH(Budgets[[#This Row],[Jurisdiction]],Places[Jurisdiction],0))</f>
        <v>City</v>
      </c>
      <c r="C38" s="19" t="str">
        <f>INDEX(Places[County],MATCH(Budgets[[#This Row],[Jurisdiction]],Places[Jurisdiction],0))</f>
        <v>San Bernardino</v>
      </c>
      <c r="D38" s="21" t="str">
        <f>INDEX(Places[Majority RB],MATCH(Budgets[[#This Row],[Jurisdiction]],Places[Jurisdiction],0))</f>
        <v>Santa Ana</v>
      </c>
      <c r="E38" s="19">
        <f>INDEX(Places[Majority RB '#],MATCH(Budgets[[#This Row],[Jurisdiction]],Places[Jurisdiction],0))</f>
        <v>8</v>
      </c>
      <c r="F38" s="19" t="str">
        <f>VLOOKUP(Budgets[[#This Row],[Jurisdiction]],Places[#All],8,FALSE)</f>
        <v>Phase I MS4</v>
      </c>
      <c r="G38" s="81"/>
      <c r="H38" s="21" t="s">
        <v>1871</v>
      </c>
      <c r="I38" s="21">
        <f>VALUE(LEFT(Budgets[[#This Row],[Fiscal Year]],4))</f>
        <v>2012</v>
      </c>
      <c r="J38" s="20">
        <v>1628000</v>
      </c>
      <c r="K38" s="27">
        <f>IF(Budgets[[#This Row],[Reference Year]]&gt;2018,Budgets[[#This Row],[Value]],Budgets[[#This Row],[Value]]*(1+VLOOKUP(Budgets[[#This Row],[Reference Year]],Inflation[#All],3,FALSE)))</f>
        <v>1784212.8397212543</v>
      </c>
      <c r="L38" s="27">
        <f>Budgets[[#This Row],[2018 $ Value]]/VLOOKUP(Budgets[[#This Row],[Jurisdiction]],Places[],6,FALSE)</f>
        <v>337.8551107216918</v>
      </c>
      <c r="M38" s="27">
        <f>Budgets[[#This Row],[2018 $ Value]]/VLOOKUP(Budgets[[#This Row],[Jurisdiction]],Places[],7,FALSE)</f>
        <v>283208.38725734194</v>
      </c>
      <c r="N38" s="27"/>
      <c r="O38" s="27" t="s">
        <v>1460</v>
      </c>
      <c r="P38" s="4"/>
      <c r="Q38"/>
    </row>
    <row r="39" spans="1:20" x14ac:dyDescent="0.25">
      <c r="A39" s="19" t="s">
        <v>240</v>
      </c>
      <c r="B39" s="19" t="str">
        <f>INDEX(Places[Type],MATCH(Budgets[[#This Row],[Jurisdiction]],Places[Jurisdiction],0))</f>
        <v>City</v>
      </c>
      <c r="C39" s="19" t="str">
        <f>INDEX(Places[County],MATCH(Budgets[[#This Row],[Jurisdiction]],Places[Jurisdiction],0))</f>
        <v>San Bernardino</v>
      </c>
      <c r="D39" s="21" t="str">
        <f>INDEX(Places[Majority RB],MATCH(Budgets[[#This Row],[Jurisdiction]],Places[Jurisdiction],0))</f>
        <v>Santa Ana</v>
      </c>
      <c r="E39" s="19">
        <f>INDEX(Places[Majority RB '#],MATCH(Budgets[[#This Row],[Jurisdiction]],Places[Jurisdiction],0))</f>
        <v>8</v>
      </c>
      <c r="F39" s="19" t="str">
        <f>VLOOKUP(Budgets[[#This Row],[Jurisdiction]],Places[#All],8,FALSE)</f>
        <v>Phase I MS4</v>
      </c>
      <c r="G39" s="81"/>
      <c r="H39" s="21" t="s">
        <v>1880</v>
      </c>
      <c r="I39" s="21">
        <f>VALUE(LEFT(Budgets[[#This Row],[Fiscal Year]],4))</f>
        <v>2013</v>
      </c>
      <c r="J39" s="20">
        <v>1626000</v>
      </c>
      <c r="K39" s="27">
        <f>IF(Budgets[[#This Row],[Reference Year]]&gt;2018,Budgets[[#This Row],[Value]],Budgets[[#This Row],[Value]]*(1+VLOOKUP(Budgets[[#This Row],[Reference Year]],Inflation[#All],3,FALSE)))</f>
        <v>1756017.1931330473</v>
      </c>
      <c r="L39" s="27">
        <f>Budgets[[#This Row],[2018 $ Value]]/VLOOKUP(Budgets[[#This Row],[Jurisdiction]],Places[],6,FALSE)</f>
        <v>332.51603732873457</v>
      </c>
      <c r="M39" s="27">
        <f>Budgets[[#This Row],[2018 $ Value]]/VLOOKUP(Budgets[[#This Row],[Jurisdiction]],Places[],7,FALSE)</f>
        <v>278732.88779889641</v>
      </c>
      <c r="N39" s="27"/>
      <c r="O39" s="27" t="s">
        <v>1460</v>
      </c>
      <c r="P39" s="4"/>
      <c r="Q39"/>
    </row>
    <row r="40" spans="1:20" x14ac:dyDescent="0.25">
      <c r="A40" s="19" t="s">
        <v>240</v>
      </c>
      <c r="B40" s="19" t="str">
        <f>INDEX(Places[Type],MATCH(Budgets[[#This Row],[Jurisdiction]],Places[Jurisdiction],0))</f>
        <v>City</v>
      </c>
      <c r="C40" s="19" t="str">
        <f>INDEX(Places[County],MATCH(Budgets[[#This Row],[Jurisdiction]],Places[Jurisdiction],0))</f>
        <v>San Bernardino</v>
      </c>
      <c r="D40" s="21" t="str">
        <f>INDEX(Places[Majority RB],MATCH(Budgets[[#This Row],[Jurisdiction]],Places[Jurisdiction],0))</f>
        <v>Santa Ana</v>
      </c>
      <c r="E40" s="19">
        <f>INDEX(Places[Majority RB '#],MATCH(Budgets[[#This Row],[Jurisdiction]],Places[Jurisdiction],0))</f>
        <v>8</v>
      </c>
      <c r="F40" s="19" t="str">
        <f>VLOOKUP(Budgets[[#This Row],[Jurisdiction]],Places[#All],8,FALSE)</f>
        <v>Phase I MS4</v>
      </c>
      <c r="G40" s="81"/>
      <c r="H40" s="21" t="s">
        <v>1881</v>
      </c>
      <c r="I40" s="21">
        <f>VALUE(LEFT(Budgets[[#This Row],[Fiscal Year]],4))</f>
        <v>2014</v>
      </c>
      <c r="J40" s="20">
        <v>1606000</v>
      </c>
      <c r="K40" s="27">
        <f>IF(Budgets[[#This Row],[Reference Year]]&gt;2018,Budgets[[#This Row],[Value]],Budgets[[#This Row],[Value]]*(1+VLOOKUP(Budgets[[#This Row],[Reference Year]],Inflation[#All],3,FALSE)))</f>
        <v>1707306.2357414451</v>
      </c>
      <c r="L40" s="27">
        <f>Budgets[[#This Row],[2018 $ Value]]/VLOOKUP(Budgets[[#This Row],[Jurisdiction]],Places[],6,FALSE)</f>
        <v>323.29222415100264</v>
      </c>
      <c r="M40" s="27">
        <f>Budgets[[#This Row],[2018 $ Value]]/VLOOKUP(Budgets[[#This Row],[Jurisdiction]],Places[],7,FALSE)</f>
        <v>271000.98980022938</v>
      </c>
      <c r="N40" s="27"/>
      <c r="O40" s="27" t="s">
        <v>1460</v>
      </c>
      <c r="P40" s="4"/>
      <c r="Q40"/>
    </row>
    <row r="41" spans="1:20" x14ac:dyDescent="0.25">
      <c r="A41" s="19" t="s">
        <v>240</v>
      </c>
      <c r="B41" s="19" t="str">
        <f>INDEX(Places[Type],MATCH(Budgets[[#This Row],[Jurisdiction]],Places[Jurisdiction],0))</f>
        <v>City</v>
      </c>
      <c r="C41" s="19" t="str">
        <f>INDEX(Places[County],MATCH(Budgets[[#This Row],[Jurisdiction]],Places[Jurisdiction],0))</f>
        <v>San Bernardino</v>
      </c>
      <c r="D41" s="21" t="str">
        <f>INDEX(Places[Majority RB],MATCH(Budgets[[#This Row],[Jurisdiction]],Places[Jurisdiction],0))</f>
        <v>Santa Ana</v>
      </c>
      <c r="E41" s="19">
        <f>INDEX(Places[Majority RB '#],MATCH(Budgets[[#This Row],[Jurisdiction]],Places[Jurisdiction],0))</f>
        <v>8</v>
      </c>
      <c r="F41" s="19" t="str">
        <f>VLOOKUP(Budgets[[#This Row],[Jurisdiction]],Places[#All],8,FALSE)</f>
        <v>Phase I MS4</v>
      </c>
      <c r="G41" s="81"/>
      <c r="H41" s="21" t="s">
        <v>1873</v>
      </c>
      <c r="I41" s="21">
        <f>VALUE(LEFT(Budgets[[#This Row],[Fiscal Year]],4))</f>
        <v>2015</v>
      </c>
      <c r="J41" s="20">
        <v>1603000</v>
      </c>
      <c r="K41" s="27">
        <f>IF(Budgets[[#This Row],[Reference Year]]&gt;2018,Budgets[[#This Row],[Value]],Budgets[[#This Row],[Value]]*(1+VLOOKUP(Budgets[[#This Row],[Reference Year]],Inflation[#All],3,FALSE)))</f>
        <v>1701959.8860759493</v>
      </c>
      <c r="L41" s="27">
        <f>Budgets[[#This Row],[2018 $ Value]]/VLOOKUP(Budgets[[#This Row],[Jurisdiction]],Places[],6,FALSE)</f>
        <v>322.27984966406916</v>
      </c>
      <c r="M41" s="27">
        <f>Budgets[[#This Row],[2018 $ Value]]/VLOOKUP(Budgets[[#This Row],[Jurisdiction]],Places[],7,FALSE)</f>
        <v>270152.36286919832</v>
      </c>
      <c r="N41" s="27"/>
      <c r="O41" s="27" t="s">
        <v>1460</v>
      </c>
      <c r="P41" s="4"/>
      <c r="Q41"/>
    </row>
    <row r="42" spans="1:20" x14ac:dyDescent="0.25">
      <c r="A42" s="19" t="s">
        <v>240</v>
      </c>
      <c r="B42" s="19" t="str">
        <f>INDEX(Places[Type],MATCH(Budgets[[#This Row],[Jurisdiction]],Places[Jurisdiction],0))</f>
        <v>City</v>
      </c>
      <c r="C42" s="19" t="str">
        <f>INDEX(Places[County],MATCH(Budgets[[#This Row],[Jurisdiction]],Places[Jurisdiction],0))</f>
        <v>San Bernardino</v>
      </c>
      <c r="D42" s="21" t="str">
        <f>INDEX(Places[Majority RB],MATCH(Budgets[[#This Row],[Jurisdiction]],Places[Jurisdiction],0))</f>
        <v>Santa Ana</v>
      </c>
      <c r="E42" s="19">
        <f>INDEX(Places[Majority RB '#],MATCH(Budgets[[#This Row],[Jurisdiction]],Places[Jurisdiction],0))</f>
        <v>8</v>
      </c>
      <c r="F42" s="19" t="str">
        <f>VLOOKUP(Budgets[[#This Row],[Jurisdiction]],Places[#All],8,FALSE)</f>
        <v>Phase I MS4</v>
      </c>
      <c r="G42" s="81"/>
      <c r="H42" s="21" t="s">
        <v>1869</v>
      </c>
      <c r="I42" s="21">
        <f>VALUE(LEFT(Budgets[[#This Row],[Fiscal Year]],4))</f>
        <v>2016</v>
      </c>
      <c r="J42" s="20">
        <v>1607000</v>
      </c>
      <c r="K42" s="27">
        <f>IF(Budgets[[#This Row],[Reference Year]]&gt;2018,Budgets[[#This Row],[Value]],Budgets[[#This Row],[Value]]*(1+VLOOKUP(Budgets[[#This Row],[Reference Year]],Inflation[#All],3,FALSE)))</f>
        <v>1684879.2375</v>
      </c>
      <c r="L42" s="27">
        <f>Budgets[[#This Row],[2018 $ Value]]/VLOOKUP(Budgets[[#This Row],[Jurisdiction]],Places[],6,FALSE)</f>
        <v>319.04549091081236</v>
      </c>
      <c r="M42" s="27">
        <f>Budgets[[#This Row],[2018 $ Value]]/VLOOKUP(Budgets[[#This Row],[Jurisdiction]],Places[],7,FALSE)</f>
        <v>267441.14880952385</v>
      </c>
      <c r="N42" s="27"/>
      <c r="O42" s="27" t="s">
        <v>1853</v>
      </c>
      <c r="P42" s="4"/>
      <c r="Q42"/>
    </row>
    <row r="43" spans="1:20" x14ac:dyDescent="0.25">
      <c r="A43" s="19" t="s">
        <v>181</v>
      </c>
      <c r="B43" s="19" t="str">
        <f>INDEX(Places[Type],MATCH(Budgets[[#This Row],[Jurisdiction]],Places[Jurisdiction],0))</f>
        <v>City</v>
      </c>
      <c r="C43" s="19" t="str">
        <f>INDEX(Places[County],MATCH(Budgets[[#This Row],[Jurisdiction]],Places[Jurisdiction],0))</f>
        <v>Los Angeles</v>
      </c>
      <c r="D43" s="21" t="str">
        <f>INDEX(Places[Majority RB],MATCH(Budgets[[#This Row],[Jurisdiction]],Places[Jurisdiction],0))</f>
        <v>Los Angeles</v>
      </c>
      <c r="E43" s="19">
        <f>INDEX(Places[Majority RB '#],MATCH(Budgets[[#This Row],[Jurisdiction]],Places[Jurisdiction],0))</f>
        <v>4</v>
      </c>
      <c r="F43" s="19" t="str">
        <f>VLOOKUP(Budgets[[#This Row],[Jurisdiction]],Places[#All],8,FALSE)</f>
        <v>Phase I MS4</v>
      </c>
      <c r="G43" s="81"/>
      <c r="H43" s="21" t="s">
        <v>1870</v>
      </c>
      <c r="I43" s="21">
        <f>VALUE(LEFT(Budgets[[#This Row],[Fiscal Year]],4))</f>
        <v>2011</v>
      </c>
      <c r="J43" s="20">
        <v>29927</v>
      </c>
      <c r="K43" s="27">
        <f>IF(Budgets[[#This Row],[Reference Year]]&gt;2018,Budgets[[#This Row],[Value]],Budgets[[#This Row],[Value]]*(1+VLOOKUP(Budgets[[#This Row],[Reference Year]],Inflation[#All],3,FALSE)))</f>
        <v>33484.041516229438</v>
      </c>
      <c r="L43" s="27">
        <f>Budgets[[#This Row],[2018 $ Value]]/VLOOKUP(Budgets[[#This Row],[Jurisdiction]],Places[],6,FALSE)</f>
        <v>30.889337192093578</v>
      </c>
      <c r="M43" s="27">
        <f>Budgets[[#This Row],[2018 $ Value]]/VLOOKUP(Budgets[[#This Row],[Jurisdiction]],Places[],7,FALSE)</f>
        <v>16742.020758114719</v>
      </c>
      <c r="N43" s="27"/>
      <c r="O43" s="27" t="s">
        <v>1460</v>
      </c>
      <c r="P43" s="4"/>
      <c r="Q43"/>
    </row>
    <row r="44" spans="1:20" x14ac:dyDescent="0.25">
      <c r="A44" s="19" t="s">
        <v>181</v>
      </c>
      <c r="B44" s="19" t="str">
        <f>INDEX(Places[Type],MATCH(Budgets[[#This Row],[Jurisdiction]],Places[Jurisdiction],0))</f>
        <v>City</v>
      </c>
      <c r="C44" s="19" t="str">
        <f>INDEX(Places[County],MATCH(Budgets[[#This Row],[Jurisdiction]],Places[Jurisdiction],0))</f>
        <v>Los Angeles</v>
      </c>
      <c r="D44" s="21" t="str">
        <f>INDEX(Places[Majority RB],MATCH(Budgets[[#This Row],[Jurisdiction]],Places[Jurisdiction],0))</f>
        <v>Los Angeles</v>
      </c>
      <c r="E44" s="19">
        <f>INDEX(Places[Majority RB '#],MATCH(Budgets[[#This Row],[Jurisdiction]],Places[Jurisdiction],0))</f>
        <v>4</v>
      </c>
      <c r="F44" s="19" t="str">
        <f>VLOOKUP(Budgets[[#This Row],[Jurisdiction]],Places[#All],8,FALSE)</f>
        <v>Phase I MS4</v>
      </c>
      <c r="G44" s="81"/>
      <c r="H44" s="21" t="s">
        <v>1871</v>
      </c>
      <c r="I44" s="21">
        <f>VALUE(LEFT(Budgets[[#This Row],[Fiscal Year]],4))</f>
        <v>2012</v>
      </c>
      <c r="J44" s="20">
        <v>29927</v>
      </c>
      <c r="K44" s="27">
        <f>IF(Budgets[[#This Row],[Reference Year]]&gt;2018,Budgets[[#This Row],[Value]],Budgets[[#This Row],[Value]]*(1+VLOOKUP(Budgets[[#This Row],[Reference Year]],Inflation[#All],3,FALSE)))</f>
        <v>32798.610352787458</v>
      </c>
      <c r="L44" s="27">
        <f>Budgets[[#This Row],[2018 $ Value]]/VLOOKUP(Budgets[[#This Row],[Jurisdiction]],Places[],6,FALSE)</f>
        <v>30.257020620652636</v>
      </c>
      <c r="M44" s="27">
        <f>Budgets[[#This Row],[2018 $ Value]]/VLOOKUP(Budgets[[#This Row],[Jurisdiction]],Places[],7,FALSE)</f>
        <v>16399.305176393729</v>
      </c>
      <c r="N44" s="27"/>
      <c r="O44" s="27" t="s">
        <v>1460</v>
      </c>
      <c r="P44" s="4"/>
      <c r="Q44"/>
    </row>
    <row r="45" spans="1:20" x14ac:dyDescent="0.25">
      <c r="A45" s="19" t="s">
        <v>181</v>
      </c>
      <c r="B45" s="19" t="str">
        <f>INDEX(Places[Type],MATCH(Budgets[[#This Row],[Jurisdiction]],Places[Jurisdiction],0))</f>
        <v>City</v>
      </c>
      <c r="C45" s="19" t="str">
        <f>INDEX(Places[County],MATCH(Budgets[[#This Row],[Jurisdiction]],Places[Jurisdiction],0))</f>
        <v>Los Angeles</v>
      </c>
      <c r="D45" s="21" t="str">
        <f>INDEX(Places[Majority RB],MATCH(Budgets[[#This Row],[Jurisdiction]],Places[Jurisdiction],0))</f>
        <v>Los Angeles</v>
      </c>
      <c r="E45" s="19">
        <f>INDEX(Places[Majority RB '#],MATCH(Budgets[[#This Row],[Jurisdiction]],Places[Jurisdiction],0))</f>
        <v>4</v>
      </c>
      <c r="F45" s="19" t="str">
        <f>VLOOKUP(Budgets[[#This Row],[Jurisdiction]],Places[#All],8,FALSE)</f>
        <v>Phase I MS4</v>
      </c>
      <c r="G45" s="81"/>
      <c r="H45" s="21" t="s">
        <v>1869</v>
      </c>
      <c r="I45" s="21">
        <f>VALUE(LEFT(Budgets[[#This Row],[Fiscal Year]],4))</f>
        <v>2016</v>
      </c>
      <c r="J45" s="20">
        <v>336500</v>
      </c>
      <c r="K45" s="27">
        <f>IF(Budgets[[#This Row],[Reference Year]]&gt;2018,Budgets[[#This Row],[Value]],Budgets[[#This Row],[Value]]*(1+VLOOKUP(Budgets[[#This Row],[Reference Year]],Inflation[#All],3,FALSE)))</f>
        <v>352807.63125000003</v>
      </c>
      <c r="L45" s="27">
        <f>Budgets[[#This Row],[2018 $ Value]]/VLOOKUP(Budgets[[#This Row],[Jurisdiction]],Places[],6,FALSE)</f>
        <v>325.46829451107016</v>
      </c>
      <c r="M45" s="27">
        <f>Budgets[[#This Row],[2018 $ Value]]/VLOOKUP(Budgets[[#This Row],[Jurisdiction]],Places[],7,FALSE)</f>
        <v>176403.81562500002</v>
      </c>
      <c r="N45" s="27"/>
      <c r="O45" s="27" t="s">
        <v>1853</v>
      </c>
      <c r="P45" s="4"/>
      <c r="Q45"/>
    </row>
    <row r="46" spans="1:20" x14ac:dyDescent="0.25">
      <c r="A46" s="19" t="s">
        <v>266</v>
      </c>
      <c r="B46" s="19" t="str">
        <f>INDEX(Places[Type],MATCH(Budgets[[#This Row],[Jurisdiction]],Places[Jurisdiction],0))</f>
        <v>City</v>
      </c>
      <c r="C46" s="19" t="str">
        <f>INDEX(Places[County],MATCH(Budgets[[#This Row],[Jurisdiction]],Places[Jurisdiction],0))</f>
        <v>Orange</v>
      </c>
      <c r="D46" s="21" t="str">
        <f>INDEX(Places[Majority RB],MATCH(Budgets[[#This Row],[Jurisdiction]],Places[Jurisdiction],0))</f>
        <v>Santa Ana</v>
      </c>
      <c r="E46" s="19">
        <f>INDEX(Places[Majority RB '#],MATCH(Budgets[[#This Row],[Jurisdiction]],Places[Jurisdiction],0))</f>
        <v>8</v>
      </c>
      <c r="F46" s="19" t="str">
        <f>VLOOKUP(Budgets[[#This Row],[Jurisdiction]],Places[#All],8,FALSE)</f>
        <v>Phase I MS4</v>
      </c>
      <c r="G46" s="81"/>
      <c r="H46" s="21" t="s">
        <v>1875</v>
      </c>
      <c r="I46" s="21">
        <f>VALUE(LEFT(Budgets[[#This Row],[Fiscal Year]],4))</f>
        <v>2001</v>
      </c>
      <c r="J46" s="20">
        <v>1121732</v>
      </c>
      <c r="K46" s="27">
        <f>IF(Budgets[[#This Row],[Reference Year]]&gt;2018,Budgets[[#This Row],[Value]],Budgets[[#This Row],[Value]]*(1+VLOOKUP(Budgets[[#This Row],[Reference Year]],Inflation[#All],3,FALSE)))</f>
        <v>1593803.1896781479</v>
      </c>
      <c r="L46" s="27">
        <f>Budgets[[#This Row],[2018 $ Value]]/VLOOKUP(Budgets[[#This Row],[Jurisdiction]],Places[],6,FALSE)</f>
        <v>36.554280628383474</v>
      </c>
      <c r="M46" s="27">
        <f>Budgets[[#This Row],[2018 $ Value]]/VLOOKUP(Budgets[[#This Row],[Jurisdiction]],Places[],7,FALSE)</f>
        <v>130639.6057113236</v>
      </c>
      <c r="N46" s="27"/>
      <c r="O46" s="27" t="s">
        <v>1460</v>
      </c>
      <c r="P46" s="4"/>
      <c r="Q46"/>
    </row>
    <row r="47" spans="1:20" x14ac:dyDescent="0.25">
      <c r="A47" s="19" t="s">
        <v>266</v>
      </c>
      <c r="B47" s="19" t="str">
        <f>INDEX(Places[Type],MATCH(Budgets[[#This Row],[Jurisdiction]],Places[Jurisdiction],0))</f>
        <v>City</v>
      </c>
      <c r="C47" s="19" t="str">
        <f>INDEX(Places[County],MATCH(Budgets[[#This Row],[Jurisdiction]],Places[Jurisdiction],0))</f>
        <v>Orange</v>
      </c>
      <c r="D47" s="21" t="str">
        <f>INDEX(Places[Majority RB],MATCH(Budgets[[#This Row],[Jurisdiction]],Places[Jurisdiction],0))</f>
        <v>Santa Ana</v>
      </c>
      <c r="E47" s="19">
        <f>INDEX(Places[Majority RB '#],MATCH(Budgets[[#This Row],[Jurisdiction]],Places[Jurisdiction],0))</f>
        <v>8</v>
      </c>
      <c r="F47" s="19" t="str">
        <f>VLOOKUP(Budgets[[#This Row],[Jurisdiction]],Places[#All],8,FALSE)</f>
        <v>Phase I MS4</v>
      </c>
      <c r="G47" s="81"/>
      <c r="H47" s="21" t="s">
        <v>1872</v>
      </c>
      <c r="I47" s="21">
        <f>VALUE(LEFT(Budgets[[#This Row],[Fiscal Year]],4))</f>
        <v>2002</v>
      </c>
      <c r="J47" s="20">
        <v>612312</v>
      </c>
      <c r="K47" s="27">
        <f>IF(Budgets[[#This Row],[Reference Year]]&gt;2018,Budgets[[#This Row],[Value]],Budgets[[#This Row],[Value]]*(1+VLOOKUP(Budgets[[#This Row],[Reference Year]],Inflation[#All],3,FALSE)))</f>
        <v>856457.37005002773</v>
      </c>
      <c r="L47" s="27">
        <f>Budgets[[#This Row],[2018 $ Value]]/VLOOKUP(Budgets[[#This Row],[Jurisdiction]],Places[],6,FALSE)</f>
        <v>19.64306713263521</v>
      </c>
      <c r="M47" s="27">
        <f>Budgets[[#This Row],[2018 $ Value]]/VLOOKUP(Budgets[[#This Row],[Jurisdiction]],Places[],7,FALSE)</f>
        <v>70201.423774592447</v>
      </c>
      <c r="N47" s="27"/>
      <c r="O47" s="27" t="s">
        <v>1853</v>
      </c>
      <c r="P47" s="4"/>
      <c r="Q47"/>
    </row>
    <row r="48" spans="1:20" x14ac:dyDescent="0.25">
      <c r="A48" s="19" t="s">
        <v>267</v>
      </c>
      <c r="B48" s="19" t="str">
        <f>INDEX(Places[Type],MATCH(Budgets[[#This Row],[Jurisdiction]],Places[Jurisdiction],0))</f>
        <v>City</v>
      </c>
      <c r="C48" s="19" t="str">
        <f>INDEX(Places[County],MATCH(Budgets[[#This Row],[Jurisdiction]],Places[Jurisdiction],0))</f>
        <v>Orange</v>
      </c>
      <c r="D48" s="21" t="str">
        <f>INDEX(Places[Majority RB],MATCH(Budgets[[#This Row],[Jurisdiction]],Places[Jurisdiction],0))</f>
        <v>Santa Ana</v>
      </c>
      <c r="E48" s="19">
        <f>INDEX(Places[Majority RB '#],MATCH(Budgets[[#This Row],[Jurisdiction]],Places[Jurisdiction],0))</f>
        <v>8</v>
      </c>
      <c r="F48" s="19" t="str">
        <f>VLOOKUP(Budgets[[#This Row],[Jurisdiction]],Places[#All],8,FALSE)</f>
        <v>Phase I MS4</v>
      </c>
      <c r="G48" s="81"/>
      <c r="H48" s="21" t="s">
        <v>1875</v>
      </c>
      <c r="I48" s="21">
        <f>VALUE(LEFT(Budgets[[#This Row],[Fiscal Year]],4))</f>
        <v>2001</v>
      </c>
      <c r="J48" s="20">
        <v>264000</v>
      </c>
      <c r="K48" s="27">
        <f>IF(Budgets[[#This Row],[Reference Year]]&gt;2018,Budgets[[#This Row],[Value]],Budgets[[#This Row],[Value]]*(1+VLOOKUP(Budgets[[#This Row],[Reference Year]],Inflation[#All],3,FALSE)))</f>
        <v>375102.11180124222</v>
      </c>
      <c r="L48" s="27">
        <f>Budgets[[#This Row],[2018 $ Value]]/VLOOKUP(Budgets[[#This Row],[Jurisdiction]],Places[],6,FALSE)</f>
        <v>4.5510502396384682</v>
      </c>
      <c r="M48" s="27">
        <f>Budgets[[#This Row],[2018 $ Value]]/VLOOKUP(Budgets[[#This Row],[Jurisdiction]],Places[],7,FALSE)</f>
        <v>35724.010647737356</v>
      </c>
      <c r="N48" s="27"/>
      <c r="O48" s="27" t="s">
        <v>1460</v>
      </c>
      <c r="P48" s="4"/>
      <c r="Q48"/>
    </row>
    <row r="49" spans="1:17" x14ac:dyDescent="0.25">
      <c r="A49" s="19" t="s">
        <v>267</v>
      </c>
      <c r="B49" s="19" t="str">
        <f>INDEX(Places[Type],MATCH(Budgets[[#This Row],[Jurisdiction]],Places[Jurisdiction],0))</f>
        <v>City</v>
      </c>
      <c r="C49" s="19" t="str">
        <f>INDEX(Places[County],MATCH(Budgets[[#This Row],[Jurisdiction]],Places[Jurisdiction],0))</f>
        <v>Orange</v>
      </c>
      <c r="D49" s="21" t="str">
        <f>INDEX(Places[Majority RB],MATCH(Budgets[[#This Row],[Jurisdiction]],Places[Jurisdiction],0))</f>
        <v>Santa Ana</v>
      </c>
      <c r="E49" s="19">
        <f>INDEX(Places[Majority RB '#],MATCH(Budgets[[#This Row],[Jurisdiction]],Places[Jurisdiction],0))</f>
        <v>8</v>
      </c>
      <c r="F49" s="19" t="str">
        <f>VLOOKUP(Budgets[[#This Row],[Jurisdiction]],Places[#All],8,FALSE)</f>
        <v>Phase I MS4</v>
      </c>
      <c r="G49" s="81"/>
      <c r="H49" s="21" t="s">
        <v>1872</v>
      </c>
      <c r="I49" s="21">
        <f>VALUE(LEFT(Budgets[[#This Row],[Fiscal Year]],4))</f>
        <v>2002</v>
      </c>
      <c r="J49" s="20">
        <v>257500</v>
      </c>
      <c r="K49" s="27">
        <f>IF(Budgets[[#This Row],[Reference Year]]&gt;2018,Budgets[[#This Row],[Value]],Budgets[[#This Row],[Value]]*(1+VLOOKUP(Budgets[[#This Row],[Reference Year]],Inflation[#All],3,FALSE)))</f>
        <v>360172.2206781545</v>
      </c>
      <c r="L49" s="27">
        <f>Budgets[[#This Row],[2018 $ Value]]/VLOOKUP(Budgets[[#This Row],[Jurisdiction]],Places[],6,FALSE)</f>
        <v>4.3699084053597321</v>
      </c>
      <c r="M49" s="27">
        <f>Budgets[[#This Row],[2018 $ Value]]/VLOOKUP(Budgets[[#This Row],[Jurisdiction]],Places[],7,FALSE)</f>
        <v>34302.116255062334</v>
      </c>
      <c r="N49" s="27"/>
      <c r="O49" s="27" t="s">
        <v>1853</v>
      </c>
      <c r="P49" s="4"/>
      <c r="Q49"/>
    </row>
    <row r="50" spans="1:17" x14ac:dyDescent="0.25">
      <c r="A50" s="19" t="s">
        <v>188</v>
      </c>
      <c r="B50" s="19" t="str">
        <f>INDEX(Places[Type],MATCH(Budgets[[#This Row],[Jurisdiction]],Places[Jurisdiction],0))</f>
        <v>City</v>
      </c>
      <c r="C50" s="19" t="str">
        <f>INDEX(Places[County],MATCH(Budgets[[#This Row],[Jurisdiction]],Places[Jurisdiction],0))</f>
        <v>Los Angeles</v>
      </c>
      <c r="D50" s="21" t="str">
        <f>INDEX(Places[Majority RB],MATCH(Budgets[[#This Row],[Jurisdiction]],Places[Jurisdiction],0))</f>
        <v>Los Angeles</v>
      </c>
      <c r="E50" s="19">
        <f>INDEX(Places[Majority RB '#],MATCH(Budgets[[#This Row],[Jurisdiction]],Places[Jurisdiction],0))</f>
        <v>4</v>
      </c>
      <c r="F50" s="19" t="str">
        <f>VLOOKUP(Budgets[[#This Row],[Jurisdiction]],Places[#All],8,FALSE)</f>
        <v>Phase I MS4</v>
      </c>
      <c r="G50" s="81"/>
      <c r="H50" s="21" t="s">
        <v>1870</v>
      </c>
      <c r="I50" s="21">
        <f>VALUE(LEFT(Budgets[[#This Row],[Fiscal Year]],4))</f>
        <v>2011</v>
      </c>
      <c r="J50" s="20">
        <v>3798139</v>
      </c>
      <c r="K50" s="27">
        <f>IF(Budgets[[#This Row],[Reference Year]]&gt;2018,Budgets[[#This Row],[Value]],Budgets[[#This Row],[Value]]*(1+VLOOKUP(Budgets[[#This Row],[Reference Year]],Inflation[#All],3,FALSE)))</f>
        <v>4249575.4322321033</v>
      </c>
      <c r="L50" s="27">
        <f>Budgets[[#This Row],[2018 $ Value]]/VLOOKUP(Budgets[[#This Row],[Jurisdiction]],Places[],6,FALSE)</f>
        <v>40.981488328579999</v>
      </c>
      <c r="M50" s="27">
        <f>Budgets[[#This Row],[2018 $ Value]]/VLOOKUP(Budgets[[#This Row],[Jurisdiction]],Places[],7,FALSE)</f>
        <v>244228.47311678756</v>
      </c>
      <c r="N50" s="27"/>
      <c r="O50" s="27" t="s">
        <v>1460</v>
      </c>
      <c r="P50" s="4"/>
      <c r="Q50"/>
    </row>
    <row r="51" spans="1:17" x14ac:dyDescent="0.25">
      <c r="A51" s="19" t="s">
        <v>188</v>
      </c>
      <c r="B51" s="19" t="str">
        <f>INDEX(Places[Type],MATCH(Budgets[[#This Row],[Jurisdiction]],Places[Jurisdiction],0))</f>
        <v>City</v>
      </c>
      <c r="C51" s="19" t="str">
        <f>INDEX(Places[County],MATCH(Budgets[[#This Row],[Jurisdiction]],Places[Jurisdiction],0))</f>
        <v>Los Angeles</v>
      </c>
      <c r="D51" s="21" t="str">
        <f>INDEX(Places[Majority RB],MATCH(Budgets[[#This Row],[Jurisdiction]],Places[Jurisdiction],0))</f>
        <v>Los Angeles</v>
      </c>
      <c r="E51" s="19">
        <f>INDEX(Places[Majority RB '#],MATCH(Budgets[[#This Row],[Jurisdiction]],Places[Jurisdiction],0))</f>
        <v>4</v>
      </c>
      <c r="F51" s="19" t="str">
        <f>VLOOKUP(Budgets[[#This Row],[Jurisdiction]],Places[#All],8,FALSE)</f>
        <v>Phase I MS4</v>
      </c>
      <c r="G51" s="81"/>
      <c r="H51" s="21" t="s">
        <v>1871</v>
      </c>
      <c r="I51" s="21">
        <f>VALUE(LEFT(Budgets[[#This Row],[Fiscal Year]],4))</f>
        <v>2012</v>
      </c>
      <c r="J51" s="20">
        <v>3728900</v>
      </c>
      <c r="K51" s="27">
        <f>IF(Budgets[[#This Row],[Reference Year]]&gt;2018,Budgets[[#This Row],[Value]],Budgets[[#This Row],[Value]]*(1+VLOOKUP(Budgets[[#This Row],[Reference Year]],Inflation[#All],3,FALSE)))</f>
        <v>4086702.2469512196</v>
      </c>
      <c r="L51" s="27">
        <f>Budgets[[#This Row],[2018 $ Value]]/VLOOKUP(Budgets[[#This Row],[Jurisdiction]],Places[],6,FALSE)</f>
        <v>39.41079364435334</v>
      </c>
      <c r="M51" s="27">
        <f>Budgets[[#This Row],[2018 $ Value]]/VLOOKUP(Budgets[[#This Row],[Jurisdiction]],Places[],7,FALSE)</f>
        <v>234867.9452270816</v>
      </c>
      <c r="N51" s="27"/>
      <c r="O51" s="27" t="s">
        <v>1460</v>
      </c>
      <c r="P51" s="4"/>
      <c r="Q51"/>
    </row>
    <row r="52" spans="1:17" x14ac:dyDescent="0.25">
      <c r="A52" s="19" t="s">
        <v>188</v>
      </c>
      <c r="B52" s="19" t="str">
        <f>INDEX(Places[Type],MATCH(Budgets[[#This Row],[Jurisdiction]],Places[Jurisdiction],0))</f>
        <v>City</v>
      </c>
      <c r="C52" s="19" t="str">
        <f>INDEX(Places[County],MATCH(Budgets[[#This Row],[Jurisdiction]],Places[Jurisdiction],0))</f>
        <v>Los Angeles</v>
      </c>
      <c r="D52" s="21" t="str">
        <f>INDEX(Places[Majority RB],MATCH(Budgets[[#This Row],[Jurisdiction]],Places[Jurisdiction],0))</f>
        <v>Los Angeles</v>
      </c>
      <c r="E52" s="19">
        <f>INDEX(Places[Majority RB '#],MATCH(Budgets[[#This Row],[Jurisdiction]],Places[Jurisdiction],0))</f>
        <v>4</v>
      </c>
      <c r="F52" s="19" t="str">
        <f>VLOOKUP(Budgets[[#This Row],[Jurisdiction]],Places[#All],8,FALSE)</f>
        <v>Phase I MS4</v>
      </c>
      <c r="G52" s="81"/>
      <c r="H52" s="21" t="s">
        <v>1869</v>
      </c>
      <c r="I52" s="21">
        <f>VALUE(LEFT(Budgets[[#This Row],[Fiscal Year]],4))</f>
        <v>2016</v>
      </c>
      <c r="J52" s="20">
        <v>4181331</v>
      </c>
      <c r="K52" s="27">
        <f>IF(Budgets[[#This Row],[Reference Year]]&gt;2018,Budgets[[#This Row],[Value]],Budgets[[#This Row],[Value]]*(1+VLOOKUP(Budgets[[#This Row],[Reference Year]],Inflation[#All],3,FALSE)))</f>
        <v>4383968.7535875002</v>
      </c>
      <c r="L52" s="27">
        <f>Budgets[[#This Row],[2018 $ Value]]/VLOOKUP(Budgets[[#This Row],[Jurisdiction]],Places[],6,FALSE)</f>
        <v>42.277532702517</v>
      </c>
      <c r="M52" s="27">
        <f>Budgets[[#This Row],[2018 $ Value]]/VLOOKUP(Budgets[[#This Row],[Jurisdiction]],Places[],7,FALSE)</f>
        <v>251952.22721767245</v>
      </c>
      <c r="N52" s="27"/>
      <c r="O52" s="27" t="s">
        <v>1853</v>
      </c>
      <c r="P52" s="4"/>
      <c r="Q52"/>
    </row>
    <row r="53" spans="1:17" x14ac:dyDescent="0.25">
      <c r="A53" s="19" t="s">
        <v>172</v>
      </c>
      <c r="B53" s="19" t="str">
        <f>INDEX(Places[Type],MATCH(Budgets[[#This Row],[Jurisdiction]],Places[Jurisdiction],0))</f>
        <v>City</v>
      </c>
      <c r="C53" s="19" t="str">
        <f>INDEX(Places[County],MATCH(Budgets[[#This Row],[Jurisdiction]],Places[Jurisdiction],0))</f>
        <v>Los Angeles</v>
      </c>
      <c r="D53" s="21" t="str">
        <f>INDEX(Places[Majority RB],MATCH(Budgets[[#This Row],[Jurisdiction]],Places[Jurisdiction],0))</f>
        <v>Los Angeles</v>
      </c>
      <c r="E53" s="19">
        <f>INDEX(Places[Majority RB '#],MATCH(Budgets[[#This Row],[Jurisdiction]],Places[Jurisdiction],0))</f>
        <v>4</v>
      </c>
      <c r="F53" s="19" t="str">
        <f>VLOOKUP(Budgets[[#This Row],[Jurisdiction]],Places[#All],8,FALSE)</f>
        <v>Phase I MS4</v>
      </c>
      <c r="G53" s="81"/>
      <c r="H53" s="100" t="s">
        <v>1870</v>
      </c>
      <c r="I53" s="21">
        <f>VALUE(LEFT(Budgets[[#This Row],[Fiscal Year]],4))</f>
        <v>2011</v>
      </c>
      <c r="J53" s="20">
        <v>6654000</v>
      </c>
      <c r="K53" s="27">
        <f>IF(Budgets[[#This Row],[Reference Year]]&gt;2018,Budgets[[#This Row],[Value]],Budgets[[#This Row],[Value]]*(1+VLOOKUP(Budgets[[#This Row],[Reference Year]],Inflation[#All],3,FALSE)))</f>
        <v>7444876.2738995114</v>
      </c>
      <c r="L53" s="27">
        <f>Budgets[[#This Row],[2018 $ Value]]/VLOOKUP(Budgets[[#This Row],[Jurisdiction]],Places[],6,FALSE)</f>
        <v>310.79887592466861</v>
      </c>
      <c r="M53" s="27">
        <f>Budgets[[#This Row],[2018 $ Value]]/VLOOKUP(Budgets[[#This Row],[Jurisdiction]],Places[],7,FALSE)</f>
        <v>543421.62583208119</v>
      </c>
      <c r="N53" s="27"/>
      <c r="O53" s="27" t="s">
        <v>1460</v>
      </c>
      <c r="P53" s="4"/>
      <c r="Q53"/>
    </row>
    <row r="54" spans="1:17" x14ac:dyDescent="0.25">
      <c r="A54" s="19" t="s">
        <v>172</v>
      </c>
      <c r="B54" s="19" t="str">
        <f>INDEX(Places[Type],MATCH(Budgets[[#This Row],[Jurisdiction]],Places[Jurisdiction],0))</f>
        <v>City</v>
      </c>
      <c r="C54" s="19" t="str">
        <f>INDEX(Places[County],MATCH(Budgets[[#This Row],[Jurisdiction]],Places[Jurisdiction],0))</f>
        <v>Los Angeles</v>
      </c>
      <c r="D54" s="21" t="str">
        <f>INDEX(Places[Majority RB],MATCH(Budgets[[#This Row],[Jurisdiction]],Places[Jurisdiction],0))</f>
        <v>Los Angeles</v>
      </c>
      <c r="E54" s="19">
        <f>INDEX(Places[Majority RB '#],MATCH(Budgets[[#This Row],[Jurisdiction]],Places[Jurisdiction],0))</f>
        <v>4</v>
      </c>
      <c r="F54" s="19" t="str">
        <f>VLOOKUP(Budgets[[#This Row],[Jurisdiction]],Places[#All],8,FALSE)</f>
        <v>Phase I MS4</v>
      </c>
      <c r="G54" s="81"/>
      <c r="H54" s="100" t="s">
        <v>1871</v>
      </c>
      <c r="I54" s="21">
        <f>VALUE(LEFT(Budgets[[#This Row],[Fiscal Year]],4))</f>
        <v>2012</v>
      </c>
      <c r="J54" s="20">
        <v>6654000</v>
      </c>
      <c r="K54" s="27">
        <f>IF(Budgets[[#This Row],[Reference Year]]&gt;2018,Budgets[[#This Row],[Value]],Budgets[[#This Row],[Value]]*(1+VLOOKUP(Budgets[[#This Row],[Reference Year]],Inflation[#All],3,FALSE)))</f>
        <v>7292476.8031358887</v>
      </c>
      <c r="L54" s="27">
        <f>Budgets[[#This Row],[2018 $ Value]]/VLOOKUP(Budgets[[#This Row],[Jurisdiction]],Places[],6,FALSE)</f>
        <v>304.43670381297022</v>
      </c>
      <c r="M54" s="27">
        <f>Budgets[[#This Row],[2018 $ Value]]/VLOOKUP(Budgets[[#This Row],[Jurisdiction]],Places[],7,FALSE)</f>
        <v>532297.57687123283</v>
      </c>
      <c r="N54" s="27"/>
      <c r="O54" s="27" t="s">
        <v>1460</v>
      </c>
      <c r="P54" s="4"/>
      <c r="Q54"/>
    </row>
    <row r="55" spans="1:17" x14ac:dyDescent="0.25">
      <c r="A55" s="19" t="s">
        <v>172</v>
      </c>
      <c r="B55" s="19" t="str">
        <f>INDEX(Places[Type],MATCH(Budgets[[#This Row],[Jurisdiction]],Places[Jurisdiction],0))</f>
        <v>City</v>
      </c>
      <c r="C55" s="19" t="str">
        <f>INDEX(Places[County],MATCH(Budgets[[#This Row],[Jurisdiction]],Places[Jurisdiction],0))</f>
        <v>Los Angeles</v>
      </c>
      <c r="D55" s="21" t="str">
        <f>INDEX(Places[Majority RB],MATCH(Budgets[[#This Row],[Jurisdiction]],Places[Jurisdiction],0))</f>
        <v>Los Angeles</v>
      </c>
      <c r="E55" s="19">
        <f>INDEX(Places[Majority RB '#],MATCH(Budgets[[#This Row],[Jurisdiction]],Places[Jurisdiction],0))</f>
        <v>4</v>
      </c>
      <c r="F55" s="19" t="str">
        <f>VLOOKUP(Budgets[[#This Row],[Jurisdiction]],Places[#All],8,FALSE)</f>
        <v>Phase I MS4</v>
      </c>
      <c r="G55" s="81"/>
      <c r="H55" s="100" t="s">
        <v>1869</v>
      </c>
      <c r="I55" s="21">
        <f>VALUE(LEFT(Budgets[[#This Row],[Fiscal Year]],4))</f>
        <v>2016</v>
      </c>
      <c r="J55" s="20">
        <v>3147500</v>
      </c>
      <c r="K55" s="27">
        <f>IF(Budgets[[#This Row],[Reference Year]]&gt;2018,Budgets[[#This Row],[Value]],Budgets[[#This Row],[Value]]*(1+VLOOKUP(Budgets[[#This Row],[Reference Year]],Inflation[#All],3,FALSE)))</f>
        <v>3300035.7187500005</v>
      </c>
      <c r="L55" s="27">
        <f>Budgets[[#This Row],[2018 $ Value]]/VLOOKUP(Budgets[[#This Row],[Jurisdiction]],Places[],6,FALSE)</f>
        <v>137.76553889747018</v>
      </c>
      <c r="M55" s="27">
        <f>Budgets[[#This Row],[2018 $ Value]]/VLOOKUP(Budgets[[#This Row],[Jurisdiction]],Places[],7,FALSE)</f>
        <v>240878.51961678837</v>
      </c>
      <c r="N55" s="27"/>
      <c r="O55" s="27" t="s">
        <v>1853</v>
      </c>
      <c r="P55" s="4"/>
      <c r="Q55"/>
    </row>
    <row r="56" spans="1:17" x14ac:dyDescent="0.25">
      <c r="A56" s="19" t="s">
        <v>228</v>
      </c>
      <c r="B56" s="19" t="str">
        <f>INDEX(Places[Type],MATCH(Budgets[[#This Row],[Jurisdiction]],Places[Jurisdiction],0))</f>
        <v>City</v>
      </c>
      <c r="C56" s="19" t="str">
        <f>INDEX(Places[County],MATCH(Budgets[[#This Row],[Jurisdiction]],Places[Jurisdiction],0))</f>
        <v>Riverside</v>
      </c>
      <c r="D56" s="21" t="str">
        <f>INDEX(Places[Majority RB],MATCH(Budgets[[#This Row],[Jurisdiction]],Places[Jurisdiction],0))</f>
        <v>Santa Ana</v>
      </c>
      <c r="E56" s="19">
        <f>INDEX(Places[Majority RB '#],MATCH(Budgets[[#This Row],[Jurisdiction]],Places[Jurisdiction],0))</f>
        <v>8</v>
      </c>
      <c r="F56" s="19" t="str">
        <f>VLOOKUP(Budgets[[#This Row],[Jurisdiction]],Places[#All],8,FALSE)</f>
        <v>Phase I MS4</v>
      </c>
      <c r="G56" s="81"/>
      <c r="H56" s="21" t="s">
        <v>1869</v>
      </c>
      <c r="I56" s="21">
        <f>VALUE(LEFT(Budgets[[#This Row],[Fiscal Year]],4))</f>
        <v>2016</v>
      </c>
      <c r="J56" s="20">
        <v>36917.5</v>
      </c>
      <c r="K56" s="27">
        <f>IF(Budgets[[#This Row],[Reference Year]]&gt;2018,Budgets[[#This Row],[Value]],Budgets[[#This Row],[Value]]*(1+VLOOKUP(Budgets[[#This Row],[Reference Year]],Inflation[#All],3,FALSE)))</f>
        <v>38706.61434375</v>
      </c>
      <c r="L56" s="27">
        <f>Budgets[[#This Row],[2018 $ Value]]/VLOOKUP(Budgets[[#This Row],[Jurisdiction]],Places[],6,FALSE)</f>
        <v>4.3310522931352802</v>
      </c>
      <c r="M56" s="27">
        <f>Budgets[[#This Row],[2018 $ Value]]/VLOOKUP(Budgets[[#This Row],[Jurisdiction]],Places[],7,FALSE)</f>
        <v>2597.7593519295301</v>
      </c>
      <c r="N56" s="27"/>
      <c r="O56" s="27" t="s">
        <v>1853</v>
      </c>
      <c r="P56" s="4"/>
      <c r="Q56"/>
    </row>
    <row r="57" spans="1:17" x14ac:dyDescent="0.25">
      <c r="A57" s="19" t="s">
        <v>253</v>
      </c>
      <c r="B57" s="19" t="str">
        <f>INDEX(Places[Type],MATCH(Budgets[[#This Row],[Jurisdiction]],Places[Jurisdiction],0))</f>
        <v>City</v>
      </c>
      <c r="C57" s="19" t="str">
        <f>INDEX(Places[County],MATCH(Budgets[[#This Row],[Jurisdiction]],Places[Jurisdiction],0))</f>
        <v>Ventura</v>
      </c>
      <c r="D57" s="21" t="str">
        <f>INDEX(Places[Majority RB],MATCH(Budgets[[#This Row],[Jurisdiction]],Places[Jurisdiction],0))</f>
        <v>Los Angeles</v>
      </c>
      <c r="E57" s="19">
        <f>INDEX(Places[Majority RB '#],MATCH(Budgets[[#This Row],[Jurisdiction]],Places[Jurisdiction],0))</f>
        <v>4</v>
      </c>
      <c r="F57" s="19" t="str">
        <f>VLOOKUP(Budgets[[#This Row],[Jurisdiction]],Places[#All],8,FALSE)</f>
        <v>Phase I MS4</v>
      </c>
      <c r="G57" s="81"/>
      <c r="H57" s="21" t="s">
        <v>1882</v>
      </c>
      <c r="I57" s="21">
        <f>VALUE(LEFT(Budgets[[#This Row],[Fiscal Year]],4))</f>
        <v>2005</v>
      </c>
      <c r="J57" s="20">
        <v>926819</v>
      </c>
      <c r="K57" s="27">
        <f>IF(Budgets[[#This Row],[Reference Year]]&gt;2018,Budgets[[#This Row],[Value]],Budgets[[#This Row],[Value]]*(1+VLOOKUP(Budgets[[#This Row],[Reference Year]],Inflation[#All],3,FALSE)))</f>
        <v>1194144.3511981566</v>
      </c>
      <c r="L57" s="27">
        <f>Budgets[[#This Row],[2018 $ Value]]/VLOOKUP(Budgets[[#This Row],[Jurisdiction]],Places[],6,FALSE)</f>
        <v>17.274644512247843</v>
      </c>
      <c r="M57" s="27">
        <f>Budgets[[#This Row],[2018 $ Value]]/VLOOKUP(Budgets[[#This Row],[Jurisdiction]],Places[],7,FALSE)</f>
        <v>60616.464527825214</v>
      </c>
      <c r="N57" s="27"/>
      <c r="O57" s="27" t="s">
        <v>1460</v>
      </c>
      <c r="P57" s="4"/>
      <c r="Q57"/>
    </row>
    <row r="58" spans="1:17" x14ac:dyDescent="0.25">
      <c r="A58" s="19" t="s">
        <v>253</v>
      </c>
      <c r="B58" s="19" t="str">
        <f>INDEX(Places[Type],MATCH(Budgets[[#This Row],[Jurisdiction]],Places[Jurisdiction],0))</f>
        <v>City</v>
      </c>
      <c r="C58" s="19" t="str">
        <f>INDEX(Places[County],MATCH(Budgets[[#This Row],[Jurisdiction]],Places[Jurisdiction],0))</f>
        <v>Ventura</v>
      </c>
      <c r="D58" s="21" t="str">
        <f>INDEX(Places[Majority RB],MATCH(Budgets[[#This Row],[Jurisdiction]],Places[Jurisdiction],0))</f>
        <v>Los Angeles</v>
      </c>
      <c r="E58" s="19">
        <f>INDEX(Places[Majority RB '#],MATCH(Budgets[[#This Row],[Jurisdiction]],Places[Jurisdiction],0))</f>
        <v>4</v>
      </c>
      <c r="F58" s="19" t="str">
        <f>VLOOKUP(Budgets[[#This Row],[Jurisdiction]],Places[#All],8,FALSE)</f>
        <v>Phase I MS4</v>
      </c>
      <c r="G58" s="81"/>
      <c r="H58" s="21" t="s">
        <v>1883</v>
      </c>
      <c r="I58" s="21">
        <f>VALUE(LEFT(Budgets[[#This Row],[Fiscal Year]],4))</f>
        <v>2006</v>
      </c>
      <c r="J58" s="20">
        <v>1048011</v>
      </c>
      <c r="K58" s="27">
        <f>IF(Budgets[[#This Row],[Reference Year]]&gt;2018,Budgets[[#This Row],[Value]],Budgets[[#This Row],[Value]]*(1+VLOOKUP(Budgets[[#This Row],[Reference Year]],Inflation[#All],3,FALSE)))</f>
        <v>1308095.5155803573</v>
      </c>
      <c r="L58" s="27">
        <f>Budgets[[#This Row],[2018 $ Value]]/VLOOKUP(Budgets[[#This Row],[Jurisdiction]],Places[],6,FALSE)</f>
        <v>18.923076592074839</v>
      </c>
      <c r="M58" s="27">
        <f>Budgets[[#This Row],[2018 $ Value]]/VLOOKUP(Budgets[[#This Row],[Jurisdiction]],Places[],7,FALSE)</f>
        <v>66400.78759291154</v>
      </c>
      <c r="N58" s="27"/>
      <c r="O58" s="27" t="s">
        <v>1460</v>
      </c>
      <c r="P58" s="4"/>
      <c r="Q58"/>
    </row>
    <row r="59" spans="1:17" x14ac:dyDescent="0.25">
      <c r="A59" s="19" t="s">
        <v>253</v>
      </c>
      <c r="B59" s="19" t="str">
        <f>INDEX(Places[Type],MATCH(Budgets[[#This Row],[Jurisdiction]],Places[Jurisdiction],0))</f>
        <v>City</v>
      </c>
      <c r="C59" s="19" t="str">
        <f>INDEX(Places[County],MATCH(Budgets[[#This Row],[Jurisdiction]],Places[Jurisdiction],0))</f>
        <v>Ventura</v>
      </c>
      <c r="D59" s="21" t="str">
        <f>INDEX(Places[Majority RB],MATCH(Budgets[[#This Row],[Jurisdiction]],Places[Jurisdiction],0))</f>
        <v>Los Angeles</v>
      </c>
      <c r="E59" s="19">
        <f>INDEX(Places[Majority RB '#],MATCH(Budgets[[#This Row],[Jurisdiction]],Places[Jurisdiction],0))</f>
        <v>4</v>
      </c>
      <c r="F59" s="19" t="str">
        <f>VLOOKUP(Budgets[[#This Row],[Jurisdiction]],Places[#All],8,FALSE)</f>
        <v>Phase I MS4</v>
      </c>
      <c r="G59" s="81"/>
      <c r="H59" s="21" t="s">
        <v>1884</v>
      </c>
      <c r="I59" s="21">
        <f>VALUE(LEFT(Budgets[[#This Row],[Fiscal Year]],4))</f>
        <v>2008</v>
      </c>
      <c r="J59" s="20">
        <v>1198732</v>
      </c>
      <c r="K59" s="27">
        <f>IF(Budgets[[#This Row],[Reference Year]]&gt;2018,Budgets[[#This Row],[Value]],Budgets[[#This Row],[Value]]*(1+VLOOKUP(Budgets[[#This Row],[Reference Year]],Inflation[#All],3,FALSE)))</f>
        <v>1401013.1532373431</v>
      </c>
      <c r="L59" s="27">
        <f>Budgets[[#This Row],[2018 $ Value]]/VLOOKUP(Budgets[[#This Row],[Jurisdiction]],Places[],6,FALSE)</f>
        <v>20.267234991209559</v>
      </c>
      <c r="M59" s="27">
        <f>Budgets[[#This Row],[2018 $ Value]]/VLOOKUP(Budgets[[#This Row],[Jurisdiction]],Places[],7,FALSE)</f>
        <v>71117.418946058024</v>
      </c>
      <c r="N59" s="27"/>
      <c r="O59" s="27" t="s">
        <v>1460</v>
      </c>
      <c r="P59" s="4"/>
      <c r="Q59"/>
    </row>
    <row r="60" spans="1:17" x14ac:dyDescent="0.25">
      <c r="A60" s="19" t="s">
        <v>253</v>
      </c>
      <c r="B60" s="19" t="str">
        <f>INDEX(Places[Type],MATCH(Budgets[[#This Row],[Jurisdiction]],Places[Jurisdiction],0))</f>
        <v>City</v>
      </c>
      <c r="C60" s="19" t="str">
        <f>INDEX(Places[County],MATCH(Budgets[[#This Row],[Jurisdiction]],Places[Jurisdiction],0))</f>
        <v>Ventura</v>
      </c>
      <c r="D60" s="21" t="str">
        <f>INDEX(Places[Majority RB],MATCH(Budgets[[#This Row],[Jurisdiction]],Places[Jurisdiction],0))</f>
        <v>Los Angeles</v>
      </c>
      <c r="E60" s="19">
        <f>INDEX(Places[Majority RB '#],MATCH(Budgets[[#This Row],[Jurisdiction]],Places[Jurisdiction],0))</f>
        <v>4</v>
      </c>
      <c r="F60" s="19" t="str">
        <f>VLOOKUP(Budgets[[#This Row],[Jurisdiction]],Places[#All],8,FALSE)</f>
        <v>Phase I MS4</v>
      </c>
      <c r="G60" s="81"/>
      <c r="H60" s="21" t="s">
        <v>1885</v>
      </c>
      <c r="I60" s="21">
        <f>VALUE(LEFT(Budgets[[#This Row],[Fiscal Year]],4))</f>
        <v>2010</v>
      </c>
      <c r="J60" s="20">
        <v>1409415</v>
      </c>
      <c r="K60" s="27">
        <f>IF(Budgets[[#This Row],[Reference Year]]&gt;2018,Budgets[[#This Row],[Value]],Budgets[[#This Row],[Value]]*(1+VLOOKUP(Budgets[[#This Row],[Reference Year]],Inflation[#All],3,FALSE)))</f>
        <v>1626100.4395460798</v>
      </c>
      <c r="L60" s="27">
        <f>Budgets[[#This Row],[2018 $ Value]]/VLOOKUP(Budgets[[#This Row],[Jurisdiction]],Places[],6,FALSE)</f>
        <v>23.523376387606575</v>
      </c>
      <c r="M60" s="27">
        <f>Budgets[[#This Row],[2018 $ Value]]/VLOOKUP(Budgets[[#This Row],[Jurisdiction]],Places[],7,FALSE)</f>
        <v>82543.169520105585</v>
      </c>
      <c r="N60" s="27"/>
      <c r="O60" s="27" t="s">
        <v>1460</v>
      </c>
      <c r="P60" s="4"/>
      <c r="Q60"/>
    </row>
    <row r="61" spans="1:17" x14ac:dyDescent="0.25">
      <c r="A61" s="19" t="s">
        <v>253</v>
      </c>
      <c r="B61" s="19" t="str">
        <f>INDEX(Places[Type],MATCH(Budgets[[#This Row],[Jurisdiction]],Places[Jurisdiction],0))</f>
        <v>City</v>
      </c>
      <c r="C61" s="19" t="str">
        <f>INDEX(Places[County],MATCH(Budgets[[#This Row],[Jurisdiction]],Places[Jurisdiction],0))</f>
        <v>Ventura</v>
      </c>
      <c r="D61" s="21" t="str">
        <f>INDEX(Places[Majority RB],MATCH(Budgets[[#This Row],[Jurisdiction]],Places[Jurisdiction],0))</f>
        <v>Los Angeles</v>
      </c>
      <c r="E61" s="19">
        <f>INDEX(Places[Majority RB '#],MATCH(Budgets[[#This Row],[Jurisdiction]],Places[Jurisdiction],0))</f>
        <v>4</v>
      </c>
      <c r="F61" s="19" t="str">
        <f>VLOOKUP(Budgets[[#This Row],[Jurisdiction]],Places[#All],8,FALSE)</f>
        <v>Phase I MS4</v>
      </c>
      <c r="G61" s="81"/>
      <c r="H61" s="21" t="s">
        <v>1870</v>
      </c>
      <c r="I61" s="21">
        <f>VALUE(LEFT(Budgets[[#This Row],[Fiscal Year]],4))</f>
        <v>2011</v>
      </c>
      <c r="J61" s="20">
        <v>1341869</v>
      </c>
      <c r="K61" s="27">
        <f>IF(Budgets[[#This Row],[Reference Year]]&gt;2018,Budgets[[#This Row],[Value]],Budgets[[#This Row],[Value]]*(1+VLOOKUP(Budgets[[#This Row],[Reference Year]],Inflation[#All],3,FALSE)))</f>
        <v>1501359.8859004003</v>
      </c>
      <c r="L61" s="27">
        <f>Budgets[[#This Row],[2018 $ Value]]/VLOOKUP(Budgets[[#This Row],[Jurisdiction]],Places[],6,FALSE)</f>
        <v>21.718863626374649</v>
      </c>
      <c r="M61" s="27">
        <f>Budgets[[#This Row],[2018 $ Value]]/VLOOKUP(Budgets[[#This Row],[Jurisdiction]],Places[],7,FALSE)</f>
        <v>76211.161720832504</v>
      </c>
      <c r="N61" s="27"/>
      <c r="O61" s="27" t="s">
        <v>1460</v>
      </c>
      <c r="P61" s="4"/>
      <c r="Q61"/>
    </row>
    <row r="62" spans="1:17" x14ac:dyDescent="0.25">
      <c r="A62" s="19" t="s">
        <v>253</v>
      </c>
      <c r="B62" s="19" t="str">
        <f>INDEX(Places[Type],MATCH(Budgets[[#This Row],[Jurisdiction]],Places[Jurisdiction],0))</f>
        <v>City</v>
      </c>
      <c r="C62" s="21" t="str">
        <f>INDEX(Places[County],MATCH(Budgets[[#This Row],[Jurisdiction]],Places[Jurisdiction],0))</f>
        <v>Ventura</v>
      </c>
      <c r="D62" s="21" t="str">
        <f>INDEX(Places[Majority RB],MATCH(Budgets[[#This Row],[Jurisdiction]],Places[Jurisdiction],0))</f>
        <v>Los Angeles</v>
      </c>
      <c r="E62" s="21">
        <f>INDEX(Places[Majority RB '#],MATCH(Budgets[[#This Row],[Jurisdiction]],Places[Jurisdiction],0))</f>
        <v>4</v>
      </c>
      <c r="F62" s="21" t="str">
        <f>VLOOKUP(Budgets[[#This Row],[Jurisdiction]],Places[#All],8,FALSE)</f>
        <v>Phase I MS4</v>
      </c>
      <c r="G62" s="81"/>
      <c r="H62" s="21" t="s">
        <v>1871</v>
      </c>
      <c r="I62" s="21">
        <f>VALUE(LEFT(Budgets[[#This Row],[Fiscal Year]],4))</f>
        <v>2012</v>
      </c>
      <c r="J62" s="20">
        <v>1309041</v>
      </c>
      <c r="K62" s="27">
        <f>IF(Budgets[[#This Row],[Reference Year]]&gt;2018,Budgets[[#This Row],[Value]],Budgets[[#This Row],[Value]]*(1+VLOOKUP(Budgets[[#This Row],[Reference Year]],Inflation[#All],3,FALSE)))</f>
        <v>1434648.5011803135</v>
      </c>
      <c r="L62" s="27">
        <f>Budgets[[#This Row],[2018 $ Value]]/VLOOKUP(Budgets[[#This Row],[Jurisdiction]],Places[],6,FALSE)</f>
        <v>20.753808225155346</v>
      </c>
      <c r="M62" s="27">
        <f>Budgets[[#This Row],[2018 $ Value]]/VLOOKUP(Budgets[[#This Row],[Jurisdiction]],Places[],7,FALSE)</f>
        <v>72824.797014229116</v>
      </c>
      <c r="N62" s="27"/>
      <c r="O62" s="27" t="s">
        <v>1460</v>
      </c>
      <c r="P62" s="4"/>
      <c r="Q62"/>
    </row>
    <row r="63" spans="1:17" x14ac:dyDescent="0.25">
      <c r="A63" s="19" t="s">
        <v>253</v>
      </c>
      <c r="B63" s="19" t="str">
        <f>INDEX(Places[Type],MATCH(Budgets[[#This Row],[Jurisdiction]],Places[Jurisdiction],0))</f>
        <v>City</v>
      </c>
      <c r="C63" s="19" t="str">
        <f>INDEX(Places[County],MATCH(Budgets[[#This Row],[Jurisdiction]],Places[Jurisdiction],0))</f>
        <v>Ventura</v>
      </c>
      <c r="D63" s="21" t="str">
        <f>INDEX(Places[Majority RB],MATCH(Budgets[[#This Row],[Jurisdiction]],Places[Jurisdiction],0))</f>
        <v>Los Angeles</v>
      </c>
      <c r="E63" s="19">
        <f>INDEX(Places[Majority RB '#],MATCH(Budgets[[#This Row],[Jurisdiction]],Places[Jurisdiction],0))</f>
        <v>4</v>
      </c>
      <c r="F63" s="19" t="str">
        <f>VLOOKUP(Budgets[[#This Row],[Jurisdiction]],Places[#All],8,FALSE)</f>
        <v>Phase I MS4</v>
      </c>
      <c r="G63" s="81"/>
      <c r="H63" s="21" t="s">
        <v>1881</v>
      </c>
      <c r="I63" s="21">
        <f>VALUE(LEFT(Budgets[[#This Row],[Fiscal Year]],4))</f>
        <v>2014</v>
      </c>
      <c r="J63" s="20">
        <v>1361824</v>
      </c>
      <c r="K63" s="27">
        <f>IF(Budgets[[#This Row],[Reference Year]]&gt;2018,Budgets[[#This Row],[Value]],Budgets[[#This Row],[Value]]*(1+VLOOKUP(Budgets[[#This Row],[Reference Year]],Inflation[#All],3,FALSE)))</f>
        <v>1447727.6507984791</v>
      </c>
      <c r="L63" s="27">
        <f>Budgets[[#This Row],[2018 $ Value]]/VLOOKUP(Budgets[[#This Row],[Jurisdiction]],Places[],6,FALSE)</f>
        <v>20.943012871938304</v>
      </c>
      <c r="M63" s="27">
        <f>Budgets[[#This Row],[2018 $ Value]]/VLOOKUP(Budgets[[#This Row],[Jurisdiction]],Places[],7,FALSE)</f>
        <v>73488.713238501485</v>
      </c>
      <c r="N63" s="27"/>
      <c r="O63" s="27" t="s">
        <v>1460</v>
      </c>
      <c r="P63" s="4"/>
      <c r="Q63"/>
    </row>
    <row r="64" spans="1:17" x14ac:dyDescent="0.25">
      <c r="A64" s="19" t="s">
        <v>253</v>
      </c>
      <c r="B64" s="19" t="str">
        <f>INDEX(Places[Type],MATCH(Budgets[[#This Row],[Jurisdiction]],Places[Jurisdiction],0))</f>
        <v>City</v>
      </c>
      <c r="C64" s="19" t="str">
        <f>INDEX(Places[County],MATCH(Budgets[[#This Row],[Jurisdiction]],Places[Jurisdiction],0))</f>
        <v>Ventura</v>
      </c>
      <c r="D64" s="19" t="str">
        <f>INDEX(Places[Majority RB],MATCH(Budgets[[#This Row],[Jurisdiction]],Places[Jurisdiction],0))</f>
        <v>Los Angeles</v>
      </c>
      <c r="E64" s="19">
        <f>INDEX(Places[Majority RB '#],MATCH(Budgets[[#This Row],[Jurisdiction]],Places[Jurisdiction],0))</f>
        <v>4</v>
      </c>
      <c r="F64" s="19" t="str">
        <f>VLOOKUP(Budgets[[#This Row],[Jurisdiction]],Places[#All],8,FALSE)</f>
        <v>Phase I MS4</v>
      </c>
      <c r="G64" s="19"/>
      <c r="H64" s="21" t="s">
        <v>1876</v>
      </c>
      <c r="I64" s="21">
        <f>VALUE(LEFT(Budgets[[#This Row],[Fiscal Year]],4))</f>
        <v>2018</v>
      </c>
      <c r="J64" s="20">
        <v>1512162</v>
      </c>
      <c r="K64" s="27">
        <f>IF(Budgets[[#This Row],[Reference Year]]&gt;2018,Budgets[[#This Row],[Value]],Budgets[[#This Row],[Value]]*(1+VLOOKUP(Budgets[[#This Row],[Reference Year]],Inflation[#All],3,FALSE)))</f>
        <v>1512162</v>
      </c>
      <c r="L64" s="27">
        <f>Budgets[[#This Row],[2018 $ Value]]/VLOOKUP(Budgets[[#This Row],[Jurisdiction]],Places[],6,FALSE)</f>
        <v>21.875128386882114</v>
      </c>
      <c r="M64" s="27">
        <f>Budgets[[#This Row],[2018 $ Value]]/VLOOKUP(Budgets[[#This Row],[Jurisdiction]],Places[],7,FALSE)</f>
        <v>76759.492385786798</v>
      </c>
      <c r="N64" s="27" t="s">
        <v>1853</v>
      </c>
      <c r="O64" s="27" t="s">
        <v>1853</v>
      </c>
      <c r="P64" s="4"/>
      <c r="Q64"/>
    </row>
    <row r="65" spans="1:17" x14ac:dyDescent="0.25">
      <c r="A65" s="19" t="s">
        <v>229</v>
      </c>
      <c r="B65" s="19" t="str">
        <f>INDEX(Places[Type],MATCH(Budgets[[#This Row],[Jurisdiction]],Places[Jurisdiction],0))</f>
        <v>City</v>
      </c>
      <c r="C65" s="19" t="str">
        <f>INDEX(Places[County],MATCH(Budgets[[#This Row],[Jurisdiction]],Places[Jurisdiction],0))</f>
        <v>Riverside</v>
      </c>
      <c r="D65" s="21" t="str">
        <f>INDEX(Places[Majority RB],MATCH(Budgets[[#This Row],[Jurisdiction]],Places[Jurisdiction],0))</f>
        <v>Santa Ana</v>
      </c>
      <c r="E65" s="19">
        <f>INDEX(Places[Majority RB '#],MATCH(Budgets[[#This Row],[Jurisdiction]],Places[Jurisdiction],0))</f>
        <v>8</v>
      </c>
      <c r="F65" s="19" t="str">
        <f>VLOOKUP(Budgets[[#This Row],[Jurisdiction]],Places[#All],8,FALSE)</f>
        <v>Phase I MS4</v>
      </c>
      <c r="G65" s="81"/>
      <c r="H65" s="21" t="s">
        <v>1869</v>
      </c>
      <c r="I65" s="21">
        <f>VALUE(LEFT(Budgets[[#This Row],[Fiscal Year]],4))</f>
        <v>2016</v>
      </c>
      <c r="J65" s="20">
        <v>165235.65</v>
      </c>
      <c r="K65" s="27">
        <f>IF(Budgets[[#This Row],[Reference Year]]&gt;2018,Budgets[[#This Row],[Value]],Budgets[[#This Row],[Value]]*(1+VLOOKUP(Budgets[[#This Row],[Reference Year]],Inflation[#All],3,FALSE)))</f>
        <v>173243.38268812501</v>
      </c>
      <c r="L65" s="27">
        <f>Budgets[[#This Row],[2018 $ Value]]/VLOOKUP(Budgets[[#This Row],[Jurisdiction]],Places[],6,FALSE)</f>
        <v>15.376176683067809</v>
      </c>
      <c r="M65" s="27">
        <f>Budgets[[#This Row],[2018 $ Value]]/VLOOKUP(Budgets[[#This Row],[Jurisdiction]],Places[],7,FALSE)</f>
        <v>44421.380176442311</v>
      </c>
      <c r="N65" s="27"/>
      <c r="O65" s="27" t="s">
        <v>1853</v>
      </c>
      <c r="P65" s="4"/>
      <c r="Q65"/>
    </row>
    <row r="66" spans="1:17" x14ac:dyDescent="0.25">
      <c r="A66" s="19" t="s">
        <v>221</v>
      </c>
      <c r="B66" s="19" t="str">
        <f>INDEX(Places[Type],MATCH(Budgets[[#This Row],[Jurisdiction]],Places[Jurisdiction],0))</f>
        <v>City</v>
      </c>
      <c r="C66" s="19" t="str">
        <f>INDEX(Places[County],MATCH(Budgets[[#This Row],[Jurisdiction]],Places[Jurisdiction],0))</f>
        <v>Los Angeles</v>
      </c>
      <c r="D66" s="21" t="str">
        <f>INDEX(Places[Majority RB],MATCH(Budgets[[#This Row],[Jurisdiction]],Places[Jurisdiction],0))</f>
        <v>Los Angeles</v>
      </c>
      <c r="E66" s="19">
        <f>INDEX(Places[Majority RB '#],MATCH(Budgets[[#This Row],[Jurisdiction]],Places[Jurisdiction],0))</f>
        <v>4</v>
      </c>
      <c r="F66" s="19" t="str">
        <f>VLOOKUP(Budgets[[#This Row],[Jurisdiction]],Places[#All],8,FALSE)</f>
        <v>Phase I MS4</v>
      </c>
      <c r="G66" s="81"/>
      <c r="H66" s="21" t="s">
        <v>1870</v>
      </c>
      <c r="I66" s="21">
        <f>VALUE(LEFT(Budgets[[#This Row],[Fiscal Year]],4))</f>
        <v>2011</v>
      </c>
      <c r="J66" s="20">
        <v>1500530</v>
      </c>
      <c r="K66" s="27">
        <f>IF(Budgets[[#This Row],[Reference Year]]&gt;2018,Budgets[[#This Row],[Value]],Budgets[[#This Row],[Value]]*(1+VLOOKUP(Budgets[[#This Row],[Reference Year]],Inflation[#All],3,FALSE)))</f>
        <v>1678878.8991996443</v>
      </c>
      <c r="L66" s="27">
        <f>Budgets[[#This Row],[2018 $ Value]]/VLOOKUP(Budgets[[#This Row],[Jurisdiction]],Places[],6,FALSE)</f>
        <v>18.266751887188896</v>
      </c>
      <c r="M66" s="27">
        <f>Budgets[[#This Row],[2018 $ Value]]/VLOOKUP(Budgets[[#This Row],[Jurisdiction]],Places[],7,FALSE)</f>
        <v>89779.620278055852</v>
      </c>
      <c r="N66" s="27"/>
      <c r="O66" s="27" t="s">
        <v>1460</v>
      </c>
      <c r="P66" s="4"/>
      <c r="Q66"/>
    </row>
    <row r="67" spans="1:17" x14ac:dyDescent="0.25">
      <c r="A67" s="19" t="s">
        <v>221</v>
      </c>
      <c r="B67" s="19" t="str">
        <f>INDEX(Places[Type],MATCH(Budgets[[#This Row],[Jurisdiction]],Places[Jurisdiction],0))</f>
        <v>City</v>
      </c>
      <c r="C67" s="19" t="str">
        <f>INDEX(Places[County],MATCH(Budgets[[#This Row],[Jurisdiction]],Places[Jurisdiction],0))</f>
        <v>Los Angeles</v>
      </c>
      <c r="D67" s="21" t="str">
        <f>INDEX(Places[Majority RB],MATCH(Budgets[[#This Row],[Jurisdiction]],Places[Jurisdiction],0))</f>
        <v>Los Angeles</v>
      </c>
      <c r="E67" s="19">
        <f>INDEX(Places[Majority RB '#],MATCH(Budgets[[#This Row],[Jurisdiction]],Places[Jurisdiction],0))</f>
        <v>4</v>
      </c>
      <c r="F67" s="19" t="str">
        <f>VLOOKUP(Budgets[[#This Row],[Jurisdiction]],Places[#All],8,FALSE)</f>
        <v>Phase I MS4</v>
      </c>
      <c r="G67" s="81"/>
      <c r="H67" s="21" t="s">
        <v>1871</v>
      </c>
      <c r="I67" s="21">
        <f>VALUE(LEFT(Budgets[[#This Row],[Fiscal Year]],4))</f>
        <v>2012</v>
      </c>
      <c r="J67" s="20">
        <v>1714930</v>
      </c>
      <c r="K67" s="27">
        <f>IF(Budgets[[#This Row],[Reference Year]]&gt;2018,Budgets[[#This Row],[Value]],Budgets[[#This Row],[Value]]*(1+VLOOKUP(Budgets[[#This Row],[Reference Year]],Inflation[#All],3,FALSE)))</f>
        <v>1879484.1064024391</v>
      </c>
      <c r="L67" s="27">
        <f>Budgets[[#This Row],[2018 $ Value]]/VLOOKUP(Budgets[[#This Row],[Jurisdiction]],Places[],6,FALSE)</f>
        <v>20.449402195676583</v>
      </c>
      <c r="M67" s="27">
        <f>Budgets[[#This Row],[2018 $ Value]]/VLOOKUP(Budgets[[#This Row],[Jurisdiction]],Places[],7,FALSE)</f>
        <v>100507.17146537108</v>
      </c>
      <c r="N67" s="27"/>
      <c r="O67" s="27" t="s">
        <v>1460</v>
      </c>
      <c r="P67" s="4"/>
      <c r="Q67"/>
    </row>
    <row r="68" spans="1:17" x14ac:dyDescent="0.25">
      <c r="A68" s="19" t="s">
        <v>221</v>
      </c>
      <c r="B68" s="19" t="str">
        <f>INDEX(Places[Type],MATCH(Budgets[[#This Row],[Jurisdiction]],Places[Jurisdiction],0))</f>
        <v>City</v>
      </c>
      <c r="C68" s="19" t="str">
        <f>INDEX(Places[County],MATCH(Budgets[[#This Row],[Jurisdiction]],Places[Jurisdiction],0))</f>
        <v>Los Angeles</v>
      </c>
      <c r="D68" s="21" t="str">
        <f>INDEX(Places[Majority RB],MATCH(Budgets[[#This Row],[Jurisdiction]],Places[Jurisdiction],0))</f>
        <v>Los Angeles</v>
      </c>
      <c r="E68" s="19">
        <f>INDEX(Places[Majority RB '#],MATCH(Budgets[[#This Row],[Jurisdiction]],Places[Jurisdiction],0))</f>
        <v>4</v>
      </c>
      <c r="F68" s="19" t="str">
        <f>VLOOKUP(Budgets[[#This Row],[Jurisdiction]],Places[#All],8,FALSE)</f>
        <v>Phase I MS4</v>
      </c>
      <c r="G68" s="81"/>
      <c r="H68" s="21" t="s">
        <v>1869</v>
      </c>
      <c r="I68" s="21">
        <f>VALUE(LEFT(Budgets[[#This Row],[Fiscal Year]],4))</f>
        <v>2016</v>
      </c>
      <c r="J68" s="20">
        <v>1651000</v>
      </c>
      <c r="K68" s="27">
        <f>IF(Budgets[[#This Row],[Reference Year]]&gt;2018,Budgets[[#This Row],[Value]],Budgets[[#This Row],[Value]]*(1+VLOOKUP(Budgets[[#This Row],[Reference Year]],Inflation[#All],3,FALSE)))</f>
        <v>1731011.5875000001</v>
      </c>
      <c r="L68" s="27">
        <f>Budgets[[#This Row],[2018 $ Value]]/VLOOKUP(Budgets[[#This Row],[Jurisdiction]],Places[],6,FALSE)</f>
        <v>18.833972597895745</v>
      </c>
      <c r="M68" s="27">
        <f>Budgets[[#This Row],[2018 $ Value]]/VLOOKUP(Budgets[[#This Row],[Jurisdiction]],Places[],7,FALSE)</f>
        <v>92567.464572192519</v>
      </c>
      <c r="N68" s="27"/>
      <c r="O68" s="27" t="s">
        <v>1853</v>
      </c>
      <c r="P68" s="4"/>
      <c r="Q68"/>
    </row>
    <row r="69" spans="1:17" x14ac:dyDescent="0.25">
      <c r="A69" s="19" t="s">
        <v>161</v>
      </c>
      <c r="B69" s="19" t="str">
        <f>INDEX(Places[Type],MATCH(Budgets[[#This Row],[Jurisdiction]],Places[Jurisdiction],0))</f>
        <v>City</v>
      </c>
      <c r="C69" s="19" t="str">
        <f>INDEX(Places[County],MATCH(Budgets[[#This Row],[Jurisdiction]],Places[Jurisdiction],0))</f>
        <v>Los Angeles</v>
      </c>
      <c r="D69" s="21" t="str">
        <f>INDEX(Places[Majority RB],MATCH(Budgets[[#This Row],[Jurisdiction]],Places[Jurisdiction],0))</f>
        <v>Los Angeles</v>
      </c>
      <c r="E69" s="19">
        <f>INDEX(Places[Majority RB '#],MATCH(Budgets[[#This Row],[Jurisdiction]],Places[Jurisdiction],0))</f>
        <v>4</v>
      </c>
      <c r="F69" s="19" t="str">
        <f>VLOOKUP(Budgets[[#This Row],[Jurisdiction]],Places[#All],8,FALSE)</f>
        <v>Phase I MS4</v>
      </c>
      <c r="G69" s="81"/>
      <c r="H69" s="100" t="s">
        <v>1870</v>
      </c>
      <c r="I69" s="21">
        <f>VALUE(LEFT(Budgets[[#This Row],[Fiscal Year]],4))</f>
        <v>2011</v>
      </c>
      <c r="J69" s="20">
        <v>15808683</v>
      </c>
      <c r="K69" s="27">
        <f>IF(Budgets[[#This Row],[Reference Year]]&gt;2018,Budgets[[#This Row],[Value]],Budgets[[#This Row],[Value]]*(1+VLOOKUP(Budgets[[#This Row],[Reference Year]],Inflation[#All],3,FALSE)))</f>
        <v>17687659.902058695</v>
      </c>
      <c r="L69" s="27">
        <f>Budgets[[#This Row],[2018 $ Value]]/VLOOKUP(Budgets[[#This Row],[Jurisdiction]],Places[],6,FALSE)</f>
        <v>350.51444457331644</v>
      </c>
      <c r="M69" s="27">
        <f>Budgets[[#This Row],[2018 $ Value]]/VLOOKUP(Budgets[[#This Row],[Jurisdiction]],Places[],7,FALSE)</f>
        <v>2033064.3565584708</v>
      </c>
      <c r="N69" s="27"/>
      <c r="O69" s="27" t="s">
        <v>1460</v>
      </c>
      <c r="P69" s="4"/>
      <c r="Q69"/>
    </row>
    <row r="70" spans="1:17" x14ac:dyDescent="0.25">
      <c r="A70" s="19" t="s">
        <v>161</v>
      </c>
      <c r="B70" s="19" t="str">
        <f>INDEX(Places[Type],MATCH(Budgets[[#This Row],[Jurisdiction]],Places[Jurisdiction],0))</f>
        <v>City</v>
      </c>
      <c r="C70" s="19" t="str">
        <f>INDEX(Places[County],MATCH(Budgets[[#This Row],[Jurisdiction]],Places[Jurisdiction],0))</f>
        <v>Los Angeles</v>
      </c>
      <c r="D70" s="21" t="str">
        <f>INDEX(Places[Majority RB],MATCH(Budgets[[#This Row],[Jurisdiction]],Places[Jurisdiction],0))</f>
        <v>Los Angeles</v>
      </c>
      <c r="E70" s="19">
        <f>INDEX(Places[Majority RB '#],MATCH(Budgets[[#This Row],[Jurisdiction]],Places[Jurisdiction],0))</f>
        <v>4</v>
      </c>
      <c r="F70" s="19" t="str">
        <f>VLOOKUP(Budgets[[#This Row],[Jurisdiction]],Places[#All],8,FALSE)</f>
        <v>Phase I MS4</v>
      </c>
      <c r="G70" s="81"/>
      <c r="H70" s="100" t="s">
        <v>1871</v>
      </c>
      <c r="I70" s="21">
        <f>VALUE(LEFT(Budgets[[#This Row],[Fiscal Year]],4))</f>
        <v>2012</v>
      </c>
      <c r="J70" s="20">
        <v>16675444</v>
      </c>
      <c r="K70" s="27">
        <f>IF(Budgets[[#This Row],[Reference Year]]&gt;2018,Budgets[[#This Row],[Value]],Budgets[[#This Row],[Value]]*(1+VLOOKUP(Budgets[[#This Row],[Reference Year]],Inflation[#All],3,FALSE)))</f>
        <v>18275516.764651567</v>
      </c>
      <c r="L70" s="27">
        <f>Budgets[[#This Row],[2018 $ Value]]/VLOOKUP(Budgets[[#This Row],[Jurisdiction]],Places[],6,FALSE)</f>
        <v>362.16394048296871</v>
      </c>
      <c r="M70" s="27">
        <f>Budgets[[#This Row],[2018 $ Value]]/VLOOKUP(Budgets[[#This Row],[Jurisdiction]],Places[],7,FALSE)</f>
        <v>2100634.1108794906</v>
      </c>
      <c r="N70" s="27"/>
      <c r="O70" s="27" t="s">
        <v>1460</v>
      </c>
      <c r="P70" s="4"/>
      <c r="Q70"/>
    </row>
    <row r="71" spans="1:17" x14ac:dyDescent="0.25">
      <c r="A71" s="19" t="s">
        <v>161</v>
      </c>
      <c r="B71" s="19" t="str">
        <f>INDEX(Places[Type],MATCH(Budgets[[#This Row],[Jurisdiction]],Places[Jurisdiction],0))</f>
        <v>City</v>
      </c>
      <c r="C71" s="19" t="str">
        <f>INDEX(Places[County],MATCH(Budgets[[#This Row],[Jurisdiction]],Places[Jurisdiction],0))</f>
        <v>Los Angeles</v>
      </c>
      <c r="D71" s="21" t="str">
        <f>INDEX(Places[Majority RB],MATCH(Budgets[[#This Row],[Jurisdiction]],Places[Jurisdiction],0))</f>
        <v>Los Angeles</v>
      </c>
      <c r="E71" s="19">
        <f>INDEX(Places[Majority RB '#],MATCH(Budgets[[#This Row],[Jurisdiction]],Places[Jurisdiction],0))</f>
        <v>4</v>
      </c>
      <c r="F71" s="19" t="str">
        <f>VLOOKUP(Budgets[[#This Row],[Jurisdiction]],Places[#All],8,FALSE)</f>
        <v>Phase I MS4</v>
      </c>
      <c r="G71" s="81"/>
      <c r="H71" s="100" t="s">
        <v>1869</v>
      </c>
      <c r="I71" s="21">
        <f>VALUE(LEFT(Budgets[[#This Row],[Fiscal Year]],4))</f>
        <v>2016</v>
      </c>
      <c r="J71" s="20">
        <v>928777</v>
      </c>
      <c r="K71" s="27">
        <f>IF(Budgets[[#This Row],[Reference Year]]&gt;2018,Budgets[[#This Row],[Value]],Budgets[[#This Row],[Value]]*(1+VLOOKUP(Budgets[[#This Row],[Reference Year]],Inflation[#All],3,FALSE)))</f>
        <v>973787.85536250006</v>
      </c>
      <c r="L71" s="27">
        <f>Budgets[[#This Row],[2018 $ Value]]/VLOOKUP(Budgets[[#This Row],[Jurisdiction]],Places[],6,FALSE)</f>
        <v>19.297448681433554</v>
      </c>
      <c r="M71" s="27">
        <f>Budgets[[#This Row],[2018 $ Value]]/VLOOKUP(Budgets[[#This Row],[Jurisdiction]],Places[],7,FALSE)</f>
        <v>111929.63854741381</v>
      </c>
      <c r="N71" s="27"/>
      <c r="O71" s="27" t="s">
        <v>1853</v>
      </c>
      <c r="P71" s="4"/>
      <c r="Q71"/>
    </row>
    <row r="72" spans="1:17" x14ac:dyDescent="0.25">
      <c r="A72" s="19" t="s">
        <v>241</v>
      </c>
      <c r="B72" s="19" t="str">
        <f>INDEX(Places[Type],MATCH(Budgets[[#This Row],[Jurisdiction]],Places[Jurisdiction],0))</f>
        <v>City</v>
      </c>
      <c r="C72" s="19" t="str">
        <f>INDEX(Places[County],MATCH(Budgets[[#This Row],[Jurisdiction]],Places[Jurisdiction],0))</f>
        <v>San Bernardino</v>
      </c>
      <c r="D72" s="21" t="str">
        <f>INDEX(Places[Majority RB],MATCH(Budgets[[#This Row],[Jurisdiction]],Places[Jurisdiction],0))</f>
        <v>Santa Ana</v>
      </c>
      <c r="E72" s="19">
        <f>INDEX(Places[Majority RB '#],MATCH(Budgets[[#This Row],[Jurisdiction]],Places[Jurisdiction],0))</f>
        <v>8</v>
      </c>
      <c r="F72" s="19" t="str">
        <f>VLOOKUP(Budgets[[#This Row],[Jurisdiction]],Places[#All],8,FALSE)</f>
        <v>Phase I MS4</v>
      </c>
      <c r="G72" s="81"/>
      <c r="H72" s="21" t="s">
        <v>1871</v>
      </c>
      <c r="I72" s="21">
        <f>VALUE(LEFT(Budgets[[#This Row],[Fiscal Year]],4))</f>
        <v>2012</v>
      </c>
      <c r="J72" s="20">
        <v>582629</v>
      </c>
      <c r="K72" s="27">
        <f>IF(Budgets[[#This Row],[Reference Year]]&gt;2018,Budgets[[#This Row],[Value]],Budgets[[#This Row],[Value]]*(1+VLOOKUP(Budgets[[#This Row],[Reference Year]],Inflation[#All],3,FALSE)))</f>
        <v>638534.48562282231</v>
      </c>
      <c r="L72" s="27">
        <f>Budgets[[#This Row],[2018 $ Value]]/VLOOKUP(Budgets[[#This Row],[Jurisdiction]],Places[],6,FALSE)</f>
        <v>6.9721944642872842</v>
      </c>
      <c r="M72" s="27">
        <f>Budgets[[#This Row],[2018 $ Value]]/VLOOKUP(Budgets[[#This Row],[Jurisdiction]],Places[],7,FALSE)</f>
        <v>21499.477630398058</v>
      </c>
      <c r="N72" s="27"/>
      <c r="O72" s="27" t="s">
        <v>1460</v>
      </c>
      <c r="P72" s="4"/>
      <c r="Q72"/>
    </row>
    <row r="73" spans="1:17" x14ac:dyDescent="0.25">
      <c r="A73" s="19" t="s">
        <v>241</v>
      </c>
      <c r="B73" s="19" t="str">
        <f>INDEX(Places[Type],MATCH(Budgets[[#This Row],[Jurisdiction]],Places[Jurisdiction],0))</f>
        <v>City</v>
      </c>
      <c r="C73" s="19" t="str">
        <f>INDEX(Places[County],MATCH(Budgets[[#This Row],[Jurisdiction]],Places[Jurisdiction],0))</f>
        <v>San Bernardino</v>
      </c>
      <c r="D73" s="21" t="str">
        <f>INDEX(Places[Majority RB],MATCH(Budgets[[#This Row],[Jurisdiction]],Places[Jurisdiction],0))</f>
        <v>Santa Ana</v>
      </c>
      <c r="E73" s="19">
        <f>INDEX(Places[Majority RB '#],MATCH(Budgets[[#This Row],[Jurisdiction]],Places[Jurisdiction],0))</f>
        <v>8</v>
      </c>
      <c r="F73" s="19" t="str">
        <f>VLOOKUP(Budgets[[#This Row],[Jurisdiction]],Places[#All],8,FALSE)</f>
        <v>Phase I MS4</v>
      </c>
      <c r="G73" s="81"/>
      <c r="H73" s="21" t="s">
        <v>1880</v>
      </c>
      <c r="I73" s="21">
        <f>VALUE(LEFT(Budgets[[#This Row],[Fiscal Year]],4))</f>
        <v>2013</v>
      </c>
      <c r="J73" s="20">
        <v>521000</v>
      </c>
      <c r="K73" s="27">
        <f>IF(Budgets[[#This Row],[Reference Year]]&gt;2018,Budgets[[#This Row],[Value]],Budgets[[#This Row],[Value]]*(1+VLOOKUP(Budgets[[#This Row],[Reference Year]],Inflation[#All],3,FALSE)))</f>
        <v>562659.87553648069</v>
      </c>
      <c r="L73" s="27">
        <f>Budgets[[#This Row],[2018 $ Value]]/VLOOKUP(Budgets[[#This Row],[Jurisdiction]],Places[],6,FALSE)</f>
        <v>6.1437152696076858</v>
      </c>
      <c r="M73" s="27">
        <f>Budgets[[#This Row],[2018 $ Value]]/VLOOKUP(Budgets[[#This Row],[Jurisdiction]],Places[],7,FALSE)</f>
        <v>18944.776954090259</v>
      </c>
      <c r="N73" s="27"/>
      <c r="O73" s="27" t="s">
        <v>1460</v>
      </c>
      <c r="P73" s="4"/>
      <c r="Q73"/>
    </row>
    <row r="74" spans="1:17" x14ac:dyDescent="0.25">
      <c r="A74" s="19" t="s">
        <v>241</v>
      </c>
      <c r="B74" s="19" t="str">
        <f>INDEX(Places[Type],MATCH(Budgets[[#This Row],[Jurisdiction]],Places[Jurisdiction],0))</f>
        <v>City</v>
      </c>
      <c r="C74" s="19" t="str">
        <f>INDEX(Places[County],MATCH(Budgets[[#This Row],[Jurisdiction]],Places[Jurisdiction],0))</f>
        <v>San Bernardino</v>
      </c>
      <c r="D74" s="21" t="str">
        <f>INDEX(Places[Majority RB],MATCH(Budgets[[#This Row],[Jurisdiction]],Places[Jurisdiction],0))</f>
        <v>Santa Ana</v>
      </c>
      <c r="E74" s="19">
        <f>INDEX(Places[Majority RB '#],MATCH(Budgets[[#This Row],[Jurisdiction]],Places[Jurisdiction],0))</f>
        <v>8</v>
      </c>
      <c r="F74" s="19" t="str">
        <f>VLOOKUP(Budgets[[#This Row],[Jurisdiction]],Places[#All],8,FALSE)</f>
        <v>Phase I MS4</v>
      </c>
      <c r="G74" s="81"/>
      <c r="H74" s="21" t="s">
        <v>1881</v>
      </c>
      <c r="I74" s="21">
        <f>VALUE(LEFT(Budgets[[#This Row],[Fiscal Year]],4))</f>
        <v>2014</v>
      </c>
      <c r="J74" s="20">
        <v>514296</v>
      </c>
      <c r="K74" s="27">
        <f>IF(Budgets[[#This Row],[Reference Year]]&gt;2018,Budgets[[#This Row],[Value]],Budgets[[#This Row],[Value]]*(1+VLOOKUP(Budgets[[#This Row],[Reference Year]],Inflation[#All],3,FALSE)))</f>
        <v>546737.71346007613</v>
      </c>
      <c r="L74" s="27">
        <f>Budgets[[#This Row],[2018 $ Value]]/VLOOKUP(Budgets[[#This Row],[Jurisdiction]],Places[],6,FALSE)</f>
        <v>5.9698602738507818</v>
      </c>
      <c r="M74" s="27">
        <f>Budgets[[#This Row],[2018 $ Value]]/VLOOKUP(Budgets[[#This Row],[Jurisdiction]],Places[],7,FALSE)</f>
        <v>18408.677220877984</v>
      </c>
      <c r="N74" s="27"/>
      <c r="O74" s="27" t="s">
        <v>1460</v>
      </c>
      <c r="P74" s="4"/>
      <c r="Q74"/>
    </row>
    <row r="75" spans="1:17" x14ac:dyDescent="0.25">
      <c r="A75" s="19" t="s">
        <v>241</v>
      </c>
      <c r="B75" s="19" t="str">
        <f>INDEX(Places[Type],MATCH(Budgets[[#This Row],[Jurisdiction]],Places[Jurisdiction],0))</f>
        <v>City</v>
      </c>
      <c r="C75" s="19" t="str">
        <f>INDEX(Places[County],MATCH(Budgets[[#This Row],[Jurisdiction]],Places[Jurisdiction],0))</f>
        <v>San Bernardino</v>
      </c>
      <c r="D75" s="21" t="str">
        <f>INDEX(Places[Majority RB],MATCH(Budgets[[#This Row],[Jurisdiction]],Places[Jurisdiction],0))</f>
        <v>Santa Ana</v>
      </c>
      <c r="E75" s="19">
        <f>INDEX(Places[Majority RB '#],MATCH(Budgets[[#This Row],[Jurisdiction]],Places[Jurisdiction],0))</f>
        <v>8</v>
      </c>
      <c r="F75" s="19" t="str">
        <f>VLOOKUP(Budgets[[#This Row],[Jurisdiction]],Places[#All],8,FALSE)</f>
        <v>Phase I MS4</v>
      </c>
      <c r="G75" s="81"/>
      <c r="H75" s="21" t="s">
        <v>1873</v>
      </c>
      <c r="I75" s="21">
        <f>VALUE(LEFT(Budgets[[#This Row],[Fiscal Year]],4))</f>
        <v>2015</v>
      </c>
      <c r="J75" s="20">
        <v>540000</v>
      </c>
      <c r="K75" s="27">
        <f>IF(Budgets[[#This Row],[Reference Year]]&gt;2018,Budgets[[#This Row],[Value]],Budgets[[#This Row],[Value]]*(1+VLOOKUP(Budgets[[#This Row],[Reference Year]],Inflation[#All],3,FALSE)))</f>
        <v>573336.45569620247</v>
      </c>
      <c r="L75" s="27">
        <f>Budgets[[#This Row],[2018 $ Value]]/VLOOKUP(Budgets[[#This Row],[Jurisdiction]],Places[],6,FALSE)</f>
        <v>6.2602934572595617</v>
      </c>
      <c r="M75" s="27">
        <f>Budgets[[#This Row],[2018 $ Value]]/VLOOKUP(Budgets[[#This Row],[Jurisdiction]],Places[],7,FALSE)</f>
        <v>19304.257767548905</v>
      </c>
      <c r="N75" s="27"/>
      <c r="O75" s="27" t="s">
        <v>1460</v>
      </c>
      <c r="P75" s="4"/>
      <c r="Q75"/>
    </row>
    <row r="76" spans="1:17" x14ac:dyDescent="0.25">
      <c r="A76" s="19" t="s">
        <v>241</v>
      </c>
      <c r="B76" s="19" t="str">
        <f>INDEX(Places[Type],MATCH(Budgets[[#This Row],[Jurisdiction]],Places[Jurisdiction],0))</f>
        <v>City</v>
      </c>
      <c r="C76" s="19" t="str">
        <f>INDEX(Places[County],MATCH(Budgets[[#This Row],[Jurisdiction]],Places[Jurisdiction],0))</f>
        <v>San Bernardino</v>
      </c>
      <c r="D76" s="21" t="str">
        <f>INDEX(Places[Majority RB],MATCH(Budgets[[#This Row],[Jurisdiction]],Places[Jurisdiction],0))</f>
        <v>Santa Ana</v>
      </c>
      <c r="E76" s="19">
        <f>INDEX(Places[Majority RB '#],MATCH(Budgets[[#This Row],[Jurisdiction]],Places[Jurisdiction],0))</f>
        <v>8</v>
      </c>
      <c r="F76" s="19" t="str">
        <f>VLOOKUP(Budgets[[#This Row],[Jurisdiction]],Places[#All],8,FALSE)</f>
        <v>Phase I MS4</v>
      </c>
      <c r="G76" s="81"/>
      <c r="H76" s="21" t="s">
        <v>1869</v>
      </c>
      <c r="I76" s="21">
        <f>VALUE(LEFT(Budgets[[#This Row],[Fiscal Year]],4))</f>
        <v>2016</v>
      </c>
      <c r="J76" s="20">
        <v>682000</v>
      </c>
      <c r="K76" s="27">
        <f>IF(Budgets[[#This Row],[Reference Year]]&gt;2018,Budgets[[#This Row],[Value]],Budgets[[#This Row],[Value]]*(1+VLOOKUP(Budgets[[#This Row],[Reference Year]],Inflation[#All],3,FALSE)))</f>
        <v>715051.42500000005</v>
      </c>
      <c r="L76" s="27">
        <f>Budgets[[#This Row],[2018 $ Value]]/VLOOKUP(Budgets[[#This Row],[Jurisdiction]],Places[],6,FALSE)</f>
        <v>7.8076872891257114</v>
      </c>
      <c r="M76" s="27">
        <f>Budgets[[#This Row],[2018 $ Value]]/VLOOKUP(Budgets[[#This Row],[Jurisdiction]],Places[],7,FALSE)</f>
        <v>24075.805555555558</v>
      </c>
      <c r="N76" s="27"/>
      <c r="O76" s="27" t="s">
        <v>1853</v>
      </c>
      <c r="P76" s="4"/>
      <c r="Q76"/>
    </row>
    <row r="77" spans="1:17" x14ac:dyDescent="0.25">
      <c r="A77" s="19" t="s">
        <v>242</v>
      </c>
      <c r="B77" s="19" t="str">
        <f>INDEX(Places[Type],MATCH(Budgets[[#This Row],[Jurisdiction]],Places[Jurisdiction],0))</f>
        <v>City</v>
      </c>
      <c r="C77" s="19" t="str">
        <f>INDEX(Places[County],MATCH(Budgets[[#This Row],[Jurisdiction]],Places[Jurisdiction],0))</f>
        <v>San Bernardino</v>
      </c>
      <c r="D77" s="21" t="str">
        <f>INDEX(Places[Majority RB],MATCH(Budgets[[#This Row],[Jurisdiction]],Places[Jurisdiction],0))</f>
        <v>Santa Ana</v>
      </c>
      <c r="E77" s="19">
        <f>INDEX(Places[Majority RB '#],MATCH(Budgets[[#This Row],[Jurisdiction]],Places[Jurisdiction],0))</f>
        <v>8</v>
      </c>
      <c r="F77" s="19" t="str">
        <f>VLOOKUP(Budgets[[#This Row],[Jurisdiction]],Places[#All],8,FALSE)</f>
        <v>Phase I MS4</v>
      </c>
      <c r="G77" s="81"/>
      <c r="H77" s="21" t="s">
        <v>1871</v>
      </c>
      <c r="I77" s="21">
        <f>VALUE(LEFT(Budgets[[#This Row],[Fiscal Year]],4))</f>
        <v>2012</v>
      </c>
      <c r="J77" s="20">
        <v>402430</v>
      </c>
      <c r="K77" s="27">
        <f>IF(Budgets[[#This Row],[Reference Year]]&gt;2018,Budgets[[#This Row],[Value]],Budgets[[#This Row],[Value]]*(1+VLOOKUP(Budgets[[#This Row],[Reference Year]],Inflation[#All],3,FALSE)))</f>
        <v>441044.70091463416</v>
      </c>
      <c r="L77" s="27">
        <f>Budgets[[#This Row],[2018 $ Value]]/VLOOKUP(Budgets[[#This Row],[Jurisdiction]],Places[],6,FALSE)</f>
        <v>5.2853272246411995</v>
      </c>
      <c r="M77" s="27">
        <f>Budgets[[#This Row],[2018 $ Value]]/VLOOKUP(Budgets[[#This Row],[Jurisdiction]],Places[],7,FALSE)</f>
        <v>9866.7718325421502</v>
      </c>
      <c r="N77" s="27"/>
      <c r="O77" s="27" t="s">
        <v>1460</v>
      </c>
      <c r="P77" s="4"/>
      <c r="Q77"/>
    </row>
    <row r="78" spans="1:17" x14ac:dyDescent="0.25">
      <c r="A78" s="19" t="s">
        <v>242</v>
      </c>
      <c r="B78" s="19" t="str">
        <f>INDEX(Places[Type],MATCH(Budgets[[#This Row],[Jurisdiction]],Places[Jurisdiction],0))</f>
        <v>City</v>
      </c>
      <c r="C78" s="19" t="str">
        <f>INDEX(Places[County],MATCH(Budgets[[#This Row],[Jurisdiction]],Places[Jurisdiction],0))</f>
        <v>San Bernardino</v>
      </c>
      <c r="D78" s="21" t="str">
        <f>INDEX(Places[Majority RB],MATCH(Budgets[[#This Row],[Jurisdiction]],Places[Jurisdiction],0))</f>
        <v>Santa Ana</v>
      </c>
      <c r="E78" s="19">
        <f>INDEX(Places[Majority RB '#],MATCH(Budgets[[#This Row],[Jurisdiction]],Places[Jurisdiction],0))</f>
        <v>8</v>
      </c>
      <c r="F78" s="19" t="str">
        <f>VLOOKUP(Budgets[[#This Row],[Jurisdiction]],Places[#All],8,FALSE)</f>
        <v>Phase I MS4</v>
      </c>
      <c r="G78" s="81"/>
      <c r="H78" s="21" t="s">
        <v>1880</v>
      </c>
      <c r="I78" s="21">
        <f>VALUE(LEFT(Budgets[[#This Row],[Fiscal Year]],4))</f>
        <v>2013</v>
      </c>
      <c r="J78" s="20">
        <v>422300</v>
      </c>
      <c r="K78" s="27">
        <f>IF(Budgets[[#This Row],[Reference Year]]&gt;2018,Budgets[[#This Row],[Value]],Budgets[[#This Row],[Value]]*(1+VLOOKUP(Budgets[[#This Row],[Reference Year]],Inflation[#All],3,FALSE)))</f>
        <v>456067.68798283261</v>
      </c>
      <c r="L78" s="27">
        <f>Budgets[[#This Row],[2018 $ Value]]/VLOOKUP(Budgets[[#This Row],[Jurisdiction]],Places[],6,FALSE)</f>
        <v>5.4653575081528709</v>
      </c>
      <c r="M78" s="27">
        <f>Budgets[[#This Row],[2018 $ Value]]/VLOOKUP(Budgets[[#This Row],[Jurisdiction]],Places[],7,FALSE)</f>
        <v>10202.856554425785</v>
      </c>
      <c r="N78" s="27"/>
      <c r="O78" s="27" t="s">
        <v>1853</v>
      </c>
      <c r="P78" s="4"/>
      <c r="Q78"/>
    </row>
    <row r="79" spans="1:17" x14ac:dyDescent="0.25">
      <c r="A79" s="19" t="s">
        <v>138</v>
      </c>
      <c r="B79" s="19" t="str">
        <f>INDEX(Places[Type],MATCH(Budgets[[#This Row],[Jurisdiction]],Places[Jurisdiction],0))</f>
        <v>City</v>
      </c>
      <c r="C79" s="19" t="str">
        <f>INDEX(Places[County],MATCH(Budgets[[#This Row],[Jurisdiction]],Places[Jurisdiction],0))</f>
        <v>Sacramento</v>
      </c>
      <c r="D79" s="21" t="str">
        <f>INDEX(Places[Majority RB],MATCH(Budgets[[#This Row],[Jurisdiction]],Places[Jurisdiction],0))</f>
        <v>Central Valley</v>
      </c>
      <c r="E79" s="19">
        <f>INDEX(Places[Majority RB '#],MATCH(Budgets[[#This Row],[Jurisdiction]],Places[Jurisdiction],0))</f>
        <v>5</v>
      </c>
      <c r="F79" s="19" t="str">
        <f>VLOOKUP(Budgets[[#This Row],[Jurisdiction]],Places[#All],8,FALSE)</f>
        <v>Phase I MS4</v>
      </c>
      <c r="G79" s="81"/>
      <c r="H79" s="21" t="s">
        <v>1871</v>
      </c>
      <c r="I79" s="21">
        <f>VALUE(LEFT(Budgets[[#This Row],[Fiscal Year]],4))</f>
        <v>2012</v>
      </c>
      <c r="J79" s="20">
        <v>4617000</v>
      </c>
      <c r="K79" s="27">
        <f>IF(Budgets[[#This Row],[Reference Year]]&gt;2018,Budgets[[#This Row],[Value]],Budgets[[#This Row],[Value]]*(1+VLOOKUP(Budgets[[#This Row],[Reference Year]],Inflation[#All],3,FALSE)))</f>
        <v>5060018.8458188158</v>
      </c>
      <c r="L79" s="27">
        <f>Budgets[[#This Row],[2018 $ Value]]/VLOOKUP(Budgets[[#This Row],[Jurisdiction]],Places[],6,FALSE)</f>
        <v>57.559081399372268</v>
      </c>
      <c r="M79" s="27">
        <f>Budgets[[#This Row],[2018 $ Value]]/VLOOKUP(Budgets[[#This Row],[Jurisdiction]],Places[],7,FALSE)</f>
        <v>356339.35533935326</v>
      </c>
      <c r="N79" s="27"/>
      <c r="O79" s="27" t="s">
        <v>1460</v>
      </c>
      <c r="P79" s="4"/>
      <c r="Q79"/>
    </row>
    <row r="80" spans="1:17" x14ac:dyDescent="0.25">
      <c r="A80" s="19" t="s">
        <v>138</v>
      </c>
      <c r="B80" s="19" t="str">
        <f>INDEX(Places[Type],MATCH(Budgets[[#This Row],[Jurisdiction]],Places[Jurisdiction],0))</f>
        <v>City</v>
      </c>
      <c r="C80" s="19" t="str">
        <f>INDEX(Places[County],MATCH(Budgets[[#This Row],[Jurisdiction]],Places[Jurisdiction],0))</f>
        <v>Sacramento</v>
      </c>
      <c r="D80" s="21" t="str">
        <f>INDEX(Places[Majority RB],MATCH(Budgets[[#This Row],[Jurisdiction]],Places[Jurisdiction],0))</f>
        <v>Central Valley</v>
      </c>
      <c r="E80" s="19">
        <f>INDEX(Places[Majority RB '#],MATCH(Budgets[[#This Row],[Jurisdiction]],Places[Jurisdiction],0))</f>
        <v>5</v>
      </c>
      <c r="F80" s="19" t="str">
        <f>VLOOKUP(Budgets[[#This Row],[Jurisdiction]],Places[#All],8,FALSE)</f>
        <v>Phase I MS4</v>
      </c>
      <c r="G80" s="81"/>
      <c r="H80" s="21" t="s">
        <v>1880</v>
      </c>
      <c r="I80" s="21">
        <f>VALUE(LEFT(Budgets[[#This Row],[Fiscal Year]],4))</f>
        <v>2013</v>
      </c>
      <c r="J80" s="20">
        <v>4617000</v>
      </c>
      <c r="K80" s="27">
        <f>IF(Budgets[[#This Row],[Reference Year]]&gt;2018,Budgets[[#This Row],[Value]],Budgets[[#This Row],[Value]]*(1+VLOOKUP(Budgets[[#This Row],[Reference Year]],Inflation[#All],3,FALSE)))</f>
        <v>4986181.6609442066</v>
      </c>
      <c r="L80" s="27">
        <f>Budgets[[#This Row],[2018 $ Value]]/VLOOKUP(Budgets[[#This Row],[Jurisdiction]],Places[],6,FALSE)</f>
        <v>56.719163473372845</v>
      </c>
      <c r="M80" s="27">
        <f>Budgets[[#This Row],[2018 $ Value]]/VLOOKUP(Budgets[[#This Row],[Jurisdiction]],Places[],7,FALSE)</f>
        <v>351139.5535876202</v>
      </c>
      <c r="N80" s="27"/>
      <c r="O80" s="27" t="s">
        <v>1460</v>
      </c>
      <c r="P80" s="4"/>
      <c r="Q80"/>
    </row>
    <row r="81" spans="1:17" x14ac:dyDescent="0.25">
      <c r="A81" s="19" t="s">
        <v>138</v>
      </c>
      <c r="B81" s="19" t="str">
        <f>INDEX(Places[Type],MATCH(Budgets[[#This Row],[Jurisdiction]],Places[Jurisdiction],0))</f>
        <v>City</v>
      </c>
      <c r="C81" s="19" t="str">
        <f>INDEX(Places[County],MATCH(Budgets[[#This Row],[Jurisdiction]],Places[Jurisdiction],0))</f>
        <v>Sacramento</v>
      </c>
      <c r="D81" s="21" t="str">
        <f>INDEX(Places[Majority RB],MATCH(Budgets[[#This Row],[Jurisdiction]],Places[Jurisdiction],0))</f>
        <v>Central Valley</v>
      </c>
      <c r="E81" s="19">
        <f>INDEX(Places[Majority RB '#],MATCH(Budgets[[#This Row],[Jurisdiction]],Places[Jurisdiction],0))</f>
        <v>5</v>
      </c>
      <c r="F81" s="19" t="str">
        <f>VLOOKUP(Budgets[[#This Row],[Jurisdiction]],Places[#All],8,FALSE)</f>
        <v>Phase I MS4</v>
      </c>
      <c r="G81" s="81"/>
      <c r="H81" s="21" t="s">
        <v>1881</v>
      </c>
      <c r="I81" s="21">
        <f>VALUE(LEFT(Budgets[[#This Row],[Fiscal Year]],4))</f>
        <v>2014</v>
      </c>
      <c r="J81" s="20">
        <v>4604000</v>
      </c>
      <c r="K81" s="27">
        <f>IF(Budgets[[#This Row],[Reference Year]]&gt;2018,Budgets[[#This Row],[Value]],Budgets[[#This Row],[Value]]*(1+VLOOKUP(Budgets[[#This Row],[Reference Year]],Inflation[#All],3,FALSE)))</f>
        <v>4894419.6197718633</v>
      </c>
      <c r="L81" s="27">
        <f>Budgets[[#This Row],[2018 $ Value]]/VLOOKUP(Budgets[[#This Row],[Jurisdiction]],Places[],6,FALSE)</f>
        <v>55.675345464359722</v>
      </c>
      <c r="M81" s="27">
        <f>Budgets[[#This Row],[2018 $ Value]]/VLOOKUP(Budgets[[#This Row],[Jurisdiction]],Places[],7,FALSE)</f>
        <v>344677.43801210308</v>
      </c>
      <c r="N81" s="27"/>
      <c r="O81" s="27" t="s">
        <v>1853</v>
      </c>
      <c r="P81" s="4"/>
      <c r="Q81"/>
    </row>
    <row r="82" spans="1:17" x14ac:dyDescent="0.25">
      <c r="A82" s="19" t="s">
        <v>152</v>
      </c>
      <c r="B82" s="19" t="str">
        <f>INDEX(Places[Type],MATCH(Budgets[[#This Row],[Jurisdiction]],Places[Jurisdiction],0))</f>
        <v>City</v>
      </c>
      <c r="C82" s="19" t="str">
        <f>INDEX(Places[County],MATCH(Budgets[[#This Row],[Jurisdiction]],Places[Jurisdiction],0))</f>
        <v>Los Angeles</v>
      </c>
      <c r="D82" s="21" t="str">
        <f>INDEX(Places[Majority RB],MATCH(Budgets[[#This Row],[Jurisdiction]],Places[Jurisdiction],0))</f>
        <v>Los Angeles</v>
      </c>
      <c r="E82" s="19">
        <f>INDEX(Places[Majority RB '#],MATCH(Budgets[[#This Row],[Jurisdiction]],Places[Jurisdiction],0))</f>
        <v>4</v>
      </c>
      <c r="F82" s="19" t="str">
        <f>VLOOKUP(Budgets[[#This Row],[Jurisdiction]],Places[#All],8,FALSE)</f>
        <v>Phase I MS4</v>
      </c>
      <c r="G82" s="81"/>
      <c r="H82" s="100" t="s">
        <v>1870</v>
      </c>
      <c r="I82" s="21">
        <f>VALUE(LEFT(Budgets[[#This Row],[Fiscal Year]],4))</f>
        <v>2011</v>
      </c>
      <c r="J82" s="20">
        <v>328000</v>
      </c>
      <c r="K82" s="27">
        <f>IF(Budgets[[#This Row],[Reference Year]]&gt;2018,Budgets[[#This Row],[Value]],Budgets[[#This Row],[Value]]*(1+VLOOKUP(Budgets[[#This Row],[Reference Year]],Inflation[#All],3,FALSE)))</f>
        <v>366985.18452645623</v>
      </c>
      <c r="L82" s="27">
        <f>Budgets[[#This Row],[2018 $ Value]]/VLOOKUP(Budgets[[#This Row],[Jurisdiction]],Places[],6,FALSE)</f>
        <v>10.060452451517524</v>
      </c>
      <c r="M82" s="27">
        <f>Budgets[[#This Row],[2018 $ Value]]/VLOOKUP(Budgets[[#This Row],[Jurisdiction]],Places[],7,FALSE)</f>
        <v>27386.954069138523</v>
      </c>
      <c r="N82" s="27"/>
      <c r="O82" s="27" t="s">
        <v>1460</v>
      </c>
      <c r="P82" s="4"/>
      <c r="Q82"/>
    </row>
    <row r="83" spans="1:17" x14ac:dyDescent="0.25">
      <c r="A83" s="19" t="s">
        <v>152</v>
      </c>
      <c r="B83" s="19" t="str">
        <f>INDEX(Places[Type],MATCH(Budgets[[#This Row],[Jurisdiction]],Places[Jurisdiction],0))</f>
        <v>City</v>
      </c>
      <c r="C83" s="19" t="str">
        <f>INDEX(Places[County],MATCH(Budgets[[#This Row],[Jurisdiction]],Places[Jurisdiction],0))</f>
        <v>Los Angeles</v>
      </c>
      <c r="D83" s="21" t="str">
        <f>INDEX(Places[Majority RB],MATCH(Budgets[[#This Row],[Jurisdiction]],Places[Jurisdiction],0))</f>
        <v>Los Angeles</v>
      </c>
      <c r="E83" s="19">
        <f>INDEX(Places[Majority RB '#],MATCH(Budgets[[#This Row],[Jurisdiction]],Places[Jurisdiction],0))</f>
        <v>4</v>
      </c>
      <c r="F83" s="19" t="str">
        <f>VLOOKUP(Budgets[[#This Row],[Jurisdiction]],Places[#All],8,FALSE)</f>
        <v>Phase I MS4</v>
      </c>
      <c r="G83" s="81"/>
      <c r="H83" s="100" t="s">
        <v>1871</v>
      </c>
      <c r="I83" s="21">
        <f>VALUE(LEFT(Budgets[[#This Row],[Fiscal Year]],4))</f>
        <v>2012</v>
      </c>
      <c r="J83" s="20">
        <v>328000</v>
      </c>
      <c r="K83" s="27">
        <f>IF(Budgets[[#This Row],[Reference Year]]&gt;2018,Budgets[[#This Row],[Value]],Budgets[[#This Row],[Value]]*(1+VLOOKUP(Budgets[[#This Row],[Reference Year]],Inflation[#All],3,FALSE)))</f>
        <v>359472.85714285716</v>
      </c>
      <c r="L83" s="27">
        <f>Budgets[[#This Row],[2018 $ Value]]/VLOOKUP(Budgets[[#This Row],[Jurisdiction]],Places[],6,FALSE)</f>
        <v>9.8545111339124176</v>
      </c>
      <c r="M83" s="27">
        <f>Budgets[[#This Row],[2018 $ Value]]/VLOOKUP(Budgets[[#This Row],[Jurisdiction]],Places[],7,FALSE)</f>
        <v>26826.33262260128</v>
      </c>
      <c r="N83" s="27"/>
      <c r="O83" s="27" t="s">
        <v>1460</v>
      </c>
      <c r="P83" s="4"/>
      <c r="Q83"/>
    </row>
    <row r="84" spans="1:17" x14ac:dyDescent="0.25">
      <c r="A84" s="19" t="s">
        <v>152</v>
      </c>
      <c r="B84" s="19" t="str">
        <f>INDEX(Places[Type],MATCH(Budgets[[#This Row],[Jurisdiction]],Places[Jurisdiction],0))</f>
        <v>City</v>
      </c>
      <c r="C84" s="19" t="str">
        <f>INDEX(Places[County],MATCH(Budgets[[#This Row],[Jurisdiction]],Places[Jurisdiction],0))</f>
        <v>Los Angeles</v>
      </c>
      <c r="D84" s="21" t="str">
        <f>INDEX(Places[Majority RB],MATCH(Budgets[[#This Row],[Jurisdiction]],Places[Jurisdiction],0))</f>
        <v>Los Angeles</v>
      </c>
      <c r="E84" s="19">
        <f>INDEX(Places[Majority RB '#],MATCH(Budgets[[#This Row],[Jurisdiction]],Places[Jurisdiction],0))</f>
        <v>4</v>
      </c>
      <c r="F84" s="19" t="str">
        <f>VLOOKUP(Budgets[[#This Row],[Jurisdiction]],Places[#All],8,FALSE)</f>
        <v>Phase I MS4</v>
      </c>
      <c r="G84" s="81"/>
      <c r="H84" s="100" t="s">
        <v>1869</v>
      </c>
      <c r="I84" s="21">
        <f>VALUE(LEFT(Budgets[[#This Row],[Fiscal Year]],4))</f>
        <v>2016</v>
      </c>
      <c r="J84" s="20">
        <v>6721288</v>
      </c>
      <c r="K84" s="27">
        <f>IF(Budgets[[#This Row],[Reference Year]]&gt;2018,Budgets[[#This Row],[Value]],Budgets[[#This Row],[Value]]*(1+VLOOKUP(Budgets[[#This Row],[Reference Year]],Inflation[#All],3,FALSE)))</f>
        <v>7047018.4197000004</v>
      </c>
      <c r="L84" s="27">
        <f>Budgets[[#This Row],[2018 $ Value]]/VLOOKUP(Budgets[[#This Row],[Jurisdiction]],Places[],6,FALSE)</f>
        <v>193.18543833817645</v>
      </c>
      <c r="M84" s="27">
        <f>Budgets[[#This Row],[2018 $ Value]]/VLOOKUP(Budgets[[#This Row],[Jurisdiction]],Places[],7,FALSE)</f>
        <v>525896.89699253731</v>
      </c>
      <c r="N84" s="27"/>
      <c r="O84" s="27" t="s">
        <v>1853</v>
      </c>
      <c r="P84" s="4"/>
      <c r="Q84"/>
    </row>
    <row r="85" spans="1:17" x14ac:dyDescent="0.25">
      <c r="A85" s="19" t="s">
        <v>123</v>
      </c>
      <c r="B85" s="19" t="str">
        <f>INDEX(Places[Type],MATCH(Budgets[[#This Row],[Jurisdiction]],Places[Jurisdiction],0))</f>
        <v>City</v>
      </c>
      <c r="C85" s="19" t="str">
        <f>INDEX(Places[County],MATCH(Budgets[[#This Row],[Jurisdiction]],Places[Jurisdiction],0))</f>
        <v>Fresno</v>
      </c>
      <c r="D85" s="21" t="str">
        <f>INDEX(Places[Majority RB],MATCH(Budgets[[#This Row],[Jurisdiction]],Places[Jurisdiction],0))</f>
        <v>Central Valley</v>
      </c>
      <c r="E85" s="19">
        <f>INDEX(Places[Majority RB '#],MATCH(Budgets[[#This Row],[Jurisdiction]],Places[Jurisdiction],0))</f>
        <v>5</v>
      </c>
      <c r="F85" s="19" t="str">
        <f>VLOOKUP(Budgets[[#This Row],[Jurisdiction]],Places[#All],8,FALSE)</f>
        <v>Phase I MS4</v>
      </c>
      <c r="G85" s="81"/>
      <c r="H85" s="21" t="s">
        <v>1869</v>
      </c>
      <c r="I85" s="21">
        <f>VALUE(LEFT(Budgets[[#This Row],[Fiscal Year]],4))</f>
        <v>2016</v>
      </c>
      <c r="J85" s="20">
        <v>1737200</v>
      </c>
      <c r="K85" s="27">
        <f>IF(Budgets[[#This Row],[Reference Year]]&gt;2018,Budgets[[#This Row],[Value]],Budgets[[#This Row],[Value]]*(1+VLOOKUP(Budgets[[#This Row],[Reference Year]],Inflation[#All],3,FALSE)))</f>
        <v>1821389.0550000002</v>
      </c>
      <c r="L85" s="27">
        <f>Budgets[[#This Row],[2018 $ Value]]/VLOOKUP(Budgets[[#This Row],[Jurisdiction]],Places[],6,FALSE)</f>
        <v>16.259208503686779</v>
      </c>
      <c r="M85" s="27">
        <f>Budgets[[#This Row],[2018 $ Value]]/VLOOKUP(Budgets[[#This Row],[Jurisdiction]],Places[],7,FALSE)</f>
        <v>75264.010537190086</v>
      </c>
      <c r="N85" s="27"/>
      <c r="O85" s="27" t="s">
        <v>1853</v>
      </c>
      <c r="P85" s="4"/>
      <c r="Q85"/>
    </row>
    <row r="86" spans="1:17" x14ac:dyDescent="0.25">
      <c r="A86" s="19" t="s">
        <v>243</v>
      </c>
      <c r="B86" s="19" t="str">
        <f>INDEX(Places[Type],MATCH(Budgets[[#This Row],[Jurisdiction]],Places[Jurisdiction],0))</f>
        <v>City</v>
      </c>
      <c r="C86" s="19" t="str">
        <f>INDEX(Places[County],MATCH(Budgets[[#This Row],[Jurisdiction]],Places[Jurisdiction],0))</f>
        <v>San Bernardino</v>
      </c>
      <c r="D86" s="21" t="str">
        <f>INDEX(Places[Majority RB],MATCH(Budgets[[#This Row],[Jurisdiction]],Places[Jurisdiction],0))</f>
        <v>Santa Ana</v>
      </c>
      <c r="E86" s="19">
        <f>INDEX(Places[Majority RB '#],MATCH(Budgets[[#This Row],[Jurisdiction]],Places[Jurisdiction],0))</f>
        <v>8</v>
      </c>
      <c r="F86" s="19" t="str">
        <f>VLOOKUP(Budgets[[#This Row],[Jurisdiction]],Places[#All],8,FALSE)</f>
        <v>Phase I MS4</v>
      </c>
      <c r="G86" s="81"/>
      <c r="H86" s="21" t="s">
        <v>1871</v>
      </c>
      <c r="I86" s="21">
        <f>VALUE(LEFT(Budgets[[#This Row],[Fiscal Year]],4))</f>
        <v>2012</v>
      </c>
      <c r="J86" s="20">
        <v>572856</v>
      </c>
      <c r="K86" s="27">
        <f>IF(Budgets[[#This Row],[Reference Year]]&gt;2018,Budgets[[#This Row],[Value]],Budgets[[#This Row],[Value]]*(1+VLOOKUP(Budgets[[#This Row],[Reference Year]],Inflation[#All],3,FALSE)))</f>
        <v>627823.72881533101</v>
      </c>
      <c r="L86" s="27">
        <f>Budgets[[#This Row],[2018 $ Value]]/VLOOKUP(Budgets[[#This Row],[Jurisdiction]],Places[],6,FALSE)</f>
        <v>11.468985382352002</v>
      </c>
      <c r="M86" s="27">
        <f>Budgets[[#This Row],[2018 $ Value]]/VLOOKUP(Budgets[[#This Row],[Jurisdiction]],Places[],7,FALSE)</f>
        <v>41034.230641524904</v>
      </c>
      <c r="N86" s="27"/>
      <c r="O86" s="27" t="s">
        <v>1460</v>
      </c>
      <c r="P86" s="4"/>
      <c r="Q86"/>
    </row>
    <row r="87" spans="1:17" x14ac:dyDescent="0.25">
      <c r="A87" s="19" t="s">
        <v>243</v>
      </c>
      <c r="B87" s="19" t="str">
        <f>INDEX(Places[Type],MATCH(Budgets[[#This Row],[Jurisdiction]],Places[Jurisdiction],0))</f>
        <v>City</v>
      </c>
      <c r="C87" s="19" t="str">
        <f>INDEX(Places[County],MATCH(Budgets[[#This Row],[Jurisdiction]],Places[Jurisdiction],0))</f>
        <v>San Bernardino</v>
      </c>
      <c r="D87" s="21" t="str">
        <f>INDEX(Places[Majority RB],MATCH(Budgets[[#This Row],[Jurisdiction]],Places[Jurisdiction],0))</f>
        <v>Santa Ana</v>
      </c>
      <c r="E87" s="19">
        <f>INDEX(Places[Majority RB '#],MATCH(Budgets[[#This Row],[Jurisdiction]],Places[Jurisdiction],0))</f>
        <v>8</v>
      </c>
      <c r="F87" s="19" t="str">
        <f>VLOOKUP(Budgets[[#This Row],[Jurisdiction]],Places[#All],8,FALSE)</f>
        <v>Phase I MS4</v>
      </c>
      <c r="G87" s="81"/>
      <c r="H87" s="21" t="s">
        <v>1880</v>
      </c>
      <c r="I87" s="21">
        <f>VALUE(LEFT(Budgets[[#This Row],[Fiscal Year]],4))</f>
        <v>2013</v>
      </c>
      <c r="J87" s="20">
        <v>572856</v>
      </c>
      <c r="K87" s="27">
        <f>IF(Budgets[[#This Row],[Reference Year]]&gt;2018,Budgets[[#This Row],[Value]],Budgets[[#This Row],[Value]]*(1+VLOOKUP(Budgets[[#This Row],[Reference Year]],Inflation[#All],3,FALSE)))</f>
        <v>618662.35251502146</v>
      </c>
      <c r="L87" s="27">
        <f>Budgets[[#This Row],[2018 $ Value]]/VLOOKUP(Budgets[[#This Row],[Jurisdiction]],Places[],6,FALSE)</f>
        <v>11.301626797373476</v>
      </c>
      <c r="M87" s="27">
        <f>Budgets[[#This Row],[2018 $ Value]]/VLOOKUP(Budgets[[#This Row],[Jurisdiction]],Places[],7,FALSE)</f>
        <v>40435.447876798789</v>
      </c>
      <c r="N87" s="27"/>
      <c r="O87" s="27" t="s">
        <v>1853</v>
      </c>
      <c r="P87" s="4"/>
      <c r="Q87"/>
    </row>
    <row r="88" spans="1:17" x14ac:dyDescent="0.25">
      <c r="A88" s="19" t="s">
        <v>150</v>
      </c>
      <c r="B88" s="19" t="str">
        <f>INDEX(Places[Type],MATCH(Budgets[[#This Row],[Jurisdiction]],Places[Jurisdiction],0))</f>
        <v>City</v>
      </c>
      <c r="C88" s="19" t="str">
        <f>INDEX(Places[County],MATCH(Budgets[[#This Row],[Jurisdiction]],Places[Jurisdiction],0))</f>
        <v>Los Angeles</v>
      </c>
      <c r="D88" s="21" t="str">
        <f>INDEX(Places[Majority RB],MATCH(Budgets[[#This Row],[Jurisdiction]],Places[Jurisdiction],0))</f>
        <v>Los Angeles</v>
      </c>
      <c r="E88" s="19">
        <f>INDEX(Places[Majority RB '#],MATCH(Budgets[[#This Row],[Jurisdiction]],Places[Jurisdiction],0))</f>
        <v>4</v>
      </c>
      <c r="F88" s="19" t="str">
        <f>VLOOKUP(Budgets[[#This Row],[Jurisdiction]],Places[#All],8,FALSE)</f>
        <v>Phase I MS4</v>
      </c>
      <c r="G88" s="81"/>
      <c r="H88" s="100" t="s">
        <v>1870</v>
      </c>
      <c r="I88" s="21">
        <f>VALUE(LEFT(Budgets[[#This Row],[Fiscal Year]],4))</f>
        <v>2011</v>
      </c>
      <c r="J88" s="20">
        <v>3481295</v>
      </c>
      <c r="K88" s="27">
        <f>IF(Budgets[[#This Row],[Reference Year]]&gt;2018,Budgets[[#This Row],[Value]],Budgets[[#This Row],[Value]]*(1+VLOOKUP(Budgets[[#This Row],[Reference Year]],Inflation[#All],3,FALSE)))</f>
        <v>3895072.2194086262</v>
      </c>
      <c r="L88" s="27">
        <f>Budgets[[#This Row],[2018 $ Value]]/VLOOKUP(Budgets[[#This Row],[Jurisdiction]],Places[],6,FALSE)</f>
        <v>40.314563890501944</v>
      </c>
      <c r="M88" s="27">
        <f>Budgets[[#This Row],[2018 $ Value]]/VLOOKUP(Budgets[[#This Row],[Jurisdiction]],Places[],7,FALSE)</f>
        <v>389507.2219408626</v>
      </c>
      <c r="N88" s="27"/>
      <c r="O88" s="27" t="s">
        <v>1460</v>
      </c>
      <c r="P88" s="4"/>
      <c r="Q88"/>
    </row>
    <row r="89" spans="1:17" x14ac:dyDescent="0.25">
      <c r="A89" s="19" t="s">
        <v>150</v>
      </c>
      <c r="B89" s="19" t="str">
        <f>INDEX(Places[Type],MATCH(Budgets[[#This Row],[Jurisdiction]],Places[Jurisdiction],0))</f>
        <v>City</v>
      </c>
      <c r="C89" s="19" t="str">
        <f>INDEX(Places[County],MATCH(Budgets[[#This Row],[Jurisdiction]],Places[Jurisdiction],0))</f>
        <v>Los Angeles</v>
      </c>
      <c r="D89" s="21" t="str">
        <f>INDEX(Places[Majority RB],MATCH(Budgets[[#This Row],[Jurisdiction]],Places[Jurisdiction],0))</f>
        <v>Los Angeles</v>
      </c>
      <c r="E89" s="19">
        <f>INDEX(Places[Majority RB '#],MATCH(Budgets[[#This Row],[Jurisdiction]],Places[Jurisdiction],0))</f>
        <v>4</v>
      </c>
      <c r="F89" s="19" t="str">
        <f>VLOOKUP(Budgets[[#This Row],[Jurisdiction]],Places[#All],8,FALSE)</f>
        <v>Phase I MS4</v>
      </c>
      <c r="G89" s="81"/>
      <c r="H89" s="100" t="s">
        <v>1871</v>
      </c>
      <c r="I89" s="21">
        <f>VALUE(LEFT(Budgets[[#This Row],[Fiscal Year]],4))</f>
        <v>2012</v>
      </c>
      <c r="J89" s="20">
        <v>3481295</v>
      </c>
      <c r="K89" s="27">
        <f>IF(Budgets[[#This Row],[Reference Year]]&gt;2018,Budgets[[#This Row],[Value]],Budgets[[#This Row],[Value]]*(1+VLOOKUP(Budgets[[#This Row],[Reference Year]],Inflation[#All],3,FALSE)))</f>
        <v>3815338.5981925088</v>
      </c>
      <c r="L89" s="27">
        <f>Budgets[[#This Row],[2018 $ Value]]/VLOOKUP(Budgets[[#This Row],[Jurisdiction]],Places[],6,FALSE)</f>
        <v>39.489309316088359</v>
      </c>
      <c r="M89" s="27">
        <f>Budgets[[#This Row],[2018 $ Value]]/VLOOKUP(Budgets[[#This Row],[Jurisdiction]],Places[],7,FALSE)</f>
        <v>381533.85981925088</v>
      </c>
      <c r="N89" s="27"/>
      <c r="O89" s="27" t="s">
        <v>1460</v>
      </c>
      <c r="P89" s="4"/>
      <c r="Q89"/>
    </row>
    <row r="90" spans="1:17" x14ac:dyDescent="0.25">
      <c r="A90" s="19" t="s">
        <v>150</v>
      </c>
      <c r="B90" s="19" t="str">
        <f>INDEX(Places[Type],MATCH(Budgets[[#This Row],[Jurisdiction]],Places[Jurisdiction],0))</f>
        <v>City</v>
      </c>
      <c r="C90" s="19" t="str">
        <f>INDEX(Places[County],MATCH(Budgets[[#This Row],[Jurisdiction]],Places[Jurisdiction],0))</f>
        <v>Los Angeles</v>
      </c>
      <c r="D90" s="21" t="str">
        <f>INDEX(Places[Majority RB],MATCH(Budgets[[#This Row],[Jurisdiction]],Places[Jurisdiction],0))</f>
        <v>Los Angeles</v>
      </c>
      <c r="E90" s="19">
        <f>INDEX(Places[Majority RB '#],MATCH(Budgets[[#This Row],[Jurisdiction]],Places[Jurisdiction],0))</f>
        <v>4</v>
      </c>
      <c r="F90" s="19" t="str">
        <f>VLOOKUP(Budgets[[#This Row],[Jurisdiction]],Places[#All],8,FALSE)</f>
        <v>Phase I MS4</v>
      </c>
      <c r="G90" s="81"/>
      <c r="H90" s="100" t="s">
        <v>1869</v>
      </c>
      <c r="I90" s="21">
        <f>VALUE(LEFT(Budgets[[#This Row],[Fiscal Year]],4))</f>
        <v>2016</v>
      </c>
      <c r="J90" s="20">
        <v>520000</v>
      </c>
      <c r="K90" s="27">
        <f>IF(Budgets[[#This Row],[Reference Year]]&gt;2018,Budgets[[#This Row],[Value]],Budgets[[#This Row],[Value]]*(1+VLOOKUP(Budgets[[#This Row],[Reference Year]],Inflation[#All],3,FALSE)))</f>
        <v>545200.5</v>
      </c>
      <c r="L90" s="27">
        <f>Budgets[[#This Row],[2018 $ Value]]/VLOOKUP(Budgets[[#This Row],[Jurisdiction]],Places[],6,FALSE)</f>
        <v>5.6429044578076324</v>
      </c>
      <c r="M90" s="27">
        <f>Budgets[[#This Row],[2018 $ Value]]/VLOOKUP(Budgets[[#This Row],[Jurisdiction]],Places[],7,FALSE)</f>
        <v>54520.05</v>
      </c>
      <c r="N90" s="27"/>
      <c r="O90" s="27" t="s">
        <v>1853</v>
      </c>
      <c r="P90" s="4"/>
      <c r="Q90"/>
    </row>
    <row r="91" spans="1:17" x14ac:dyDescent="0.25">
      <c r="A91" s="19" t="s">
        <v>1449</v>
      </c>
      <c r="B91" s="19" t="str">
        <f>INDEX(Places[Type],MATCH(Budgets[[#This Row],[Jurisdiction]],Places[Jurisdiction],0))</f>
        <v>County</v>
      </c>
      <c r="C91" s="19" t="str">
        <f>INDEX(Places[County],MATCH(Budgets[[#This Row],[Jurisdiction]],Places[Jurisdiction],0))</f>
        <v>Contra Costa</v>
      </c>
      <c r="D91" s="19" t="str">
        <f>INDEX(Places[Majority RB],MATCH(Budgets[[#This Row],[Jurisdiction]],Places[Jurisdiction],0))</f>
        <v>San Francisco Bay</v>
      </c>
      <c r="E91" s="19">
        <f>INDEX(Places[Majority RB '#],MATCH(Budgets[[#This Row],[Jurisdiction]],Places[Jurisdiction],0))</f>
        <v>2</v>
      </c>
      <c r="F91" s="19" t="str">
        <f>VLOOKUP(Budgets[[#This Row],[Jurisdiction]],Places[#All],8,FALSE)</f>
        <v>Phase I MS4</v>
      </c>
      <c r="G91" s="81"/>
      <c r="H91" s="21" t="s">
        <v>1876</v>
      </c>
      <c r="I91" s="21">
        <f>VALUE(LEFT(Budgets[[#This Row],[Fiscal Year]],4))</f>
        <v>2018</v>
      </c>
      <c r="J91" s="20">
        <v>4313507</v>
      </c>
      <c r="K91" s="27">
        <f>IF(Budgets[[#This Row],[Reference Year]]&gt;2018,Budgets[[#This Row],[Value]],Budgets[[#This Row],[Value]]*(1+VLOOKUP(Budgets[[#This Row],[Reference Year]],Inflation[#All],3,FALSE)))</f>
        <v>4313507</v>
      </c>
      <c r="L91" s="27" t="e">
        <f>Budgets[[#This Row],[2018 $ Value]]/VLOOKUP(Budgets[[#This Row],[Jurisdiction]],Places[],6,FALSE)</f>
        <v>#N/A</v>
      </c>
      <c r="M91" s="27" t="e">
        <f>Budgets[[#This Row],[2018 $ Value]]/VLOOKUP(Budgets[[#This Row],[Jurisdiction]],Places[],7,FALSE)</f>
        <v>#N/A</v>
      </c>
      <c r="N91" s="27" t="s">
        <v>1853</v>
      </c>
      <c r="O91" s="27" t="s">
        <v>1853</v>
      </c>
      <c r="P91" s="4"/>
      <c r="Q91"/>
    </row>
    <row r="92" spans="1:17" x14ac:dyDescent="0.25">
      <c r="A92" s="19" t="s">
        <v>230</v>
      </c>
      <c r="B92" s="19" t="str">
        <f>INDEX(Places[Type],MATCH(Budgets[[#This Row],[Jurisdiction]],Places[Jurisdiction],0))</f>
        <v>City</v>
      </c>
      <c r="C92" s="19" t="str">
        <f>INDEX(Places[County],MATCH(Budgets[[#This Row],[Jurisdiction]],Places[Jurisdiction],0))</f>
        <v>Riverside</v>
      </c>
      <c r="D92" s="21" t="str">
        <f>INDEX(Places[Majority RB],MATCH(Budgets[[#This Row],[Jurisdiction]],Places[Jurisdiction],0))</f>
        <v>Santa Ana</v>
      </c>
      <c r="E92" s="19">
        <f>INDEX(Places[Majority RB '#],MATCH(Budgets[[#This Row],[Jurisdiction]],Places[Jurisdiction],0))</f>
        <v>8</v>
      </c>
      <c r="F92" s="19" t="str">
        <f>VLOOKUP(Budgets[[#This Row],[Jurisdiction]],Places[#All],8,FALSE)</f>
        <v>Phase I MS4</v>
      </c>
      <c r="G92" s="81"/>
      <c r="H92" s="21" t="s">
        <v>1869</v>
      </c>
      <c r="I92" s="21">
        <f>VALUE(LEFT(Budgets[[#This Row],[Fiscal Year]],4))</f>
        <v>2016</v>
      </c>
      <c r="J92" s="20">
        <v>1489872</v>
      </c>
      <c r="K92" s="27">
        <f>IF(Budgets[[#This Row],[Reference Year]]&gt;2018,Budgets[[#This Row],[Value]],Budgets[[#This Row],[Value]]*(1+VLOOKUP(Budgets[[#This Row],[Reference Year]],Inflation[#All],3,FALSE)))</f>
        <v>1562074.9218000001</v>
      </c>
      <c r="L92" s="27">
        <f>Budgets[[#This Row],[2018 $ Value]]/VLOOKUP(Budgets[[#This Row],[Jurisdiction]],Places[],6,FALSE)</f>
        <v>9.2529568460895995</v>
      </c>
      <c r="M92" s="27">
        <f>Budgets[[#This Row],[2018 $ Value]]/VLOOKUP(Budgets[[#This Row],[Jurisdiction]],Places[],7,FALSE)</f>
        <v>39546.200551898735</v>
      </c>
      <c r="N92" s="27"/>
      <c r="O92" s="27" t="s">
        <v>1853</v>
      </c>
      <c r="P92" s="4"/>
      <c r="Q92"/>
    </row>
    <row r="93" spans="1:17" x14ac:dyDescent="0.25">
      <c r="A93" s="19" t="s">
        <v>268</v>
      </c>
      <c r="B93" s="21" t="str">
        <f>INDEX(Places[Type],MATCH(Budgets[[#This Row],[Jurisdiction]],Places[Jurisdiction],0))</f>
        <v>City</v>
      </c>
      <c r="C93" s="21" t="str">
        <f>INDEX(Places[County],MATCH(Budgets[[#This Row],[Jurisdiction]],Places[Jurisdiction],0))</f>
        <v>Orange</v>
      </c>
      <c r="D93" s="21" t="str">
        <f>INDEX(Places[Majority RB],MATCH(Budgets[[#This Row],[Jurisdiction]],Places[Jurisdiction],0))</f>
        <v>Santa Ana</v>
      </c>
      <c r="E93" s="19">
        <f>INDEX(Places[Majority RB '#],MATCH(Budgets[[#This Row],[Jurisdiction]],Places[Jurisdiction],0))</f>
        <v>8</v>
      </c>
      <c r="F93" s="21" t="str">
        <f>VLOOKUP(Budgets[[#This Row],[Jurisdiction]],Places[#All],8,FALSE)</f>
        <v>Phase I MS4</v>
      </c>
      <c r="G93" s="81"/>
      <c r="H93" s="21" t="s">
        <v>1875</v>
      </c>
      <c r="I93" s="21">
        <f>VALUE(LEFT(Budgets[[#This Row],[Fiscal Year]],4))</f>
        <v>2001</v>
      </c>
      <c r="J93" s="20">
        <v>1082340</v>
      </c>
      <c r="K93" s="27">
        <f>IF(Budgets[[#This Row],[Reference Year]]&gt;2018,Budgets[[#This Row],[Value]],Budgets[[#This Row],[Value]]*(1+VLOOKUP(Budgets[[#This Row],[Reference Year]],Inflation[#All],3,FALSE)))</f>
        <v>1537833.4079051383</v>
      </c>
      <c r="L93" s="27">
        <f>Budgets[[#This Row],[2018 $ Value]]/VLOOKUP(Budgets[[#This Row],[Jurisdiction]],Places[],6,FALSE)</f>
        <v>13.535478659553213</v>
      </c>
      <c r="M93" s="27">
        <f>Budgets[[#This Row],[2018 $ Value]]/VLOOKUP(Budgets[[#This Row],[Jurisdiction]],Places[],7,FALSE)</f>
        <v>97951.172478034292</v>
      </c>
      <c r="N93" s="27" t="s">
        <v>1853</v>
      </c>
      <c r="O93" s="27" t="s">
        <v>1853</v>
      </c>
      <c r="P93" s="4"/>
      <c r="Q93"/>
    </row>
    <row r="94" spans="1:17" x14ac:dyDescent="0.25">
      <c r="A94" s="19" t="s">
        <v>201</v>
      </c>
      <c r="B94" s="19" t="str">
        <f>INDEX(Places[Type],MATCH(Budgets[[#This Row],[Jurisdiction]],Places[Jurisdiction],0))</f>
        <v>City</v>
      </c>
      <c r="C94" s="19" t="str">
        <f>INDEX(Places[County],MATCH(Budgets[[#This Row],[Jurisdiction]],Places[Jurisdiction],0))</f>
        <v>Los Angeles</v>
      </c>
      <c r="D94" s="21" t="str">
        <f>INDEX(Places[Majority RB],MATCH(Budgets[[#This Row],[Jurisdiction]],Places[Jurisdiction],0))</f>
        <v>Los Angeles</v>
      </c>
      <c r="E94" s="19">
        <f>INDEX(Places[Majority RB '#],MATCH(Budgets[[#This Row],[Jurisdiction]],Places[Jurisdiction],0))</f>
        <v>4</v>
      </c>
      <c r="F94" s="19" t="str">
        <f>VLOOKUP(Budgets[[#This Row],[Jurisdiction]],Places[#All],8,FALSE)</f>
        <v>Phase I MS4</v>
      </c>
      <c r="G94" s="81"/>
      <c r="H94" s="21" t="s">
        <v>1870</v>
      </c>
      <c r="I94" s="21">
        <f>VALUE(LEFT(Budgets[[#This Row],[Fiscal Year]],4))</f>
        <v>2011</v>
      </c>
      <c r="J94" s="20">
        <v>2584375</v>
      </c>
      <c r="K94" s="27">
        <f>IF(Budgets[[#This Row],[Reference Year]]&gt;2018,Budgets[[#This Row],[Value]],Budgets[[#This Row],[Value]]*(1+VLOOKUP(Budgets[[#This Row],[Reference Year]],Inflation[#All],3,FALSE)))</f>
        <v>2891546.7568919519</v>
      </c>
      <c r="L94" s="27">
        <f>Budgets[[#This Row],[2018 $ Value]]/VLOOKUP(Budgets[[#This Row],[Jurisdiction]],Places[],6,FALSE)</f>
        <v>60.287028686528195</v>
      </c>
      <c r="M94" s="27">
        <f>Budgets[[#This Row],[2018 $ Value]]/VLOOKUP(Budgets[[#This Row],[Jurisdiction]],Places[],7,FALSE)</f>
        <v>413078.1081274217</v>
      </c>
      <c r="N94" s="27"/>
      <c r="O94" s="27" t="s">
        <v>1460</v>
      </c>
      <c r="P94" s="4"/>
      <c r="Q94"/>
    </row>
    <row r="95" spans="1:17" x14ac:dyDescent="0.25">
      <c r="A95" s="19" t="s">
        <v>201</v>
      </c>
      <c r="B95" s="19" t="str">
        <f>INDEX(Places[Type],MATCH(Budgets[[#This Row],[Jurisdiction]],Places[Jurisdiction],0))</f>
        <v>City</v>
      </c>
      <c r="C95" s="19" t="str">
        <f>INDEX(Places[County],MATCH(Budgets[[#This Row],[Jurisdiction]],Places[Jurisdiction],0))</f>
        <v>Los Angeles</v>
      </c>
      <c r="D95" s="21" t="str">
        <f>INDEX(Places[Majority RB],MATCH(Budgets[[#This Row],[Jurisdiction]],Places[Jurisdiction],0))</f>
        <v>Los Angeles</v>
      </c>
      <c r="E95" s="19">
        <f>INDEX(Places[Majority RB '#],MATCH(Budgets[[#This Row],[Jurisdiction]],Places[Jurisdiction],0))</f>
        <v>4</v>
      </c>
      <c r="F95" s="19" t="str">
        <f>VLOOKUP(Budgets[[#This Row],[Jurisdiction]],Places[#All],8,FALSE)</f>
        <v>Phase I MS4</v>
      </c>
      <c r="G95" s="81"/>
      <c r="H95" s="21" t="s">
        <v>1871</v>
      </c>
      <c r="I95" s="21">
        <f>VALUE(LEFT(Budgets[[#This Row],[Fiscal Year]],4))</f>
        <v>2012</v>
      </c>
      <c r="J95" s="20">
        <v>566424</v>
      </c>
      <c r="K95" s="27">
        <f>IF(Budgets[[#This Row],[Reference Year]]&gt;2018,Budgets[[#This Row],[Value]],Budgets[[#This Row],[Value]]*(1+VLOOKUP(Budgets[[#This Row],[Reference Year]],Inflation[#All],3,FALSE)))</f>
        <v>620774.55376306619</v>
      </c>
      <c r="L95" s="27">
        <f>Budgets[[#This Row],[2018 $ Value]]/VLOOKUP(Budgets[[#This Row],[Jurisdiction]],Places[],6,FALSE)</f>
        <v>12.942779929592939</v>
      </c>
      <c r="M95" s="27">
        <f>Budgets[[#This Row],[2018 $ Value]]/VLOOKUP(Budgets[[#This Row],[Jurisdiction]],Places[],7,FALSE)</f>
        <v>88682.079109009457</v>
      </c>
      <c r="N95" s="27"/>
      <c r="O95" s="27" t="s">
        <v>1460</v>
      </c>
      <c r="P95" s="4"/>
      <c r="Q95"/>
    </row>
    <row r="96" spans="1:17" x14ac:dyDescent="0.25">
      <c r="A96" s="19" t="s">
        <v>201</v>
      </c>
      <c r="B96" s="19" t="str">
        <f>INDEX(Places[Type],MATCH(Budgets[[#This Row],[Jurisdiction]],Places[Jurisdiction],0))</f>
        <v>City</v>
      </c>
      <c r="C96" s="19" t="str">
        <f>INDEX(Places[County],MATCH(Budgets[[#This Row],[Jurisdiction]],Places[Jurisdiction],0))</f>
        <v>Los Angeles</v>
      </c>
      <c r="D96" s="21" t="str">
        <f>INDEX(Places[Majority RB],MATCH(Budgets[[#This Row],[Jurisdiction]],Places[Jurisdiction],0))</f>
        <v>Los Angeles</v>
      </c>
      <c r="E96" s="19">
        <f>INDEX(Places[Majority RB '#],MATCH(Budgets[[#This Row],[Jurisdiction]],Places[Jurisdiction],0))</f>
        <v>4</v>
      </c>
      <c r="F96" s="19" t="str">
        <f>VLOOKUP(Budgets[[#This Row],[Jurisdiction]],Places[#All],8,FALSE)</f>
        <v>Phase I MS4</v>
      </c>
      <c r="G96" s="81"/>
      <c r="H96" s="21" t="s">
        <v>1869</v>
      </c>
      <c r="I96" s="21">
        <f>VALUE(LEFT(Budgets[[#This Row],[Fiscal Year]],4))</f>
        <v>2016</v>
      </c>
      <c r="J96" s="20">
        <v>1041140</v>
      </c>
      <c r="K96" s="27">
        <f>IF(Budgets[[#This Row],[Reference Year]]&gt;2018,Budgets[[#This Row],[Value]],Budgets[[#This Row],[Value]]*(1+VLOOKUP(Budgets[[#This Row],[Reference Year]],Inflation[#All],3,FALSE)))</f>
        <v>1091596.24725</v>
      </c>
      <c r="L96" s="27">
        <f>Budgets[[#This Row],[2018 $ Value]]/VLOOKUP(Budgets[[#This Row],[Jurisdiction]],Places[],6,FALSE)</f>
        <v>22.759131981944417</v>
      </c>
      <c r="M96" s="27">
        <f>Budgets[[#This Row],[2018 $ Value]]/VLOOKUP(Budgets[[#This Row],[Jurisdiction]],Places[],7,FALSE)</f>
        <v>155942.3210357143</v>
      </c>
      <c r="N96" s="27"/>
      <c r="O96" s="27" t="s">
        <v>1853</v>
      </c>
      <c r="P96" s="4"/>
      <c r="Q96"/>
    </row>
    <row r="97" spans="1:17" x14ac:dyDescent="0.25">
      <c r="A97" s="19" t="s">
        <v>430</v>
      </c>
      <c r="B97" s="19" t="str">
        <f>INDEX(Places[Type],MATCH(Budgets[[#This Row],[Jurisdiction]],Places[Jurisdiction],0))</f>
        <v>City</v>
      </c>
      <c r="C97" s="19" t="str">
        <f>INDEX(Places[County],MATCH(Budgets[[#This Row],[Jurisdiction]],Places[Jurisdiction],0))</f>
        <v>Los Angeles</v>
      </c>
      <c r="D97" s="21" t="str">
        <f>INDEX(Places[Majority RB],MATCH(Budgets[[#This Row],[Jurisdiction]],Places[Jurisdiction],0))</f>
        <v>Los Angeles</v>
      </c>
      <c r="E97" s="19">
        <f>INDEX(Places[Majority RB '#],MATCH(Budgets[[#This Row],[Jurisdiction]],Places[Jurisdiction],0))</f>
        <v>4</v>
      </c>
      <c r="F97" s="19" t="str">
        <f>VLOOKUP(Budgets[[#This Row],[Jurisdiction]],Places[#All],8,FALSE)</f>
        <v>Phase I MS4</v>
      </c>
      <c r="G97" s="81"/>
      <c r="H97" s="100" t="s">
        <v>1870</v>
      </c>
      <c r="I97" s="21">
        <f>VALUE(LEFT(Budgets[[#This Row],[Fiscal Year]],4))</f>
        <v>2011</v>
      </c>
      <c r="J97" s="20">
        <v>53580000</v>
      </c>
      <c r="K97" s="27">
        <f>IF(Budgets[[#This Row],[Reference Year]]&gt;2018,Budgets[[#This Row],[Value]],Budgets[[#This Row],[Value]]*(1+VLOOKUP(Budgets[[#This Row],[Reference Year]],Inflation[#All],3,FALSE)))</f>
        <v>59948372.521120504</v>
      </c>
      <c r="L97" s="27">
        <f>Budgets[[#This Row],[2018 $ Value]]/VLOOKUP(Budgets[[#This Row],[Jurisdiction]],Places[],6,FALSE)</f>
        <v>1528.7492355056995</v>
      </c>
      <c r="M97" s="27">
        <f>Budgets[[#This Row],[2018 $ Value]]/VLOOKUP(Budgets[[#This Row],[Jurisdiction]],Places[],7,FALSE)</f>
        <v>11754582.847278532</v>
      </c>
      <c r="N97" s="27"/>
      <c r="O97" s="27" t="s">
        <v>1460</v>
      </c>
      <c r="P97" s="4"/>
      <c r="Q97"/>
    </row>
    <row r="98" spans="1:17" x14ac:dyDescent="0.25">
      <c r="A98" s="19" t="s">
        <v>430</v>
      </c>
      <c r="B98" s="19" t="str">
        <f>INDEX(Places[Type],MATCH(Budgets[[#This Row],[Jurisdiction]],Places[Jurisdiction],0))</f>
        <v>City</v>
      </c>
      <c r="C98" s="19" t="str">
        <f>INDEX(Places[County],MATCH(Budgets[[#This Row],[Jurisdiction]],Places[Jurisdiction],0))</f>
        <v>Los Angeles</v>
      </c>
      <c r="D98" s="21" t="str">
        <f>INDEX(Places[Majority RB],MATCH(Budgets[[#This Row],[Jurisdiction]],Places[Jurisdiction],0))</f>
        <v>Los Angeles</v>
      </c>
      <c r="E98" s="19">
        <f>INDEX(Places[Majority RB '#],MATCH(Budgets[[#This Row],[Jurisdiction]],Places[Jurisdiction],0))</f>
        <v>4</v>
      </c>
      <c r="F98" s="19" t="str">
        <f>VLOOKUP(Budgets[[#This Row],[Jurisdiction]],Places[#All],8,FALSE)</f>
        <v>Phase I MS4</v>
      </c>
      <c r="G98" s="81"/>
      <c r="H98" s="100" t="s">
        <v>1871</v>
      </c>
      <c r="I98" s="21">
        <f>VALUE(LEFT(Budgets[[#This Row],[Fiscal Year]],4))</f>
        <v>2012</v>
      </c>
      <c r="J98" s="20">
        <v>64156000</v>
      </c>
      <c r="K98" s="27">
        <f>IF(Budgets[[#This Row],[Reference Year]]&gt;2018,Budgets[[#This Row],[Value]],Budgets[[#This Row],[Value]]*(1+VLOOKUP(Budgets[[#This Row],[Reference Year]],Inflation[#All],3,FALSE)))</f>
        <v>70312014.094076663</v>
      </c>
      <c r="L98" s="27">
        <f>Budgets[[#This Row],[2018 $ Value]]/VLOOKUP(Budgets[[#This Row],[Jurisdiction]],Places[],6,FALSE)</f>
        <v>1793.0334598377278</v>
      </c>
      <c r="M98" s="27">
        <f>Budgets[[#This Row],[2018 $ Value]]/VLOOKUP(Budgets[[#This Row],[Jurisdiction]],Places[],7,FALSE)</f>
        <v>13786669.430211112</v>
      </c>
      <c r="N98" s="27"/>
      <c r="O98" s="27" t="s">
        <v>1460</v>
      </c>
      <c r="P98" s="4"/>
      <c r="Q98"/>
    </row>
    <row r="99" spans="1:17" x14ac:dyDescent="0.25">
      <c r="A99" s="19" t="s">
        <v>430</v>
      </c>
      <c r="B99" s="19" t="str">
        <f>INDEX(Places[Type],MATCH(Budgets[[#This Row],[Jurisdiction]],Places[Jurisdiction],0))</f>
        <v>City</v>
      </c>
      <c r="C99" s="19" t="str">
        <f>INDEX(Places[County],MATCH(Budgets[[#This Row],[Jurisdiction]],Places[Jurisdiction],0))</f>
        <v>Los Angeles</v>
      </c>
      <c r="D99" s="21" t="str">
        <f>INDEX(Places[Majority RB],MATCH(Budgets[[#This Row],[Jurisdiction]],Places[Jurisdiction],0))</f>
        <v>Los Angeles</v>
      </c>
      <c r="E99" s="19">
        <f>INDEX(Places[Majority RB '#],MATCH(Budgets[[#This Row],[Jurisdiction]],Places[Jurisdiction],0))</f>
        <v>4</v>
      </c>
      <c r="F99" s="19" t="str">
        <f>VLOOKUP(Budgets[[#This Row],[Jurisdiction]],Places[#All],8,FALSE)</f>
        <v>Phase I MS4</v>
      </c>
      <c r="G99" s="81"/>
      <c r="H99" s="100" t="s">
        <v>1869</v>
      </c>
      <c r="I99" s="21">
        <f>VALUE(LEFT(Budgets[[#This Row],[Fiscal Year]],4))</f>
        <v>2016</v>
      </c>
      <c r="J99" s="20">
        <v>1777138</v>
      </c>
      <c r="K99" s="27">
        <f>IF(Budgets[[#This Row],[Reference Year]]&gt;2018,Budgets[[#This Row],[Value]],Budgets[[#This Row],[Value]]*(1+VLOOKUP(Budgets[[#This Row],[Reference Year]],Inflation[#All],3,FALSE)))</f>
        <v>1863262.5503250002</v>
      </c>
      <c r="L99" s="27">
        <f>Budgets[[#This Row],[2018 $ Value]]/VLOOKUP(Budgets[[#This Row],[Jurisdiction]],Places[],6,FALSE)</f>
        <v>47.515238188529615</v>
      </c>
      <c r="M99" s="27">
        <f>Budgets[[#This Row],[2018 $ Value]]/VLOOKUP(Budgets[[#This Row],[Jurisdiction]],Places[],7,FALSE)</f>
        <v>365345.59810294124</v>
      </c>
      <c r="N99" s="27"/>
      <c r="O99" s="27" t="s">
        <v>1853</v>
      </c>
      <c r="P99" s="4"/>
      <c r="Q99"/>
    </row>
    <row r="100" spans="1:17" x14ac:dyDescent="0.25">
      <c r="A100" s="19" t="s">
        <v>269</v>
      </c>
      <c r="B100" s="19" t="str">
        <f>INDEX(Places[Type],MATCH(Budgets[[#This Row],[Jurisdiction]],Places[Jurisdiction],0))</f>
        <v>City</v>
      </c>
      <c r="C100" s="19" t="str">
        <f>INDEX(Places[County],MATCH(Budgets[[#This Row],[Jurisdiction]],Places[Jurisdiction],0))</f>
        <v>Orange</v>
      </c>
      <c r="D100" s="21" t="str">
        <f>INDEX(Places[Majority RB],MATCH(Budgets[[#This Row],[Jurisdiction]],Places[Jurisdiction],0))</f>
        <v>Santa Ana</v>
      </c>
      <c r="E100" s="19">
        <f>INDEX(Places[Majority RB '#],MATCH(Budgets[[#This Row],[Jurisdiction]],Places[Jurisdiction],0))</f>
        <v>8</v>
      </c>
      <c r="F100" s="19" t="str">
        <f>VLOOKUP(Budgets[[#This Row],[Jurisdiction]],Places[#All],8,FALSE)</f>
        <v>Phase I MS4</v>
      </c>
      <c r="G100" s="81"/>
      <c r="H100" s="21" t="s">
        <v>1875</v>
      </c>
      <c r="I100" s="21">
        <f>VALUE(LEFT(Budgets[[#This Row],[Fiscal Year]],4))</f>
        <v>2001</v>
      </c>
      <c r="J100" s="20">
        <v>481487</v>
      </c>
      <c r="K100" s="27">
        <f>IF(Budgets[[#This Row],[Reference Year]]&gt;2018,Budgets[[#This Row],[Value]],Budgets[[#This Row],[Value]]*(1+VLOOKUP(Budgets[[#This Row],[Reference Year]],Inflation[#All],3,FALSE)))</f>
        <v>684116.63070016936</v>
      </c>
      <c r="L100" s="27">
        <f>Budgets[[#This Row],[2018 $ Value]]/VLOOKUP(Budgets[[#This Row],[Jurisdiction]],Places[],6,FALSE)</f>
        <v>13.973541212879802</v>
      </c>
      <c r="M100" s="27">
        <f>Budgets[[#This Row],[2018 $ Value]]/VLOOKUP(Budgets[[#This Row],[Jurisdiction]],Places[],7,FALSE)</f>
        <v>103654.03495457112</v>
      </c>
      <c r="N100" s="27"/>
      <c r="O100" s="27" t="s">
        <v>1460</v>
      </c>
      <c r="P100" s="4"/>
      <c r="Q100"/>
    </row>
    <row r="101" spans="1:17" x14ac:dyDescent="0.25">
      <c r="A101" s="19" t="s">
        <v>269</v>
      </c>
      <c r="B101" s="19" t="str">
        <f>INDEX(Places[Type],MATCH(Budgets[[#This Row],[Jurisdiction]],Places[Jurisdiction],0))</f>
        <v>City</v>
      </c>
      <c r="C101" s="19" t="str">
        <f>INDEX(Places[County],MATCH(Budgets[[#This Row],[Jurisdiction]],Places[Jurisdiction],0))</f>
        <v>Orange</v>
      </c>
      <c r="D101" s="21" t="str">
        <f>INDEX(Places[Majority RB],MATCH(Budgets[[#This Row],[Jurisdiction]],Places[Jurisdiction],0))</f>
        <v>Santa Ana</v>
      </c>
      <c r="E101" s="19">
        <f>INDEX(Places[Majority RB '#],MATCH(Budgets[[#This Row],[Jurisdiction]],Places[Jurisdiction],0))</f>
        <v>8</v>
      </c>
      <c r="F101" s="19" t="str">
        <f>VLOOKUP(Budgets[[#This Row],[Jurisdiction]],Places[#All],8,FALSE)</f>
        <v>Phase I MS4</v>
      </c>
      <c r="G101" s="81"/>
      <c r="H101" s="21" t="s">
        <v>1872</v>
      </c>
      <c r="I101" s="21">
        <f>VALUE(LEFT(Budgets[[#This Row],[Fiscal Year]],4))</f>
        <v>2002</v>
      </c>
      <c r="J101" s="20">
        <v>781412</v>
      </c>
      <c r="K101" s="27">
        <f>IF(Budgets[[#This Row],[Reference Year]]&gt;2018,Budgets[[#This Row],[Value]],Budgets[[#This Row],[Value]]*(1+VLOOKUP(Budgets[[#This Row],[Reference Year]],Inflation[#All],3,FALSE)))</f>
        <v>1092982.1176876042</v>
      </c>
      <c r="L101" s="27">
        <f>Budgets[[#This Row],[2018 $ Value]]/VLOOKUP(Budgets[[#This Row],[Jurisdiction]],Places[],6,FALSE)</f>
        <v>22.32489312650852</v>
      </c>
      <c r="M101" s="27">
        <f>Budgets[[#This Row],[2018 $ Value]]/VLOOKUP(Budgets[[#This Row],[Jurisdiction]],Places[],7,FALSE)</f>
        <v>165603.35116478853</v>
      </c>
      <c r="N101" s="27"/>
      <c r="O101" s="27" t="s">
        <v>1853</v>
      </c>
      <c r="P101" s="4"/>
      <c r="Q101"/>
    </row>
    <row r="102" spans="1:17" x14ac:dyDescent="0.25">
      <c r="A102" s="19" t="s">
        <v>270</v>
      </c>
      <c r="B102" s="19" t="str">
        <f>INDEX(Places[Type],MATCH(Budgets[[#This Row],[Jurisdiction]],Places[Jurisdiction],0))</f>
        <v>City</v>
      </c>
      <c r="C102" s="19" t="str">
        <f>INDEX(Places[County],MATCH(Budgets[[#This Row],[Jurisdiction]],Places[Jurisdiction],0))</f>
        <v>Orange</v>
      </c>
      <c r="D102" s="21" t="str">
        <f>INDEX(Places[Majority RB],MATCH(Budgets[[#This Row],[Jurisdiction]],Places[Jurisdiction],0))</f>
        <v>San Diego</v>
      </c>
      <c r="E102" s="19">
        <f>INDEX(Places[Majority RB '#],MATCH(Budgets[[#This Row],[Jurisdiction]],Places[Jurisdiction],0))</f>
        <v>9</v>
      </c>
      <c r="F102" s="19" t="str">
        <f>VLOOKUP(Budgets[[#This Row],[Jurisdiction]],Places[#All],8,FALSE)</f>
        <v>Phase I MS4</v>
      </c>
      <c r="G102" s="81"/>
      <c r="H102" s="21" t="s">
        <v>1875</v>
      </c>
      <c r="I102" s="21">
        <f>VALUE(LEFT(Budgets[[#This Row],[Fiscal Year]],4))</f>
        <v>2001</v>
      </c>
      <c r="J102" s="20">
        <v>643814</v>
      </c>
      <c r="K102" s="27">
        <f>IF(Budgets[[#This Row],[Reference Year]]&gt;2018,Budgets[[#This Row],[Value]],Budgets[[#This Row],[Value]]*(1+VLOOKUP(Budgets[[#This Row],[Reference Year]],Inflation[#All],3,FALSE)))</f>
        <v>914757.54169395822</v>
      </c>
      <c r="L102" s="27">
        <f>Budgets[[#This Row],[2018 $ Value]]/VLOOKUP(Budgets[[#This Row],[Jurisdiction]],Places[],6,FALSE)</f>
        <v>27.119998271389214</v>
      </c>
      <c r="M102" s="27">
        <f>Budgets[[#This Row],[2018 $ Value]]/VLOOKUP(Budgets[[#This Row],[Jurisdiction]],Places[],7,FALSE)</f>
        <v>140731.92949137819</v>
      </c>
      <c r="N102" s="27"/>
      <c r="O102" s="27" t="s">
        <v>1460</v>
      </c>
      <c r="P102" s="4"/>
      <c r="Q102"/>
    </row>
    <row r="103" spans="1:17" x14ac:dyDescent="0.25">
      <c r="A103" s="19" t="s">
        <v>270</v>
      </c>
      <c r="B103" s="19" t="str">
        <f>INDEX(Places[Type],MATCH(Budgets[[#This Row],[Jurisdiction]],Places[Jurisdiction],0))</f>
        <v>City</v>
      </c>
      <c r="C103" s="19" t="str">
        <f>INDEX(Places[County],MATCH(Budgets[[#This Row],[Jurisdiction]],Places[Jurisdiction],0))</f>
        <v>Orange</v>
      </c>
      <c r="D103" s="21" t="str">
        <f>INDEX(Places[Majority RB],MATCH(Budgets[[#This Row],[Jurisdiction]],Places[Jurisdiction],0))</f>
        <v>San Diego</v>
      </c>
      <c r="E103" s="19">
        <f>INDEX(Places[Majority RB '#],MATCH(Budgets[[#This Row],[Jurisdiction]],Places[Jurisdiction],0))</f>
        <v>9</v>
      </c>
      <c r="F103" s="19" t="str">
        <f>VLOOKUP(Budgets[[#This Row],[Jurisdiction]],Places[#All],8,FALSE)</f>
        <v>Phase I MS4</v>
      </c>
      <c r="G103" s="81"/>
      <c r="H103" s="21" t="s">
        <v>1872</v>
      </c>
      <c r="I103" s="21">
        <f>VALUE(LEFT(Budgets[[#This Row],[Fiscal Year]],4))</f>
        <v>2002</v>
      </c>
      <c r="J103" s="20">
        <v>5040833</v>
      </c>
      <c r="K103" s="27">
        <f>IF(Budgets[[#This Row],[Reference Year]]&gt;2018,Budgets[[#This Row],[Value]],Budgets[[#This Row],[Value]]*(1+VLOOKUP(Budgets[[#This Row],[Reference Year]],Inflation[#All],3,FALSE)))</f>
        <v>7050749.5754474699</v>
      </c>
      <c r="L103" s="27">
        <f>Budgets[[#This Row],[2018 $ Value]]/VLOOKUP(Budgets[[#This Row],[Jurisdiction]],Places[],6,FALSE)</f>
        <v>209.03497110724786</v>
      </c>
      <c r="M103" s="27">
        <f>Budgets[[#This Row],[2018 $ Value]]/VLOOKUP(Budgets[[#This Row],[Jurisdiction]],Places[],7,FALSE)</f>
        <v>1084730.7039149953</v>
      </c>
      <c r="N103" s="27"/>
      <c r="O103" s="27" t="s">
        <v>1460</v>
      </c>
      <c r="P103" s="4"/>
      <c r="Q103"/>
    </row>
    <row r="104" spans="1:17" x14ac:dyDescent="0.25">
      <c r="A104" s="19" t="s">
        <v>270</v>
      </c>
      <c r="B104" s="19" t="str">
        <f>INDEX(Places[Type],MATCH(Budgets[[#This Row],[Jurisdiction]],Places[Jurisdiction],0))</f>
        <v>City</v>
      </c>
      <c r="C104" s="19" t="str">
        <f>INDEX(Places[County],MATCH(Budgets[[#This Row],[Jurisdiction]],Places[Jurisdiction],0))</f>
        <v>Orange</v>
      </c>
      <c r="D104" s="21" t="str">
        <f>INDEX(Places[Majority RB],MATCH(Budgets[[#This Row],[Jurisdiction]],Places[Jurisdiction],0))</f>
        <v>San Diego</v>
      </c>
      <c r="E104" s="19">
        <f>INDEX(Places[Majority RB '#],MATCH(Budgets[[#This Row],[Jurisdiction]],Places[Jurisdiction],0))</f>
        <v>9</v>
      </c>
      <c r="F104" s="19" t="str">
        <f>VLOOKUP(Budgets[[#This Row],[Jurisdiction]],Places[#All],8,FALSE)</f>
        <v>Phase I MS4</v>
      </c>
      <c r="G104" s="81"/>
      <c r="H104" s="21" t="s">
        <v>1869</v>
      </c>
      <c r="I104" s="21">
        <f>VALUE(LEFT(Budgets[[#This Row],[Fiscal Year]],4))</f>
        <v>2016</v>
      </c>
      <c r="J104" s="20">
        <v>2333190</v>
      </c>
      <c r="K104" s="27">
        <f>IF(Budgets[[#This Row],[Reference Year]]&gt;2018,Budgets[[#This Row],[Value]],Budgets[[#This Row],[Value]]*(1+VLOOKUP(Budgets[[#This Row],[Reference Year]],Inflation[#All],3,FALSE)))</f>
        <v>2446262.220375</v>
      </c>
      <c r="L104" s="27">
        <f>Budgets[[#This Row],[2018 $ Value]]/VLOOKUP(Budgets[[#This Row],[Jurisdiction]],Places[],6,FALSE)</f>
        <v>72.524821238511706</v>
      </c>
      <c r="M104" s="27">
        <f>Budgets[[#This Row],[2018 $ Value]]/VLOOKUP(Budgets[[#This Row],[Jurisdiction]],Places[],7,FALSE)</f>
        <v>376348.03390384617</v>
      </c>
      <c r="N104" s="27"/>
      <c r="O104" s="27" t="s">
        <v>1460</v>
      </c>
      <c r="P104" s="4"/>
      <c r="Q104"/>
    </row>
    <row r="105" spans="1:17" x14ac:dyDescent="0.25">
      <c r="A105" s="19" t="s">
        <v>270</v>
      </c>
      <c r="B105" s="19" t="str">
        <f>INDEX(Places[Type],MATCH(Budgets[[#This Row],[Jurisdiction]],Places[Jurisdiction],0))</f>
        <v>City</v>
      </c>
      <c r="C105" s="19" t="str">
        <f>INDEX(Places[County],MATCH(Budgets[[#This Row],[Jurisdiction]],Places[Jurisdiction],0))</f>
        <v>Orange</v>
      </c>
      <c r="D105" s="21" t="str">
        <f>INDEX(Places[Majority RB],MATCH(Budgets[[#This Row],[Jurisdiction]],Places[Jurisdiction],0))</f>
        <v>San Diego</v>
      </c>
      <c r="E105" s="19">
        <f>INDEX(Places[Majority RB '#],MATCH(Budgets[[#This Row],[Jurisdiction]],Places[Jurisdiction],0))</f>
        <v>9</v>
      </c>
      <c r="F105" s="19" t="str">
        <f>VLOOKUP(Budgets[[#This Row],[Jurisdiction]],Places[#All],8,FALSE)</f>
        <v>Phase I MS4</v>
      </c>
      <c r="G105" s="81"/>
      <c r="H105" s="21" t="s">
        <v>1874</v>
      </c>
      <c r="I105" s="21">
        <f>VALUE(LEFT(Budgets[[#This Row],[Fiscal Year]],4))</f>
        <v>2017</v>
      </c>
      <c r="J105" s="20">
        <v>2228682</v>
      </c>
      <c r="K105" s="27">
        <f>IF(Budgets[[#This Row],[Reference Year]]&gt;2018,Budgets[[#This Row],[Value]],Budgets[[#This Row],[Value]]*(1+VLOOKUP(Budgets[[#This Row],[Reference Year]],Inflation[#All],3,FALSE)))</f>
        <v>2288068.0552509185</v>
      </c>
      <c r="L105" s="27">
        <f>Budgets[[#This Row],[2018 $ Value]]/VLOOKUP(Budgets[[#This Row],[Jurisdiction]],Places[],6,FALSE)</f>
        <v>67.834807448885812</v>
      </c>
      <c r="M105" s="27">
        <f>Budgets[[#This Row],[2018 $ Value]]/VLOOKUP(Budgets[[#This Row],[Jurisdiction]],Places[],7,FALSE)</f>
        <v>352010.47003860283</v>
      </c>
      <c r="N105" s="27"/>
      <c r="O105" s="27" t="s">
        <v>1460</v>
      </c>
      <c r="P105" s="4"/>
      <c r="Q105"/>
    </row>
    <row r="106" spans="1:17" x14ac:dyDescent="0.25">
      <c r="A106" s="19" t="s">
        <v>270</v>
      </c>
      <c r="B106" s="19" t="str">
        <f>INDEX(Places[Type],MATCH(Budgets[[#This Row],[Jurisdiction]],Places[Jurisdiction],0))</f>
        <v>City</v>
      </c>
      <c r="C106" s="19" t="str">
        <f>INDEX(Places[County],MATCH(Budgets[[#This Row],[Jurisdiction]],Places[Jurisdiction],0))</f>
        <v>Orange</v>
      </c>
      <c r="D106" s="21" t="str">
        <f>INDEX(Places[Majority RB],MATCH(Budgets[[#This Row],[Jurisdiction]],Places[Jurisdiction],0))</f>
        <v>San Diego</v>
      </c>
      <c r="E106" s="19">
        <f>INDEX(Places[Majority RB '#],MATCH(Budgets[[#This Row],[Jurisdiction]],Places[Jurisdiction],0))</f>
        <v>9</v>
      </c>
      <c r="F106" s="19" t="str">
        <f>VLOOKUP(Budgets[[#This Row],[Jurisdiction]],Places[#All],8,FALSE)</f>
        <v>Phase I MS4</v>
      </c>
      <c r="G106" s="81"/>
      <c r="H106" s="21" t="s">
        <v>1876</v>
      </c>
      <c r="I106" s="21">
        <f>VALUE(LEFT(Budgets[[#This Row],[Fiscal Year]],4))</f>
        <v>2018</v>
      </c>
      <c r="J106" s="20">
        <v>2332245</v>
      </c>
      <c r="K106" s="27">
        <f>IF(Budgets[[#This Row],[Reference Year]]&gt;2018,Budgets[[#This Row],[Value]],Budgets[[#This Row],[Value]]*(1+VLOOKUP(Budgets[[#This Row],[Reference Year]],Inflation[#All],3,FALSE)))</f>
        <v>2332245</v>
      </c>
      <c r="L106" s="27">
        <f>Budgets[[#This Row],[2018 $ Value]]/VLOOKUP(Budgets[[#This Row],[Jurisdiction]],Places[],6,FALSE)</f>
        <v>69.144530091906319</v>
      </c>
      <c r="M106" s="27">
        <f>Budgets[[#This Row],[2018 $ Value]]/VLOOKUP(Budgets[[#This Row],[Jurisdiction]],Places[],7,FALSE)</f>
        <v>358806.92307692306</v>
      </c>
      <c r="N106" s="27"/>
      <c r="O106" s="27" t="s">
        <v>1853</v>
      </c>
      <c r="P106" s="4"/>
      <c r="Q106"/>
    </row>
    <row r="107" spans="1:17" x14ac:dyDescent="0.25">
      <c r="A107" s="19" t="s">
        <v>308</v>
      </c>
      <c r="B107" s="19" t="str">
        <f>INDEX(Places[Type],MATCH(Budgets[[#This Row],[Jurisdiction]],Places[Jurisdiction],0))</f>
        <v>City</v>
      </c>
      <c r="C107" s="19" t="str">
        <f>INDEX(Places[County],MATCH(Budgets[[#This Row],[Jurisdiction]],Places[Jurisdiction],0))</f>
        <v>San Diego</v>
      </c>
      <c r="D107" s="21" t="str">
        <f>INDEX(Places[Majority RB],MATCH(Budgets[[#This Row],[Jurisdiction]],Places[Jurisdiction],0))</f>
        <v>San Diego</v>
      </c>
      <c r="E107" s="19">
        <f>INDEX(Places[Majority RB '#],MATCH(Budgets[[#This Row],[Jurisdiction]],Places[Jurisdiction],0))</f>
        <v>9</v>
      </c>
      <c r="F107" s="19" t="str">
        <f>VLOOKUP(Budgets[[#This Row],[Jurisdiction]],Places[#All],8,FALSE)</f>
        <v>Phase I MS4</v>
      </c>
      <c r="G107" s="81"/>
      <c r="H107" s="21" t="s">
        <v>1873</v>
      </c>
      <c r="I107" s="21">
        <f>VALUE(LEFT(Budgets[[#This Row],[Fiscal Year]],4))</f>
        <v>2015</v>
      </c>
      <c r="J107" s="20">
        <v>550670</v>
      </c>
      <c r="K107" s="27">
        <f>IF(Budgets[[#This Row],[Reference Year]]&gt;2018,Budgets[[#This Row],[Value]],Budgets[[#This Row],[Value]]*(1+VLOOKUP(Budgets[[#This Row],[Reference Year]],Inflation[#All],3,FALSE)))</f>
        <v>584665.15936708858</v>
      </c>
      <c r="L107" s="27">
        <f>Budgets[[#This Row],[2018 $ Value]]/VLOOKUP(Budgets[[#This Row],[Jurisdiction]],Places[],6,FALSE)</f>
        <v>134.49854137729207</v>
      </c>
      <c r="M107" s="27">
        <f>Budgets[[#This Row],[2018 $ Value]]/VLOOKUP(Budgets[[#This Row],[Jurisdiction]],Places[],7,FALSE)</f>
        <v>343920.68198064034</v>
      </c>
      <c r="N107" s="27"/>
      <c r="O107" s="27" t="s">
        <v>1460</v>
      </c>
      <c r="P107" s="4"/>
      <c r="Q107"/>
    </row>
    <row r="108" spans="1:17" x14ac:dyDescent="0.25">
      <c r="A108" s="19" t="s">
        <v>308</v>
      </c>
      <c r="B108" s="19" t="str">
        <f>INDEX(Places[Type],MATCH(Budgets[[#This Row],[Jurisdiction]],Places[Jurisdiction],0))</f>
        <v>City</v>
      </c>
      <c r="C108" s="19" t="str">
        <f>INDEX(Places[County],MATCH(Budgets[[#This Row],[Jurisdiction]],Places[Jurisdiction],0))</f>
        <v>San Diego</v>
      </c>
      <c r="D108" s="21" t="str">
        <f>INDEX(Places[Majority RB],MATCH(Budgets[[#This Row],[Jurisdiction]],Places[Jurisdiction],0))</f>
        <v>San Diego</v>
      </c>
      <c r="E108" s="19">
        <f>INDEX(Places[Majority RB '#],MATCH(Budgets[[#This Row],[Jurisdiction]],Places[Jurisdiction],0))</f>
        <v>9</v>
      </c>
      <c r="F108" s="19" t="str">
        <f>VLOOKUP(Budgets[[#This Row],[Jurisdiction]],Places[#All],8,FALSE)</f>
        <v>Phase I MS4</v>
      </c>
      <c r="G108" s="81"/>
      <c r="H108" s="21" t="s">
        <v>1869</v>
      </c>
      <c r="I108" s="21">
        <f>VALUE(LEFT(Budgets[[#This Row],[Fiscal Year]],4))</f>
        <v>2016</v>
      </c>
      <c r="J108" s="20">
        <v>574960</v>
      </c>
      <c r="K108" s="27">
        <f>IF(Budgets[[#This Row],[Reference Year]]&gt;2018,Budgets[[#This Row],[Value]],Budgets[[#This Row],[Value]]*(1+VLOOKUP(Budgets[[#This Row],[Reference Year]],Inflation[#All],3,FALSE)))</f>
        <v>602823.99900000007</v>
      </c>
      <c r="L108" s="27">
        <f>Budgets[[#This Row],[2018 $ Value]]/VLOOKUP(Budgets[[#This Row],[Jurisdiction]],Places[],6,FALSE)</f>
        <v>138.67586818495516</v>
      </c>
      <c r="M108" s="27">
        <f>Budgets[[#This Row],[2018 $ Value]]/VLOOKUP(Budgets[[#This Row],[Jurisdiction]],Places[],7,FALSE)</f>
        <v>354602.35235294123</v>
      </c>
      <c r="N108" s="27"/>
      <c r="O108" s="27" t="s">
        <v>1460</v>
      </c>
      <c r="P108" s="4"/>
      <c r="Q108"/>
    </row>
    <row r="109" spans="1:17" x14ac:dyDescent="0.25">
      <c r="A109" s="19" t="s">
        <v>308</v>
      </c>
      <c r="B109" s="19" t="str">
        <f>INDEX(Places[Type],MATCH(Budgets[[#This Row],[Jurisdiction]],Places[Jurisdiction],0))</f>
        <v>City</v>
      </c>
      <c r="C109" s="19" t="str">
        <f>INDEX(Places[County],MATCH(Budgets[[#This Row],[Jurisdiction]],Places[Jurisdiction],0))</f>
        <v>San Diego</v>
      </c>
      <c r="D109" s="21" t="str">
        <f>INDEX(Places[Majority RB],MATCH(Budgets[[#This Row],[Jurisdiction]],Places[Jurisdiction],0))</f>
        <v>San Diego</v>
      </c>
      <c r="E109" s="19">
        <f>INDEX(Places[Majority RB '#],MATCH(Budgets[[#This Row],[Jurisdiction]],Places[Jurisdiction],0))</f>
        <v>9</v>
      </c>
      <c r="F109" s="19" t="str">
        <f>VLOOKUP(Budgets[[#This Row],[Jurisdiction]],Places[#All],8,FALSE)</f>
        <v>Phase I MS4</v>
      </c>
      <c r="G109" s="81"/>
      <c r="H109" s="21" t="s">
        <v>1874</v>
      </c>
      <c r="I109" s="21">
        <f>VALUE(LEFT(Budgets[[#This Row],[Fiscal Year]],4))</f>
        <v>2017</v>
      </c>
      <c r="J109" s="20">
        <v>592210</v>
      </c>
      <c r="K109" s="27">
        <f>IF(Budgets[[#This Row],[Reference Year]]&gt;2018,Budgets[[#This Row],[Value]],Budgets[[#This Row],[Value]]*(1+VLOOKUP(Budgets[[#This Row],[Reference Year]],Inflation[#All],3,FALSE)))</f>
        <v>607990.18567931466</v>
      </c>
      <c r="L109" s="27">
        <f>Budgets[[#This Row],[2018 $ Value]]/VLOOKUP(Budgets[[#This Row],[Jurisdiction]],Places[],6,FALSE)</f>
        <v>139.8643169264584</v>
      </c>
      <c r="M109" s="27">
        <f>Budgets[[#This Row],[2018 $ Value]]/VLOOKUP(Budgets[[#This Row],[Jurisdiction]],Places[],7,FALSE)</f>
        <v>357641.28569371451</v>
      </c>
      <c r="N109" s="27"/>
      <c r="O109" s="27" t="s">
        <v>1853</v>
      </c>
      <c r="P109" s="4"/>
      <c r="Q109"/>
    </row>
    <row r="110" spans="1:17" x14ac:dyDescent="0.25">
      <c r="A110" s="19" t="s">
        <v>167</v>
      </c>
      <c r="B110" s="19" t="str">
        <f>INDEX(Places[Type],MATCH(Budgets[[#This Row],[Jurisdiction]],Places[Jurisdiction],0))</f>
        <v>City</v>
      </c>
      <c r="C110" s="19" t="str">
        <f>INDEX(Places[County],MATCH(Budgets[[#This Row],[Jurisdiction]],Places[Jurisdiction],0))</f>
        <v>Los Angeles</v>
      </c>
      <c r="D110" s="21" t="str">
        <f>INDEX(Places[Majority RB],MATCH(Budgets[[#This Row],[Jurisdiction]],Places[Jurisdiction],0))</f>
        <v>Los Angeles</v>
      </c>
      <c r="E110" s="19">
        <f>INDEX(Places[Majority RB '#],MATCH(Budgets[[#This Row],[Jurisdiction]],Places[Jurisdiction],0))</f>
        <v>4</v>
      </c>
      <c r="F110" s="19" t="str">
        <f>VLOOKUP(Budgets[[#This Row],[Jurisdiction]],Places[#All],8,FALSE)</f>
        <v>Phase I MS4</v>
      </c>
      <c r="G110" s="81"/>
      <c r="H110" s="100" t="s">
        <v>1870</v>
      </c>
      <c r="I110" s="21">
        <f>VALUE(LEFT(Budgets[[#This Row],[Fiscal Year]],4))</f>
        <v>2011</v>
      </c>
      <c r="J110" s="20">
        <v>8376844</v>
      </c>
      <c r="K110" s="27">
        <f>IF(Budgets[[#This Row],[Reference Year]]&gt;2018,Budgets[[#This Row],[Value]],Budgets[[#This Row],[Value]]*(1+VLOOKUP(Budgets[[#This Row],[Reference Year]],Inflation[#All],3,FALSE)))</f>
        <v>9372492.8081992008</v>
      </c>
      <c r="L110" s="27">
        <f>Budgets[[#This Row],[2018 $ Value]]/VLOOKUP(Budgets[[#This Row],[Jurisdiction]],Places[],6,FALSE)</f>
        <v>166.54807300220702</v>
      </c>
      <c r="M110" s="27">
        <f>Budgets[[#This Row],[2018 $ Value]]/VLOOKUP(Budgets[[#This Row],[Jurisdiction]],Places[],7,FALSE)</f>
        <v>629026.36296638928</v>
      </c>
      <c r="N110" s="27"/>
      <c r="O110" s="27" t="s">
        <v>1460</v>
      </c>
      <c r="P110" s="4"/>
      <c r="Q110"/>
    </row>
    <row r="111" spans="1:17" x14ac:dyDescent="0.25">
      <c r="A111" s="19" t="s">
        <v>167</v>
      </c>
      <c r="B111" s="19" t="str">
        <f>INDEX(Places[Type],MATCH(Budgets[[#This Row],[Jurisdiction]],Places[Jurisdiction],0))</f>
        <v>City</v>
      </c>
      <c r="C111" s="19" t="str">
        <f>INDEX(Places[County],MATCH(Budgets[[#This Row],[Jurisdiction]],Places[Jurisdiction],0))</f>
        <v>Los Angeles</v>
      </c>
      <c r="D111" s="21" t="str">
        <f>INDEX(Places[Majority RB],MATCH(Budgets[[#This Row],[Jurisdiction]],Places[Jurisdiction],0))</f>
        <v>Los Angeles</v>
      </c>
      <c r="E111" s="19">
        <f>INDEX(Places[Majority RB '#],MATCH(Budgets[[#This Row],[Jurisdiction]],Places[Jurisdiction],0))</f>
        <v>4</v>
      </c>
      <c r="F111" s="19" t="str">
        <f>VLOOKUP(Budgets[[#This Row],[Jurisdiction]],Places[#All],8,FALSE)</f>
        <v>Phase I MS4</v>
      </c>
      <c r="G111" s="81"/>
      <c r="H111" s="100" t="s">
        <v>1871</v>
      </c>
      <c r="I111" s="21">
        <f>VALUE(LEFT(Budgets[[#This Row],[Fiscal Year]],4))</f>
        <v>2012</v>
      </c>
      <c r="J111" s="20">
        <v>8376844</v>
      </c>
      <c r="K111" s="27">
        <f>IF(Budgets[[#This Row],[Reference Year]]&gt;2018,Budgets[[#This Row],[Value]],Budgets[[#This Row],[Value]]*(1+VLOOKUP(Budgets[[#This Row],[Reference Year]],Inflation[#All],3,FALSE)))</f>
        <v>9180634.2881707326</v>
      </c>
      <c r="L111" s="27">
        <f>Budgets[[#This Row],[2018 $ Value]]/VLOOKUP(Budgets[[#This Row],[Jurisdiction]],Places[],6,FALSE)</f>
        <v>163.13877011409565</v>
      </c>
      <c r="M111" s="27">
        <f>Budgets[[#This Row],[2018 $ Value]]/VLOOKUP(Budgets[[#This Row],[Jurisdiction]],Places[],7,FALSE)</f>
        <v>616149.95222622366</v>
      </c>
      <c r="N111" s="27"/>
      <c r="O111" s="27" t="s">
        <v>1460</v>
      </c>
      <c r="P111" s="4"/>
      <c r="Q111"/>
    </row>
    <row r="112" spans="1:17" x14ac:dyDescent="0.25">
      <c r="A112" s="19" t="s">
        <v>167</v>
      </c>
      <c r="B112" s="19" t="str">
        <f>INDEX(Places[Type],MATCH(Budgets[[#This Row],[Jurisdiction]],Places[Jurisdiction],0))</f>
        <v>City</v>
      </c>
      <c r="C112" s="19" t="str">
        <f>INDEX(Places[County],MATCH(Budgets[[#This Row],[Jurisdiction]],Places[Jurisdiction],0))</f>
        <v>Los Angeles</v>
      </c>
      <c r="D112" s="21" t="str">
        <f>INDEX(Places[Majority RB],MATCH(Budgets[[#This Row],[Jurisdiction]],Places[Jurisdiction],0))</f>
        <v>Los Angeles</v>
      </c>
      <c r="E112" s="19">
        <f>INDEX(Places[Majority RB '#],MATCH(Budgets[[#This Row],[Jurisdiction]],Places[Jurisdiction],0))</f>
        <v>4</v>
      </c>
      <c r="F112" s="19" t="str">
        <f>VLOOKUP(Budgets[[#This Row],[Jurisdiction]],Places[#All],8,FALSE)</f>
        <v>Phase I MS4</v>
      </c>
      <c r="G112" s="81"/>
      <c r="H112" s="100" t="s">
        <v>1869</v>
      </c>
      <c r="I112" s="21">
        <f>VALUE(LEFT(Budgets[[#This Row],[Fiscal Year]],4))</f>
        <v>2016</v>
      </c>
      <c r="J112" s="20">
        <v>480000</v>
      </c>
      <c r="K112" s="27">
        <f>IF(Budgets[[#This Row],[Reference Year]]&gt;2018,Budgets[[#This Row],[Value]],Budgets[[#This Row],[Value]]*(1+VLOOKUP(Budgets[[#This Row],[Reference Year]],Inflation[#All],3,FALSE)))</f>
        <v>503262.00000000006</v>
      </c>
      <c r="L112" s="27">
        <f>Budgets[[#This Row],[2018 $ Value]]/VLOOKUP(Budgets[[#This Row],[Jurisdiction]],Places[],6,FALSE)</f>
        <v>8.9429053753887171</v>
      </c>
      <c r="M112" s="27">
        <f>Budgets[[#This Row],[2018 $ Value]]/VLOOKUP(Budgets[[#This Row],[Jurisdiction]],Places[],7,FALSE)</f>
        <v>33775.973154362422</v>
      </c>
      <c r="N112" s="27"/>
      <c r="O112" s="27" t="s">
        <v>1853</v>
      </c>
      <c r="P112" s="4"/>
      <c r="Q112"/>
    </row>
    <row r="113" spans="1:17" x14ac:dyDescent="0.25">
      <c r="A113" s="19" t="s">
        <v>162</v>
      </c>
      <c r="B113" s="19" t="str">
        <f>INDEX(Places[Type],MATCH(Budgets[[#This Row],[Jurisdiction]],Places[Jurisdiction],0))</f>
        <v>City</v>
      </c>
      <c r="C113" s="19" t="str">
        <f>INDEX(Places[County],MATCH(Budgets[[#This Row],[Jurisdiction]],Places[Jurisdiction],0))</f>
        <v>Los Angeles</v>
      </c>
      <c r="D113" s="21" t="str">
        <f>INDEX(Places[Majority RB],MATCH(Budgets[[#This Row],[Jurisdiction]],Places[Jurisdiction],0))</f>
        <v>Los Angeles</v>
      </c>
      <c r="E113" s="19">
        <f>INDEX(Places[Majority RB '#],MATCH(Budgets[[#This Row],[Jurisdiction]],Places[Jurisdiction],0))</f>
        <v>4</v>
      </c>
      <c r="F113" s="19" t="str">
        <f>VLOOKUP(Budgets[[#This Row],[Jurisdiction]],Places[#All],8,FALSE)</f>
        <v>Phase I MS4</v>
      </c>
      <c r="G113" s="81"/>
      <c r="H113" s="100" t="s">
        <v>1870</v>
      </c>
      <c r="I113" s="21">
        <f>VALUE(LEFT(Budgets[[#This Row],[Fiscal Year]],4))</f>
        <v>2011</v>
      </c>
      <c r="J113" s="20">
        <v>1195296</v>
      </c>
      <c r="K113" s="27">
        <f>IF(Budgets[[#This Row],[Reference Year]]&gt;2018,Budgets[[#This Row],[Value]],Budgets[[#This Row],[Value]]*(1+VLOOKUP(Budgets[[#This Row],[Reference Year]],Inflation[#All],3,FALSE)))</f>
        <v>1337365.6192796798</v>
      </c>
      <c r="L113" s="27">
        <f>Budgets[[#This Row],[2018 $ Value]]/VLOOKUP(Budgets[[#This Row],[Jurisdiction]],Places[],6,FALSE)</f>
        <v>11.912154016511057</v>
      </c>
      <c r="M113" s="27">
        <f>Budgets[[#This Row],[2018 $ Value]]/VLOOKUP(Budgets[[#This Row],[Jurisdiction]],Places[],7,FALSE)</f>
        <v>107852.06607094192</v>
      </c>
      <c r="N113" s="27"/>
      <c r="O113" s="27" t="s">
        <v>1460</v>
      </c>
      <c r="P113" s="4"/>
      <c r="Q113"/>
    </row>
    <row r="114" spans="1:17" x14ac:dyDescent="0.25">
      <c r="A114" s="19" t="s">
        <v>162</v>
      </c>
      <c r="B114" s="19" t="str">
        <f>INDEX(Places[Type],MATCH(Budgets[[#This Row],[Jurisdiction]],Places[Jurisdiction],0))</f>
        <v>City</v>
      </c>
      <c r="C114" s="19" t="str">
        <f>INDEX(Places[County],MATCH(Budgets[[#This Row],[Jurisdiction]],Places[Jurisdiction],0))</f>
        <v>Los Angeles</v>
      </c>
      <c r="D114" s="21" t="str">
        <f>INDEX(Places[Majority RB],MATCH(Budgets[[#This Row],[Jurisdiction]],Places[Jurisdiction],0))</f>
        <v>Los Angeles</v>
      </c>
      <c r="E114" s="19">
        <f>INDEX(Places[Majority RB '#],MATCH(Budgets[[#This Row],[Jurisdiction]],Places[Jurisdiction],0))</f>
        <v>4</v>
      </c>
      <c r="F114" s="19" t="str">
        <f>VLOOKUP(Budgets[[#This Row],[Jurisdiction]],Places[#All],8,FALSE)</f>
        <v>Phase I MS4</v>
      </c>
      <c r="G114" s="81"/>
      <c r="H114" s="100" t="s">
        <v>1871</v>
      </c>
      <c r="I114" s="21">
        <f>VALUE(LEFT(Budgets[[#This Row],[Fiscal Year]],4))</f>
        <v>2012</v>
      </c>
      <c r="J114" s="20">
        <v>1195296</v>
      </c>
      <c r="K114" s="27">
        <f>IF(Budgets[[#This Row],[Reference Year]]&gt;2018,Budgets[[#This Row],[Value]],Budgets[[#This Row],[Value]]*(1+VLOOKUP(Budgets[[#This Row],[Reference Year]],Inflation[#All],3,FALSE)))</f>
        <v>1309989.2324738677</v>
      </c>
      <c r="L114" s="27">
        <f>Budgets[[#This Row],[2018 $ Value]]/VLOOKUP(Budgets[[#This Row],[Jurisdiction]],Places[],6,FALSE)</f>
        <v>11.668307658159133</v>
      </c>
      <c r="M114" s="27">
        <f>Budgets[[#This Row],[2018 $ Value]]/VLOOKUP(Budgets[[#This Row],[Jurisdiction]],Places[],7,FALSE)</f>
        <v>105644.29294144094</v>
      </c>
      <c r="N114" s="27"/>
      <c r="O114" s="27" t="s">
        <v>1460</v>
      </c>
      <c r="P114" s="4"/>
      <c r="Q114"/>
    </row>
    <row r="115" spans="1:17" x14ac:dyDescent="0.25">
      <c r="A115" s="19" t="s">
        <v>162</v>
      </c>
      <c r="B115" s="19" t="str">
        <f>INDEX(Places[Type],MATCH(Budgets[[#This Row],[Jurisdiction]],Places[Jurisdiction],0))</f>
        <v>City</v>
      </c>
      <c r="C115" s="19" t="str">
        <f>INDEX(Places[County],MATCH(Budgets[[#This Row],[Jurisdiction]],Places[Jurisdiction],0))</f>
        <v>Los Angeles</v>
      </c>
      <c r="D115" s="21" t="str">
        <f>INDEX(Places[Majority RB],MATCH(Budgets[[#This Row],[Jurisdiction]],Places[Jurisdiction],0))</f>
        <v>Los Angeles</v>
      </c>
      <c r="E115" s="19">
        <f>INDEX(Places[Majority RB '#],MATCH(Budgets[[#This Row],[Jurisdiction]],Places[Jurisdiction],0))</f>
        <v>4</v>
      </c>
      <c r="F115" s="19" t="str">
        <f>VLOOKUP(Budgets[[#This Row],[Jurisdiction]],Places[#All],8,FALSE)</f>
        <v>Phase I MS4</v>
      </c>
      <c r="G115" s="81"/>
      <c r="H115" s="100" t="s">
        <v>1869</v>
      </c>
      <c r="I115" s="21">
        <f>VALUE(LEFT(Budgets[[#This Row],[Fiscal Year]],4))</f>
        <v>2016</v>
      </c>
      <c r="J115" s="20">
        <v>2102430</v>
      </c>
      <c r="K115" s="27">
        <f>IF(Budgets[[#This Row],[Reference Year]]&gt;2018,Budgets[[#This Row],[Value]],Budgets[[#This Row],[Value]]*(1+VLOOKUP(Budgets[[#This Row],[Reference Year]],Inflation[#All],3,FALSE)))</f>
        <v>2204319.0138750002</v>
      </c>
      <c r="L115" s="27">
        <f>Budgets[[#This Row],[2018 $ Value]]/VLOOKUP(Budgets[[#This Row],[Jurisdiction]],Places[],6,FALSE)</f>
        <v>19.634262475616602</v>
      </c>
      <c r="M115" s="27">
        <f>Budgets[[#This Row],[2018 $ Value]]/VLOOKUP(Budgets[[#This Row],[Jurisdiction]],Places[],7,FALSE)</f>
        <v>177767.6624092742</v>
      </c>
      <c r="N115" s="27"/>
      <c r="O115" s="27" t="s">
        <v>1853</v>
      </c>
      <c r="P115" s="4"/>
      <c r="Q115"/>
    </row>
    <row r="116" spans="1:17" x14ac:dyDescent="0.25">
      <c r="A116" s="19" t="s">
        <v>182</v>
      </c>
      <c r="B116" s="19" t="str">
        <f>INDEX(Places[Type],MATCH(Budgets[[#This Row],[Jurisdiction]],Places[Jurisdiction],0))</f>
        <v>City</v>
      </c>
      <c r="C116" s="19" t="str">
        <f>INDEX(Places[County],MATCH(Budgets[[#This Row],[Jurisdiction]],Places[Jurisdiction],0))</f>
        <v>Los Angeles</v>
      </c>
      <c r="D116" s="21" t="str">
        <f>INDEX(Places[Majority RB],MATCH(Budgets[[#This Row],[Jurisdiction]],Places[Jurisdiction],0))</f>
        <v>Los Angeles</v>
      </c>
      <c r="E116" s="19">
        <f>INDEX(Places[Majority RB '#],MATCH(Budgets[[#This Row],[Jurisdiction]],Places[Jurisdiction],0))</f>
        <v>4</v>
      </c>
      <c r="F116" s="19" t="str">
        <f>VLOOKUP(Budgets[[#This Row],[Jurisdiction]],Places[#All],8,FALSE)</f>
        <v>Phase I MS4</v>
      </c>
      <c r="G116" s="81"/>
      <c r="H116" s="21" t="s">
        <v>1870</v>
      </c>
      <c r="I116" s="21">
        <f>VALUE(LEFT(Budgets[[#This Row],[Fiscal Year]],4))</f>
        <v>2011</v>
      </c>
      <c r="J116" s="20">
        <v>963025</v>
      </c>
      <c r="K116" s="27">
        <f>IF(Budgets[[#This Row],[Reference Year]]&gt;2018,Budgets[[#This Row],[Value]],Budgets[[#This Row],[Value]]*(1+VLOOKUP(Budgets[[#This Row],[Reference Year]],Inflation[#All],3,FALSE)))</f>
        <v>1077487.5223432637</v>
      </c>
      <c r="L116" s="27">
        <f>Budgets[[#This Row],[2018 $ Value]]/VLOOKUP(Budgets[[#This Row],[Jurisdiction]],Places[],6,FALSE)</f>
        <v>50.052841656675973</v>
      </c>
      <c r="M116" s="27">
        <f>Budgets[[#This Row],[2018 $ Value]]/VLOOKUP(Budgets[[#This Row],[Jurisdiction]],Places[],7,FALSE)</f>
        <v>160819.03318556174</v>
      </c>
      <c r="N116" s="27"/>
      <c r="O116" s="27" t="s">
        <v>1460</v>
      </c>
      <c r="P116" s="4"/>
      <c r="Q116"/>
    </row>
    <row r="117" spans="1:17" x14ac:dyDescent="0.25">
      <c r="A117" s="19" t="s">
        <v>182</v>
      </c>
      <c r="B117" s="19" t="str">
        <f>INDEX(Places[Type],MATCH(Budgets[[#This Row],[Jurisdiction]],Places[Jurisdiction],0))</f>
        <v>City</v>
      </c>
      <c r="C117" s="19" t="str">
        <f>INDEX(Places[County],MATCH(Budgets[[#This Row],[Jurisdiction]],Places[Jurisdiction],0))</f>
        <v>Los Angeles</v>
      </c>
      <c r="D117" s="21" t="str">
        <f>INDEX(Places[Majority RB],MATCH(Budgets[[#This Row],[Jurisdiction]],Places[Jurisdiction],0))</f>
        <v>Los Angeles</v>
      </c>
      <c r="E117" s="19">
        <f>INDEX(Places[Majority RB '#],MATCH(Budgets[[#This Row],[Jurisdiction]],Places[Jurisdiction],0))</f>
        <v>4</v>
      </c>
      <c r="F117" s="19" t="str">
        <f>VLOOKUP(Budgets[[#This Row],[Jurisdiction]],Places[#All],8,FALSE)</f>
        <v>Phase I MS4</v>
      </c>
      <c r="G117" s="81"/>
      <c r="H117" s="21" t="s">
        <v>1871</v>
      </c>
      <c r="I117" s="21">
        <f>VALUE(LEFT(Budgets[[#This Row],[Fiscal Year]],4))</f>
        <v>2012</v>
      </c>
      <c r="J117" s="20">
        <v>963025</v>
      </c>
      <c r="K117" s="27">
        <f>IF(Budgets[[#This Row],[Reference Year]]&gt;2018,Budgets[[#This Row],[Value]],Budgets[[#This Row],[Value]]*(1+VLOOKUP(Budgets[[#This Row],[Reference Year]],Inflation[#All],3,FALSE)))</f>
        <v>1055430.9397865853</v>
      </c>
      <c r="L117" s="27">
        <f>Budgets[[#This Row],[2018 $ Value]]/VLOOKUP(Budgets[[#This Row],[Jurisdiction]],Places[],6,FALSE)</f>
        <v>49.028240803947845</v>
      </c>
      <c r="M117" s="27">
        <f>Budgets[[#This Row],[2018 $ Value]]/VLOOKUP(Budgets[[#This Row],[Jurisdiction]],Places[],7,FALSE)</f>
        <v>157527.00593829629</v>
      </c>
      <c r="N117" s="27"/>
      <c r="O117" s="27" t="s">
        <v>1460</v>
      </c>
      <c r="P117" s="4"/>
      <c r="Q117"/>
    </row>
    <row r="118" spans="1:17" x14ac:dyDescent="0.25">
      <c r="A118" s="19" t="s">
        <v>182</v>
      </c>
      <c r="B118" s="19" t="str">
        <f>INDEX(Places[Type],MATCH(Budgets[[#This Row],[Jurisdiction]],Places[Jurisdiction],0))</f>
        <v>City</v>
      </c>
      <c r="C118" s="19" t="str">
        <f>INDEX(Places[County],MATCH(Budgets[[#This Row],[Jurisdiction]],Places[Jurisdiction],0))</f>
        <v>Los Angeles</v>
      </c>
      <c r="D118" s="21" t="str">
        <f>INDEX(Places[Majority RB],MATCH(Budgets[[#This Row],[Jurisdiction]],Places[Jurisdiction],0))</f>
        <v>Los Angeles</v>
      </c>
      <c r="E118" s="19">
        <f>INDEX(Places[Majority RB '#],MATCH(Budgets[[#This Row],[Jurisdiction]],Places[Jurisdiction],0))</f>
        <v>4</v>
      </c>
      <c r="F118" s="19" t="str">
        <f>VLOOKUP(Budgets[[#This Row],[Jurisdiction]],Places[#All],8,FALSE)</f>
        <v>Phase I MS4</v>
      </c>
      <c r="G118" s="81"/>
      <c r="H118" s="21" t="s">
        <v>1869</v>
      </c>
      <c r="I118" s="21">
        <f>VALUE(LEFT(Budgets[[#This Row],[Fiscal Year]],4))</f>
        <v>2016</v>
      </c>
      <c r="J118" s="20">
        <v>741900</v>
      </c>
      <c r="K118" s="27">
        <f>IF(Budgets[[#This Row],[Reference Year]]&gt;2018,Budgets[[#This Row],[Value]],Budgets[[#This Row],[Value]]*(1+VLOOKUP(Budgets[[#This Row],[Reference Year]],Inflation[#All],3,FALSE)))</f>
        <v>777854.3287500001</v>
      </c>
      <c r="L118" s="27">
        <f>Budgets[[#This Row],[2018 $ Value]]/VLOOKUP(Budgets[[#This Row],[Jurisdiction]],Places[],6,FALSE)</f>
        <v>36.133893656803089</v>
      </c>
      <c r="M118" s="27">
        <f>Budgets[[#This Row],[2018 $ Value]]/VLOOKUP(Budgets[[#This Row],[Jurisdiction]],Places[],7,FALSE)</f>
        <v>116097.6610074627</v>
      </c>
      <c r="N118" s="27"/>
      <c r="O118" s="27" t="s">
        <v>1853</v>
      </c>
      <c r="P118" s="4"/>
      <c r="Q118"/>
    </row>
    <row r="119" spans="1:17" x14ac:dyDescent="0.25">
      <c r="A119" s="19" t="s">
        <v>231</v>
      </c>
      <c r="B119" s="19" t="str">
        <f>INDEX(Places[Type],MATCH(Budgets[[#This Row],[Jurisdiction]],Places[Jurisdiction],0))</f>
        <v>City</v>
      </c>
      <c r="C119" s="19" t="str">
        <f>INDEX(Places[County],MATCH(Budgets[[#This Row],[Jurisdiction]],Places[Jurisdiction],0))</f>
        <v>Riverside</v>
      </c>
      <c r="D119" s="21" t="str">
        <f>INDEX(Places[Majority RB],MATCH(Budgets[[#This Row],[Jurisdiction]],Places[Jurisdiction],0))</f>
        <v>Santa Ana</v>
      </c>
      <c r="E119" s="19">
        <f>INDEX(Places[Majority RB '#],MATCH(Budgets[[#This Row],[Jurisdiction]],Places[Jurisdiction],0))</f>
        <v>8</v>
      </c>
      <c r="F119" s="19" t="str">
        <f>VLOOKUP(Budgets[[#This Row],[Jurisdiction]],Places[#All],8,FALSE)</f>
        <v>Phase I MS4</v>
      </c>
      <c r="G119" s="81"/>
      <c r="H119" s="21" t="s">
        <v>1869</v>
      </c>
      <c r="I119" s="21">
        <f>VALUE(LEFT(Budgets[[#This Row],[Fiscal Year]],4))</f>
        <v>2016</v>
      </c>
      <c r="J119" s="20">
        <v>156940</v>
      </c>
      <c r="K119" s="27">
        <f>IF(Budgets[[#This Row],[Reference Year]]&gt;2018,Budgets[[#This Row],[Value]],Budgets[[#This Row],[Value]]*(1+VLOOKUP(Budgets[[#This Row],[Reference Year]],Inflation[#All],3,FALSE)))</f>
        <v>164545.70475</v>
      </c>
      <c r="L119" s="27">
        <f>Budgets[[#This Row],[2018 $ Value]]/VLOOKUP(Budgets[[#This Row],[Jurisdiction]],Places[],6,FALSE)</f>
        <v>2.5384237565949834</v>
      </c>
      <c r="M119" s="27">
        <f>Budgets[[#This Row],[2018 $ Value]]/VLOOKUP(Budgets[[#This Row],[Jurisdiction]],Places[],7,FALSE)</f>
        <v>12956.35470472441</v>
      </c>
      <c r="N119" s="27"/>
      <c r="O119" s="27" t="s">
        <v>1853</v>
      </c>
      <c r="P119" s="4"/>
      <c r="Q119"/>
    </row>
    <row r="120" spans="1:17" x14ac:dyDescent="0.25">
      <c r="A120" s="19" t="s">
        <v>317</v>
      </c>
      <c r="B120" s="19" t="str">
        <f>INDEX(Places[Type],MATCH(Budgets[[#This Row],[Jurisdiction]],Places[Jurisdiction],0))</f>
        <v>City</v>
      </c>
      <c r="C120" s="19" t="str">
        <f>INDEX(Places[County],MATCH(Budgets[[#This Row],[Jurisdiction]],Places[Jurisdiction],0))</f>
        <v>San Diego</v>
      </c>
      <c r="D120" s="21" t="str">
        <f>INDEX(Places[Majority RB],MATCH(Budgets[[#This Row],[Jurisdiction]],Places[Jurisdiction],0))</f>
        <v>San Diego</v>
      </c>
      <c r="E120" s="19">
        <f>INDEX(Places[Majority RB '#],MATCH(Budgets[[#This Row],[Jurisdiction]],Places[Jurisdiction],0))</f>
        <v>9</v>
      </c>
      <c r="F120" s="19" t="str">
        <f>VLOOKUP(Budgets[[#This Row],[Jurisdiction]],Places[#All],8,FALSE)</f>
        <v>Phase I MS4</v>
      </c>
      <c r="G120" s="81"/>
      <c r="H120" s="21" t="s">
        <v>1869</v>
      </c>
      <c r="I120" s="21">
        <f>VALUE(LEFT(Budgets[[#This Row],[Fiscal Year]],4))</f>
        <v>2016</v>
      </c>
      <c r="J120" s="20">
        <v>828247</v>
      </c>
      <c r="K120" s="27">
        <f>IF(Budgets[[#This Row],[Reference Year]]&gt;2018,Budgets[[#This Row],[Value]],Budgets[[#This Row],[Value]]*(1+VLOOKUP(Budgets[[#This Row],[Reference Year]],Inflation[#All],3,FALSE)))</f>
        <v>868385.9202375001</v>
      </c>
      <c r="L120" s="27">
        <f>Budgets[[#This Row],[2018 $ Value]]/VLOOKUP(Budgets[[#This Row],[Jurisdiction]],Places[],6,FALSE)</f>
        <v>8.4112505713573107</v>
      </c>
      <c r="M120" s="27">
        <f>Budgets[[#This Row],[2018 $ Value]]/VLOOKUP(Budgets[[#This Row],[Jurisdiction]],Places[],7,FALSE)</f>
        <v>59888.684154310351</v>
      </c>
      <c r="N120" s="27"/>
      <c r="O120" s="27" t="s">
        <v>1460</v>
      </c>
      <c r="P120" s="4"/>
      <c r="Q120"/>
    </row>
    <row r="121" spans="1:17" x14ac:dyDescent="0.25">
      <c r="A121" s="19" t="s">
        <v>317</v>
      </c>
      <c r="B121" s="19" t="str">
        <f>INDEX(Places[Type],MATCH(Budgets[[#This Row],[Jurisdiction]],Places[Jurisdiction],0))</f>
        <v>City</v>
      </c>
      <c r="C121" s="19" t="str">
        <f>INDEX(Places[County],MATCH(Budgets[[#This Row],[Jurisdiction]],Places[Jurisdiction],0))</f>
        <v>San Diego</v>
      </c>
      <c r="D121" s="21" t="str">
        <f>INDEX(Places[Majority RB],MATCH(Budgets[[#This Row],[Jurisdiction]],Places[Jurisdiction],0))</f>
        <v>San Diego</v>
      </c>
      <c r="E121" s="19">
        <f>INDEX(Places[Majority RB '#],MATCH(Budgets[[#This Row],[Jurisdiction]],Places[Jurisdiction],0))</f>
        <v>9</v>
      </c>
      <c r="F121" s="19" t="str">
        <f>VLOOKUP(Budgets[[#This Row],[Jurisdiction]],Places[#All],8,FALSE)</f>
        <v>Phase I MS4</v>
      </c>
      <c r="G121" s="81"/>
      <c r="H121" s="21" t="s">
        <v>1874</v>
      </c>
      <c r="I121" s="21">
        <f>VALUE(LEFT(Budgets[[#This Row],[Fiscal Year]],4))</f>
        <v>2017</v>
      </c>
      <c r="J121" s="20">
        <v>2132291</v>
      </c>
      <c r="K121" s="27">
        <f>IF(Budgets[[#This Row],[Reference Year]]&gt;2018,Budgets[[#This Row],[Value]],Budgets[[#This Row],[Value]]*(1+VLOOKUP(Budgets[[#This Row],[Reference Year]],Inflation[#All],3,FALSE)))</f>
        <v>2189108.5949449209</v>
      </c>
      <c r="L121" s="27">
        <f>Budgets[[#This Row],[2018 $ Value]]/VLOOKUP(Budgets[[#This Row],[Jurisdiction]],Places[],6,FALSE)</f>
        <v>21.203868569123902</v>
      </c>
      <c r="M121" s="27">
        <f>Budgets[[#This Row],[2018 $ Value]]/VLOOKUP(Budgets[[#This Row],[Jurisdiction]],Places[],7,FALSE)</f>
        <v>150973.00654792559</v>
      </c>
      <c r="N121" s="27"/>
      <c r="O121" s="27" t="s">
        <v>1460</v>
      </c>
      <c r="P121" s="4"/>
      <c r="Q121"/>
    </row>
    <row r="122" spans="1:17" x14ac:dyDescent="0.25">
      <c r="A122" s="19" t="s">
        <v>317</v>
      </c>
      <c r="B122" s="19" t="str">
        <f>INDEX(Places[Type],MATCH(Budgets[[#This Row],[Jurisdiction]],Places[Jurisdiction],0))</f>
        <v>City</v>
      </c>
      <c r="C122" s="19" t="str">
        <f>INDEX(Places[County],MATCH(Budgets[[#This Row],[Jurisdiction]],Places[Jurisdiction],0))</f>
        <v>San Diego</v>
      </c>
      <c r="D122" s="21" t="str">
        <f>INDEX(Places[Majority RB],MATCH(Budgets[[#This Row],[Jurisdiction]],Places[Jurisdiction],0))</f>
        <v>San Diego</v>
      </c>
      <c r="E122" s="19">
        <f>INDEX(Places[Majority RB '#],MATCH(Budgets[[#This Row],[Jurisdiction]],Places[Jurisdiction],0))</f>
        <v>9</v>
      </c>
      <c r="F122" s="19" t="str">
        <f>VLOOKUP(Budgets[[#This Row],[Jurisdiction]],Places[#All],8,FALSE)</f>
        <v>Phase I MS4</v>
      </c>
      <c r="G122" s="81"/>
      <c r="H122" s="21" t="s">
        <v>1876</v>
      </c>
      <c r="I122" s="21">
        <f>VALUE(LEFT(Budgets[[#This Row],[Fiscal Year]],4))</f>
        <v>2018</v>
      </c>
      <c r="J122" s="20">
        <v>2638532</v>
      </c>
      <c r="K122" s="27">
        <f>IF(Budgets[[#This Row],[Reference Year]]&gt;2018,Budgets[[#This Row],[Value]],Budgets[[#This Row],[Value]]*(1+VLOOKUP(Budgets[[#This Row],[Reference Year]],Inflation[#All],3,FALSE)))</f>
        <v>2638532</v>
      </c>
      <c r="L122" s="27">
        <f>Budgets[[#This Row],[2018 $ Value]]/VLOOKUP(Budgets[[#This Row],[Jurisdiction]],Places[],6,FALSE)</f>
        <v>25.557017076549045</v>
      </c>
      <c r="M122" s="27">
        <f>Budgets[[#This Row],[2018 $ Value]]/VLOOKUP(Budgets[[#This Row],[Jurisdiction]],Places[],7,FALSE)</f>
        <v>181967.72413793104</v>
      </c>
      <c r="N122" s="27"/>
      <c r="O122" s="27" t="s">
        <v>1853</v>
      </c>
      <c r="P122" s="4"/>
      <c r="Q122"/>
    </row>
    <row r="123" spans="1:17" x14ac:dyDescent="0.25">
      <c r="A123" s="19" t="s">
        <v>16</v>
      </c>
      <c r="B123" s="19" t="str">
        <f>INDEX(Places[Type],MATCH(Budgets[[#This Row],[Jurisdiction]],Places[Jurisdiction],0))</f>
        <v>City</v>
      </c>
      <c r="C123" s="19" t="str">
        <f>INDEX(Places[County],MATCH(Budgets[[#This Row],[Jurisdiction]],Places[Jurisdiction],0))</f>
        <v>Imperial</v>
      </c>
      <c r="D123" s="21" t="str">
        <f>INDEX(Places[Majority RB],MATCH(Budgets[[#This Row],[Jurisdiction]],Places[Jurisdiction],0))</f>
        <v>Colorado River Basin</v>
      </c>
      <c r="E123" s="19">
        <f>INDEX(Places[Majority RB '#],MATCH(Budgets[[#This Row],[Jurisdiction]],Places[Jurisdiction],0))</f>
        <v>7</v>
      </c>
      <c r="F123" s="19" t="str">
        <f>VLOOKUP(Budgets[[#This Row],[Jurisdiction]],Places[#All],8,FALSE)</f>
        <v>Phase II MS4</v>
      </c>
      <c r="G123" s="81"/>
      <c r="H123" s="21" t="s">
        <v>1869</v>
      </c>
      <c r="I123" s="21">
        <f>VALUE(LEFT(Budgets[[#This Row],[Fiscal Year]],4))</f>
        <v>2016</v>
      </c>
      <c r="J123" s="20">
        <v>149049</v>
      </c>
      <c r="K123" s="27">
        <f>IF(Budgets[[#This Row],[Reference Year]]&gt;2018,Budgets[[#This Row],[Value]],Budgets[[#This Row],[Value]]*(1+VLOOKUP(Budgets[[#This Row],[Reference Year]],Inflation[#All],3,FALSE)))</f>
        <v>156272.2871625</v>
      </c>
      <c r="L123" s="27">
        <f>Budgets[[#This Row],[2018 $ Value]]/VLOOKUP(Budgets[[#This Row],[Jurisdiction]],Places[],6,FALSE)</f>
        <v>3.5419829365933815</v>
      </c>
      <c r="M123" s="27">
        <f>Budgets[[#This Row],[2018 $ Value]]/VLOOKUP(Budgets[[#This Row],[Jurisdiction]],Places[],7,FALSE)</f>
        <v>13952.882782366072</v>
      </c>
      <c r="N123" s="27"/>
      <c r="O123" s="27" t="s">
        <v>1853</v>
      </c>
      <c r="P123" s="4"/>
      <c r="Q123"/>
    </row>
    <row r="124" spans="1:17" x14ac:dyDescent="0.25">
      <c r="A124" s="19" t="s">
        <v>9</v>
      </c>
      <c r="B124" s="19" t="str">
        <f>INDEX(Places[Type],MATCH(Budgets[[#This Row],[Jurisdiction]],Places[Jurisdiction],0))</f>
        <v>City</v>
      </c>
      <c r="C124" s="19" t="str">
        <f>INDEX(Places[County],MATCH(Budgets[[#This Row],[Jurisdiction]],Places[Jurisdiction],0))</f>
        <v>Los Angeles</v>
      </c>
      <c r="D124" s="21" t="str">
        <f>INDEX(Places[Majority RB],MATCH(Budgets[[#This Row],[Jurisdiction]],Places[Jurisdiction],0))</f>
        <v>Los Angeles</v>
      </c>
      <c r="E124" s="19">
        <f>INDEX(Places[Majority RB '#],MATCH(Budgets[[#This Row],[Jurisdiction]],Places[Jurisdiction],0))</f>
        <v>4</v>
      </c>
      <c r="F124" s="19" t="str">
        <f>VLOOKUP(Budgets[[#This Row],[Jurisdiction]],Places[#All],8,FALSE)</f>
        <v>Phase I MS4</v>
      </c>
      <c r="G124" s="81"/>
      <c r="H124" s="21" t="s">
        <v>1870</v>
      </c>
      <c r="I124" s="21">
        <f>VALUE(LEFT(Budgets[[#This Row],[Fiscal Year]],4))</f>
        <v>2011</v>
      </c>
      <c r="J124" s="20">
        <v>701000</v>
      </c>
      <c r="K124" s="27">
        <f>IF(Budgets[[#This Row],[Reference Year]]&gt;2018,Budgets[[#This Row],[Value]],Budgets[[#This Row],[Value]]*(1+VLOOKUP(Budgets[[#This Row],[Reference Year]],Inflation[#All],3,FALSE)))</f>
        <v>784318.94619831035</v>
      </c>
      <c r="L124" s="27">
        <f>Budgets[[#This Row],[2018 $ Value]]/VLOOKUP(Budgets[[#This Row],[Jurisdiction]],Places[],6,FALSE)</f>
        <v>6.785587754557735</v>
      </c>
      <c r="M124" s="27">
        <f>Budgets[[#This Row],[2018 $ Value]]/VLOOKUP(Budgets[[#This Row],[Jurisdiction]],Places[],7,FALSE)</f>
        <v>81699.890228990669</v>
      </c>
      <c r="N124" s="27"/>
      <c r="O124" s="27" t="s">
        <v>1460</v>
      </c>
      <c r="P124" s="4"/>
      <c r="Q124"/>
    </row>
    <row r="125" spans="1:17" x14ac:dyDescent="0.25">
      <c r="A125" s="19" t="s">
        <v>9</v>
      </c>
      <c r="B125" s="19" t="str">
        <f>INDEX(Places[Type],MATCH(Budgets[[#This Row],[Jurisdiction]],Places[Jurisdiction],0))</f>
        <v>City</v>
      </c>
      <c r="C125" s="19" t="str">
        <f>INDEX(Places[County],MATCH(Budgets[[#This Row],[Jurisdiction]],Places[Jurisdiction],0))</f>
        <v>Los Angeles</v>
      </c>
      <c r="D125" s="21" t="str">
        <f>INDEX(Places[Majority RB],MATCH(Budgets[[#This Row],[Jurisdiction]],Places[Jurisdiction],0))</f>
        <v>Los Angeles</v>
      </c>
      <c r="E125" s="19">
        <f>INDEX(Places[Majority RB '#],MATCH(Budgets[[#This Row],[Jurisdiction]],Places[Jurisdiction],0))</f>
        <v>4</v>
      </c>
      <c r="F125" s="19" t="str">
        <f>VLOOKUP(Budgets[[#This Row],[Jurisdiction]],Places[#All],8,FALSE)</f>
        <v>Phase I MS4</v>
      </c>
      <c r="G125" s="81"/>
      <c r="H125" s="21" t="s">
        <v>1869</v>
      </c>
      <c r="I125" s="21">
        <f>VALUE(LEFT(Budgets[[#This Row],[Fiscal Year]],4))</f>
        <v>2016</v>
      </c>
      <c r="J125" s="20">
        <v>828360</v>
      </c>
      <c r="K125" s="27">
        <f>IF(Budgets[[#This Row],[Reference Year]]&gt;2018,Budgets[[#This Row],[Value]],Budgets[[#This Row],[Value]]*(1+VLOOKUP(Budgets[[#This Row],[Reference Year]],Inflation[#All],3,FALSE)))</f>
        <v>868504.39650000003</v>
      </c>
      <c r="L125" s="27">
        <f>Budgets[[#This Row],[2018 $ Value]]/VLOOKUP(Budgets[[#This Row],[Jurisdiction]],Places[],6,FALSE)</f>
        <v>7.5139238013254204</v>
      </c>
      <c r="M125" s="27">
        <f>Budgets[[#This Row],[2018 $ Value]]/VLOOKUP(Budgets[[#This Row],[Jurisdiction]],Places[],7,FALSE)</f>
        <v>90469.207968750008</v>
      </c>
      <c r="N125" s="27"/>
      <c r="O125" s="27" t="s">
        <v>1853</v>
      </c>
      <c r="P125" s="4"/>
      <c r="Q125"/>
    </row>
    <row r="126" spans="1:17" x14ac:dyDescent="0.25">
      <c r="A126" s="19" t="s">
        <v>10</v>
      </c>
      <c r="B126" s="19" t="str">
        <f>INDEX(Places[Type],MATCH(Budgets[[#This Row],[Jurisdiction]],Places[Jurisdiction],0))</f>
        <v>City</v>
      </c>
      <c r="C126" s="19" t="str">
        <f>INDEX(Places[County],MATCH(Budgets[[#This Row],[Jurisdiction]],Places[Jurisdiction],0))</f>
        <v>Los Angeles</v>
      </c>
      <c r="D126" s="21" t="str">
        <f>INDEX(Places[Majority RB],MATCH(Budgets[[#This Row],[Jurisdiction]],Places[Jurisdiction],0))</f>
        <v>Los Angeles</v>
      </c>
      <c r="E126" s="19">
        <f>INDEX(Places[Majority RB '#],MATCH(Budgets[[#This Row],[Jurisdiction]],Places[Jurisdiction],0))</f>
        <v>4</v>
      </c>
      <c r="F126" s="19" t="str">
        <f>VLOOKUP(Budgets[[#This Row],[Jurisdiction]],Places[#All],8,FALSE)</f>
        <v>Phase I MS4</v>
      </c>
      <c r="G126" s="81"/>
      <c r="H126" s="21" t="s">
        <v>1870</v>
      </c>
      <c r="I126" s="21">
        <f>VALUE(LEFT(Budgets[[#This Row],[Fiscal Year]],4))</f>
        <v>2011</v>
      </c>
      <c r="J126" s="20">
        <v>835075</v>
      </c>
      <c r="K126" s="27">
        <f>IF(Budgets[[#This Row],[Reference Year]]&gt;2018,Budgets[[#This Row],[Value]],Budgets[[#This Row],[Value]]*(1+VLOOKUP(Budgets[[#This Row],[Reference Year]],Inflation[#All],3,FALSE)))</f>
        <v>934329.73465984885</v>
      </c>
      <c r="L126" s="27">
        <f>Budgets[[#This Row],[2018 $ Value]]/VLOOKUP(Budgets[[#This Row],[Jurisdiction]],Places[],6,FALSE)</f>
        <v>55.884307354497807</v>
      </c>
      <c r="M126" s="27">
        <f>Budgets[[#This Row],[2018 $ Value]]/VLOOKUP(Budgets[[#This Row],[Jurisdiction]],Places[],7,FALSE)</f>
        <v>169878.13357451797</v>
      </c>
      <c r="N126" s="27"/>
      <c r="O126" s="27" t="s">
        <v>1460</v>
      </c>
      <c r="P126" s="4"/>
      <c r="Q126"/>
    </row>
    <row r="127" spans="1:17" x14ac:dyDescent="0.25">
      <c r="A127" s="19" t="s">
        <v>10</v>
      </c>
      <c r="B127" s="19" t="str">
        <f>INDEX(Places[Type],MATCH(Budgets[[#This Row],[Jurisdiction]],Places[Jurisdiction],0))</f>
        <v>City</v>
      </c>
      <c r="C127" s="19" t="str">
        <f>INDEX(Places[County],MATCH(Budgets[[#This Row],[Jurisdiction]],Places[Jurisdiction],0))</f>
        <v>Los Angeles</v>
      </c>
      <c r="D127" s="21" t="str">
        <f>INDEX(Places[Majority RB],MATCH(Budgets[[#This Row],[Jurisdiction]],Places[Jurisdiction],0))</f>
        <v>Los Angeles</v>
      </c>
      <c r="E127" s="19">
        <f>INDEX(Places[Majority RB '#],MATCH(Budgets[[#This Row],[Jurisdiction]],Places[Jurisdiction],0))</f>
        <v>4</v>
      </c>
      <c r="F127" s="19" t="str">
        <f>VLOOKUP(Budgets[[#This Row],[Jurisdiction]],Places[#All],8,FALSE)</f>
        <v>Phase I MS4</v>
      </c>
      <c r="G127" s="81" t="s">
        <v>1856</v>
      </c>
      <c r="H127" s="21" t="s">
        <v>1869</v>
      </c>
      <c r="I127" s="21">
        <f>VALUE(LEFT(Budgets[[#This Row],[Fiscal Year]],4))</f>
        <v>2016</v>
      </c>
      <c r="J127" s="20">
        <v>2282600</v>
      </c>
      <c r="K127" s="27">
        <f>IF(Budgets[[#This Row],[Reference Year]]&gt;2018,Budgets[[#This Row],[Value]],Budgets[[#This Row],[Value]]*(1+VLOOKUP(Budgets[[#This Row],[Reference Year]],Inflation[#All],3,FALSE)))</f>
        <v>2393220.5024999999</v>
      </c>
      <c r="L127" s="27">
        <f>Budgets[[#This Row],[2018 $ Value]]/VLOOKUP(Budgets[[#This Row],[Jurisdiction]],Places[],6,FALSE)</f>
        <v>143.14375874753276</v>
      </c>
      <c r="M127" s="27">
        <f>Budgets[[#This Row],[2018 $ Value]]/VLOOKUP(Budgets[[#This Row],[Jurisdiction]],Places[],7,FALSE)</f>
        <v>435131.00045454543</v>
      </c>
      <c r="N127" s="27"/>
      <c r="O127" s="27" t="s">
        <v>1853</v>
      </c>
      <c r="P127" s="4"/>
      <c r="Q127"/>
    </row>
    <row r="128" spans="1:17" x14ac:dyDescent="0.25">
      <c r="A128" s="19" t="s">
        <v>125</v>
      </c>
      <c r="B128" s="19" t="str">
        <f>INDEX(Places[Type],MATCH(Budgets[[#This Row],[Jurisdiction]],Places[Jurisdiction],0))</f>
        <v>City</v>
      </c>
      <c r="C128" s="19" t="str">
        <f>INDEX(Places[County],MATCH(Budgets[[#This Row],[Jurisdiction]],Places[Jurisdiction],0))</f>
        <v>Sacramento</v>
      </c>
      <c r="D128" s="21" t="str">
        <f>INDEX(Places[Majority RB],MATCH(Budgets[[#This Row],[Jurisdiction]],Places[Jurisdiction],0))</f>
        <v>Central Valley</v>
      </c>
      <c r="E128" s="19">
        <f>INDEX(Places[Majority RB '#],MATCH(Budgets[[#This Row],[Jurisdiction]],Places[Jurisdiction],0))</f>
        <v>5</v>
      </c>
      <c r="F128" s="19" t="str">
        <f>VLOOKUP(Budgets[[#This Row],[Jurisdiction]],Places[#All],8,FALSE)</f>
        <v>Phase I MS4</v>
      </c>
      <c r="G128" s="81"/>
      <c r="H128" s="21" t="s">
        <v>1871</v>
      </c>
      <c r="I128" s="21">
        <f>VALUE(LEFT(Budgets[[#This Row],[Fiscal Year]],4))</f>
        <v>2012</v>
      </c>
      <c r="J128" s="20">
        <v>880000</v>
      </c>
      <c r="K128" s="27">
        <f>IF(Budgets[[#This Row],[Reference Year]]&gt;2018,Budgets[[#This Row],[Value]],Budgets[[#This Row],[Value]]*(1+VLOOKUP(Budgets[[#This Row],[Reference Year]],Inflation[#All],3,FALSE)))</f>
        <v>964439.37282229972</v>
      </c>
      <c r="L128" s="27">
        <f>Budgets[[#This Row],[2018 $ Value]]/VLOOKUP(Budgets[[#This Row],[Jurisdiction]],Places[],6,FALSE)</f>
        <v>5.5784700486002317</v>
      </c>
      <c r="M128" s="27">
        <f>Budgets[[#This Row],[2018 $ Value]]/VLOOKUP(Budgets[[#This Row],[Jurisdiction]],Places[],7,FALSE)</f>
        <v>22854.013573988144</v>
      </c>
      <c r="N128" s="27"/>
      <c r="O128" s="27" t="s">
        <v>1460</v>
      </c>
      <c r="P128" s="4"/>
      <c r="Q128"/>
    </row>
    <row r="129" spans="1:17" x14ac:dyDescent="0.25">
      <c r="A129" s="19" t="s">
        <v>125</v>
      </c>
      <c r="B129" s="19" t="str">
        <f>INDEX(Places[Type],MATCH(Budgets[[#This Row],[Jurisdiction]],Places[Jurisdiction],0))</f>
        <v>City</v>
      </c>
      <c r="C129" s="19" t="str">
        <f>INDEX(Places[County],MATCH(Budgets[[#This Row],[Jurisdiction]],Places[Jurisdiction],0))</f>
        <v>Sacramento</v>
      </c>
      <c r="D129" s="21" t="str">
        <f>INDEX(Places[Majority RB],MATCH(Budgets[[#This Row],[Jurisdiction]],Places[Jurisdiction],0))</f>
        <v>Central Valley</v>
      </c>
      <c r="E129" s="19">
        <f>INDEX(Places[Majority RB '#],MATCH(Budgets[[#This Row],[Jurisdiction]],Places[Jurisdiction],0))</f>
        <v>5</v>
      </c>
      <c r="F129" s="19" t="str">
        <f>VLOOKUP(Budgets[[#This Row],[Jurisdiction]],Places[#All],8,FALSE)</f>
        <v>Phase I MS4</v>
      </c>
      <c r="G129" s="81"/>
      <c r="H129" s="21" t="s">
        <v>1880</v>
      </c>
      <c r="I129" s="21">
        <f>VALUE(LEFT(Budgets[[#This Row],[Fiscal Year]],4))</f>
        <v>2013</v>
      </c>
      <c r="J129" s="20">
        <v>855000</v>
      </c>
      <c r="K129" s="27">
        <f>IF(Budgets[[#This Row],[Reference Year]]&gt;2018,Budgets[[#This Row],[Value]],Budgets[[#This Row],[Value]]*(1+VLOOKUP(Budgets[[#This Row],[Reference Year]],Inflation[#All],3,FALSE)))</f>
        <v>923366.97424892709</v>
      </c>
      <c r="L129" s="27">
        <f>Budgets[[#This Row],[2018 $ Value]]/VLOOKUP(Budgets[[#This Row],[Jurisdiction]],Places[],6,FALSE)</f>
        <v>5.3409007915558639</v>
      </c>
      <c r="M129" s="27">
        <f>Budgets[[#This Row],[2018 $ Value]]/VLOOKUP(Budgets[[#This Row],[Jurisdiction]],Places[],7,FALSE)</f>
        <v>21880.733986941399</v>
      </c>
      <c r="N129" s="27"/>
      <c r="O129" s="27" t="s">
        <v>1460</v>
      </c>
      <c r="P129" s="4"/>
      <c r="Q129"/>
    </row>
    <row r="130" spans="1:17" x14ac:dyDescent="0.25">
      <c r="A130" s="19" t="s">
        <v>125</v>
      </c>
      <c r="B130" s="19" t="str">
        <f>INDEX(Places[Type],MATCH(Budgets[[#This Row],[Jurisdiction]],Places[Jurisdiction],0))</f>
        <v>City</v>
      </c>
      <c r="C130" s="19" t="str">
        <f>INDEX(Places[County],MATCH(Budgets[[#This Row],[Jurisdiction]],Places[Jurisdiction],0))</f>
        <v>Sacramento</v>
      </c>
      <c r="D130" s="21" t="str">
        <f>INDEX(Places[Majority RB],MATCH(Budgets[[#This Row],[Jurisdiction]],Places[Jurisdiction],0))</f>
        <v>Central Valley</v>
      </c>
      <c r="E130" s="19">
        <f>INDEX(Places[Majority RB '#],MATCH(Budgets[[#This Row],[Jurisdiction]],Places[Jurisdiction],0))</f>
        <v>5</v>
      </c>
      <c r="F130" s="19" t="str">
        <f>VLOOKUP(Budgets[[#This Row],[Jurisdiction]],Places[#All],8,FALSE)</f>
        <v>Phase I MS4</v>
      </c>
      <c r="G130" s="81"/>
      <c r="H130" s="21" t="s">
        <v>1881</v>
      </c>
      <c r="I130" s="21">
        <f>VALUE(LEFT(Budgets[[#This Row],[Fiscal Year]],4))</f>
        <v>2014</v>
      </c>
      <c r="J130" s="20">
        <v>1005000</v>
      </c>
      <c r="K130" s="27">
        <f>IF(Budgets[[#This Row],[Reference Year]]&gt;2018,Budgets[[#This Row],[Value]],Budgets[[#This Row],[Value]]*(1+VLOOKUP(Budgets[[#This Row],[Reference Year]],Inflation[#All],3,FALSE)))</f>
        <v>1068395.2471482891</v>
      </c>
      <c r="L130" s="27">
        <f>Budgets[[#This Row],[2018 $ Value]]/VLOOKUP(Budgets[[#This Row],[Jurisdiction]],Places[],6,FALSE)</f>
        <v>6.1797672868149478</v>
      </c>
      <c r="M130" s="27">
        <f>Budgets[[#This Row],[2018 $ Value]]/VLOOKUP(Budgets[[#This Row],[Jurisdiction]],Places[],7,FALSE)</f>
        <v>25317.422918205903</v>
      </c>
      <c r="N130" s="27"/>
      <c r="O130" s="27" t="s">
        <v>1460</v>
      </c>
      <c r="P130" s="4"/>
      <c r="Q130"/>
    </row>
    <row r="131" spans="1:17" x14ac:dyDescent="0.25">
      <c r="A131" s="19" t="s">
        <v>125</v>
      </c>
      <c r="B131" s="19" t="str">
        <f>INDEX(Places[Type],MATCH(Budgets[[#This Row],[Jurisdiction]],Places[Jurisdiction],0))</f>
        <v>City</v>
      </c>
      <c r="C131" s="19" t="str">
        <f>INDEX(Places[County],MATCH(Budgets[[#This Row],[Jurisdiction]],Places[Jurisdiction],0))</f>
        <v>Sacramento</v>
      </c>
      <c r="D131" s="21" t="str">
        <f>INDEX(Places[Majority RB],MATCH(Budgets[[#This Row],[Jurisdiction]],Places[Jurisdiction],0))</f>
        <v>Central Valley</v>
      </c>
      <c r="E131" s="19">
        <f>INDEX(Places[Majority RB '#],MATCH(Budgets[[#This Row],[Jurisdiction]],Places[Jurisdiction],0))</f>
        <v>5</v>
      </c>
      <c r="F131" s="19" t="str">
        <f>VLOOKUP(Budgets[[#This Row],[Jurisdiction]],Places[#All],8,FALSE)</f>
        <v>Phase I MS4</v>
      </c>
      <c r="G131" s="81"/>
      <c r="H131" s="21" t="s">
        <v>1873</v>
      </c>
      <c r="I131" s="21">
        <f>VALUE(LEFT(Budgets[[#This Row],[Fiscal Year]],4))</f>
        <v>2015</v>
      </c>
      <c r="J131" s="20">
        <v>1095000</v>
      </c>
      <c r="K131" s="27">
        <f>IF(Budgets[[#This Row],[Reference Year]]&gt;2018,Budgets[[#This Row],[Value]],Budgets[[#This Row],[Value]]*(1+VLOOKUP(Budgets[[#This Row],[Reference Year]],Inflation[#All],3,FALSE)))</f>
        <v>1162598.9240506329</v>
      </c>
      <c r="L131" s="27">
        <f>Budgets[[#This Row],[2018 $ Value]]/VLOOKUP(Budgets[[#This Row],[Jurisdiction]],Places[],6,FALSE)</f>
        <v>6.724656270898933</v>
      </c>
      <c r="M131" s="27">
        <f>Budgets[[#This Row],[2018 $ Value]]/VLOOKUP(Budgets[[#This Row],[Jurisdiction]],Places[],7,FALSE)</f>
        <v>27549.737536744851</v>
      </c>
      <c r="N131" s="27"/>
      <c r="O131" s="27" t="s">
        <v>1460</v>
      </c>
      <c r="P131" s="4"/>
      <c r="Q131"/>
    </row>
    <row r="132" spans="1:17" x14ac:dyDescent="0.25">
      <c r="A132" s="19" t="s">
        <v>125</v>
      </c>
      <c r="B132" s="19" t="str">
        <f>INDEX(Places[Type],MATCH(Budgets[[#This Row],[Jurisdiction]],Places[Jurisdiction],0))</f>
        <v>City</v>
      </c>
      <c r="C132" s="19" t="str">
        <f>INDEX(Places[County],MATCH(Budgets[[#This Row],[Jurisdiction]],Places[Jurisdiction],0))</f>
        <v>Sacramento</v>
      </c>
      <c r="D132" s="21" t="str">
        <f>INDEX(Places[Majority RB],MATCH(Budgets[[#This Row],[Jurisdiction]],Places[Jurisdiction],0))</f>
        <v>Central Valley</v>
      </c>
      <c r="E132" s="19">
        <f>INDEX(Places[Majority RB '#],MATCH(Budgets[[#This Row],[Jurisdiction]],Places[Jurisdiction],0))</f>
        <v>5</v>
      </c>
      <c r="F132" s="19" t="str">
        <f>VLOOKUP(Budgets[[#This Row],[Jurisdiction]],Places[#All],8,FALSE)</f>
        <v>Phase I MS4</v>
      </c>
      <c r="G132" s="81"/>
      <c r="H132" s="21" t="s">
        <v>1869</v>
      </c>
      <c r="I132" s="21">
        <f>VALUE(LEFT(Budgets[[#This Row],[Fiscal Year]],4))</f>
        <v>2016</v>
      </c>
      <c r="J132" s="20">
        <v>1075000</v>
      </c>
      <c r="K132" s="27">
        <f>IF(Budgets[[#This Row],[Reference Year]]&gt;2018,Budgets[[#This Row],[Value]],Budgets[[#This Row],[Value]]*(1+VLOOKUP(Budgets[[#This Row],[Reference Year]],Inflation[#All],3,FALSE)))</f>
        <v>1127097.1875</v>
      </c>
      <c r="L132" s="27">
        <f>Budgets[[#This Row],[2018 $ Value]]/VLOOKUP(Budgets[[#This Row],[Jurisdiction]],Places[],6,FALSE)</f>
        <v>6.5193086050923732</v>
      </c>
      <c r="M132" s="27">
        <f>Budgets[[#This Row],[2018 $ Value]]/VLOOKUP(Budgets[[#This Row],[Jurisdiction]],Places[],7,FALSE)</f>
        <v>26708.464158767772</v>
      </c>
      <c r="N132" s="27"/>
      <c r="O132" s="27" t="s">
        <v>1853</v>
      </c>
      <c r="P132" s="4"/>
      <c r="Q132"/>
    </row>
    <row r="133" spans="1:17" x14ac:dyDescent="0.25">
      <c r="A133" s="19" t="s">
        <v>254</v>
      </c>
      <c r="B133" s="19" t="str">
        <f>INDEX(Places[Type],MATCH(Budgets[[#This Row],[Jurisdiction]],Places[Jurisdiction],0))</f>
        <v>City</v>
      </c>
      <c r="C133" s="19" t="str">
        <f>INDEX(Places[County],MATCH(Budgets[[#This Row],[Jurisdiction]],Places[Jurisdiction],0))</f>
        <v>Ventura</v>
      </c>
      <c r="D133" s="21" t="str">
        <f>INDEX(Places[Majority RB],MATCH(Budgets[[#This Row],[Jurisdiction]],Places[Jurisdiction],0))</f>
        <v>Los Angeles</v>
      </c>
      <c r="E133" s="19">
        <f>INDEX(Places[Majority RB '#],MATCH(Budgets[[#This Row],[Jurisdiction]],Places[Jurisdiction],0))</f>
        <v>4</v>
      </c>
      <c r="F133" s="19" t="str">
        <f>VLOOKUP(Budgets[[#This Row],[Jurisdiction]],Places[#All],8,FALSE)</f>
        <v>Phase I MS4</v>
      </c>
      <c r="G133" s="81"/>
      <c r="H133" s="21" t="s">
        <v>1882</v>
      </c>
      <c r="I133" s="21">
        <f>VALUE(LEFT(Budgets[[#This Row],[Fiscal Year]],4))</f>
        <v>2005</v>
      </c>
      <c r="J133" s="20">
        <v>360708</v>
      </c>
      <c r="K133" s="27">
        <f>IF(Budgets[[#This Row],[Reference Year]]&gt;2018,Budgets[[#This Row],[Value]],Budgets[[#This Row],[Value]]*(1+VLOOKUP(Budgets[[#This Row],[Reference Year]],Inflation[#All],3,FALSE)))</f>
        <v>464748.15539170505</v>
      </c>
      <c r="L133" s="27">
        <f>Budgets[[#This Row],[2018 $ Value]]/VLOOKUP(Budgets[[#This Row],[Jurisdiction]],Places[],6,FALSE)</f>
        <v>29.397694692371754</v>
      </c>
      <c r="M133" s="27">
        <f>Budgets[[#This Row],[2018 $ Value]]/VLOOKUP(Budgets[[#This Row],[Jurisdiction]],Places[],7,FALSE)</f>
        <v>136690.63393873678</v>
      </c>
      <c r="N133" s="27"/>
      <c r="O133" s="27" t="s">
        <v>1460</v>
      </c>
      <c r="P133" s="4"/>
      <c r="Q133"/>
    </row>
    <row r="134" spans="1:17" x14ac:dyDescent="0.25">
      <c r="A134" s="19" t="s">
        <v>254</v>
      </c>
      <c r="B134" s="19" t="str">
        <f>INDEX(Places[Type],MATCH(Budgets[[#This Row],[Jurisdiction]],Places[Jurisdiction],0))</f>
        <v>City</v>
      </c>
      <c r="C134" s="19" t="str">
        <f>INDEX(Places[County],MATCH(Budgets[[#This Row],[Jurisdiction]],Places[Jurisdiction],0))</f>
        <v>Ventura</v>
      </c>
      <c r="D134" s="21" t="str">
        <f>INDEX(Places[Majority RB],MATCH(Budgets[[#This Row],[Jurisdiction]],Places[Jurisdiction],0))</f>
        <v>Los Angeles</v>
      </c>
      <c r="E134" s="19">
        <f>INDEX(Places[Majority RB '#],MATCH(Budgets[[#This Row],[Jurisdiction]],Places[Jurisdiction],0))</f>
        <v>4</v>
      </c>
      <c r="F134" s="19" t="str">
        <f>VLOOKUP(Budgets[[#This Row],[Jurisdiction]],Places[#All],8,FALSE)</f>
        <v>Phase I MS4</v>
      </c>
      <c r="G134" s="81"/>
      <c r="H134" s="21" t="s">
        <v>1883</v>
      </c>
      <c r="I134" s="21">
        <f>VALUE(LEFT(Budgets[[#This Row],[Fiscal Year]],4))</f>
        <v>2006</v>
      </c>
      <c r="J134" s="20">
        <v>455294</v>
      </c>
      <c r="K134" s="27">
        <f>IF(Budgets[[#This Row],[Reference Year]]&gt;2018,Budgets[[#This Row],[Value]],Budgets[[#This Row],[Value]]*(1+VLOOKUP(Budgets[[#This Row],[Reference Year]],Inflation[#All],3,FALSE)))</f>
        <v>568284.14937500004</v>
      </c>
      <c r="L134" s="27">
        <f>Budgets[[#This Row],[2018 $ Value]]/VLOOKUP(Budgets[[#This Row],[Jurisdiction]],Places[],6,FALSE)</f>
        <v>35.946875158137772</v>
      </c>
      <c r="M134" s="27">
        <f>Budgets[[#This Row],[2018 $ Value]]/VLOOKUP(Budgets[[#This Row],[Jurisdiction]],Places[],7,FALSE)</f>
        <v>167142.39687500001</v>
      </c>
      <c r="N134" s="27"/>
      <c r="O134" s="27" t="s">
        <v>1460</v>
      </c>
      <c r="P134" s="4"/>
      <c r="Q134"/>
    </row>
    <row r="135" spans="1:17" x14ac:dyDescent="0.25">
      <c r="A135" s="19" t="s">
        <v>254</v>
      </c>
      <c r="B135" s="19" t="str">
        <f>INDEX(Places[Type],MATCH(Budgets[[#This Row],[Jurisdiction]],Places[Jurisdiction],0))</f>
        <v>City</v>
      </c>
      <c r="C135" s="19" t="str">
        <f>INDEX(Places[County],MATCH(Budgets[[#This Row],[Jurisdiction]],Places[Jurisdiction],0))</f>
        <v>Ventura</v>
      </c>
      <c r="D135" s="21" t="str">
        <f>INDEX(Places[Majority RB],MATCH(Budgets[[#This Row],[Jurisdiction]],Places[Jurisdiction],0))</f>
        <v>Los Angeles</v>
      </c>
      <c r="E135" s="19">
        <f>INDEX(Places[Majority RB '#],MATCH(Budgets[[#This Row],[Jurisdiction]],Places[Jurisdiction],0))</f>
        <v>4</v>
      </c>
      <c r="F135" s="19" t="str">
        <f>VLOOKUP(Budgets[[#This Row],[Jurisdiction]],Places[#All],8,FALSE)</f>
        <v>Phase I MS4</v>
      </c>
      <c r="G135" s="81"/>
      <c r="H135" s="21" t="s">
        <v>1884</v>
      </c>
      <c r="I135" s="21">
        <f>VALUE(LEFT(Budgets[[#This Row],[Fiscal Year]],4))</f>
        <v>2008</v>
      </c>
      <c r="J135" s="20">
        <v>353216</v>
      </c>
      <c r="K135" s="27">
        <f>IF(Budgets[[#This Row],[Reference Year]]&gt;2018,Budgets[[#This Row],[Value]],Budgets[[#This Row],[Value]]*(1+VLOOKUP(Budgets[[#This Row],[Reference Year]],Inflation[#All],3,FALSE)))</f>
        <v>412819.764496052</v>
      </c>
      <c r="L135" s="27">
        <f>Budgets[[#This Row],[2018 $ Value]]/VLOOKUP(Budgets[[#This Row],[Jurisdiction]],Places[],6,FALSE)</f>
        <v>26.112958725792396</v>
      </c>
      <c r="M135" s="27">
        <f>Budgets[[#This Row],[2018 $ Value]]/VLOOKUP(Budgets[[#This Row],[Jurisdiction]],Places[],7,FALSE)</f>
        <v>121417.57779295648</v>
      </c>
      <c r="N135" s="27"/>
      <c r="O135" s="27" t="s">
        <v>1460</v>
      </c>
      <c r="P135" s="4"/>
      <c r="Q135"/>
    </row>
    <row r="136" spans="1:17" x14ac:dyDescent="0.25">
      <c r="A136" s="19" t="s">
        <v>254</v>
      </c>
      <c r="B136" s="19" t="str">
        <f>INDEX(Places[Type],MATCH(Budgets[[#This Row],[Jurisdiction]],Places[Jurisdiction],0))</f>
        <v>City</v>
      </c>
      <c r="C136" s="19" t="str">
        <f>INDEX(Places[County],MATCH(Budgets[[#This Row],[Jurisdiction]],Places[Jurisdiction],0))</f>
        <v>Ventura</v>
      </c>
      <c r="D136" s="21" t="str">
        <f>INDEX(Places[Majority RB],MATCH(Budgets[[#This Row],[Jurisdiction]],Places[Jurisdiction],0))</f>
        <v>Los Angeles</v>
      </c>
      <c r="E136" s="19">
        <f>INDEX(Places[Majority RB '#],MATCH(Budgets[[#This Row],[Jurisdiction]],Places[Jurisdiction],0))</f>
        <v>4</v>
      </c>
      <c r="F136" s="19" t="str">
        <f>VLOOKUP(Budgets[[#This Row],[Jurisdiction]],Places[#All],8,FALSE)</f>
        <v>Phase I MS4</v>
      </c>
      <c r="G136" s="81"/>
      <c r="H136" s="21" t="s">
        <v>1885</v>
      </c>
      <c r="I136" s="21">
        <f>VALUE(LEFT(Budgets[[#This Row],[Fiscal Year]],4))</f>
        <v>2010</v>
      </c>
      <c r="J136" s="20">
        <v>476039</v>
      </c>
      <c r="K136" s="27">
        <f>IF(Budgets[[#This Row],[Reference Year]]&gt;2018,Budgets[[#This Row],[Value]],Budgets[[#This Row],[Value]]*(1+VLOOKUP(Budgets[[#This Row],[Reference Year]],Inflation[#All],3,FALSE)))</f>
        <v>549225.90375515819</v>
      </c>
      <c r="L136" s="27">
        <f>Budgets[[#This Row],[2018 $ Value]]/VLOOKUP(Budgets[[#This Row],[Jurisdiction]],Places[],6,FALSE)</f>
        <v>34.741343776023669</v>
      </c>
      <c r="M136" s="27">
        <f>Budgets[[#This Row],[2018 $ Value]]/VLOOKUP(Budgets[[#This Row],[Jurisdiction]],Places[],7,FALSE)</f>
        <v>161537.03051622299</v>
      </c>
      <c r="N136" s="27"/>
      <c r="O136" s="27" t="s">
        <v>1460</v>
      </c>
      <c r="P136" s="4"/>
      <c r="Q136"/>
    </row>
    <row r="137" spans="1:17" x14ac:dyDescent="0.25">
      <c r="A137" s="19" t="s">
        <v>254</v>
      </c>
      <c r="B137" s="19" t="str">
        <f>INDEX(Places[Type],MATCH(Budgets[[#This Row],[Jurisdiction]],Places[Jurisdiction],0))</f>
        <v>City</v>
      </c>
      <c r="C137" s="19" t="str">
        <f>INDEX(Places[County],MATCH(Budgets[[#This Row],[Jurisdiction]],Places[Jurisdiction],0))</f>
        <v>Ventura</v>
      </c>
      <c r="D137" s="21" t="str">
        <f>INDEX(Places[Majority RB],MATCH(Budgets[[#This Row],[Jurisdiction]],Places[Jurisdiction],0))</f>
        <v>Los Angeles</v>
      </c>
      <c r="E137" s="19">
        <f>INDEX(Places[Majority RB '#],MATCH(Budgets[[#This Row],[Jurisdiction]],Places[Jurisdiction],0))</f>
        <v>4</v>
      </c>
      <c r="F137" s="19" t="str">
        <f>VLOOKUP(Budgets[[#This Row],[Jurisdiction]],Places[#All],8,FALSE)</f>
        <v>Phase I MS4</v>
      </c>
      <c r="G137" s="81"/>
      <c r="H137" s="21" t="s">
        <v>1870</v>
      </c>
      <c r="I137" s="21">
        <f>VALUE(LEFT(Budgets[[#This Row],[Fiscal Year]],4))</f>
        <v>2011</v>
      </c>
      <c r="J137" s="20">
        <v>476039</v>
      </c>
      <c r="K137" s="27">
        <f>IF(Budgets[[#This Row],[Reference Year]]&gt;2018,Budgets[[#This Row],[Value]],Budgets[[#This Row],[Value]]*(1+VLOOKUP(Budgets[[#This Row],[Reference Year]],Inflation[#All],3,FALSE)))</f>
        <v>532619.69590484665</v>
      </c>
      <c r="L137" s="27">
        <f>Budgets[[#This Row],[2018 $ Value]]/VLOOKUP(Budgets[[#This Row],[Jurisdiction]],Places[],6,FALSE)</f>
        <v>33.69091630747338</v>
      </c>
      <c r="M137" s="27">
        <f>Budgets[[#This Row],[2018 $ Value]]/VLOOKUP(Budgets[[#This Row],[Jurisdiction]],Places[],7,FALSE)</f>
        <v>156652.8517367196</v>
      </c>
      <c r="N137" s="27"/>
      <c r="O137" s="27" t="s">
        <v>1460</v>
      </c>
      <c r="P137" s="4"/>
      <c r="Q137"/>
    </row>
    <row r="138" spans="1:17" x14ac:dyDescent="0.25">
      <c r="A138" s="19" t="s">
        <v>254</v>
      </c>
      <c r="B138" s="19" t="str">
        <f>INDEX(Places[Type],MATCH(Budgets[[#This Row],[Jurisdiction]],Places[Jurisdiction],0))</f>
        <v>City</v>
      </c>
      <c r="C138" s="19" t="str">
        <f>INDEX(Places[County],MATCH(Budgets[[#This Row],[Jurisdiction]],Places[Jurisdiction],0))</f>
        <v>Ventura</v>
      </c>
      <c r="D138" s="21" t="str">
        <f>INDEX(Places[Majority RB],MATCH(Budgets[[#This Row],[Jurisdiction]],Places[Jurisdiction],0))</f>
        <v>Los Angeles</v>
      </c>
      <c r="E138" s="19">
        <f>INDEX(Places[Majority RB '#],MATCH(Budgets[[#This Row],[Jurisdiction]],Places[Jurisdiction],0))</f>
        <v>4</v>
      </c>
      <c r="F138" s="19" t="str">
        <f>VLOOKUP(Budgets[[#This Row],[Jurisdiction]],Places[#All],8,FALSE)</f>
        <v>Phase I MS4</v>
      </c>
      <c r="G138" s="81"/>
      <c r="H138" s="21" t="s">
        <v>1871</v>
      </c>
      <c r="I138" s="21">
        <f>VALUE(LEFT(Budgets[[#This Row],[Fiscal Year]],4))</f>
        <v>2012</v>
      </c>
      <c r="J138" s="20">
        <v>100000</v>
      </c>
      <c r="K138" s="27">
        <f>IF(Budgets[[#This Row],[Reference Year]]&gt;2018,Budgets[[#This Row],[Value]],Budgets[[#This Row],[Value]]*(1+VLOOKUP(Budgets[[#This Row],[Reference Year]],Inflation[#All],3,FALSE)))</f>
        <v>109595.38327526132</v>
      </c>
      <c r="L138" s="27">
        <f>Budgets[[#This Row],[2018 $ Value]]/VLOOKUP(Budgets[[#This Row],[Jurisdiction]],Places[],6,FALSE)</f>
        <v>6.9324677889342352</v>
      </c>
      <c r="M138" s="27">
        <f>Budgets[[#This Row],[2018 $ Value]]/VLOOKUP(Budgets[[#This Row],[Jurisdiction]],Places[],7,FALSE)</f>
        <v>32233.936257429803</v>
      </c>
      <c r="N138" s="27"/>
      <c r="O138" s="27" t="s">
        <v>1460</v>
      </c>
      <c r="P138" s="4"/>
      <c r="Q138"/>
    </row>
    <row r="139" spans="1:17" x14ac:dyDescent="0.25">
      <c r="A139" s="19" t="s">
        <v>254</v>
      </c>
      <c r="B139" s="19" t="str">
        <f>INDEX(Places[Type],MATCH(Budgets[[#This Row],[Jurisdiction]],Places[Jurisdiction],0))</f>
        <v>City</v>
      </c>
      <c r="C139" s="19" t="str">
        <f>INDEX(Places[County],MATCH(Budgets[[#This Row],[Jurisdiction]],Places[Jurisdiction],0))</f>
        <v>Ventura</v>
      </c>
      <c r="D139" s="21" t="str">
        <f>INDEX(Places[Majority RB],MATCH(Budgets[[#This Row],[Jurisdiction]],Places[Jurisdiction],0))</f>
        <v>Los Angeles</v>
      </c>
      <c r="E139" s="19">
        <f>INDEX(Places[Majority RB '#],MATCH(Budgets[[#This Row],[Jurisdiction]],Places[Jurisdiction],0))</f>
        <v>4</v>
      </c>
      <c r="F139" s="19" t="str">
        <f>VLOOKUP(Budgets[[#This Row],[Jurisdiction]],Places[#All],8,FALSE)</f>
        <v>Phase I MS4</v>
      </c>
      <c r="G139" s="81"/>
      <c r="H139" s="21" t="s">
        <v>1881</v>
      </c>
      <c r="I139" s="21">
        <f>VALUE(LEFT(Budgets[[#This Row],[Fiscal Year]],4))</f>
        <v>2014</v>
      </c>
      <c r="J139" s="20">
        <v>100000</v>
      </c>
      <c r="K139" s="27">
        <f>IF(Budgets[[#This Row],[Reference Year]]&gt;2018,Budgets[[#This Row],[Value]],Budgets[[#This Row],[Value]]*(1+VLOOKUP(Budgets[[#This Row],[Reference Year]],Inflation[#All],3,FALSE)))</f>
        <v>106307.98479087453</v>
      </c>
      <c r="L139" s="27">
        <f>Budgets[[#This Row],[2018 $ Value]]/VLOOKUP(Budgets[[#This Row],[Jurisdiction]],Places[],6,FALSE)</f>
        <v>6.7245230432585572</v>
      </c>
      <c r="M139" s="27">
        <f>Budgets[[#This Row],[2018 $ Value]]/VLOOKUP(Budgets[[#This Row],[Jurisdiction]],Places[],7,FALSE)</f>
        <v>31267.054350257215</v>
      </c>
      <c r="N139" s="27"/>
      <c r="O139" s="27" t="s">
        <v>1460</v>
      </c>
      <c r="P139" s="4"/>
      <c r="Q139"/>
    </row>
    <row r="140" spans="1:17" x14ac:dyDescent="0.25">
      <c r="A140" s="19" t="s">
        <v>254</v>
      </c>
      <c r="B140" s="21" t="str">
        <f>INDEX(Places[Type],MATCH(Budgets[[#This Row],[Jurisdiction]],Places[Jurisdiction],0))</f>
        <v>City</v>
      </c>
      <c r="C140" s="21" t="str">
        <f>INDEX(Places[County],MATCH(Budgets[[#This Row],[Jurisdiction]],Places[Jurisdiction],0))</f>
        <v>Ventura</v>
      </c>
      <c r="D140" s="21" t="str">
        <f>INDEX(Places[Majority RB],MATCH(Budgets[[#This Row],[Jurisdiction]],Places[Jurisdiction],0))</f>
        <v>Los Angeles</v>
      </c>
      <c r="E140" s="19">
        <f>INDEX(Places[Majority RB '#],MATCH(Budgets[[#This Row],[Jurisdiction]],Places[Jurisdiction],0))</f>
        <v>4</v>
      </c>
      <c r="F140" s="21" t="str">
        <f>VLOOKUP(Budgets[[#This Row],[Jurisdiction]],Places[#All],8,FALSE)</f>
        <v>Phase I MS4</v>
      </c>
      <c r="G140" s="81"/>
      <c r="H140" s="21" t="s">
        <v>1876</v>
      </c>
      <c r="I140" s="21">
        <f>VALUE(LEFT(Budgets[[#This Row],[Fiscal Year]],4))</f>
        <v>2018</v>
      </c>
      <c r="J140" s="20">
        <v>106074</v>
      </c>
      <c r="K140" s="27">
        <f>IF(Budgets[[#This Row],[Reference Year]]&gt;2018,Budgets[[#This Row],[Value]],Budgets[[#This Row],[Value]]*(1+VLOOKUP(Budgets[[#This Row],[Reference Year]],Inflation[#All],3,FALSE)))</f>
        <v>106074</v>
      </c>
      <c r="L140" s="27">
        <f>Budgets[[#This Row],[2018 $ Value]]/VLOOKUP(Budgets[[#This Row],[Jurisdiction]],Places[],6,FALSE)</f>
        <v>6.7097223100765389</v>
      </c>
      <c r="M140" s="27">
        <f>Budgets[[#This Row],[2018 $ Value]]/VLOOKUP(Budgets[[#This Row],[Jurisdiction]],Places[],7,FALSE)</f>
        <v>31198.235294117647</v>
      </c>
      <c r="N140" s="27" t="s">
        <v>1853</v>
      </c>
      <c r="O140" s="27" t="s">
        <v>1853</v>
      </c>
      <c r="P140" s="4"/>
      <c r="Q140"/>
    </row>
    <row r="141" spans="1:17" x14ac:dyDescent="0.25">
      <c r="A141" s="19" t="s">
        <v>126</v>
      </c>
      <c r="B141" s="19" t="str">
        <f>INDEX(Places[Type],MATCH(Budgets[[#This Row],[Jurisdiction]],Places[Jurisdiction],0))</f>
        <v>City</v>
      </c>
      <c r="C141" s="19" t="str">
        <f>INDEX(Places[County],MATCH(Budgets[[#This Row],[Jurisdiction]],Places[Jurisdiction],0))</f>
        <v>Sacramento</v>
      </c>
      <c r="D141" s="21" t="str">
        <f>INDEX(Places[Majority RB],MATCH(Budgets[[#This Row],[Jurisdiction]],Places[Jurisdiction],0))</f>
        <v>Central Valley</v>
      </c>
      <c r="E141" s="19">
        <f>INDEX(Places[Majority RB '#],MATCH(Budgets[[#This Row],[Jurisdiction]],Places[Jurisdiction],0))</f>
        <v>5</v>
      </c>
      <c r="F141" s="19" t="str">
        <f>VLOOKUP(Budgets[[#This Row],[Jurisdiction]],Places[#All],8,FALSE)</f>
        <v>Phase I MS4</v>
      </c>
      <c r="G141" s="81"/>
      <c r="H141" s="21" t="s">
        <v>1871</v>
      </c>
      <c r="I141" s="21">
        <f>VALUE(LEFT(Budgets[[#This Row],[Fiscal Year]],4))</f>
        <v>2012</v>
      </c>
      <c r="J141" s="20">
        <v>509690</v>
      </c>
      <c r="K141" s="27">
        <f>IF(Budgets[[#This Row],[Reference Year]]&gt;2018,Budgets[[#This Row],[Value]],Budgets[[#This Row],[Value]]*(1+VLOOKUP(Budgets[[#This Row],[Reference Year]],Inflation[#All],3,FALSE)))</f>
        <v>558596.70901567943</v>
      </c>
      <c r="L141" s="27">
        <f>Budgets[[#This Row],[2018 $ Value]]/VLOOKUP(Budgets[[#This Row],[Jurisdiction]],Places[],6,FALSE)</f>
        <v>7.0688758702093013</v>
      </c>
      <c r="M141" s="27">
        <f>Budgets[[#This Row],[2018 $ Value]]/VLOOKUP(Budgets[[#This Row],[Jurisdiction]],Places[],7,FALSE)</f>
        <v>20165.946173851244</v>
      </c>
      <c r="N141" s="27"/>
      <c r="O141" s="27" t="s">
        <v>1460</v>
      </c>
      <c r="P141" s="4"/>
      <c r="Q141"/>
    </row>
    <row r="142" spans="1:17" x14ac:dyDescent="0.25">
      <c r="A142" s="19" t="s">
        <v>126</v>
      </c>
      <c r="B142" s="19" t="str">
        <f>INDEX(Places[Type],MATCH(Budgets[[#This Row],[Jurisdiction]],Places[Jurisdiction],0))</f>
        <v>City</v>
      </c>
      <c r="C142" s="19" t="str">
        <f>INDEX(Places[County],MATCH(Budgets[[#This Row],[Jurisdiction]],Places[Jurisdiction],0))</f>
        <v>Sacramento</v>
      </c>
      <c r="D142" s="21" t="str">
        <f>INDEX(Places[Majority RB],MATCH(Budgets[[#This Row],[Jurisdiction]],Places[Jurisdiction],0))</f>
        <v>Central Valley</v>
      </c>
      <c r="E142" s="19">
        <f>INDEX(Places[Majority RB '#],MATCH(Budgets[[#This Row],[Jurisdiction]],Places[Jurisdiction],0))</f>
        <v>5</v>
      </c>
      <c r="F142" s="19" t="str">
        <f>VLOOKUP(Budgets[[#This Row],[Jurisdiction]],Places[#All],8,FALSE)</f>
        <v>Phase I MS4</v>
      </c>
      <c r="G142" s="81"/>
      <c r="H142" s="21" t="s">
        <v>1880</v>
      </c>
      <c r="I142" s="21">
        <f>VALUE(LEFT(Budgets[[#This Row],[Fiscal Year]],4))</f>
        <v>2013</v>
      </c>
      <c r="J142" s="20">
        <v>759138</v>
      </c>
      <c r="K142" s="27">
        <f>IF(Budgets[[#This Row],[Reference Year]]&gt;2018,Budgets[[#This Row],[Value]],Budgets[[#This Row],[Value]]*(1+VLOOKUP(Budgets[[#This Row],[Reference Year]],Inflation[#All],3,FALSE)))</f>
        <v>819839.71707296139</v>
      </c>
      <c r="L142" s="27">
        <f>Budgets[[#This Row],[2018 $ Value]]/VLOOKUP(Budgets[[#This Row],[Jurisdiction]],Places[],6,FALSE)</f>
        <v>10.37482874481741</v>
      </c>
      <c r="M142" s="27">
        <f>Budgets[[#This Row],[2018 $ Value]]/VLOOKUP(Budgets[[#This Row],[Jurisdiction]],Places[],7,FALSE)</f>
        <v>29597.10169938489</v>
      </c>
      <c r="N142" s="27"/>
      <c r="O142" s="27" t="s">
        <v>1460</v>
      </c>
      <c r="P142" s="4"/>
      <c r="Q142"/>
    </row>
    <row r="143" spans="1:17" x14ac:dyDescent="0.25">
      <c r="A143" s="19" t="s">
        <v>126</v>
      </c>
      <c r="B143" s="19" t="str">
        <f>INDEX(Places[Type],MATCH(Budgets[[#This Row],[Jurisdiction]],Places[Jurisdiction],0))</f>
        <v>City</v>
      </c>
      <c r="C143" s="19" t="str">
        <f>INDEX(Places[County],MATCH(Budgets[[#This Row],[Jurisdiction]],Places[Jurisdiction],0))</f>
        <v>Sacramento</v>
      </c>
      <c r="D143" s="21" t="str">
        <f>INDEX(Places[Majority RB],MATCH(Budgets[[#This Row],[Jurisdiction]],Places[Jurisdiction],0))</f>
        <v>Central Valley</v>
      </c>
      <c r="E143" s="19">
        <f>INDEX(Places[Majority RB '#],MATCH(Budgets[[#This Row],[Jurisdiction]],Places[Jurisdiction],0))</f>
        <v>5</v>
      </c>
      <c r="F143" s="19" t="str">
        <f>VLOOKUP(Budgets[[#This Row],[Jurisdiction]],Places[#All],8,FALSE)</f>
        <v>Phase I MS4</v>
      </c>
      <c r="G143" s="81"/>
      <c r="H143" s="21" t="s">
        <v>1881</v>
      </c>
      <c r="I143" s="21">
        <f>VALUE(LEFT(Budgets[[#This Row],[Fiscal Year]],4))</f>
        <v>2014</v>
      </c>
      <c r="J143" s="20">
        <v>884726</v>
      </c>
      <c r="K143" s="27">
        <f>IF(Budgets[[#This Row],[Reference Year]]&gt;2018,Budgets[[#This Row],[Value]],Budgets[[#This Row],[Value]]*(1+VLOOKUP(Budgets[[#This Row],[Reference Year]],Inflation[#All],3,FALSE)))</f>
        <v>940534.38152091263</v>
      </c>
      <c r="L143" s="27">
        <f>Budgets[[#This Row],[2018 $ Value]]/VLOOKUP(Budgets[[#This Row],[Jurisdiction]],Places[],6,FALSE)</f>
        <v>11.902183968020458</v>
      </c>
      <c r="M143" s="27">
        <f>Budgets[[#This Row],[2018 $ Value]]/VLOOKUP(Budgets[[#This Row],[Jurisdiction]],Places[],7,FALSE)</f>
        <v>33954.309802199015</v>
      </c>
      <c r="N143" s="27"/>
      <c r="O143" s="27" t="s">
        <v>1460</v>
      </c>
      <c r="P143" s="4"/>
      <c r="Q143"/>
    </row>
    <row r="144" spans="1:17" x14ac:dyDescent="0.25">
      <c r="A144" s="19" t="s">
        <v>126</v>
      </c>
      <c r="B144" s="19" t="str">
        <f>INDEX(Places[Type],MATCH(Budgets[[#This Row],[Jurisdiction]],Places[Jurisdiction],0))</f>
        <v>City</v>
      </c>
      <c r="C144" s="19" t="str">
        <f>INDEX(Places[County],MATCH(Budgets[[#This Row],[Jurisdiction]],Places[Jurisdiction],0))</f>
        <v>Sacramento</v>
      </c>
      <c r="D144" s="21" t="str">
        <f>INDEX(Places[Majority RB],MATCH(Budgets[[#This Row],[Jurisdiction]],Places[Jurisdiction],0))</f>
        <v>Central Valley</v>
      </c>
      <c r="E144" s="19">
        <f>INDEX(Places[Majority RB '#],MATCH(Budgets[[#This Row],[Jurisdiction]],Places[Jurisdiction],0))</f>
        <v>5</v>
      </c>
      <c r="F144" s="19" t="str">
        <f>VLOOKUP(Budgets[[#This Row],[Jurisdiction]],Places[#All],8,FALSE)</f>
        <v>Phase I MS4</v>
      </c>
      <c r="G144" s="81"/>
      <c r="H144" s="21" t="s">
        <v>1873</v>
      </c>
      <c r="I144" s="21">
        <f>VALUE(LEFT(Budgets[[#This Row],[Fiscal Year]],4))</f>
        <v>2015</v>
      </c>
      <c r="J144" s="20">
        <v>909235</v>
      </c>
      <c r="K144" s="27">
        <f>IF(Budgets[[#This Row],[Reference Year]]&gt;2018,Budgets[[#This Row],[Value]],Budgets[[#This Row],[Value]]*(1+VLOOKUP(Budgets[[#This Row],[Reference Year]],Inflation[#All],3,FALSE)))</f>
        <v>965365.8746202531</v>
      </c>
      <c r="L144" s="27">
        <f>Budgets[[#This Row],[2018 $ Value]]/VLOOKUP(Budgets[[#This Row],[Jurisdiction]],Places[],6,FALSE)</f>
        <v>12.21641915694684</v>
      </c>
      <c r="M144" s="27">
        <f>Budgets[[#This Row],[2018 $ Value]]/VLOOKUP(Budgets[[#This Row],[Jurisdiction]],Places[],7,FALSE)</f>
        <v>34850.75359639903</v>
      </c>
      <c r="N144" s="27"/>
      <c r="O144" s="27" t="s">
        <v>1460</v>
      </c>
      <c r="P144" s="4"/>
      <c r="Q144"/>
    </row>
    <row r="145" spans="1:17" x14ac:dyDescent="0.25">
      <c r="A145" s="19" t="s">
        <v>126</v>
      </c>
      <c r="B145" s="19" t="str">
        <f>INDEX(Places[Type],MATCH(Budgets[[#This Row],[Jurisdiction]],Places[Jurisdiction],0))</f>
        <v>City</v>
      </c>
      <c r="C145" s="19" t="str">
        <f>INDEX(Places[County],MATCH(Budgets[[#This Row],[Jurisdiction]],Places[Jurisdiction],0))</f>
        <v>Sacramento</v>
      </c>
      <c r="D145" s="21" t="str">
        <f>INDEX(Places[Majority RB],MATCH(Budgets[[#This Row],[Jurisdiction]],Places[Jurisdiction],0))</f>
        <v>Central Valley</v>
      </c>
      <c r="E145" s="19">
        <f>INDEX(Places[Majority RB '#],MATCH(Budgets[[#This Row],[Jurisdiction]],Places[Jurisdiction],0))</f>
        <v>5</v>
      </c>
      <c r="F145" s="19" t="str">
        <f>VLOOKUP(Budgets[[#This Row],[Jurisdiction]],Places[#All],8,FALSE)</f>
        <v>Phase I MS4</v>
      </c>
      <c r="G145" s="81"/>
      <c r="H145" s="21" t="s">
        <v>1869</v>
      </c>
      <c r="I145" s="21">
        <f>VALUE(LEFT(Budgets[[#This Row],[Fiscal Year]],4))</f>
        <v>2016</v>
      </c>
      <c r="J145" s="20">
        <v>898343</v>
      </c>
      <c r="K145" s="27">
        <f>IF(Budgets[[#This Row],[Reference Year]]&gt;2018,Budgets[[#This Row],[Value]],Budgets[[#This Row],[Value]]*(1+VLOOKUP(Budgets[[#This Row],[Reference Year]],Inflation[#All],3,FALSE)))</f>
        <v>941878.94763750012</v>
      </c>
      <c r="L145" s="27">
        <f>Budgets[[#This Row],[2018 $ Value]]/VLOOKUP(Budgets[[#This Row],[Jurisdiction]],Places[],6,FALSE)</f>
        <v>11.919199053902712</v>
      </c>
      <c r="M145" s="27">
        <f>Budgets[[#This Row],[2018 $ Value]]/VLOOKUP(Budgets[[#This Row],[Jurisdiction]],Places[],7,FALSE)</f>
        <v>34002.850095216614</v>
      </c>
      <c r="N145" s="27"/>
      <c r="O145" s="27" t="s">
        <v>1853</v>
      </c>
      <c r="P145" s="4"/>
      <c r="Q145"/>
    </row>
    <row r="146" spans="1:17" x14ac:dyDescent="0.25">
      <c r="A146" s="19" t="s">
        <v>244</v>
      </c>
      <c r="B146" s="19" t="str">
        <f>INDEX(Places[Type],MATCH(Budgets[[#This Row],[Jurisdiction]],Places[Jurisdiction],0))</f>
        <v>City</v>
      </c>
      <c r="C146" s="19" t="str">
        <f>INDEX(Places[County],MATCH(Budgets[[#This Row],[Jurisdiction]],Places[Jurisdiction],0))</f>
        <v>San Bernardino</v>
      </c>
      <c r="D146" s="21" t="str">
        <f>INDEX(Places[Majority RB],MATCH(Budgets[[#This Row],[Jurisdiction]],Places[Jurisdiction],0))</f>
        <v>Santa Ana</v>
      </c>
      <c r="E146" s="19">
        <f>INDEX(Places[Majority RB '#],MATCH(Budgets[[#This Row],[Jurisdiction]],Places[Jurisdiction],0))</f>
        <v>8</v>
      </c>
      <c r="F146" s="19" t="str">
        <f>VLOOKUP(Budgets[[#This Row],[Jurisdiction]],Places[#All],8,FALSE)</f>
        <v>Phase I MS4</v>
      </c>
      <c r="G146" s="81"/>
      <c r="H146" s="21" t="s">
        <v>1871</v>
      </c>
      <c r="I146" s="21">
        <f>VALUE(LEFT(Budgets[[#This Row],[Fiscal Year]],4))</f>
        <v>2012</v>
      </c>
      <c r="J146" s="20">
        <v>2683834</v>
      </c>
      <c r="K146" s="27">
        <f>IF(Budgets[[#This Row],[Reference Year]]&gt;2018,Budgets[[#This Row],[Value]],Budgets[[#This Row],[Value]]*(1+VLOOKUP(Budgets[[#This Row],[Reference Year]],Inflation[#All],3,FALSE)))</f>
        <v>2941358.1587717771</v>
      </c>
      <c r="L146" s="27">
        <f>Budgets[[#This Row],[2018 $ Value]]/VLOOKUP(Budgets[[#This Row],[Jurisdiction]],Places[],6,FALSE)</f>
        <v>13.761448115560459</v>
      </c>
      <c r="M146" s="27">
        <f>Budgets[[#This Row],[2018 $ Value]]/VLOOKUP(Budgets[[#This Row],[Jurisdiction]],Places[],7,FALSE)</f>
        <v>68403.678110971567</v>
      </c>
      <c r="N146" s="27"/>
      <c r="O146" s="27" t="s">
        <v>1460</v>
      </c>
      <c r="P146" s="4"/>
      <c r="Q146"/>
    </row>
    <row r="147" spans="1:17" x14ac:dyDescent="0.25">
      <c r="A147" s="19" t="s">
        <v>244</v>
      </c>
      <c r="B147" s="19" t="str">
        <f>INDEX(Places[Type],MATCH(Budgets[[#This Row],[Jurisdiction]],Places[Jurisdiction],0))</f>
        <v>City</v>
      </c>
      <c r="C147" s="19" t="str">
        <f>INDEX(Places[County],MATCH(Budgets[[#This Row],[Jurisdiction]],Places[Jurisdiction],0))</f>
        <v>San Bernardino</v>
      </c>
      <c r="D147" s="21" t="str">
        <f>INDEX(Places[Majority RB],MATCH(Budgets[[#This Row],[Jurisdiction]],Places[Jurisdiction],0))</f>
        <v>Santa Ana</v>
      </c>
      <c r="E147" s="19">
        <f>INDEX(Places[Majority RB '#],MATCH(Budgets[[#This Row],[Jurisdiction]],Places[Jurisdiction],0))</f>
        <v>8</v>
      </c>
      <c r="F147" s="19" t="str">
        <f>VLOOKUP(Budgets[[#This Row],[Jurisdiction]],Places[#All],8,FALSE)</f>
        <v>Phase I MS4</v>
      </c>
      <c r="G147" s="81"/>
      <c r="H147" s="21" t="s">
        <v>1880</v>
      </c>
      <c r="I147" s="21">
        <f>VALUE(LEFT(Budgets[[#This Row],[Fiscal Year]],4))</f>
        <v>2013</v>
      </c>
      <c r="J147" s="20">
        <v>2622023</v>
      </c>
      <c r="K147" s="27">
        <f>IF(Budgets[[#This Row],[Reference Year]]&gt;2018,Budgets[[#This Row],[Value]],Budgets[[#This Row],[Value]]*(1+VLOOKUP(Budgets[[#This Row],[Reference Year]],Inflation[#All],3,FALSE)))</f>
        <v>2831683.5601416309</v>
      </c>
      <c r="L147" s="27">
        <f>Budgets[[#This Row],[2018 $ Value]]/VLOOKUP(Budgets[[#This Row],[Jurisdiction]],Places[],6,FALSE)</f>
        <v>13.248324171731088</v>
      </c>
      <c r="M147" s="27">
        <f>Budgets[[#This Row],[2018 $ Value]]/VLOOKUP(Budgets[[#This Row],[Jurisdiction]],Places[],7,FALSE)</f>
        <v>65853.10604980537</v>
      </c>
      <c r="N147" s="27"/>
      <c r="O147" s="27" t="s">
        <v>1460</v>
      </c>
      <c r="P147" s="4"/>
      <c r="Q147"/>
    </row>
    <row r="148" spans="1:17" x14ac:dyDescent="0.25">
      <c r="A148" s="19" t="s">
        <v>244</v>
      </c>
      <c r="B148" s="19" t="str">
        <f>INDEX(Places[Type],MATCH(Budgets[[#This Row],[Jurisdiction]],Places[Jurisdiction],0))</f>
        <v>City</v>
      </c>
      <c r="C148" s="19" t="str">
        <f>INDEX(Places[County],MATCH(Budgets[[#This Row],[Jurisdiction]],Places[Jurisdiction],0))</f>
        <v>San Bernardino</v>
      </c>
      <c r="D148" s="21" t="str">
        <f>INDEX(Places[Majority RB],MATCH(Budgets[[#This Row],[Jurisdiction]],Places[Jurisdiction],0))</f>
        <v>Santa Ana</v>
      </c>
      <c r="E148" s="19">
        <f>INDEX(Places[Majority RB '#],MATCH(Budgets[[#This Row],[Jurisdiction]],Places[Jurisdiction],0))</f>
        <v>8</v>
      </c>
      <c r="F148" s="19" t="str">
        <f>VLOOKUP(Budgets[[#This Row],[Jurisdiction]],Places[#All],8,FALSE)</f>
        <v>Phase I MS4</v>
      </c>
      <c r="G148" s="81"/>
      <c r="H148" s="21" t="s">
        <v>1881</v>
      </c>
      <c r="I148" s="21">
        <f>VALUE(LEFT(Budgets[[#This Row],[Fiscal Year]],4))</f>
        <v>2014</v>
      </c>
      <c r="J148" s="20">
        <v>2629044</v>
      </c>
      <c r="K148" s="27">
        <f>IF(Budgets[[#This Row],[Reference Year]]&gt;2018,Budgets[[#This Row],[Value]],Budgets[[#This Row],[Value]]*(1+VLOOKUP(Budgets[[#This Row],[Reference Year]],Inflation[#All],3,FALSE)))</f>
        <v>2794883.6956653995</v>
      </c>
      <c r="L148" s="27">
        <f>Budgets[[#This Row],[2018 $ Value]]/VLOOKUP(Budgets[[#This Row],[Jurisdiction]],Places[],6,FALSE)</f>
        <v>13.076152202758502</v>
      </c>
      <c r="M148" s="27">
        <f>Budgets[[#This Row],[2018 $ Value]]/VLOOKUP(Budgets[[#This Row],[Jurisdiction]],Places[],7,FALSE)</f>
        <v>64997.295248032548</v>
      </c>
      <c r="N148" s="27"/>
      <c r="O148" s="27" t="s">
        <v>1460</v>
      </c>
      <c r="P148" s="4"/>
      <c r="Q148"/>
    </row>
    <row r="149" spans="1:17" x14ac:dyDescent="0.25">
      <c r="A149" s="19" t="s">
        <v>244</v>
      </c>
      <c r="B149" s="19" t="str">
        <f>INDEX(Places[Type],MATCH(Budgets[[#This Row],[Jurisdiction]],Places[Jurisdiction],0))</f>
        <v>City</v>
      </c>
      <c r="C149" s="19" t="str">
        <f>INDEX(Places[County],MATCH(Budgets[[#This Row],[Jurisdiction]],Places[Jurisdiction],0))</f>
        <v>San Bernardino</v>
      </c>
      <c r="D149" s="21" t="str">
        <f>INDEX(Places[Majority RB],MATCH(Budgets[[#This Row],[Jurisdiction]],Places[Jurisdiction],0))</f>
        <v>Santa Ana</v>
      </c>
      <c r="E149" s="19">
        <f>INDEX(Places[Majority RB '#],MATCH(Budgets[[#This Row],[Jurisdiction]],Places[Jurisdiction],0))</f>
        <v>8</v>
      </c>
      <c r="F149" s="19" t="str">
        <f>VLOOKUP(Budgets[[#This Row],[Jurisdiction]],Places[#All],8,FALSE)</f>
        <v>Phase I MS4</v>
      </c>
      <c r="G149" s="81"/>
      <c r="H149" s="21" t="s">
        <v>1873</v>
      </c>
      <c r="I149" s="21">
        <f>VALUE(LEFT(Budgets[[#This Row],[Fiscal Year]],4))</f>
        <v>2015</v>
      </c>
      <c r="J149" s="20">
        <v>2752479</v>
      </c>
      <c r="K149" s="27">
        <f>IF(Budgets[[#This Row],[Reference Year]]&gt;2018,Budgets[[#This Row],[Value]],Budgets[[#This Row],[Value]]*(1+VLOOKUP(Budgets[[#This Row],[Reference Year]],Inflation[#All],3,FALSE)))</f>
        <v>2922401.0263670883</v>
      </c>
      <c r="L149" s="27">
        <f>Budgets[[#This Row],[2018 $ Value]]/VLOOKUP(Budgets[[#This Row],[Jurisdiction]],Places[],6,FALSE)</f>
        <v>13.672755212511934</v>
      </c>
      <c r="M149" s="27">
        <f>Budgets[[#This Row],[2018 $ Value]]/VLOOKUP(Budgets[[#This Row],[Jurisdiction]],Places[],7,FALSE)</f>
        <v>67962.814566676476</v>
      </c>
      <c r="N149" s="27"/>
      <c r="O149" s="27" t="s">
        <v>1460</v>
      </c>
      <c r="P149" s="4"/>
      <c r="Q149"/>
    </row>
    <row r="150" spans="1:17" x14ac:dyDescent="0.25">
      <c r="A150" s="19" t="s">
        <v>244</v>
      </c>
      <c r="B150" s="19" t="str">
        <f>INDEX(Places[Type],MATCH(Budgets[[#This Row],[Jurisdiction]],Places[Jurisdiction],0))</f>
        <v>City</v>
      </c>
      <c r="C150" s="19" t="str">
        <f>INDEX(Places[County],MATCH(Budgets[[#This Row],[Jurisdiction]],Places[Jurisdiction],0))</f>
        <v>San Bernardino</v>
      </c>
      <c r="D150" s="21" t="str">
        <f>INDEX(Places[Majority RB],MATCH(Budgets[[#This Row],[Jurisdiction]],Places[Jurisdiction],0))</f>
        <v>Santa Ana</v>
      </c>
      <c r="E150" s="19">
        <f>INDEX(Places[Majority RB '#],MATCH(Budgets[[#This Row],[Jurisdiction]],Places[Jurisdiction],0))</f>
        <v>8</v>
      </c>
      <c r="F150" s="19" t="str">
        <f>VLOOKUP(Budgets[[#This Row],[Jurisdiction]],Places[#All],8,FALSE)</f>
        <v>Phase I MS4</v>
      </c>
      <c r="G150" s="81"/>
      <c r="H150" s="21" t="s">
        <v>1869</v>
      </c>
      <c r="I150" s="21">
        <f>VALUE(LEFT(Budgets[[#This Row],[Fiscal Year]],4))</f>
        <v>2016</v>
      </c>
      <c r="J150" s="20">
        <v>2916082</v>
      </c>
      <c r="K150" s="27">
        <f>IF(Budgets[[#This Row],[Reference Year]]&gt;2018,Budgets[[#This Row],[Value]],Budgets[[#This Row],[Value]]*(1+VLOOKUP(Budgets[[#This Row],[Reference Year]],Inflation[#All],3,FALSE)))</f>
        <v>3057402.6239250004</v>
      </c>
      <c r="L150" s="27">
        <f>Budgets[[#This Row],[2018 $ Value]]/VLOOKUP(Budgets[[#This Row],[Jurisdiction]],Places[],6,FALSE)</f>
        <v>14.304374138201267</v>
      </c>
      <c r="M150" s="27">
        <f>Budgets[[#This Row],[2018 $ Value]]/VLOOKUP(Budgets[[#This Row],[Jurisdiction]],Places[],7,FALSE)</f>
        <v>71102.38660290699</v>
      </c>
      <c r="N150" s="27"/>
      <c r="O150" s="27" t="s">
        <v>1853</v>
      </c>
      <c r="P150" s="4"/>
      <c r="Q150"/>
    </row>
    <row r="151" spans="1:17" x14ac:dyDescent="0.25">
      <c r="A151" s="19" t="s">
        <v>271</v>
      </c>
      <c r="B151" s="19" t="str">
        <f>INDEX(Places[Type],MATCH(Budgets[[#This Row],[Jurisdiction]],Places[Jurisdiction],0))</f>
        <v>City</v>
      </c>
      <c r="C151" s="19" t="str">
        <f>INDEX(Places[County],MATCH(Budgets[[#This Row],[Jurisdiction]],Places[Jurisdiction],0))</f>
        <v>Orange</v>
      </c>
      <c r="D151" s="21" t="str">
        <f>INDEX(Places[Majority RB],MATCH(Budgets[[#This Row],[Jurisdiction]],Places[Jurisdiction],0))</f>
        <v>Santa Ana</v>
      </c>
      <c r="E151" s="19">
        <f>INDEX(Places[Majority RB '#],MATCH(Budgets[[#This Row],[Jurisdiction]],Places[Jurisdiction],0))</f>
        <v>8</v>
      </c>
      <c r="F151" s="19" t="str">
        <f>VLOOKUP(Budgets[[#This Row],[Jurisdiction]],Places[#All],8,FALSE)</f>
        <v>Phase I MS4</v>
      </c>
      <c r="G151" s="81"/>
      <c r="H151" s="21" t="s">
        <v>1875</v>
      </c>
      <c r="I151" s="21">
        <f>VALUE(LEFT(Budgets[[#This Row],[Fiscal Year]],4))</f>
        <v>2001</v>
      </c>
      <c r="J151" s="20">
        <v>3208703</v>
      </c>
      <c r="K151" s="27">
        <f>IF(Budgets[[#This Row],[Reference Year]]&gt;2018,Budgets[[#This Row],[Value]],Budgets[[#This Row],[Value]]*(1+VLOOKUP(Budgets[[#This Row],[Reference Year]],Inflation[#All],3,FALSE)))</f>
        <v>4559057.846374929</v>
      </c>
      <c r="L151" s="27">
        <f>Budgets[[#This Row],[2018 $ Value]]/VLOOKUP(Budgets[[#This Row],[Jurisdiction]],Places[],6,FALSE)</f>
        <v>81.683051678341073</v>
      </c>
      <c r="M151" s="27">
        <f>Budgets[[#This Row],[2018 $ Value]]/VLOOKUP(Budgets[[#This Row],[Jurisdiction]],Places[],7,FALSE)</f>
        <v>500995.3677335087</v>
      </c>
      <c r="N151" s="27"/>
      <c r="O151" s="27" t="s">
        <v>1460</v>
      </c>
      <c r="P151" s="4"/>
      <c r="Q151"/>
    </row>
    <row r="152" spans="1:17" x14ac:dyDescent="0.25">
      <c r="A152" s="19" t="s">
        <v>271</v>
      </c>
      <c r="B152" s="19" t="str">
        <f>INDEX(Places[Type],MATCH(Budgets[[#This Row],[Jurisdiction]],Places[Jurisdiction],0))</f>
        <v>City</v>
      </c>
      <c r="C152" s="19" t="str">
        <f>INDEX(Places[County],MATCH(Budgets[[#This Row],[Jurisdiction]],Places[Jurisdiction],0))</f>
        <v>Orange</v>
      </c>
      <c r="D152" s="21" t="str">
        <f>INDEX(Places[Majority RB],MATCH(Budgets[[#This Row],[Jurisdiction]],Places[Jurisdiction],0))</f>
        <v>Santa Ana</v>
      </c>
      <c r="E152" s="19">
        <f>INDEX(Places[Majority RB '#],MATCH(Budgets[[#This Row],[Jurisdiction]],Places[Jurisdiction],0))</f>
        <v>8</v>
      </c>
      <c r="F152" s="19" t="str">
        <f>VLOOKUP(Budgets[[#This Row],[Jurisdiction]],Places[#All],8,FALSE)</f>
        <v>Phase I MS4</v>
      </c>
      <c r="G152" s="81"/>
      <c r="H152" s="21" t="s">
        <v>1872</v>
      </c>
      <c r="I152" s="21">
        <f>VALUE(LEFT(Budgets[[#This Row],[Fiscal Year]],4))</f>
        <v>2002</v>
      </c>
      <c r="J152" s="20">
        <v>2994824</v>
      </c>
      <c r="K152" s="27">
        <f>IF(Budgets[[#This Row],[Reference Year]]&gt;2018,Budgets[[#This Row],[Value]],Budgets[[#This Row],[Value]]*(1+VLOOKUP(Budgets[[#This Row],[Reference Year]],Inflation[#All],3,FALSE)))</f>
        <v>4188941.4004669255</v>
      </c>
      <c r="L152" s="27">
        <f>Budgets[[#This Row],[2018 $ Value]]/VLOOKUP(Budgets[[#This Row],[Jurisdiction]],Places[],6,FALSE)</f>
        <v>75.051804215195574</v>
      </c>
      <c r="M152" s="27">
        <f>Budgets[[#This Row],[2018 $ Value]]/VLOOKUP(Budgets[[#This Row],[Jurisdiction]],Places[],7,FALSE)</f>
        <v>460323.23082054127</v>
      </c>
      <c r="N152" s="27"/>
      <c r="O152" s="27" t="s">
        <v>1853</v>
      </c>
      <c r="P152" s="4"/>
      <c r="Q152"/>
    </row>
    <row r="153" spans="1:17" x14ac:dyDescent="0.25">
      <c r="A153" s="19" t="s">
        <v>121</v>
      </c>
      <c r="B153" s="19" t="str">
        <f>INDEX(Places[Type],MATCH(Budgets[[#This Row],[Jurisdiction]],Places[Jurisdiction],0))</f>
        <v>City</v>
      </c>
      <c r="C153" s="19" t="str">
        <f>INDEX(Places[County],MATCH(Budgets[[#This Row],[Jurisdiction]],Places[Jurisdiction],0))</f>
        <v>Fresno</v>
      </c>
      <c r="D153" s="21" t="str">
        <f>INDEX(Places[Majority RB],MATCH(Budgets[[#This Row],[Jurisdiction]],Places[Jurisdiction],0))</f>
        <v>Central Valley</v>
      </c>
      <c r="E153" s="19">
        <f>INDEX(Places[Majority RB '#],MATCH(Budgets[[#This Row],[Jurisdiction]],Places[Jurisdiction],0))</f>
        <v>5</v>
      </c>
      <c r="F153" s="19" t="str">
        <f>VLOOKUP(Budgets[[#This Row],[Jurisdiction]],Places[#All],8,FALSE)</f>
        <v>Phase I MS4</v>
      </c>
      <c r="G153" s="81"/>
      <c r="H153" s="21" t="s">
        <v>1869</v>
      </c>
      <c r="I153" s="21">
        <f>VALUE(LEFT(Budgets[[#This Row],[Fiscal Year]],4))</f>
        <v>2016</v>
      </c>
      <c r="J153" s="20">
        <v>10561047</v>
      </c>
      <c r="K153" s="27">
        <f>IF(Budgets[[#This Row],[Reference Year]]&gt;2018,Budgets[[#This Row],[Value]],Budgets[[#This Row],[Value]]*(1+VLOOKUP(Budgets[[#This Row],[Reference Year]],Inflation[#All],3,FALSE)))</f>
        <v>11072861.740237501</v>
      </c>
      <c r="L153" s="27">
        <f>Budgets[[#This Row],[2018 $ Value]]/VLOOKUP(Budgets[[#This Row],[Jurisdiction]],Places[],6,FALSE)</f>
        <v>20.888526617475613</v>
      </c>
      <c r="M153" s="27">
        <f>Budgets[[#This Row],[2018 $ Value]]/VLOOKUP(Budgets[[#This Row],[Jurisdiction]],Places[],7,FALSE)</f>
        <v>96790.749477600519</v>
      </c>
      <c r="N153" s="27"/>
      <c r="O153" s="27" t="s">
        <v>1853</v>
      </c>
      <c r="P153" s="4"/>
      <c r="Q153"/>
    </row>
    <row r="154" spans="1:17" x14ac:dyDescent="0.25">
      <c r="A154" s="19" t="s">
        <v>1439</v>
      </c>
      <c r="B154" s="19" t="str">
        <f>INDEX(Places[Type],MATCH(Budgets[[#This Row],[Jurisdiction]],Places[Jurisdiction],0))</f>
        <v>FCD</v>
      </c>
      <c r="C154" s="19" t="str">
        <f>INDEX(Places[County],MATCH(Budgets[[#This Row],[Jurisdiction]],Places[Jurisdiction],0))</f>
        <v>Fresno</v>
      </c>
      <c r="D154" s="21" t="str">
        <f>INDEX(Places[Majority RB],MATCH(Budgets[[#This Row],[Jurisdiction]],Places[Jurisdiction],0))</f>
        <v>Central Valley</v>
      </c>
      <c r="E154" s="19">
        <f>INDEX(Places[Majority RB '#],MATCH(Budgets[[#This Row],[Jurisdiction]],Places[Jurisdiction],0))</f>
        <v>5</v>
      </c>
      <c r="F154" s="19" t="str">
        <f>VLOOKUP(Budgets[[#This Row],[Jurisdiction]],Places[#All],8,FALSE)</f>
        <v>Phase I MS4</v>
      </c>
      <c r="G154" s="81"/>
      <c r="H154" s="21" t="s">
        <v>1869</v>
      </c>
      <c r="I154" s="21">
        <f>VALUE(LEFT(Budgets[[#This Row],[Fiscal Year]],4))</f>
        <v>2016</v>
      </c>
      <c r="J154" s="27">
        <v>32486149</v>
      </c>
      <c r="K154" s="27">
        <f>IF(Budgets[[#This Row],[Reference Year]]&gt;2018,Budgets[[#This Row],[Value]],Budgets[[#This Row],[Value]]*(1+VLOOKUP(Budgets[[#This Row],[Reference Year]],Inflation[#All],3,FALSE)))</f>
        <v>34060508.9959125</v>
      </c>
      <c r="L154" s="27" t="e">
        <f>Budgets[[#This Row],[2018 $ Value]]/VLOOKUP(Budgets[[#This Row],[Jurisdiction]],Places[],6,FALSE)</f>
        <v>#N/A</v>
      </c>
      <c r="M154" s="27" t="e">
        <f>Budgets[[#This Row],[2018 $ Value]]/VLOOKUP(Budgets[[#This Row],[Jurisdiction]],Places[],7,FALSE)</f>
        <v>#N/A</v>
      </c>
      <c r="N154" s="27"/>
      <c r="O154" s="27" t="s">
        <v>1853</v>
      </c>
      <c r="P154" s="4"/>
      <c r="Q154"/>
    </row>
    <row r="155" spans="1:17" x14ac:dyDescent="0.25">
      <c r="A155" s="19" t="s">
        <v>272</v>
      </c>
      <c r="B155" s="19" t="str">
        <f>INDEX(Places[Type],MATCH(Budgets[[#This Row],[Jurisdiction]],Places[Jurisdiction],0))</f>
        <v>City</v>
      </c>
      <c r="C155" s="19" t="str">
        <f>INDEX(Places[County],MATCH(Budgets[[#This Row],[Jurisdiction]],Places[Jurisdiction],0))</f>
        <v>Orange</v>
      </c>
      <c r="D155" s="21" t="str">
        <f>INDEX(Places[Majority RB],MATCH(Budgets[[#This Row],[Jurisdiction]],Places[Jurisdiction],0))</f>
        <v>Santa Ana</v>
      </c>
      <c r="E155" s="19">
        <f>INDEX(Places[Majority RB '#],MATCH(Budgets[[#This Row],[Jurisdiction]],Places[Jurisdiction],0))</f>
        <v>8</v>
      </c>
      <c r="F155" s="19" t="str">
        <f>VLOOKUP(Budgets[[#This Row],[Jurisdiction]],Places[#All],8,FALSE)</f>
        <v>Phase I MS4</v>
      </c>
      <c r="G155" s="81"/>
      <c r="H155" s="21" t="s">
        <v>1875</v>
      </c>
      <c r="I155" s="21">
        <f>VALUE(LEFT(Budgets[[#This Row],[Fiscal Year]],4))</f>
        <v>2001</v>
      </c>
      <c r="J155" s="20">
        <v>1324960</v>
      </c>
      <c r="K155" s="27">
        <f>IF(Budgets[[#This Row],[Reference Year]]&gt;2018,Budgets[[#This Row],[Value]],Budgets[[#This Row],[Value]]*(1+VLOOKUP(Budgets[[#This Row],[Reference Year]],Inflation[#All],3,FALSE)))</f>
        <v>1882557.9320158102</v>
      </c>
      <c r="L155" s="27">
        <f>Budgets[[#This Row],[2018 $ Value]]/VLOOKUP(Budgets[[#This Row],[Jurisdiction]],Places[],6,FALSE)</f>
        <v>13.481509109251004</v>
      </c>
      <c r="M155" s="27">
        <f>Budgets[[#This Row],[2018 $ Value]]/VLOOKUP(Budgets[[#This Row],[Jurisdiction]],Places[],7,FALSE)</f>
        <v>84042.764822134384</v>
      </c>
      <c r="N155" s="27"/>
      <c r="O155" s="27" t="s">
        <v>1460</v>
      </c>
      <c r="P155" s="4"/>
      <c r="Q155"/>
    </row>
    <row r="156" spans="1:17" x14ac:dyDescent="0.25">
      <c r="A156" s="19" t="s">
        <v>272</v>
      </c>
      <c r="B156" s="19" t="str">
        <f>INDEX(Places[Type],MATCH(Budgets[[#This Row],[Jurisdiction]],Places[Jurisdiction],0))</f>
        <v>City</v>
      </c>
      <c r="C156" s="19" t="str">
        <f>INDEX(Places[County],MATCH(Budgets[[#This Row],[Jurisdiction]],Places[Jurisdiction],0))</f>
        <v>Orange</v>
      </c>
      <c r="D156" s="21" t="str">
        <f>INDEX(Places[Majority RB],MATCH(Budgets[[#This Row],[Jurisdiction]],Places[Jurisdiction],0))</f>
        <v>Santa Ana</v>
      </c>
      <c r="E156" s="19">
        <f>INDEX(Places[Majority RB '#],MATCH(Budgets[[#This Row],[Jurisdiction]],Places[Jurisdiction],0))</f>
        <v>8</v>
      </c>
      <c r="F156" s="19" t="str">
        <f>VLOOKUP(Budgets[[#This Row],[Jurisdiction]],Places[#All],8,FALSE)</f>
        <v>Phase I MS4</v>
      </c>
      <c r="G156" s="81"/>
      <c r="H156" s="21" t="s">
        <v>1872</v>
      </c>
      <c r="I156" s="21">
        <f>VALUE(LEFT(Budgets[[#This Row],[Fiscal Year]],4))</f>
        <v>2002</v>
      </c>
      <c r="J156" s="20">
        <v>1722577</v>
      </c>
      <c r="K156" s="27">
        <f>IF(Budgets[[#This Row],[Reference Year]]&gt;2018,Budgets[[#This Row],[Value]],Budgets[[#This Row],[Value]]*(1+VLOOKUP(Budgets[[#This Row],[Reference Year]],Inflation[#All],3,FALSE)))</f>
        <v>2409415.0810839352</v>
      </c>
      <c r="L156" s="27">
        <f>Budgets[[#This Row],[2018 $ Value]]/VLOOKUP(Budgets[[#This Row],[Jurisdiction]],Places[],6,FALSE)</f>
        <v>17.254476375565275</v>
      </c>
      <c r="M156" s="27">
        <f>Budgets[[#This Row],[2018 $ Value]]/VLOOKUP(Budgets[[#This Row],[Jurisdiction]],Places[],7,FALSE)</f>
        <v>107563.17326267569</v>
      </c>
      <c r="N156" s="27"/>
      <c r="O156" s="27" t="s">
        <v>1853</v>
      </c>
      <c r="P156" s="4"/>
      <c r="Q156"/>
    </row>
    <row r="157" spans="1:17" x14ac:dyDescent="0.25">
      <c r="A157" s="19" t="s">
        <v>273</v>
      </c>
      <c r="B157" s="19" t="str">
        <f>INDEX(Places[Type],MATCH(Budgets[[#This Row],[Jurisdiction]],Places[Jurisdiction],0))</f>
        <v>City</v>
      </c>
      <c r="C157" s="19" t="str">
        <f>INDEX(Places[County],MATCH(Budgets[[#This Row],[Jurisdiction]],Places[Jurisdiction],0))</f>
        <v>Orange</v>
      </c>
      <c r="D157" s="21" t="str">
        <f>INDEX(Places[Majority RB],MATCH(Budgets[[#This Row],[Jurisdiction]],Places[Jurisdiction],0))</f>
        <v>Santa Ana</v>
      </c>
      <c r="E157" s="19">
        <f>INDEX(Places[Majority RB '#],MATCH(Budgets[[#This Row],[Jurisdiction]],Places[Jurisdiction],0))</f>
        <v>8</v>
      </c>
      <c r="F157" s="19" t="str">
        <f>VLOOKUP(Budgets[[#This Row],[Jurisdiction]],Places[#All],8,FALSE)</f>
        <v>Phase I MS4</v>
      </c>
      <c r="G157" s="81"/>
      <c r="H157" s="21" t="s">
        <v>1875</v>
      </c>
      <c r="I157" s="21">
        <f>VALUE(LEFT(Budgets[[#This Row],[Fiscal Year]],4))</f>
        <v>2001</v>
      </c>
      <c r="J157" s="20">
        <v>1257385</v>
      </c>
      <c r="K157" s="27">
        <f>IF(Budgets[[#This Row],[Reference Year]]&gt;2018,Budgets[[#This Row],[Value]],Budgets[[#This Row],[Value]]*(1+VLOOKUP(Budgets[[#This Row],[Reference Year]],Inflation[#All],3,FALSE)))</f>
        <v>1786544.5789666853</v>
      </c>
      <c r="L157" s="27">
        <f>Budgets[[#This Row],[2018 $ Value]]/VLOOKUP(Budgets[[#This Row],[Jurisdiction]],Places[],6,FALSE)</f>
        <v>10.348021842189715</v>
      </c>
      <c r="M157" s="27">
        <f>Budgets[[#This Row],[2018 $ Value]]/VLOOKUP(Budgets[[#This Row],[Jurisdiction]],Places[],7,FALSE)</f>
        <v>99252.476609260295</v>
      </c>
      <c r="N157" s="27"/>
      <c r="O157" s="27" t="s">
        <v>1460</v>
      </c>
      <c r="P157" s="4"/>
      <c r="Q157"/>
    </row>
    <row r="158" spans="1:17" x14ac:dyDescent="0.25">
      <c r="A158" s="19" t="s">
        <v>273</v>
      </c>
      <c r="B158" s="19" t="str">
        <f>INDEX(Places[Type],MATCH(Budgets[[#This Row],[Jurisdiction]],Places[Jurisdiction],0))</f>
        <v>City</v>
      </c>
      <c r="C158" s="19" t="str">
        <f>INDEX(Places[County],MATCH(Budgets[[#This Row],[Jurisdiction]],Places[Jurisdiction],0))</f>
        <v>Orange</v>
      </c>
      <c r="D158" s="21" t="str">
        <f>INDEX(Places[Majority RB],MATCH(Budgets[[#This Row],[Jurisdiction]],Places[Jurisdiction],0))</f>
        <v>Santa Ana</v>
      </c>
      <c r="E158" s="19">
        <f>INDEX(Places[Majority RB '#],MATCH(Budgets[[#This Row],[Jurisdiction]],Places[Jurisdiction],0))</f>
        <v>8</v>
      </c>
      <c r="F158" s="19" t="str">
        <f>VLOOKUP(Budgets[[#This Row],[Jurisdiction]],Places[#All],8,FALSE)</f>
        <v>Phase I MS4</v>
      </c>
      <c r="G158" s="81"/>
      <c r="H158" s="21" t="s">
        <v>1872</v>
      </c>
      <c r="I158" s="21">
        <f>VALUE(LEFT(Budgets[[#This Row],[Fiscal Year]],4))</f>
        <v>2002</v>
      </c>
      <c r="J158" s="20">
        <v>1746313</v>
      </c>
      <c r="K158" s="27">
        <f>IF(Budgets[[#This Row],[Reference Year]]&gt;2018,Budgets[[#This Row],[Value]],Budgets[[#This Row],[Value]]*(1+VLOOKUP(Budgets[[#This Row],[Reference Year]],Inflation[#All],3,FALSE)))</f>
        <v>2442615.2668315731</v>
      </c>
      <c r="L158" s="27">
        <f>Budgets[[#This Row],[2018 $ Value]]/VLOOKUP(Budgets[[#This Row],[Jurisdiction]],Places[],6,FALSE)</f>
        <v>14.148113867865883</v>
      </c>
      <c r="M158" s="27">
        <f>Budgets[[#This Row],[2018 $ Value]]/VLOOKUP(Budgets[[#This Row],[Jurisdiction]],Places[],7,FALSE)</f>
        <v>135700.84815730961</v>
      </c>
      <c r="N158" s="27"/>
      <c r="O158" s="27" t="s">
        <v>1853</v>
      </c>
      <c r="P158" s="4"/>
      <c r="Q158"/>
    </row>
    <row r="159" spans="1:17" x14ac:dyDescent="0.25">
      <c r="A159" s="19" t="s">
        <v>155</v>
      </c>
      <c r="B159" s="19" t="str">
        <f>INDEX(Places[Type],MATCH(Budgets[[#This Row],[Jurisdiction]],Places[Jurisdiction],0))</f>
        <v>City</v>
      </c>
      <c r="C159" s="19" t="str">
        <f>INDEX(Places[County],MATCH(Budgets[[#This Row],[Jurisdiction]],Places[Jurisdiction],0))</f>
        <v>Los Angeles</v>
      </c>
      <c r="D159" s="21" t="str">
        <f>INDEX(Places[Majority RB],MATCH(Budgets[[#This Row],[Jurisdiction]],Places[Jurisdiction],0))</f>
        <v>Los Angeles</v>
      </c>
      <c r="E159" s="19">
        <f>INDEX(Places[Majority RB '#],MATCH(Budgets[[#This Row],[Jurisdiction]],Places[Jurisdiction],0))</f>
        <v>4</v>
      </c>
      <c r="F159" s="19" t="str">
        <f>VLOOKUP(Budgets[[#This Row],[Jurisdiction]],Places[#All],8,FALSE)</f>
        <v>Phase I MS4</v>
      </c>
      <c r="G159" s="81"/>
      <c r="H159" s="100" t="s">
        <v>1870</v>
      </c>
      <c r="I159" s="21">
        <f>VALUE(LEFT(Budgets[[#This Row],[Fiscal Year]],4))</f>
        <v>2011</v>
      </c>
      <c r="J159" s="20">
        <v>132876</v>
      </c>
      <c r="K159" s="27">
        <f>IF(Budgets[[#This Row],[Reference Year]]&gt;2018,Budgets[[#This Row],[Value]],Budgets[[#This Row],[Value]]*(1+VLOOKUP(Budgets[[#This Row],[Reference Year]],Inflation[#All],3,FALSE)))</f>
        <v>148669.27859493109</v>
      </c>
      <c r="L159" s="27">
        <f>Budgets[[#This Row],[2018 $ Value]]/VLOOKUP(Budgets[[#This Row],[Jurisdiction]],Places[],6,FALSE)</f>
        <v>2.4893970059933874</v>
      </c>
      <c r="M159" s="27">
        <f>Budgets[[#This Row],[2018 $ Value]]/VLOOKUP(Budgets[[#This Row],[Jurisdiction]],Places[],7,FALSE)</f>
        <v>25632.634240505362</v>
      </c>
      <c r="N159" s="27"/>
      <c r="O159" s="27" t="s">
        <v>1460</v>
      </c>
      <c r="P159" s="4"/>
      <c r="Q159"/>
    </row>
    <row r="160" spans="1:17" x14ac:dyDescent="0.25">
      <c r="A160" s="19" t="s">
        <v>155</v>
      </c>
      <c r="B160" s="19" t="str">
        <f>INDEX(Places[Type],MATCH(Budgets[[#This Row],[Jurisdiction]],Places[Jurisdiction],0))</f>
        <v>City</v>
      </c>
      <c r="C160" s="19" t="str">
        <f>INDEX(Places[County],MATCH(Budgets[[#This Row],[Jurisdiction]],Places[Jurisdiction],0))</f>
        <v>Los Angeles</v>
      </c>
      <c r="D160" s="21" t="str">
        <f>INDEX(Places[Majority RB],MATCH(Budgets[[#This Row],[Jurisdiction]],Places[Jurisdiction],0))</f>
        <v>Los Angeles</v>
      </c>
      <c r="E160" s="19">
        <f>INDEX(Places[Majority RB '#],MATCH(Budgets[[#This Row],[Jurisdiction]],Places[Jurisdiction],0))</f>
        <v>4</v>
      </c>
      <c r="F160" s="19" t="str">
        <f>VLOOKUP(Budgets[[#This Row],[Jurisdiction]],Places[#All],8,FALSE)</f>
        <v>Phase I MS4</v>
      </c>
      <c r="G160" s="81"/>
      <c r="H160" s="100" t="s">
        <v>1871</v>
      </c>
      <c r="I160" s="21">
        <f>VALUE(LEFT(Budgets[[#This Row],[Fiscal Year]],4))</f>
        <v>2012</v>
      </c>
      <c r="J160" s="20">
        <v>135000</v>
      </c>
      <c r="K160" s="27">
        <f>IF(Budgets[[#This Row],[Reference Year]]&gt;2018,Budgets[[#This Row],[Value]],Budgets[[#This Row],[Value]]*(1+VLOOKUP(Budgets[[#This Row],[Reference Year]],Inflation[#All],3,FALSE)))</f>
        <v>147953.7674216028</v>
      </c>
      <c r="L160" s="27">
        <f>Budgets[[#This Row],[2018 $ Value]]/VLOOKUP(Budgets[[#This Row],[Jurisdiction]],Places[],6,FALSE)</f>
        <v>2.4774161085983621</v>
      </c>
      <c r="M160" s="27">
        <f>Budgets[[#This Row],[2018 $ Value]]/VLOOKUP(Budgets[[#This Row],[Jurisdiction]],Places[],7,FALSE)</f>
        <v>25509.270245103929</v>
      </c>
      <c r="N160" s="27"/>
      <c r="O160" s="27" t="s">
        <v>1460</v>
      </c>
      <c r="P160" s="4"/>
      <c r="Q160"/>
    </row>
    <row r="161" spans="1:17" x14ac:dyDescent="0.25">
      <c r="A161" s="19" t="s">
        <v>155</v>
      </c>
      <c r="B161" s="19" t="str">
        <f>INDEX(Places[Type],MATCH(Budgets[[#This Row],[Jurisdiction]],Places[Jurisdiction],0))</f>
        <v>City</v>
      </c>
      <c r="C161" s="19" t="str">
        <f>INDEX(Places[County],MATCH(Budgets[[#This Row],[Jurisdiction]],Places[Jurisdiction],0))</f>
        <v>Los Angeles</v>
      </c>
      <c r="D161" s="21" t="str">
        <f>INDEX(Places[Majority RB],MATCH(Budgets[[#This Row],[Jurisdiction]],Places[Jurisdiction],0))</f>
        <v>Los Angeles</v>
      </c>
      <c r="E161" s="19">
        <f>INDEX(Places[Majority RB '#],MATCH(Budgets[[#This Row],[Jurisdiction]],Places[Jurisdiction],0))</f>
        <v>4</v>
      </c>
      <c r="F161" s="19" t="str">
        <f>VLOOKUP(Budgets[[#This Row],[Jurisdiction]],Places[#All],8,FALSE)</f>
        <v>Phase I MS4</v>
      </c>
      <c r="G161" s="81"/>
      <c r="H161" s="100" t="s">
        <v>1869</v>
      </c>
      <c r="I161" s="21">
        <f>VALUE(LEFT(Budgets[[#This Row],[Fiscal Year]],4))</f>
        <v>2016</v>
      </c>
      <c r="J161" s="20">
        <v>520000</v>
      </c>
      <c r="K161" s="27">
        <f>IF(Budgets[[#This Row],[Reference Year]]&gt;2018,Budgets[[#This Row],[Value]],Budgets[[#This Row],[Value]]*(1+VLOOKUP(Budgets[[#This Row],[Reference Year]],Inflation[#All],3,FALSE)))</f>
        <v>545200.5</v>
      </c>
      <c r="L161" s="27">
        <f>Budgets[[#This Row],[2018 $ Value]]/VLOOKUP(Budgets[[#This Row],[Jurisdiction]],Places[],6,FALSE)</f>
        <v>9.1291254332646812</v>
      </c>
      <c r="M161" s="27">
        <f>Budgets[[#This Row],[2018 $ Value]]/VLOOKUP(Budgets[[#This Row],[Jurisdiction]],Places[],7,FALSE)</f>
        <v>94000.086206896551</v>
      </c>
      <c r="N161" s="27"/>
      <c r="O161" s="27" t="s">
        <v>1853</v>
      </c>
      <c r="P161" s="4"/>
      <c r="Q161"/>
    </row>
    <row r="162" spans="1:17" x14ac:dyDescent="0.25">
      <c r="A162" s="19" t="s">
        <v>189</v>
      </c>
      <c r="B162" s="19" t="str">
        <f>INDEX(Places[Type],MATCH(Budgets[[#This Row],[Jurisdiction]],Places[Jurisdiction],0))</f>
        <v>City</v>
      </c>
      <c r="C162" s="19" t="str">
        <f>INDEX(Places[County],MATCH(Budgets[[#This Row],[Jurisdiction]],Places[Jurisdiction],0))</f>
        <v>Los Angeles</v>
      </c>
      <c r="D162" s="21" t="str">
        <f>INDEX(Places[Majority RB],MATCH(Budgets[[#This Row],[Jurisdiction]],Places[Jurisdiction],0))</f>
        <v>Los Angeles</v>
      </c>
      <c r="E162" s="19">
        <f>INDEX(Places[Majority RB '#],MATCH(Budgets[[#This Row],[Jurisdiction]],Places[Jurisdiction],0))</f>
        <v>4</v>
      </c>
      <c r="F162" s="19" t="str">
        <f>VLOOKUP(Budgets[[#This Row],[Jurisdiction]],Places[#All],8,FALSE)</f>
        <v>Phase I MS4</v>
      </c>
      <c r="G162" s="81"/>
      <c r="H162" s="21" t="s">
        <v>1869</v>
      </c>
      <c r="I162" s="21">
        <f>VALUE(LEFT(Budgets[[#This Row],[Fiscal Year]],4))</f>
        <v>2016</v>
      </c>
      <c r="J162" s="20">
        <v>3136291</v>
      </c>
      <c r="K162" s="27">
        <f>IF(Budgets[[#This Row],[Reference Year]]&gt;2018,Budgets[[#This Row],[Value]],Budgets[[#This Row],[Value]]*(1+VLOOKUP(Budgets[[#This Row],[Reference Year]],Inflation[#All],3,FALSE)))</f>
        <v>3288283.5025875</v>
      </c>
      <c r="L162" s="27">
        <f>Budgets[[#This Row],[2018 $ Value]]/VLOOKUP(Budgets[[#This Row],[Jurisdiction]],Places[],6,FALSE)</f>
        <v>16.330289890234454</v>
      </c>
      <c r="M162" s="27">
        <f>Budgets[[#This Row],[2018 $ Value]]/VLOOKUP(Budgets[[#This Row],[Jurisdiction]],Places[],7,FALSE)</f>
        <v>108167.22047985198</v>
      </c>
      <c r="N162" s="27"/>
      <c r="O162" s="27" t="s">
        <v>1853</v>
      </c>
      <c r="P162" s="4"/>
      <c r="Q162"/>
    </row>
    <row r="163" spans="1:17" x14ac:dyDescent="0.25">
      <c r="A163" s="19" t="s">
        <v>202</v>
      </c>
      <c r="B163" s="19" t="str">
        <f>INDEX(Places[Type],MATCH(Budgets[[#This Row],[Jurisdiction]],Places[Jurisdiction],0))</f>
        <v>City</v>
      </c>
      <c r="C163" s="19" t="str">
        <f>INDEX(Places[County],MATCH(Budgets[[#This Row],[Jurisdiction]],Places[Jurisdiction],0))</f>
        <v>Los Angeles</v>
      </c>
      <c r="D163" s="21" t="str">
        <f>INDEX(Places[Majority RB],MATCH(Budgets[[#This Row],[Jurisdiction]],Places[Jurisdiction],0))</f>
        <v>Los Angeles</v>
      </c>
      <c r="E163" s="19">
        <f>INDEX(Places[Majority RB '#],MATCH(Budgets[[#This Row],[Jurisdiction]],Places[Jurisdiction],0))</f>
        <v>4</v>
      </c>
      <c r="F163" s="19" t="str">
        <f>VLOOKUP(Budgets[[#This Row],[Jurisdiction]],Places[#All],8,FALSE)</f>
        <v>Phase I MS4</v>
      </c>
      <c r="G163" s="81"/>
      <c r="H163" s="21" t="s">
        <v>1870</v>
      </c>
      <c r="I163" s="21">
        <f>VALUE(LEFT(Budgets[[#This Row],[Fiscal Year]],4))</f>
        <v>2011</v>
      </c>
      <c r="J163" s="20">
        <v>582500</v>
      </c>
      <c r="K163" s="27">
        <f>IF(Budgets[[#This Row],[Reference Year]]&gt;2018,Budgets[[#This Row],[Value]],Budgets[[#This Row],[Value]]*(1+VLOOKUP(Budgets[[#This Row],[Reference Year]],Inflation[#All],3,FALSE)))</f>
        <v>651734.35971542913</v>
      </c>
      <c r="L163" s="27">
        <f>Budgets[[#This Row],[2018 $ Value]]/VLOOKUP(Budgets[[#This Row],[Jurisdiction]],Places[],6,FALSE)</f>
        <v>12.5328710379491</v>
      </c>
      <c r="M163" s="27">
        <f>Budgets[[#This Row],[2018 $ Value]]/VLOOKUP(Budgets[[#This Row],[Jurisdiction]],Places[],7,FALSE)</f>
        <v>33594.554624506658</v>
      </c>
      <c r="N163" s="27"/>
      <c r="O163" s="27" t="s">
        <v>1460</v>
      </c>
      <c r="P163" s="4"/>
      <c r="Q163"/>
    </row>
    <row r="164" spans="1:17" x14ac:dyDescent="0.25">
      <c r="A164" s="19" t="s">
        <v>202</v>
      </c>
      <c r="B164" s="19" t="str">
        <f>INDEX(Places[Type],MATCH(Budgets[[#This Row],[Jurisdiction]],Places[Jurisdiction],0))</f>
        <v>City</v>
      </c>
      <c r="C164" s="19" t="str">
        <f>INDEX(Places[County],MATCH(Budgets[[#This Row],[Jurisdiction]],Places[Jurisdiction],0))</f>
        <v>Los Angeles</v>
      </c>
      <c r="D164" s="21" t="str">
        <f>INDEX(Places[Majority RB],MATCH(Budgets[[#This Row],[Jurisdiction]],Places[Jurisdiction],0))</f>
        <v>Los Angeles</v>
      </c>
      <c r="E164" s="19">
        <f>INDEX(Places[Majority RB '#],MATCH(Budgets[[#This Row],[Jurisdiction]],Places[Jurisdiction],0))</f>
        <v>4</v>
      </c>
      <c r="F164" s="19" t="str">
        <f>VLOOKUP(Budgets[[#This Row],[Jurisdiction]],Places[#All],8,FALSE)</f>
        <v>Phase I MS4</v>
      </c>
      <c r="G164" s="81"/>
      <c r="H164" s="21" t="s">
        <v>1871</v>
      </c>
      <c r="I164" s="21">
        <f>VALUE(LEFT(Budgets[[#This Row],[Fiscal Year]],4))</f>
        <v>2012</v>
      </c>
      <c r="J164" s="20">
        <v>582500</v>
      </c>
      <c r="K164" s="27">
        <f>IF(Budgets[[#This Row],[Reference Year]]&gt;2018,Budgets[[#This Row],[Value]],Budgets[[#This Row],[Value]]*(1+VLOOKUP(Budgets[[#This Row],[Reference Year]],Inflation[#All],3,FALSE)))</f>
        <v>638393.10757839726</v>
      </c>
      <c r="L164" s="27">
        <f>Budgets[[#This Row],[2018 $ Value]]/VLOOKUP(Budgets[[#This Row],[Jurisdiction]],Places[],6,FALSE)</f>
        <v>12.27631836426286</v>
      </c>
      <c r="M164" s="27">
        <f>Budgets[[#This Row],[2018 $ Value]]/VLOOKUP(Budgets[[#This Row],[Jurisdiction]],Places[],7,FALSE)</f>
        <v>32906.861215381301</v>
      </c>
      <c r="N164" s="27"/>
      <c r="O164" s="27" t="s">
        <v>1460</v>
      </c>
      <c r="P164" s="4"/>
      <c r="Q164"/>
    </row>
    <row r="165" spans="1:17" x14ac:dyDescent="0.25">
      <c r="A165" s="19" t="s">
        <v>202</v>
      </c>
      <c r="B165" s="19" t="str">
        <f>INDEX(Places[Type],MATCH(Budgets[[#This Row],[Jurisdiction]],Places[Jurisdiction],0))</f>
        <v>City</v>
      </c>
      <c r="C165" s="19" t="str">
        <f>INDEX(Places[County],MATCH(Budgets[[#This Row],[Jurisdiction]],Places[Jurisdiction],0))</f>
        <v>Los Angeles</v>
      </c>
      <c r="D165" s="21" t="str">
        <f>INDEX(Places[Majority RB],MATCH(Budgets[[#This Row],[Jurisdiction]],Places[Jurisdiction],0))</f>
        <v>Los Angeles</v>
      </c>
      <c r="E165" s="19">
        <f>INDEX(Places[Majority RB '#],MATCH(Budgets[[#This Row],[Jurisdiction]],Places[Jurisdiction],0))</f>
        <v>4</v>
      </c>
      <c r="F165" s="19" t="str">
        <f>VLOOKUP(Budgets[[#This Row],[Jurisdiction]],Places[#All],8,FALSE)</f>
        <v>Phase I MS4</v>
      </c>
      <c r="G165" s="81"/>
      <c r="H165" s="21" t="s">
        <v>1869</v>
      </c>
      <c r="I165" s="21">
        <f>VALUE(LEFT(Budgets[[#This Row],[Fiscal Year]],4))</f>
        <v>2016</v>
      </c>
      <c r="J165" s="20">
        <v>909500</v>
      </c>
      <c r="K165" s="27">
        <f>IF(Budgets[[#This Row],[Reference Year]]&gt;2018,Budgets[[#This Row],[Value]],Budgets[[#This Row],[Value]]*(1+VLOOKUP(Budgets[[#This Row],[Reference Year]],Inflation[#All],3,FALSE)))</f>
        <v>953576.64375000005</v>
      </c>
      <c r="L165" s="27">
        <f>Budgets[[#This Row],[2018 $ Value]]/VLOOKUP(Budgets[[#This Row],[Jurisdiction]],Places[],6,FALSE)</f>
        <v>18.337307098765432</v>
      </c>
      <c r="M165" s="27">
        <f>Budgets[[#This Row],[2018 $ Value]]/VLOOKUP(Budgets[[#This Row],[Jurisdiction]],Places[],7,FALSE)</f>
        <v>49153.435244845365</v>
      </c>
      <c r="N165" s="27"/>
      <c r="O165" s="27" t="s">
        <v>1853</v>
      </c>
      <c r="P165" s="4"/>
      <c r="Q165"/>
    </row>
    <row r="166" spans="1:17" x14ac:dyDescent="0.25">
      <c r="A166" s="19" t="s">
        <v>17</v>
      </c>
      <c r="B166" s="19" t="str">
        <f>INDEX(Places[Type],MATCH(Budgets[[#This Row],[Jurisdiction]],Places[Jurisdiction],0))</f>
        <v>City</v>
      </c>
      <c r="C166" s="19" t="str">
        <f>INDEX(Places[County],MATCH(Budgets[[#This Row],[Jurisdiction]],Places[Jurisdiction],0))</f>
        <v>San Bernardino</v>
      </c>
      <c r="D166" s="21" t="str">
        <f>INDEX(Places[Majority RB],MATCH(Budgets[[#This Row],[Jurisdiction]],Places[Jurisdiction],0))</f>
        <v>Santa Ana</v>
      </c>
      <c r="E166" s="19">
        <f>INDEX(Places[Majority RB '#],MATCH(Budgets[[#This Row],[Jurisdiction]],Places[Jurisdiction],0))</f>
        <v>8</v>
      </c>
      <c r="F166" s="19" t="str">
        <f>VLOOKUP(Budgets[[#This Row],[Jurisdiction]],Places[#All],8,FALSE)</f>
        <v>Phase I MS4</v>
      </c>
      <c r="G166" s="81"/>
      <c r="H166" s="21" t="s">
        <v>1880</v>
      </c>
      <c r="I166" s="21">
        <f>VALUE(LEFT(Budgets[[#This Row],[Fiscal Year]],4))</f>
        <v>2013</v>
      </c>
      <c r="J166" s="20">
        <v>130059</v>
      </c>
      <c r="K166" s="27">
        <f>IF(Budgets[[#This Row],[Reference Year]]&gt;2018,Budgets[[#This Row],[Value]],Budgets[[#This Row],[Value]]*(1+VLOOKUP(Budgets[[#This Row],[Reference Year]],Inflation[#All],3,FALSE)))</f>
        <v>140458.69626180257</v>
      </c>
      <c r="L166" s="27">
        <f>Budgets[[#This Row],[2018 $ Value]]/VLOOKUP(Budgets[[#This Row],[Jurisdiction]],Places[],6,FALSE)</f>
        <v>11.161689149857166</v>
      </c>
      <c r="M166" s="27">
        <f>Budgets[[#This Row],[2018 $ Value]]/VLOOKUP(Budgets[[#This Row],[Jurisdiction]],Places[],7,FALSE)</f>
        <v>40131.056074800734</v>
      </c>
      <c r="N166" s="27"/>
      <c r="O166" s="27" t="s">
        <v>1460</v>
      </c>
      <c r="P166" s="4"/>
      <c r="Q166"/>
    </row>
    <row r="167" spans="1:17" x14ac:dyDescent="0.25">
      <c r="A167" s="19" t="s">
        <v>17</v>
      </c>
      <c r="B167" s="19" t="str">
        <f>INDEX(Places[Type],MATCH(Budgets[[#This Row],[Jurisdiction]],Places[Jurisdiction],0))</f>
        <v>City</v>
      </c>
      <c r="C167" s="19" t="str">
        <f>INDEX(Places[County],MATCH(Budgets[[#This Row],[Jurisdiction]],Places[Jurisdiction],0))</f>
        <v>San Bernardino</v>
      </c>
      <c r="D167" s="21" t="str">
        <f>INDEX(Places[Majority RB],MATCH(Budgets[[#This Row],[Jurisdiction]],Places[Jurisdiction],0))</f>
        <v>Santa Ana</v>
      </c>
      <c r="E167" s="19">
        <f>INDEX(Places[Majority RB '#],MATCH(Budgets[[#This Row],[Jurisdiction]],Places[Jurisdiction],0))</f>
        <v>8</v>
      </c>
      <c r="F167" s="19" t="str">
        <f>VLOOKUP(Budgets[[#This Row],[Jurisdiction]],Places[#All],8,FALSE)</f>
        <v>Phase I MS4</v>
      </c>
      <c r="G167" s="81"/>
      <c r="H167" s="21" t="s">
        <v>1881</v>
      </c>
      <c r="I167" s="21">
        <f>VALUE(LEFT(Budgets[[#This Row],[Fiscal Year]],4))</f>
        <v>2014</v>
      </c>
      <c r="J167" s="20">
        <v>123604</v>
      </c>
      <c r="K167" s="27">
        <f>IF(Budgets[[#This Row],[Reference Year]]&gt;2018,Budgets[[#This Row],[Value]],Budgets[[#This Row],[Value]]*(1+VLOOKUP(Budgets[[#This Row],[Reference Year]],Inflation[#All],3,FALSE)))</f>
        <v>131400.92152091255</v>
      </c>
      <c r="L167" s="27">
        <f>Budgets[[#This Row],[2018 $ Value]]/VLOOKUP(Budgets[[#This Row],[Jurisdiction]],Places[],6,FALSE)</f>
        <v>10.441904125946643</v>
      </c>
      <c r="M167" s="27">
        <f>Budgets[[#This Row],[2018 $ Value]]/VLOOKUP(Budgets[[#This Row],[Jurisdiction]],Places[],7,FALSE)</f>
        <v>37543.120434546443</v>
      </c>
      <c r="N167" s="27"/>
      <c r="O167" s="27" t="s">
        <v>1460</v>
      </c>
      <c r="P167" s="4"/>
      <c r="Q167"/>
    </row>
    <row r="168" spans="1:17" x14ac:dyDescent="0.25">
      <c r="A168" s="19" t="s">
        <v>17</v>
      </c>
      <c r="B168" s="19" t="str">
        <f>INDEX(Places[Type],MATCH(Budgets[[#This Row],[Jurisdiction]],Places[Jurisdiction],0))</f>
        <v>City</v>
      </c>
      <c r="C168" s="19" t="str">
        <f>INDEX(Places[County],MATCH(Budgets[[#This Row],[Jurisdiction]],Places[Jurisdiction],0))</f>
        <v>San Bernardino</v>
      </c>
      <c r="D168" s="21" t="str">
        <f>INDEX(Places[Majority RB],MATCH(Budgets[[#This Row],[Jurisdiction]],Places[Jurisdiction],0))</f>
        <v>Santa Ana</v>
      </c>
      <c r="E168" s="19">
        <f>INDEX(Places[Majority RB '#],MATCH(Budgets[[#This Row],[Jurisdiction]],Places[Jurisdiction],0))</f>
        <v>8</v>
      </c>
      <c r="F168" s="19" t="str">
        <f>VLOOKUP(Budgets[[#This Row],[Jurisdiction]],Places[#All],8,FALSE)</f>
        <v>Phase I MS4</v>
      </c>
      <c r="G168" s="81"/>
      <c r="H168" s="21" t="s">
        <v>1873</v>
      </c>
      <c r="I168" s="21">
        <f>VALUE(LEFT(Budgets[[#This Row],[Fiscal Year]],4))</f>
        <v>2015</v>
      </c>
      <c r="J168" s="20">
        <v>45264</v>
      </c>
      <c r="K168" s="27">
        <f>IF(Budgets[[#This Row],[Reference Year]]&gt;2018,Budgets[[#This Row],[Value]],Budgets[[#This Row],[Value]]*(1+VLOOKUP(Budgets[[#This Row],[Reference Year]],Inflation[#All],3,FALSE)))</f>
        <v>48058.335797468353</v>
      </c>
      <c r="L168" s="27">
        <f>Budgets[[#This Row],[2018 $ Value]]/VLOOKUP(Budgets[[#This Row],[Jurisdiction]],Places[],6,FALSE)</f>
        <v>3.8190031625451648</v>
      </c>
      <c r="M168" s="27">
        <f>Budgets[[#This Row],[2018 $ Value]]/VLOOKUP(Budgets[[#This Row],[Jurisdiction]],Places[],7,FALSE)</f>
        <v>13730.953084990959</v>
      </c>
      <c r="N168" s="27"/>
      <c r="O168" s="27" t="s">
        <v>1460</v>
      </c>
      <c r="P168" s="4"/>
      <c r="Q168"/>
    </row>
    <row r="169" spans="1:17" x14ac:dyDescent="0.25">
      <c r="A169" s="19" t="s">
        <v>17</v>
      </c>
      <c r="B169" s="19" t="str">
        <f>INDEX(Places[Type],MATCH(Budgets[[#This Row],[Jurisdiction]],Places[Jurisdiction],0))</f>
        <v>City</v>
      </c>
      <c r="C169" s="19" t="str">
        <f>INDEX(Places[County],MATCH(Budgets[[#This Row],[Jurisdiction]],Places[Jurisdiction],0))</f>
        <v>San Bernardino</v>
      </c>
      <c r="D169" s="21" t="str">
        <f>INDEX(Places[Majority RB],MATCH(Budgets[[#This Row],[Jurisdiction]],Places[Jurisdiction],0))</f>
        <v>Santa Ana</v>
      </c>
      <c r="E169" s="19">
        <f>INDEX(Places[Majority RB '#],MATCH(Budgets[[#This Row],[Jurisdiction]],Places[Jurisdiction],0))</f>
        <v>8</v>
      </c>
      <c r="F169" s="19" t="str">
        <f>VLOOKUP(Budgets[[#This Row],[Jurisdiction]],Places[#All],8,FALSE)</f>
        <v>Phase I MS4</v>
      </c>
      <c r="G169" s="81"/>
      <c r="H169" s="21" t="s">
        <v>1869</v>
      </c>
      <c r="I169" s="21">
        <f>VALUE(LEFT(Budgets[[#This Row],[Fiscal Year]],4))</f>
        <v>2016</v>
      </c>
      <c r="J169" s="20">
        <v>41368</v>
      </c>
      <c r="K169" s="27">
        <f>IF(Budgets[[#This Row],[Reference Year]]&gt;2018,Budgets[[#This Row],[Value]],Budgets[[#This Row],[Value]]*(1+VLOOKUP(Budgets[[#This Row],[Reference Year]],Inflation[#All],3,FALSE)))</f>
        <v>43372.796700000006</v>
      </c>
      <c r="L169" s="27">
        <f>Budgets[[#This Row],[2018 $ Value]]/VLOOKUP(Budgets[[#This Row],[Jurisdiction]],Places[],6,FALSE)</f>
        <v>3.4466621662428487</v>
      </c>
      <c r="M169" s="27">
        <f>Budgets[[#This Row],[2018 $ Value]]/VLOOKUP(Budgets[[#This Row],[Jurisdiction]],Places[],7,FALSE)</f>
        <v>12392.227628571431</v>
      </c>
      <c r="N169" s="27"/>
      <c r="O169" s="27" t="s">
        <v>1853</v>
      </c>
      <c r="P169" s="4"/>
      <c r="Q169"/>
    </row>
    <row r="170" spans="1:17" x14ac:dyDescent="0.25">
      <c r="A170" s="19" t="s">
        <v>168</v>
      </c>
      <c r="B170" s="19" t="str">
        <f>INDEX(Places[Type],MATCH(Budgets[[#This Row],[Jurisdiction]],Places[Jurisdiction],0))</f>
        <v>City</v>
      </c>
      <c r="C170" s="19" t="str">
        <f>INDEX(Places[County],MATCH(Budgets[[#This Row],[Jurisdiction]],Places[Jurisdiction],0))</f>
        <v>Los Angeles</v>
      </c>
      <c r="D170" s="21" t="str">
        <f>INDEX(Places[Majority RB],MATCH(Budgets[[#This Row],[Jurisdiction]],Places[Jurisdiction],0))</f>
        <v>Los Angeles</v>
      </c>
      <c r="E170" s="19">
        <f>INDEX(Places[Majority RB '#],MATCH(Budgets[[#This Row],[Jurisdiction]],Places[Jurisdiction],0))</f>
        <v>4</v>
      </c>
      <c r="F170" s="19" t="str">
        <f>VLOOKUP(Budgets[[#This Row],[Jurisdiction]],Places[#All],8,FALSE)</f>
        <v>Phase I MS4</v>
      </c>
      <c r="G170" s="81"/>
      <c r="H170" s="100" t="s">
        <v>1869</v>
      </c>
      <c r="I170" s="21">
        <f>VALUE(LEFT(Budgets[[#This Row],[Fiscal Year]],4))</f>
        <v>2016</v>
      </c>
      <c r="J170" s="20">
        <v>59500</v>
      </c>
      <c r="K170" s="27">
        <f>IF(Budgets[[#This Row],[Reference Year]]&gt;2018,Budgets[[#This Row],[Value]],Budgets[[#This Row],[Value]]*(1+VLOOKUP(Budgets[[#This Row],[Reference Year]],Inflation[#All],3,FALSE)))</f>
        <v>62383.518750000003</v>
      </c>
      <c r="L170" s="27">
        <f>Budgets[[#This Row],[2018 $ Value]]/VLOOKUP(Budgets[[#This Row],[Jurisdiction]],Places[],6,FALSE)</f>
        <v>4.3579125916870414</v>
      </c>
      <c r="M170" s="27">
        <f>Budgets[[#This Row],[2018 $ Value]]/VLOOKUP(Budgets[[#This Row],[Jurisdiction]],Places[],7,FALSE)</f>
        <v>69315.020833333328</v>
      </c>
      <c r="N170" s="27"/>
      <c r="O170" s="27" t="s">
        <v>1853</v>
      </c>
      <c r="P170" s="4"/>
      <c r="Q170"/>
    </row>
    <row r="171" spans="1:17" x14ac:dyDescent="0.25">
      <c r="A171" s="19" t="s">
        <v>222</v>
      </c>
      <c r="B171" s="19" t="str">
        <f>INDEX(Places[Type],MATCH(Budgets[[#This Row],[Jurisdiction]],Places[Jurisdiction],0))</f>
        <v>City</v>
      </c>
      <c r="C171" s="19" t="str">
        <f>INDEX(Places[County],MATCH(Budgets[[#This Row],[Jurisdiction]],Places[Jurisdiction],0))</f>
        <v>Los Angeles</v>
      </c>
      <c r="D171" s="21" t="str">
        <f>INDEX(Places[Majority RB],MATCH(Budgets[[#This Row],[Jurisdiction]],Places[Jurisdiction],0))</f>
        <v>Los Angeles</v>
      </c>
      <c r="E171" s="19">
        <f>INDEX(Places[Majority RB '#],MATCH(Budgets[[#This Row],[Jurisdiction]],Places[Jurisdiction],0))</f>
        <v>4</v>
      </c>
      <c r="F171" s="19" t="str">
        <f>VLOOKUP(Budgets[[#This Row],[Jurisdiction]],Places[#All],8,FALSE)</f>
        <v>Phase I MS4</v>
      </c>
      <c r="G171" s="81"/>
      <c r="H171" s="21" t="s">
        <v>1870</v>
      </c>
      <c r="I171" s="21">
        <f>VALUE(LEFT(Budgets[[#This Row],[Fiscal Year]],4))</f>
        <v>2011</v>
      </c>
      <c r="J171" s="20">
        <v>5016450</v>
      </c>
      <c r="K171" s="27">
        <f>IF(Budgets[[#This Row],[Reference Year]]&gt;2018,Budgets[[#This Row],[Value]],Budgets[[#This Row],[Value]]*(1+VLOOKUP(Budgets[[#This Row],[Reference Year]],Inflation[#All],3,FALSE)))</f>
        <v>5612691.5515784798</v>
      </c>
      <c r="L171" s="27">
        <f>Budgets[[#This Row],[2018 $ Value]]/VLOOKUP(Budgets[[#This Row],[Jurisdiction]],Places[],6,FALSE)</f>
        <v>64.539660226280461</v>
      </c>
      <c r="M171" s="27">
        <f>Budgets[[#This Row],[2018 $ Value]]/VLOOKUP(Budgets[[#This Row],[Jurisdiction]],Places[],7,FALSE)</f>
        <v>920113.36911122629</v>
      </c>
      <c r="N171" s="27"/>
      <c r="O171" s="27" t="s">
        <v>1460</v>
      </c>
      <c r="P171" s="4"/>
      <c r="Q171"/>
    </row>
    <row r="172" spans="1:17" x14ac:dyDescent="0.25">
      <c r="A172" s="19" t="s">
        <v>222</v>
      </c>
      <c r="B172" s="19" t="str">
        <f>INDEX(Places[Type],MATCH(Budgets[[#This Row],[Jurisdiction]],Places[Jurisdiction],0))</f>
        <v>City</v>
      </c>
      <c r="C172" s="19" t="str">
        <f>INDEX(Places[County],MATCH(Budgets[[#This Row],[Jurisdiction]],Places[Jurisdiction],0))</f>
        <v>Los Angeles</v>
      </c>
      <c r="D172" s="21" t="str">
        <f>INDEX(Places[Majority RB],MATCH(Budgets[[#This Row],[Jurisdiction]],Places[Jurisdiction],0))</f>
        <v>Los Angeles</v>
      </c>
      <c r="E172" s="19">
        <f>INDEX(Places[Majority RB '#],MATCH(Budgets[[#This Row],[Jurisdiction]],Places[Jurisdiction],0))</f>
        <v>4</v>
      </c>
      <c r="F172" s="19" t="str">
        <f>VLOOKUP(Budgets[[#This Row],[Jurisdiction]],Places[#All],8,FALSE)</f>
        <v>Phase I MS4</v>
      </c>
      <c r="G172" s="81"/>
      <c r="H172" s="21" t="s">
        <v>1871</v>
      </c>
      <c r="I172" s="21">
        <f>VALUE(LEFT(Budgets[[#This Row],[Fiscal Year]],4))</f>
        <v>2012</v>
      </c>
      <c r="J172" s="20">
        <v>5016450</v>
      </c>
      <c r="K172" s="27">
        <f>IF(Budgets[[#This Row],[Reference Year]]&gt;2018,Budgets[[#This Row],[Value]],Budgets[[#This Row],[Value]]*(1+VLOOKUP(Budgets[[#This Row],[Reference Year]],Inflation[#All],3,FALSE)))</f>
        <v>5497797.6043118471</v>
      </c>
      <c r="L172" s="27">
        <f>Budgets[[#This Row],[2018 $ Value]]/VLOOKUP(Budgets[[#This Row],[Jurisdiction]],Places[],6,FALSE)</f>
        <v>63.218508644993356</v>
      </c>
      <c r="M172" s="27">
        <f>Budgets[[#This Row],[2018 $ Value]]/VLOOKUP(Budgets[[#This Row],[Jurisdiction]],Places[],7,FALSE)</f>
        <v>901278.29578882747</v>
      </c>
      <c r="N172" s="27"/>
      <c r="O172" s="27" t="s">
        <v>1460</v>
      </c>
      <c r="P172" s="4"/>
      <c r="Q172"/>
    </row>
    <row r="173" spans="1:17" x14ac:dyDescent="0.25">
      <c r="A173" s="19" t="s">
        <v>222</v>
      </c>
      <c r="B173" s="19" t="str">
        <f>INDEX(Places[Type],MATCH(Budgets[[#This Row],[Jurisdiction]],Places[Jurisdiction],0))</f>
        <v>City</v>
      </c>
      <c r="C173" s="19" t="str">
        <f>INDEX(Places[County],MATCH(Budgets[[#This Row],[Jurisdiction]],Places[Jurisdiction],0))</f>
        <v>Los Angeles</v>
      </c>
      <c r="D173" s="21" t="str">
        <f>INDEX(Places[Majority RB],MATCH(Budgets[[#This Row],[Jurisdiction]],Places[Jurisdiction],0))</f>
        <v>Los Angeles</v>
      </c>
      <c r="E173" s="19">
        <f>INDEX(Places[Majority RB '#],MATCH(Budgets[[#This Row],[Jurisdiction]],Places[Jurisdiction],0))</f>
        <v>4</v>
      </c>
      <c r="F173" s="19" t="str">
        <f>VLOOKUP(Budgets[[#This Row],[Jurisdiction]],Places[#All],8,FALSE)</f>
        <v>Phase I MS4</v>
      </c>
      <c r="G173" s="81"/>
      <c r="H173" s="21" t="s">
        <v>1869</v>
      </c>
      <c r="I173" s="21">
        <f>VALUE(LEFT(Budgets[[#This Row],[Fiscal Year]],4))</f>
        <v>2016</v>
      </c>
      <c r="J173" s="20">
        <v>2742000</v>
      </c>
      <c r="K173" s="27">
        <f>IF(Budgets[[#This Row],[Reference Year]]&gt;2018,Budgets[[#This Row],[Value]],Budgets[[#This Row],[Value]]*(1+VLOOKUP(Budgets[[#This Row],[Reference Year]],Inflation[#All],3,FALSE)))</f>
        <v>2874884.1750000003</v>
      </c>
      <c r="L173" s="27">
        <f>Budgets[[#This Row],[2018 $ Value]]/VLOOKUP(Budgets[[#This Row],[Jurisdiction]],Places[],6,FALSE)</f>
        <v>33.057944862875871</v>
      </c>
      <c r="M173" s="27">
        <f>Budgets[[#This Row],[2018 $ Value]]/VLOOKUP(Budgets[[#This Row],[Jurisdiction]],Places[],7,FALSE)</f>
        <v>471292.48770491808</v>
      </c>
      <c r="N173" s="27"/>
      <c r="O173" s="27" t="s">
        <v>1853</v>
      </c>
      <c r="P173" s="4"/>
      <c r="Q173"/>
    </row>
    <row r="174" spans="1:17" x14ac:dyDescent="0.25">
      <c r="A174" s="19" t="s">
        <v>232</v>
      </c>
      <c r="B174" s="19" t="str">
        <f>INDEX(Places[Type],MATCH(Budgets[[#This Row],[Jurisdiction]],Places[Jurisdiction],0))</f>
        <v>City</v>
      </c>
      <c r="C174" s="19" t="str">
        <f>INDEX(Places[County],MATCH(Budgets[[#This Row],[Jurisdiction]],Places[Jurisdiction],0))</f>
        <v>Riverside</v>
      </c>
      <c r="D174" s="21" t="str">
        <f>INDEX(Places[Majority RB],MATCH(Budgets[[#This Row],[Jurisdiction]],Places[Jurisdiction],0))</f>
        <v>Santa Ana</v>
      </c>
      <c r="E174" s="19">
        <f>INDEX(Places[Majority RB '#],MATCH(Budgets[[#This Row],[Jurisdiction]],Places[Jurisdiction],0))</f>
        <v>8</v>
      </c>
      <c r="F174" s="19" t="str">
        <f>VLOOKUP(Budgets[[#This Row],[Jurisdiction]],Places[#All],8,FALSE)</f>
        <v>Phase I MS4</v>
      </c>
      <c r="G174" s="81"/>
      <c r="H174" s="21" t="s">
        <v>1869</v>
      </c>
      <c r="I174" s="21">
        <f>VALUE(LEFT(Budgets[[#This Row],[Fiscal Year]],4))</f>
        <v>2016</v>
      </c>
      <c r="J174" s="20">
        <v>839333.53</v>
      </c>
      <c r="K174" s="27">
        <f>IF(Budgets[[#This Row],[Reference Year]]&gt;2018,Budgets[[#This Row],[Value]],Budgets[[#This Row],[Value]]*(1+VLOOKUP(Budgets[[#This Row],[Reference Year]],Inflation[#All],3,FALSE)))</f>
        <v>880009.73119762505</v>
      </c>
      <c r="L174" s="27">
        <f>Budgets[[#This Row],[2018 $ Value]]/VLOOKUP(Budgets[[#This Row],[Jurisdiction]],Places[],6,FALSE)</f>
        <v>10.31966849835972</v>
      </c>
      <c r="M174" s="27">
        <f>Budgets[[#This Row],[2018 $ Value]]/VLOOKUP(Budgets[[#This Row],[Jurisdiction]],Places[],7,FALSE)</f>
        <v>31769.304375365526</v>
      </c>
      <c r="N174" s="27"/>
      <c r="O174" s="27" t="s">
        <v>1853</v>
      </c>
      <c r="P174" s="4"/>
      <c r="Q174"/>
    </row>
    <row r="175" spans="1:17" x14ac:dyDescent="0.25">
      <c r="A175" s="19" t="s">
        <v>146</v>
      </c>
      <c r="B175" s="19" t="str">
        <f>INDEX(Places[Type],MATCH(Budgets[[#This Row],[Jurisdiction]],Places[Jurisdiction],0))</f>
        <v>City</v>
      </c>
      <c r="C175" s="19" t="str">
        <f>INDEX(Places[County],MATCH(Budgets[[#This Row],[Jurisdiction]],Places[Jurisdiction],0))</f>
        <v>Los Angeles</v>
      </c>
      <c r="D175" s="21" t="str">
        <f>INDEX(Places[Majority RB],MATCH(Budgets[[#This Row],[Jurisdiction]],Places[Jurisdiction],0))</f>
        <v>Los Angeles</v>
      </c>
      <c r="E175" s="19">
        <f>INDEX(Places[Majority RB '#],MATCH(Budgets[[#This Row],[Jurisdiction]],Places[Jurisdiction],0))</f>
        <v>4</v>
      </c>
      <c r="F175" s="19" t="str">
        <f>VLOOKUP(Budgets[[#This Row],[Jurisdiction]],Places[#All],8,FALSE)</f>
        <v>Phase I MS4</v>
      </c>
      <c r="G175" s="81"/>
      <c r="H175" s="100" t="s">
        <v>1870</v>
      </c>
      <c r="I175" s="21">
        <f>VALUE(LEFT(Budgets[[#This Row],[Fiscal Year]],4))</f>
        <v>2011</v>
      </c>
      <c r="J175" s="20">
        <v>968656</v>
      </c>
      <c r="K175" s="27">
        <f>IF(Budgets[[#This Row],[Reference Year]]&gt;2018,Budgets[[#This Row],[Value]],Budgets[[#This Row],[Value]]*(1+VLOOKUP(Budgets[[#This Row],[Reference Year]],Inflation[#All],3,FALSE)))</f>
        <v>1083787.8076300579</v>
      </c>
      <c r="L175" s="27">
        <f>Budgets[[#This Row],[2018 $ Value]]/VLOOKUP(Budgets[[#This Row],[Jurisdiction]],Places[],6,FALSE)</f>
        <v>55.678798234269607</v>
      </c>
      <c r="M175" s="27">
        <f>Budgets[[#This Row],[2018 $ Value]]/VLOOKUP(Budgets[[#This Row],[Jurisdiction]],Places[],7,FALSE)</f>
        <v>774134.14830718422</v>
      </c>
      <c r="N175" s="27"/>
      <c r="O175" s="27" t="s">
        <v>1460</v>
      </c>
      <c r="P175" s="4"/>
      <c r="Q175"/>
    </row>
    <row r="176" spans="1:17" x14ac:dyDescent="0.25">
      <c r="A176" s="19" t="s">
        <v>146</v>
      </c>
      <c r="B176" s="19" t="str">
        <f>INDEX(Places[Type],MATCH(Budgets[[#This Row],[Jurisdiction]],Places[Jurisdiction],0))</f>
        <v>City</v>
      </c>
      <c r="C176" s="19" t="str">
        <f>INDEX(Places[County],MATCH(Budgets[[#This Row],[Jurisdiction]],Places[Jurisdiction],0))</f>
        <v>Los Angeles</v>
      </c>
      <c r="D176" s="21" t="str">
        <f>INDEX(Places[Majority RB],MATCH(Budgets[[#This Row],[Jurisdiction]],Places[Jurisdiction],0))</f>
        <v>Los Angeles</v>
      </c>
      <c r="E176" s="19">
        <f>INDEX(Places[Majority RB '#],MATCH(Budgets[[#This Row],[Jurisdiction]],Places[Jurisdiction],0))</f>
        <v>4</v>
      </c>
      <c r="F176" s="19" t="str">
        <f>VLOOKUP(Budgets[[#This Row],[Jurisdiction]],Places[#All],8,FALSE)</f>
        <v>Phase I MS4</v>
      </c>
      <c r="G176" s="81"/>
      <c r="H176" s="100" t="s">
        <v>1871</v>
      </c>
      <c r="I176" s="21">
        <f>VALUE(LEFT(Budgets[[#This Row],[Fiscal Year]],4))</f>
        <v>2012</v>
      </c>
      <c r="J176" s="20">
        <v>806688</v>
      </c>
      <c r="K176" s="27">
        <f>IF(Budgets[[#This Row],[Reference Year]]&gt;2018,Budgets[[#This Row],[Value]],Budgets[[#This Row],[Value]]*(1+VLOOKUP(Budgets[[#This Row],[Reference Year]],Inflation[#All],3,FALSE)))</f>
        <v>884092.80543554004</v>
      </c>
      <c r="L176" s="27">
        <f>Budgets[[#This Row],[2018 $ Value]]/VLOOKUP(Budgets[[#This Row],[Jurisdiction]],Places[],6,FALSE)</f>
        <v>45.419614972285643</v>
      </c>
      <c r="M176" s="27">
        <f>Budgets[[#This Row],[2018 $ Value]]/VLOOKUP(Budgets[[#This Row],[Jurisdiction]],Places[],7,FALSE)</f>
        <v>631494.86102538579</v>
      </c>
      <c r="N176" s="27"/>
      <c r="O176" s="27" t="s">
        <v>1460</v>
      </c>
      <c r="P176" s="4"/>
      <c r="Q176"/>
    </row>
    <row r="177" spans="1:17" x14ac:dyDescent="0.25">
      <c r="A177" s="19" t="s">
        <v>146</v>
      </c>
      <c r="B177" s="19" t="str">
        <f>INDEX(Places[Type],MATCH(Budgets[[#This Row],[Jurisdiction]],Places[Jurisdiction],0))</f>
        <v>City</v>
      </c>
      <c r="C177" s="19" t="str">
        <f>INDEX(Places[County],MATCH(Budgets[[#This Row],[Jurisdiction]],Places[Jurisdiction],0))</f>
        <v>Los Angeles</v>
      </c>
      <c r="D177" s="21" t="str">
        <f>INDEX(Places[Majority RB],MATCH(Budgets[[#This Row],[Jurisdiction]],Places[Jurisdiction],0))</f>
        <v>Los Angeles</v>
      </c>
      <c r="E177" s="19">
        <f>INDEX(Places[Majority RB '#],MATCH(Budgets[[#This Row],[Jurisdiction]],Places[Jurisdiction],0))</f>
        <v>4</v>
      </c>
      <c r="F177" s="19" t="str">
        <f>VLOOKUP(Budgets[[#This Row],[Jurisdiction]],Places[#All],8,FALSE)</f>
        <v>Phase I MS4</v>
      </c>
      <c r="G177" s="81"/>
      <c r="H177" s="100" t="s">
        <v>1873</v>
      </c>
      <c r="I177" s="21">
        <f>VALUE(LEFT(Budgets[[#This Row],[Fiscal Year]],4))</f>
        <v>2015</v>
      </c>
      <c r="J177" s="20">
        <v>984770</v>
      </c>
      <c r="K177" s="27">
        <f>IF(Budgets[[#This Row],[Reference Year]]&gt;2018,Budgets[[#This Row],[Value]],Budgets[[#This Row],[Value]]*(1+VLOOKUP(Budgets[[#This Row],[Reference Year]],Inflation[#All],3,FALSE)))</f>
        <v>1045563.9656962025</v>
      </c>
      <c r="L177" s="27">
        <f>Budgets[[#This Row],[2018 $ Value]]/VLOOKUP(Budgets[[#This Row],[Jurisdiction]],Places[],6,FALSE)</f>
        <v>53.715076583416518</v>
      </c>
      <c r="M177" s="27">
        <f>Budgets[[#This Row],[2018 $ Value]]/VLOOKUP(Budgets[[#This Row],[Jurisdiction]],Places[],7,FALSE)</f>
        <v>746831.4040687161</v>
      </c>
      <c r="N177" s="27"/>
      <c r="O177" s="27" t="s">
        <v>1460</v>
      </c>
      <c r="P177" s="4"/>
      <c r="Q177"/>
    </row>
    <row r="178" spans="1:17" x14ac:dyDescent="0.25">
      <c r="A178" s="19" t="s">
        <v>146</v>
      </c>
      <c r="B178" s="19" t="str">
        <f>INDEX(Places[Type],MATCH(Budgets[[#This Row],[Jurisdiction]],Places[Jurisdiction],0))</f>
        <v>City</v>
      </c>
      <c r="C178" s="19" t="str">
        <f>INDEX(Places[County],MATCH(Budgets[[#This Row],[Jurisdiction]],Places[Jurisdiction],0))</f>
        <v>Los Angeles</v>
      </c>
      <c r="D178" s="21" t="str">
        <f>INDEX(Places[Majority RB],MATCH(Budgets[[#This Row],[Jurisdiction]],Places[Jurisdiction],0))</f>
        <v>Los Angeles</v>
      </c>
      <c r="E178" s="19">
        <f>INDEX(Places[Majority RB '#],MATCH(Budgets[[#This Row],[Jurisdiction]],Places[Jurisdiction],0))</f>
        <v>4</v>
      </c>
      <c r="F178" s="19" t="str">
        <f>VLOOKUP(Budgets[[#This Row],[Jurisdiction]],Places[#All],8,FALSE)</f>
        <v>Phase I MS4</v>
      </c>
      <c r="G178" s="81"/>
      <c r="H178" s="100" t="s">
        <v>1869</v>
      </c>
      <c r="I178" s="21">
        <f>VALUE(LEFT(Budgets[[#This Row],[Fiscal Year]],4))</f>
        <v>2016</v>
      </c>
      <c r="J178" s="20">
        <v>1055188</v>
      </c>
      <c r="K178" s="27">
        <f>IF(Budgets[[#This Row],[Reference Year]]&gt;2018,Budgets[[#This Row],[Value]],Budgets[[#This Row],[Value]]*(1+VLOOKUP(Budgets[[#This Row],[Reference Year]],Inflation[#All],3,FALSE)))</f>
        <v>1106325.0484500001</v>
      </c>
      <c r="L178" s="27">
        <f>Budgets[[#This Row],[2018 $ Value]]/VLOOKUP(Budgets[[#This Row],[Jurisdiction]],Places[],6,FALSE)</f>
        <v>56.836632337528904</v>
      </c>
      <c r="M178" s="27">
        <f>Budgets[[#This Row],[2018 $ Value]]/VLOOKUP(Budgets[[#This Row],[Jurisdiction]],Places[],7,FALSE)</f>
        <v>790232.17746428587</v>
      </c>
      <c r="N178" s="27"/>
      <c r="O178" s="27" t="s">
        <v>1853</v>
      </c>
      <c r="P178" s="4"/>
      <c r="Q178"/>
    </row>
    <row r="179" spans="1:17" x14ac:dyDescent="0.25">
      <c r="A179" s="19" t="s">
        <v>173</v>
      </c>
      <c r="B179" s="19" t="str">
        <f>INDEX(Places[Type],MATCH(Budgets[[#This Row],[Jurisdiction]],Places[Jurisdiction],0))</f>
        <v>City</v>
      </c>
      <c r="C179" s="19" t="str">
        <f>INDEX(Places[County],MATCH(Budgets[[#This Row],[Jurisdiction]],Places[Jurisdiction],0))</f>
        <v>Los Angeles</v>
      </c>
      <c r="D179" s="21" t="str">
        <f>INDEX(Places[Majority RB],MATCH(Budgets[[#This Row],[Jurisdiction]],Places[Jurisdiction],0))</f>
        <v>Los Angeles</v>
      </c>
      <c r="E179" s="19">
        <f>INDEX(Places[Majority RB '#],MATCH(Budgets[[#This Row],[Jurisdiction]],Places[Jurisdiction],0))</f>
        <v>4</v>
      </c>
      <c r="F179" s="19" t="str">
        <f>VLOOKUP(Budgets[[#This Row],[Jurisdiction]],Places[#All],8,FALSE)</f>
        <v>Phase I MS4</v>
      </c>
      <c r="G179" s="81"/>
      <c r="H179" s="100" t="s">
        <v>1870</v>
      </c>
      <c r="I179" s="21">
        <f>VALUE(LEFT(Budgets[[#This Row],[Fiscal Year]],4))</f>
        <v>2011</v>
      </c>
      <c r="J179" s="20">
        <v>244350</v>
      </c>
      <c r="K179" s="27">
        <f>IF(Budgets[[#This Row],[Reference Year]]&gt;2018,Budgets[[#This Row],[Value]],Budgets[[#This Row],[Value]]*(1+VLOOKUP(Budgets[[#This Row],[Reference Year]],Inflation[#All],3,FALSE)))</f>
        <v>273392.77389951091</v>
      </c>
      <c r="L179" s="27">
        <f>Budgets[[#This Row],[2018 $ Value]]/VLOOKUP(Budgets[[#This Row],[Jurisdiction]],Places[],6,FALSE)</f>
        <v>144.04255737592777</v>
      </c>
      <c r="M179" s="27">
        <f>Budgets[[#This Row],[2018 $ Value]]/VLOOKUP(Budgets[[#This Row],[Jurisdiction]],Places[],7,FALSE)</f>
        <v>160819.27876441818</v>
      </c>
      <c r="N179" s="27"/>
      <c r="O179" s="27" t="s">
        <v>1460</v>
      </c>
      <c r="P179" s="4"/>
      <c r="Q179"/>
    </row>
    <row r="180" spans="1:17" x14ac:dyDescent="0.25">
      <c r="A180" s="19" t="s">
        <v>173</v>
      </c>
      <c r="B180" s="19" t="str">
        <f>INDEX(Places[Type],MATCH(Budgets[[#This Row],[Jurisdiction]],Places[Jurisdiction],0))</f>
        <v>City</v>
      </c>
      <c r="C180" s="19" t="str">
        <f>INDEX(Places[County],MATCH(Budgets[[#This Row],[Jurisdiction]],Places[Jurisdiction],0))</f>
        <v>Los Angeles</v>
      </c>
      <c r="D180" s="21" t="str">
        <f>INDEX(Places[Majority RB],MATCH(Budgets[[#This Row],[Jurisdiction]],Places[Jurisdiction],0))</f>
        <v>Los Angeles</v>
      </c>
      <c r="E180" s="19">
        <f>INDEX(Places[Majority RB '#],MATCH(Budgets[[#This Row],[Jurisdiction]],Places[Jurisdiction],0))</f>
        <v>4</v>
      </c>
      <c r="F180" s="19" t="str">
        <f>VLOOKUP(Budgets[[#This Row],[Jurisdiction]],Places[#All],8,FALSE)</f>
        <v>Phase I MS4</v>
      </c>
      <c r="G180" s="81"/>
      <c r="H180" s="100" t="s">
        <v>1871</v>
      </c>
      <c r="I180" s="21">
        <f>VALUE(LEFT(Budgets[[#This Row],[Fiscal Year]],4))</f>
        <v>2012</v>
      </c>
      <c r="J180" s="20">
        <v>300675</v>
      </c>
      <c r="K180" s="27">
        <f>IF(Budgets[[#This Row],[Reference Year]]&gt;2018,Budgets[[#This Row],[Value]],Budgets[[#This Row],[Value]]*(1+VLOOKUP(Budgets[[#This Row],[Reference Year]],Inflation[#All],3,FALSE)))</f>
        <v>329525.91866289201</v>
      </c>
      <c r="L180" s="27">
        <f>Budgets[[#This Row],[2018 $ Value]]/VLOOKUP(Budgets[[#This Row],[Jurisdiction]],Places[],6,FALSE)</f>
        <v>173.61744924283036</v>
      </c>
      <c r="M180" s="27">
        <f>Budgets[[#This Row],[2018 $ Value]]/VLOOKUP(Budgets[[#This Row],[Jurisdiction]],Places[],7,FALSE)</f>
        <v>193838.77568405413</v>
      </c>
      <c r="N180" s="27"/>
      <c r="O180" s="27" t="s">
        <v>1460</v>
      </c>
      <c r="P180" s="4"/>
      <c r="Q180"/>
    </row>
    <row r="181" spans="1:17" x14ac:dyDescent="0.25">
      <c r="A181" s="19" t="s">
        <v>173</v>
      </c>
      <c r="B181" s="19" t="str">
        <f>INDEX(Places[Type],MATCH(Budgets[[#This Row],[Jurisdiction]],Places[Jurisdiction],0))</f>
        <v>City</v>
      </c>
      <c r="C181" s="19" t="str">
        <f>INDEX(Places[County],MATCH(Budgets[[#This Row],[Jurisdiction]],Places[Jurisdiction],0))</f>
        <v>Los Angeles</v>
      </c>
      <c r="D181" s="21" t="str">
        <f>INDEX(Places[Majority RB],MATCH(Budgets[[#This Row],[Jurisdiction]],Places[Jurisdiction],0))</f>
        <v>Los Angeles</v>
      </c>
      <c r="E181" s="19">
        <f>INDEX(Places[Majority RB '#],MATCH(Budgets[[#This Row],[Jurisdiction]],Places[Jurisdiction],0))</f>
        <v>4</v>
      </c>
      <c r="F181" s="19" t="str">
        <f>VLOOKUP(Budgets[[#This Row],[Jurisdiction]],Places[#All],8,FALSE)</f>
        <v>Phase I MS4</v>
      </c>
      <c r="G181" s="81"/>
      <c r="H181" s="100" t="s">
        <v>1869</v>
      </c>
      <c r="I181" s="21">
        <f>VALUE(LEFT(Budgets[[#This Row],[Fiscal Year]],4))</f>
        <v>2016</v>
      </c>
      <c r="J181" s="20">
        <v>77467.53</v>
      </c>
      <c r="K181" s="27">
        <f>IF(Budgets[[#This Row],[Reference Year]]&gt;2018,Budgets[[#This Row],[Value]],Budgets[[#This Row],[Value]]*(1+VLOOKUP(Budgets[[#This Row],[Reference Year]],Inflation[#All],3,FALSE)))</f>
        <v>81221.800172625008</v>
      </c>
      <c r="L181" s="27">
        <f>Budgets[[#This Row],[2018 $ Value]]/VLOOKUP(Budgets[[#This Row],[Jurisdiction]],Places[],6,FALSE)</f>
        <v>42.793361524038467</v>
      </c>
      <c r="M181" s="27">
        <f>Budgets[[#This Row],[2018 $ Value]]/VLOOKUP(Budgets[[#This Row],[Jurisdiction]],Places[],7,FALSE)</f>
        <v>47777.529513308829</v>
      </c>
      <c r="N181" s="27"/>
      <c r="O181" s="27" t="s">
        <v>1853</v>
      </c>
      <c r="P181" s="4"/>
      <c r="Q181"/>
    </row>
    <row r="182" spans="1:17" x14ac:dyDescent="0.25">
      <c r="A182" s="19" t="s">
        <v>245</v>
      </c>
      <c r="B182" s="19" t="str">
        <f>INDEX(Places[Type],MATCH(Budgets[[#This Row],[Jurisdiction]],Places[Jurisdiction],0))</f>
        <v>City</v>
      </c>
      <c r="C182" s="19" t="str">
        <f>INDEX(Places[County],MATCH(Budgets[[#This Row],[Jurisdiction]],Places[Jurisdiction],0))</f>
        <v>San Bernardino</v>
      </c>
      <c r="D182" s="21" t="str">
        <f>INDEX(Places[Majority RB],MATCH(Budgets[[#This Row],[Jurisdiction]],Places[Jurisdiction],0))</f>
        <v>Santa Ana</v>
      </c>
      <c r="E182" s="19">
        <f>INDEX(Places[Majority RB '#],MATCH(Budgets[[#This Row],[Jurisdiction]],Places[Jurisdiction],0))</f>
        <v>8</v>
      </c>
      <c r="F182" s="19" t="str">
        <f>VLOOKUP(Budgets[[#This Row],[Jurisdiction]],Places[#All],8,FALSE)</f>
        <v>Phase I MS4</v>
      </c>
      <c r="G182" s="81"/>
      <c r="H182" s="21" t="s">
        <v>1871</v>
      </c>
      <c r="I182" s="21">
        <f>VALUE(LEFT(Budgets[[#This Row],[Fiscal Year]],4))</f>
        <v>2012</v>
      </c>
      <c r="J182" s="20">
        <v>534000</v>
      </c>
      <c r="K182" s="27">
        <f>IF(Budgets[[#This Row],[Reference Year]]&gt;2018,Budgets[[#This Row],[Value]],Budgets[[#This Row],[Value]]*(1+VLOOKUP(Budgets[[#This Row],[Reference Year]],Inflation[#All],3,FALSE)))</f>
        <v>585239.34668989549</v>
      </c>
      <c r="L182" s="27">
        <f>Budgets[[#This Row],[2018 $ Value]]/VLOOKUP(Budgets[[#This Row],[Jurisdiction]],Places[],6,FALSE)</f>
        <v>10.562743144964363</v>
      </c>
      <c r="M182" s="27">
        <f>Budgets[[#This Row],[2018 $ Value]]/VLOOKUP(Budgets[[#This Row],[Jurisdiction]],Places[],7,FALSE)</f>
        <v>31129.752483505079</v>
      </c>
      <c r="N182" s="27"/>
      <c r="O182" s="27" t="s">
        <v>1460</v>
      </c>
      <c r="P182" s="4"/>
      <c r="Q182"/>
    </row>
    <row r="183" spans="1:17" x14ac:dyDescent="0.25">
      <c r="A183" s="19" t="s">
        <v>245</v>
      </c>
      <c r="B183" s="19" t="str">
        <f>INDEX(Places[Type],MATCH(Budgets[[#This Row],[Jurisdiction]],Places[Jurisdiction],0))</f>
        <v>City</v>
      </c>
      <c r="C183" s="19" t="str">
        <f>INDEX(Places[County],MATCH(Budgets[[#This Row],[Jurisdiction]],Places[Jurisdiction],0))</f>
        <v>San Bernardino</v>
      </c>
      <c r="D183" s="21" t="str">
        <f>INDEX(Places[Majority RB],MATCH(Budgets[[#This Row],[Jurisdiction]],Places[Jurisdiction],0))</f>
        <v>Santa Ana</v>
      </c>
      <c r="E183" s="19">
        <f>INDEX(Places[Majority RB '#],MATCH(Budgets[[#This Row],[Jurisdiction]],Places[Jurisdiction],0))</f>
        <v>8</v>
      </c>
      <c r="F183" s="19" t="str">
        <f>VLOOKUP(Budgets[[#This Row],[Jurisdiction]],Places[#All],8,FALSE)</f>
        <v>Phase I MS4</v>
      </c>
      <c r="G183" s="81"/>
      <c r="H183" s="21" t="s">
        <v>1880</v>
      </c>
      <c r="I183" s="21">
        <f>VALUE(LEFT(Budgets[[#This Row],[Fiscal Year]],4))</f>
        <v>2013</v>
      </c>
      <c r="J183" s="20">
        <v>549500</v>
      </c>
      <c r="K183" s="27">
        <f>IF(Budgets[[#This Row],[Reference Year]]&gt;2018,Budgets[[#This Row],[Value]],Budgets[[#This Row],[Value]]*(1+VLOOKUP(Budgets[[#This Row],[Reference Year]],Inflation[#All],3,FALSE)))</f>
        <v>593438.77467811166</v>
      </c>
      <c r="L183" s="27">
        <f>Budgets[[#This Row],[2018 $ Value]]/VLOOKUP(Budgets[[#This Row],[Jurisdiction]],Places[],6,FALSE)</f>
        <v>10.710731232684397</v>
      </c>
      <c r="M183" s="27">
        <f>Budgets[[#This Row],[2018 $ Value]]/VLOOKUP(Budgets[[#This Row],[Jurisdiction]],Places[],7,FALSE)</f>
        <v>31565.892270112323</v>
      </c>
      <c r="N183" s="27"/>
      <c r="O183" s="27" t="s">
        <v>1460</v>
      </c>
      <c r="P183" s="4"/>
      <c r="Q183"/>
    </row>
    <row r="184" spans="1:17" x14ac:dyDescent="0.25">
      <c r="A184" s="19" t="s">
        <v>245</v>
      </c>
      <c r="B184" s="19" t="str">
        <f>INDEX(Places[Type],MATCH(Budgets[[#This Row],[Jurisdiction]],Places[Jurisdiction],0))</f>
        <v>City</v>
      </c>
      <c r="C184" s="19" t="str">
        <f>INDEX(Places[County],MATCH(Budgets[[#This Row],[Jurisdiction]],Places[Jurisdiction],0))</f>
        <v>San Bernardino</v>
      </c>
      <c r="D184" s="21" t="str">
        <f>INDEX(Places[Majority RB],MATCH(Budgets[[#This Row],[Jurisdiction]],Places[Jurisdiction],0))</f>
        <v>Santa Ana</v>
      </c>
      <c r="E184" s="19">
        <f>INDEX(Places[Majority RB '#],MATCH(Budgets[[#This Row],[Jurisdiction]],Places[Jurisdiction],0))</f>
        <v>8</v>
      </c>
      <c r="F184" s="19" t="str">
        <f>VLOOKUP(Budgets[[#This Row],[Jurisdiction]],Places[#All],8,FALSE)</f>
        <v>Phase I MS4</v>
      </c>
      <c r="G184" s="81"/>
      <c r="H184" s="21" t="s">
        <v>1881</v>
      </c>
      <c r="I184" s="21">
        <f>VALUE(LEFT(Budgets[[#This Row],[Fiscal Year]],4))</f>
        <v>2014</v>
      </c>
      <c r="J184" s="20">
        <v>549500</v>
      </c>
      <c r="K184" s="27">
        <f>IF(Budgets[[#This Row],[Reference Year]]&gt;2018,Budgets[[#This Row],[Value]],Budgets[[#This Row],[Value]]*(1+VLOOKUP(Budgets[[#This Row],[Reference Year]],Inflation[#All],3,FALSE)))</f>
        <v>584162.37642585556</v>
      </c>
      <c r="L184" s="27">
        <f>Budgets[[#This Row],[2018 $ Value]]/VLOOKUP(Budgets[[#This Row],[Jurisdiction]],Places[],6,FALSE)</f>
        <v>10.5433053536775</v>
      </c>
      <c r="M184" s="27">
        <f>Budgets[[#This Row],[2018 $ Value]]/VLOOKUP(Budgets[[#This Row],[Jurisdiction]],Places[],7,FALSE)</f>
        <v>31072.466831162528</v>
      </c>
      <c r="N184" s="27"/>
      <c r="O184" s="27" t="s">
        <v>1460</v>
      </c>
      <c r="P184" s="4"/>
      <c r="Q184"/>
    </row>
    <row r="185" spans="1:17" x14ac:dyDescent="0.25">
      <c r="A185" s="19" t="s">
        <v>245</v>
      </c>
      <c r="B185" s="19" t="str">
        <f>INDEX(Places[Type],MATCH(Budgets[[#This Row],[Jurisdiction]],Places[Jurisdiction],0))</f>
        <v>City</v>
      </c>
      <c r="C185" s="19" t="str">
        <f>INDEX(Places[County],MATCH(Budgets[[#This Row],[Jurisdiction]],Places[Jurisdiction],0))</f>
        <v>San Bernardino</v>
      </c>
      <c r="D185" s="21" t="str">
        <f>INDEX(Places[Majority RB],MATCH(Budgets[[#This Row],[Jurisdiction]],Places[Jurisdiction],0))</f>
        <v>Santa Ana</v>
      </c>
      <c r="E185" s="19">
        <f>INDEX(Places[Majority RB '#],MATCH(Budgets[[#This Row],[Jurisdiction]],Places[Jurisdiction],0))</f>
        <v>8</v>
      </c>
      <c r="F185" s="19" t="str">
        <f>VLOOKUP(Budgets[[#This Row],[Jurisdiction]],Places[#All],8,FALSE)</f>
        <v>Phase I MS4</v>
      </c>
      <c r="G185" s="81"/>
      <c r="H185" s="21" t="s">
        <v>1873</v>
      </c>
      <c r="I185" s="21">
        <f>VALUE(LEFT(Budgets[[#This Row],[Fiscal Year]],4))</f>
        <v>2015</v>
      </c>
      <c r="J185" s="20">
        <v>549500</v>
      </c>
      <c r="K185" s="27">
        <f>IF(Budgets[[#This Row],[Reference Year]]&gt;2018,Budgets[[#This Row],[Value]],Budgets[[#This Row],[Value]]*(1+VLOOKUP(Budgets[[#This Row],[Reference Year]],Inflation[#All],3,FALSE)))</f>
        <v>583422.93037974683</v>
      </c>
      <c r="L185" s="27">
        <f>Budgets[[#This Row],[2018 $ Value]]/VLOOKUP(Budgets[[#This Row],[Jurisdiction]],Places[],6,FALSE)</f>
        <v>10.529959397533604</v>
      </c>
      <c r="M185" s="27">
        <f>Budgets[[#This Row],[2018 $ Value]]/VLOOKUP(Budgets[[#This Row],[Jurisdiction]],Places[],7,FALSE)</f>
        <v>31033.134594667383</v>
      </c>
      <c r="N185" s="27"/>
      <c r="O185" s="27" t="s">
        <v>1460</v>
      </c>
      <c r="P185" s="4"/>
      <c r="Q185"/>
    </row>
    <row r="186" spans="1:17" x14ac:dyDescent="0.25">
      <c r="A186" s="19" t="s">
        <v>245</v>
      </c>
      <c r="B186" s="19" t="str">
        <f>INDEX(Places[Type],MATCH(Budgets[[#This Row],[Jurisdiction]],Places[Jurisdiction],0))</f>
        <v>City</v>
      </c>
      <c r="C186" s="19" t="str">
        <f>INDEX(Places[County],MATCH(Budgets[[#This Row],[Jurisdiction]],Places[Jurisdiction],0))</f>
        <v>San Bernardino</v>
      </c>
      <c r="D186" s="21" t="str">
        <f>INDEX(Places[Majority RB],MATCH(Budgets[[#This Row],[Jurisdiction]],Places[Jurisdiction],0))</f>
        <v>Santa Ana</v>
      </c>
      <c r="E186" s="19">
        <f>INDEX(Places[Majority RB '#],MATCH(Budgets[[#This Row],[Jurisdiction]],Places[Jurisdiction],0))</f>
        <v>8</v>
      </c>
      <c r="F186" s="19" t="str">
        <f>VLOOKUP(Budgets[[#This Row],[Jurisdiction]],Places[#All],8,FALSE)</f>
        <v>Phase I MS4</v>
      </c>
      <c r="G186" s="81"/>
      <c r="H186" s="21" t="s">
        <v>1869</v>
      </c>
      <c r="I186" s="21">
        <f>VALUE(LEFT(Budgets[[#This Row],[Fiscal Year]],4))</f>
        <v>2016</v>
      </c>
      <c r="J186" s="20">
        <v>596500</v>
      </c>
      <c r="K186" s="27">
        <f>IF(Budgets[[#This Row],[Reference Year]]&gt;2018,Budgets[[#This Row],[Value]],Budgets[[#This Row],[Value]]*(1+VLOOKUP(Budgets[[#This Row],[Reference Year]],Inflation[#All],3,FALSE)))</f>
        <v>625407.88125000009</v>
      </c>
      <c r="L186" s="27">
        <f>Budgets[[#This Row],[2018 $ Value]]/VLOOKUP(Budgets[[#This Row],[Jurisdiction]],Places[],6,FALSE)</f>
        <v>11.287728427426634</v>
      </c>
      <c r="M186" s="27">
        <f>Budgets[[#This Row],[2018 $ Value]]/VLOOKUP(Budgets[[#This Row],[Jurisdiction]],Places[],7,FALSE)</f>
        <v>33266.376662234048</v>
      </c>
      <c r="N186" s="27"/>
      <c r="O186" s="27" t="s">
        <v>1853</v>
      </c>
      <c r="P186" s="4"/>
      <c r="Q186"/>
    </row>
    <row r="187" spans="1:17" x14ac:dyDescent="0.25">
      <c r="A187" s="19" t="s">
        <v>274</v>
      </c>
      <c r="B187" s="19" t="str">
        <f>INDEX(Places[Type],MATCH(Budgets[[#This Row],[Jurisdiction]],Places[Jurisdiction],0))</f>
        <v>City</v>
      </c>
      <c r="C187" s="19" t="str">
        <f>INDEX(Places[County],MATCH(Budgets[[#This Row],[Jurisdiction]],Places[Jurisdiction],0))</f>
        <v>Orange</v>
      </c>
      <c r="D187" s="21" t="str">
        <f>INDEX(Places[Majority RB],MATCH(Budgets[[#This Row],[Jurisdiction]],Places[Jurisdiction],0))</f>
        <v>Santa Ana</v>
      </c>
      <c r="E187" s="19">
        <f>INDEX(Places[Majority RB '#],MATCH(Budgets[[#This Row],[Jurisdiction]],Places[Jurisdiction],0))</f>
        <v>8</v>
      </c>
      <c r="F187" s="19" t="str">
        <f>VLOOKUP(Budgets[[#This Row],[Jurisdiction]],Places[#All],8,FALSE)</f>
        <v>Phase I MS4</v>
      </c>
      <c r="G187" s="81"/>
      <c r="H187" s="21" t="s">
        <v>1875</v>
      </c>
      <c r="I187" s="21">
        <f>VALUE(LEFT(Budgets[[#This Row],[Fiscal Year]],4))</f>
        <v>2001</v>
      </c>
      <c r="J187" s="20">
        <v>7134500</v>
      </c>
      <c r="K187" s="27">
        <f>IF(Budgets[[#This Row],[Reference Year]]&gt;2018,Budgets[[#This Row],[Value]],Budgets[[#This Row],[Value]]*(1+VLOOKUP(Budgets[[#This Row],[Reference Year]],Inflation[#All],3,FALSE)))</f>
        <v>10136992.487295313</v>
      </c>
      <c r="L187" s="27">
        <f>Budgets[[#This Row],[2018 $ Value]]/VLOOKUP(Budgets[[#This Row],[Jurisdiction]],Places[],6,FALSE)</f>
        <v>50.523036105757612</v>
      </c>
      <c r="M187" s="27">
        <f>Budgets[[#This Row],[2018 $ Value]]/VLOOKUP(Budgets[[#This Row],[Jurisdiction]],Places[],7,FALSE)</f>
        <v>376839.86941618263</v>
      </c>
      <c r="N187" s="27"/>
      <c r="O187" s="27" t="s">
        <v>1460</v>
      </c>
      <c r="P187" s="4"/>
      <c r="Q187"/>
    </row>
    <row r="188" spans="1:17" x14ac:dyDescent="0.25">
      <c r="A188" s="19" t="s">
        <v>274</v>
      </c>
      <c r="B188" s="19" t="str">
        <f>INDEX(Places[Type],MATCH(Budgets[[#This Row],[Jurisdiction]],Places[Jurisdiction],0))</f>
        <v>City</v>
      </c>
      <c r="C188" s="19" t="str">
        <f>INDEX(Places[County],MATCH(Budgets[[#This Row],[Jurisdiction]],Places[Jurisdiction],0))</f>
        <v>Orange</v>
      </c>
      <c r="D188" s="21" t="str">
        <f>INDEX(Places[Majority RB],MATCH(Budgets[[#This Row],[Jurisdiction]],Places[Jurisdiction],0))</f>
        <v>Santa Ana</v>
      </c>
      <c r="E188" s="19">
        <f>INDEX(Places[Majority RB '#],MATCH(Budgets[[#This Row],[Jurisdiction]],Places[Jurisdiction],0))</f>
        <v>8</v>
      </c>
      <c r="F188" s="19" t="str">
        <f>VLOOKUP(Budgets[[#This Row],[Jurisdiction]],Places[#All],8,FALSE)</f>
        <v>Phase I MS4</v>
      </c>
      <c r="G188" s="81"/>
      <c r="H188" s="21" t="s">
        <v>1872</v>
      </c>
      <c r="I188" s="21">
        <f>VALUE(LEFT(Budgets[[#This Row],[Fiscal Year]],4))</f>
        <v>2002</v>
      </c>
      <c r="J188" s="20">
        <v>8921000</v>
      </c>
      <c r="K188" s="27">
        <f>IF(Budgets[[#This Row],[Reference Year]]&gt;2018,Budgets[[#This Row],[Value]],Budgets[[#This Row],[Value]]*(1+VLOOKUP(Budgets[[#This Row],[Reference Year]],Inflation[#All],3,FALSE)))</f>
        <v>12478044.196775986</v>
      </c>
      <c r="L188" s="27">
        <f>Budgets[[#This Row],[2018 $ Value]]/VLOOKUP(Budgets[[#This Row],[Jurisdiction]],Places[],6,FALSE)</f>
        <v>62.190899152097458</v>
      </c>
      <c r="M188" s="27">
        <f>Budgets[[#This Row],[2018 $ Value]]/VLOOKUP(Budgets[[#This Row],[Jurisdiction]],Places[],7,FALSE)</f>
        <v>463867.81400654226</v>
      </c>
      <c r="N188" s="27"/>
      <c r="O188" s="27" t="s">
        <v>1853</v>
      </c>
      <c r="P188" s="4"/>
      <c r="Q188"/>
    </row>
    <row r="189" spans="1:17" x14ac:dyDescent="0.25">
      <c r="A189" s="19" t="s">
        <v>312</v>
      </c>
      <c r="B189" s="19" t="str">
        <f>INDEX(Places[Type],MATCH(Budgets[[#This Row],[Jurisdiction]],Places[Jurisdiction],0))</f>
        <v>City</v>
      </c>
      <c r="C189" s="19" t="str">
        <f>INDEX(Places[County],MATCH(Budgets[[#This Row],[Jurisdiction]],Places[Jurisdiction],0))</f>
        <v>San Diego</v>
      </c>
      <c r="D189" s="21" t="str">
        <f>INDEX(Places[Majority RB],MATCH(Budgets[[#This Row],[Jurisdiction]],Places[Jurisdiction],0))</f>
        <v>San Diego</v>
      </c>
      <c r="E189" s="19">
        <f>INDEX(Places[Majority RB '#],MATCH(Budgets[[#This Row],[Jurisdiction]],Places[Jurisdiction],0))</f>
        <v>9</v>
      </c>
      <c r="F189" s="19" t="str">
        <f>VLOOKUP(Budgets[[#This Row],[Jurisdiction]],Places[#All],8,FALSE)</f>
        <v>Phase I MS4</v>
      </c>
      <c r="G189" s="81"/>
      <c r="H189" s="21" t="s">
        <v>1869</v>
      </c>
      <c r="I189" s="21">
        <f>VALUE(LEFT(Budgets[[#This Row],[Fiscal Year]],4))</f>
        <v>2016</v>
      </c>
      <c r="J189" s="20">
        <v>1392057</v>
      </c>
      <c r="K189" s="27">
        <f>IF(Budgets[[#This Row],[Reference Year]]&gt;2018,Budgets[[#This Row],[Value]],Budgets[[#This Row],[Value]]*(1+VLOOKUP(Budgets[[#This Row],[Reference Year]],Inflation[#All],3,FALSE)))</f>
        <v>1459519.5623625</v>
      </c>
      <c r="L189" s="27">
        <f>Budgets[[#This Row],[2018 $ Value]]/VLOOKUP(Budgets[[#This Row],[Jurisdiction]],Places[],6,FALSE)</f>
        <v>53.175923137774618</v>
      </c>
      <c r="M189" s="27">
        <f>Budgets[[#This Row],[2018 $ Value]]/VLOOKUP(Budgets[[#This Row],[Jurisdiction]],Places[],7,FALSE)</f>
        <v>347504.65770535712</v>
      </c>
      <c r="N189" s="27"/>
      <c r="O189" s="27" t="s">
        <v>1460</v>
      </c>
      <c r="P189" s="4"/>
      <c r="Q189"/>
    </row>
    <row r="190" spans="1:17" x14ac:dyDescent="0.25">
      <c r="A190" s="19" t="s">
        <v>312</v>
      </c>
      <c r="B190" s="19" t="str">
        <f>INDEX(Places[Type],MATCH(Budgets[[#This Row],[Jurisdiction]],Places[Jurisdiction],0))</f>
        <v>City</v>
      </c>
      <c r="C190" s="19" t="str">
        <f>INDEX(Places[County],MATCH(Budgets[[#This Row],[Jurisdiction]],Places[Jurisdiction],0))</f>
        <v>San Diego</v>
      </c>
      <c r="D190" s="21" t="str">
        <f>INDEX(Places[Majority RB],MATCH(Budgets[[#This Row],[Jurisdiction]],Places[Jurisdiction],0))</f>
        <v>San Diego</v>
      </c>
      <c r="E190" s="19">
        <f>INDEX(Places[Majority RB '#],MATCH(Budgets[[#This Row],[Jurisdiction]],Places[Jurisdiction],0))</f>
        <v>9</v>
      </c>
      <c r="F190" s="19" t="str">
        <f>VLOOKUP(Budgets[[#This Row],[Jurisdiction]],Places[#All],8,FALSE)</f>
        <v>Phase I MS4</v>
      </c>
      <c r="G190" s="81"/>
      <c r="H190" s="21" t="s">
        <v>1874</v>
      </c>
      <c r="I190" s="21">
        <f>VALUE(LEFT(Budgets[[#This Row],[Fiscal Year]],4))</f>
        <v>2017</v>
      </c>
      <c r="J190" s="20">
        <v>1515268</v>
      </c>
      <c r="K190" s="27">
        <f>IF(Budgets[[#This Row],[Reference Year]]&gt;2018,Budgets[[#This Row],[Value]],Budgets[[#This Row],[Value]]*(1+VLOOKUP(Budgets[[#This Row],[Reference Year]],Inflation[#All],3,FALSE)))</f>
        <v>1555644.2354467567</v>
      </c>
      <c r="L190" s="27">
        <f>Budgets[[#This Row],[2018 $ Value]]/VLOOKUP(Budgets[[#This Row],[Jurisdiction]],Places[],6,FALSE)</f>
        <v>56.678115475161462</v>
      </c>
      <c r="M190" s="27">
        <f>Budgets[[#This Row],[2018 $ Value]]/VLOOKUP(Budgets[[#This Row],[Jurisdiction]],Places[],7,FALSE)</f>
        <v>370391.48463018017</v>
      </c>
      <c r="N190" s="27"/>
      <c r="O190" s="27" t="s">
        <v>1853</v>
      </c>
      <c r="P190" s="4"/>
      <c r="Q190"/>
    </row>
    <row r="191" spans="1:17" x14ac:dyDescent="0.25">
      <c r="A191" s="19" t="s">
        <v>203</v>
      </c>
      <c r="B191" s="19" t="str">
        <f>INDEX(Places[Type],MATCH(Budgets[[#This Row],[Jurisdiction]],Places[Jurisdiction],0))</f>
        <v>City</v>
      </c>
      <c r="C191" s="19" t="str">
        <f>INDEX(Places[County],MATCH(Budgets[[#This Row],[Jurisdiction]],Places[Jurisdiction],0))</f>
        <v>Los Angeles</v>
      </c>
      <c r="D191" s="21" t="str">
        <f>INDEX(Places[Majority RB],MATCH(Budgets[[#This Row],[Jurisdiction]],Places[Jurisdiction],0))</f>
        <v>Los Angeles</v>
      </c>
      <c r="E191" s="19">
        <f>INDEX(Places[Majority RB '#],MATCH(Budgets[[#This Row],[Jurisdiction]],Places[Jurisdiction],0))</f>
        <v>4</v>
      </c>
      <c r="F191" s="19" t="str">
        <f>VLOOKUP(Budgets[[#This Row],[Jurisdiction]],Places[#All],8,FALSE)</f>
        <v>Phase I MS4</v>
      </c>
      <c r="G191" s="81"/>
      <c r="H191" s="21" t="s">
        <v>1870</v>
      </c>
      <c r="I191" s="21">
        <f>VALUE(LEFT(Budgets[[#This Row],[Fiscal Year]],4))</f>
        <v>2011</v>
      </c>
      <c r="J191" s="20">
        <v>760000</v>
      </c>
      <c r="K191" s="27">
        <f>IF(Budgets[[#This Row],[Reference Year]]&gt;2018,Budgets[[#This Row],[Value]],Budgets[[#This Row],[Value]]*(1+VLOOKUP(Budgets[[#This Row],[Reference Year]],Inflation[#All],3,FALSE)))</f>
        <v>850331.52512227662</v>
      </c>
      <c r="L191" s="27">
        <f>Budgets[[#This Row],[2018 $ Value]]/VLOOKUP(Budgets[[#This Row],[Jurisdiction]],Places[],6,FALSE)</f>
        <v>4209.5620055558247</v>
      </c>
      <c r="M191" s="27">
        <f>Budgets[[#This Row],[2018 $ Value]]/VLOOKUP(Budgets[[#This Row],[Jurisdiction]],Places[],7,FALSE)</f>
        <v>72061.993654430218</v>
      </c>
      <c r="N191" s="27"/>
      <c r="O191" s="27" t="s">
        <v>1460</v>
      </c>
      <c r="P191" s="4"/>
      <c r="Q191"/>
    </row>
    <row r="192" spans="1:17" x14ac:dyDescent="0.25">
      <c r="A192" s="19" t="s">
        <v>203</v>
      </c>
      <c r="B192" s="19" t="str">
        <f>INDEX(Places[Type],MATCH(Budgets[[#This Row],[Jurisdiction]],Places[Jurisdiction],0))</f>
        <v>City</v>
      </c>
      <c r="C192" s="19" t="str">
        <f>INDEX(Places[County],MATCH(Budgets[[#This Row],[Jurisdiction]],Places[Jurisdiction],0))</f>
        <v>Los Angeles</v>
      </c>
      <c r="D192" s="21" t="str">
        <f>INDEX(Places[Majority RB],MATCH(Budgets[[#This Row],[Jurisdiction]],Places[Jurisdiction],0))</f>
        <v>Los Angeles</v>
      </c>
      <c r="E192" s="19">
        <f>INDEX(Places[Majority RB '#],MATCH(Budgets[[#This Row],[Jurisdiction]],Places[Jurisdiction],0))</f>
        <v>4</v>
      </c>
      <c r="F192" s="19" t="str">
        <f>VLOOKUP(Budgets[[#This Row],[Jurisdiction]],Places[#All],8,FALSE)</f>
        <v>Phase I MS4</v>
      </c>
      <c r="G192" s="81"/>
      <c r="H192" s="21" t="s">
        <v>1871</v>
      </c>
      <c r="I192" s="21">
        <f>VALUE(LEFT(Budgets[[#This Row],[Fiscal Year]],4))</f>
        <v>2012</v>
      </c>
      <c r="J192" s="20">
        <v>1051000</v>
      </c>
      <c r="K192" s="27">
        <f>IF(Budgets[[#This Row],[Reference Year]]&gt;2018,Budgets[[#This Row],[Value]],Budgets[[#This Row],[Value]]*(1+VLOOKUP(Budgets[[#This Row],[Reference Year]],Inflation[#All],3,FALSE)))</f>
        <v>1151847.4782229965</v>
      </c>
      <c r="L192" s="27">
        <f>Budgets[[#This Row],[2018 $ Value]]/VLOOKUP(Budgets[[#This Row],[Jurisdiction]],Places[],6,FALSE)</f>
        <v>5702.2152387277056</v>
      </c>
      <c r="M192" s="27">
        <f>Budgets[[#This Row],[2018 $ Value]]/VLOOKUP(Budgets[[#This Row],[Jurisdiction]],Places[],7,FALSE)</f>
        <v>97614.193069745452</v>
      </c>
      <c r="N192" s="27"/>
      <c r="O192" s="27" t="s">
        <v>1460</v>
      </c>
      <c r="P192" s="4"/>
      <c r="Q192"/>
    </row>
    <row r="193" spans="1:17" x14ac:dyDescent="0.25">
      <c r="A193" s="19" t="s">
        <v>203</v>
      </c>
      <c r="B193" s="19" t="str">
        <f>INDEX(Places[Type],MATCH(Budgets[[#This Row],[Jurisdiction]],Places[Jurisdiction],0))</f>
        <v>City</v>
      </c>
      <c r="C193" s="19" t="str">
        <f>INDEX(Places[County],MATCH(Budgets[[#This Row],[Jurisdiction]],Places[Jurisdiction],0))</f>
        <v>Los Angeles</v>
      </c>
      <c r="D193" s="21" t="str">
        <f>INDEX(Places[Majority RB],MATCH(Budgets[[#This Row],[Jurisdiction]],Places[Jurisdiction],0))</f>
        <v>Los Angeles</v>
      </c>
      <c r="E193" s="19">
        <f>INDEX(Places[Majority RB '#],MATCH(Budgets[[#This Row],[Jurisdiction]],Places[Jurisdiction],0))</f>
        <v>4</v>
      </c>
      <c r="F193" s="19" t="str">
        <f>VLOOKUP(Budgets[[#This Row],[Jurisdiction]],Places[#All],8,FALSE)</f>
        <v>Phase I MS4</v>
      </c>
      <c r="G193" s="81"/>
      <c r="H193" s="21" t="s">
        <v>1869</v>
      </c>
      <c r="I193" s="21">
        <f>VALUE(LEFT(Budgets[[#This Row],[Fiscal Year]],4))</f>
        <v>2016</v>
      </c>
      <c r="J193" s="20">
        <v>7372807</v>
      </c>
      <c r="K193" s="27">
        <f>IF(Budgets[[#This Row],[Reference Year]]&gt;2018,Budgets[[#This Row],[Value]],Budgets[[#This Row],[Value]]*(1+VLOOKUP(Budgets[[#This Row],[Reference Year]],Inflation[#All],3,FALSE)))</f>
        <v>7730111.6592375003</v>
      </c>
      <c r="L193" s="27">
        <f>Budgets[[#This Row],[2018 $ Value]]/VLOOKUP(Budgets[[#This Row],[Jurisdiction]],Places[],6,FALSE)</f>
        <v>38267.879501175747</v>
      </c>
      <c r="M193" s="27">
        <f>Budgets[[#This Row],[2018 $ Value]]/VLOOKUP(Budgets[[#This Row],[Jurisdiction]],Places[],7,FALSE)</f>
        <v>655094.20840995759</v>
      </c>
      <c r="N193" s="27"/>
      <c r="O193" s="27" t="s">
        <v>1853</v>
      </c>
      <c r="P193" s="4"/>
      <c r="Q193"/>
    </row>
    <row r="194" spans="1:17" x14ac:dyDescent="0.25">
      <c r="A194" s="19" t="s">
        <v>223</v>
      </c>
      <c r="B194" s="19" t="str">
        <f>INDEX(Places[Type],MATCH(Budgets[[#This Row],[Jurisdiction]],Places[Jurisdiction],0))</f>
        <v>City</v>
      </c>
      <c r="C194" s="19" t="str">
        <f>INDEX(Places[County],MATCH(Budgets[[#This Row],[Jurisdiction]],Places[Jurisdiction],0))</f>
        <v>Los Angeles</v>
      </c>
      <c r="D194" s="21" t="str">
        <f>INDEX(Places[Majority RB],MATCH(Budgets[[#This Row],[Jurisdiction]],Places[Jurisdiction],0))</f>
        <v>Los Angeles</v>
      </c>
      <c r="E194" s="19">
        <f>INDEX(Places[Majority RB '#],MATCH(Budgets[[#This Row],[Jurisdiction]],Places[Jurisdiction],0))</f>
        <v>4</v>
      </c>
      <c r="F194" s="19" t="str">
        <f>VLOOKUP(Budgets[[#This Row],[Jurisdiction]],Places[#All],8,FALSE)</f>
        <v>Phase I MS4</v>
      </c>
      <c r="G194" s="81"/>
      <c r="H194" s="21" t="s">
        <v>1870</v>
      </c>
      <c r="I194" s="21">
        <f>VALUE(LEFT(Budgets[[#This Row],[Fiscal Year]],4))</f>
        <v>2011</v>
      </c>
      <c r="J194" s="20">
        <v>12512384</v>
      </c>
      <c r="K194" s="27">
        <f>IF(Budgets[[#This Row],[Reference Year]]&gt;2018,Budgets[[#This Row],[Value]],Budgets[[#This Row],[Value]]*(1+VLOOKUP(Budgets[[#This Row],[Reference Year]],Inflation[#All],3,FALSE)))</f>
        <v>13999571.802152067</v>
      </c>
      <c r="L194" s="27">
        <f>Budgets[[#This Row],[2018 $ Value]]/VLOOKUP(Budgets[[#This Row],[Jurisdiction]],Places[],6,FALSE)</f>
        <v>127.94461475751073</v>
      </c>
      <c r="M194" s="27">
        <f>Budgets[[#This Row],[2018 $ Value]]/VLOOKUP(Budgets[[#This Row],[Jurisdiction]],Places[],7,FALSE)</f>
        <v>1538414.4837529745</v>
      </c>
      <c r="N194" s="27"/>
      <c r="O194" s="27" t="s">
        <v>1460</v>
      </c>
      <c r="P194" s="4"/>
      <c r="Q194"/>
    </row>
    <row r="195" spans="1:17" x14ac:dyDescent="0.25">
      <c r="A195" s="19" t="s">
        <v>223</v>
      </c>
      <c r="B195" s="19" t="str">
        <f>INDEX(Places[Type],MATCH(Budgets[[#This Row],[Jurisdiction]],Places[Jurisdiction],0))</f>
        <v>City</v>
      </c>
      <c r="C195" s="19" t="str">
        <f>INDEX(Places[County],MATCH(Budgets[[#This Row],[Jurisdiction]],Places[Jurisdiction],0))</f>
        <v>Los Angeles</v>
      </c>
      <c r="D195" s="21" t="str">
        <f>INDEX(Places[Majority RB],MATCH(Budgets[[#This Row],[Jurisdiction]],Places[Jurisdiction],0))</f>
        <v>Los Angeles</v>
      </c>
      <c r="E195" s="19">
        <f>INDEX(Places[Majority RB '#],MATCH(Budgets[[#This Row],[Jurisdiction]],Places[Jurisdiction],0))</f>
        <v>4</v>
      </c>
      <c r="F195" s="19" t="str">
        <f>VLOOKUP(Budgets[[#This Row],[Jurisdiction]],Places[#All],8,FALSE)</f>
        <v>Phase I MS4</v>
      </c>
      <c r="G195" s="81"/>
      <c r="H195" s="21" t="s">
        <v>1871</v>
      </c>
      <c r="I195" s="21">
        <f>VALUE(LEFT(Budgets[[#This Row],[Fiscal Year]],4))</f>
        <v>2012</v>
      </c>
      <c r="J195" s="20">
        <v>15416352</v>
      </c>
      <c r="K195" s="27">
        <f>IF(Budgets[[#This Row],[Reference Year]]&gt;2018,Budgets[[#This Row],[Value]],Budgets[[#This Row],[Value]]*(1+VLOOKUP(Budgets[[#This Row],[Reference Year]],Inflation[#All],3,FALSE)))</f>
        <v>16895610.061463416</v>
      </c>
      <c r="L195" s="27">
        <f>Budgets[[#This Row],[2018 $ Value]]/VLOOKUP(Budgets[[#This Row],[Jurisdiction]],Places[],6,FALSE)</f>
        <v>154.41203137904216</v>
      </c>
      <c r="M195" s="27">
        <f>Budgets[[#This Row],[2018 $ Value]]/VLOOKUP(Budgets[[#This Row],[Jurisdiction]],Places[],7,FALSE)</f>
        <v>1856660.4463146611</v>
      </c>
      <c r="N195" s="27"/>
      <c r="O195" s="27" t="s">
        <v>1460</v>
      </c>
      <c r="P195" s="4"/>
      <c r="Q195"/>
    </row>
    <row r="196" spans="1:17" x14ac:dyDescent="0.25">
      <c r="A196" s="19" t="s">
        <v>223</v>
      </c>
      <c r="B196" s="19" t="str">
        <f>INDEX(Places[Type],MATCH(Budgets[[#This Row],[Jurisdiction]],Places[Jurisdiction],0))</f>
        <v>City</v>
      </c>
      <c r="C196" s="19" t="str">
        <f>INDEX(Places[County],MATCH(Budgets[[#This Row],[Jurisdiction]],Places[Jurisdiction],0))</f>
        <v>Los Angeles</v>
      </c>
      <c r="D196" s="21" t="str">
        <f>INDEX(Places[Majority RB],MATCH(Budgets[[#This Row],[Jurisdiction]],Places[Jurisdiction],0))</f>
        <v>Los Angeles</v>
      </c>
      <c r="E196" s="19">
        <f>INDEX(Places[Majority RB '#],MATCH(Budgets[[#This Row],[Jurisdiction]],Places[Jurisdiction],0))</f>
        <v>4</v>
      </c>
      <c r="F196" s="19" t="str">
        <f>VLOOKUP(Budgets[[#This Row],[Jurisdiction]],Places[#All],8,FALSE)</f>
        <v>Phase I MS4</v>
      </c>
      <c r="G196" s="81"/>
      <c r="H196" s="21" t="s">
        <v>1869</v>
      </c>
      <c r="I196" s="21">
        <f>VALUE(LEFT(Budgets[[#This Row],[Fiscal Year]],4))</f>
        <v>2016</v>
      </c>
      <c r="J196" s="20">
        <v>3200100</v>
      </c>
      <c r="K196" s="27">
        <f>IF(Budgets[[#This Row],[Reference Year]]&gt;2018,Budgets[[#This Row],[Value]],Budgets[[#This Row],[Value]]*(1+VLOOKUP(Budgets[[#This Row],[Reference Year]],Inflation[#All],3,FALSE)))</f>
        <v>3355184.8462500004</v>
      </c>
      <c r="L196" s="27">
        <f>Budgets[[#This Row],[2018 $ Value]]/VLOOKUP(Budgets[[#This Row],[Jurisdiction]],Places[],6,FALSE)</f>
        <v>30.663640192745323</v>
      </c>
      <c r="M196" s="27">
        <f>Budgets[[#This Row],[2018 $ Value]]/VLOOKUP(Budgets[[#This Row],[Jurisdiction]],Places[],7,FALSE)</f>
        <v>368701.63145604404</v>
      </c>
      <c r="N196" s="27"/>
      <c r="O196" s="27" t="s">
        <v>1853</v>
      </c>
      <c r="P196" s="4"/>
      <c r="Q196"/>
    </row>
    <row r="197" spans="1:17" x14ac:dyDescent="0.25">
      <c r="A197" s="19" t="s">
        <v>275</v>
      </c>
      <c r="B197" s="19" t="str">
        <f>INDEX(Places[Type],MATCH(Budgets[[#This Row],[Jurisdiction]],Places[Jurisdiction],0))</f>
        <v>City</v>
      </c>
      <c r="C197" s="19" t="str">
        <f>INDEX(Places[County],MATCH(Budgets[[#This Row],[Jurisdiction]],Places[Jurisdiction],0))</f>
        <v>Orange</v>
      </c>
      <c r="D197" s="21" t="str">
        <f>INDEX(Places[Majority RB],MATCH(Budgets[[#This Row],[Jurisdiction]],Places[Jurisdiction],0))</f>
        <v>Santa Ana</v>
      </c>
      <c r="E197" s="19">
        <f>INDEX(Places[Majority RB '#],MATCH(Budgets[[#This Row],[Jurisdiction]],Places[Jurisdiction],0))</f>
        <v>8</v>
      </c>
      <c r="F197" s="19" t="str">
        <f>VLOOKUP(Budgets[[#This Row],[Jurisdiction]],Places[#All],8,FALSE)</f>
        <v>Phase I MS4</v>
      </c>
      <c r="G197" s="81"/>
      <c r="H197" s="21" t="s">
        <v>1875</v>
      </c>
      <c r="I197" s="21">
        <f>VALUE(LEFT(Budgets[[#This Row],[Fiscal Year]],4))</f>
        <v>2001</v>
      </c>
      <c r="J197" s="20">
        <v>1540448</v>
      </c>
      <c r="K197" s="27">
        <f>IF(Budgets[[#This Row],[Reference Year]]&gt;2018,Budgets[[#This Row],[Value]],Budgets[[#This Row],[Value]]*(1+VLOOKUP(Budgets[[#This Row],[Reference Year]],Inflation[#All],3,FALSE)))</f>
        <v>2188732.189090909</v>
      </c>
      <c r="L197" s="27">
        <f>Budgets[[#This Row],[2018 $ Value]]/VLOOKUP(Budgets[[#This Row],[Jurisdiction]],Places[],6,FALSE)</f>
        <v>7.745750424992246</v>
      </c>
      <c r="M197" s="27">
        <f>Budgets[[#This Row],[2018 $ Value]]/VLOOKUP(Budgets[[#This Row],[Jurisdiction]],Places[],7,FALSE)</f>
        <v>33364.8199556541</v>
      </c>
      <c r="N197" s="27"/>
      <c r="O197" s="27" t="s">
        <v>1460</v>
      </c>
      <c r="P197" s="4"/>
      <c r="Q197"/>
    </row>
    <row r="198" spans="1:17" x14ac:dyDescent="0.25">
      <c r="A198" s="19" t="s">
        <v>275</v>
      </c>
      <c r="B198" s="19" t="str">
        <f>INDEX(Places[Type],MATCH(Budgets[[#This Row],[Jurisdiction]],Places[Jurisdiction],0))</f>
        <v>City</v>
      </c>
      <c r="C198" s="19" t="str">
        <f>INDEX(Places[County],MATCH(Budgets[[#This Row],[Jurisdiction]],Places[Jurisdiction],0))</f>
        <v>Orange</v>
      </c>
      <c r="D198" s="21" t="str">
        <f>INDEX(Places[Majority RB],MATCH(Budgets[[#This Row],[Jurisdiction]],Places[Jurisdiction],0))</f>
        <v>Santa Ana</v>
      </c>
      <c r="E198" s="19">
        <f>INDEX(Places[Majority RB '#],MATCH(Budgets[[#This Row],[Jurisdiction]],Places[Jurisdiction],0))</f>
        <v>8</v>
      </c>
      <c r="F198" s="19" t="str">
        <f>VLOOKUP(Budgets[[#This Row],[Jurisdiction]],Places[#All],8,FALSE)</f>
        <v>Phase I MS4</v>
      </c>
      <c r="G198" s="81"/>
      <c r="H198" s="21" t="s">
        <v>1872</v>
      </c>
      <c r="I198" s="21">
        <f>VALUE(LEFT(Budgets[[#This Row],[Fiscal Year]],4))</f>
        <v>2002</v>
      </c>
      <c r="J198" s="20">
        <v>2850154</v>
      </c>
      <c r="K198" s="27">
        <f>IF(Budgets[[#This Row],[Reference Year]]&gt;2018,Budgets[[#This Row],[Value]],Budgets[[#This Row],[Value]]*(1+VLOOKUP(Budgets[[#This Row],[Reference Year]],Inflation[#All],3,FALSE)))</f>
        <v>3986587.5551639795</v>
      </c>
      <c r="L198" s="27">
        <f>Budgets[[#This Row],[2018 $ Value]]/VLOOKUP(Budgets[[#This Row],[Jurisdiction]],Places[],6,FALSE)</f>
        <v>14.108218631584091</v>
      </c>
      <c r="M198" s="27">
        <f>Budgets[[#This Row],[2018 $ Value]]/VLOOKUP(Budgets[[#This Row],[Jurisdiction]],Places[],7,FALSE)</f>
        <v>60771.151755548475</v>
      </c>
      <c r="N198" s="27"/>
      <c r="O198" s="27" t="s">
        <v>1853</v>
      </c>
      <c r="P198" s="4"/>
      <c r="Q198"/>
    </row>
    <row r="199" spans="1:17" x14ac:dyDescent="0.25">
      <c r="A199" s="19" t="s">
        <v>156</v>
      </c>
      <c r="B199" s="19" t="str">
        <f>INDEX(Places[Type],MATCH(Budgets[[#This Row],[Jurisdiction]],Places[Jurisdiction],0))</f>
        <v>City</v>
      </c>
      <c r="C199" s="19" t="str">
        <f>INDEX(Places[County],MATCH(Budgets[[#This Row],[Jurisdiction]],Places[Jurisdiction],0))</f>
        <v>Los Angeles</v>
      </c>
      <c r="D199" s="21" t="str">
        <f>INDEX(Places[Majority RB],MATCH(Budgets[[#This Row],[Jurisdiction]],Places[Jurisdiction],0))</f>
        <v>Los Angeles</v>
      </c>
      <c r="E199" s="19">
        <f>INDEX(Places[Majority RB '#],MATCH(Budgets[[#This Row],[Jurisdiction]],Places[Jurisdiction],0))</f>
        <v>4</v>
      </c>
      <c r="F199" s="19" t="str">
        <f>VLOOKUP(Budgets[[#This Row],[Jurisdiction]],Places[#All],8,FALSE)</f>
        <v>Phase I MS4</v>
      </c>
      <c r="G199" s="81"/>
      <c r="H199" s="100" t="s">
        <v>1870</v>
      </c>
      <c r="I199" s="21">
        <f>VALUE(LEFT(Budgets[[#This Row],[Fiscal Year]],4))</f>
        <v>2011</v>
      </c>
      <c r="J199" s="20">
        <v>266000</v>
      </c>
      <c r="K199" s="27">
        <f>IF(Budgets[[#This Row],[Reference Year]]&gt;2018,Budgets[[#This Row],[Value]],Budgets[[#This Row],[Value]]*(1+VLOOKUP(Budgets[[#This Row],[Reference Year]],Inflation[#All],3,FALSE)))</f>
        <v>297616.03379279684</v>
      </c>
      <c r="L199" s="27">
        <f>Budgets[[#This Row],[2018 $ Value]]/VLOOKUP(Budgets[[#This Row],[Jurisdiction]],Places[],6,FALSE)</f>
        <v>203.42859452686045</v>
      </c>
      <c r="M199" s="27">
        <f>Budgets[[#This Row],[2018 $ Value]]/VLOOKUP(Budgets[[#This Row],[Jurisdiction]],Places[],7,FALSE)</f>
        <v>33820.003840090547</v>
      </c>
      <c r="N199" s="27"/>
      <c r="O199" s="27" t="s">
        <v>1460</v>
      </c>
      <c r="P199" s="4"/>
      <c r="Q199"/>
    </row>
    <row r="200" spans="1:17" x14ac:dyDescent="0.25">
      <c r="A200" s="19" t="s">
        <v>156</v>
      </c>
      <c r="B200" s="19" t="str">
        <f>INDEX(Places[Type],MATCH(Budgets[[#This Row],[Jurisdiction]],Places[Jurisdiction],0))</f>
        <v>City</v>
      </c>
      <c r="C200" s="19" t="str">
        <f>INDEX(Places[County],MATCH(Budgets[[#This Row],[Jurisdiction]],Places[Jurisdiction],0))</f>
        <v>Los Angeles</v>
      </c>
      <c r="D200" s="21" t="str">
        <f>INDEX(Places[Majority RB],MATCH(Budgets[[#This Row],[Jurisdiction]],Places[Jurisdiction],0))</f>
        <v>Los Angeles</v>
      </c>
      <c r="E200" s="19">
        <f>INDEX(Places[Majority RB '#],MATCH(Budgets[[#This Row],[Jurisdiction]],Places[Jurisdiction],0))</f>
        <v>4</v>
      </c>
      <c r="F200" s="19" t="str">
        <f>VLOOKUP(Budgets[[#This Row],[Jurisdiction]],Places[#All],8,FALSE)</f>
        <v>Phase I MS4</v>
      </c>
      <c r="G200" s="81"/>
      <c r="H200" s="100" t="s">
        <v>1871</v>
      </c>
      <c r="I200" s="21">
        <f>VALUE(LEFT(Budgets[[#This Row],[Fiscal Year]],4))</f>
        <v>2012</v>
      </c>
      <c r="J200" s="20">
        <v>266000</v>
      </c>
      <c r="K200" s="27">
        <f>IF(Budgets[[#This Row],[Reference Year]]&gt;2018,Budgets[[#This Row],[Value]],Budgets[[#This Row],[Value]]*(1+VLOOKUP(Budgets[[#This Row],[Reference Year]],Inflation[#All],3,FALSE)))</f>
        <v>291523.71951219515</v>
      </c>
      <c r="L200" s="27">
        <f>Budgets[[#This Row],[2018 $ Value]]/VLOOKUP(Budgets[[#This Row],[Jurisdiction]],Places[],6,FALSE)</f>
        <v>199.26433322774787</v>
      </c>
      <c r="M200" s="27">
        <f>Budgets[[#This Row],[2018 $ Value]]/VLOOKUP(Budgets[[#This Row],[Jurisdiction]],Places[],7,FALSE)</f>
        <v>33127.695399113079</v>
      </c>
      <c r="N200" s="27"/>
      <c r="O200" s="27" t="s">
        <v>1460</v>
      </c>
      <c r="P200" s="4"/>
      <c r="Q200"/>
    </row>
    <row r="201" spans="1:17" x14ac:dyDescent="0.25">
      <c r="A201" s="19" t="s">
        <v>156</v>
      </c>
      <c r="B201" s="19" t="str">
        <f>INDEX(Places[Type],MATCH(Budgets[[#This Row],[Jurisdiction]],Places[Jurisdiction],0))</f>
        <v>City</v>
      </c>
      <c r="C201" s="19" t="str">
        <f>INDEX(Places[County],MATCH(Budgets[[#This Row],[Jurisdiction]],Places[Jurisdiction],0))</f>
        <v>Los Angeles</v>
      </c>
      <c r="D201" s="21" t="str">
        <f>INDEX(Places[Majority RB],MATCH(Budgets[[#This Row],[Jurisdiction]],Places[Jurisdiction],0))</f>
        <v>Los Angeles</v>
      </c>
      <c r="E201" s="19">
        <f>INDEX(Places[Majority RB '#],MATCH(Budgets[[#This Row],[Jurisdiction]],Places[Jurisdiction],0))</f>
        <v>4</v>
      </c>
      <c r="F201" s="19" t="str">
        <f>VLOOKUP(Budgets[[#This Row],[Jurisdiction]],Places[#All],8,FALSE)</f>
        <v>Phase I MS4</v>
      </c>
      <c r="G201" s="81"/>
      <c r="H201" s="100" t="s">
        <v>1869</v>
      </c>
      <c r="I201" s="21">
        <f>VALUE(LEFT(Budgets[[#This Row],[Fiscal Year]],4))</f>
        <v>2016</v>
      </c>
      <c r="J201" s="20">
        <v>702336.5</v>
      </c>
      <c r="K201" s="27">
        <f>IF(Budgets[[#This Row],[Reference Year]]&gt;2018,Budgets[[#This Row],[Value]],Budgets[[#This Row],[Value]]*(1+VLOOKUP(Budgets[[#This Row],[Reference Year]],Inflation[#All],3,FALSE)))</f>
        <v>736373.48263125005</v>
      </c>
      <c r="L201" s="27">
        <f>Budgets[[#This Row],[2018 $ Value]]/VLOOKUP(Budgets[[#This Row],[Jurisdiction]],Places[],6,FALSE)</f>
        <v>503.33115695915927</v>
      </c>
      <c r="M201" s="27">
        <f>Budgets[[#This Row],[2018 $ Value]]/VLOOKUP(Budgets[[#This Row],[Jurisdiction]],Places[],7,FALSE)</f>
        <v>83678.804844460232</v>
      </c>
      <c r="N201" s="27"/>
      <c r="O201" s="27" t="s">
        <v>1853</v>
      </c>
      <c r="P201" s="4"/>
      <c r="Q201"/>
    </row>
    <row r="202" spans="1:17" x14ac:dyDescent="0.25">
      <c r="A202" s="19" t="s">
        <v>233</v>
      </c>
      <c r="B202" s="19" t="str">
        <f>INDEX(Places[Type],MATCH(Budgets[[#This Row],[Jurisdiction]],Places[Jurisdiction],0))</f>
        <v>City</v>
      </c>
      <c r="C202" s="19" t="str">
        <f>INDEX(Places[County],MATCH(Budgets[[#This Row],[Jurisdiction]],Places[Jurisdiction],0))</f>
        <v>Riverside</v>
      </c>
      <c r="D202" s="21" t="str">
        <f>INDEX(Places[Majority RB],MATCH(Budgets[[#This Row],[Jurisdiction]],Places[Jurisdiction],0))</f>
        <v>Santa Ana</v>
      </c>
      <c r="E202" s="19">
        <f>INDEX(Places[Majority RB '#],MATCH(Budgets[[#This Row],[Jurisdiction]],Places[Jurisdiction],0))</f>
        <v>8</v>
      </c>
      <c r="F202" s="19" t="str">
        <f>VLOOKUP(Budgets[[#This Row],[Jurisdiction]],Places[#All],8,FALSE)</f>
        <v>Phase I MS4</v>
      </c>
      <c r="G202" s="81"/>
      <c r="H202" s="21" t="s">
        <v>1869</v>
      </c>
      <c r="I202" s="21">
        <f>VALUE(LEFT(Budgets[[#This Row],[Fiscal Year]],4))</f>
        <v>2016</v>
      </c>
      <c r="J202" s="20">
        <v>344422</v>
      </c>
      <c r="K202" s="27">
        <f>IF(Budgets[[#This Row],[Reference Year]]&gt;2018,Budgets[[#This Row],[Value]],Budgets[[#This Row],[Value]]*(1+VLOOKUP(Budgets[[#This Row],[Reference Year]],Inflation[#All],3,FALSE)))</f>
        <v>361113.55117500003</v>
      </c>
      <c r="L202" s="27">
        <f>Budgets[[#This Row],[2018 $ Value]]/VLOOKUP(Budgets[[#This Row],[Jurisdiction]],Places[],6,FALSE)</f>
        <v>3.3315209577648006</v>
      </c>
      <c r="M202" s="27">
        <f>Budgets[[#This Row],[2018 $ Value]]/VLOOKUP(Budgets[[#This Row],[Jurisdiction]],Places[],7,FALSE)</f>
        <v>8417.5652954545458</v>
      </c>
      <c r="N202" s="27"/>
      <c r="O202" s="27" t="s">
        <v>1853</v>
      </c>
      <c r="P202" s="4"/>
      <c r="Q202"/>
    </row>
    <row r="203" spans="1:17" x14ac:dyDescent="0.25">
      <c r="A203" s="19" t="s">
        <v>190</v>
      </c>
      <c r="B203" s="19" t="str">
        <f>INDEX(Places[Type],MATCH(Budgets[[#This Row],[Jurisdiction]],Places[Jurisdiction],0))</f>
        <v>City</v>
      </c>
      <c r="C203" s="19" t="str">
        <f>INDEX(Places[County],MATCH(Budgets[[#This Row],[Jurisdiction]],Places[Jurisdiction],0))</f>
        <v>Los Angeles</v>
      </c>
      <c r="D203" s="21" t="str">
        <f>INDEX(Places[Majority RB],MATCH(Budgets[[#This Row],[Jurisdiction]],Places[Jurisdiction],0))</f>
        <v>Los Angeles</v>
      </c>
      <c r="E203" s="19">
        <f>INDEX(Places[Majority RB '#],MATCH(Budgets[[#This Row],[Jurisdiction]],Places[Jurisdiction],0))</f>
        <v>4</v>
      </c>
      <c r="F203" s="19" t="str">
        <f>VLOOKUP(Budgets[[#This Row],[Jurisdiction]],Places[#All],8,FALSE)</f>
        <v>Phase I MS4</v>
      </c>
      <c r="G203" s="81"/>
      <c r="H203" s="21" t="s">
        <v>1870</v>
      </c>
      <c r="I203" s="21">
        <f>VALUE(LEFT(Budgets[[#This Row],[Fiscal Year]],4))</f>
        <v>2011</v>
      </c>
      <c r="J203" s="20">
        <v>420750</v>
      </c>
      <c r="K203" s="27">
        <f>IF(Budgets[[#This Row],[Reference Year]]&gt;2018,Budgets[[#This Row],[Value]],Budgets[[#This Row],[Value]]*(1+VLOOKUP(Budgets[[#This Row],[Reference Year]],Inflation[#All],3,FALSE)))</f>
        <v>470759.19630947092</v>
      </c>
      <c r="L203" s="27">
        <f>Budgets[[#This Row],[2018 $ Value]]/VLOOKUP(Budgets[[#This Row],[Jurisdiction]],Places[],6,FALSE)</f>
        <v>23.273802160946801</v>
      </c>
      <c r="M203" s="27">
        <f>Budgets[[#This Row],[2018 $ Value]]/VLOOKUP(Budgets[[#This Row],[Jurisdiction]],Places[],7,FALSE)</f>
        <v>54739.441431333827</v>
      </c>
      <c r="N203" s="27"/>
      <c r="O203" s="27" t="s">
        <v>1460</v>
      </c>
      <c r="P203" s="4"/>
      <c r="Q203"/>
    </row>
    <row r="204" spans="1:17" x14ac:dyDescent="0.25">
      <c r="A204" s="19" t="s">
        <v>190</v>
      </c>
      <c r="B204" s="19" t="str">
        <f>INDEX(Places[Type],MATCH(Budgets[[#This Row],[Jurisdiction]],Places[Jurisdiction],0))</f>
        <v>City</v>
      </c>
      <c r="C204" s="19" t="str">
        <f>INDEX(Places[County],MATCH(Budgets[[#This Row],[Jurisdiction]],Places[Jurisdiction],0))</f>
        <v>Los Angeles</v>
      </c>
      <c r="D204" s="21" t="str">
        <f>INDEX(Places[Majority RB],MATCH(Budgets[[#This Row],[Jurisdiction]],Places[Jurisdiction],0))</f>
        <v>Los Angeles</v>
      </c>
      <c r="E204" s="19">
        <f>INDEX(Places[Majority RB '#],MATCH(Budgets[[#This Row],[Jurisdiction]],Places[Jurisdiction],0))</f>
        <v>4</v>
      </c>
      <c r="F204" s="19" t="str">
        <f>VLOOKUP(Budgets[[#This Row],[Jurisdiction]],Places[#All],8,FALSE)</f>
        <v>Phase I MS4</v>
      </c>
      <c r="G204" s="81"/>
      <c r="H204" s="21" t="s">
        <v>1871</v>
      </c>
      <c r="I204" s="21">
        <f>VALUE(LEFT(Budgets[[#This Row],[Fiscal Year]],4))</f>
        <v>2012</v>
      </c>
      <c r="J204" s="20">
        <v>798750</v>
      </c>
      <c r="K204" s="27">
        <f>IF(Budgets[[#This Row],[Reference Year]]&gt;2018,Budgets[[#This Row],[Value]],Budgets[[#This Row],[Value]]*(1+VLOOKUP(Budgets[[#This Row],[Reference Year]],Inflation[#All],3,FALSE)))</f>
        <v>875393.1239111498</v>
      </c>
      <c r="L204" s="27">
        <f>Budgets[[#This Row],[2018 $ Value]]/VLOOKUP(Budgets[[#This Row],[Jurisdiction]],Places[],6,FALSE)</f>
        <v>43.278445835326536</v>
      </c>
      <c r="M204" s="27">
        <f>Budgets[[#This Row],[2018 $ Value]]/VLOOKUP(Budgets[[#This Row],[Jurisdiction]],Places[],7,FALSE)</f>
        <v>101789.89812920347</v>
      </c>
      <c r="N204" s="27"/>
      <c r="O204" s="27" t="s">
        <v>1460</v>
      </c>
      <c r="P204" s="4"/>
      <c r="Q204"/>
    </row>
    <row r="205" spans="1:17" x14ac:dyDescent="0.25">
      <c r="A205" s="19" t="s">
        <v>190</v>
      </c>
      <c r="B205" s="19" t="str">
        <f>INDEX(Places[Type],MATCH(Budgets[[#This Row],[Jurisdiction]],Places[Jurisdiction],0))</f>
        <v>City</v>
      </c>
      <c r="C205" s="19" t="str">
        <f>INDEX(Places[County],MATCH(Budgets[[#This Row],[Jurisdiction]],Places[Jurisdiction],0))</f>
        <v>Los Angeles</v>
      </c>
      <c r="D205" s="21" t="str">
        <f>INDEX(Places[Majority RB],MATCH(Budgets[[#This Row],[Jurisdiction]],Places[Jurisdiction],0))</f>
        <v>Los Angeles</v>
      </c>
      <c r="E205" s="19">
        <f>INDEX(Places[Majority RB '#],MATCH(Budgets[[#This Row],[Jurisdiction]],Places[Jurisdiction],0))</f>
        <v>4</v>
      </c>
      <c r="F205" s="19" t="str">
        <f>VLOOKUP(Budgets[[#This Row],[Jurisdiction]],Places[#All],8,FALSE)</f>
        <v>Phase I MS4</v>
      </c>
      <c r="G205" s="81"/>
      <c r="H205" s="21" t="s">
        <v>1869</v>
      </c>
      <c r="I205" s="21">
        <f>VALUE(LEFT(Budgets[[#This Row],[Fiscal Year]],4))</f>
        <v>2016</v>
      </c>
      <c r="J205" s="20">
        <v>441494</v>
      </c>
      <c r="K205" s="27">
        <f>IF(Budgets[[#This Row],[Reference Year]]&gt;2018,Budgets[[#This Row],[Value]],Budgets[[#This Row],[Value]]*(1+VLOOKUP(Budgets[[#This Row],[Reference Year]],Inflation[#All],3,FALSE)))</f>
        <v>462889.90297500003</v>
      </c>
      <c r="L205" s="27">
        <f>Budgets[[#This Row],[2018 $ Value]]/VLOOKUP(Budgets[[#This Row],[Jurisdiction]],Places[],6,FALSE)</f>
        <v>22.884753199930788</v>
      </c>
      <c r="M205" s="27">
        <f>Budgets[[#This Row],[2018 $ Value]]/VLOOKUP(Budgets[[#This Row],[Jurisdiction]],Places[],7,FALSE)</f>
        <v>53824.407322674422</v>
      </c>
      <c r="N205" s="27"/>
      <c r="O205" s="27" t="s">
        <v>1853</v>
      </c>
      <c r="P205" s="4"/>
      <c r="Q205"/>
    </row>
    <row r="206" spans="1:17" x14ac:dyDescent="0.25">
      <c r="A206" s="19" t="s">
        <v>276</v>
      </c>
      <c r="B206" s="19" t="str">
        <f>INDEX(Places[Type],MATCH(Budgets[[#This Row],[Jurisdiction]],Places[Jurisdiction],0))</f>
        <v>City</v>
      </c>
      <c r="C206" s="19" t="str">
        <f>INDEX(Places[County],MATCH(Budgets[[#This Row],[Jurisdiction]],Places[Jurisdiction],0))</f>
        <v>Orange</v>
      </c>
      <c r="D206" s="21" t="str">
        <f>INDEX(Places[Majority RB],MATCH(Budgets[[#This Row],[Jurisdiction]],Places[Jurisdiction],0))</f>
        <v>Santa Ana</v>
      </c>
      <c r="E206" s="19">
        <f>INDEX(Places[Majority RB '#],MATCH(Budgets[[#This Row],[Jurisdiction]],Places[Jurisdiction],0))</f>
        <v>8</v>
      </c>
      <c r="F206" s="19" t="str">
        <f>VLOOKUP(Budgets[[#This Row],[Jurisdiction]],Places[#All],8,FALSE)</f>
        <v>Phase I MS4</v>
      </c>
      <c r="G206" s="81"/>
      <c r="H206" s="21" t="s">
        <v>1875</v>
      </c>
      <c r="I206" s="21">
        <f>VALUE(LEFT(Budgets[[#This Row],[Fiscal Year]],4))</f>
        <v>2001</v>
      </c>
      <c r="J206" s="20">
        <v>3492600</v>
      </c>
      <c r="K206" s="27">
        <f>IF(Budgets[[#This Row],[Reference Year]]&gt;2018,Budgets[[#This Row],[Value]],Budgets[[#This Row],[Value]]*(1+VLOOKUP(Budgets[[#This Row],[Reference Year]],Inflation[#All],3,FALSE)))</f>
        <v>4962430.4381705252</v>
      </c>
      <c r="L206" s="27">
        <f>Budgets[[#This Row],[2018 $ Value]]/VLOOKUP(Budgets[[#This Row],[Jurisdiction]],Places[],6,FALSE)</f>
        <v>79.803651129255996</v>
      </c>
      <c r="M206" s="27">
        <f>Budgets[[#This Row],[2018 $ Value]]/VLOOKUP(Budgets[[#This Row],[Jurisdiction]],Places[],7,FALSE)</f>
        <v>670598.70786088181</v>
      </c>
      <c r="N206" s="27"/>
      <c r="O206" s="27" t="s">
        <v>1460</v>
      </c>
      <c r="P206" s="4"/>
      <c r="Q206"/>
    </row>
    <row r="207" spans="1:17" x14ac:dyDescent="0.25">
      <c r="A207" s="19" t="s">
        <v>276</v>
      </c>
      <c r="B207" s="19" t="str">
        <f>INDEX(Places[Type],MATCH(Budgets[[#This Row],[Jurisdiction]],Places[Jurisdiction],0))</f>
        <v>City</v>
      </c>
      <c r="C207" s="19" t="str">
        <f>INDEX(Places[County],MATCH(Budgets[[#This Row],[Jurisdiction]],Places[Jurisdiction],0))</f>
        <v>Orange</v>
      </c>
      <c r="D207" s="21" t="str">
        <f>INDEX(Places[Majority RB],MATCH(Budgets[[#This Row],[Jurisdiction]],Places[Jurisdiction],0))</f>
        <v>Santa Ana</v>
      </c>
      <c r="E207" s="19">
        <f>INDEX(Places[Majority RB '#],MATCH(Budgets[[#This Row],[Jurisdiction]],Places[Jurisdiction],0))</f>
        <v>8</v>
      </c>
      <c r="F207" s="19" t="str">
        <f>VLOOKUP(Budgets[[#This Row],[Jurisdiction]],Places[#All],8,FALSE)</f>
        <v>Phase I MS4</v>
      </c>
      <c r="G207" s="81"/>
      <c r="H207" s="21" t="s">
        <v>1872</v>
      </c>
      <c r="I207" s="21">
        <f>VALUE(LEFT(Budgets[[#This Row],[Fiscal Year]],4))</f>
        <v>2002</v>
      </c>
      <c r="J207" s="20">
        <v>4015070</v>
      </c>
      <c r="K207" s="27">
        <f>IF(Budgets[[#This Row],[Reference Year]]&gt;2018,Budgets[[#This Row],[Value]],Budgets[[#This Row],[Value]]*(1+VLOOKUP(Budgets[[#This Row],[Reference Year]],Inflation[#All],3,FALSE)))</f>
        <v>5615987.0993329622</v>
      </c>
      <c r="L207" s="27">
        <f>Budgets[[#This Row],[2018 $ Value]]/VLOOKUP(Budgets[[#This Row],[Jurisdiction]],Places[],6,FALSE)</f>
        <v>90.313865515220598</v>
      </c>
      <c r="M207" s="27">
        <f>Budgets[[#This Row],[2018 $ Value]]/VLOOKUP(Budgets[[#This Row],[Jurisdiction]],Places[],7,FALSE)</f>
        <v>758917.17558553535</v>
      </c>
      <c r="N207" s="27"/>
      <c r="O207" s="27" t="s">
        <v>1853</v>
      </c>
      <c r="P207" s="4"/>
      <c r="Q207"/>
    </row>
    <row r="208" spans="1:17" x14ac:dyDescent="0.25">
      <c r="A208" s="19" t="s">
        <v>157</v>
      </c>
      <c r="B208" s="19" t="str">
        <f>INDEX(Places[Type],MATCH(Budgets[[#This Row],[Jurisdiction]],Places[Jurisdiction],0))</f>
        <v>City</v>
      </c>
      <c r="C208" s="19" t="str">
        <f>INDEX(Places[County],MATCH(Budgets[[#This Row],[Jurisdiction]],Places[Jurisdiction],0))</f>
        <v>Los Angeles</v>
      </c>
      <c r="D208" s="21" t="str">
        <f>INDEX(Places[Majority RB],MATCH(Budgets[[#This Row],[Jurisdiction]],Places[Jurisdiction],0))</f>
        <v>Los Angeles</v>
      </c>
      <c r="E208" s="19">
        <f>INDEX(Places[Majority RB '#],MATCH(Budgets[[#This Row],[Jurisdiction]],Places[Jurisdiction],0))</f>
        <v>4</v>
      </c>
      <c r="F208" s="19" t="str">
        <f>VLOOKUP(Budgets[[#This Row],[Jurisdiction]],Places[#All],8,FALSE)</f>
        <v>Phase I MS4</v>
      </c>
      <c r="G208" s="81"/>
      <c r="H208" s="100" t="s">
        <v>1871</v>
      </c>
      <c r="I208" s="21">
        <f>VALUE(LEFT(Budgets[[#This Row],[Fiscal Year]],4))</f>
        <v>2012</v>
      </c>
      <c r="J208" s="20">
        <v>11500</v>
      </c>
      <c r="K208" s="27">
        <f>IF(Budgets[[#This Row],[Reference Year]]&gt;2018,Budgets[[#This Row],[Value]],Budgets[[#This Row],[Value]]*(1+VLOOKUP(Budgets[[#This Row],[Reference Year]],Inflation[#All],3,FALSE)))</f>
        <v>12603.469076655052</v>
      </c>
      <c r="L208" s="27">
        <f>Budgets[[#This Row],[2018 $ Value]]/VLOOKUP(Budgets[[#This Row],[Jurisdiction]],Places[],6,FALSE)</f>
        <v>2.3544683498328136</v>
      </c>
      <c r="M208" s="27">
        <f>Budgets[[#This Row],[2018 $ Value]]/VLOOKUP(Budgets[[#This Row],[Jurisdiction]],Places[],7,FALSE)</f>
        <v>2032.8175930088794</v>
      </c>
      <c r="N208" s="27"/>
      <c r="O208" s="27" t="s">
        <v>1460</v>
      </c>
      <c r="P208" s="4"/>
      <c r="Q208"/>
    </row>
    <row r="209" spans="1:17" x14ac:dyDescent="0.25">
      <c r="A209" s="19" t="s">
        <v>157</v>
      </c>
      <c r="B209" s="19" t="str">
        <f>INDEX(Places[Type],MATCH(Budgets[[#This Row],[Jurisdiction]],Places[Jurisdiction],0))</f>
        <v>City</v>
      </c>
      <c r="C209" s="19" t="str">
        <f>INDEX(Places[County],MATCH(Budgets[[#This Row],[Jurisdiction]],Places[Jurisdiction],0))</f>
        <v>Los Angeles</v>
      </c>
      <c r="D209" s="21" t="str">
        <f>INDEX(Places[Majority RB],MATCH(Budgets[[#This Row],[Jurisdiction]],Places[Jurisdiction],0))</f>
        <v>Los Angeles</v>
      </c>
      <c r="E209" s="19">
        <f>INDEX(Places[Majority RB '#],MATCH(Budgets[[#This Row],[Jurisdiction]],Places[Jurisdiction],0))</f>
        <v>4</v>
      </c>
      <c r="F209" s="19" t="str">
        <f>VLOOKUP(Budgets[[#This Row],[Jurisdiction]],Places[#All],8,FALSE)</f>
        <v>Phase I MS4</v>
      </c>
      <c r="G209" s="81"/>
      <c r="H209" s="100" t="s">
        <v>1869</v>
      </c>
      <c r="I209" s="21">
        <f>VALUE(LEFT(Budgets[[#This Row],[Fiscal Year]],4))</f>
        <v>2016</v>
      </c>
      <c r="J209" s="20">
        <v>58000</v>
      </c>
      <c r="K209" s="27">
        <f>IF(Budgets[[#This Row],[Reference Year]]&gt;2018,Budgets[[#This Row],[Value]],Budgets[[#This Row],[Value]]*(1+VLOOKUP(Budgets[[#This Row],[Reference Year]],Inflation[#All],3,FALSE)))</f>
        <v>60810.825000000004</v>
      </c>
      <c r="L209" s="27">
        <f>Budgets[[#This Row],[2018 $ Value]]/VLOOKUP(Budgets[[#This Row],[Jurisdiction]],Places[],6,FALSE)</f>
        <v>11.360139174294789</v>
      </c>
      <c r="M209" s="27">
        <f>Budgets[[#This Row],[2018 $ Value]]/VLOOKUP(Budgets[[#This Row],[Jurisdiction]],Places[],7,FALSE)</f>
        <v>9808.197580645161</v>
      </c>
      <c r="N209" s="27"/>
      <c r="O209" s="27" t="s">
        <v>1853</v>
      </c>
      <c r="P209" s="4"/>
      <c r="Q209"/>
    </row>
    <row r="210" spans="1:17" x14ac:dyDescent="0.25">
      <c r="A210" s="19" t="s">
        <v>313</v>
      </c>
      <c r="B210" s="19" t="str">
        <f>INDEX(Places[Type],MATCH(Budgets[[#This Row],[Jurisdiction]],Places[Jurisdiction],0))</f>
        <v>City</v>
      </c>
      <c r="C210" s="19" t="str">
        <f>INDEX(Places[County],MATCH(Budgets[[#This Row],[Jurisdiction]],Places[Jurisdiction],0))</f>
        <v>San Diego</v>
      </c>
      <c r="D210" s="21" t="str">
        <f>INDEX(Places[Majority RB],MATCH(Budgets[[#This Row],[Jurisdiction]],Places[Jurisdiction],0))</f>
        <v>San Diego</v>
      </c>
      <c r="E210" s="19">
        <f>INDEX(Places[Majority RB '#],MATCH(Budgets[[#This Row],[Jurisdiction]],Places[Jurisdiction],0))</f>
        <v>9</v>
      </c>
      <c r="F210" s="19" t="str">
        <f>VLOOKUP(Budgets[[#This Row],[Jurisdiction]],Places[#All],8,FALSE)</f>
        <v>Phase I MS4</v>
      </c>
      <c r="G210" s="81"/>
      <c r="H210" s="21" t="s">
        <v>1873</v>
      </c>
      <c r="I210" s="21">
        <f>VALUE(LEFT(Budgets[[#This Row],[Fiscal Year]],4))</f>
        <v>2015</v>
      </c>
      <c r="J210" s="20">
        <v>301617</v>
      </c>
      <c r="K210" s="27">
        <f>IF(Budgets[[#This Row],[Reference Year]]&gt;2018,Budgets[[#This Row],[Value]],Budgets[[#This Row],[Value]]*(1+VLOOKUP(Budgets[[#This Row],[Reference Year]],Inflation[#All],3,FALSE)))</f>
        <v>320237.0773291139</v>
      </c>
      <c r="L210" s="27">
        <f>Budgets[[#This Row],[2018 $ Value]]/VLOOKUP(Budgets[[#This Row],[Jurisdiction]],Places[],6,FALSE)</f>
        <v>5.3770749769815618</v>
      </c>
      <c r="M210" s="27">
        <f>Budgets[[#This Row],[2018 $ Value]]/VLOOKUP(Budgets[[#This Row],[Jurisdiction]],Places[],7,FALSE)</f>
        <v>35190.887618583947</v>
      </c>
      <c r="N210" s="27"/>
      <c r="O210" s="27" t="s">
        <v>1460</v>
      </c>
      <c r="P210" s="4"/>
      <c r="Q210"/>
    </row>
    <row r="211" spans="1:17" x14ac:dyDescent="0.25">
      <c r="A211" s="19" t="s">
        <v>313</v>
      </c>
      <c r="B211" s="19" t="str">
        <f>INDEX(Places[Type],MATCH(Budgets[[#This Row],[Jurisdiction]],Places[Jurisdiction],0))</f>
        <v>City</v>
      </c>
      <c r="C211" s="19" t="str">
        <f>INDEX(Places[County],MATCH(Budgets[[#This Row],[Jurisdiction]],Places[Jurisdiction],0))</f>
        <v>San Diego</v>
      </c>
      <c r="D211" s="21" t="str">
        <f>INDEX(Places[Majority RB],MATCH(Budgets[[#This Row],[Jurisdiction]],Places[Jurisdiction],0))</f>
        <v>San Diego</v>
      </c>
      <c r="E211" s="19">
        <f>INDEX(Places[Majority RB '#],MATCH(Budgets[[#This Row],[Jurisdiction]],Places[Jurisdiction],0))</f>
        <v>9</v>
      </c>
      <c r="F211" s="19" t="str">
        <f>VLOOKUP(Budgets[[#This Row],[Jurisdiction]],Places[#All],8,FALSE)</f>
        <v>Phase I MS4</v>
      </c>
      <c r="G211" s="81"/>
      <c r="H211" s="21" t="s">
        <v>1869</v>
      </c>
      <c r="I211" s="21">
        <f>VALUE(LEFT(Budgets[[#This Row],[Fiscal Year]],4))</f>
        <v>2016</v>
      </c>
      <c r="J211" s="20">
        <v>322897</v>
      </c>
      <c r="K211" s="27">
        <f>IF(Budgets[[#This Row],[Reference Year]]&gt;2018,Budgets[[#This Row],[Value]],Budgets[[#This Row],[Value]]*(1+VLOOKUP(Budgets[[#This Row],[Reference Year]],Inflation[#All],3,FALSE)))</f>
        <v>338545.39586250001</v>
      </c>
      <c r="L211" s="27">
        <f>Budgets[[#This Row],[2018 $ Value]]/VLOOKUP(Budgets[[#This Row],[Jurisdiction]],Places[],6,FALSE)</f>
        <v>5.6844884791204917</v>
      </c>
      <c r="M211" s="27">
        <f>Budgets[[#This Row],[2018 $ Value]]/VLOOKUP(Budgets[[#This Row],[Jurisdiction]],Places[],7,FALSE)</f>
        <v>37202.790754120884</v>
      </c>
      <c r="N211" s="27"/>
      <c r="O211" s="27" t="s">
        <v>1460</v>
      </c>
      <c r="P211" s="4"/>
      <c r="Q211"/>
    </row>
    <row r="212" spans="1:17" x14ac:dyDescent="0.25">
      <c r="A212" s="19" t="s">
        <v>313</v>
      </c>
      <c r="B212" s="19" t="str">
        <f>INDEX(Places[Type],MATCH(Budgets[[#This Row],[Jurisdiction]],Places[Jurisdiction],0))</f>
        <v>City</v>
      </c>
      <c r="C212" s="19" t="str">
        <f>INDEX(Places[County],MATCH(Budgets[[#This Row],[Jurisdiction]],Places[Jurisdiction],0))</f>
        <v>San Diego</v>
      </c>
      <c r="D212" s="21" t="str">
        <f>INDEX(Places[Majority RB],MATCH(Budgets[[#This Row],[Jurisdiction]],Places[Jurisdiction],0))</f>
        <v>San Diego</v>
      </c>
      <c r="E212" s="19">
        <f>INDEX(Places[Majority RB '#],MATCH(Budgets[[#This Row],[Jurisdiction]],Places[Jurisdiction],0))</f>
        <v>9</v>
      </c>
      <c r="F212" s="19" t="str">
        <f>VLOOKUP(Budgets[[#This Row],[Jurisdiction]],Places[#All],8,FALSE)</f>
        <v>Phase I MS4</v>
      </c>
      <c r="G212" s="81"/>
      <c r="H212" s="21" t="s">
        <v>1874</v>
      </c>
      <c r="I212" s="21">
        <f>VALUE(LEFT(Budgets[[#This Row],[Fiscal Year]],4))</f>
        <v>2017</v>
      </c>
      <c r="J212" s="20">
        <v>323449</v>
      </c>
      <c r="K212" s="27">
        <f>IF(Budgets[[#This Row],[Reference Year]]&gt;2018,Budgets[[#This Row],[Value]],Budgets[[#This Row],[Value]]*(1+VLOOKUP(Budgets[[#This Row],[Reference Year]],Inflation[#All],3,FALSE)))</f>
        <v>332067.70835985319</v>
      </c>
      <c r="L212" s="27">
        <f>Budgets[[#This Row],[2018 $ Value]]/VLOOKUP(Budgets[[#This Row],[Jurisdiction]],Places[],6,FALSE)</f>
        <v>5.5757221499068637</v>
      </c>
      <c r="M212" s="27">
        <f>Budgets[[#This Row],[2018 $ Value]]/VLOOKUP(Budgets[[#This Row],[Jurisdiction]],Places[],7,FALSE)</f>
        <v>36490.956962621232</v>
      </c>
      <c r="N212" s="27"/>
      <c r="O212" s="27" t="s">
        <v>1853</v>
      </c>
      <c r="P212" s="4"/>
      <c r="Q212"/>
    </row>
    <row r="213" spans="1:17" x14ac:dyDescent="0.25">
      <c r="A213" s="19" t="s">
        <v>165</v>
      </c>
      <c r="B213" s="19" t="str">
        <f>INDEX(Places[Type],MATCH(Budgets[[#This Row],[Jurisdiction]],Places[Jurisdiction],0))</f>
        <v>City</v>
      </c>
      <c r="C213" s="19" t="str">
        <f>INDEX(Places[County],MATCH(Budgets[[#This Row],[Jurisdiction]],Places[Jurisdiction],0))</f>
        <v>Los Angeles</v>
      </c>
      <c r="D213" s="21" t="str">
        <f>INDEX(Places[Majority RB],MATCH(Budgets[[#This Row],[Jurisdiction]],Places[Jurisdiction],0))</f>
        <v>Los Angeles</v>
      </c>
      <c r="E213" s="19">
        <f>INDEX(Places[Majority RB '#],MATCH(Budgets[[#This Row],[Jurisdiction]],Places[Jurisdiction],0))</f>
        <v>4</v>
      </c>
      <c r="F213" s="19" t="str">
        <f>VLOOKUP(Budgets[[#This Row],[Jurisdiction]],Places[#All],8,FALSE)</f>
        <v>Phase I MS4</v>
      </c>
      <c r="G213" s="81"/>
      <c r="H213" s="100" t="s">
        <v>1869</v>
      </c>
      <c r="I213" s="21">
        <f>VALUE(LEFT(Budgets[[#This Row],[Fiscal Year]],4))</f>
        <v>2016</v>
      </c>
      <c r="J213" s="20">
        <v>1313600</v>
      </c>
      <c r="K213" s="27">
        <f>IF(Budgets[[#This Row],[Reference Year]]&gt;2018,Budgets[[#This Row],[Value]],Budgets[[#This Row],[Value]]*(1+VLOOKUP(Budgets[[#This Row],[Reference Year]],Inflation[#All],3,FALSE)))</f>
        <v>1377260.34</v>
      </c>
      <c r="L213" s="27">
        <f>Budgets[[#This Row],[2018 $ Value]]/VLOOKUP(Budgets[[#This Row],[Jurisdiction]],Places[],6,FALSE)</f>
        <v>28.290375285007087</v>
      </c>
      <c r="M213" s="27">
        <f>Budgets[[#This Row],[2018 $ Value]]/VLOOKUP(Budgets[[#This Row],[Jurisdiction]],Places[],7,FALSE)</f>
        <v>176571.83846153849</v>
      </c>
      <c r="N213" s="27"/>
      <c r="O213" s="27" t="s">
        <v>1853</v>
      </c>
      <c r="P213" s="4"/>
      <c r="Q213"/>
    </row>
    <row r="214" spans="1:17" x14ac:dyDescent="0.25">
      <c r="A214" s="19" t="s">
        <v>277</v>
      </c>
      <c r="B214" s="19" t="str">
        <f>INDEX(Places[Type],MATCH(Budgets[[#This Row],[Jurisdiction]],Places[Jurisdiction],0))</f>
        <v>City</v>
      </c>
      <c r="C214" s="19" t="str">
        <f>INDEX(Places[County],MATCH(Budgets[[#This Row],[Jurisdiction]],Places[Jurisdiction],0))</f>
        <v>Orange</v>
      </c>
      <c r="D214" s="21" t="str">
        <f>INDEX(Places[Majority RB],MATCH(Budgets[[#This Row],[Jurisdiction]],Places[Jurisdiction],0))</f>
        <v>Santa Ana</v>
      </c>
      <c r="E214" s="19">
        <f>INDEX(Places[Majority RB '#],MATCH(Budgets[[#This Row],[Jurisdiction]],Places[Jurisdiction],0))</f>
        <v>8</v>
      </c>
      <c r="F214" s="19" t="str">
        <f>VLOOKUP(Budgets[[#This Row],[Jurisdiction]],Places[#All],8,FALSE)</f>
        <v>Phase I MS4</v>
      </c>
      <c r="G214" s="81"/>
      <c r="H214" s="21" t="s">
        <v>1872</v>
      </c>
      <c r="I214" s="21">
        <f>VALUE(LEFT(Budgets[[#This Row],[Fiscal Year]],4))</f>
        <v>2002</v>
      </c>
      <c r="J214" s="20">
        <v>173600</v>
      </c>
      <c r="K214" s="27">
        <f>IF(Budgets[[#This Row],[Reference Year]]&gt;2018,Budgets[[#This Row],[Value]],Budgets[[#This Row],[Value]]*(1+VLOOKUP(Budgets[[#This Row],[Reference Year]],Inflation[#All],3,FALSE)))</f>
        <v>242819.01945525288</v>
      </c>
      <c r="L214" s="27">
        <f>Budgets[[#This Row],[2018 $ Value]]/VLOOKUP(Budgets[[#This Row],[Jurisdiction]],Places[],6,FALSE)</f>
        <v>15.597316254833819</v>
      </c>
      <c r="M214" s="27">
        <f>Budgets[[#This Row],[2018 $ Value]]/VLOOKUP(Budgets[[#This Row],[Jurisdiction]],Places[],7,FALSE)</f>
        <v>134899.45525291827</v>
      </c>
      <c r="N214" s="27"/>
      <c r="O214" s="27" t="s">
        <v>1853</v>
      </c>
      <c r="P214" s="4"/>
      <c r="Q214"/>
    </row>
    <row r="215" spans="1:17" x14ac:dyDescent="0.25">
      <c r="A215" s="19" t="s">
        <v>204</v>
      </c>
      <c r="B215" s="19" t="str">
        <f>INDEX(Places[Type],MATCH(Budgets[[#This Row],[Jurisdiction]],Places[Jurisdiction],0))</f>
        <v>City</v>
      </c>
      <c r="C215" s="19" t="str">
        <f>INDEX(Places[County],MATCH(Budgets[[#This Row],[Jurisdiction]],Places[Jurisdiction],0))</f>
        <v>Los Angeles</v>
      </c>
      <c r="D215" s="21" t="str">
        <f>INDEX(Places[Majority RB],MATCH(Budgets[[#This Row],[Jurisdiction]],Places[Jurisdiction],0))</f>
        <v>Los Angeles</v>
      </c>
      <c r="E215" s="19">
        <f>INDEX(Places[Majority RB '#],MATCH(Budgets[[#This Row],[Jurisdiction]],Places[Jurisdiction],0))</f>
        <v>4</v>
      </c>
      <c r="F215" s="19" t="str">
        <f>VLOOKUP(Budgets[[#This Row],[Jurisdiction]],Places[#All],8,FALSE)</f>
        <v>Phase I MS4</v>
      </c>
      <c r="G215" s="81"/>
      <c r="H215" s="21" t="s">
        <v>1870</v>
      </c>
      <c r="I215" s="21">
        <f>VALUE(LEFT(Budgets[[#This Row],[Fiscal Year]],4))</f>
        <v>2011</v>
      </c>
      <c r="J215" s="20">
        <v>197000</v>
      </c>
      <c r="K215" s="27">
        <f>IF(Budgets[[#This Row],[Reference Year]]&gt;2018,Budgets[[#This Row],[Value]],Budgets[[#This Row],[Value]]*(1+VLOOKUP(Budgets[[#This Row],[Reference Year]],Inflation[#All],3,FALSE)))</f>
        <v>220414.88216985328</v>
      </c>
      <c r="L215" s="27">
        <f>Budgets[[#This Row],[2018 $ Value]]/VLOOKUP(Budgets[[#This Row],[Jurisdiction]],Places[],6,FALSE)</f>
        <v>5.5230751270385205</v>
      </c>
      <c r="M215" s="27">
        <f>Budgets[[#This Row],[2018 $ Value]]/VLOOKUP(Budgets[[#This Row],[Jurisdiction]],Places[],7,FALSE)</f>
        <v>62975.680619958082</v>
      </c>
      <c r="N215" s="27"/>
      <c r="O215" s="27" t="s">
        <v>1460</v>
      </c>
      <c r="P215" s="4"/>
      <c r="Q215"/>
    </row>
    <row r="216" spans="1:17" x14ac:dyDescent="0.25">
      <c r="A216" s="19" t="s">
        <v>204</v>
      </c>
      <c r="B216" s="19" t="str">
        <f>INDEX(Places[Type],MATCH(Budgets[[#This Row],[Jurisdiction]],Places[Jurisdiction],0))</f>
        <v>City</v>
      </c>
      <c r="C216" s="19" t="str">
        <f>INDEX(Places[County],MATCH(Budgets[[#This Row],[Jurisdiction]],Places[Jurisdiction],0))</f>
        <v>Los Angeles</v>
      </c>
      <c r="D216" s="21" t="str">
        <f>INDEX(Places[Majority RB],MATCH(Budgets[[#This Row],[Jurisdiction]],Places[Jurisdiction],0))</f>
        <v>Los Angeles</v>
      </c>
      <c r="E216" s="19">
        <f>INDEX(Places[Majority RB '#],MATCH(Budgets[[#This Row],[Jurisdiction]],Places[Jurisdiction],0))</f>
        <v>4</v>
      </c>
      <c r="F216" s="19" t="str">
        <f>VLOOKUP(Budgets[[#This Row],[Jurisdiction]],Places[#All],8,FALSE)</f>
        <v>Phase I MS4</v>
      </c>
      <c r="G216" s="81"/>
      <c r="H216" s="21" t="s">
        <v>1871</v>
      </c>
      <c r="I216" s="21">
        <f>VALUE(LEFT(Budgets[[#This Row],[Fiscal Year]],4))</f>
        <v>2012</v>
      </c>
      <c r="J216" s="20">
        <v>603500</v>
      </c>
      <c r="K216" s="27">
        <f>IF(Budgets[[#This Row],[Reference Year]]&gt;2018,Budgets[[#This Row],[Value]],Budgets[[#This Row],[Value]]*(1+VLOOKUP(Budgets[[#This Row],[Reference Year]],Inflation[#All],3,FALSE)))</f>
        <v>661408.13806620205</v>
      </c>
      <c r="L216" s="27">
        <f>Budgets[[#This Row],[2018 $ Value]]/VLOOKUP(Budgets[[#This Row],[Jurisdiction]],Places[],6,FALSE)</f>
        <v>16.573322092467727</v>
      </c>
      <c r="M216" s="27">
        <f>Budgets[[#This Row],[2018 $ Value]]/VLOOKUP(Budgets[[#This Row],[Jurisdiction]],Places[],7,FALSE)</f>
        <v>188973.75373320057</v>
      </c>
      <c r="N216" s="27"/>
      <c r="O216" s="27" t="s">
        <v>1460</v>
      </c>
      <c r="P216" s="4"/>
      <c r="Q216"/>
    </row>
    <row r="217" spans="1:17" x14ac:dyDescent="0.25">
      <c r="A217" s="19" t="s">
        <v>204</v>
      </c>
      <c r="B217" s="19" t="str">
        <f>INDEX(Places[Type],MATCH(Budgets[[#This Row],[Jurisdiction]],Places[Jurisdiction],0))</f>
        <v>City</v>
      </c>
      <c r="C217" s="19" t="str">
        <f>INDEX(Places[County],MATCH(Budgets[[#This Row],[Jurisdiction]],Places[Jurisdiction],0))</f>
        <v>Los Angeles</v>
      </c>
      <c r="D217" s="21" t="str">
        <f>INDEX(Places[Majority RB],MATCH(Budgets[[#This Row],[Jurisdiction]],Places[Jurisdiction],0))</f>
        <v>Los Angeles</v>
      </c>
      <c r="E217" s="19">
        <f>INDEX(Places[Majority RB '#],MATCH(Budgets[[#This Row],[Jurisdiction]],Places[Jurisdiction],0))</f>
        <v>4</v>
      </c>
      <c r="F217" s="19" t="str">
        <f>VLOOKUP(Budgets[[#This Row],[Jurisdiction]],Places[#All],8,FALSE)</f>
        <v>Phase I MS4</v>
      </c>
      <c r="G217" s="81"/>
      <c r="H217" s="21" t="s">
        <v>1869</v>
      </c>
      <c r="I217" s="21">
        <f>VALUE(LEFT(Budgets[[#This Row],[Fiscal Year]],4))</f>
        <v>2016</v>
      </c>
      <c r="J217" s="20">
        <v>47937</v>
      </c>
      <c r="K217" s="27">
        <f>IF(Budgets[[#This Row],[Reference Year]]&gt;2018,Budgets[[#This Row],[Value]],Budgets[[#This Row],[Value]]*(1+VLOOKUP(Budgets[[#This Row],[Reference Year]],Inflation[#All],3,FALSE)))</f>
        <v>50260.146862500005</v>
      </c>
      <c r="L217" s="27">
        <f>Budgets[[#This Row],[2018 $ Value]]/VLOOKUP(Budgets[[#This Row],[Jurisdiction]],Places[],6,FALSE)</f>
        <v>1.2594002922346399</v>
      </c>
      <c r="M217" s="27">
        <f>Budgets[[#This Row],[2018 $ Value]]/VLOOKUP(Budgets[[#This Row],[Jurisdiction]],Places[],7,FALSE)</f>
        <v>14360.041960714287</v>
      </c>
      <c r="N217" s="27"/>
      <c r="O217" s="27" t="s">
        <v>1853</v>
      </c>
      <c r="P217" s="4"/>
      <c r="Q217"/>
    </row>
    <row r="218" spans="1:17" x14ac:dyDescent="0.25">
      <c r="A218" s="19" t="s">
        <v>151</v>
      </c>
      <c r="B218" s="19" t="str">
        <f>INDEX(Places[Type],MATCH(Budgets[[#This Row],[Jurisdiction]],Places[Jurisdiction],0))</f>
        <v>City</v>
      </c>
      <c r="C218" s="19" t="str">
        <f>INDEX(Places[County],MATCH(Budgets[[#This Row],[Jurisdiction]],Places[Jurisdiction],0))</f>
        <v>Los Angeles</v>
      </c>
      <c r="D218" s="21" t="str">
        <f>INDEX(Places[Majority RB],MATCH(Budgets[[#This Row],[Jurisdiction]],Places[Jurisdiction],0))</f>
        <v>Los Angeles</v>
      </c>
      <c r="E218" s="19">
        <f>INDEX(Places[Majority RB '#],MATCH(Budgets[[#This Row],[Jurisdiction]],Places[Jurisdiction],0))</f>
        <v>4</v>
      </c>
      <c r="F218" s="19" t="str">
        <f>VLOOKUP(Budgets[[#This Row],[Jurisdiction]],Places[#All],8,FALSE)</f>
        <v>Phase I MS4</v>
      </c>
      <c r="G218" s="81"/>
      <c r="H218" s="100" t="s">
        <v>1870</v>
      </c>
      <c r="I218" s="21">
        <f>VALUE(LEFT(Budgets[[#This Row],[Fiscal Year]],4))</f>
        <v>2011</v>
      </c>
      <c r="J218" s="20">
        <v>3050000</v>
      </c>
      <c r="K218" s="27">
        <f>IF(Budgets[[#This Row],[Reference Year]]&gt;2018,Budgets[[#This Row],[Value]],Budgets[[#This Row],[Value]]*(1+VLOOKUP(Budgets[[#This Row],[Reference Year]],Inflation[#All],3,FALSE)))</f>
        <v>3412514.6731880838</v>
      </c>
      <c r="L218" s="27">
        <f>Budgets[[#This Row],[2018 $ Value]]/VLOOKUP(Budgets[[#This Row],[Jurisdiction]],Places[],6,FALSE)</f>
        <v>105.95897265068881</v>
      </c>
      <c r="M218" s="27">
        <f>Budgets[[#This Row],[2018 $ Value]]/VLOOKUP(Budgets[[#This Row],[Jurisdiction]],Places[],7,FALSE)</f>
        <v>406251.74680810521</v>
      </c>
      <c r="N218" s="27"/>
      <c r="O218" s="27" t="s">
        <v>1460</v>
      </c>
      <c r="P218" s="4"/>
      <c r="Q218"/>
    </row>
    <row r="219" spans="1:17" x14ac:dyDescent="0.25">
      <c r="A219" s="19" t="s">
        <v>151</v>
      </c>
      <c r="B219" s="19" t="str">
        <f>INDEX(Places[Type],MATCH(Budgets[[#This Row],[Jurisdiction]],Places[Jurisdiction],0))</f>
        <v>City</v>
      </c>
      <c r="C219" s="19" t="str">
        <f>INDEX(Places[County],MATCH(Budgets[[#This Row],[Jurisdiction]],Places[Jurisdiction],0))</f>
        <v>Los Angeles</v>
      </c>
      <c r="D219" s="21" t="str">
        <f>INDEX(Places[Majority RB],MATCH(Budgets[[#This Row],[Jurisdiction]],Places[Jurisdiction],0))</f>
        <v>Los Angeles</v>
      </c>
      <c r="E219" s="19">
        <f>INDEX(Places[Majority RB '#],MATCH(Budgets[[#This Row],[Jurisdiction]],Places[Jurisdiction],0))</f>
        <v>4</v>
      </c>
      <c r="F219" s="19" t="str">
        <f>VLOOKUP(Budgets[[#This Row],[Jurisdiction]],Places[#All],8,FALSE)</f>
        <v>Phase I MS4</v>
      </c>
      <c r="G219" s="81"/>
      <c r="H219" s="100" t="s">
        <v>1871</v>
      </c>
      <c r="I219" s="21">
        <f>VALUE(LEFT(Budgets[[#This Row],[Fiscal Year]],4))</f>
        <v>2012</v>
      </c>
      <c r="J219" s="20">
        <v>3050000</v>
      </c>
      <c r="K219" s="27">
        <f>IF(Budgets[[#This Row],[Reference Year]]&gt;2018,Budgets[[#This Row],[Value]],Budgets[[#This Row],[Value]]*(1+VLOOKUP(Budgets[[#This Row],[Reference Year]],Inflation[#All],3,FALSE)))</f>
        <v>3342659.1898954706</v>
      </c>
      <c r="L219" s="27">
        <f>Budgets[[#This Row],[2018 $ Value]]/VLOOKUP(Budgets[[#This Row],[Jurisdiction]],Places[],6,FALSE)</f>
        <v>103.78995186907628</v>
      </c>
      <c r="M219" s="27">
        <f>Budgets[[#This Row],[2018 $ Value]]/VLOOKUP(Budgets[[#This Row],[Jurisdiction]],Places[],7,FALSE)</f>
        <v>397935.61784469889</v>
      </c>
      <c r="N219" s="27"/>
      <c r="O219" s="27" t="s">
        <v>1460</v>
      </c>
      <c r="P219" s="4"/>
      <c r="Q219"/>
    </row>
    <row r="220" spans="1:17" x14ac:dyDescent="0.25">
      <c r="A220" s="19" t="s">
        <v>151</v>
      </c>
      <c r="B220" s="19" t="str">
        <f>INDEX(Places[Type],MATCH(Budgets[[#This Row],[Jurisdiction]],Places[Jurisdiction],0))</f>
        <v>City</v>
      </c>
      <c r="C220" s="19" t="str">
        <f>INDEX(Places[County],MATCH(Budgets[[#This Row],[Jurisdiction]],Places[Jurisdiction],0))</f>
        <v>Los Angeles</v>
      </c>
      <c r="D220" s="21" t="str">
        <f>INDEX(Places[Majority RB],MATCH(Budgets[[#This Row],[Jurisdiction]],Places[Jurisdiction],0))</f>
        <v>Los Angeles</v>
      </c>
      <c r="E220" s="19">
        <f>INDEX(Places[Majority RB '#],MATCH(Budgets[[#This Row],[Jurisdiction]],Places[Jurisdiction],0))</f>
        <v>4</v>
      </c>
      <c r="F220" s="19" t="str">
        <f>VLOOKUP(Budgets[[#This Row],[Jurisdiction]],Places[#All],8,FALSE)</f>
        <v>Phase I MS4</v>
      </c>
      <c r="G220" s="81"/>
      <c r="H220" s="100" t="s">
        <v>1869</v>
      </c>
      <c r="I220" s="21">
        <f>VALUE(LEFT(Budgets[[#This Row],[Fiscal Year]],4))</f>
        <v>2016</v>
      </c>
      <c r="J220" s="20">
        <v>4849850</v>
      </c>
      <c r="K220" s="27">
        <f>IF(Budgets[[#This Row],[Reference Year]]&gt;2018,Budgets[[#This Row],[Value]],Budgets[[#This Row],[Value]]*(1+VLOOKUP(Budgets[[#This Row],[Reference Year]],Inflation[#All],3,FALSE)))</f>
        <v>5084885.8556250008</v>
      </c>
      <c r="L220" s="27">
        <f>Budgets[[#This Row],[2018 $ Value]]/VLOOKUP(Budgets[[#This Row],[Jurisdiction]],Places[],6,FALSE)</f>
        <v>157.88628999642927</v>
      </c>
      <c r="M220" s="27">
        <f>Budgets[[#This Row],[2018 $ Value]]/VLOOKUP(Budgets[[#This Row],[Jurisdiction]],Places[],7,FALSE)</f>
        <v>605343.55424107146</v>
      </c>
      <c r="N220" s="27"/>
      <c r="O220" s="27" t="s">
        <v>1853</v>
      </c>
      <c r="P220" s="4"/>
      <c r="Q220"/>
    </row>
    <row r="221" spans="1:17" x14ac:dyDescent="0.25">
      <c r="A221" s="19" t="s">
        <v>278</v>
      </c>
      <c r="B221" s="19" t="str">
        <f>INDEX(Places[Type],MATCH(Budgets[[#This Row],[Jurisdiction]],Places[Jurisdiction],0))</f>
        <v>City</v>
      </c>
      <c r="C221" s="19" t="str">
        <f>INDEX(Places[County],MATCH(Budgets[[#This Row],[Jurisdiction]],Places[Jurisdiction],0))</f>
        <v>Orange</v>
      </c>
      <c r="D221" s="21" t="str">
        <f>INDEX(Places[Majority RB],MATCH(Budgets[[#This Row],[Jurisdiction]],Places[Jurisdiction],0))</f>
        <v>San Diego</v>
      </c>
      <c r="E221" s="19">
        <f>INDEX(Places[Majority RB '#],MATCH(Budgets[[#This Row],[Jurisdiction]],Places[Jurisdiction],0))</f>
        <v>9</v>
      </c>
      <c r="F221" s="19" t="str">
        <f>VLOOKUP(Budgets[[#This Row],[Jurisdiction]],Places[#All],8,FALSE)</f>
        <v>Phase I MS4</v>
      </c>
      <c r="G221" s="81"/>
      <c r="H221" s="21" t="s">
        <v>1875</v>
      </c>
      <c r="I221" s="21">
        <f>VALUE(LEFT(Budgets[[#This Row],[Fiscal Year]],4))</f>
        <v>2001</v>
      </c>
      <c r="J221" s="20">
        <v>1843170</v>
      </c>
      <c r="K221" s="27">
        <f>IF(Budgets[[#This Row],[Reference Year]]&gt;2018,Budgets[[#This Row],[Value]],Budgets[[#This Row],[Value]]*(1+VLOOKUP(Budgets[[#This Row],[Reference Year]],Inflation[#All],3,FALSE)))</f>
        <v>2618852.1189723318</v>
      </c>
      <c r="L221" s="27">
        <f>Budgets[[#This Row],[2018 $ Value]]/VLOOKUP(Budgets[[#This Row],[Jurisdiction]],Places[],6,FALSE)</f>
        <v>113.90770818895793</v>
      </c>
      <c r="M221" s="27">
        <f>Budgets[[#This Row],[2018 $ Value]]/VLOOKUP(Budgets[[#This Row],[Jurisdiction]],Places[],7,FALSE)</f>
        <v>294253.04707554285</v>
      </c>
      <c r="N221" s="27"/>
      <c r="O221" s="27" t="s">
        <v>1460</v>
      </c>
      <c r="P221" s="4"/>
      <c r="Q221"/>
    </row>
    <row r="222" spans="1:17" x14ac:dyDescent="0.25">
      <c r="A222" s="19" t="s">
        <v>278</v>
      </c>
      <c r="B222" s="19" t="str">
        <f>INDEX(Places[Type],MATCH(Budgets[[#This Row],[Jurisdiction]],Places[Jurisdiction],0))</f>
        <v>City</v>
      </c>
      <c r="C222" s="19" t="str">
        <f>INDEX(Places[County],MATCH(Budgets[[#This Row],[Jurisdiction]],Places[Jurisdiction],0))</f>
        <v>Orange</v>
      </c>
      <c r="D222" s="21" t="str">
        <f>INDEX(Places[Majority RB],MATCH(Budgets[[#This Row],[Jurisdiction]],Places[Jurisdiction],0))</f>
        <v>San Diego</v>
      </c>
      <c r="E222" s="19">
        <f>INDEX(Places[Majority RB '#],MATCH(Budgets[[#This Row],[Jurisdiction]],Places[Jurisdiction],0))</f>
        <v>9</v>
      </c>
      <c r="F222" s="19" t="str">
        <f>VLOOKUP(Budgets[[#This Row],[Jurisdiction]],Places[#All],8,FALSE)</f>
        <v>Phase I MS4</v>
      </c>
      <c r="G222" s="81"/>
      <c r="H222" s="21" t="s">
        <v>1872</v>
      </c>
      <c r="I222" s="21">
        <f>VALUE(LEFT(Budgets[[#This Row],[Fiscal Year]],4))</f>
        <v>2002</v>
      </c>
      <c r="J222" s="20">
        <v>1470160</v>
      </c>
      <c r="K222" s="27">
        <f>IF(Budgets[[#This Row],[Reference Year]]&gt;2018,Budgets[[#This Row],[Value]],Budgets[[#This Row],[Value]]*(1+VLOOKUP(Budgets[[#This Row],[Reference Year]],Inflation[#All],3,FALSE)))</f>
        <v>2056352.5901056139</v>
      </c>
      <c r="L222" s="27">
        <f>Budgets[[#This Row],[2018 $ Value]]/VLOOKUP(Budgets[[#This Row],[Jurisdiction]],Places[],6,FALSE)</f>
        <v>89.441633252386325</v>
      </c>
      <c r="M222" s="27">
        <f>Budgets[[#This Row],[2018 $ Value]]/VLOOKUP(Budgets[[#This Row],[Jurisdiction]],Places[],7,FALSE)</f>
        <v>231050.85282085548</v>
      </c>
      <c r="N222" s="27"/>
      <c r="O222" s="27" t="s">
        <v>1460</v>
      </c>
      <c r="P222" s="4"/>
      <c r="Q222"/>
    </row>
    <row r="223" spans="1:17" x14ac:dyDescent="0.25">
      <c r="A223" s="19" t="s">
        <v>278</v>
      </c>
      <c r="B223" s="19" t="str">
        <f>INDEX(Places[Type],MATCH(Budgets[[#This Row],[Jurisdiction]],Places[Jurisdiction],0))</f>
        <v>City</v>
      </c>
      <c r="C223" s="19" t="str">
        <f>INDEX(Places[County],MATCH(Budgets[[#This Row],[Jurisdiction]],Places[Jurisdiction],0))</f>
        <v>Orange</v>
      </c>
      <c r="D223" s="21" t="str">
        <f>INDEX(Places[Majority RB],MATCH(Budgets[[#This Row],[Jurisdiction]],Places[Jurisdiction],0))</f>
        <v>San Diego</v>
      </c>
      <c r="E223" s="19">
        <f>INDEX(Places[Majority RB '#],MATCH(Budgets[[#This Row],[Jurisdiction]],Places[Jurisdiction],0))</f>
        <v>9</v>
      </c>
      <c r="F223" s="19" t="str">
        <f>VLOOKUP(Budgets[[#This Row],[Jurisdiction]],Places[#All],8,FALSE)</f>
        <v>Phase I MS4</v>
      </c>
      <c r="G223" s="81"/>
      <c r="H223" s="21" t="s">
        <v>1869</v>
      </c>
      <c r="I223" s="21">
        <f>VALUE(LEFT(Budgets[[#This Row],[Fiscal Year]],4))</f>
        <v>2016</v>
      </c>
      <c r="J223" s="20">
        <v>1251081</v>
      </c>
      <c r="K223" s="27">
        <f>IF(Budgets[[#This Row],[Reference Year]]&gt;2018,Budgets[[#This Row],[Value]],Budgets[[#This Row],[Value]]*(1+VLOOKUP(Budgets[[#This Row],[Reference Year]],Inflation[#All],3,FALSE)))</f>
        <v>1311711.5129625001</v>
      </c>
      <c r="L223" s="27">
        <f>Budgets[[#This Row],[2018 $ Value]]/VLOOKUP(Budgets[[#This Row],[Jurisdiction]],Places[],6,FALSE)</f>
        <v>57.053260535100698</v>
      </c>
      <c r="M223" s="27">
        <f>Budgets[[#This Row],[2018 $ Value]]/VLOOKUP(Budgets[[#This Row],[Jurisdiction]],Places[],7,FALSE)</f>
        <v>147383.31606320225</v>
      </c>
      <c r="N223" s="27"/>
      <c r="O223" s="27" t="s">
        <v>1460</v>
      </c>
      <c r="P223" s="4"/>
      <c r="Q223"/>
    </row>
    <row r="224" spans="1:17" x14ac:dyDescent="0.25">
      <c r="A224" s="19" t="s">
        <v>278</v>
      </c>
      <c r="B224" s="19" t="str">
        <f>INDEX(Places[Type],MATCH(Budgets[[#This Row],[Jurisdiction]],Places[Jurisdiction],0))</f>
        <v>City</v>
      </c>
      <c r="C224" s="19" t="str">
        <f>INDEX(Places[County],MATCH(Budgets[[#This Row],[Jurisdiction]],Places[Jurisdiction],0))</f>
        <v>Orange</v>
      </c>
      <c r="D224" s="21" t="str">
        <f>INDEX(Places[Majority RB],MATCH(Budgets[[#This Row],[Jurisdiction]],Places[Jurisdiction],0))</f>
        <v>San Diego</v>
      </c>
      <c r="E224" s="19">
        <f>INDEX(Places[Majority RB '#],MATCH(Budgets[[#This Row],[Jurisdiction]],Places[Jurisdiction],0))</f>
        <v>9</v>
      </c>
      <c r="F224" s="19" t="str">
        <f>VLOOKUP(Budgets[[#This Row],[Jurisdiction]],Places[#All],8,FALSE)</f>
        <v>Phase I MS4</v>
      </c>
      <c r="G224" s="81"/>
      <c r="H224" s="21" t="s">
        <v>1874</v>
      </c>
      <c r="I224" s="21">
        <f>VALUE(LEFT(Budgets[[#This Row],[Fiscal Year]],4))</f>
        <v>2017</v>
      </c>
      <c r="J224" s="20">
        <v>1647252</v>
      </c>
      <c r="K224" s="27">
        <f>IF(Budgets[[#This Row],[Reference Year]]&gt;2018,Budgets[[#This Row],[Value]],Budgets[[#This Row],[Value]]*(1+VLOOKUP(Budgets[[#This Row],[Reference Year]],Inflation[#All],3,FALSE)))</f>
        <v>1691145.1163280297</v>
      </c>
      <c r="L224" s="27">
        <f>Budgets[[#This Row],[2018 $ Value]]/VLOOKUP(Budgets[[#This Row],[Jurisdiction]],Places[],6,FALSE)</f>
        <v>73.55683164403591</v>
      </c>
      <c r="M224" s="27">
        <f>Budgets[[#This Row],[2018 $ Value]]/VLOOKUP(Budgets[[#This Row],[Jurisdiction]],Places[],7,FALSE)</f>
        <v>190016.30520539658</v>
      </c>
      <c r="N224" s="27"/>
      <c r="O224" s="27" t="s">
        <v>1460</v>
      </c>
      <c r="P224" s="4"/>
      <c r="Q224"/>
    </row>
    <row r="225" spans="1:17" x14ac:dyDescent="0.25">
      <c r="A225" s="19" t="s">
        <v>278</v>
      </c>
      <c r="B225" s="19" t="str">
        <f>INDEX(Places[Type],MATCH(Budgets[[#This Row],[Jurisdiction]],Places[Jurisdiction],0))</f>
        <v>City</v>
      </c>
      <c r="C225" s="19" t="str">
        <f>INDEX(Places[County],MATCH(Budgets[[#This Row],[Jurisdiction]],Places[Jurisdiction],0))</f>
        <v>Orange</v>
      </c>
      <c r="D225" s="21" t="str">
        <f>INDEX(Places[Majority RB],MATCH(Budgets[[#This Row],[Jurisdiction]],Places[Jurisdiction],0))</f>
        <v>San Diego</v>
      </c>
      <c r="E225" s="19">
        <f>INDEX(Places[Majority RB '#],MATCH(Budgets[[#This Row],[Jurisdiction]],Places[Jurisdiction],0))</f>
        <v>9</v>
      </c>
      <c r="F225" s="19" t="str">
        <f>VLOOKUP(Budgets[[#This Row],[Jurisdiction]],Places[#All],8,FALSE)</f>
        <v>Phase I MS4</v>
      </c>
      <c r="G225" s="81"/>
      <c r="H225" s="21" t="s">
        <v>1876</v>
      </c>
      <c r="I225" s="21">
        <f>VALUE(LEFT(Budgets[[#This Row],[Fiscal Year]],4))</f>
        <v>2018</v>
      </c>
      <c r="J225" s="20">
        <v>1002349</v>
      </c>
      <c r="K225" s="27">
        <f>IF(Budgets[[#This Row],[Reference Year]]&gt;2018,Budgets[[#This Row],[Value]],Budgets[[#This Row],[Value]]*(1+VLOOKUP(Budgets[[#This Row],[Reference Year]],Inflation[#All],3,FALSE)))</f>
        <v>1002349</v>
      </c>
      <c r="L225" s="27">
        <f>Budgets[[#This Row],[2018 $ Value]]/VLOOKUP(Budgets[[#This Row],[Jurisdiction]],Places[],6,FALSE)</f>
        <v>43.597451176547345</v>
      </c>
      <c r="M225" s="27">
        <f>Budgets[[#This Row],[2018 $ Value]]/VLOOKUP(Budgets[[#This Row],[Jurisdiction]],Places[],7,FALSE)</f>
        <v>112623.48314606742</v>
      </c>
      <c r="N225" s="27"/>
      <c r="O225" s="27" t="s">
        <v>1853</v>
      </c>
      <c r="P225" s="4"/>
      <c r="Q225"/>
    </row>
    <row r="226" spans="1:17" x14ac:dyDescent="0.25">
      <c r="A226" s="19" t="s">
        <v>279</v>
      </c>
      <c r="B226" s="19" t="str">
        <f>INDEX(Places[Type],MATCH(Budgets[[#This Row],[Jurisdiction]],Places[Jurisdiction],0))</f>
        <v>City</v>
      </c>
      <c r="C226" s="19" t="str">
        <f>INDEX(Places[County],MATCH(Budgets[[#This Row],[Jurisdiction]],Places[Jurisdiction],0))</f>
        <v>Orange</v>
      </c>
      <c r="D226" s="21" t="str">
        <f>INDEX(Places[Majority RB],MATCH(Budgets[[#This Row],[Jurisdiction]],Places[Jurisdiction],0))</f>
        <v>San Diego</v>
      </c>
      <c r="E226" s="19">
        <f>INDEX(Places[Majority RB '#],MATCH(Budgets[[#This Row],[Jurisdiction]],Places[Jurisdiction],0))</f>
        <v>9</v>
      </c>
      <c r="F226" s="19" t="str">
        <f>VLOOKUP(Budgets[[#This Row],[Jurisdiction]],Places[#All],8,FALSE)</f>
        <v>Phase I MS4</v>
      </c>
      <c r="G226" s="81"/>
      <c r="H226" s="21" t="s">
        <v>1872</v>
      </c>
      <c r="I226" s="21">
        <f>VALUE(LEFT(Budgets[[#This Row],[Fiscal Year]],4))</f>
        <v>2002</v>
      </c>
      <c r="J226" s="20">
        <v>183621</v>
      </c>
      <c r="K226" s="27">
        <f>IF(Budgets[[#This Row],[Reference Year]]&gt;2018,Budgets[[#This Row],[Value]],Budgets[[#This Row],[Value]]*(1+VLOOKUP(Budgets[[#This Row],[Reference Year]],Inflation[#All],3,FALSE)))</f>
        <v>256835.66342968313</v>
      </c>
      <c r="L226" s="27">
        <f>Budgets[[#This Row],[2018 $ Value]]/VLOOKUP(Budgets[[#This Row],[Jurisdiction]],Places[],6,FALSE)</f>
        <v>8.2786121528391927</v>
      </c>
      <c r="M226" s="27">
        <f>Budgets[[#This Row],[2018 $ Value]]/VLOOKUP(Budgets[[#This Row],[Jurisdiction]],Places[],7,FALSE)</f>
        <v>38914.4944590429</v>
      </c>
      <c r="N226" s="27"/>
      <c r="O226" s="27" t="s">
        <v>1460</v>
      </c>
      <c r="P226" s="4"/>
      <c r="Q226"/>
    </row>
    <row r="227" spans="1:17" x14ac:dyDescent="0.25">
      <c r="A227" s="19" t="s">
        <v>279</v>
      </c>
      <c r="B227" s="19" t="str">
        <f>INDEX(Places[Type],MATCH(Budgets[[#This Row],[Jurisdiction]],Places[Jurisdiction],0))</f>
        <v>City</v>
      </c>
      <c r="C227" s="19" t="str">
        <f>INDEX(Places[County],MATCH(Budgets[[#This Row],[Jurisdiction]],Places[Jurisdiction],0))</f>
        <v>Orange</v>
      </c>
      <c r="D227" s="21" t="str">
        <f>INDEX(Places[Majority RB],MATCH(Budgets[[#This Row],[Jurisdiction]],Places[Jurisdiction],0))</f>
        <v>San Diego</v>
      </c>
      <c r="E227" s="19">
        <f>INDEX(Places[Majority RB '#],MATCH(Budgets[[#This Row],[Jurisdiction]],Places[Jurisdiction],0))</f>
        <v>9</v>
      </c>
      <c r="F227" s="19" t="str">
        <f>VLOOKUP(Budgets[[#This Row],[Jurisdiction]],Places[#All],8,FALSE)</f>
        <v>Phase I MS4</v>
      </c>
      <c r="G227" s="81"/>
      <c r="H227" s="21" t="s">
        <v>1873</v>
      </c>
      <c r="I227" s="21">
        <f>VALUE(LEFT(Budgets[[#This Row],[Fiscal Year]],4))</f>
        <v>2015</v>
      </c>
      <c r="J227" s="20">
        <v>770852.7</v>
      </c>
      <c r="K227" s="27">
        <f>IF(Budgets[[#This Row],[Reference Year]]&gt;2018,Budgets[[#This Row],[Value]],Budgets[[#This Row],[Value]]*(1+VLOOKUP(Budgets[[#This Row],[Reference Year]],Inflation[#All],3,FALSE)))</f>
        <v>818440.6571886075</v>
      </c>
      <c r="L227" s="27">
        <f>Budgets[[#This Row],[2018 $ Value]]/VLOOKUP(Budgets[[#This Row],[Jurisdiction]],Places[],6,FALSE)</f>
        <v>26.380887609225358</v>
      </c>
      <c r="M227" s="27">
        <f>Budgets[[#This Row],[2018 $ Value]]/VLOOKUP(Budgets[[#This Row],[Jurisdiction]],Places[],7,FALSE)</f>
        <v>124006.16018009205</v>
      </c>
      <c r="N227" s="27"/>
      <c r="O227" s="27" t="s">
        <v>1460</v>
      </c>
      <c r="P227" s="4"/>
      <c r="Q227"/>
    </row>
    <row r="228" spans="1:17" x14ac:dyDescent="0.25">
      <c r="A228" s="19" t="s">
        <v>279</v>
      </c>
      <c r="B228" s="19" t="str">
        <f>INDEX(Places[Type],MATCH(Budgets[[#This Row],[Jurisdiction]],Places[Jurisdiction],0))</f>
        <v>City</v>
      </c>
      <c r="C228" s="19" t="str">
        <f>INDEX(Places[County],MATCH(Budgets[[#This Row],[Jurisdiction]],Places[Jurisdiction],0))</f>
        <v>Orange</v>
      </c>
      <c r="D228" s="21" t="str">
        <f>INDEX(Places[Majority RB],MATCH(Budgets[[#This Row],[Jurisdiction]],Places[Jurisdiction],0))</f>
        <v>San Diego</v>
      </c>
      <c r="E228" s="19">
        <f>INDEX(Places[Majority RB '#],MATCH(Budgets[[#This Row],[Jurisdiction]],Places[Jurisdiction],0))</f>
        <v>9</v>
      </c>
      <c r="F228" s="19" t="str">
        <f>VLOOKUP(Budgets[[#This Row],[Jurisdiction]],Places[#All],8,FALSE)</f>
        <v>Phase I MS4</v>
      </c>
      <c r="G228" s="81"/>
      <c r="H228" s="21" t="s">
        <v>1869</v>
      </c>
      <c r="I228" s="21">
        <f>VALUE(LEFT(Budgets[[#This Row],[Fiscal Year]],4))</f>
        <v>2016</v>
      </c>
      <c r="J228" s="20">
        <v>731539.14</v>
      </c>
      <c r="K228" s="27">
        <f>IF(Budgets[[#This Row],[Reference Year]]&gt;2018,Budgets[[#This Row],[Value]],Budgets[[#This Row],[Value]]*(1+VLOOKUP(Budgets[[#This Row],[Reference Year]],Inflation[#All],3,FALSE)))</f>
        <v>766991.35557225009</v>
      </c>
      <c r="L228" s="27">
        <f>Budgets[[#This Row],[2018 $ Value]]/VLOOKUP(Budgets[[#This Row],[Jurisdiction]],Places[],6,FALSE)</f>
        <v>24.722516618496972</v>
      </c>
      <c r="M228" s="27">
        <f>Budgets[[#This Row],[2018 $ Value]]/VLOOKUP(Budgets[[#This Row],[Jurisdiction]],Places[],7,FALSE)</f>
        <v>116210.81145034093</v>
      </c>
      <c r="N228" s="27"/>
      <c r="O228" s="27" t="s">
        <v>1460</v>
      </c>
      <c r="P228" s="4"/>
      <c r="Q228"/>
    </row>
    <row r="229" spans="1:17" x14ac:dyDescent="0.25">
      <c r="A229" s="19" t="s">
        <v>279</v>
      </c>
      <c r="B229" s="19" t="str">
        <f>INDEX(Places[Type],MATCH(Budgets[[#This Row],[Jurisdiction]],Places[Jurisdiction],0))</f>
        <v>City</v>
      </c>
      <c r="C229" s="19" t="str">
        <f>INDEX(Places[County],MATCH(Budgets[[#This Row],[Jurisdiction]],Places[Jurisdiction],0))</f>
        <v>Orange</v>
      </c>
      <c r="D229" s="21" t="str">
        <f>INDEX(Places[Majority RB],MATCH(Budgets[[#This Row],[Jurisdiction]],Places[Jurisdiction],0))</f>
        <v>San Diego</v>
      </c>
      <c r="E229" s="19">
        <f>INDEX(Places[Majority RB '#],MATCH(Budgets[[#This Row],[Jurisdiction]],Places[Jurisdiction],0))</f>
        <v>9</v>
      </c>
      <c r="F229" s="19" t="str">
        <f>VLOOKUP(Budgets[[#This Row],[Jurisdiction]],Places[#All],8,FALSE)</f>
        <v>Phase I MS4</v>
      </c>
      <c r="G229" s="81"/>
      <c r="H229" s="21" t="s">
        <v>1874</v>
      </c>
      <c r="I229" s="21">
        <f>VALUE(LEFT(Budgets[[#This Row],[Fiscal Year]],4))</f>
        <v>2017</v>
      </c>
      <c r="J229" s="20">
        <v>1004415.54</v>
      </c>
      <c r="K229" s="27">
        <f>IF(Budgets[[#This Row],[Reference Year]]&gt;2018,Budgets[[#This Row],[Value]],Budgets[[#This Row],[Value]]*(1+VLOOKUP(Budgets[[#This Row],[Reference Year]],Inflation[#All],3,FALSE)))</f>
        <v>1031179.4644869035</v>
      </c>
      <c r="L229" s="27">
        <f>Budgets[[#This Row],[2018 $ Value]]/VLOOKUP(Budgets[[#This Row],[Jurisdiction]],Places[],6,FALSE)</f>
        <v>33.238120954322575</v>
      </c>
      <c r="M229" s="27">
        <f>Budgets[[#This Row],[2018 $ Value]]/VLOOKUP(Budgets[[#This Row],[Jurisdiction]],Places[],7,FALSE)</f>
        <v>156239.31280104601</v>
      </c>
      <c r="N229" s="27"/>
      <c r="O229" s="27" t="s">
        <v>1460</v>
      </c>
      <c r="P229" s="4"/>
      <c r="Q229"/>
    </row>
    <row r="230" spans="1:17" x14ac:dyDescent="0.25">
      <c r="A230" s="19" t="s">
        <v>279</v>
      </c>
      <c r="B230" s="19" t="str">
        <f>INDEX(Places[Type],MATCH(Budgets[[#This Row],[Jurisdiction]],Places[Jurisdiction],0))</f>
        <v>City</v>
      </c>
      <c r="C230" s="19" t="str">
        <f>INDEX(Places[County],MATCH(Budgets[[#This Row],[Jurisdiction]],Places[Jurisdiction],0))</f>
        <v>Orange</v>
      </c>
      <c r="D230" s="21" t="str">
        <f>INDEX(Places[Majority RB],MATCH(Budgets[[#This Row],[Jurisdiction]],Places[Jurisdiction],0))</f>
        <v>San Diego</v>
      </c>
      <c r="E230" s="19">
        <f>INDEX(Places[Majority RB '#],MATCH(Budgets[[#This Row],[Jurisdiction]],Places[Jurisdiction],0))</f>
        <v>9</v>
      </c>
      <c r="F230" s="19" t="str">
        <f>VLOOKUP(Budgets[[#This Row],[Jurisdiction]],Places[#All],8,FALSE)</f>
        <v>Phase I MS4</v>
      </c>
      <c r="G230" s="81"/>
      <c r="H230" s="21" t="s">
        <v>1876</v>
      </c>
      <c r="I230" s="21">
        <f>VALUE(LEFT(Budgets[[#This Row],[Fiscal Year]],4))</f>
        <v>2018</v>
      </c>
      <c r="J230" s="20">
        <v>676255.98</v>
      </c>
      <c r="K230" s="27">
        <f>IF(Budgets[[#This Row],[Reference Year]]&gt;2018,Budgets[[#This Row],[Value]],Budgets[[#This Row],[Value]]*(1+VLOOKUP(Budgets[[#This Row],[Reference Year]],Inflation[#All],3,FALSE)))</f>
        <v>676255.98</v>
      </c>
      <c r="L230" s="27">
        <f>Budgets[[#This Row],[2018 $ Value]]/VLOOKUP(Budgets[[#This Row],[Jurisdiction]],Places[],6,FALSE)</f>
        <v>21.797833290355854</v>
      </c>
      <c r="M230" s="27">
        <f>Budgets[[#This Row],[2018 $ Value]]/VLOOKUP(Budgets[[#This Row],[Jurisdiction]],Places[],7,FALSE)</f>
        <v>102463.02727272728</v>
      </c>
      <c r="N230" s="27"/>
      <c r="O230" s="27" t="s">
        <v>1853</v>
      </c>
      <c r="P230" s="4"/>
      <c r="Q230"/>
    </row>
    <row r="231" spans="1:17" x14ac:dyDescent="0.25">
      <c r="A231" s="19" t="s">
        <v>280</v>
      </c>
      <c r="B231" s="19" t="str">
        <f>INDEX(Places[Type],MATCH(Budgets[[#This Row],[Jurisdiction]],Places[Jurisdiction],0))</f>
        <v>City</v>
      </c>
      <c r="C231" s="19" t="str">
        <f>INDEX(Places[County],MATCH(Budgets[[#This Row],[Jurisdiction]],Places[Jurisdiction],0))</f>
        <v>Orange</v>
      </c>
      <c r="D231" s="21" t="str">
        <f>INDEX(Places[Majority RB],MATCH(Budgets[[#This Row],[Jurisdiction]],Places[Jurisdiction],0))</f>
        <v>San Diego</v>
      </c>
      <c r="E231" s="19">
        <f>INDEX(Places[Majority RB '#],MATCH(Budgets[[#This Row],[Jurisdiction]],Places[Jurisdiction],0))</f>
        <v>9</v>
      </c>
      <c r="F231" s="19" t="str">
        <f>VLOOKUP(Budgets[[#This Row],[Jurisdiction]],Places[#All],8,FALSE)</f>
        <v>Phase I MS4</v>
      </c>
      <c r="G231" s="81"/>
      <c r="H231" s="21" t="s">
        <v>1875</v>
      </c>
      <c r="I231" s="21">
        <f>VALUE(LEFT(Budgets[[#This Row],[Fiscal Year]],4))</f>
        <v>2001</v>
      </c>
      <c r="J231" s="20">
        <v>772200</v>
      </c>
      <c r="K231" s="27">
        <f>IF(Budgets[[#This Row],[Reference Year]]&gt;2018,Budgets[[#This Row],[Value]],Budgets[[#This Row],[Value]]*(1+VLOOKUP(Budgets[[#This Row],[Reference Year]],Inflation[#All],3,FALSE)))</f>
        <v>1097173.6770186336</v>
      </c>
      <c r="L231" s="27">
        <f>Budgets[[#This Row],[2018 $ Value]]/VLOOKUP(Budgets[[#This Row],[Jurisdiction]],Places[],6,FALSE)</f>
        <v>16.5571134068547</v>
      </c>
      <c r="M231" s="27">
        <f>Budgets[[#This Row],[2018 $ Value]]/VLOOKUP(Budgets[[#This Row],[Jurisdiction]],Places[],7,FALSE)</f>
        <v>74637.665103308405</v>
      </c>
      <c r="N231" s="27"/>
      <c r="O231" s="27" t="s">
        <v>1460</v>
      </c>
      <c r="P231" s="4"/>
      <c r="Q231"/>
    </row>
    <row r="232" spans="1:17" x14ac:dyDescent="0.25">
      <c r="A232" s="19" t="s">
        <v>280</v>
      </c>
      <c r="B232" s="19" t="str">
        <f>INDEX(Places[Type],MATCH(Budgets[[#This Row],[Jurisdiction]],Places[Jurisdiction],0))</f>
        <v>City</v>
      </c>
      <c r="C232" s="19" t="str">
        <f>INDEX(Places[County],MATCH(Budgets[[#This Row],[Jurisdiction]],Places[Jurisdiction],0))</f>
        <v>Orange</v>
      </c>
      <c r="D232" s="21" t="str">
        <f>INDEX(Places[Majority RB],MATCH(Budgets[[#This Row],[Jurisdiction]],Places[Jurisdiction],0))</f>
        <v>San Diego</v>
      </c>
      <c r="E232" s="19">
        <f>INDEX(Places[Majority RB '#],MATCH(Budgets[[#This Row],[Jurisdiction]],Places[Jurisdiction],0))</f>
        <v>9</v>
      </c>
      <c r="F232" s="19" t="str">
        <f>VLOOKUP(Budgets[[#This Row],[Jurisdiction]],Places[#All],8,FALSE)</f>
        <v>Phase I MS4</v>
      </c>
      <c r="G232" s="81"/>
      <c r="H232" s="21" t="s">
        <v>1872</v>
      </c>
      <c r="I232" s="21">
        <f>VALUE(LEFT(Budgets[[#This Row],[Fiscal Year]],4))</f>
        <v>2002</v>
      </c>
      <c r="J232" s="20">
        <v>490600</v>
      </c>
      <c r="K232" s="27">
        <f>IF(Budgets[[#This Row],[Reference Year]]&gt;2018,Budgets[[#This Row],[Value]],Budgets[[#This Row],[Value]]*(1+VLOOKUP(Budgets[[#This Row],[Reference Year]],Inflation[#All],3,FALSE)))</f>
        <v>686215.50083379645</v>
      </c>
      <c r="L232" s="27">
        <f>Budgets[[#This Row],[2018 $ Value]]/VLOOKUP(Budgets[[#This Row],[Jurisdiction]],Places[],6,FALSE)</f>
        <v>10.355468880478623</v>
      </c>
      <c r="M232" s="27">
        <f>Budgets[[#This Row],[2018 $ Value]]/VLOOKUP(Budgets[[#This Row],[Jurisdiction]],Places[],7,FALSE)</f>
        <v>46681.326587333097</v>
      </c>
      <c r="N232" s="27"/>
      <c r="O232" s="27" t="s">
        <v>1460</v>
      </c>
      <c r="P232" s="4"/>
      <c r="Q232"/>
    </row>
    <row r="233" spans="1:17" x14ac:dyDescent="0.25">
      <c r="A233" s="19" t="s">
        <v>280</v>
      </c>
      <c r="B233" s="19" t="str">
        <f>INDEX(Places[Type],MATCH(Budgets[[#This Row],[Jurisdiction]],Places[Jurisdiction],0))</f>
        <v>City</v>
      </c>
      <c r="C233" s="19" t="str">
        <f>INDEX(Places[County],MATCH(Budgets[[#This Row],[Jurisdiction]],Places[Jurisdiction],0))</f>
        <v>Orange</v>
      </c>
      <c r="D233" s="21" t="str">
        <f>INDEX(Places[Majority RB],MATCH(Budgets[[#This Row],[Jurisdiction]],Places[Jurisdiction],0))</f>
        <v>San Diego</v>
      </c>
      <c r="E233" s="19">
        <f>INDEX(Places[Majority RB '#],MATCH(Budgets[[#This Row],[Jurisdiction]],Places[Jurisdiction],0))</f>
        <v>9</v>
      </c>
      <c r="F233" s="19" t="str">
        <f>VLOOKUP(Budgets[[#This Row],[Jurisdiction]],Places[#All],8,FALSE)</f>
        <v>Phase I MS4</v>
      </c>
      <c r="G233" s="81"/>
      <c r="H233" s="21" t="s">
        <v>1873</v>
      </c>
      <c r="I233" s="21">
        <f>VALUE(LEFT(Budgets[[#This Row],[Fiscal Year]],4))</f>
        <v>2015</v>
      </c>
      <c r="J233" s="20">
        <v>6403938</v>
      </c>
      <c r="K233" s="27">
        <f>IF(Budgets[[#This Row],[Reference Year]]&gt;2018,Budgets[[#This Row],[Value]],Budgets[[#This Row],[Value]]*(1+VLOOKUP(Budgets[[#This Row],[Reference Year]],Inflation[#All],3,FALSE)))</f>
        <v>6799279.8433670886</v>
      </c>
      <c r="L233" s="27">
        <f>Budgets[[#This Row],[2018 $ Value]]/VLOOKUP(Budgets[[#This Row],[Jurisdiction]],Places[],6,FALSE)</f>
        <v>102.60585886226856</v>
      </c>
      <c r="M233" s="27">
        <f>Budgets[[#This Row],[2018 $ Value]]/VLOOKUP(Budgets[[#This Row],[Jurisdiction]],Places[],7,FALSE)</f>
        <v>462536.04376646865</v>
      </c>
      <c r="N233" s="27"/>
      <c r="O233" s="27" t="s">
        <v>1460</v>
      </c>
      <c r="P233" s="4"/>
      <c r="Q233"/>
    </row>
    <row r="234" spans="1:17" x14ac:dyDescent="0.25">
      <c r="A234" s="19" t="s">
        <v>280</v>
      </c>
      <c r="B234" s="19" t="str">
        <f>INDEX(Places[Type],MATCH(Budgets[[#This Row],[Jurisdiction]],Places[Jurisdiction],0))</f>
        <v>City</v>
      </c>
      <c r="C234" s="19" t="str">
        <f>INDEX(Places[County],MATCH(Budgets[[#This Row],[Jurisdiction]],Places[Jurisdiction],0))</f>
        <v>Orange</v>
      </c>
      <c r="D234" s="21" t="str">
        <f>INDEX(Places[Majority RB],MATCH(Budgets[[#This Row],[Jurisdiction]],Places[Jurisdiction],0))</f>
        <v>San Diego</v>
      </c>
      <c r="E234" s="19">
        <f>INDEX(Places[Majority RB '#],MATCH(Budgets[[#This Row],[Jurisdiction]],Places[Jurisdiction],0))</f>
        <v>9</v>
      </c>
      <c r="F234" s="19" t="str">
        <f>VLOOKUP(Budgets[[#This Row],[Jurisdiction]],Places[#All],8,FALSE)</f>
        <v>Phase I MS4</v>
      </c>
      <c r="G234" s="81"/>
      <c r="H234" s="21" t="s">
        <v>1869</v>
      </c>
      <c r="I234" s="21">
        <f>VALUE(LEFT(Budgets[[#This Row],[Fiscal Year]],4))</f>
        <v>2016</v>
      </c>
      <c r="J234" s="20">
        <v>11040823</v>
      </c>
      <c r="K234" s="27">
        <f>IF(Budgets[[#This Row],[Reference Year]]&gt;2018,Budgets[[#This Row],[Value]],Budgets[[#This Row],[Value]]*(1+VLOOKUP(Budgets[[#This Row],[Reference Year]],Inflation[#All],3,FALSE)))</f>
        <v>11575888.884637501</v>
      </c>
      <c r="L234" s="27">
        <f>Budgets[[#This Row],[2018 $ Value]]/VLOOKUP(Budgets[[#This Row],[Jurisdiction]],Places[],6,FALSE)</f>
        <v>174.68820940810522</v>
      </c>
      <c r="M234" s="27">
        <f>Budgets[[#This Row],[2018 $ Value]]/VLOOKUP(Budgets[[#This Row],[Jurisdiction]],Places[],7,FALSE)</f>
        <v>787475.43432908179</v>
      </c>
      <c r="N234" s="27"/>
      <c r="O234" s="27" t="s">
        <v>1460</v>
      </c>
      <c r="P234" s="4"/>
      <c r="Q234"/>
    </row>
    <row r="235" spans="1:17" x14ac:dyDescent="0.25">
      <c r="A235" s="19" t="s">
        <v>280</v>
      </c>
      <c r="B235" s="19" t="str">
        <f>INDEX(Places[Type],MATCH(Budgets[[#This Row],[Jurisdiction]],Places[Jurisdiction],0))</f>
        <v>City</v>
      </c>
      <c r="C235" s="19" t="str">
        <f>INDEX(Places[County],MATCH(Budgets[[#This Row],[Jurisdiction]],Places[Jurisdiction],0))</f>
        <v>Orange</v>
      </c>
      <c r="D235" s="21" t="str">
        <f>INDEX(Places[Majority RB],MATCH(Budgets[[#This Row],[Jurisdiction]],Places[Jurisdiction],0))</f>
        <v>San Diego</v>
      </c>
      <c r="E235" s="19">
        <f>INDEX(Places[Majority RB '#],MATCH(Budgets[[#This Row],[Jurisdiction]],Places[Jurisdiction],0))</f>
        <v>9</v>
      </c>
      <c r="F235" s="19" t="str">
        <f>VLOOKUP(Budgets[[#This Row],[Jurisdiction]],Places[#All],8,FALSE)</f>
        <v>Phase I MS4</v>
      </c>
      <c r="G235" s="81"/>
      <c r="H235" s="21" t="s">
        <v>1874</v>
      </c>
      <c r="I235" s="21">
        <f>VALUE(LEFT(Budgets[[#This Row],[Fiscal Year]],4))</f>
        <v>2017</v>
      </c>
      <c r="J235" s="20">
        <v>1873783</v>
      </c>
      <c r="K235" s="27">
        <f>IF(Budgets[[#This Row],[Reference Year]]&gt;2018,Budgets[[#This Row],[Value]],Budgets[[#This Row],[Value]]*(1+VLOOKUP(Budgets[[#This Row],[Reference Year]],Inflation[#All],3,FALSE)))</f>
        <v>1923712.3217992659</v>
      </c>
      <c r="L235" s="27">
        <f>Budgets[[#This Row],[2018 $ Value]]/VLOOKUP(Budgets[[#This Row],[Jurisdiction]],Places[],6,FALSE)</f>
        <v>29.030156064939273</v>
      </c>
      <c r="M235" s="27">
        <f>Budgets[[#This Row],[2018 $ Value]]/VLOOKUP(Budgets[[#This Row],[Jurisdiction]],Places[],7,FALSE)</f>
        <v>130864.78379586844</v>
      </c>
      <c r="N235" s="27"/>
      <c r="O235" s="27" t="s">
        <v>1460</v>
      </c>
      <c r="P235" s="4"/>
      <c r="Q235"/>
    </row>
    <row r="236" spans="1:17" x14ac:dyDescent="0.25">
      <c r="A236" s="19" t="s">
        <v>280</v>
      </c>
      <c r="B236" s="19" t="str">
        <f>INDEX(Places[Type],MATCH(Budgets[[#This Row],[Jurisdiction]],Places[Jurisdiction],0))</f>
        <v>City</v>
      </c>
      <c r="C236" s="19" t="str">
        <f>INDEX(Places[County],MATCH(Budgets[[#This Row],[Jurisdiction]],Places[Jurisdiction],0))</f>
        <v>Orange</v>
      </c>
      <c r="D236" s="21" t="str">
        <f>INDEX(Places[Majority RB],MATCH(Budgets[[#This Row],[Jurisdiction]],Places[Jurisdiction],0))</f>
        <v>San Diego</v>
      </c>
      <c r="E236" s="19">
        <f>INDEX(Places[Majority RB '#],MATCH(Budgets[[#This Row],[Jurisdiction]],Places[Jurisdiction],0))</f>
        <v>9</v>
      </c>
      <c r="F236" s="19" t="str">
        <f>VLOOKUP(Budgets[[#This Row],[Jurisdiction]],Places[#All],8,FALSE)</f>
        <v>Phase I MS4</v>
      </c>
      <c r="G236" s="81"/>
      <c r="H236" s="21" t="s">
        <v>1876</v>
      </c>
      <c r="I236" s="21">
        <f>VALUE(LEFT(Budgets[[#This Row],[Fiscal Year]],4))</f>
        <v>2018</v>
      </c>
      <c r="J236" s="20">
        <v>1814102</v>
      </c>
      <c r="K236" s="27">
        <f>IF(Budgets[[#This Row],[Reference Year]]&gt;2018,Budgets[[#This Row],[Value]],Budgets[[#This Row],[Value]]*(1+VLOOKUP(Budgets[[#This Row],[Reference Year]],Inflation[#All],3,FALSE)))</f>
        <v>1814102</v>
      </c>
      <c r="L236" s="27">
        <f>Budgets[[#This Row],[2018 $ Value]]/VLOOKUP(Budgets[[#This Row],[Jurisdiction]],Places[],6,FALSE)</f>
        <v>27.376060121329189</v>
      </c>
      <c r="M236" s="27">
        <f>Budgets[[#This Row],[2018 $ Value]]/VLOOKUP(Budgets[[#This Row],[Jurisdiction]],Places[],7,FALSE)</f>
        <v>123408.2993197279</v>
      </c>
      <c r="N236" s="27"/>
      <c r="O236" s="27" t="s">
        <v>1853</v>
      </c>
      <c r="P236" s="4"/>
      <c r="Q236"/>
    </row>
    <row r="237" spans="1:17" x14ac:dyDescent="0.25">
      <c r="A237" s="19" t="s">
        <v>281</v>
      </c>
      <c r="B237" s="19" t="str">
        <f>INDEX(Places[Type],MATCH(Budgets[[#This Row],[Jurisdiction]],Places[Jurisdiction],0))</f>
        <v>City</v>
      </c>
      <c r="C237" s="19" t="str">
        <f>INDEX(Places[County],MATCH(Budgets[[#This Row],[Jurisdiction]],Places[Jurisdiction],0))</f>
        <v>Orange</v>
      </c>
      <c r="D237" s="21" t="str">
        <f>INDEX(Places[Majority RB],MATCH(Budgets[[#This Row],[Jurisdiction]],Places[Jurisdiction],0))</f>
        <v>Santa Ana</v>
      </c>
      <c r="E237" s="19">
        <f>INDEX(Places[Majority RB '#],MATCH(Budgets[[#This Row],[Jurisdiction]],Places[Jurisdiction],0))</f>
        <v>8</v>
      </c>
      <c r="F237" s="19" t="str">
        <f>VLOOKUP(Budgets[[#This Row],[Jurisdiction]],Places[#All],8,FALSE)</f>
        <v>Phase I MS4</v>
      </c>
      <c r="G237" s="81"/>
      <c r="H237" s="21" t="s">
        <v>1875</v>
      </c>
      <c r="I237" s="21">
        <f>VALUE(LEFT(Budgets[[#This Row],[Fiscal Year]],4))</f>
        <v>2001</v>
      </c>
      <c r="J237" s="20">
        <v>40717</v>
      </c>
      <c r="K237" s="27">
        <f>IF(Budgets[[#This Row],[Reference Year]]&gt;2018,Budgets[[#This Row],[Value]],Budgets[[#This Row],[Value]]*(1+VLOOKUP(Budgets[[#This Row],[Reference Year]],Inflation[#All],3,FALSE)))</f>
        <v>57852.396538678709</v>
      </c>
      <c r="L237" s="27">
        <f>Budgets[[#This Row],[2018 $ Value]]/VLOOKUP(Budgets[[#This Row],[Jurisdiction]],Places[],6,FALSE)</f>
        <v>3.6054092321250599</v>
      </c>
      <c r="M237" s="27">
        <f>Budgets[[#This Row],[2018 $ Value]]/VLOOKUP(Budgets[[#This Row],[Jurisdiction]],Places[],7,FALSE)</f>
        <v>17531.029254145065</v>
      </c>
      <c r="N237" s="27"/>
      <c r="O237" s="27" t="s">
        <v>1460</v>
      </c>
      <c r="P237" s="4"/>
      <c r="Q237"/>
    </row>
    <row r="238" spans="1:17" x14ac:dyDescent="0.25">
      <c r="A238" s="19" t="s">
        <v>281</v>
      </c>
      <c r="B238" s="19" t="str">
        <f>INDEX(Places[Type],MATCH(Budgets[[#This Row],[Jurisdiction]],Places[Jurisdiction],0))</f>
        <v>City</v>
      </c>
      <c r="C238" s="19" t="str">
        <f>INDEX(Places[County],MATCH(Budgets[[#This Row],[Jurisdiction]],Places[Jurisdiction],0))</f>
        <v>Orange</v>
      </c>
      <c r="D238" s="21" t="str">
        <f>INDEX(Places[Majority RB],MATCH(Budgets[[#This Row],[Jurisdiction]],Places[Jurisdiction],0))</f>
        <v>Santa Ana</v>
      </c>
      <c r="E238" s="19">
        <f>INDEX(Places[Majority RB '#],MATCH(Budgets[[#This Row],[Jurisdiction]],Places[Jurisdiction],0))</f>
        <v>8</v>
      </c>
      <c r="F238" s="19" t="str">
        <f>VLOOKUP(Budgets[[#This Row],[Jurisdiction]],Places[#All],8,FALSE)</f>
        <v>Phase I MS4</v>
      </c>
      <c r="G238" s="81"/>
      <c r="H238" s="21" t="s">
        <v>1872</v>
      </c>
      <c r="I238" s="21">
        <f>VALUE(LEFT(Budgets[[#This Row],[Fiscal Year]],4))</f>
        <v>2002</v>
      </c>
      <c r="J238" s="20">
        <v>218701</v>
      </c>
      <c r="K238" s="27">
        <f>IF(Budgets[[#This Row],[Reference Year]]&gt;2018,Budgets[[#This Row],[Value]],Budgets[[#This Row],[Value]]*(1+VLOOKUP(Budgets[[#This Row],[Reference Year]],Inflation[#All],3,FALSE)))</f>
        <v>305903.00906614785</v>
      </c>
      <c r="L238" s="27">
        <f>Budgets[[#This Row],[2018 $ Value]]/VLOOKUP(Budgets[[#This Row],[Jurisdiction]],Places[],6,FALSE)</f>
        <v>19.064128696631425</v>
      </c>
      <c r="M238" s="27">
        <f>Budgets[[#This Row],[2018 $ Value]]/VLOOKUP(Budgets[[#This Row],[Jurisdiction]],Places[],7,FALSE)</f>
        <v>92697.881535196328</v>
      </c>
      <c r="N238" s="27"/>
      <c r="O238" s="27" t="s">
        <v>1460</v>
      </c>
      <c r="P238" s="4"/>
      <c r="Q238"/>
    </row>
    <row r="239" spans="1:17" x14ac:dyDescent="0.25">
      <c r="A239" s="19" t="s">
        <v>281</v>
      </c>
      <c r="B239" s="19" t="str">
        <f>INDEX(Places[Type],MATCH(Budgets[[#This Row],[Jurisdiction]],Places[Jurisdiction],0))</f>
        <v>City</v>
      </c>
      <c r="C239" s="19" t="str">
        <f>INDEX(Places[County],MATCH(Budgets[[#This Row],[Jurisdiction]],Places[Jurisdiction],0))</f>
        <v>Orange</v>
      </c>
      <c r="D239" s="21" t="str">
        <f>INDEX(Places[Majority RB],MATCH(Budgets[[#This Row],[Jurisdiction]],Places[Jurisdiction],0))</f>
        <v>Santa Ana</v>
      </c>
      <c r="E239" s="19">
        <f>INDEX(Places[Majority RB '#],MATCH(Budgets[[#This Row],[Jurisdiction]],Places[Jurisdiction],0))</f>
        <v>8</v>
      </c>
      <c r="F239" s="19" t="str">
        <f>VLOOKUP(Budgets[[#This Row],[Jurisdiction]],Places[#All],8,FALSE)</f>
        <v>Phase I MS4</v>
      </c>
      <c r="G239" s="81"/>
      <c r="H239" s="21" t="s">
        <v>1873</v>
      </c>
      <c r="I239" s="21">
        <f>VALUE(LEFT(Budgets[[#This Row],[Fiscal Year]],4))</f>
        <v>2015</v>
      </c>
      <c r="J239" s="20">
        <v>565526</v>
      </c>
      <c r="K239" s="27">
        <f>IF(Budgets[[#This Row],[Reference Year]]&gt;2018,Budgets[[#This Row],[Value]],Budgets[[#This Row],[Value]]*(1+VLOOKUP(Budgets[[#This Row],[Reference Year]],Inflation[#All],3,FALSE)))</f>
        <v>600438.28230379743</v>
      </c>
      <c r="L239" s="27">
        <f>Budgets[[#This Row],[2018 $ Value]]/VLOOKUP(Budgets[[#This Row],[Jurisdiction]],Places[],6,FALSE)</f>
        <v>37.419810688258593</v>
      </c>
      <c r="M239" s="27">
        <f>Budgets[[#This Row],[2018 $ Value]]/VLOOKUP(Budgets[[#This Row],[Jurisdiction]],Places[],7,FALSE)</f>
        <v>181950.99463751438</v>
      </c>
      <c r="N239" s="27"/>
      <c r="O239" s="27" t="s">
        <v>1460</v>
      </c>
      <c r="P239" s="4"/>
      <c r="Q239"/>
    </row>
    <row r="240" spans="1:17" x14ac:dyDescent="0.25">
      <c r="A240" s="19" t="s">
        <v>281</v>
      </c>
      <c r="B240" s="19" t="str">
        <f>INDEX(Places[Type],MATCH(Budgets[[#This Row],[Jurisdiction]],Places[Jurisdiction],0))</f>
        <v>City</v>
      </c>
      <c r="C240" s="19" t="str">
        <f>INDEX(Places[County],MATCH(Budgets[[#This Row],[Jurisdiction]],Places[Jurisdiction],0))</f>
        <v>Orange</v>
      </c>
      <c r="D240" s="21" t="str">
        <f>INDEX(Places[Majority RB],MATCH(Budgets[[#This Row],[Jurisdiction]],Places[Jurisdiction],0))</f>
        <v>Santa Ana</v>
      </c>
      <c r="E240" s="19">
        <f>INDEX(Places[Majority RB '#],MATCH(Budgets[[#This Row],[Jurisdiction]],Places[Jurisdiction],0))</f>
        <v>8</v>
      </c>
      <c r="F240" s="19" t="str">
        <f>VLOOKUP(Budgets[[#This Row],[Jurisdiction]],Places[#All],8,FALSE)</f>
        <v>Phase I MS4</v>
      </c>
      <c r="G240" s="81"/>
      <c r="H240" s="21" t="s">
        <v>1869</v>
      </c>
      <c r="I240" s="21">
        <f>VALUE(LEFT(Budgets[[#This Row],[Fiscal Year]],4))</f>
        <v>2016</v>
      </c>
      <c r="J240" s="20">
        <v>449215</v>
      </c>
      <c r="K240" s="27">
        <f>IF(Budgets[[#This Row],[Reference Year]]&gt;2018,Budgets[[#This Row],[Value]],Budgets[[#This Row],[Value]]*(1+VLOOKUP(Budgets[[#This Row],[Reference Year]],Inflation[#All],3,FALSE)))</f>
        <v>470985.08193750004</v>
      </c>
      <c r="L240" s="27">
        <f>Budgets[[#This Row],[2018 $ Value]]/VLOOKUP(Budgets[[#This Row],[Jurisdiction]],Places[],6,FALSE)</f>
        <v>29.352180103296774</v>
      </c>
      <c r="M240" s="27">
        <f>Budgets[[#This Row],[2018 $ Value]]/VLOOKUP(Budgets[[#This Row],[Jurisdiction]],Places[],7,FALSE)</f>
        <v>142722.75210227276</v>
      </c>
      <c r="N240" s="27"/>
      <c r="O240" s="27" t="s">
        <v>1460</v>
      </c>
      <c r="P240" s="4"/>
      <c r="Q240"/>
    </row>
    <row r="241" spans="1:17" x14ac:dyDescent="0.25">
      <c r="A241" s="19" t="s">
        <v>281</v>
      </c>
      <c r="B241" s="19" t="str">
        <f>INDEX(Places[Type],MATCH(Budgets[[#This Row],[Jurisdiction]],Places[Jurisdiction],0))</f>
        <v>City</v>
      </c>
      <c r="C241" s="19" t="str">
        <f>INDEX(Places[County],MATCH(Budgets[[#This Row],[Jurisdiction]],Places[Jurisdiction],0))</f>
        <v>Orange</v>
      </c>
      <c r="D241" s="21" t="str">
        <f>INDEX(Places[Majority RB],MATCH(Budgets[[#This Row],[Jurisdiction]],Places[Jurisdiction],0))</f>
        <v>Santa Ana</v>
      </c>
      <c r="E241" s="19">
        <f>INDEX(Places[Majority RB '#],MATCH(Budgets[[#This Row],[Jurisdiction]],Places[Jurisdiction],0))</f>
        <v>8</v>
      </c>
      <c r="F241" s="19" t="str">
        <f>VLOOKUP(Budgets[[#This Row],[Jurisdiction]],Places[#All],8,FALSE)</f>
        <v>Phase I MS4</v>
      </c>
      <c r="G241" s="81"/>
      <c r="H241" s="21" t="s">
        <v>1874</v>
      </c>
      <c r="I241" s="21">
        <f>VALUE(LEFT(Budgets[[#This Row],[Fiscal Year]],4))</f>
        <v>2017</v>
      </c>
      <c r="J241" s="20">
        <v>428519</v>
      </c>
      <c r="K241" s="27">
        <f>IF(Budgets[[#This Row],[Reference Year]]&gt;2018,Budgets[[#This Row],[Value]],Budgets[[#This Row],[Value]]*(1+VLOOKUP(Budgets[[#This Row],[Reference Year]],Inflation[#All],3,FALSE)))</f>
        <v>439937.43161566713</v>
      </c>
      <c r="L241" s="27">
        <f>Budgets[[#This Row],[2018 $ Value]]/VLOOKUP(Budgets[[#This Row],[Jurisdiction]],Places[],6,FALSE)</f>
        <v>27.417264839565444</v>
      </c>
      <c r="M241" s="27">
        <f>Budgets[[#This Row],[2018 $ Value]]/VLOOKUP(Budgets[[#This Row],[Jurisdiction]],Places[],7,FALSE)</f>
        <v>133314.37321686884</v>
      </c>
      <c r="N241" s="27"/>
      <c r="O241" s="27" t="s">
        <v>1853</v>
      </c>
      <c r="P241" s="4"/>
      <c r="Q241"/>
    </row>
    <row r="242" spans="1:17" x14ac:dyDescent="0.25">
      <c r="A242" s="19" t="s">
        <v>234</v>
      </c>
      <c r="B242" s="19" t="str">
        <f>INDEX(Places[Type],MATCH(Budgets[[#This Row],[Jurisdiction]],Places[Jurisdiction],0))</f>
        <v>City</v>
      </c>
      <c r="C242" s="19" t="str">
        <f>INDEX(Places[County],MATCH(Budgets[[#This Row],[Jurisdiction]],Places[Jurisdiction],0))</f>
        <v>Riverside</v>
      </c>
      <c r="D242" s="21" t="str">
        <f>INDEX(Places[Majority RB],MATCH(Budgets[[#This Row],[Jurisdiction]],Places[Jurisdiction],0))</f>
        <v>Santa Ana</v>
      </c>
      <c r="E242" s="19">
        <f>INDEX(Places[Majority RB '#],MATCH(Budgets[[#This Row],[Jurisdiction]],Places[Jurisdiction],0))</f>
        <v>8</v>
      </c>
      <c r="F242" s="19" t="str">
        <f>VLOOKUP(Budgets[[#This Row],[Jurisdiction]],Places[#All],8,FALSE)</f>
        <v>Phase I MS4</v>
      </c>
      <c r="G242" s="81"/>
      <c r="H242" s="21" t="s">
        <v>1869</v>
      </c>
      <c r="I242" s="21">
        <f>VALUE(LEFT(Budgets[[#This Row],[Fiscal Year]],4))</f>
        <v>2016</v>
      </c>
      <c r="J242" s="20">
        <v>359967.93</v>
      </c>
      <c r="K242" s="27">
        <f>IF(Budgets[[#This Row],[Reference Year]]&gt;2018,Budgets[[#This Row],[Value]],Budgets[[#This Row],[Value]]*(1+VLOOKUP(Budgets[[#This Row],[Reference Year]],Inflation[#All],3,FALSE)))</f>
        <v>377412.87580762501</v>
      </c>
      <c r="L242" s="27">
        <f>Budgets[[#This Row],[2018 $ Value]]/VLOOKUP(Budgets[[#This Row],[Jurisdiction]],Places[],6,FALSE)</f>
        <v>5.5352929001015649</v>
      </c>
      <c r="M242" s="27">
        <f>Budgets[[#This Row],[2018 $ Value]]/VLOOKUP(Budgets[[#This Row],[Jurisdiction]],Places[],7,FALSE)</f>
        <v>9931.9177844111837</v>
      </c>
      <c r="N242" s="27"/>
      <c r="O242" s="27" t="s">
        <v>1853</v>
      </c>
      <c r="P242" s="4"/>
      <c r="Q242"/>
    </row>
    <row r="243" spans="1:17" x14ac:dyDescent="0.25">
      <c r="A243" s="19" t="s">
        <v>282</v>
      </c>
      <c r="B243" s="19" t="str">
        <f>INDEX(Places[Type],MATCH(Budgets[[#This Row],[Jurisdiction]],Places[Jurisdiction],0))</f>
        <v>City</v>
      </c>
      <c r="C243" s="19" t="str">
        <f>INDEX(Places[County],MATCH(Budgets[[#This Row],[Jurisdiction]],Places[Jurisdiction],0))</f>
        <v>Orange</v>
      </c>
      <c r="D243" s="21" t="str">
        <f>INDEX(Places[Majority RB],MATCH(Budgets[[#This Row],[Jurisdiction]],Places[Jurisdiction],0))</f>
        <v>Santa Ana</v>
      </c>
      <c r="E243" s="19">
        <f>INDEX(Places[Majority RB '#],MATCH(Budgets[[#This Row],[Jurisdiction]],Places[Jurisdiction],0))</f>
        <v>8</v>
      </c>
      <c r="F243" s="19" t="str">
        <f>VLOOKUP(Budgets[[#This Row],[Jurisdiction]],Places[#All],8,FALSE)</f>
        <v>Phase I MS4</v>
      </c>
      <c r="G243" s="81"/>
      <c r="H243" s="21" t="s">
        <v>1875</v>
      </c>
      <c r="I243" s="21">
        <f>VALUE(LEFT(Budgets[[#This Row],[Fiscal Year]],4))</f>
        <v>2001</v>
      </c>
      <c r="J243" s="20">
        <v>549600</v>
      </c>
      <c r="K243" s="27">
        <f>IF(Budgets[[#This Row],[Reference Year]]&gt;2018,Budgets[[#This Row],[Value]],Budgets[[#This Row],[Value]]*(1+VLOOKUP(Budgets[[#This Row],[Reference Year]],Inflation[#All],3,FALSE)))</f>
        <v>780894.39638622245</v>
      </c>
      <c r="L243" s="27">
        <f>Budgets[[#This Row],[2018 $ Value]]/VLOOKUP(Budgets[[#This Row],[Jurisdiction]],Places[],6,FALSE)</f>
        <v>9.1201475816804187</v>
      </c>
      <c r="M243" s="27">
        <f>Budgets[[#This Row],[2018 $ Value]]/VLOOKUP(Budgets[[#This Row],[Jurisdiction]],Places[],7,FALSE)</f>
        <v>47041.831107603757</v>
      </c>
      <c r="N243" s="27"/>
      <c r="O243" s="27" t="s">
        <v>1460</v>
      </c>
      <c r="P243" s="4"/>
      <c r="Q243"/>
    </row>
    <row r="244" spans="1:17" x14ac:dyDescent="0.25">
      <c r="A244" s="19" t="s">
        <v>282</v>
      </c>
      <c r="B244" s="19" t="str">
        <f>INDEX(Places[Type],MATCH(Budgets[[#This Row],[Jurisdiction]],Places[Jurisdiction],0))</f>
        <v>City</v>
      </c>
      <c r="C244" s="19" t="str">
        <f>INDEX(Places[County],MATCH(Budgets[[#This Row],[Jurisdiction]],Places[Jurisdiction],0))</f>
        <v>Orange</v>
      </c>
      <c r="D244" s="21" t="str">
        <f>INDEX(Places[Majority RB],MATCH(Budgets[[#This Row],[Jurisdiction]],Places[Jurisdiction],0))</f>
        <v>Santa Ana</v>
      </c>
      <c r="E244" s="19">
        <f>INDEX(Places[Majority RB '#],MATCH(Budgets[[#This Row],[Jurisdiction]],Places[Jurisdiction],0))</f>
        <v>8</v>
      </c>
      <c r="F244" s="19" t="str">
        <f>VLOOKUP(Budgets[[#This Row],[Jurisdiction]],Places[#All],8,FALSE)</f>
        <v>Phase I MS4</v>
      </c>
      <c r="G244" s="81"/>
      <c r="H244" s="21" t="s">
        <v>1872</v>
      </c>
      <c r="I244" s="21">
        <f>VALUE(LEFT(Budgets[[#This Row],[Fiscal Year]],4))</f>
        <v>2002</v>
      </c>
      <c r="J244" s="20">
        <v>1154200</v>
      </c>
      <c r="K244" s="27">
        <f>IF(Budgets[[#This Row],[Reference Year]]&gt;2018,Budgets[[#This Row],[Value]],Budgets[[#This Row],[Value]]*(1+VLOOKUP(Budgets[[#This Row],[Reference Year]],Inflation[#All],3,FALSE)))</f>
        <v>1614410.7848804891</v>
      </c>
      <c r="L244" s="27">
        <f>Budgets[[#This Row],[2018 $ Value]]/VLOOKUP(Budgets[[#This Row],[Jurisdiction]],Places[],6,FALSE)</f>
        <v>18.854872929942761</v>
      </c>
      <c r="M244" s="27">
        <f>Budgets[[#This Row],[2018 $ Value]]/VLOOKUP(Budgets[[#This Row],[Jurisdiction]],Places[],7,FALSE)</f>
        <v>97253.661739788498</v>
      </c>
      <c r="N244" s="27"/>
      <c r="O244" s="27" t="s">
        <v>1460</v>
      </c>
      <c r="P244" s="4"/>
      <c r="Q244"/>
    </row>
    <row r="245" spans="1:17" x14ac:dyDescent="0.25">
      <c r="A245" s="19" t="s">
        <v>282</v>
      </c>
      <c r="B245" s="19" t="str">
        <f>INDEX(Places[Type],MATCH(Budgets[[#This Row],[Jurisdiction]],Places[Jurisdiction],0))</f>
        <v>City</v>
      </c>
      <c r="C245" s="19" t="str">
        <f>INDEX(Places[County],MATCH(Budgets[[#This Row],[Jurisdiction]],Places[Jurisdiction],0))</f>
        <v>Orange</v>
      </c>
      <c r="D245" s="21" t="str">
        <f>INDEX(Places[Majority RB],MATCH(Budgets[[#This Row],[Jurisdiction]],Places[Jurisdiction],0))</f>
        <v>Santa Ana</v>
      </c>
      <c r="E245" s="19">
        <f>INDEX(Places[Majority RB '#],MATCH(Budgets[[#This Row],[Jurisdiction]],Places[Jurisdiction],0))</f>
        <v>8</v>
      </c>
      <c r="F245" s="19" t="str">
        <f>VLOOKUP(Budgets[[#This Row],[Jurisdiction]],Places[#All],8,FALSE)</f>
        <v>Phase I MS4</v>
      </c>
      <c r="G245" s="81"/>
      <c r="H245" s="21" t="s">
        <v>1873</v>
      </c>
      <c r="I245" s="21">
        <f>VALUE(LEFT(Budgets[[#This Row],[Fiscal Year]],4))</f>
        <v>2015</v>
      </c>
      <c r="J245" s="20">
        <v>1496000</v>
      </c>
      <c r="K245" s="27">
        <f>IF(Budgets[[#This Row],[Reference Year]]&gt;2018,Budgets[[#This Row],[Value]],Budgets[[#This Row],[Value]]*(1+VLOOKUP(Budgets[[#This Row],[Reference Year]],Inflation[#All],3,FALSE)))</f>
        <v>1588354.3291139239</v>
      </c>
      <c r="L245" s="27">
        <f>Budgets[[#This Row],[2018 $ Value]]/VLOOKUP(Budgets[[#This Row],[Jurisdiction]],Places[],6,FALSE)</f>
        <v>18.550556849373695</v>
      </c>
      <c r="M245" s="27">
        <f>Budgets[[#This Row],[2018 $ Value]]/VLOOKUP(Budgets[[#This Row],[Jurisdiction]],Places[],7,FALSE)</f>
        <v>95683.995729754446</v>
      </c>
      <c r="N245" s="27"/>
      <c r="O245" s="27" t="s">
        <v>1460</v>
      </c>
      <c r="P245" s="4"/>
      <c r="Q245"/>
    </row>
    <row r="246" spans="1:17" x14ac:dyDescent="0.25">
      <c r="A246" s="19" t="s">
        <v>282</v>
      </c>
      <c r="B246" s="19" t="str">
        <f>INDEX(Places[Type],MATCH(Budgets[[#This Row],[Jurisdiction]],Places[Jurisdiction],0))</f>
        <v>City</v>
      </c>
      <c r="C246" s="19" t="str">
        <f>INDEX(Places[County],MATCH(Budgets[[#This Row],[Jurisdiction]],Places[Jurisdiction],0))</f>
        <v>Orange</v>
      </c>
      <c r="D246" s="21" t="str">
        <f>INDEX(Places[Majority RB],MATCH(Budgets[[#This Row],[Jurisdiction]],Places[Jurisdiction],0))</f>
        <v>Santa Ana</v>
      </c>
      <c r="E246" s="19">
        <f>INDEX(Places[Majority RB '#],MATCH(Budgets[[#This Row],[Jurisdiction]],Places[Jurisdiction],0))</f>
        <v>8</v>
      </c>
      <c r="F246" s="19" t="str">
        <f>VLOOKUP(Budgets[[#This Row],[Jurisdiction]],Places[#All],8,FALSE)</f>
        <v>Phase I MS4</v>
      </c>
      <c r="G246" s="81"/>
      <c r="H246" s="21" t="s">
        <v>1869</v>
      </c>
      <c r="I246" s="21">
        <f>VALUE(LEFT(Budgets[[#This Row],[Fiscal Year]],4))</f>
        <v>2016</v>
      </c>
      <c r="J246" s="20">
        <v>1520030</v>
      </c>
      <c r="K246" s="27">
        <f>IF(Budgets[[#This Row],[Reference Year]]&gt;2018,Budgets[[#This Row],[Value]],Budgets[[#This Row],[Value]]*(1+VLOOKUP(Budgets[[#This Row],[Reference Year]],Inflation[#All],3,FALSE)))</f>
        <v>1593694.4538750001</v>
      </c>
      <c r="L246" s="27">
        <f>Budgets[[#This Row],[2018 $ Value]]/VLOOKUP(Budgets[[#This Row],[Jurisdiction]],Places[],6,FALSE)</f>
        <v>18.612924726708947</v>
      </c>
      <c r="M246" s="27">
        <f>Budgets[[#This Row],[2018 $ Value]]/VLOOKUP(Budgets[[#This Row],[Jurisdiction]],Places[],7,FALSE)</f>
        <v>96005.689992469881</v>
      </c>
      <c r="N246" s="27"/>
      <c r="O246" s="27" t="s">
        <v>1853</v>
      </c>
      <c r="P246" s="4"/>
      <c r="Q246"/>
    </row>
    <row r="247" spans="1:17" x14ac:dyDescent="0.25">
      <c r="A247" s="19" t="s">
        <v>163</v>
      </c>
      <c r="B247" s="19" t="str">
        <f>INDEX(Places[Type],MATCH(Budgets[[#This Row],[Jurisdiction]],Places[Jurisdiction],0))</f>
        <v>City</v>
      </c>
      <c r="C247" s="19" t="str">
        <f>INDEX(Places[County],MATCH(Budgets[[#This Row],[Jurisdiction]],Places[Jurisdiction],0))</f>
        <v>Los Angeles</v>
      </c>
      <c r="D247" s="21" t="str">
        <f>INDEX(Places[Majority RB],MATCH(Budgets[[#This Row],[Jurisdiction]],Places[Jurisdiction],0))</f>
        <v>Los Angeles</v>
      </c>
      <c r="E247" s="19">
        <f>INDEX(Places[Majority RB '#],MATCH(Budgets[[#This Row],[Jurisdiction]],Places[Jurisdiction],0))</f>
        <v>4</v>
      </c>
      <c r="F247" s="19" t="str">
        <f>VLOOKUP(Budgets[[#This Row],[Jurisdiction]],Places[#All],8,FALSE)</f>
        <v>Phase I MS4</v>
      </c>
      <c r="G247" s="81"/>
      <c r="H247" s="100" t="s">
        <v>1870</v>
      </c>
      <c r="I247" s="21">
        <f>VALUE(LEFT(Budgets[[#This Row],[Fiscal Year]],4))</f>
        <v>2011</v>
      </c>
      <c r="J247" s="20">
        <v>7032927</v>
      </c>
      <c r="K247" s="27">
        <f>IF(Budgets[[#This Row],[Reference Year]]&gt;2018,Budgets[[#This Row],[Value]],Budgets[[#This Row],[Value]]*(1+VLOOKUP(Budgets[[#This Row],[Reference Year]],Inflation[#All],3,FALSE)))</f>
        <v>7868841.5026100492</v>
      </c>
      <c r="L247" s="27">
        <f>Budgets[[#This Row],[2018 $ Value]]/VLOOKUP(Budgets[[#This Row],[Jurisdiction]],Places[],6,FALSE)</f>
        <v>98.188688577614784</v>
      </c>
      <c r="M247" s="27">
        <f>Budgets[[#This Row],[2018 $ Value]]/VLOOKUP(Budgets[[#This Row],[Jurisdiction]],Places[],7,FALSE)</f>
        <v>837110.79815000517</v>
      </c>
      <c r="N247" s="27"/>
      <c r="O247" s="27" t="s">
        <v>1460</v>
      </c>
      <c r="P247" s="4"/>
      <c r="Q247"/>
    </row>
    <row r="248" spans="1:17" x14ac:dyDescent="0.25">
      <c r="A248" s="19" t="s">
        <v>163</v>
      </c>
      <c r="B248" s="19" t="str">
        <f>INDEX(Places[Type],MATCH(Budgets[[#This Row],[Jurisdiction]],Places[Jurisdiction],0))</f>
        <v>City</v>
      </c>
      <c r="C248" s="19" t="str">
        <f>INDEX(Places[County],MATCH(Budgets[[#This Row],[Jurisdiction]],Places[Jurisdiction],0))</f>
        <v>Los Angeles</v>
      </c>
      <c r="D248" s="21" t="str">
        <f>INDEX(Places[Majority RB],MATCH(Budgets[[#This Row],[Jurisdiction]],Places[Jurisdiction],0))</f>
        <v>Los Angeles</v>
      </c>
      <c r="E248" s="19">
        <f>INDEX(Places[Majority RB '#],MATCH(Budgets[[#This Row],[Jurisdiction]],Places[Jurisdiction],0))</f>
        <v>4</v>
      </c>
      <c r="F248" s="19" t="str">
        <f>VLOOKUP(Budgets[[#This Row],[Jurisdiction]],Places[#All],8,FALSE)</f>
        <v>Phase I MS4</v>
      </c>
      <c r="G248" s="81"/>
      <c r="H248" s="100" t="s">
        <v>1871</v>
      </c>
      <c r="I248" s="21">
        <f>VALUE(LEFT(Budgets[[#This Row],[Fiscal Year]],4))</f>
        <v>2012</v>
      </c>
      <c r="J248" s="20">
        <v>7443887</v>
      </c>
      <c r="K248" s="27">
        <f>IF(Budgets[[#This Row],[Reference Year]]&gt;2018,Budgets[[#This Row],[Value]],Budgets[[#This Row],[Value]]*(1+VLOOKUP(Budgets[[#This Row],[Reference Year]],Inflation[#All],3,FALSE)))</f>
        <v>8158156.4882273525</v>
      </c>
      <c r="L248" s="27">
        <f>Budgets[[#This Row],[2018 $ Value]]/VLOOKUP(Budgets[[#This Row],[Jurisdiction]],Places[],6,FALSE)</f>
        <v>101.79880818851201</v>
      </c>
      <c r="M248" s="27">
        <f>Budgets[[#This Row],[2018 $ Value]]/VLOOKUP(Budgets[[#This Row],[Jurisdiction]],Places[],7,FALSE)</f>
        <v>867888.98810929281</v>
      </c>
      <c r="N248" s="27"/>
      <c r="O248" s="27" t="s">
        <v>1460</v>
      </c>
      <c r="P248" s="4"/>
      <c r="Q248"/>
    </row>
    <row r="249" spans="1:17" x14ac:dyDescent="0.25">
      <c r="A249" s="19" t="s">
        <v>163</v>
      </c>
      <c r="B249" s="19" t="str">
        <f>INDEX(Places[Type],MATCH(Budgets[[#This Row],[Jurisdiction]],Places[Jurisdiction],0))</f>
        <v>City</v>
      </c>
      <c r="C249" s="19" t="str">
        <f>INDEX(Places[County],MATCH(Budgets[[#This Row],[Jurisdiction]],Places[Jurisdiction],0))</f>
        <v>Los Angeles</v>
      </c>
      <c r="D249" s="21" t="str">
        <f>INDEX(Places[Majority RB],MATCH(Budgets[[#This Row],[Jurisdiction]],Places[Jurisdiction],0))</f>
        <v>Los Angeles</v>
      </c>
      <c r="E249" s="19">
        <f>INDEX(Places[Majority RB '#],MATCH(Budgets[[#This Row],[Jurisdiction]],Places[Jurisdiction],0))</f>
        <v>4</v>
      </c>
      <c r="F249" s="19" t="str">
        <f>VLOOKUP(Budgets[[#This Row],[Jurisdiction]],Places[#All],8,FALSE)</f>
        <v>Phase I MS4</v>
      </c>
      <c r="G249" s="81"/>
      <c r="H249" s="100" t="s">
        <v>1869</v>
      </c>
      <c r="I249" s="21">
        <f>VALUE(LEFT(Budgets[[#This Row],[Fiscal Year]],4))</f>
        <v>2016</v>
      </c>
      <c r="J249" s="20">
        <v>7280580</v>
      </c>
      <c r="K249" s="27">
        <f>IF(Budgets[[#This Row],[Reference Year]]&gt;2018,Budgets[[#This Row],[Value]],Budgets[[#This Row],[Value]]*(1+VLOOKUP(Budgets[[#This Row],[Reference Year]],Inflation[#All],3,FALSE)))</f>
        <v>7633415.1082500005</v>
      </c>
      <c r="L249" s="27">
        <f>Budgets[[#This Row],[2018 $ Value]]/VLOOKUP(Budgets[[#This Row],[Jurisdiction]],Places[],6,FALSE)</f>
        <v>95.250999603818329</v>
      </c>
      <c r="M249" s="27">
        <f>Budgets[[#This Row],[2018 $ Value]]/VLOOKUP(Budgets[[#This Row],[Jurisdiction]],Places[],7,FALSE)</f>
        <v>812065.43704787234</v>
      </c>
      <c r="N249" s="27"/>
      <c r="O249" s="27" t="s">
        <v>1853</v>
      </c>
      <c r="P249" s="4"/>
      <c r="Q249"/>
    </row>
    <row r="250" spans="1:17" x14ac:dyDescent="0.25">
      <c r="A250" s="19" t="s">
        <v>224</v>
      </c>
      <c r="B250" s="19" t="str">
        <f>INDEX(Places[Type],MATCH(Budgets[[#This Row],[Jurisdiction]],Places[Jurisdiction],0))</f>
        <v>City</v>
      </c>
      <c r="C250" s="19" t="str">
        <f>INDEX(Places[County],MATCH(Budgets[[#This Row],[Jurisdiction]],Places[Jurisdiction],0))</f>
        <v>Los Angeles</v>
      </c>
      <c r="D250" s="21" t="str">
        <f>INDEX(Places[Majority RB],MATCH(Budgets[[#This Row],[Jurisdiction]],Places[Jurisdiction],0))</f>
        <v>Los Angeles</v>
      </c>
      <c r="E250" s="19">
        <f>INDEX(Places[Majority RB '#],MATCH(Budgets[[#This Row],[Jurisdiction]],Places[Jurisdiction],0))</f>
        <v>4</v>
      </c>
      <c r="F250" s="19" t="str">
        <f>VLOOKUP(Budgets[[#This Row],[Jurisdiction]],Places[#All],8,FALSE)</f>
        <v>Phase I MS4</v>
      </c>
      <c r="G250" s="81"/>
      <c r="H250" s="21" t="s">
        <v>1870</v>
      </c>
      <c r="I250" s="21">
        <f>VALUE(LEFT(Budgets[[#This Row],[Fiscal Year]],4))</f>
        <v>2011</v>
      </c>
      <c r="J250" s="20">
        <v>580920</v>
      </c>
      <c r="K250" s="27">
        <f>IF(Budgets[[#This Row],[Reference Year]]&gt;2018,Budgets[[#This Row],[Value]],Budgets[[#This Row],[Value]]*(1+VLOOKUP(Budgets[[#This Row],[Reference Year]],Inflation[#All],3,FALSE)))</f>
        <v>649966.56522899074</v>
      </c>
      <c r="L250" s="27">
        <f>Budgets[[#This Row],[2018 $ Value]]/VLOOKUP(Budgets[[#This Row],[Jurisdiction]],Places[],6,FALSE)</f>
        <v>19.843883654789973</v>
      </c>
      <c r="M250" s="27">
        <f>Budgets[[#This Row],[2018 $ Value]]/VLOOKUP(Budgets[[#This Row],[Jurisdiction]],Places[],7,FALSE)</f>
        <v>324983.28261449537</v>
      </c>
      <c r="N250" s="27"/>
      <c r="O250" s="27" t="s">
        <v>1460</v>
      </c>
      <c r="P250" s="4"/>
      <c r="Q250"/>
    </row>
    <row r="251" spans="1:17" x14ac:dyDescent="0.25">
      <c r="A251" s="19" t="s">
        <v>224</v>
      </c>
      <c r="B251" s="19" t="str">
        <f>INDEX(Places[Type],MATCH(Budgets[[#This Row],[Jurisdiction]],Places[Jurisdiction],0))</f>
        <v>City</v>
      </c>
      <c r="C251" s="19" t="str">
        <f>INDEX(Places[County],MATCH(Budgets[[#This Row],[Jurisdiction]],Places[Jurisdiction],0))</f>
        <v>Los Angeles</v>
      </c>
      <c r="D251" s="21" t="str">
        <f>INDEX(Places[Majority RB],MATCH(Budgets[[#This Row],[Jurisdiction]],Places[Jurisdiction],0))</f>
        <v>Los Angeles</v>
      </c>
      <c r="E251" s="19">
        <f>INDEX(Places[Majority RB '#],MATCH(Budgets[[#This Row],[Jurisdiction]],Places[Jurisdiction],0))</f>
        <v>4</v>
      </c>
      <c r="F251" s="19" t="str">
        <f>VLOOKUP(Budgets[[#This Row],[Jurisdiction]],Places[#All],8,FALSE)</f>
        <v>Phase I MS4</v>
      </c>
      <c r="G251" s="81"/>
      <c r="H251" s="21" t="s">
        <v>1871</v>
      </c>
      <c r="I251" s="21">
        <f>VALUE(LEFT(Budgets[[#This Row],[Fiscal Year]],4))</f>
        <v>2012</v>
      </c>
      <c r="J251" s="20">
        <v>580920</v>
      </c>
      <c r="K251" s="27">
        <f>IF(Budgets[[#This Row],[Reference Year]]&gt;2018,Budgets[[#This Row],[Value]],Budgets[[#This Row],[Value]]*(1+VLOOKUP(Budgets[[#This Row],[Reference Year]],Inflation[#All],3,FALSE)))</f>
        <v>636661.5005226481</v>
      </c>
      <c r="L251" s="27">
        <f>Budgets[[#This Row],[2018 $ Value]]/VLOOKUP(Budgets[[#This Row],[Jurisdiction]],Places[],6,FALSE)</f>
        <v>19.437671750706727</v>
      </c>
      <c r="M251" s="27">
        <f>Budgets[[#This Row],[2018 $ Value]]/VLOOKUP(Budgets[[#This Row],[Jurisdiction]],Places[],7,FALSE)</f>
        <v>318330.75026132405</v>
      </c>
      <c r="N251" s="27"/>
      <c r="O251" s="27" t="s">
        <v>1460</v>
      </c>
      <c r="P251" s="4"/>
      <c r="Q251"/>
    </row>
    <row r="252" spans="1:17" x14ac:dyDescent="0.25">
      <c r="A252" s="19" t="s">
        <v>224</v>
      </c>
      <c r="B252" s="19" t="str">
        <f>INDEX(Places[Type],MATCH(Budgets[[#This Row],[Jurisdiction]],Places[Jurisdiction],0))</f>
        <v>City</v>
      </c>
      <c r="C252" s="19" t="str">
        <f>INDEX(Places[County],MATCH(Budgets[[#This Row],[Jurisdiction]],Places[Jurisdiction],0))</f>
        <v>Los Angeles</v>
      </c>
      <c r="D252" s="21" t="str">
        <f>INDEX(Places[Majority RB],MATCH(Budgets[[#This Row],[Jurisdiction]],Places[Jurisdiction],0))</f>
        <v>Los Angeles</v>
      </c>
      <c r="E252" s="19">
        <f>INDEX(Places[Majority RB '#],MATCH(Budgets[[#This Row],[Jurisdiction]],Places[Jurisdiction],0))</f>
        <v>4</v>
      </c>
      <c r="F252" s="19" t="str">
        <f>VLOOKUP(Budgets[[#This Row],[Jurisdiction]],Places[#All],8,FALSE)</f>
        <v>Phase I MS4</v>
      </c>
      <c r="G252" s="81"/>
      <c r="H252" s="21" t="s">
        <v>1869</v>
      </c>
      <c r="I252" s="21">
        <f>VALUE(LEFT(Budgets[[#This Row],[Fiscal Year]],4))</f>
        <v>2016</v>
      </c>
      <c r="J252" s="20">
        <v>217180</v>
      </c>
      <c r="K252" s="27">
        <f>IF(Budgets[[#This Row],[Reference Year]]&gt;2018,Budgets[[#This Row],[Value]],Budgets[[#This Row],[Value]]*(1+VLOOKUP(Budgets[[#This Row],[Reference Year]],Inflation[#All],3,FALSE)))</f>
        <v>227705.08575000003</v>
      </c>
      <c r="L252" s="27">
        <f>Budgets[[#This Row],[2018 $ Value]]/VLOOKUP(Budgets[[#This Row],[Jurisdiction]],Places[],6,FALSE)</f>
        <v>6.9519779492581071</v>
      </c>
      <c r="M252" s="27">
        <f>Budgets[[#This Row],[2018 $ Value]]/VLOOKUP(Budgets[[#This Row],[Jurisdiction]],Places[],7,FALSE)</f>
        <v>113852.54287500001</v>
      </c>
      <c r="N252" s="27"/>
      <c r="O252" s="27" t="s">
        <v>1853</v>
      </c>
      <c r="P252" s="4"/>
      <c r="Q252"/>
    </row>
    <row r="253" spans="1:17" x14ac:dyDescent="0.25">
      <c r="A253" s="19" t="s">
        <v>246</v>
      </c>
      <c r="B253" s="19" t="str">
        <f>INDEX(Places[Type],MATCH(Budgets[[#This Row],[Jurisdiction]],Places[Jurisdiction],0))</f>
        <v>City</v>
      </c>
      <c r="C253" s="19" t="str">
        <f>INDEX(Places[County],MATCH(Budgets[[#This Row],[Jurisdiction]],Places[Jurisdiction],0))</f>
        <v>San Bernardino</v>
      </c>
      <c r="D253" s="21" t="str">
        <f>INDEX(Places[Majority RB],MATCH(Budgets[[#This Row],[Jurisdiction]],Places[Jurisdiction],0))</f>
        <v>Santa Ana</v>
      </c>
      <c r="E253" s="19">
        <f>INDEX(Places[Majority RB '#],MATCH(Budgets[[#This Row],[Jurisdiction]],Places[Jurisdiction],0))</f>
        <v>8</v>
      </c>
      <c r="F253" s="19" t="str">
        <f>VLOOKUP(Budgets[[#This Row],[Jurisdiction]],Places[#All],8,FALSE)</f>
        <v>Phase I MS4</v>
      </c>
      <c r="G253" s="81"/>
      <c r="H253" s="21" t="s">
        <v>1871</v>
      </c>
      <c r="I253" s="21">
        <f>VALUE(LEFT(Budgets[[#This Row],[Fiscal Year]],4))</f>
        <v>2012</v>
      </c>
      <c r="J253" s="20">
        <v>219000</v>
      </c>
      <c r="K253" s="27">
        <f>IF(Budgets[[#This Row],[Reference Year]]&gt;2018,Budgets[[#This Row],[Value]],Budgets[[#This Row],[Value]]*(1+VLOOKUP(Budgets[[#This Row],[Reference Year]],Inflation[#All],3,FALSE)))</f>
        <v>240013.8893728223</v>
      </c>
      <c r="L253" s="27">
        <f>Budgets[[#This Row],[2018 $ Value]]/VLOOKUP(Budgets[[#This Row],[Jurisdiction]],Places[],6,FALSE)</f>
        <v>9.8438967013707774</v>
      </c>
      <c r="M253" s="27">
        <f>Budgets[[#This Row],[2018 $ Value]]/VLOOKUP(Budgets[[#This Row],[Jurisdiction]],Places[],7,FALSE)</f>
        <v>32001.851916376309</v>
      </c>
      <c r="N253" s="27"/>
      <c r="O253" s="27" t="s">
        <v>1460</v>
      </c>
      <c r="P253" s="4"/>
      <c r="Q253"/>
    </row>
    <row r="254" spans="1:17" x14ac:dyDescent="0.25">
      <c r="A254" s="19" t="s">
        <v>246</v>
      </c>
      <c r="B254" s="19" t="str">
        <f>INDEX(Places[Type],MATCH(Budgets[[#This Row],[Jurisdiction]],Places[Jurisdiction],0))</f>
        <v>City</v>
      </c>
      <c r="C254" s="19" t="str">
        <f>INDEX(Places[County],MATCH(Budgets[[#This Row],[Jurisdiction]],Places[Jurisdiction],0))</f>
        <v>San Bernardino</v>
      </c>
      <c r="D254" s="21" t="str">
        <f>INDEX(Places[Majority RB],MATCH(Budgets[[#This Row],[Jurisdiction]],Places[Jurisdiction],0))</f>
        <v>Santa Ana</v>
      </c>
      <c r="E254" s="19">
        <f>INDEX(Places[Majority RB '#],MATCH(Budgets[[#This Row],[Jurisdiction]],Places[Jurisdiction],0))</f>
        <v>8</v>
      </c>
      <c r="F254" s="19" t="str">
        <f>VLOOKUP(Budgets[[#This Row],[Jurisdiction]],Places[#All],8,FALSE)</f>
        <v>Phase I MS4</v>
      </c>
      <c r="G254" s="81"/>
      <c r="H254" s="21" t="s">
        <v>1880</v>
      </c>
      <c r="I254" s="21">
        <f>VALUE(LEFT(Budgets[[#This Row],[Fiscal Year]],4))</f>
        <v>2013</v>
      </c>
      <c r="J254" s="20">
        <v>222000</v>
      </c>
      <c r="K254" s="27">
        <f>IF(Budgets[[#This Row],[Reference Year]]&gt;2018,Budgets[[#This Row],[Value]],Budgets[[#This Row],[Value]]*(1+VLOOKUP(Budgets[[#This Row],[Reference Year]],Inflation[#All],3,FALSE)))</f>
        <v>239751.42489270386</v>
      </c>
      <c r="L254" s="27">
        <f>Budgets[[#This Row],[2018 $ Value]]/VLOOKUP(Budgets[[#This Row],[Jurisdiction]],Places[],6,FALSE)</f>
        <v>9.8331320192233562</v>
      </c>
      <c r="M254" s="27">
        <f>Budgets[[#This Row],[2018 $ Value]]/VLOOKUP(Budgets[[#This Row],[Jurisdiction]],Places[],7,FALSE)</f>
        <v>31966.856652360515</v>
      </c>
      <c r="N254" s="27"/>
      <c r="O254" s="27" t="s">
        <v>1460</v>
      </c>
      <c r="P254" s="4"/>
      <c r="Q254"/>
    </row>
    <row r="255" spans="1:17" x14ac:dyDescent="0.25">
      <c r="A255" s="19" t="s">
        <v>246</v>
      </c>
      <c r="B255" s="19" t="str">
        <f>INDEX(Places[Type],MATCH(Budgets[[#This Row],[Jurisdiction]],Places[Jurisdiction],0))</f>
        <v>City</v>
      </c>
      <c r="C255" s="19" t="str">
        <f>INDEX(Places[County],MATCH(Budgets[[#This Row],[Jurisdiction]],Places[Jurisdiction],0))</f>
        <v>San Bernardino</v>
      </c>
      <c r="D255" s="21" t="str">
        <f>INDEX(Places[Majority RB],MATCH(Budgets[[#This Row],[Jurisdiction]],Places[Jurisdiction],0))</f>
        <v>Santa Ana</v>
      </c>
      <c r="E255" s="19">
        <f>INDEX(Places[Majority RB '#],MATCH(Budgets[[#This Row],[Jurisdiction]],Places[Jurisdiction],0))</f>
        <v>8</v>
      </c>
      <c r="F255" s="19" t="str">
        <f>VLOOKUP(Budgets[[#This Row],[Jurisdiction]],Places[#All],8,FALSE)</f>
        <v>Phase I MS4</v>
      </c>
      <c r="G255" s="81"/>
      <c r="H255" s="21" t="s">
        <v>1873</v>
      </c>
      <c r="I255" s="21">
        <f>VALUE(LEFT(Budgets[[#This Row],[Fiscal Year]],4))</f>
        <v>2015</v>
      </c>
      <c r="J255" s="20">
        <v>229800</v>
      </c>
      <c r="K255" s="27">
        <f>IF(Budgets[[#This Row],[Reference Year]]&gt;2018,Budgets[[#This Row],[Value]],Budgets[[#This Row],[Value]]*(1+VLOOKUP(Budgets[[#This Row],[Reference Year]],Inflation[#All],3,FALSE)))</f>
        <v>243986.51392405061</v>
      </c>
      <c r="L255" s="27">
        <f>Budgets[[#This Row],[2018 $ Value]]/VLOOKUP(Budgets[[#This Row],[Jurisdiction]],Places[],6,FALSE)</f>
        <v>10.006829379216249</v>
      </c>
      <c r="M255" s="27">
        <f>Budgets[[#This Row],[2018 $ Value]]/VLOOKUP(Budgets[[#This Row],[Jurisdiction]],Places[],7,FALSE)</f>
        <v>32531.535189873415</v>
      </c>
      <c r="N255" s="27"/>
      <c r="O255" s="27" t="s">
        <v>1460</v>
      </c>
      <c r="P255" s="4"/>
      <c r="Q255"/>
    </row>
    <row r="256" spans="1:17" x14ac:dyDescent="0.25">
      <c r="A256" s="19" t="s">
        <v>246</v>
      </c>
      <c r="B256" s="19" t="str">
        <f>INDEX(Places[Type],MATCH(Budgets[[#This Row],[Jurisdiction]],Places[Jurisdiction],0))</f>
        <v>City</v>
      </c>
      <c r="C256" s="19" t="str">
        <f>INDEX(Places[County],MATCH(Budgets[[#This Row],[Jurisdiction]],Places[Jurisdiction],0))</f>
        <v>San Bernardino</v>
      </c>
      <c r="D256" s="21" t="str">
        <f>INDEX(Places[Majority RB],MATCH(Budgets[[#This Row],[Jurisdiction]],Places[Jurisdiction],0))</f>
        <v>Santa Ana</v>
      </c>
      <c r="E256" s="19">
        <f>INDEX(Places[Majority RB '#],MATCH(Budgets[[#This Row],[Jurisdiction]],Places[Jurisdiction],0))</f>
        <v>8</v>
      </c>
      <c r="F256" s="19" t="str">
        <f>VLOOKUP(Budgets[[#This Row],[Jurisdiction]],Places[#All],8,FALSE)</f>
        <v>Phase I MS4</v>
      </c>
      <c r="G256" s="81"/>
      <c r="H256" s="21" t="s">
        <v>1869</v>
      </c>
      <c r="I256" s="21">
        <f>VALUE(LEFT(Budgets[[#This Row],[Fiscal Year]],4))</f>
        <v>2016</v>
      </c>
      <c r="J256" s="20">
        <v>233000</v>
      </c>
      <c r="K256" s="27">
        <f>IF(Budgets[[#This Row],[Reference Year]]&gt;2018,Budgets[[#This Row],[Value]],Budgets[[#This Row],[Value]]*(1+VLOOKUP(Budgets[[#This Row],[Reference Year]],Inflation[#All],3,FALSE)))</f>
        <v>244291.76250000001</v>
      </c>
      <c r="L256" s="27">
        <f>Budgets[[#This Row],[2018 $ Value]]/VLOOKUP(Budgets[[#This Row],[Jurisdiction]],Places[],6,FALSE)</f>
        <v>10.019348802395211</v>
      </c>
      <c r="M256" s="27">
        <f>Budgets[[#This Row],[2018 $ Value]]/VLOOKUP(Budgets[[#This Row],[Jurisdiction]],Places[],7,FALSE)</f>
        <v>32572.235000000001</v>
      </c>
      <c r="N256" s="27"/>
      <c r="O256" s="27" t="s">
        <v>1853</v>
      </c>
      <c r="P256" s="4"/>
      <c r="Q256"/>
    </row>
    <row r="257" spans="1:17" x14ac:dyDescent="0.25">
      <c r="A257" s="19" t="s">
        <v>225</v>
      </c>
      <c r="B257" s="19" t="str">
        <f>INDEX(Places[Type],MATCH(Budgets[[#This Row],[Jurisdiction]],Places[Jurisdiction],0))</f>
        <v>City</v>
      </c>
      <c r="C257" s="19" t="str">
        <f>INDEX(Places[County],MATCH(Budgets[[#This Row],[Jurisdiction]],Places[Jurisdiction],0))</f>
        <v>Los Angeles</v>
      </c>
      <c r="D257" s="21" t="str">
        <f>INDEX(Places[Majority RB],MATCH(Budgets[[#This Row],[Jurisdiction]],Places[Jurisdiction],0))</f>
        <v>Los Angeles</v>
      </c>
      <c r="E257" s="19">
        <f>INDEX(Places[Majority RB '#],MATCH(Budgets[[#This Row],[Jurisdiction]],Places[Jurisdiction],0))</f>
        <v>4</v>
      </c>
      <c r="F257" s="19" t="str">
        <f>VLOOKUP(Budgets[[#This Row],[Jurisdiction]],Places[#All],8,FALSE)</f>
        <v>Phase I MS4</v>
      </c>
      <c r="G257" s="81"/>
      <c r="H257" s="21" t="s">
        <v>1870</v>
      </c>
      <c r="I257" s="21">
        <f>VALUE(LEFT(Budgets[[#This Row],[Fiscal Year]],4))</f>
        <v>2011</v>
      </c>
      <c r="J257" s="20">
        <v>399787</v>
      </c>
      <c r="K257" s="27">
        <f>IF(Budgets[[#This Row],[Reference Year]]&gt;2018,Budgets[[#This Row],[Value]],Budgets[[#This Row],[Value]]*(1+VLOOKUP(Budgets[[#This Row],[Reference Year]],Inflation[#All],3,FALSE)))</f>
        <v>447304.59136060474</v>
      </c>
      <c r="L257" s="27">
        <f>Budgets[[#This Row],[2018 $ Value]]/VLOOKUP(Budgets[[#This Row],[Jurisdiction]],Places[],6,FALSE)</f>
        <v>21.797407112743276</v>
      </c>
      <c r="M257" s="27">
        <f>Budgets[[#This Row],[2018 $ Value]]/VLOOKUP(Budgets[[#This Row],[Jurisdiction]],Places[],7,FALSE)</f>
        <v>235423.4691371604</v>
      </c>
      <c r="N257" s="27"/>
      <c r="O257" s="27" t="s">
        <v>1460</v>
      </c>
      <c r="P257" s="4"/>
      <c r="Q257"/>
    </row>
    <row r="258" spans="1:17" x14ac:dyDescent="0.25">
      <c r="A258" s="19" t="s">
        <v>225</v>
      </c>
      <c r="B258" s="19" t="str">
        <f>INDEX(Places[Type],MATCH(Budgets[[#This Row],[Jurisdiction]],Places[Jurisdiction],0))</f>
        <v>City</v>
      </c>
      <c r="C258" s="19" t="str">
        <f>INDEX(Places[County],MATCH(Budgets[[#This Row],[Jurisdiction]],Places[Jurisdiction],0))</f>
        <v>Los Angeles</v>
      </c>
      <c r="D258" s="21" t="str">
        <f>INDEX(Places[Majority RB],MATCH(Budgets[[#This Row],[Jurisdiction]],Places[Jurisdiction],0))</f>
        <v>Los Angeles</v>
      </c>
      <c r="E258" s="19">
        <f>INDEX(Places[Majority RB '#],MATCH(Budgets[[#This Row],[Jurisdiction]],Places[Jurisdiction],0))</f>
        <v>4</v>
      </c>
      <c r="F258" s="19" t="str">
        <f>VLOOKUP(Budgets[[#This Row],[Jurisdiction]],Places[#All],8,FALSE)</f>
        <v>Phase I MS4</v>
      </c>
      <c r="G258" s="81"/>
      <c r="H258" s="21" t="s">
        <v>1871</v>
      </c>
      <c r="I258" s="21">
        <f>VALUE(LEFT(Budgets[[#This Row],[Fiscal Year]],4))</f>
        <v>2012</v>
      </c>
      <c r="J258" s="20">
        <v>399787</v>
      </c>
      <c r="K258" s="27">
        <f>IF(Budgets[[#This Row],[Reference Year]]&gt;2018,Budgets[[#This Row],[Value]],Budgets[[#This Row],[Value]]*(1+VLOOKUP(Budgets[[#This Row],[Reference Year]],Inflation[#All],3,FALSE)))</f>
        <v>438148.09493466897</v>
      </c>
      <c r="L258" s="27">
        <f>Budgets[[#This Row],[2018 $ Value]]/VLOOKUP(Budgets[[#This Row],[Jurisdiction]],Places[],6,FALSE)</f>
        <v>21.351205834738511</v>
      </c>
      <c r="M258" s="27">
        <f>Budgets[[#This Row],[2018 $ Value]]/VLOOKUP(Budgets[[#This Row],[Jurisdiction]],Places[],7,FALSE)</f>
        <v>230604.26049193105</v>
      </c>
      <c r="N258" s="27"/>
      <c r="O258" s="27" t="s">
        <v>1460</v>
      </c>
      <c r="P258" s="4"/>
      <c r="Q258"/>
    </row>
    <row r="259" spans="1:17" x14ac:dyDescent="0.25">
      <c r="A259" s="19" t="s">
        <v>225</v>
      </c>
      <c r="B259" s="19" t="str">
        <f>INDEX(Places[Type],MATCH(Budgets[[#This Row],[Jurisdiction]],Places[Jurisdiction],0))</f>
        <v>City</v>
      </c>
      <c r="C259" s="19" t="str">
        <f>INDEX(Places[County],MATCH(Budgets[[#This Row],[Jurisdiction]],Places[Jurisdiction],0))</f>
        <v>Los Angeles</v>
      </c>
      <c r="D259" s="21" t="str">
        <f>INDEX(Places[Majority RB],MATCH(Budgets[[#This Row],[Jurisdiction]],Places[Jurisdiction],0))</f>
        <v>Los Angeles</v>
      </c>
      <c r="E259" s="19">
        <f>INDEX(Places[Majority RB '#],MATCH(Budgets[[#This Row],[Jurisdiction]],Places[Jurisdiction],0))</f>
        <v>4</v>
      </c>
      <c r="F259" s="19" t="str">
        <f>VLOOKUP(Budgets[[#This Row],[Jurisdiction]],Places[#All],8,FALSE)</f>
        <v>Phase I MS4</v>
      </c>
      <c r="G259" s="81"/>
      <c r="H259" s="21" t="s">
        <v>1869</v>
      </c>
      <c r="I259" s="21">
        <f>VALUE(LEFT(Budgets[[#This Row],[Fiscal Year]],4))</f>
        <v>2016</v>
      </c>
      <c r="J259" s="20">
        <v>201000</v>
      </c>
      <c r="K259" s="27">
        <f>IF(Budgets[[#This Row],[Reference Year]]&gt;2018,Budgets[[#This Row],[Value]],Budgets[[#This Row],[Value]]*(1+VLOOKUP(Budgets[[#This Row],[Reference Year]],Inflation[#All],3,FALSE)))</f>
        <v>210740.96250000002</v>
      </c>
      <c r="L259" s="27">
        <f>Budgets[[#This Row],[2018 $ Value]]/VLOOKUP(Budgets[[#This Row],[Jurisdiction]],Places[],6,FALSE)</f>
        <v>10.269526948004485</v>
      </c>
      <c r="M259" s="27">
        <f>Budgets[[#This Row],[2018 $ Value]]/VLOOKUP(Budgets[[#This Row],[Jurisdiction]],Places[],7,FALSE)</f>
        <v>110916.2960526316</v>
      </c>
      <c r="N259" s="27"/>
      <c r="O259" s="27" t="s">
        <v>1853</v>
      </c>
      <c r="P259" s="4"/>
      <c r="Q259"/>
    </row>
    <row r="260" spans="1:17" x14ac:dyDescent="0.25">
      <c r="A260" s="19" t="s">
        <v>158</v>
      </c>
      <c r="B260" s="19" t="str">
        <f>INDEX(Places[Type],MATCH(Budgets[[#This Row],[Jurisdiction]],Places[Jurisdiction],0))</f>
        <v>City</v>
      </c>
      <c r="C260" s="19" t="str">
        <f>INDEX(Places[County],MATCH(Budgets[[#This Row],[Jurisdiction]],Places[Jurisdiction],0))</f>
        <v>Los Angeles</v>
      </c>
      <c r="D260" s="21" t="str">
        <f>INDEX(Places[Majority RB],MATCH(Budgets[[#This Row],[Jurisdiction]],Places[Jurisdiction],0))</f>
        <v>Los Angeles</v>
      </c>
      <c r="E260" s="19">
        <f>INDEX(Places[Majority RB '#],MATCH(Budgets[[#This Row],[Jurisdiction]],Places[Jurisdiction],0))</f>
        <v>4</v>
      </c>
      <c r="F260" s="19" t="str">
        <f>VLOOKUP(Budgets[[#This Row],[Jurisdiction]],Places[#All],8,FALSE)</f>
        <v>Phase I MS4</v>
      </c>
      <c r="G260" s="81"/>
      <c r="H260" s="100" t="s">
        <v>1869</v>
      </c>
      <c r="I260" s="21">
        <f>VALUE(LEFT(Budgets[[#This Row],[Fiscal Year]],4))</f>
        <v>2016</v>
      </c>
      <c r="J260" s="20">
        <v>1423000</v>
      </c>
      <c r="K260" s="27">
        <f>IF(Budgets[[#This Row],[Reference Year]]&gt;2018,Budgets[[#This Row],[Value]],Budgets[[#This Row],[Value]]*(1+VLOOKUP(Budgets[[#This Row],[Reference Year]],Inflation[#All],3,FALSE)))</f>
        <v>1491962.1375000002</v>
      </c>
      <c r="L260" s="27">
        <f>Budgets[[#This Row],[2018 $ Value]]/VLOOKUP(Budgets[[#This Row],[Jurisdiction]],Places[],6,FALSE)</f>
        <v>3.192359833231341</v>
      </c>
      <c r="M260" s="27">
        <f>Budgets[[#This Row],[2018 $ Value]]/VLOOKUP(Budgets[[#This Row],[Jurisdiction]],Places[],7,FALSE)</f>
        <v>29661.275099403585</v>
      </c>
      <c r="N260" s="27"/>
      <c r="O260" s="27" t="s">
        <v>1853</v>
      </c>
      <c r="P260" s="4"/>
      <c r="Q260"/>
    </row>
    <row r="261" spans="1:17" x14ac:dyDescent="0.25">
      <c r="A261" s="19" t="s">
        <v>283</v>
      </c>
      <c r="B261" s="19" t="str">
        <f>INDEX(Places[Type],MATCH(Budgets[[#This Row],[Jurisdiction]],Places[Jurisdiction],0))</f>
        <v>City</v>
      </c>
      <c r="C261" s="19" t="str">
        <f>INDEX(Places[County],MATCH(Budgets[[#This Row],[Jurisdiction]],Places[Jurisdiction],0))</f>
        <v>Orange</v>
      </c>
      <c r="D261" s="21" t="str">
        <f>INDEX(Places[Majority RB],MATCH(Budgets[[#This Row],[Jurisdiction]],Places[Jurisdiction],0))</f>
        <v>Santa Ana</v>
      </c>
      <c r="E261" s="19">
        <f>INDEX(Places[Majority RB '#],MATCH(Budgets[[#This Row],[Jurisdiction]],Places[Jurisdiction],0))</f>
        <v>8</v>
      </c>
      <c r="F261" s="19" t="str">
        <f>VLOOKUP(Budgets[[#This Row],[Jurisdiction]],Places[#All],8,FALSE)</f>
        <v>Phase I MS4</v>
      </c>
      <c r="G261" s="81"/>
      <c r="H261" s="21" t="s">
        <v>1875</v>
      </c>
      <c r="I261" s="21">
        <f>VALUE(LEFT(Budgets[[#This Row],[Fiscal Year]],4))</f>
        <v>2001</v>
      </c>
      <c r="J261" s="20">
        <v>66800</v>
      </c>
      <c r="K261" s="27">
        <f>IF(Budgets[[#This Row],[Reference Year]]&gt;2018,Budgets[[#This Row],[Value]],Budgets[[#This Row],[Value]]*(1+VLOOKUP(Budgets[[#This Row],[Reference Year]],Inflation[#All],3,FALSE)))</f>
        <v>94912.201016374922</v>
      </c>
      <c r="L261" s="27">
        <f>Budgets[[#This Row],[2018 $ Value]]/VLOOKUP(Budgets[[#This Row],[Jurisdiction]],Places[],6,FALSE)</f>
        <v>8.2324747173540569</v>
      </c>
      <c r="M261" s="27">
        <f>Budgets[[#This Row],[2018 $ Value]]/VLOOKUP(Budgets[[#This Row],[Jurisdiction]],Places[],7,FALSE)</f>
        <v>23728.05025409373</v>
      </c>
      <c r="N261" s="27"/>
      <c r="O261" s="27" t="s">
        <v>1853</v>
      </c>
      <c r="P261" s="4"/>
      <c r="Q261"/>
    </row>
    <row r="262" spans="1:17" x14ac:dyDescent="0.25">
      <c r="A262" s="19" t="s">
        <v>12</v>
      </c>
      <c r="B262" s="19" t="str">
        <f>INDEX(Places[Type],MATCH(Budgets[[#This Row],[Jurisdiction]],Places[Jurisdiction],0))</f>
        <v>City</v>
      </c>
      <c r="C262" s="19" t="str">
        <f>INDEX(Places[County],MATCH(Budgets[[#This Row],[Jurisdiction]],Places[Jurisdiction],0))</f>
        <v>Los Angeles</v>
      </c>
      <c r="D262" s="19" t="str">
        <f>INDEX(Places[Majority RB],MATCH(Budgets[[#This Row],[Jurisdiction]],Places[Jurisdiction],0))</f>
        <v>Los Angeles</v>
      </c>
      <c r="E262" s="19">
        <f>INDEX(Places[Majority RB '#],MATCH(Budgets[[#This Row],[Jurisdiction]],Places[Jurisdiction],0))</f>
        <v>4</v>
      </c>
      <c r="F262" s="19" t="str">
        <f>VLOOKUP(Budgets[[#This Row],[Jurisdiction]],Places[#All],8,FALSE)</f>
        <v>Phase I MS4</v>
      </c>
      <c r="G262" s="81"/>
      <c r="H262" s="100" t="s">
        <v>1870</v>
      </c>
      <c r="I262" s="21">
        <f>VALUE(LEFT(Budgets[[#This Row],[Fiscal Year]],4))</f>
        <v>2011</v>
      </c>
      <c r="J262" s="20">
        <v>472285633</v>
      </c>
      <c r="K262" s="27">
        <f>IF(Budgets[[#This Row],[Reference Year]]&gt;2018,Budgets[[#This Row],[Value]],Budgets[[#This Row],[Value]]*(1+VLOOKUP(Budgets[[#This Row],[Reference Year]],Inflation[#All],3,FALSE)))</f>
        <v>528420213.95030236</v>
      </c>
      <c r="L262" s="27">
        <f>Budgets[[#This Row],[2018 $ Value]]/VLOOKUP(Budgets[[#This Row],[Jurisdiction]],Places[],6,FALSE)</f>
        <v>132.4210100174773</v>
      </c>
      <c r="M262" s="27">
        <f>Budgets[[#This Row],[2018 $ Value]]/VLOOKUP(Budgets[[#This Row],[Jurisdiction]],Places[],7,FALSE)</f>
        <v>1127416.7142101608</v>
      </c>
      <c r="N262" s="27"/>
      <c r="O262" s="27" t="s">
        <v>1460</v>
      </c>
      <c r="P262" s="4"/>
      <c r="Q262"/>
    </row>
    <row r="263" spans="1:17" x14ac:dyDescent="0.25">
      <c r="A263" s="19" t="s">
        <v>12</v>
      </c>
      <c r="B263" s="19" t="str">
        <f>INDEX(Places[Type],MATCH(Budgets[[#This Row],[Jurisdiction]],Places[Jurisdiction],0))</f>
        <v>City</v>
      </c>
      <c r="C263" s="19" t="str">
        <f>INDEX(Places[County],MATCH(Budgets[[#This Row],[Jurisdiction]],Places[Jurisdiction],0))</f>
        <v>Los Angeles</v>
      </c>
      <c r="D263" s="19" t="str">
        <f>INDEX(Places[Majority RB],MATCH(Budgets[[#This Row],[Jurisdiction]],Places[Jurisdiction],0))</f>
        <v>Los Angeles</v>
      </c>
      <c r="E263" s="19">
        <f>INDEX(Places[Majority RB '#],MATCH(Budgets[[#This Row],[Jurisdiction]],Places[Jurisdiction],0))</f>
        <v>4</v>
      </c>
      <c r="F263" s="19" t="str">
        <f>VLOOKUP(Budgets[[#This Row],[Jurisdiction]],Places[#All],8,FALSE)</f>
        <v>Phase I MS4</v>
      </c>
      <c r="G263" s="81"/>
      <c r="H263" s="100" t="s">
        <v>1869</v>
      </c>
      <c r="I263" s="21">
        <f>VALUE(LEFT(Budgets[[#This Row],[Fiscal Year]],4))</f>
        <v>2016</v>
      </c>
      <c r="J263" s="20">
        <v>105551329.59999999</v>
      </c>
      <c r="K263" s="27">
        <f>IF(Budgets[[#This Row],[Reference Year]]&gt;2018,Budgets[[#This Row],[Value]],Budgets[[#This Row],[Value]]*(1+VLOOKUP(Budgets[[#This Row],[Reference Year]],Inflation[#All],3,FALSE)))</f>
        <v>110666610.91074</v>
      </c>
      <c r="L263" s="27">
        <f>Budgets[[#This Row],[2018 $ Value]]/VLOOKUP(Budgets[[#This Row],[Jurisdiction]],Places[],6,FALSE)</f>
        <v>27.732823243945052</v>
      </c>
      <c r="M263" s="27">
        <f>Budgets[[#This Row],[2018 $ Value]]/VLOOKUP(Budgets[[#This Row],[Jurisdiction]],Places[],7,FALSE)</f>
        <v>236113.95543149137</v>
      </c>
      <c r="N263" s="27"/>
      <c r="O263" s="27" t="s">
        <v>1853</v>
      </c>
      <c r="P263" s="4"/>
      <c r="Q263"/>
    </row>
    <row r="264" spans="1:17" x14ac:dyDescent="0.25">
      <c r="A264" s="19" t="s">
        <v>1435</v>
      </c>
      <c r="B264" s="19" t="str">
        <f>INDEX(Places[Type],MATCH(Budgets[[#This Row],[Jurisdiction]],Places[Jurisdiction],0))</f>
        <v>County</v>
      </c>
      <c r="C264" s="19" t="str">
        <f>INDEX(Places[County],MATCH(Budgets[[#This Row],[Jurisdiction]],Places[Jurisdiction],0))</f>
        <v>Los Angeles</v>
      </c>
      <c r="D264" s="19" t="str">
        <f>INDEX(Places[Majority RB],MATCH(Budgets[[#This Row],[Jurisdiction]],Places[Jurisdiction],0))</f>
        <v>Los Angeles</v>
      </c>
      <c r="E264" s="19">
        <f>INDEX(Places[Majority RB '#],MATCH(Budgets[[#This Row],[Jurisdiction]],Places[Jurisdiction],0))</f>
        <v>4</v>
      </c>
      <c r="F264" s="19" t="str">
        <f>VLOOKUP(Budgets[[#This Row],[Jurisdiction]],Places[#All],8,FALSE)</f>
        <v>Phase I MS4</v>
      </c>
      <c r="G264" s="81" t="s">
        <v>1857</v>
      </c>
      <c r="H264" s="21" t="s">
        <v>1870</v>
      </c>
      <c r="I264" s="21">
        <f>VALUE(LEFT(Budgets[[#This Row],[Fiscal Year]],4))</f>
        <v>2011</v>
      </c>
      <c r="J264" s="20">
        <v>472064571</v>
      </c>
      <c r="K264" s="27">
        <f>IF(Budgets[[#This Row],[Reference Year]]&gt;2018,Budgets[[#This Row],[Value]],Budgets[[#This Row],[Value]]*(1+VLOOKUP(Budgets[[#This Row],[Reference Year]],Inflation[#All],3,FALSE)))</f>
        <v>528172877.12450427</v>
      </c>
      <c r="L264" s="27" t="e">
        <f>Budgets[[#This Row],[2018 $ Value]]/VLOOKUP(Budgets[[#This Row],[Jurisdiction]],Places[],6,FALSE)</f>
        <v>#N/A</v>
      </c>
      <c r="M264" s="27" t="e">
        <f>Budgets[[#This Row],[2018 $ Value]]/VLOOKUP(Budgets[[#This Row],[Jurisdiction]],Places[],7,FALSE)</f>
        <v>#N/A</v>
      </c>
      <c r="N264" s="27"/>
      <c r="O264" s="27" t="s">
        <v>1460</v>
      </c>
      <c r="P264" s="4"/>
      <c r="Q264"/>
    </row>
    <row r="265" spans="1:17" x14ac:dyDescent="0.25">
      <c r="A265" s="19" t="s">
        <v>1435</v>
      </c>
      <c r="B265" s="19" t="str">
        <f>INDEX(Places[Type],MATCH(Budgets[[#This Row],[Jurisdiction]],Places[Jurisdiction],0))</f>
        <v>County</v>
      </c>
      <c r="C265" s="19" t="str">
        <f>INDEX(Places[County],MATCH(Budgets[[#This Row],[Jurisdiction]],Places[Jurisdiction],0))</f>
        <v>Los Angeles</v>
      </c>
      <c r="D265" s="19" t="str">
        <f>INDEX(Places[Majority RB],MATCH(Budgets[[#This Row],[Jurisdiction]],Places[Jurisdiction],0))</f>
        <v>Los Angeles</v>
      </c>
      <c r="E265" s="19">
        <f>INDEX(Places[Majority RB '#],MATCH(Budgets[[#This Row],[Jurisdiction]],Places[Jurisdiction],0))</f>
        <v>4</v>
      </c>
      <c r="F265" s="19" t="str">
        <f>VLOOKUP(Budgets[[#This Row],[Jurisdiction]],Places[#All],8,FALSE)</f>
        <v>Phase I MS4</v>
      </c>
      <c r="G265" s="81"/>
      <c r="H265" s="21" t="s">
        <v>1880</v>
      </c>
      <c r="I265" s="21">
        <f>VALUE(LEFT(Budgets[[#This Row],[Fiscal Year]],4))</f>
        <v>2013</v>
      </c>
      <c r="J265" s="20">
        <v>81052773</v>
      </c>
      <c r="K265" s="27">
        <f>IF(Budgets[[#This Row],[Reference Year]]&gt;2018,Budgets[[#This Row],[Value]],Budgets[[#This Row],[Value]]*(1+VLOOKUP(Budgets[[#This Row],[Reference Year]],Inflation[#All],3,FALSE)))</f>
        <v>87533864.046193138</v>
      </c>
      <c r="L265" s="27" t="e">
        <f>Budgets[[#This Row],[2018 $ Value]]/VLOOKUP(Budgets[[#This Row],[Jurisdiction]],Places[],6,FALSE)</f>
        <v>#N/A</v>
      </c>
      <c r="M265" s="27" t="e">
        <f>Budgets[[#This Row],[2018 $ Value]]/VLOOKUP(Budgets[[#This Row],[Jurisdiction]],Places[],7,FALSE)</f>
        <v>#N/A</v>
      </c>
      <c r="N265" s="27"/>
      <c r="O265" s="27" t="s">
        <v>1460</v>
      </c>
      <c r="P265" s="4"/>
      <c r="Q265"/>
    </row>
    <row r="266" spans="1:17" x14ac:dyDescent="0.25">
      <c r="A266" s="19" t="s">
        <v>1435</v>
      </c>
      <c r="B266" s="19" t="str">
        <f>INDEX(Places[Type],MATCH(Budgets[[#This Row],[Jurisdiction]],Places[Jurisdiction],0))</f>
        <v>County</v>
      </c>
      <c r="C266" s="19" t="str">
        <f>INDEX(Places[County],MATCH(Budgets[[#This Row],[Jurisdiction]],Places[Jurisdiction],0))</f>
        <v>Los Angeles</v>
      </c>
      <c r="D266" s="19" t="str">
        <f>INDEX(Places[Majority RB],MATCH(Budgets[[#This Row],[Jurisdiction]],Places[Jurisdiction],0))</f>
        <v>Los Angeles</v>
      </c>
      <c r="E266" s="19">
        <f>INDEX(Places[Majority RB '#],MATCH(Budgets[[#This Row],[Jurisdiction]],Places[Jurisdiction],0))</f>
        <v>4</v>
      </c>
      <c r="F266" s="19" t="str">
        <f>VLOOKUP(Budgets[[#This Row],[Jurisdiction]],Places[#All],8,FALSE)</f>
        <v>Phase I MS4</v>
      </c>
      <c r="G266" s="81"/>
      <c r="H266" s="21" t="s">
        <v>1881</v>
      </c>
      <c r="I266" s="21">
        <f>VALUE(LEFT(Budgets[[#This Row],[Fiscal Year]],4))</f>
        <v>2014</v>
      </c>
      <c r="J266" s="20">
        <v>80872000</v>
      </c>
      <c r="K266" s="27">
        <f>IF(Budgets[[#This Row],[Reference Year]]&gt;2018,Budgets[[#This Row],[Value]],Budgets[[#This Row],[Value]]*(1+VLOOKUP(Budgets[[#This Row],[Reference Year]],Inflation[#All],3,FALSE)))</f>
        <v>85973393.460076049</v>
      </c>
      <c r="L266" s="27" t="e">
        <f>Budgets[[#This Row],[2018 $ Value]]/VLOOKUP(Budgets[[#This Row],[Jurisdiction]],Places[],6,FALSE)</f>
        <v>#N/A</v>
      </c>
      <c r="M266" s="27" t="e">
        <f>Budgets[[#This Row],[2018 $ Value]]/VLOOKUP(Budgets[[#This Row],[Jurisdiction]],Places[],7,FALSE)</f>
        <v>#N/A</v>
      </c>
      <c r="N266" s="27"/>
      <c r="O266" s="27" t="s">
        <v>1460</v>
      </c>
      <c r="P266" s="4"/>
      <c r="Q266"/>
    </row>
    <row r="267" spans="1:17" x14ac:dyDescent="0.25">
      <c r="A267" s="19" t="s">
        <v>1435</v>
      </c>
      <c r="B267" s="19" t="str">
        <f>INDEX(Places[Type],MATCH(Budgets[[#This Row],[Jurisdiction]],Places[Jurisdiction],0))</f>
        <v>County</v>
      </c>
      <c r="C267" s="19" t="str">
        <f>INDEX(Places[County],MATCH(Budgets[[#This Row],[Jurisdiction]],Places[Jurisdiction],0))</f>
        <v>Los Angeles</v>
      </c>
      <c r="D267" s="19" t="str">
        <f>INDEX(Places[Majority RB],MATCH(Budgets[[#This Row],[Jurisdiction]],Places[Jurisdiction],0))</f>
        <v>Los Angeles</v>
      </c>
      <c r="E267" s="19">
        <f>INDEX(Places[Majority RB '#],MATCH(Budgets[[#This Row],[Jurisdiction]],Places[Jurisdiction],0))</f>
        <v>4</v>
      </c>
      <c r="F267" s="19" t="str">
        <f>VLOOKUP(Budgets[[#This Row],[Jurisdiction]],Places[#All],8,FALSE)</f>
        <v>Phase I MS4</v>
      </c>
      <c r="G267" s="81"/>
      <c r="H267" s="21" t="s">
        <v>1873</v>
      </c>
      <c r="I267" s="21">
        <f>VALUE(LEFT(Budgets[[#This Row],[Fiscal Year]],4))</f>
        <v>2015</v>
      </c>
      <c r="J267" s="20">
        <v>80690000</v>
      </c>
      <c r="K267" s="27">
        <f>IF(Budgets[[#This Row],[Reference Year]]&gt;2018,Budgets[[#This Row],[Value]],Budgets[[#This Row],[Value]]*(1+VLOOKUP(Budgets[[#This Row],[Reference Year]],Inflation[#All],3,FALSE)))</f>
        <v>85671330.759493664</v>
      </c>
      <c r="L267" s="27" t="e">
        <f>Budgets[[#This Row],[2018 $ Value]]/VLOOKUP(Budgets[[#This Row],[Jurisdiction]],Places[],6,FALSE)</f>
        <v>#N/A</v>
      </c>
      <c r="M267" s="27" t="e">
        <f>Budgets[[#This Row],[2018 $ Value]]/VLOOKUP(Budgets[[#This Row],[Jurisdiction]],Places[],7,FALSE)</f>
        <v>#N/A</v>
      </c>
      <c r="N267" s="27"/>
      <c r="O267" s="27" t="s">
        <v>1460</v>
      </c>
      <c r="P267" s="4"/>
      <c r="Q267"/>
    </row>
    <row r="268" spans="1:17" x14ac:dyDescent="0.25">
      <c r="A268" s="19" t="s">
        <v>1435</v>
      </c>
      <c r="B268" s="19" t="str">
        <f>INDEX(Places[Type],MATCH(Budgets[[#This Row],[Jurisdiction]],Places[Jurisdiction],0))</f>
        <v>County</v>
      </c>
      <c r="C268" s="19" t="str">
        <f>INDEX(Places[County],MATCH(Budgets[[#This Row],[Jurisdiction]],Places[Jurisdiction],0))</f>
        <v>Los Angeles</v>
      </c>
      <c r="D268" s="19" t="str">
        <f>INDEX(Places[Majority RB],MATCH(Budgets[[#This Row],[Jurisdiction]],Places[Jurisdiction],0))</f>
        <v>Los Angeles</v>
      </c>
      <c r="E268" s="19">
        <f>INDEX(Places[Majority RB '#],MATCH(Budgets[[#This Row],[Jurisdiction]],Places[Jurisdiction],0))</f>
        <v>4</v>
      </c>
      <c r="F268" s="19" t="str">
        <f>VLOOKUP(Budgets[[#This Row],[Jurisdiction]],Places[#All],8,FALSE)</f>
        <v>Phase I MS4</v>
      </c>
      <c r="G268" s="81"/>
      <c r="H268" s="21" t="s">
        <v>1869</v>
      </c>
      <c r="I268" s="21">
        <f>VALUE(LEFT(Budgets[[#This Row],[Fiscal Year]],4))</f>
        <v>2016</v>
      </c>
      <c r="J268" s="20">
        <v>89155000</v>
      </c>
      <c r="K268" s="27">
        <f>IF(Budgets[[#This Row],[Reference Year]]&gt;2018,Budgets[[#This Row],[Value]],Budgets[[#This Row],[Value]]*(1+VLOOKUP(Budgets[[#This Row],[Reference Year]],Inflation[#All],3,FALSE)))</f>
        <v>93475674.1875</v>
      </c>
      <c r="L268" s="27" t="e">
        <f>Budgets[[#This Row],[2018 $ Value]]/VLOOKUP(Budgets[[#This Row],[Jurisdiction]],Places[],6,FALSE)</f>
        <v>#N/A</v>
      </c>
      <c r="M268" s="27" t="e">
        <f>Budgets[[#This Row],[2018 $ Value]]/VLOOKUP(Budgets[[#This Row],[Jurisdiction]],Places[],7,FALSE)</f>
        <v>#N/A</v>
      </c>
      <c r="N268" s="27"/>
      <c r="O268" s="27" t="s">
        <v>1853</v>
      </c>
      <c r="P268" s="4"/>
      <c r="Q268"/>
    </row>
    <row r="269" spans="1:17" x14ac:dyDescent="0.25">
      <c r="A269" s="19" t="s">
        <v>1436</v>
      </c>
      <c r="B269" s="19" t="str">
        <f>INDEX(Places[Type],MATCH(Budgets[[#This Row],[Jurisdiction]],Places[Jurisdiction],0))</f>
        <v>FCD</v>
      </c>
      <c r="C269" s="19" t="str">
        <f>INDEX(Places[County],MATCH(Budgets[[#This Row],[Jurisdiction]],Places[Jurisdiction],0))</f>
        <v>Los Angeles</v>
      </c>
      <c r="D269" s="19" t="str">
        <f>INDEX(Places[Majority RB],MATCH(Budgets[[#This Row],[Jurisdiction]],Places[Jurisdiction],0))</f>
        <v>Los Angeles</v>
      </c>
      <c r="E269" s="19">
        <f>INDEX(Places[Majority RB '#],MATCH(Budgets[[#This Row],[Jurisdiction]],Places[Jurisdiction],0))</f>
        <v>4</v>
      </c>
      <c r="F269" s="19" t="str">
        <f>VLOOKUP(Budgets[[#This Row],[Jurisdiction]],Places[#All],8,FALSE)</f>
        <v>Phase I MS4</v>
      </c>
      <c r="G269" s="81"/>
      <c r="H269" s="21" t="s">
        <v>1880</v>
      </c>
      <c r="I269" s="21">
        <f>VALUE(LEFT(Budgets[[#This Row],[Fiscal Year]],4))</f>
        <v>2013</v>
      </c>
      <c r="J269" s="20">
        <v>41949273</v>
      </c>
      <c r="K269" s="27">
        <f>IF(Budgets[[#This Row],[Reference Year]]&gt;2018,Budgets[[#This Row],[Value]],Budgets[[#This Row],[Value]]*(1+VLOOKUP(Budgets[[#This Row],[Reference Year]],Inflation[#All],3,FALSE)))</f>
        <v>45303594.48181545</v>
      </c>
      <c r="L269" s="27" t="e">
        <f>Budgets[[#This Row],[2018 $ Value]]/VLOOKUP(Budgets[[#This Row],[Jurisdiction]],Places[],6,FALSE)</f>
        <v>#N/A</v>
      </c>
      <c r="M269" s="27" t="e">
        <f>Budgets[[#This Row],[2018 $ Value]]/VLOOKUP(Budgets[[#This Row],[Jurisdiction]],Places[],7,FALSE)</f>
        <v>#N/A</v>
      </c>
      <c r="N269" s="27"/>
      <c r="O269" s="27" t="s">
        <v>1460</v>
      </c>
      <c r="P269" s="4"/>
      <c r="Q269"/>
    </row>
    <row r="270" spans="1:17" x14ac:dyDescent="0.25">
      <c r="A270" s="19" t="s">
        <v>1436</v>
      </c>
      <c r="B270" s="19" t="str">
        <f>INDEX(Places[Type],MATCH(Budgets[[#This Row],[Jurisdiction]],Places[Jurisdiction],0))</f>
        <v>FCD</v>
      </c>
      <c r="C270" s="19" t="str">
        <f>INDEX(Places[County],MATCH(Budgets[[#This Row],[Jurisdiction]],Places[Jurisdiction],0))</f>
        <v>Los Angeles</v>
      </c>
      <c r="D270" s="19" t="str">
        <f>INDEX(Places[Majority RB],MATCH(Budgets[[#This Row],[Jurisdiction]],Places[Jurisdiction],0))</f>
        <v>Los Angeles</v>
      </c>
      <c r="E270" s="19">
        <f>INDEX(Places[Majority RB '#],MATCH(Budgets[[#This Row],[Jurisdiction]],Places[Jurisdiction],0))</f>
        <v>4</v>
      </c>
      <c r="F270" s="19" t="str">
        <f>VLOOKUP(Budgets[[#This Row],[Jurisdiction]],Places[#All],8,FALSE)</f>
        <v>Phase I MS4</v>
      </c>
      <c r="G270" s="81"/>
      <c r="H270" s="21" t="s">
        <v>1881</v>
      </c>
      <c r="I270" s="21">
        <f>VALUE(LEFT(Budgets[[#This Row],[Fiscal Year]],4))</f>
        <v>2014</v>
      </c>
      <c r="J270" s="20">
        <v>36461000</v>
      </c>
      <c r="K270" s="27">
        <f>IF(Budgets[[#This Row],[Reference Year]]&gt;2018,Budgets[[#This Row],[Value]],Budgets[[#This Row],[Value]]*(1+VLOOKUP(Budgets[[#This Row],[Reference Year]],Inflation[#All],3,FALSE)))</f>
        <v>38760954.334600762</v>
      </c>
      <c r="L270" s="27" t="e">
        <f>Budgets[[#This Row],[2018 $ Value]]/VLOOKUP(Budgets[[#This Row],[Jurisdiction]],Places[],6,FALSE)</f>
        <v>#N/A</v>
      </c>
      <c r="M270" s="27" t="e">
        <f>Budgets[[#This Row],[2018 $ Value]]/VLOOKUP(Budgets[[#This Row],[Jurisdiction]],Places[],7,FALSE)</f>
        <v>#N/A</v>
      </c>
      <c r="N270" s="27"/>
      <c r="O270" s="27" t="s">
        <v>1460</v>
      </c>
      <c r="P270" s="4"/>
      <c r="Q270"/>
    </row>
    <row r="271" spans="1:17" x14ac:dyDescent="0.25">
      <c r="A271" s="19" t="s">
        <v>1436</v>
      </c>
      <c r="B271" s="19" t="str">
        <f>INDEX(Places[Type],MATCH(Budgets[[#This Row],[Jurisdiction]],Places[Jurisdiction],0))</f>
        <v>FCD</v>
      </c>
      <c r="C271" s="19" t="str">
        <f>INDEX(Places[County],MATCH(Budgets[[#This Row],[Jurisdiction]],Places[Jurisdiction],0))</f>
        <v>Los Angeles</v>
      </c>
      <c r="D271" s="19" t="str">
        <f>INDEX(Places[Majority RB],MATCH(Budgets[[#This Row],[Jurisdiction]],Places[Jurisdiction],0))</f>
        <v>Los Angeles</v>
      </c>
      <c r="E271" s="19">
        <f>INDEX(Places[Majority RB '#],MATCH(Budgets[[#This Row],[Jurisdiction]],Places[Jurisdiction],0))</f>
        <v>4</v>
      </c>
      <c r="F271" s="19" t="str">
        <f>VLOOKUP(Budgets[[#This Row],[Jurisdiction]],Places[#All],8,FALSE)</f>
        <v>Phase I MS4</v>
      </c>
      <c r="G271" s="81"/>
      <c r="H271" s="21" t="s">
        <v>1873</v>
      </c>
      <c r="I271" s="21">
        <f>VALUE(LEFT(Budgets[[#This Row],[Fiscal Year]],4))</f>
        <v>2015</v>
      </c>
      <c r="J271" s="20">
        <v>34160000</v>
      </c>
      <c r="K271" s="27">
        <f>IF(Budgets[[#This Row],[Reference Year]]&gt;2018,Budgets[[#This Row],[Value]],Budgets[[#This Row],[Value]]*(1+VLOOKUP(Budgets[[#This Row],[Reference Year]],Inflation[#All],3,FALSE)))</f>
        <v>36268839.493670881</v>
      </c>
      <c r="L271" s="27" t="e">
        <f>Budgets[[#This Row],[2018 $ Value]]/VLOOKUP(Budgets[[#This Row],[Jurisdiction]],Places[],6,FALSE)</f>
        <v>#N/A</v>
      </c>
      <c r="M271" s="27" t="e">
        <f>Budgets[[#This Row],[2018 $ Value]]/VLOOKUP(Budgets[[#This Row],[Jurisdiction]],Places[],7,FALSE)</f>
        <v>#N/A</v>
      </c>
      <c r="N271" s="27"/>
      <c r="O271" s="27" t="s">
        <v>1460</v>
      </c>
      <c r="P271" s="4"/>
      <c r="Q271"/>
    </row>
    <row r="272" spans="1:17" x14ac:dyDescent="0.25">
      <c r="A272" s="19" t="s">
        <v>1436</v>
      </c>
      <c r="B272" s="19" t="str">
        <f>INDEX(Places[Type],MATCH(Budgets[[#This Row],[Jurisdiction]],Places[Jurisdiction],0))</f>
        <v>FCD</v>
      </c>
      <c r="C272" s="19" t="str">
        <f>INDEX(Places[County],MATCH(Budgets[[#This Row],[Jurisdiction]],Places[Jurisdiction],0))</f>
        <v>Los Angeles</v>
      </c>
      <c r="D272" s="19" t="str">
        <f>INDEX(Places[Majority RB],MATCH(Budgets[[#This Row],[Jurisdiction]],Places[Jurisdiction],0))</f>
        <v>Los Angeles</v>
      </c>
      <c r="E272" s="19">
        <f>INDEX(Places[Majority RB '#],MATCH(Budgets[[#This Row],[Jurisdiction]],Places[Jurisdiction],0))</f>
        <v>4</v>
      </c>
      <c r="F272" s="19" t="str">
        <f>VLOOKUP(Budgets[[#This Row],[Jurisdiction]],Places[#All],8,FALSE)</f>
        <v>Phase I MS4</v>
      </c>
      <c r="G272" s="81"/>
      <c r="H272" s="21" t="s">
        <v>1869</v>
      </c>
      <c r="I272" s="21">
        <f>VALUE(LEFT(Budgets[[#This Row],[Fiscal Year]],4))</f>
        <v>2016</v>
      </c>
      <c r="J272" s="20">
        <v>25768000</v>
      </c>
      <c r="K272" s="27">
        <f>IF(Budgets[[#This Row],[Reference Year]]&gt;2018,Budgets[[#This Row],[Value]],Budgets[[#This Row],[Value]]*(1+VLOOKUP(Budgets[[#This Row],[Reference Year]],Inflation[#All],3,FALSE)))</f>
        <v>27016781.700000003</v>
      </c>
      <c r="L272" s="27" t="e">
        <f>Budgets[[#This Row],[2018 $ Value]]/VLOOKUP(Budgets[[#This Row],[Jurisdiction]],Places[],6,FALSE)</f>
        <v>#N/A</v>
      </c>
      <c r="M272" s="27" t="e">
        <f>Budgets[[#This Row],[2018 $ Value]]/VLOOKUP(Budgets[[#This Row],[Jurisdiction]],Places[],7,FALSE)</f>
        <v>#N/A</v>
      </c>
      <c r="N272" s="27"/>
      <c r="O272" s="27" t="s">
        <v>1853</v>
      </c>
      <c r="P272" s="4"/>
      <c r="Q272"/>
    </row>
    <row r="273" spans="1:17" x14ac:dyDescent="0.25">
      <c r="A273" s="19" t="s">
        <v>175</v>
      </c>
      <c r="B273" s="19" t="str">
        <f>INDEX(Places[Type],MATCH(Budgets[[#This Row],[Jurisdiction]],Places[Jurisdiction],0))</f>
        <v>City</v>
      </c>
      <c r="C273" s="19" t="str">
        <f>INDEX(Places[County],MATCH(Budgets[[#This Row],[Jurisdiction]],Places[Jurisdiction],0))</f>
        <v>Los Angeles</v>
      </c>
      <c r="D273" s="21" t="str">
        <f>INDEX(Places[Majority RB],MATCH(Budgets[[#This Row],[Jurisdiction]],Places[Jurisdiction],0))</f>
        <v>Los Angeles</v>
      </c>
      <c r="E273" s="19">
        <f>INDEX(Places[Majority RB '#],MATCH(Budgets[[#This Row],[Jurisdiction]],Places[Jurisdiction],0))</f>
        <v>4</v>
      </c>
      <c r="F273" s="19" t="str">
        <f>VLOOKUP(Budgets[[#This Row],[Jurisdiction]],Places[#All],8,FALSE)</f>
        <v>Phase I MS4</v>
      </c>
      <c r="G273" s="81"/>
      <c r="H273" s="100" t="s">
        <v>1870</v>
      </c>
      <c r="I273" s="21">
        <f>VALUE(LEFT(Budgets[[#This Row],[Fiscal Year]],4))</f>
        <v>2011</v>
      </c>
      <c r="J273" s="20">
        <v>1218847</v>
      </c>
      <c r="K273" s="27">
        <f>IF(Budgets[[#This Row],[Reference Year]]&gt;2018,Budgets[[#This Row],[Value]],Budgets[[#This Row],[Value]]*(1+VLOOKUP(Budgets[[#This Row],[Reference Year]],Inflation[#All],3,FALSE)))</f>
        <v>1363715.8268430415</v>
      </c>
      <c r="L273" s="27">
        <f>Budgets[[#This Row],[2018 $ Value]]/VLOOKUP(Budgets[[#This Row],[Jurisdiction]],Places[],6,FALSE)</f>
        <v>106.73208318408402</v>
      </c>
      <c r="M273" s="27">
        <f>Budgets[[#This Row],[2018 $ Value]]/VLOOKUP(Budgets[[#This Row],[Jurisdiction]],Places[],7,FALSE)</f>
        <v>68874.536709244509</v>
      </c>
      <c r="N273" s="27"/>
      <c r="O273" s="27" t="s">
        <v>1460</v>
      </c>
      <c r="P273" s="4"/>
      <c r="Q273"/>
    </row>
    <row r="274" spans="1:17" x14ac:dyDescent="0.25">
      <c r="A274" s="19" t="s">
        <v>175</v>
      </c>
      <c r="B274" s="19" t="str">
        <f>INDEX(Places[Type],MATCH(Budgets[[#This Row],[Jurisdiction]],Places[Jurisdiction],0))</f>
        <v>City</v>
      </c>
      <c r="C274" s="19" t="str">
        <f>INDEX(Places[County],MATCH(Budgets[[#This Row],[Jurisdiction]],Places[Jurisdiction],0))</f>
        <v>Los Angeles</v>
      </c>
      <c r="D274" s="21" t="str">
        <f>INDEX(Places[Majority RB],MATCH(Budgets[[#This Row],[Jurisdiction]],Places[Jurisdiction],0))</f>
        <v>Los Angeles</v>
      </c>
      <c r="E274" s="19">
        <f>INDEX(Places[Majority RB '#],MATCH(Budgets[[#This Row],[Jurisdiction]],Places[Jurisdiction],0))</f>
        <v>4</v>
      </c>
      <c r="F274" s="19" t="str">
        <f>VLOOKUP(Budgets[[#This Row],[Jurisdiction]],Places[#All],8,FALSE)</f>
        <v>Phase I MS4</v>
      </c>
      <c r="G274" s="81"/>
      <c r="H274" s="100" t="s">
        <v>1869</v>
      </c>
      <c r="I274" s="21">
        <f>VALUE(LEFT(Budgets[[#This Row],[Fiscal Year]],4))</f>
        <v>2016</v>
      </c>
      <c r="J274" s="20">
        <v>1195929</v>
      </c>
      <c r="K274" s="27">
        <f>IF(Budgets[[#This Row],[Reference Year]]&gt;2018,Budgets[[#This Row],[Value]],Budgets[[#This Row],[Value]]*(1+VLOOKUP(Budgets[[#This Row],[Reference Year]],Inflation[#All],3,FALSE)))</f>
        <v>1253886.7091625</v>
      </c>
      <c r="L274" s="27">
        <f>Budgets[[#This Row],[2018 $ Value]]/VLOOKUP(Budgets[[#This Row],[Jurisdiction]],Places[],6,FALSE)</f>
        <v>98.136237705447286</v>
      </c>
      <c r="M274" s="27">
        <f>Budgets[[#This Row],[2018 $ Value]]/VLOOKUP(Budgets[[#This Row],[Jurisdiction]],Places[],7,FALSE)</f>
        <v>63327.611573863636</v>
      </c>
      <c r="N274" s="27"/>
      <c r="O274" s="27" t="s">
        <v>1853</v>
      </c>
      <c r="P274" s="4"/>
      <c r="Q274"/>
    </row>
    <row r="275" spans="1:17" x14ac:dyDescent="0.25">
      <c r="A275" s="19" t="s">
        <v>147</v>
      </c>
      <c r="B275" s="19" t="str">
        <f>INDEX(Places[Type],MATCH(Budgets[[#This Row],[Jurisdiction]],Places[Jurisdiction],0))</f>
        <v>City</v>
      </c>
      <c r="C275" s="19" t="str">
        <f>INDEX(Places[County],MATCH(Budgets[[#This Row],[Jurisdiction]],Places[Jurisdiction],0))</f>
        <v>Los Angeles</v>
      </c>
      <c r="D275" s="21" t="str">
        <f>INDEX(Places[Majority RB],MATCH(Budgets[[#This Row],[Jurisdiction]],Places[Jurisdiction],0))</f>
        <v>Los Angeles</v>
      </c>
      <c r="E275" s="19">
        <f>INDEX(Places[Majority RB '#],MATCH(Budgets[[#This Row],[Jurisdiction]],Places[Jurisdiction],0))</f>
        <v>4</v>
      </c>
      <c r="F275" s="19" t="str">
        <f>VLOOKUP(Budgets[[#This Row],[Jurisdiction]],Places[#All],8,FALSE)</f>
        <v>Phase I MS4</v>
      </c>
      <c r="G275" s="81"/>
      <c r="H275" s="100" t="s">
        <v>1870</v>
      </c>
      <c r="I275" s="21">
        <f>VALUE(LEFT(Budgets[[#This Row],[Fiscal Year]],4))</f>
        <v>2011</v>
      </c>
      <c r="J275" s="20">
        <v>4290362</v>
      </c>
      <c r="K275" s="27">
        <f>IF(Budgets[[#This Row],[Reference Year]]&gt;2018,Budgets[[#This Row],[Value]],Budgets[[#This Row],[Value]]*(1+VLOOKUP(Budgets[[#This Row],[Reference Year]],Inflation[#All],3,FALSE)))</f>
        <v>4800302.7141929753</v>
      </c>
      <c r="L275" s="27">
        <f>Budgets[[#This Row],[2018 $ Value]]/VLOOKUP(Budgets[[#This Row],[Jurisdiction]],Places[],6,FALSE)</f>
        <v>135.09801627245793</v>
      </c>
      <c r="M275" s="27">
        <f>Budgets[[#This Row],[2018 $ Value]]/VLOOKUP(Budgets[[#This Row],[Jurisdiction]],Places[],7,FALSE)</f>
        <v>1230846.8497930707</v>
      </c>
      <c r="N275" s="27"/>
      <c r="O275" s="27" t="s">
        <v>1460</v>
      </c>
      <c r="P275" s="4"/>
      <c r="Q275"/>
    </row>
    <row r="276" spans="1:17" x14ac:dyDescent="0.25">
      <c r="A276" s="19" t="s">
        <v>147</v>
      </c>
      <c r="B276" s="19" t="str">
        <f>INDEX(Places[Type],MATCH(Budgets[[#This Row],[Jurisdiction]],Places[Jurisdiction],0))</f>
        <v>City</v>
      </c>
      <c r="C276" s="19" t="str">
        <f>INDEX(Places[County],MATCH(Budgets[[#This Row],[Jurisdiction]],Places[Jurisdiction],0))</f>
        <v>Los Angeles</v>
      </c>
      <c r="D276" s="21" t="str">
        <f>INDEX(Places[Majority RB],MATCH(Budgets[[#This Row],[Jurisdiction]],Places[Jurisdiction],0))</f>
        <v>Los Angeles</v>
      </c>
      <c r="E276" s="19">
        <f>INDEX(Places[Majority RB '#],MATCH(Budgets[[#This Row],[Jurisdiction]],Places[Jurisdiction],0))</f>
        <v>4</v>
      </c>
      <c r="F276" s="19" t="str">
        <f>VLOOKUP(Budgets[[#This Row],[Jurisdiction]],Places[#All],8,FALSE)</f>
        <v>Phase I MS4</v>
      </c>
      <c r="G276" s="81"/>
      <c r="H276" s="100" t="s">
        <v>1871</v>
      </c>
      <c r="I276" s="21">
        <f>VALUE(LEFT(Budgets[[#This Row],[Fiscal Year]],4))</f>
        <v>2012</v>
      </c>
      <c r="J276" s="20">
        <v>4672868</v>
      </c>
      <c r="K276" s="27">
        <f>IF(Budgets[[#This Row],[Reference Year]]&gt;2018,Budgets[[#This Row],[Value]],Budgets[[#This Row],[Value]]*(1+VLOOKUP(Budgets[[#This Row],[Reference Year]],Inflation[#All],3,FALSE)))</f>
        <v>5121247.5945470389</v>
      </c>
      <c r="L276" s="27">
        <f>Budgets[[#This Row],[2018 $ Value]]/VLOOKUP(Budgets[[#This Row],[Jurisdiction]],Places[],6,FALSE)</f>
        <v>144.13057510264096</v>
      </c>
      <c r="M276" s="27">
        <f>Budgets[[#This Row],[2018 $ Value]]/VLOOKUP(Budgets[[#This Row],[Jurisdiction]],Places[],7,FALSE)</f>
        <v>1313140.4088582152</v>
      </c>
      <c r="N276" s="27"/>
      <c r="O276" s="27" t="s">
        <v>1460</v>
      </c>
      <c r="P276" s="4"/>
      <c r="Q276"/>
    </row>
    <row r="277" spans="1:17" x14ac:dyDescent="0.25">
      <c r="A277" s="19" t="s">
        <v>147</v>
      </c>
      <c r="B277" s="19" t="str">
        <f>INDEX(Places[Type],MATCH(Budgets[[#This Row],[Jurisdiction]],Places[Jurisdiction],0))</f>
        <v>City</v>
      </c>
      <c r="C277" s="19" t="str">
        <f>INDEX(Places[County],MATCH(Budgets[[#This Row],[Jurisdiction]],Places[Jurisdiction],0))</f>
        <v>Los Angeles</v>
      </c>
      <c r="D277" s="21" t="str">
        <f>INDEX(Places[Majority RB],MATCH(Budgets[[#This Row],[Jurisdiction]],Places[Jurisdiction],0))</f>
        <v>Los Angeles</v>
      </c>
      <c r="E277" s="19">
        <f>INDEX(Places[Majority RB '#],MATCH(Budgets[[#This Row],[Jurisdiction]],Places[Jurisdiction],0))</f>
        <v>4</v>
      </c>
      <c r="F277" s="19" t="str">
        <f>VLOOKUP(Budgets[[#This Row],[Jurisdiction]],Places[#All],8,FALSE)</f>
        <v>Phase I MS4</v>
      </c>
      <c r="G277" s="81"/>
      <c r="H277" s="100" t="s">
        <v>1869</v>
      </c>
      <c r="I277" s="21">
        <f>VALUE(LEFT(Budgets[[#This Row],[Fiscal Year]],4))</f>
        <v>2016</v>
      </c>
      <c r="J277" s="20">
        <v>4628906</v>
      </c>
      <c r="K277" s="27">
        <f>IF(Budgets[[#This Row],[Reference Year]]&gt;2018,Budgets[[#This Row],[Value]],Budgets[[#This Row],[Value]]*(1+VLOOKUP(Budgets[[#This Row],[Reference Year]],Inflation[#All],3,FALSE)))</f>
        <v>4853234.3570250003</v>
      </c>
      <c r="L277" s="27">
        <f>Budgets[[#This Row],[2018 $ Value]]/VLOOKUP(Budgets[[#This Row],[Jurisdiction]],Places[],6,FALSE)</f>
        <v>136.58770564631882</v>
      </c>
      <c r="M277" s="27">
        <f>Budgets[[#This Row],[2018 $ Value]]/VLOOKUP(Budgets[[#This Row],[Jurisdiction]],Places[],7,FALSE)</f>
        <v>1244419.0659038462</v>
      </c>
      <c r="N277" s="27"/>
      <c r="O277" s="27" t="s">
        <v>1853</v>
      </c>
      <c r="P277" s="4"/>
      <c r="Q277"/>
    </row>
    <row r="278" spans="1:17" x14ac:dyDescent="0.25">
      <c r="A278" s="19" t="s">
        <v>235</v>
      </c>
      <c r="B278" s="19" t="str">
        <f>INDEX(Places[Type],MATCH(Budgets[[#This Row],[Jurisdiction]],Places[Jurisdiction],0))</f>
        <v>City</v>
      </c>
      <c r="C278" s="19" t="str">
        <f>INDEX(Places[County],MATCH(Budgets[[#This Row],[Jurisdiction]],Places[Jurisdiction],0))</f>
        <v>Riverside</v>
      </c>
      <c r="D278" s="21" t="str">
        <f>INDEX(Places[Majority RB],MATCH(Budgets[[#This Row],[Jurisdiction]],Places[Jurisdiction],0))</f>
        <v>Santa Ana</v>
      </c>
      <c r="E278" s="19">
        <f>INDEX(Places[Majority RB '#],MATCH(Budgets[[#This Row],[Jurisdiction]],Places[Jurisdiction],0))</f>
        <v>8</v>
      </c>
      <c r="F278" s="19" t="str">
        <f>VLOOKUP(Budgets[[#This Row],[Jurisdiction]],Places[#All],8,FALSE)</f>
        <v>Phase I MS4</v>
      </c>
      <c r="G278" s="81"/>
      <c r="H278" s="21" t="s">
        <v>1869</v>
      </c>
      <c r="I278" s="21">
        <f>VALUE(LEFT(Budgets[[#This Row],[Fiscal Year]],4))</f>
        <v>2016</v>
      </c>
      <c r="J278" s="20">
        <v>314000</v>
      </c>
      <c r="K278" s="27">
        <f>IF(Budgets[[#This Row],[Reference Year]]&gt;2018,Budgets[[#This Row],[Value]],Budgets[[#This Row],[Value]]*(1+VLOOKUP(Budgets[[#This Row],[Reference Year]],Inflation[#All],3,FALSE)))</f>
        <v>329217.22500000003</v>
      </c>
      <c r="L278" s="27">
        <f>Budgets[[#This Row],[2018 $ Value]]/VLOOKUP(Budgets[[#This Row],[Jurisdiction]],Places[],6,FALSE)</f>
        <v>3.5554535882067069</v>
      </c>
      <c r="M278" s="27">
        <f>Budgets[[#This Row],[2018 $ Value]]/VLOOKUP(Budgets[[#This Row],[Jurisdiction]],Places[],7,FALSE)</f>
        <v>7079.9403225806464</v>
      </c>
      <c r="N278" s="27"/>
      <c r="O278" s="27" t="s">
        <v>1853</v>
      </c>
      <c r="P278" s="4"/>
      <c r="Q278"/>
    </row>
    <row r="279" spans="1:17" x14ac:dyDescent="0.25">
      <c r="A279" s="19" t="s">
        <v>284</v>
      </c>
      <c r="B279" s="19" t="str">
        <f>INDEX(Places[Type],MATCH(Budgets[[#This Row],[Jurisdiction]],Places[Jurisdiction],0))</f>
        <v>City</v>
      </c>
      <c r="C279" s="19" t="str">
        <f>INDEX(Places[County],MATCH(Budgets[[#This Row],[Jurisdiction]],Places[Jurisdiction],0))</f>
        <v>Orange</v>
      </c>
      <c r="D279" s="21" t="str">
        <f>INDEX(Places[Majority RB],MATCH(Budgets[[#This Row],[Jurisdiction]],Places[Jurisdiction],0))</f>
        <v>San Diego</v>
      </c>
      <c r="E279" s="19">
        <f>INDEX(Places[Majority RB '#],MATCH(Budgets[[#This Row],[Jurisdiction]],Places[Jurisdiction],0))</f>
        <v>9</v>
      </c>
      <c r="F279" s="19" t="str">
        <f>VLOOKUP(Budgets[[#This Row],[Jurisdiction]],Places[#All],8,FALSE)</f>
        <v>Phase I MS4</v>
      </c>
      <c r="G279" s="81"/>
      <c r="H279" s="21" t="s">
        <v>1875</v>
      </c>
      <c r="I279" s="21">
        <f>VALUE(LEFT(Budgets[[#This Row],[Fiscal Year]],4))</f>
        <v>2001</v>
      </c>
      <c r="J279" s="20">
        <v>1814534</v>
      </c>
      <c r="K279" s="27">
        <f>IF(Budgets[[#This Row],[Reference Year]]&gt;2018,Budgets[[#This Row],[Value]],Budgets[[#This Row],[Value]]*(1+VLOOKUP(Budgets[[#This Row],[Reference Year]],Inflation[#All],3,FALSE)))</f>
        <v>2578164.906572558</v>
      </c>
      <c r="L279" s="27">
        <f>Budgets[[#This Row],[2018 $ Value]]/VLOOKUP(Budgets[[#This Row],[Jurisdiction]],Places[],6,FALSE)</f>
        <v>27.080995216198797</v>
      </c>
      <c r="M279" s="27">
        <f>Budgets[[#This Row],[2018 $ Value]]/VLOOKUP(Budgets[[#This Row],[Jurisdiction]],Places[],7,FALSE)</f>
        <v>145659.03426963606</v>
      </c>
      <c r="N279" s="27"/>
      <c r="O279" s="27" t="s">
        <v>1460</v>
      </c>
      <c r="P279" s="4"/>
      <c r="Q279"/>
    </row>
    <row r="280" spans="1:17" x14ac:dyDescent="0.25">
      <c r="A280" s="19" t="s">
        <v>284</v>
      </c>
      <c r="B280" s="19" t="str">
        <f>INDEX(Places[Type],MATCH(Budgets[[#This Row],[Jurisdiction]],Places[Jurisdiction],0))</f>
        <v>City</v>
      </c>
      <c r="C280" s="19" t="str">
        <f>INDEX(Places[County],MATCH(Budgets[[#This Row],[Jurisdiction]],Places[Jurisdiction],0))</f>
        <v>Orange</v>
      </c>
      <c r="D280" s="21" t="str">
        <f>INDEX(Places[Majority RB],MATCH(Budgets[[#This Row],[Jurisdiction]],Places[Jurisdiction],0))</f>
        <v>San Diego</v>
      </c>
      <c r="E280" s="19">
        <f>INDEX(Places[Majority RB '#],MATCH(Budgets[[#This Row],[Jurisdiction]],Places[Jurisdiction],0))</f>
        <v>9</v>
      </c>
      <c r="F280" s="19" t="str">
        <f>VLOOKUP(Budgets[[#This Row],[Jurisdiction]],Places[#All],8,FALSE)</f>
        <v>Phase I MS4</v>
      </c>
      <c r="G280" s="81"/>
      <c r="H280" s="21" t="s">
        <v>1872</v>
      </c>
      <c r="I280" s="21">
        <f>VALUE(LEFT(Budgets[[#This Row],[Fiscal Year]],4))</f>
        <v>2002</v>
      </c>
      <c r="J280" s="20">
        <v>3349336</v>
      </c>
      <c r="K280" s="27">
        <f>IF(Budgets[[#This Row],[Reference Year]]&gt;2018,Budgets[[#This Row],[Value]],Budgets[[#This Row],[Value]]*(1+VLOOKUP(Budgets[[#This Row],[Reference Year]],Inflation[#All],3,FALSE)))</f>
        <v>4684806.9317176202</v>
      </c>
      <c r="L280" s="27">
        <f>Budgets[[#This Row],[2018 $ Value]]/VLOOKUP(Budgets[[#This Row],[Jurisdiction]],Places[],6,FALSE)</f>
        <v>49.209123040667428</v>
      </c>
      <c r="M280" s="27">
        <f>Budgets[[#This Row],[2018 $ Value]]/VLOOKUP(Budgets[[#This Row],[Jurisdiction]],Places[],7,FALSE)</f>
        <v>264678.35772415937</v>
      </c>
      <c r="N280" s="27"/>
      <c r="O280" s="27" t="s">
        <v>1460</v>
      </c>
      <c r="P280" s="4"/>
      <c r="Q280"/>
    </row>
    <row r="281" spans="1:17" x14ac:dyDescent="0.25">
      <c r="A281" s="19" t="s">
        <v>284</v>
      </c>
      <c r="B281" s="19" t="str">
        <f>INDEX(Places[Type],MATCH(Budgets[[#This Row],[Jurisdiction]],Places[Jurisdiction],0))</f>
        <v>City</v>
      </c>
      <c r="C281" s="19" t="str">
        <f>INDEX(Places[County],MATCH(Budgets[[#This Row],[Jurisdiction]],Places[Jurisdiction],0))</f>
        <v>Orange</v>
      </c>
      <c r="D281" s="21" t="str">
        <f>INDEX(Places[Majority RB],MATCH(Budgets[[#This Row],[Jurisdiction]],Places[Jurisdiction],0))</f>
        <v>San Diego</v>
      </c>
      <c r="E281" s="19">
        <f>INDEX(Places[Majority RB '#],MATCH(Budgets[[#This Row],[Jurisdiction]],Places[Jurisdiction],0))</f>
        <v>9</v>
      </c>
      <c r="F281" s="19" t="str">
        <f>VLOOKUP(Budgets[[#This Row],[Jurisdiction]],Places[#All],8,FALSE)</f>
        <v>Phase I MS4</v>
      </c>
      <c r="G281" s="81"/>
      <c r="H281" s="21" t="s">
        <v>1873</v>
      </c>
      <c r="I281" s="21">
        <f>VALUE(LEFT(Budgets[[#This Row],[Fiscal Year]],4))</f>
        <v>2015</v>
      </c>
      <c r="J281" s="20">
        <v>2340835</v>
      </c>
      <c r="K281" s="27">
        <f>IF(Budgets[[#This Row],[Reference Year]]&gt;2018,Budgets[[#This Row],[Value]],Budgets[[#This Row],[Value]]*(1+VLOOKUP(Budgets[[#This Row],[Reference Year]],Inflation[#All],3,FALSE)))</f>
        <v>2485344.5227215188</v>
      </c>
      <c r="L281" s="27">
        <f>Budgets[[#This Row],[2018 $ Value]]/VLOOKUP(Budgets[[#This Row],[Jurisdiction]],Places[],6,FALSE)</f>
        <v>26.106011666997738</v>
      </c>
      <c r="M281" s="27">
        <f>Budgets[[#This Row],[2018 $ Value]]/VLOOKUP(Budgets[[#This Row],[Jurisdiction]],Places[],7,FALSE)</f>
        <v>140414.9447865265</v>
      </c>
      <c r="N281" s="27"/>
      <c r="O281" s="27" t="s">
        <v>1460</v>
      </c>
      <c r="P281" s="4"/>
      <c r="Q281"/>
    </row>
    <row r="282" spans="1:17" x14ac:dyDescent="0.25">
      <c r="A282" s="19" t="s">
        <v>284</v>
      </c>
      <c r="B282" s="19" t="str">
        <f>INDEX(Places[Type],MATCH(Budgets[[#This Row],[Jurisdiction]],Places[Jurisdiction],0))</f>
        <v>City</v>
      </c>
      <c r="C282" s="19" t="str">
        <f>INDEX(Places[County],MATCH(Budgets[[#This Row],[Jurisdiction]],Places[Jurisdiction],0))</f>
        <v>Orange</v>
      </c>
      <c r="D282" s="21" t="str">
        <f>INDEX(Places[Majority RB],MATCH(Budgets[[#This Row],[Jurisdiction]],Places[Jurisdiction],0))</f>
        <v>San Diego</v>
      </c>
      <c r="E282" s="19">
        <f>INDEX(Places[Majority RB '#],MATCH(Budgets[[#This Row],[Jurisdiction]],Places[Jurisdiction],0))</f>
        <v>9</v>
      </c>
      <c r="F282" s="19" t="str">
        <f>VLOOKUP(Budgets[[#This Row],[Jurisdiction]],Places[#All],8,FALSE)</f>
        <v>Phase I MS4</v>
      </c>
      <c r="G282" s="81"/>
      <c r="H282" s="21" t="s">
        <v>1869</v>
      </c>
      <c r="I282" s="21">
        <f>VALUE(LEFT(Budgets[[#This Row],[Fiscal Year]],4))</f>
        <v>2016</v>
      </c>
      <c r="J282" s="20">
        <v>2531206</v>
      </c>
      <c r="K282" s="27">
        <f>IF(Budgets[[#This Row],[Reference Year]]&gt;2018,Budgets[[#This Row],[Value]],Budgets[[#This Row],[Value]]*(1+VLOOKUP(Budgets[[#This Row],[Reference Year]],Inflation[#All],3,FALSE)))</f>
        <v>2653874.5707750004</v>
      </c>
      <c r="L282" s="27">
        <f>Budgets[[#This Row],[2018 $ Value]]/VLOOKUP(Budgets[[#This Row],[Jurisdiction]],Places[],6,FALSE)</f>
        <v>27.876248091164054</v>
      </c>
      <c r="M282" s="27">
        <f>Budgets[[#This Row],[2018 $ Value]]/VLOOKUP(Budgets[[#This Row],[Jurisdiction]],Places[],7,FALSE)</f>
        <v>149936.41642796612</v>
      </c>
      <c r="N282" s="27"/>
      <c r="O282" s="27" t="s">
        <v>1460</v>
      </c>
      <c r="P282" s="4"/>
      <c r="Q282"/>
    </row>
    <row r="283" spans="1:17" x14ac:dyDescent="0.25">
      <c r="A283" s="19" t="s">
        <v>284</v>
      </c>
      <c r="B283" s="19" t="str">
        <f>INDEX(Places[Type],MATCH(Budgets[[#This Row],[Jurisdiction]],Places[Jurisdiction],0))</f>
        <v>City</v>
      </c>
      <c r="C283" s="19" t="str">
        <f>INDEX(Places[County],MATCH(Budgets[[#This Row],[Jurisdiction]],Places[Jurisdiction],0))</f>
        <v>Orange</v>
      </c>
      <c r="D283" s="21" t="str">
        <f>INDEX(Places[Majority RB],MATCH(Budgets[[#This Row],[Jurisdiction]],Places[Jurisdiction],0))</f>
        <v>San Diego</v>
      </c>
      <c r="E283" s="19">
        <f>INDEX(Places[Majority RB '#],MATCH(Budgets[[#This Row],[Jurisdiction]],Places[Jurisdiction],0))</f>
        <v>9</v>
      </c>
      <c r="F283" s="19" t="str">
        <f>VLOOKUP(Budgets[[#This Row],[Jurisdiction]],Places[#All],8,FALSE)</f>
        <v>Phase I MS4</v>
      </c>
      <c r="G283" s="81"/>
      <c r="H283" s="21" t="s">
        <v>1874</v>
      </c>
      <c r="I283" s="21">
        <f>VALUE(LEFT(Budgets[[#This Row],[Fiscal Year]],4))</f>
        <v>2017</v>
      </c>
      <c r="J283" s="20">
        <v>1589312</v>
      </c>
      <c r="K283" s="27">
        <f>IF(Budgets[[#This Row],[Reference Year]]&gt;2018,Budgets[[#This Row],[Value]],Budgets[[#This Row],[Value]]*(1+VLOOKUP(Budgets[[#This Row],[Reference Year]],Inflation[#All],3,FALSE)))</f>
        <v>1631661.2316279071</v>
      </c>
      <c r="L283" s="27">
        <f>Budgets[[#This Row],[2018 $ Value]]/VLOOKUP(Budgets[[#This Row],[Jurisdiction]],Places[],6,FALSE)</f>
        <v>17.138938589818565</v>
      </c>
      <c r="M283" s="27">
        <f>Budgets[[#This Row],[2018 $ Value]]/VLOOKUP(Budgets[[#This Row],[Jurisdiction]],Places[],7,FALSE)</f>
        <v>92184.250374458032</v>
      </c>
      <c r="N283" s="27"/>
      <c r="O283" s="27" t="s">
        <v>1460</v>
      </c>
      <c r="P283" s="4"/>
      <c r="Q283"/>
    </row>
    <row r="284" spans="1:17" x14ac:dyDescent="0.25">
      <c r="A284" s="19" t="s">
        <v>284</v>
      </c>
      <c r="B284" s="19" t="str">
        <f>INDEX(Places[Type],MATCH(Budgets[[#This Row],[Jurisdiction]],Places[Jurisdiction],0))</f>
        <v>City</v>
      </c>
      <c r="C284" s="19" t="str">
        <f>INDEX(Places[County],MATCH(Budgets[[#This Row],[Jurisdiction]],Places[Jurisdiction],0))</f>
        <v>Orange</v>
      </c>
      <c r="D284" s="21" t="str">
        <f>INDEX(Places[Majority RB],MATCH(Budgets[[#This Row],[Jurisdiction]],Places[Jurisdiction],0))</f>
        <v>San Diego</v>
      </c>
      <c r="E284" s="19">
        <f>INDEX(Places[Majority RB '#],MATCH(Budgets[[#This Row],[Jurisdiction]],Places[Jurisdiction],0))</f>
        <v>9</v>
      </c>
      <c r="F284" s="19" t="str">
        <f>VLOOKUP(Budgets[[#This Row],[Jurisdiction]],Places[#All],8,FALSE)</f>
        <v>Phase I MS4</v>
      </c>
      <c r="G284" s="81"/>
      <c r="H284" s="21" t="s">
        <v>1876</v>
      </c>
      <c r="I284" s="21">
        <f>VALUE(LEFT(Budgets[[#This Row],[Fiscal Year]],4))</f>
        <v>2018</v>
      </c>
      <c r="J284" s="20">
        <v>3594811</v>
      </c>
      <c r="K284" s="27">
        <f>IF(Budgets[[#This Row],[Reference Year]]&gt;2018,Budgets[[#This Row],[Value]],Budgets[[#This Row],[Value]]*(1+VLOOKUP(Budgets[[#This Row],[Reference Year]],Inflation[#All],3,FALSE)))</f>
        <v>3594811</v>
      </c>
      <c r="L284" s="27">
        <f>Budgets[[#This Row],[2018 $ Value]]/VLOOKUP(Budgets[[#This Row],[Jurisdiction]],Places[],6,FALSE)</f>
        <v>37.759826474233734</v>
      </c>
      <c r="M284" s="27">
        <f>Budgets[[#This Row],[2018 $ Value]]/VLOOKUP(Budgets[[#This Row],[Jurisdiction]],Places[],7,FALSE)</f>
        <v>203096.66666666669</v>
      </c>
      <c r="N284" s="27"/>
      <c r="O284" s="27" t="s">
        <v>1853</v>
      </c>
      <c r="P284" s="4"/>
      <c r="Q284"/>
    </row>
    <row r="285" spans="1:17" x14ac:dyDescent="0.25">
      <c r="A285" s="19" t="s">
        <v>183</v>
      </c>
      <c r="B285" s="19" t="str">
        <f>INDEX(Places[Type],MATCH(Budgets[[#This Row],[Jurisdiction]],Places[Jurisdiction],0))</f>
        <v>City</v>
      </c>
      <c r="C285" s="19" t="str">
        <f>INDEX(Places[County],MATCH(Budgets[[#This Row],[Jurisdiction]],Places[Jurisdiction],0))</f>
        <v>Los Angeles</v>
      </c>
      <c r="D285" s="21" t="str">
        <f>INDEX(Places[Majority RB],MATCH(Budgets[[#This Row],[Jurisdiction]],Places[Jurisdiction],0))</f>
        <v>Los Angeles</v>
      </c>
      <c r="E285" s="19">
        <f>INDEX(Places[Majority RB '#],MATCH(Budgets[[#This Row],[Jurisdiction]],Places[Jurisdiction],0))</f>
        <v>4</v>
      </c>
      <c r="F285" s="19" t="str">
        <f>VLOOKUP(Budgets[[#This Row],[Jurisdiction]],Places[#All],8,FALSE)</f>
        <v>Phase I MS4</v>
      </c>
      <c r="G285" s="81"/>
      <c r="H285" s="21" t="s">
        <v>1870</v>
      </c>
      <c r="I285" s="21">
        <f>VALUE(LEFT(Budgets[[#This Row],[Fiscal Year]],4))</f>
        <v>2011</v>
      </c>
      <c r="J285" s="20">
        <v>724042</v>
      </c>
      <c r="K285" s="27">
        <f>IF(Budgets[[#This Row],[Reference Year]]&gt;2018,Budgets[[#This Row],[Value]],Budgets[[#This Row],[Value]]*(1+VLOOKUP(Budgets[[#This Row],[Reference Year]],Inflation[#All],3,FALSE)))</f>
        <v>810099.65541129396</v>
      </c>
      <c r="L285" s="27">
        <f>Budgets[[#This Row],[2018 $ Value]]/VLOOKUP(Budgets[[#This Row],[Jurisdiction]],Places[],6,FALSE)</f>
        <v>22.064541887819527</v>
      </c>
      <c r="M285" s="27">
        <f>Budgets[[#This Row],[2018 $ Value]]/VLOOKUP(Budgets[[#This Row],[Jurisdiction]],Places[],7,FALSE)</f>
        <v>59566.151133183383</v>
      </c>
      <c r="N285" s="27"/>
      <c r="O285" s="27" t="s">
        <v>1460</v>
      </c>
      <c r="P285" s="4"/>
      <c r="Q285"/>
    </row>
    <row r="286" spans="1:17" x14ac:dyDescent="0.25">
      <c r="A286" s="19" t="s">
        <v>183</v>
      </c>
      <c r="B286" s="19" t="str">
        <f>INDEX(Places[Type],MATCH(Budgets[[#This Row],[Jurisdiction]],Places[Jurisdiction],0))</f>
        <v>City</v>
      </c>
      <c r="C286" s="19" t="str">
        <f>INDEX(Places[County],MATCH(Budgets[[#This Row],[Jurisdiction]],Places[Jurisdiction],0))</f>
        <v>Los Angeles</v>
      </c>
      <c r="D286" s="21" t="str">
        <f>INDEX(Places[Majority RB],MATCH(Budgets[[#This Row],[Jurisdiction]],Places[Jurisdiction],0))</f>
        <v>Los Angeles</v>
      </c>
      <c r="E286" s="19">
        <f>INDEX(Places[Majority RB '#],MATCH(Budgets[[#This Row],[Jurisdiction]],Places[Jurisdiction],0))</f>
        <v>4</v>
      </c>
      <c r="F286" s="19" t="str">
        <f>VLOOKUP(Budgets[[#This Row],[Jurisdiction]],Places[#All],8,FALSE)</f>
        <v>Phase I MS4</v>
      </c>
      <c r="G286" s="81"/>
      <c r="H286" s="21" t="s">
        <v>1871</v>
      </c>
      <c r="I286" s="21">
        <f>VALUE(LEFT(Budgets[[#This Row],[Fiscal Year]],4))</f>
        <v>2012</v>
      </c>
      <c r="J286" s="20">
        <v>781968</v>
      </c>
      <c r="K286" s="27">
        <f>IF(Budgets[[#This Row],[Reference Year]]&gt;2018,Budgets[[#This Row],[Value]],Budgets[[#This Row],[Value]]*(1+VLOOKUP(Budgets[[#This Row],[Reference Year]],Inflation[#All],3,FALSE)))</f>
        <v>857000.82668989548</v>
      </c>
      <c r="L286" s="27">
        <f>Budgets[[#This Row],[2018 $ Value]]/VLOOKUP(Budgets[[#This Row],[Jurisdiction]],Places[],6,FALSE)</f>
        <v>23.341980844066335</v>
      </c>
      <c r="M286" s="27">
        <f>Budgets[[#This Row],[2018 $ Value]]/VLOOKUP(Budgets[[#This Row],[Jurisdiction]],Places[],7,FALSE)</f>
        <v>63014.766668374672</v>
      </c>
      <c r="N286" s="27"/>
      <c r="O286" s="27" t="s">
        <v>1460</v>
      </c>
      <c r="P286" s="4"/>
      <c r="Q286"/>
    </row>
    <row r="287" spans="1:17" x14ac:dyDescent="0.25">
      <c r="A287" s="19" t="s">
        <v>183</v>
      </c>
      <c r="B287" s="19" t="str">
        <f>INDEX(Places[Type],MATCH(Budgets[[#This Row],[Jurisdiction]],Places[Jurisdiction],0))</f>
        <v>City</v>
      </c>
      <c r="C287" s="19" t="str">
        <f>INDEX(Places[County],MATCH(Budgets[[#This Row],[Jurisdiction]],Places[Jurisdiction],0))</f>
        <v>Los Angeles</v>
      </c>
      <c r="D287" s="21" t="str">
        <f>INDEX(Places[Majority RB],MATCH(Budgets[[#This Row],[Jurisdiction]],Places[Jurisdiction],0))</f>
        <v>Los Angeles</v>
      </c>
      <c r="E287" s="19">
        <f>INDEX(Places[Majority RB '#],MATCH(Budgets[[#This Row],[Jurisdiction]],Places[Jurisdiction],0))</f>
        <v>4</v>
      </c>
      <c r="F287" s="19" t="str">
        <f>VLOOKUP(Budgets[[#This Row],[Jurisdiction]],Places[#All],8,FALSE)</f>
        <v>Phase I MS4</v>
      </c>
      <c r="G287" s="81"/>
      <c r="H287" s="21" t="s">
        <v>1869</v>
      </c>
      <c r="I287" s="21">
        <f>VALUE(LEFT(Budgets[[#This Row],[Fiscal Year]],4))</f>
        <v>2016</v>
      </c>
      <c r="J287" s="20">
        <v>780000</v>
      </c>
      <c r="K287" s="27">
        <f>IF(Budgets[[#This Row],[Reference Year]]&gt;2018,Budgets[[#This Row],[Value]],Budgets[[#This Row],[Value]]*(1+VLOOKUP(Budgets[[#This Row],[Reference Year]],Inflation[#All],3,FALSE)))</f>
        <v>817800.75000000012</v>
      </c>
      <c r="L287" s="27">
        <f>Budgets[[#This Row],[2018 $ Value]]/VLOOKUP(Budgets[[#This Row],[Jurisdiction]],Places[],6,FALSE)</f>
        <v>22.274295247174184</v>
      </c>
      <c r="M287" s="27">
        <f>Budgets[[#This Row],[2018 $ Value]]/VLOOKUP(Budgets[[#This Row],[Jurisdiction]],Places[],7,FALSE)</f>
        <v>60132.408088235301</v>
      </c>
      <c r="N287" s="27"/>
      <c r="O287" s="27" t="s">
        <v>1853</v>
      </c>
      <c r="P287" s="4"/>
      <c r="Q287"/>
    </row>
    <row r="288" spans="1:17" x14ac:dyDescent="0.25">
      <c r="A288" s="19" t="s">
        <v>247</v>
      </c>
      <c r="B288" s="19" t="str">
        <f>INDEX(Places[Type],MATCH(Budgets[[#This Row],[Jurisdiction]],Places[Jurisdiction],0))</f>
        <v>City</v>
      </c>
      <c r="C288" s="19" t="str">
        <f>INDEX(Places[County],MATCH(Budgets[[#This Row],[Jurisdiction]],Places[Jurisdiction],0))</f>
        <v>San Bernardino</v>
      </c>
      <c r="D288" s="21" t="str">
        <f>INDEX(Places[Majority RB],MATCH(Budgets[[#This Row],[Jurisdiction]],Places[Jurisdiction],0))</f>
        <v>Santa Ana</v>
      </c>
      <c r="E288" s="19">
        <f>INDEX(Places[Majority RB '#],MATCH(Budgets[[#This Row],[Jurisdiction]],Places[Jurisdiction],0))</f>
        <v>8</v>
      </c>
      <c r="F288" s="19" t="str">
        <f>VLOOKUP(Budgets[[#This Row],[Jurisdiction]],Places[#All],8,FALSE)</f>
        <v>Phase I MS4</v>
      </c>
      <c r="G288" s="81"/>
      <c r="H288" s="21" t="s">
        <v>1871</v>
      </c>
      <c r="I288" s="21">
        <f>VALUE(LEFT(Budgets[[#This Row],[Fiscal Year]],4))</f>
        <v>2012</v>
      </c>
      <c r="J288" s="20">
        <v>459473</v>
      </c>
      <c r="K288" s="27">
        <f>IF(Budgets[[#This Row],[Reference Year]]&gt;2018,Budgets[[#This Row],[Value]],Budgets[[#This Row],[Value]]*(1+VLOOKUP(Budgets[[#This Row],[Reference Year]],Inflation[#All],3,FALSE)))</f>
        <v>503561.1953963415</v>
      </c>
      <c r="L288" s="27">
        <f>Budgets[[#This Row],[2018 $ Value]]/VLOOKUP(Budgets[[#This Row],[Jurisdiction]],Places[],6,FALSE)</f>
        <v>12.768750041746115</v>
      </c>
      <c r="M288" s="27">
        <f>Budgets[[#This Row],[2018 $ Value]]/VLOOKUP(Budgets[[#This Row],[Jurisdiction]],Places[],7,FALSE)</f>
        <v>91556.580981153005</v>
      </c>
      <c r="N288" s="27"/>
      <c r="O288" s="27" t="s">
        <v>1460</v>
      </c>
      <c r="P288" s="4"/>
      <c r="Q288"/>
    </row>
    <row r="289" spans="1:17" x14ac:dyDescent="0.25">
      <c r="A289" s="19" t="s">
        <v>247</v>
      </c>
      <c r="B289" s="19" t="str">
        <f>INDEX(Places[Type],MATCH(Budgets[[#This Row],[Jurisdiction]],Places[Jurisdiction],0))</f>
        <v>City</v>
      </c>
      <c r="C289" s="19" t="str">
        <f>INDEX(Places[County],MATCH(Budgets[[#This Row],[Jurisdiction]],Places[Jurisdiction],0))</f>
        <v>San Bernardino</v>
      </c>
      <c r="D289" s="21" t="str">
        <f>INDEX(Places[Majority RB],MATCH(Budgets[[#This Row],[Jurisdiction]],Places[Jurisdiction],0))</f>
        <v>Santa Ana</v>
      </c>
      <c r="E289" s="19">
        <f>INDEX(Places[Majority RB '#],MATCH(Budgets[[#This Row],[Jurisdiction]],Places[Jurisdiction],0))</f>
        <v>8</v>
      </c>
      <c r="F289" s="19" t="str">
        <f>VLOOKUP(Budgets[[#This Row],[Jurisdiction]],Places[#All],8,FALSE)</f>
        <v>Phase I MS4</v>
      </c>
      <c r="G289" s="81"/>
      <c r="H289" s="21" t="s">
        <v>1880</v>
      </c>
      <c r="I289" s="21">
        <f>VALUE(LEFT(Budgets[[#This Row],[Fiscal Year]],4))</f>
        <v>2013</v>
      </c>
      <c r="J289" s="20">
        <v>419212</v>
      </c>
      <c r="K289" s="27">
        <f>IF(Budgets[[#This Row],[Reference Year]]&gt;2018,Budgets[[#This Row],[Value]],Budgets[[#This Row],[Value]]*(1+VLOOKUP(Budgets[[#This Row],[Reference Year]],Inflation[#All],3,FALSE)))</f>
        <v>452732.76726180257</v>
      </c>
      <c r="L289" s="27">
        <f>Budgets[[#This Row],[2018 $ Value]]/VLOOKUP(Budgets[[#This Row],[Jurisdiction]],Places[],6,FALSE)</f>
        <v>11.479898756543413</v>
      </c>
      <c r="M289" s="27">
        <f>Budgets[[#This Row],[2018 $ Value]]/VLOOKUP(Budgets[[#This Row],[Jurisdiction]],Places[],7,FALSE)</f>
        <v>82315.048593055006</v>
      </c>
      <c r="N289" s="27"/>
      <c r="O289" s="27" t="s">
        <v>1460</v>
      </c>
      <c r="P289" s="4"/>
      <c r="Q289"/>
    </row>
    <row r="290" spans="1:17" x14ac:dyDescent="0.25">
      <c r="A290" s="19" t="s">
        <v>247</v>
      </c>
      <c r="B290" s="19" t="str">
        <f>INDEX(Places[Type],MATCH(Budgets[[#This Row],[Jurisdiction]],Places[Jurisdiction],0))</f>
        <v>City</v>
      </c>
      <c r="C290" s="19" t="str">
        <f>INDEX(Places[County],MATCH(Budgets[[#This Row],[Jurisdiction]],Places[Jurisdiction],0))</f>
        <v>San Bernardino</v>
      </c>
      <c r="D290" s="21" t="str">
        <f>INDEX(Places[Majority RB],MATCH(Budgets[[#This Row],[Jurisdiction]],Places[Jurisdiction],0))</f>
        <v>Santa Ana</v>
      </c>
      <c r="E290" s="19">
        <f>INDEX(Places[Majority RB '#],MATCH(Budgets[[#This Row],[Jurisdiction]],Places[Jurisdiction],0))</f>
        <v>8</v>
      </c>
      <c r="F290" s="19" t="str">
        <f>VLOOKUP(Budgets[[#This Row],[Jurisdiction]],Places[#All],8,FALSE)</f>
        <v>Phase I MS4</v>
      </c>
      <c r="G290" s="81"/>
      <c r="H290" s="21" t="s">
        <v>1881</v>
      </c>
      <c r="I290" s="21">
        <f>VALUE(LEFT(Budgets[[#This Row],[Fiscal Year]],4))</f>
        <v>2014</v>
      </c>
      <c r="J290" s="20">
        <v>429171</v>
      </c>
      <c r="K290" s="27">
        <f>IF(Budgets[[#This Row],[Reference Year]]&gt;2018,Budgets[[#This Row],[Value]],Budgets[[#This Row],[Value]]*(1+VLOOKUP(Budgets[[#This Row],[Reference Year]],Inflation[#All],3,FALSE)))</f>
        <v>456243.04140684416</v>
      </c>
      <c r="L290" s="27">
        <f>Budgets[[#This Row],[2018 $ Value]]/VLOOKUP(Budgets[[#This Row],[Jurisdiction]],Places[],6,FALSE)</f>
        <v>11.568908421199486</v>
      </c>
      <c r="M290" s="27">
        <f>Budgets[[#This Row],[2018 $ Value]]/VLOOKUP(Budgets[[#This Row],[Jurisdiction]],Places[],7,FALSE)</f>
        <v>82953.280255789854</v>
      </c>
      <c r="N290" s="27"/>
      <c r="O290" s="27" t="s">
        <v>1460</v>
      </c>
      <c r="P290" s="4"/>
      <c r="Q290"/>
    </row>
    <row r="291" spans="1:17" x14ac:dyDescent="0.25">
      <c r="A291" s="19" t="s">
        <v>247</v>
      </c>
      <c r="B291" s="19" t="str">
        <f>INDEX(Places[Type],MATCH(Budgets[[#This Row],[Jurisdiction]],Places[Jurisdiction],0))</f>
        <v>City</v>
      </c>
      <c r="C291" s="19" t="str">
        <f>INDEX(Places[County],MATCH(Budgets[[#This Row],[Jurisdiction]],Places[Jurisdiction],0))</f>
        <v>San Bernardino</v>
      </c>
      <c r="D291" s="21" t="str">
        <f>INDEX(Places[Majority RB],MATCH(Budgets[[#This Row],[Jurisdiction]],Places[Jurisdiction],0))</f>
        <v>Santa Ana</v>
      </c>
      <c r="E291" s="19">
        <f>INDEX(Places[Majority RB '#],MATCH(Budgets[[#This Row],[Jurisdiction]],Places[Jurisdiction],0))</f>
        <v>8</v>
      </c>
      <c r="F291" s="19" t="str">
        <f>VLOOKUP(Budgets[[#This Row],[Jurisdiction]],Places[#All],8,FALSE)</f>
        <v>Phase I MS4</v>
      </c>
      <c r="G291" s="81"/>
      <c r="H291" s="21" t="s">
        <v>1873</v>
      </c>
      <c r="I291" s="21">
        <f>VALUE(LEFT(Budgets[[#This Row],[Fiscal Year]],4))</f>
        <v>2015</v>
      </c>
      <c r="J291" s="20">
        <v>389036</v>
      </c>
      <c r="K291" s="27">
        <f>IF(Budgets[[#This Row],[Reference Year]]&gt;2018,Budgets[[#This Row],[Value]],Budgets[[#This Row],[Value]]*(1+VLOOKUP(Budgets[[#This Row],[Reference Year]],Inflation[#All],3,FALSE)))</f>
        <v>413052.81736708857</v>
      </c>
      <c r="L291" s="27">
        <f>Budgets[[#This Row],[2018 $ Value]]/VLOOKUP(Budgets[[#This Row],[Jurisdiction]],Places[],6,FALSE)</f>
        <v>10.473738300760417</v>
      </c>
      <c r="M291" s="27">
        <f>Budgets[[#This Row],[2018 $ Value]]/VLOOKUP(Budgets[[#This Row],[Jurisdiction]],Places[],7,FALSE)</f>
        <v>75100.512248561557</v>
      </c>
      <c r="N291" s="27"/>
      <c r="O291" s="27" t="s">
        <v>1460</v>
      </c>
      <c r="P291" s="4"/>
      <c r="Q291"/>
    </row>
    <row r="292" spans="1:17" x14ac:dyDescent="0.25">
      <c r="A292" s="19" t="s">
        <v>247</v>
      </c>
      <c r="B292" s="19" t="str">
        <f>INDEX(Places[Type],MATCH(Budgets[[#This Row],[Jurisdiction]],Places[Jurisdiction],0))</f>
        <v>City</v>
      </c>
      <c r="C292" s="19" t="str">
        <f>INDEX(Places[County],MATCH(Budgets[[#This Row],[Jurisdiction]],Places[Jurisdiction],0))</f>
        <v>San Bernardino</v>
      </c>
      <c r="D292" s="21" t="str">
        <f>INDEX(Places[Majority RB],MATCH(Budgets[[#This Row],[Jurisdiction]],Places[Jurisdiction],0))</f>
        <v>Santa Ana</v>
      </c>
      <c r="E292" s="19">
        <f>INDEX(Places[Majority RB '#],MATCH(Budgets[[#This Row],[Jurisdiction]],Places[Jurisdiction],0))</f>
        <v>8</v>
      </c>
      <c r="F292" s="19" t="str">
        <f>VLOOKUP(Budgets[[#This Row],[Jurisdiction]],Places[#All],8,FALSE)</f>
        <v>Phase I MS4</v>
      </c>
      <c r="G292" s="81"/>
      <c r="H292" s="21" t="s">
        <v>1869</v>
      </c>
      <c r="I292" s="21">
        <f>VALUE(LEFT(Budgets[[#This Row],[Fiscal Year]],4))</f>
        <v>2016</v>
      </c>
      <c r="J292" s="20">
        <v>388552</v>
      </c>
      <c r="K292" s="27">
        <f>IF(Budgets[[#This Row],[Reference Year]]&gt;2018,Budgets[[#This Row],[Value]],Budgets[[#This Row],[Value]]*(1+VLOOKUP(Budgets[[#This Row],[Reference Year]],Inflation[#All],3,FALSE)))</f>
        <v>407382.20130000002</v>
      </c>
      <c r="L292" s="27">
        <f>Budgets[[#This Row],[2018 $ Value]]/VLOOKUP(Budgets[[#This Row],[Jurisdiction]],Places[],6,FALSE)</f>
        <v>10.329949065598296</v>
      </c>
      <c r="M292" s="27">
        <f>Budgets[[#This Row],[2018 $ Value]]/VLOOKUP(Budgets[[#This Row],[Jurisdiction]],Places[],7,FALSE)</f>
        <v>74069.491145454551</v>
      </c>
      <c r="N292" s="27"/>
      <c r="O292" s="27" t="s">
        <v>1853</v>
      </c>
      <c r="P292" s="4"/>
      <c r="Q292"/>
    </row>
    <row r="293" spans="1:17" x14ac:dyDescent="0.25">
      <c r="A293" s="19" t="s">
        <v>191</v>
      </c>
      <c r="B293" s="19" t="str">
        <f>INDEX(Places[Type],MATCH(Budgets[[#This Row],[Jurisdiction]],Places[Jurisdiction],0))</f>
        <v>City</v>
      </c>
      <c r="C293" s="19" t="str">
        <f>INDEX(Places[County],MATCH(Budgets[[#This Row],[Jurisdiction]],Places[Jurisdiction],0))</f>
        <v>Los Angeles</v>
      </c>
      <c r="D293" s="21" t="str">
        <f>INDEX(Places[Majority RB],MATCH(Budgets[[#This Row],[Jurisdiction]],Places[Jurisdiction],0))</f>
        <v>Los Angeles</v>
      </c>
      <c r="E293" s="19">
        <f>INDEX(Places[Majority RB '#],MATCH(Budgets[[#This Row],[Jurisdiction]],Places[Jurisdiction],0))</f>
        <v>4</v>
      </c>
      <c r="F293" s="19" t="str">
        <f>VLOOKUP(Budgets[[#This Row],[Jurisdiction]],Places[#All],8,FALSE)</f>
        <v>Phase I MS4</v>
      </c>
      <c r="G293" s="81"/>
      <c r="H293" s="21" t="s">
        <v>1870</v>
      </c>
      <c r="I293" s="21">
        <f>VALUE(LEFT(Budgets[[#This Row],[Fiscal Year]],4))</f>
        <v>2011</v>
      </c>
      <c r="J293" s="20">
        <v>685345</v>
      </c>
      <c r="K293" s="27">
        <f>IF(Budgets[[#This Row],[Reference Year]]&gt;2018,Budgets[[#This Row],[Value]],Budgets[[#This Row],[Value]]*(1+VLOOKUP(Budgets[[#This Row],[Reference Year]],Inflation[#All],3,FALSE)))</f>
        <v>766803.23563806142</v>
      </c>
      <c r="L293" s="27">
        <f>Budgets[[#This Row],[2018 $ Value]]/VLOOKUP(Budgets[[#This Row],[Jurisdiction]],Places[],6,FALSE)</f>
        <v>12.242994565686253</v>
      </c>
      <c r="M293" s="27">
        <f>Budgets[[#This Row],[2018 $ Value]]/VLOOKUP(Budgets[[#This Row],[Jurisdiction]],Places[],7,FALSE)</f>
        <v>92385.932004585702</v>
      </c>
      <c r="N293" s="27"/>
      <c r="O293" s="27" t="s">
        <v>1460</v>
      </c>
      <c r="P293" s="4"/>
      <c r="Q293"/>
    </row>
    <row r="294" spans="1:17" x14ac:dyDescent="0.25">
      <c r="A294" s="19" t="s">
        <v>191</v>
      </c>
      <c r="B294" s="19" t="str">
        <f>INDEX(Places[Type],MATCH(Budgets[[#This Row],[Jurisdiction]],Places[Jurisdiction],0))</f>
        <v>City</v>
      </c>
      <c r="C294" s="19" t="str">
        <f>INDEX(Places[County],MATCH(Budgets[[#This Row],[Jurisdiction]],Places[Jurisdiction],0))</f>
        <v>Los Angeles</v>
      </c>
      <c r="D294" s="21" t="str">
        <f>INDEX(Places[Majority RB],MATCH(Budgets[[#This Row],[Jurisdiction]],Places[Jurisdiction],0))</f>
        <v>Los Angeles</v>
      </c>
      <c r="E294" s="19">
        <f>INDEX(Places[Majority RB '#],MATCH(Budgets[[#This Row],[Jurisdiction]],Places[Jurisdiction],0))</f>
        <v>4</v>
      </c>
      <c r="F294" s="19" t="str">
        <f>VLOOKUP(Budgets[[#This Row],[Jurisdiction]],Places[#All],8,FALSE)</f>
        <v>Phase I MS4</v>
      </c>
      <c r="G294" s="81"/>
      <c r="H294" s="21" t="s">
        <v>1871</v>
      </c>
      <c r="I294" s="21">
        <f>VALUE(LEFT(Budgets[[#This Row],[Fiscal Year]],4))</f>
        <v>2012</v>
      </c>
      <c r="J294" s="20">
        <v>743208</v>
      </c>
      <c r="K294" s="27">
        <f>IF(Budgets[[#This Row],[Reference Year]]&gt;2018,Budgets[[#This Row],[Value]],Budgets[[#This Row],[Value]]*(1+VLOOKUP(Budgets[[#This Row],[Reference Year]],Inflation[#All],3,FALSE)))</f>
        <v>814521.65613240423</v>
      </c>
      <c r="L294" s="27">
        <f>Budgets[[#This Row],[2018 $ Value]]/VLOOKUP(Budgets[[#This Row],[Jurisdiction]],Places[],6,FALSE)</f>
        <v>13.004880191154749</v>
      </c>
      <c r="M294" s="27">
        <f>Budgets[[#This Row],[2018 $ Value]]/VLOOKUP(Budgets[[#This Row],[Jurisdiction]],Places[],7,FALSE)</f>
        <v>98135.13929306074</v>
      </c>
      <c r="N294" s="27"/>
      <c r="O294" s="27" t="s">
        <v>1460</v>
      </c>
      <c r="P294" s="4"/>
      <c r="Q294"/>
    </row>
    <row r="295" spans="1:17" x14ac:dyDescent="0.25">
      <c r="A295" s="19" t="s">
        <v>191</v>
      </c>
      <c r="B295" s="19" t="str">
        <f>INDEX(Places[Type],MATCH(Budgets[[#This Row],[Jurisdiction]],Places[Jurisdiction],0))</f>
        <v>City</v>
      </c>
      <c r="C295" s="19" t="str">
        <f>INDEX(Places[County],MATCH(Budgets[[#This Row],[Jurisdiction]],Places[Jurisdiction],0))</f>
        <v>Los Angeles</v>
      </c>
      <c r="D295" s="21" t="str">
        <f>INDEX(Places[Majority RB],MATCH(Budgets[[#This Row],[Jurisdiction]],Places[Jurisdiction],0))</f>
        <v>Los Angeles</v>
      </c>
      <c r="E295" s="19">
        <f>INDEX(Places[Majority RB '#],MATCH(Budgets[[#This Row],[Jurisdiction]],Places[Jurisdiction],0))</f>
        <v>4</v>
      </c>
      <c r="F295" s="19" t="str">
        <f>VLOOKUP(Budgets[[#This Row],[Jurisdiction]],Places[#All],8,FALSE)</f>
        <v>Phase I MS4</v>
      </c>
      <c r="G295" s="81"/>
      <c r="H295" s="21" t="s">
        <v>1869</v>
      </c>
      <c r="I295" s="21">
        <f>VALUE(LEFT(Budgets[[#This Row],[Fiscal Year]],4))</f>
        <v>2016</v>
      </c>
      <c r="J295" s="20">
        <v>4196327</v>
      </c>
      <c r="K295" s="27">
        <f>IF(Budgets[[#This Row],[Reference Year]]&gt;2018,Budgets[[#This Row],[Value]],Budgets[[#This Row],[Value]]*(1+VLOOKUP(Budgets[[#This Row],[Reference Year]],Inflation[#All],3,FALSE)))</f>
        <v>4399691.4972375007</v>
      </c>
      <c r="L295" s="27">
        <f>Budgets[[#This Row],[2018 $ Value]]/VLOOKUP(Budgets[[#This Row],[Jurisdiction]],Places[],6,FALSE)</f>
        <v>70.246702919234593</v>
      </c>
      <c r="M295" s="27">
        <f>Budgets[[#This Row],[2018 $ Value]]/VLOOKUP(Budgets[[#This Row],[Jurisdiction]],Places[],7,FALSE)</f>
        <v>530083.31292018073</v>
      </c>
      <c r="N295" s="27"/>
      <c r="O295" s="27" t="s">
        <v>1853</v>
      </c>
      <c r="P295" s="4"/>
      <c r="Q295"/>
    </row>
    <row r="296" spans="1:17" x14ac:dyDescent="0.25">
      <c r="A296" s="19" t="s">
        <v>192</v>
      </c>
      <c r="B296" s="19" t="str">
        <f>INDEX(Places[Type],MATCH(Budgets[[#This Row],[Jurisdiction]],Places[Jurisdiction],0))</f>
        <v>City</v>
      </c>
      <c r="C296" s="19" t="str">
        <f>INDEX(Places[County],MATCH(Budgets[[#This Row],[Jurisdiction]],Places[Jurisdiction],0))</f>
        <v>Los Angeles</v>
      </c>
      <c r="D296" s="21" t="str">
        <f>INDEX(Places[Majority RB],MATCH(Budgets[[#This Row],[Jurisdiction]],Places[Jurisdiction],0))</f>
        <v>Los Angeles</v>
      </c>
      <c r="E296" s="19">
        <f>INDEX(Places[Majority RB '#],MATCH(Budgets[[#This Row],[Jurisdiction]],Places[Jurisdiction],0))</f>
        <v>4</v>
      </c>
      <c r="F296" s="19" t="str">
        <f>VLOOKUP(Budgets[[#This Row],[Jurisdiction]],Places[#All],8,FALSE)</f>
        <v>Phase I MS4</v>
      </c>
      <c r="G296" s="81"/>
      <c r="H296" s="21" t="s">
        <v>1870</v>
      </c>
      <c r="I296" s="21">
        <f>VALUE(LEFT(Budgets[[#This Row],[Fiscal Year]],4))</f>
        <v>2011</v>
      </c>
      <c r="J296" s="20">
        <v>37637284</v>
      </c>
      <c r="K296" s="27">
        <f>IF(Budgets[[#This Row],[Reference Year]]&gt;2018,Budgets[[#This Row],[Value]],Budgets[[#This Row],[Value]]*(1+VLOOKUP(Budgets[[#This Row],[Reference Year]],Inflation[#All],3,FALSE)))</f>
        <v>42110748.822605602</v>
      </c>
      <c r="L296" s="27">
        <f>Budgets[[#This Row],[2018 $ Value]]/VLOOKUP(Budgets[[#This Row],[Jurisdiction]],Places[],6,FALSE)</f>
        <v>697.18628536954031</v>
      </c>
      <c r="M296" s="27">
        <f>Budgets[[#This Row],[2018 $ Value]]/VLOOKUP(Budgets[[#This Row],[Jurisdiction]],Places[],7,FALSE)</f>
        <v>5468928.4185202084</v>
      </c>
      <c r="N296" s="27"/>
      <c r="O296" s="27" t="s">
        <v>1460</v>
      </c>
      <c r="P296" s="4"/>
      <c r="Q296"/>
    </row>
    <row r="297" spans="1:17" x14ac:dyDescent="0.25">
      <c r="A297" s="19" t="s">
        <v>192</v>
      </c>
      <c r="B297" s="19" t="str">
        <f>INDEX(Places[Type],MATCH(Budgets[[#This Row],[Jurisdiction]],Places[Jurisdiction],0))</f>
        <v>City</v>
      </c>
      <c r="C297" s="19" t="str">
        <f>INDEX(Places[County],MATCH(Budgets[[#This Row],[Jurisdiction]],Places[Jurisdiction],0))</f>
        <v>Los Angeles</v>
      </c>
      <c r="D297" s="21" t="str">
        <f>INDEX(Places[Majority RB],MATCH(Budgets[[#This Row],[Jurisdiction]],Places[Jurisdiction],0))</f>
        <v>Los Angeles</v>
      </c>
      <c r="E297" s="19">
        <f>INDEX(Places[Majority RB '#],MATCH(Budgets[[#This Row],[Jurisdiction]],Places[Jurisdiction],0))</f>
        <v>4</v>
      </c>
      <c r="F297" s="19" t="str">
        <f>VLOOKUP(Budgets[[#This Row],[Jurisdiction]],Places[#All],8,FALSE)</f>
        <v>Phase I MS4</v>
      </c>
      <c r="G297" s="81"/>
      <c r="H297" s="21" t="s">
        <v>1871</v>
      </c>
      <c r="I297" s="21">
        <f>VALUE(LEFT(Budgets[[#This Row],[Fiscal Year]],4))</f>
        <v>2012</v>
      </c>
      <c r="J297" s="20">
        <v>37511284</v>
      </c>
      <c r="K297" s="27">
        <f>IF(Budgets[[#This Row],[Reference Year]]&gt;2018,Budgets[[#This Row],[Value]],Budgets[[#This Row],[Value]]*(1+VLOOKUP(Budgets[[#This Row],[Reference Year]],Inflation[#All],3,FALSE)))</f>
        <v>41110635.471271776</v>
      </c>
      <c r="L297" s="27">
        <f>Budgets[[#This Row],[2018 $ Value]]/VLOOKUP(Budgets[[#This Row],[Jurisdiction]],Places[],6,FALSE)</f>
        <v>680.6283914384162</v>
      </c>
      <c r="M297" s="27">
        <f>Budgets[[#This Row],[2018 $ Value]]/VLOOKUP(Budgets[[#This Row],[Jurisdiction]],Places[],7,FALSE)</f>
        <v>5339043.5676976331</v>
      </c>
      <c r="N297" s="27"/>
      <c r="O297" s="27" t="s">
        <v>1460</v>
      </c>
      <c r="P297" s="4"/>
      <c r="Q297"/>
    </row>
    <row r="298" spans="1:17" x14ac:dyDescent="0.25">
      <c r="A298" s="19" t="s">
        <v>192</v>
      </c>
      <c r="B298" s="19" t="str">
        <f>INDEX(Places[Type],MATCH(Budgets[[#This Row],[Jurisdiction]],Places[Jurisdiction],0))</f>
        <v>City</v>
      </c>
      <c r="C298" s="19" t="str">
        <f>INDEX(Places[County],MATCH(Budgets[[#This Row],[Jurisdiction]],Places[Jurisdiction],0))</f>
        <v>Los Angeles</v>
      </c>
      <c r="D298" s="21" t="str">
        <f>INDEX(Places[Majority RB],MATCH(Budgets[[#This Row],[Jurisdiction]],Places[Jurisdiction],0))</f>
        <v>Los Angeles</v>
      </c>
      <c r="E298" s="19">
        <f>INDEX(Places[Majority RB '#],MATCH(Budgets[[#This Row],[Jurisdiction]],Places[Jurisdiction],0))</f>
        <v>4</v>
      </c>
      <c r="F298" s="19" t="str">
        <f>VLOOKUP(Budgets[[#This Row],[Jurisdiction]],Places[#All],8,FALSE)</f>
        <v>Phase I MS4</v>
      </c>
      <c r="G298" s="81"/>
      <c r="H298" s="21" t="s">
        <v>1869</v>
      </c>
      <c r="I298" s="21">
        <f>VALUE(LEFT(Budgets[[#This Row],[Fiscal Year]],4))</f>
        <v>2016</v>
      </c>
      <c r="J298" s="20">
        <v>542505</v>
      </c>
      <c r="K298" s="27">
        <f>IF(Budgets[[#This Row],[Reference Year]]&gt;2018,Budgets[[#This Row],[Value]],Budgets[[#This Row],[Value]]*(1+VLOOKUP(Budgets[[#This Row],[Reference Year]],Inflation[#All],3,FALSE)))</f>
        <v>568796.14856250002</v>
      </c>
      <c r="L298" s="27">
        <f>Budgets[[#This Row],[2018 $ Value]]/VLOOKUP(Budgets[[#This Row],[Jurisdiction]],Places[],6,FALSE)</f>
        <v>9.4169988669475675</v>
      </c>
      <c r="M298" s="27">
        <f>Budgets[[#This Row],[2018 $ Value]]/VLOOKUP(Budgets[[#This Row],[Jurisdiction]],Places[],7,FALSE)</f>
        <v>73869.629683441555</v>
      </c>
      <c r="N298" s="27"/>
      <c r="O298" s="27" t="s">
        <v>1853</v>
      </c>
      <c r="P298" s="4"/>
      <c r="Q298"/>
    </row>
    <row r="299" spans="1:17" x14ac:dyDescent="0.25">
      <c r="A299" s="19" t="s">
        <v>255</v>
      </c>
      <c r="B299" s="19" t="str">
        <f>INDEX(Places[Type],MATCH(Budgets[[#This Row],[Jurisdiction]],Places[Jurisdiction],0))</f>
        <v>City</v>
      </c>
      <c r="C299" s="19" t="str">
        <f>INDEX(Places[County],MATCH(Budgets[[#This Row],[Jurisdiction]],Places[Jurisdiction],0))</f>
        <v>Ventura</v>
      </c>
      <c r="D299" s="21" t="str">
        <f>INDEX(Places[Majority RB],MATCH(Budgets[[#This Row],[Jurisdiction]],Places[Jurisdiction],0))</f>
        <v>Los Angeles</v>
      </c>
      <c r="E299" s="19">
        <f>INDEX(Places[Majority RB '#],MATCH(Budgets[[#This Row],[Jurisdiction]],Places[Jurisdiction],0))</f>
        <v>4</v>
      </c>
      <c r="F299" s="19" t="str">
        <f>VLOOKUP(Budgets[[#This Row],[Jurisdiction]],Places[#All],8,FALSE)</f>
        <v>Phase I MS4</v>
      </c>
      <c r="G299" s="81"/>
      <c r="H299" s="21" t="s">
        <v>1882</v>
      </c>
      <c r="I299" s="21">
        <f>VALUE(LEFT(Budgets[[#This Row],[Fiscal Year]],4))</f>
        <v>2005</v>
      </c>
      <c r="J299" s="20">
        <v>489050</v>
      </c>
      <c r="K299" s="27">
        <f>IF(Budgets[[#This Row],[Reference Year]]&gt;2018,Budgets[[#This Row],[Value]],Budgets[[#This Row],[Value]]*(1+VLOOKUP(Budgets[[#This Row],[Reference Year]],Inflation[#All],3,FALSE)))</f>
        <v>630108.24654377881</v>
      </c>
      <c r="L299" s="27">
        <f>Budgets[[#This Row],[2018 $ Value]]/VLOOKUP(Budgets[[#This Row],[Jurisdiction]],Places[],6,FALSE)</f>
        <v>17.227368945313287</v>
      </c>
      <c r="M299" s="27">
        <f>Budgets[[#This Row],[2018 $ Value]]/VLOOKUP(Budgets[[#This Row],[Jurisdiction]],Places[],7,FALSE)</f>
        <v>50008.590995538005</v>
      </c>
      <c r="N299" s="27"/>
      <c r="O299" s="27" t="s">
        <v>1460</v>
      </c>
      <c r="P299" s="4"/>
      <c r="Q299"/>
    </row>
    <row r="300" spans="1:17" x14ac:dyDescent="0.25">
      <c r="A300" s="19" t="s">
        <v>255</v>
      </c>
      <c r="B300" s="19" t="str">
        <f>INDEX(Places[Type],MATCH(Budgets[[#This Row],[Jurisdiction]],Places[Jurisdiction],0))</f>
        <v>City</v>
      </c>
      <c r="C300" s="19" t="str">
        <f>INDEX(Places[County],MATCH(Budgets[[#This Row],[Jurisdiction]],Places[Jurisdiction],0))</f>
        <v>Ventura</v>
      </c>
      <c r="D300" s="21" t="str">
        <f>INDEX(Places[Majority RB],MATCH(Budgets[[#This Row],[Jurisdiction]],Places[Jurisdiction],0))</f>
        <v>Los Angeles</v>
      </c>
      <c r="E300" s="19">
        <f>INDEX(Places[Majority RB '#],MATCH(Budgets[[#This Row],[Jurisdiction]],Places[Jurisdiction],0))</f>
        <v>4</v>
      </c>
      <c r="F300" s="19" t="str">
        <f>VLOOKUP(Budgets[[#This Row],[Jurisdiction]],Places[#All],8,FALSE)</f>
        <v>Phase I MS4</v>
      </c>
      <c r="G300" s="81"/>
      <c r="H300" s="21" t="s">
        <v>1883</v>
      </c>
      <c r="I300" s="21">
        <f>VALUE(LEFT(Budgets[[#This Row],[Fiscal Year]],4))</f>
        <v>2006</v>
      </c>
      <c r="J300" s="20">
        <v>524655</v>
      </c>
      <c r="K300" s="27">
        <f>IF(Budgets[[#This Row],[Reference Year]]&gt;2018,Budgets[[#This Row],[Value]],Budgets[[#This Row],[Value]]*(1+VLOOKUP(Budgets[[#This Row],[Reference Year]],Inflation[#All],3,FALSE)))</f>
        <v>654858.44397321437</v>
      </c>
      <c r="L300" s="27">
        <f>Budgets[[#This Row],[2018 $ Value]]/VLOOKUP(Budgets[[#This Row],[Jurisdiction]],Places[],6,FALSE)</f>
        <v>17.904047571446149</v>
      </c>
      <c r="M300" s="27">
        <f>Budgets[[#This Row],[2018 $ Value]]/VLOOKUP(Budgets[[#This Row],[Jurisdiction]],Places[],7,FALSE)</f>
        <v>51972.892378826538</v>
      </c>
      <c r="N300" s="27"/>
      <c r="O300" s="27" t="s">
        <v>1460</v>
      </c>
      <c r="P300" s="4"/>
      <c r="Q300"/>
    </row>
    <row r="301" spans="1:17" x14ac:dyDescent="0.25">
      <c r="A301" s="19" t="s">
        <v>255</v>
      </c>
      <c r="B301" s="19" t="str">
        <f>INDEX(Places[Type],MATCH(Budgets[[#This Row],[Jurisdiction]],Places[Jurisdiction],0))</f>
        <v>City</v>
      </c>
      <c r="C301" s="19" t="str">
        <f>INDEX(Places[County],MATCH(Budgets[[#This Row],[Jurisdiction]],Places[Jurisdiction],0))</f>
        <v>Ventura</v>
      </c>
      <c r="D301" s="21" t="str">
        <f>INDEX(Places[Majority RB],MATCH(Budgets[[#This Row],[Jurisdiction]],Places[Jurisdiction],0))</f>
        <v>Los Angeles</v>
      </c>
      <c r="E301" s="19">
        <f>INDEX(Places[Majority RB '#],MATCH(Budgets[[#This Row],[Jurisdiction]],Places[Jurisdiction],0))</f>
        <v>4</v>
      </c>
      <c r="F301" s="19" t="str">
        <f>VLOOKUP(Budgets[[#This Row],[Jurisdiction]],Places[#All],8,FALSE)</f>
        <v>Phase I MS4</v>
      </c>
      <c r="G301" s="81"/>
      <c r="H301" s="21" t="s">
        <v>1884</v>
      </c>
      <c r="I301" s="21">
        <f>VALUE(LEFT(Budgets[[#This Row],[Fiscal Year]],4))</f>
        <v>2008</v>
      </c>
      <c r="J301" s="20">
        <v>482144</v>
      </c>
      <c r="K301" s="27">
        <f>IF(Budgets[[#This Row],[Reference Year]]&gt;2018,Budgets[[#This Row],[Value]],Budgets[[#This Row],[Value]]*(1+VLOOKUP(Budgets[[#This Row],[Reference Year]],Inflation[#All],3,FALSE)))</f>
        <v>563503.84052020428</v>
      </c>
      <c r="L301" s="27">
        <f>Budgets[[#This Row],[2018 $ Value]]/VLOOKUP(Budgets[[#This Row],[Jurisdiction]],Places[],6,FALSE)</f>
        <v>15.406382341431657</v>
      </c>
      <c r="M301" s="27">
        <f>Budgets[[#This Row],[2018 $ Value]]/VLOOKUP(Budgets[[#This Row],[Jurisdiction]],Places[],7,FALSE)</f>
        <v>44722.527025413037</v>
      </c>
      <c r="N301" s="27"/>
      <c r="O301" s="27" t="s">
        <v>1460</v>
      </c>
      <c r="P301" s="4"/>
      <c r="Q301"/>
    </row>
    <row r="302" spans="1:17" x14ac:dyDescent="0.25">
      <c r="A302" s="19" t="s">
        <v>255</v>
      </c>
      <c r="B302" s="19" t="str">
        <f>INDEX(Places[Type],MATCH(Budgets[[#This Row],[Jurisdiction]],Places[Jurisdiction],0))</f>
        <v>City</v>
      </c>
      <c r="C302" s="19" t="str">
        <f>INDEX(Places[County],MATCH(Budgets[[#This Row],[Jurisdiction]],Places[Jurisdiction],0))</f>
        <v>Ventura</v>
      </c>
      <c r="D302" s="21" t="str">
        <f>INDEX(Places[Majority RB],MATCH(Budgets[[#This Row],[Jurisdiction]],Places[Jurisdiction],0))</f>
        <v>Los Angeles</v>
      </c>
      <c r="E302" s="19">
        <f>INDEX(Places[Majority RB '#],MATCH(Budgets[[#This Row],[Jurisdiction]],Places[Jurisdiction],0))</f>
        <v>4</v>
      </c>
      <c r="F302" s="19" t="str">
        <f>VLOOKUP(Budgets[[#This Row],[Jurisdiction]],Places[#All],8,FALSE)</f>
        <v>Phase I MS4</v>
      </c>
      <c r="G302" s="81"/>
      <c r="H302" s="21" t="s">
        <v>1885</v>
      </c>
      <c r="I302" s="21">
        <f>VALUE(LEFT(Budgets[[#This Row],[Fiscal Year]],4))</f>
        <v>2010</v>
      </c>
      <c r="J302" s="20">
        <v>432978</v>
      </c>
      <c r="K302" s="27">
        <f>IF(Budgets[[#This Row],[Reference Year]]&gt;2018,Budgets[[#This Row],[Value]],Budgets[[#This Row],[Value]]*(1+VLOOKUP(Budgets[[#This Row],[Reference Year]],Inflation[#All],3,FALSE)))</f>
        <v>499544.64519944979</v>
      </c>
      <c r="L302" s="27">
        <f>Budgets[[#This Row],[2018 $ Value]]/VLOOKUP(Budgets[[#This Row],[Jurisdiction]],Places[],6,FALSE)</f>
        <v>13.657716677587757</v>
      </c>
      <c r="M302" s="27">
        <f>Budgets[[#This Row],[2018 $ Value]]/VLOOKUP(Budgets[[#This Row],[Jurisdiction]],Places[],7,FALSE)</f>
        <v>39646.400412654744</v>
      </c>
      <c r="N302" s="27"/>
      <c r="O302" s="27" t="s">
        <v>1460</v>
      </c>
      <c r="P302" s="4"/>
      <c r="Q302"/>
    </row>
    <row r="303" spans="1:17" x14ac:dyDescent="0.25">
      <c r="A303" s="19" t="s">
        <v>255</v>
      </c>
      <c r="B303" s="19" t="str">
        <f>INDEX(Places[Type],MATCH(Budgets[[#This Row],[Jurisdiction]],Places[Jurisdiction],0))</f>
        <v>City</v>
      </c>
      <c r="C303" s="19" t="str">
        <f>INDEX(Places[County],MATCH(Budgets[[#This Row],[Jurisdiction]],Places[Jurisdiction],0))</f>
        <v>Ventura</v>
      </c>
      <c r="D303" s="21" t="str">
        <f>INDEX(Places[Majority RB],MATCH(Budgets[[#This Row],[Jurisdiction]],Places[Jurisdiction],0))</f>
        <v>Los Angeles</v>
      </c>
      <c r="E303" s="19">
        <f>INDEX(Places[Majority RB '#],MATCH(Budgets[[#This Row],[Jurisdiction]],Places[Jurisdiction],0))</f>
        <v>4</v>
      </c>
      <c r="F303" s="19" t="str">
        <f>VLOOKUP(Budgets[[#This Row],[Jurisdiction]],Places[#All],8,FALSE)</f>
        <v>Phase I MS4</v>
      </c>
      <c r="G303" s="81"/>
      <c r="H303" s="21" t="s">
        <v>1870</v>
      </c>
      <c r="I303" s="21">
        <f>VALUE(LEFT(Budgets[[#This Row],[Fiscal Year]],4))</f>
        <v>2011</v>
      </c>
      <c r="J303" s="20">
        <v>519394</v>
      </c>
      <c r="K303" s="27">
        <f>IF(Budgets[[#This Row],[Reference Year]]&gt;2018,Budgets[[#This Row],[Value]],Budgets[[#This Row],[Value]]*(1+VLOOKUP(Budgets[[#This Row],[Reference Year]],Inflation[#All],3,FALSE)))</f>
        <v>581127.75284126285</v>
      </c>
      <c r="L303" s="27">
        <f>Budgets[[#This Row],[2018 $ Value]]/VLOOKUP(Budgets[[#This Row],[Jurisdiction]],Places[],6,FALSE)</f>
        <v>15.888225963507843</v>
      </c>
      <c r="M303" s="27">
        <f>Budgets[[#This Row],[2018 $ Value]]/VLOOKUP(Budgets[[#This Row],[Jurisdiction]],Places[],7,FALSE)</f>
        <v>46121.250225497053</v>
      </c>
      <c r="N303" s="27"/>
      <c r="O303" s="27" t="s">
        <v>1460</v>
      </c>
      <c r="P303" s="4"/>
      <c r="Q303"/>
    </row>
    <row r="304" spans="1:17" x14ac:dyDescent="0.25">
      <c r="A304" s="19" t="s">
        <v>255</v>
      </c>
      <c r="B304" s="19" t="str">
        <f>INDEX(Places[Type],MATCH(Budgets[[#This Row],[Jurisdiction]],Places[Jurisdiction],0))</f>
        <v>City</v>
      </c>
      <c r="C304" s="19" t="str">
        <f>INDEX(Places[County],MATCH(Budgets[[#This Row],[Jurisdiction]],Places[Jurisdiction],0))</f>
        <v>Ventura</v>
      </c>
      <c r="D304" s="21" t="str">
        <f>INDEX(Places[Majority RB],MATCH(Budgets[[#This Row],[Jurisdiction]],Places[Jurisdiction],0))</f>
        <v>Los Angeles</v>
      </c>
      <c r="E304" s="19">
        <f>INDEX(Places[Majority RB '#],MATCH(Budgets[[#This Row],[Jurisdiction]],Places[Jurisdiction],0))</f>
        <v>4</v>
      </c>
      <c r="F304" s="19" t="str">
        <f>VLOOKUP(Budgets[[#This Row],[Jurisdiction]],Places[#All],8,FALSE)</f>
        <v>Phase I MS4</v>
      </c>
      <c r="G304" s="81"/>
      <c r="H304" s="21" t="s">
        <v>1871</v>
      </c>
      <c r="I304" s="21">
        <f>VALUE(LEFT(Budgets[[#This Row],[Fiscal Year]],4))</f>
        <v>2012</v>
      </c>
      <c r="J304" s="20">
        <v>459030</v>
      </c>
      <c r="K304" s="27">
        <f>IF(Budgets[[#This Row],[Reference Year]]&gt;2018,Budgets[[#This Row],[Value]],Budgets[[#This Row],[Value]]*(1+VLOOKUP(Budgets[[#This Row],[Reference Year]],Inflation[#All],3,FALSE)))</f>
        <v>503075.68784843205</v>
      </c>
      <c r="L304" s="27">
        <f>Budgets[[#This Row],[2018 $ Value]]/VLOOKUP(Budgets[[#This Row],[Jurisdiction]],Places[],6,FALSE)</f>
        <v>13.754256557535872</v>
      </c>
      <c r="M304" s="27">
        <f>Budgets[[#This Row],[2018 $ Value]]/VLOOKUP(Budgets[[#This Row],[Jurisdiction]],Places[],7,FALSE)</f>
        <v>39926.641892732703</v>
      </c>
      <c r="N304" s="27"/>
      <c r="O304" s="27" t="s">
        <v>1460</v>
      </c>
      <c r="P304" s="4"/>
      <c r="Q304"/>
    </row>
    <row r="305" spans="1:17" x14ac:dyDescent="0.25">
      <c r="A305" s="19" t="s">
        <v>255</v>
      </c>
      <c r="B305" s="19" t="str">
        <f>INDEX(Places[Type],MATCH(Budgets[[#This Row],[Jurisdiction]],Places[Jurisdiction],0))</f>
        <v>City</v>
      </c>
      <c r="C305" s="19" t="str">
        <f>INDEX(Places[County],MATCH(Budgets[[#This Row],[Jurisdiction]],Places[Jurisdiction],0))</f>
        <v>Ventura</v>
      </c>
      <c r="D305" s="21" t="str">
        <f>INDEX(Places[Majority RB],MATCH(Budgets[[#This Row],[Jurisdiction]],Places[Jurisdiction],0))</f>
        <v>Los Angeles</v>
      </c>
      <c r="E305" s="19">
        <f>INDEX(Places[Majority RB '#],MATCH(Budgets[[#This Row],[Jurisdiction]],Places[Jurisdiction],0))</f>
        <v>4</v>
      </c>
      <c r="F305" s="19" t="str">
        <f>VLOOKUP(Budgets[[#This Row],[Jurisdiction]],Places[#All],8,FALSE)</f>
        <v>Phase I MS4</v>
      </c>
      <c r="G305" s="81"/>
      <c r="H305" s="21" t="s">
        <v>1881</v>
      </c>
      <c r="I305" s="21">
        <f>VALUE(LEFT(Budgets[[#This Row],[Fiscal Year]],4))</f>
        <v>2014</v>
      </c>
      <c r="J305" s="20">
        <v>488396</v>
      </c>
      <c r="K305" s="27">
        <f>IF(Budgets[[#This Row],[Reference Year]]&gt;2018,Budgets[[#This Row],[Value]],Budgets[[#This Row],[Value]]*(1+VLOOKUP(Budgets[[#This Row],[Reference Year]],Inflation[#All],3,FALSE)))</f>
        <v>519203.9453992396</v>
      </c>
      <c r="L305" s="27">
        <f>Budgets[[#This Row],[2018 $ Value]]/VLOOKUP(Budgets[[#This Row],[Jurisdiction]],Places[],6,FALSE)</f>
        <v>14.195208480950338</v>
      </c>
      <c r="M305" s="27">
        <f>Budgets[[#This Row],[2018 $ Value]]/VLOOKUP(Budgets[[#This Row],[Jurisdiction]],Places[],7,FALSE)</f>
        <v>41206.662333272987</v>
      </c>
      <c r="N305" s="27"/>
      <c r="O305" s="27" t="s">
        <v>1460</v>
      </c>
      <c r="P305" s="4"/>
      <c r="Q305"/>
    </row>
    <row r="306" spans="1:17" x14ac:dyDescent="0.25">
      <c r="A306" s="19" t="s">
        <v>255</v>
      </c>
      <c r="B306" s="21" t="str">
        <f>INDEX(Places[Type],MATCH(Budgets[[#This Row],[Jurisdiction]],Places[Jurisdiction],0))</f>
        <v>City</v>
      </c>
      <c r="C306" s="21" t="str">
        <f>INDEX(Places[County],MATCH(Budgets[[#This Row],[Jurisdiction]],Places[Jurisdiction],0))</f>
        <v>Ventura</v>
      </c>
      <c r="D306" s="21" t="str">
        <f>INDEX(Places[Majority RB],MATCH(Budgets[[#This Row],[Jurisdiction]],Places[Jurisdiction],0))</f>
        <v>Los Angeles</v>
      </c>
      <c r="E306" s="19">
        <f>INDEX(Places[Majority RB '#],MATCH(Budgets[[#This Row],[Jurisdiction]],Places[Jurisdiction],0))</f>
        <v>4</v>
      </c>
      <c r="F306" s="21" t="str">
        <f>VLOOKUP(Budgets[[#This Row],[Jurisdiction]],Places[#All],8,FALSE)</f>
        <v>Phase I MS4</v>
      </c>
      <c r="G306" s="81"/>
      <c r="H306" s="21" t="s">
        <v>1876</v>
      </c>
      <c r="I306" s="21">
        <f>VALUE(LEFT(Budgets[[#This Row],[Fiscal Year]],4))</f>
        <v>2018</v>
      </c>
      <c r="J306" s="20">
        <v>552869</v>
      </c>
      <c r="K306" s="27">
        <f>IF(Budgets[[#This Row],[Reference Year]]&gt;2018,Budgets[[#This Row],[Value]],Budgets[[#This Row],[Value]]*(1+VLOOKUP(Budgets[[#This Row],[Reference Year]],Inflation[#All],3,FALSE)))</f>
        <v>552869</v>
      </c>
      <c r="L306" s="27">
        <f>Budgets[[#This Row],[2018 $ Value]]/VLOOKUP(Budgets[[#This Row],[Jurisdiction]],Places[],6,FALSE)</f>
        <v>15.115622265966755</v>
      </c>
      <c r="M306" s="27">
        <f>Budgets[[#This Row],[2018 $ Value]]/VLOOKUP(Budgets[[#This Row],[Jurisdiction]],Places[],7,FALSE)</f>
        <v>43878.492063492064</v>
      </c>
      <c r="N306" s="27" t="s">
        <v>1853</v>
      </c>
      <c r="O306" s="27" t="s">
        <v>1853</v>
      </c>
      <c r="P306" s="4"/>
      <c r="Q306"/>
    </row>
    <row r="307" spans="1:17" x14ac:dyDescent="0.25">
      <c r="A307" s="19" t="s">
        <v>236</v>
      </c>
      <c r="B307" s="19" t="str">
        <f>INDEX(Places[Type],MATCH(Budgets[[#This Row],[Jurisdiction]],Places[Jurisdiction],0))</f>
        <v>City</v>
      </c>
      <c r="C307" s="19" t="str">
        <f>INDEX(Places[County],MATCH(Budgets[[#This Row],[Jurisdiction]],Places[Jurisdiction],0))</f>
        <v>Riverside</v>
      </c>
      <c r="D307" s="21" t="str">
        <f>INDEX(Places[Majority RB],MATCH(Budgets[[#This Row],[Jurisdiction]],Places[Jurisdiction],0))</f>
        <v>Santa Ana</v>
      </c>
      <c r="E307" s="19">
        <f>INDEX(Places[Majority RB '#],MATCH(Budgets[[#This Row],[Jurisdiction]],Places[Jurisdiction],0))</f>
        <v>8</v>
      </c>
      <c r="F307" s="19" t="str">
        <f>VLOOKUP(Budgets[[#This Row],[Jurisdiction]],Places[#All],8,FALSE)</f>
        <v>Phase I MS4</v>
      </c>
      <c r="G307" s="81"/>
      <c r="H307" s="21" t="s">
        <v>1869</v>
      </c>
      <c r="I307" s="21">
        <f>VALUE(LEFT(Budgets[[#This Row],[Fiscal Year]],4))</f>
        <v>2016</v>
      </c>
      <c r="J307" s="20">
        <v>1266620</v>
      </c>
      <c r="K307" s="27">
        <f>IF(Budgets[[#This Row],[Reference Year]]&gt;2018,Budgets[[#This Row],[Value]],Budgets[[#This Row],[Value]]*(1+VLOOKUP(Budgets[[#This Row],[Reference Year]],Inflation[#All],3,FALSE)))</f>
        <v>1328003.5717500001</v>
      </c>
      <c r="L307" s="27">
        <f>Budgets[[#This Row],[2018 $ Value]]/VLOOKUP(Budgets[[#This Row],[Jurisdiction]],Places[],6,FALSE)</f>
        <v>6.3525643231284388</v>
      </c>
      <c r="M307" s="27">
        <f>Budgets[[#This Row],[2018 $ Value]]/VLOOKUP(Budgets[[#This Row],[Jurisdiction]],Places[],7,FALSE)</f>
        <v>25887.009195906438</v>
      </c>
      <c r="N307" s="27"/>
      <c r="O307" s="27" t="s">
        <v>1853</v>
      </c>
      <c r="P307" s="4"/>
      <c r="Q307"/>
    </row>
    <row r="308" spans="1:17" x14ac:dyDescent="0.25">
      <c r="A308" s="19" t="s">
        <v>285</v>
      </c>
      <c r="B308" s="19" t="str">
        <f>INDEX(Places[Type],MATCH(Budgets[[#This Row],[Jurisdiction]],Places[Jurisdiction],0))</f>
        <v>City</v>
      </c>
      <c r="C308" s="19" t="str">
        <f>INDEX(Places[County],MATCH(Budgets[[#This Row],[Jurisdiction]],Places[Jurisdiction],0))</f>
        <v>Orange</v>
      </c>
      <c r="D308" s="21" t="str">
        <f>INDEX(Places[Majority RB],MATCH(Budgets[[#This Row],[Jurisdiction]],Places[Jurisdiction],0))</f>
        <v>Santa Ana</v>
      </c>
      <c r="E308" s="19">
        <f>INDEX(Places[Majority RB '#],MATCH(Budgets[[#This Row],[Jurisdiction]],Places[Jurisdiction],0))</f>
        <v>8</v>
      </c>
      <c r="F308" s="19" t="str">
        <f>VLOOKUP(Budgets[[#This Row],[Jurisdiction]],Places[#All],8,FALSE)</f>
        <v>Phase I MS4</v>
      </c>
      <c r="G308" s="81"/>
      <c r="H308" s="21" t="s">
        <v>1872</v>
      </c>
      <c r="I308" s="21">
        <f>VALUE(LEFT(Budgets[[#This Row],[Fiscal Year]],4))</f>
        <v>2002</v>
      </c>
      <c r="J308" s="20">
        <v>2416000</v>
      </c>
      <c r="K308" s="27">
        <f>IF(Budgets[[#This Row],[Reference Year]]&gt;2018,Budgets[[#This Row],[Value]],Budgets[[#This Row],[Value]]*(1+VLOOKUP(Budgets[[#This Row],[Reference Year]],Inflation[#All],3,FALSE)))</f>
        <v>3379324.6025569756</v>
      </c>
      <c r="L308" s="27">
        <f>Budgets[[#This Row],[2018 $ Value]]/VLOOKUP(Budgets[[#This Row],[Jurisdiction]],Places[],6,FALSE)</f>
        <v>39.604863729191287</v>
      </c>
      <c r="M308" s="27">
        <f>Budgets[[#This Row],[2018 $ Value]]/VLOOKUP(Budgets[[#This Row],[Jurisdiction]],Places[],7,FALSE)</f>
        <v>141988.42867886453</v>
      </c>
      <c r="N308" s="27"/>
      <c r="O308" s="27" t="s">
        <v>1853</v>
      </c>
      <c r="P308" s="4"/>
      <c r="Q308"/>
    </row>
    <row r="309" spans="1:17" x14ac:dyDescent="0.25">
      <c r="A309" s="19" t="s">
        <v>169</v>
      </c>
      <c r="B309" s="19" t="str">
        <f>INDEX(Places[Type],MATCH(Budgets[[#This Row],[Jurisdiction]],Places[Jurisdiction],0))</f>
        <v>City</v>
      </c>
      <c r="C309" s="19" t="str">
        <f>INDEX(Places[County],MATCH(Budgets[[#This Row],[Jurisdiction]],Places[Jurisdiction],0))</f>
        <v>Los Angeles</v>
      </c>
      <c r="D309" s="21" t="str">
        <f>INDEX(Places[Majority RB],MATCH(Budgets[[#This Row],[Jurisdiction]],Places[Jurisdiction],0))</f>
        <v>Los Angeles</v>
      </c>
      <c r="E309" s="19">
        <f>INDEX(Places[Majority RB '#],MATCH(Budgets[[#This Row],[Jurisdiction]],Places[Jurisdiction],0))</f>
        <v>4</v>
      </c>
      <c r="F309" s="19" t="str">
        <f>VLOOKUP(Budgets[[#This Row],[Jurisdiction]],Places[#All],8,FALSE)</f>
        <v>Phase I MS4</v>
      </c>
      <c r="G309" s="81"/>
      <c r="H309" s="100" t="s">
        <v>1870</v>
      </c>
      <c r="I309" s="21">
        <f>VALUE(LEFT(Budgets[[#This Row],[Fiscal Year]],4))</f>
        <v>2011</v>
      </c>
      <c r="J309" s="20">
        <v>6654252</v>
      </c>
      <c r="K309" s="27">
        <f>IF(Budgets[[#This Row],[Reference Year]]&gt;2018,Budgets[[#This Row],[Value]],Budgets[[#This Row],[Value]]*(1+VLOOKUP(Budgets[[#This Row],[Reference Year]],Inflation[#All],3,FALSE)))</f>
        <v>7445158.2259315252</v>
      </c>
      <c r="L309" s="27">
        <f>Budgets[[#This Row],[2018 $ Value]]/VLOOKUP(Budgets[[#This Row],[Jurisdiction]],Places[],6,FALSE)</f>
        <v>70.825325589150737</v>
      </c>
      <c r="M309" s="27">
        <f>Budgets[[#This Row],[2018 $ Value]]/VLOOKUP(Budgets[[#This Row],[Jurisdiction]],Places[],7,FALSE)</f>
        <v>767542.08514758002</v>
      </c>
      <c r="N309" s="27"/>
      <c r="O309" s="27" t="s">
        <v>1460</v>
      </c>
      <c r="P309" s="4"/>
      <c r="Q309"/>
    </row>
    <row r="310" spans="1:17" x14ac:dyDescent="0.25">
      <c r="A310" s="19" t="s">
        <v>169</v>
      </c>
      <c r="B310" s="19" t="str">
        <f>INDEX(Places[Type],MATCH(Budgets[[#This Row],[Jurisdiction]],Places[Jurisdiction],0))</f>
        <v>City</v>
      </c>
      <c r="C310" s="19" t="str">
        <f>INDEX(Places[County],MATCH(Budgets[[#This Row],[Jurisdiction]],Places[Jurisdiction],0))</f>
        <v>Los Angeles</v>
      </c>
      <c r="D310" s="21" t="str">
        <f>INDEX(Places[Majority RB],MATCH(Budgets[[#This Row],[Jurisdiction]],Places[Jurisdiction],0))</f>
        <v>Los Angeles</v>
      </c>
      <c r="E310" s="19">
        <f>INDEX(Places[Majority RB '#],MATCH(Budgets[[#This Row],[Jurisdiction]],Places[Jurisdiction],0))</f>
        <v>4</v>
      </c>
      <c r="F310" s="19" t="str">
        <f>VLOOKUP(Budgets[[#This Row],[Jurisdiction]],Places[#All],8,FALSE)</f>
        <v>Phase I MS4</v>
      </c>
      <c r="G310" s="81"/>
      <c r="H310" s="100" t="s">
        <v>1871</v>
      </c>
      <c r="I310" s="21">
        <f>VALUE(LEFT(Budgets[[#This Row],[Fiscal Year]],4))</f>
        <v>2012</v>
      </c>
      <c r="J310" s="20">
        <v>6654252</v>
      </c>
      <c r="K310" s="27">
        <f>IF(Budgets[[#This Row],[Reference Year]]&gt;2018,Budgets[[#This Row],[Value]],Budgets[[#This Row],[Value]]*(1+VLOOKUP(Budgets[[#This Row],[Reference Year]],Inflation[#All],3,FALSE)))</f>
        <v>7292752.9835017426</v>
      </c>
      <c r="L310" s="27">
        <f>Budgets[[#This Row],[2018 $ Value]]/VLOOKUP(Budgets[[#This Row],[Jurisdiction]],Places[],6,FALSE)</f>
        <v>69.375504028745652</v>
      </c>
      <c r="M310" s="27">
        <f>Budgets[[#This Row],[2018 $ Value]]/VLOOKUP(Budgets[[#This Row],[Jurisdiction]],Places[],7,FALSE)</f>
        <v>751830.20448471582</v>
      </c>
      <c r="N310" s="27"/>
      <c r="O310" s="27" t="s">
        <v>1460</v>
      </c>
      <c r="P310" s="4"/>
      <c r="Q310"/>
    </row>
    <row r="311" spans="1:17" x14ac:dyDescent="0.25">
      <c r="A311" s="19" t="s">
        <v>169</v>
      </c>
      <c r="B311" s="19" t="str">
        <f>INDEX(Places[Type],MATCH(Budgets[[#This Row],[Jurisdiction]],Places[Jurisdiction],0))</f>
        <v>City</v>
      </c>
      <c r="C311" s="19" t="str">
        <f>INDEX(Places[County],MATCH(Budgets[[#This Row],[Jurisdiction]],Places[Jurisdiction],0))</f>
        <v>Los Angeles</v>
      </c>
      <c r="D311" s="21" t="str">
        <f>INDEX(Places[Majority RB],MATCH(Budgets[[#This Row],[Jurisdiction]],Places[Jurisdiction],0))</f>
        <v>Los Angeles</v>
      </c>
      <c r="E311" s="19">
        <f>INDEX(Places[Majority RB '#],MATCH(Budgets[[#This Row],[Jurisdiction]],Places[Jurisdiction],0))</f>
        <v>4</v>
      </c>
      <c r="F311" s="19" t="str">
        <f>VLOOKUP(Budgets[[#This Row],[Jurisdiction]],Places[#All],8,FALSE)</f>
        <v>Phase I MS4</v>
      </c>
      <c r="G311" s="81"/>
      <c r="H311" s="100" t="s">
        <v>1869</v>
      </c>
      <c r="I311" s="21">
        <f>VALUE(LEFT(Budgets[[#This Row],[Fiscal Year]],4))</f>
        <v>2016</v>
      </c>
      <c r="J311" s="20">
        <v>1270500</v>
      </c>
      <c r="K311" s="27">
        <f>IF(Budgets[[#This Row],[Reference Year]]&gt;2018,Budgets[[#This Row],[Value]],Budgets[[#This Row],[Value]]*(1+VLOOKUP(Budgets[[#This Row],[Reference Year]],Inflation[#All],3,FALSE)))</f>
        <v>1332071.6062500002</v>
      </c>
      <c r="L311" s="27">
        <f>Budgets[[#This Row],[2018 $ Value]]/VLOOKUP(Budgets[[#This Row],[Jurisdiction]],Places[],6,FALSE)</f>
        <v>12.671914062500003</v>
      </c>
      <c r="M311" s="27">
        <f>Budgets[[#This Row],[2018 $ Value]]/VLOOKUP(Budgets[[#This Row],[Jurisdiction]],Places[],7,FALSE)</f>
        <v>137326.96971649487</v>
      </c>
      <c r="N311" s="27"/>
      <c r="O311" s="27" t="s">
        <v>1853</v>
      </c>
      <c r="P311" s="4"/>
      <c r="Q311"/>
    </row>
    <row r="312" spans="1:17" x14ac:dyDescent="0.25">
      <c r="A312" s="19" t="s">
        <v>256</v>
      </c>
      <c r="B312" s="19" t="str">
        <f>INDEX(Places[Type],MATCH(Budgets[[#This Row],[Jurisdiction]],Places[Jurisdiction],0))</f>
        <v>City</v>
      </c>
      <c r="C312" s="19" t="str">
        <f>INDEX(Places[County],MATCH(Budgets[[#This Row],[Jurisdiction]],Places[Jurisdiction],0))</f>
        <v>Ventura</v>
      </c>
      <c r="D312" s="21" t="str">
        <f>INDEX(Places[Majority RB],MATCH(Budgets[[#This Row],[Jurisdiction]],Places[Jurisdiction],0))</f>
        <v>Los Angeles</v>
      </c>
      <c r="E312" s="19">
        <f>INDEX(Places[Majority RB '#],MATCH(Budgets[[#This Row],[Jurisdiction]],Places[Jurisdiction],0))</f>
        <v>4</v>
      </c>
      <c r="F312" s="19" t="str">
        <f>VLOOKUP(Budgets[[#This Row],[Jurisdiction]],Places[#All],8,FALSE)</f>
        <v>Phase I MS4</v>
      </c>
      <c r="G312" s="81"/>
      <c r="H312" s="21" t="s">
        <v>1882</v>
      </c>
      <c r="I312" s="21">
        <f>VALUE(LEFT(Budgets[[#This Row],[Fiscal Year]],4))</f>
        <v>2005</v>
      </c>
      <c r="J312" s="20">
        <v>150800</v>
      </c>
      <c r="K312" s="27">
        <f>IF(Budgets[[#This Row],[Reference Year]]&gt;2018,Budgets[[#This Row],[Value]],Budgets[[#This Row],[Value]]*(1+VLOOKUP(Budgets[[#This Row],[Reference Year]],Inflation[#All],3,FALSE)))</f>
        <v>194295.72350230414</v>
      </c>
      <c r="L312" s="27">
        <f>Budgets[[#This Row],[2018 $ Value]]/VLOOKUP(Budgets[[#This Row],[Jurisdiction]],Places[],6,FALSE)</f>
        <v>25.919920424533636</v>
      </c>
      <c r="M312" s="27">
        <f>Budgets[[#This Row],[2018 $ Value]]/VLOOKUP(Budgets[[#This Row],[Jurisdiction]],Places[],7,FALSE)</f>
        <v>45185.051977280033</v>
      </c>
      <c r="N312" s="27"/>
      <c r="O312" s="27" t="s">
        <v>1460</v>
      </c>
      <c r="P312" s="4"/>
      <c r="Q312"/>
    </row>
    <row r="313" spans="1:17" x14ac:dyDescent="0.25">
      <c r="A313" s="19" t="s">
        <v>256</v>
      </c>
      <c r="B313" s="19" t="str">
        <f>INDEX(Places[Type],MATCH(Budgets[[#This Row],[Jurisdiction]],Places[Jurisdiction],0))</f>
        <v>City</v>
      </c>
      <c r="C313" s="19" t="str">
        <f>INDEX(Places[County],MATCH(Budgets[[#This Row],[Jurisdiction]],Places[Jurisdiction],0))</f>
        <v>Ventura</v>
      </c>
      <c r="D313" s="21" t="str">
        <f>INDEX(Places[Majority RB],MATCH(Budgets[[#This Row],[Jurisdiction]],Places[Jurisdiction],0))</f>
        <v>Los Angeles</v>
      </c>
      <c r="E313" s="19">
        <f>INDEX(Places[Majority RB '#],MATCH(Budgets[[#This Row],[Jurisdiction]],Places[Jurisdiction],0))</f>
        <v>4</v>
      </c>
      <c r="F313" s="19" t="str">
        <f>VLOOKUP(Budgets[[#This Row],[Jurisdiction]],Places[#All],8,FALSE)</f>
        <v>Phase I MS4</v>
      </c>
      <c r="G313" s="81"/>
      <c r="H313" s="21" t="s">
        <v>1883</v>
      </c>
      <c r="I313" s="21">
        <f>VALUE(LEFT(Budgets[[#This Row],[Fiscal Year]],4))</f>
        <v>2006</v>
      </c>
      <c r="J313" s="20">
        <v>150800</v>
      </c>
      <c r="K313" s="27">
        <f>IF(Budgets[[#This Row],[Reference Year]]&gt;2018,Budgets[[#This Row],[Value]],Budgets[[#This Row],[Value]]*(1+VLOOKUP(Budgets[[#This Row],[Reference Year]],Inflation[#All],3,FALSE)))</f>
        <v>188223.98214285716</v>
      </c>
      <c r="L313" s="27">
        <f>Budgets[[#This Row],[2018 $ Value]]/VLOOKUP(Budgets[[#This Row],[Jurisdiction]],Places[],6,FALSE)</f>
        <v>25.109922911266963</v>
      </c>
      <c r="M313" s="27">
        <f>Budgets[[#This Row],[2018 $ Value]]/VLOOKUP(Budgets[[#This Row],[Jurisdiction]],Places[],7,FALSE)</f>
        <v>43773.019102990038</v>
      </c>
      <c r="N313" s="27"/>
      <c r="O313" s="27" t="s">
        <v>1460</v>
      </c>
      <c r="P313" s="4"/>
      <c r="Q313"/>
    </row>
    <row r="314" spans="1:17" x14ac:dyDescent="0.25">
      <c r="A314" s="19" t="s">
        <v>256</v>
      </c>
      <c r="B314" s="19" t="str">
        <f>INDEX(Places[Type],MATCH(Budgets[[#This Row],[Jurisdiction]],Places[Jurisdiction],0))</f>
        <v>City</v>
      </c>
      <c r="C314" s="19" t="str">
        <f>INDEX(Places[County],MATCH(Budgets[[#This Row],[Jurisdiction]],Places[Jurisdiction],0))</f>
        <v>Ventura</v>
      </c>
      <c r="D314" s="21" t="str">
        <f>INDEX(Places[Majority RB],MATCH(Budgets[[#This Row],[Jurisdiction]],Places[Jurisdiction],0))</f>
        <v>Los Angeles</v>
      </c>
      <c r="E314" s="19">
        <f>INDEX(Places[Majority RB '#],MATCH(Budgets[[#This Row],[Jurisdiction]],Places[Jurisdiction],0))</f>
        <v>4</v>
      </c>
      <c r="F314" s="19" t="str">
        <f>VLOOKUP(Budgets[[#This Row],[Jurisdiction]],Places[#All],8,FALSE)</f>
        <v>Phase I MS4</v>
      </c>
      <c r="G314" s="81"/>
      <c r="H314" s="21" t="s">
        <v>1884</v>
      </c>
      <c r="I314" s="21">
        <f>VALUE(LEFT(Budgets[[#This Row],[Fiscal Year]],4))</f>
        <v>2008</v>
      </c>
      <c r="J314" s="20">
        <v>306000</v>
      </c>
      <c r="K314" s="27">
        <f>IF(Budgets[[#This Row],[Reference Year]]&gt;2018,Budgets[[#This Row],[Value]],Budgets[[#This Row],[Value]]*(1+VLOOKUP(Budgets[[#This Row],[Reference Year]],Inflation[#All],3,FALSE)))</f>
        <v>357636.25638643751</v>
      </c>
      <c r="L314" s="27">
        <f>Budgets[[#This Row],[2018 $ Value]]/VLOOKUP(Budgets[[#This Row],[Jurisdiction]],Places[],6,FALSE)</f>
        <v>47.710279667347585</v>
      </c>
      <c r="M314" s="27">
        <f>Budgets[[#This Row],[2018 $ Value]]/VLOOKUP(Budgets[[#This Row],[Jurisdiction]],Places[],7,FALSE)</f>
        <v>83171.222415450582</v>
      </c>
      <c r="N314" s="27"/>
      <c r="O314" s="27" t="s">
        <v>1460</v>
      </c>
      <c r="P314" s="4"/>
      <c r="Q314"/>
    </row>
    <row r="315" spans="1:17" x14ac:dyDescent="0.25">
      <c r="A315" s="19" t="s">
        <v>256</v>
      </c>
      <c r="B315" s="19" t="str">
        <f>INDEX(Places[Type],MATCH(Budgets[[#This Row],[Jurisdiction]],Places[Jurisdiction],0))</f>
        <v>City</v>
      </c>
      <c r="C315" s="19" t="str">
        <f>INDEX(Places[County],MATCH(Budgets[[#This Row],[Jurisdiction]],Places[Jurisdiction],0))</f>
        <v>Ventura</v>
      </c>
      <c r="D315" s="21" t="str">
        <f>INDEX(Places[Majority RB],MATCH(Budgets[[#This Row],[Jurisdiction]],Places[Jurisdiction],0))</f>
        <v>Los Angeles</v>
      </c>
      <c r="E315" s="19">
        <f>INDEX(Places[Majority RB '#],MATCH(Budgets[[#This Row],[Jurisdiction]],Places[Jurisdiction],0))</f>
        <v>4</v>
      </c>
      <c r="F315" s="19" t="str">
        <f>VLOOKUP(Budgets[[#This Row],[Jurisdiction]],Places[#All],8,FALSE)</f>
        <v>Phase I MS4</v>
      </c>
      <c r="G315" s="81"/>
      <c r="H315" s="21" t="s">
        <v>1885</v>
      </c>
      <c r="I315" s="21">
        <f>VALUE(LEFT(Budgets[[#This Row],[Fiscal Year]],4))</f>
        <v>2010</v>
      </c>
      <c r="J315" s="20">
        <v>135500</v>
      </c>
      <c r="K315" s="27">
        <f>IF(Budgets[[#This Row],[Reference Year]]&gt;2018,Budgets[[#This Row],[Value]],Budgets[[#This Row],[Value]]*(1+VLOOKUP(Budgets[[#This Row],[Reference Year]],Inflation[#All],3,FALSE)))</f>
        <v>156331.96011004125</v>
      </c>
      <c r="L315" s="27">
        <f>Budgets[[#This Row],[2018 $ Value]]/VLOOKUP(Budgets[[#This Row],[Jurisdiction]],Places[],6,FALSE)</f>
        <v>20.855384219589283</v>
      </c>
      <c r="M315" s="27">
        <f>Budgets[[#This Row],[2018 $ Value]]/VLOOKUP(Budgets[[#This Row],[Jurisdiction]],Places[],7,FALSE)</f>
        <v>36356.26979303285</v>
      </c>
      <c r="N315" s="27"/>
      <c r="O315" s="27" t="s">
        <v>1460</v>
      </c>
      <c r="P315" s="4"/>
      <c r="Q315"/>
    </row>
    <row r="316" spans="1:17" x14ac:dyDescent="0.25">
      <c r="A316" s="19" t="s">
        <v>256</v>
      </c>
      <c r="B316" s="19" t="str">
        <f>INDEX(Places[Type],MATCH(Budgets[[#This Row],[Jurisdiction]],Places[Jurisdiction],0))</f>
        <v>City</v>
      </c>
      <c r="C316" s="19" t="str">
        <f>INDEX(Places[County],MATCH(Budgets[[#This Row],[Jurisdiction]],Places[Jurisdiction],0))</f>
        <v>Ventura</v>
      </c>
      <c r="D316" s="21" t="str">
        <f>INDEX(Places[Majority RB],MATCH(Budgets[[#This Row],[Jurisdiction]],Places[Jurisdiction],0))</f>
        <v>Los Angeles</v>
      </c>
      <c r="E316" s="19">
        <f>INDEX(Places[Majority RB '#],MATCH(Budgets[[#This Row],[Jurisdiction]],Places[Jurisdiction],0))</f>
        <v>4</v>
      </c>
      <c r="F316" s="19" t="str">
        <f>VLOOKUP(Budgets[[#This Row],[Jurisdiction]],Places[#All],8,FALSE)</f>
        <v>Phase I MS4</v>
      </c>
      <c r="G316" s="81"/>
      <c r="H316" s="21" t="s">
        <v>1870</v>
      </c>
      <c r="I316" s="21">
        <f>VALUE(LEFT(Budgets[[#This Row],[Fiscal Year]],4))</f>
        <v>2011</v>
      </c>
      <c r="J316" s="20">
        <v>135500</v>
      </c>
      <c r="K316" s="27">
        <f>IF(Budgets[[#This Row],[Reference Year]]&gt;2018,Budgets[[#This Row],[Value]],Budgets[[#This Row],[Value]]*(1+VLOOKUP(Budgets[[#This Row],[Reference Year]],Inflation[#All],3,FALSE)))</f>
        <v>151605.16007114275</v>
      </c>
      <c r="L316" s="27">
        <f>Budgets[[#This Row],[2018 $ Value]]/VLOOKUP(Budgets[[#This Row],[Jurisdiction]],Places[],6,FALSE)</f>
        <v>20.224807907036119</v>
      </c>
      <c r="M316" s="27">
        <f>Budgets[[#This Row],[2018 $ Value]]/VLOOKUP(Budgets[[#This Row],[Jurisdiction]],Places[],7,FALSE)</f>
        <v>35257.0139700332</v>
      </c>
      <c r="N316" s="27"/>
      <c r="O316" s="27" t="s">
        <v>1460</v>
      </c>
      <c r="P316" s="4"/>
      <c r="Q316"/>
    </row>
    <row r="317" spans="1:17" x14ac:dyDescent="0.25">
      <c r="A317" s="19" t="s">
        <v>256</v>
      </c>
      <c r="B317" s="19" t="str">
        <f>INDEX(Places[Type],MATCH(Budgets[[#This Row],[Jurisdiction]],Places[Jurisdiction],0))</f>
        <v>City</v>
      </c>
      <c r="C317" s="19" t="str">
        <f>INDEX(Places[County],MATCH(Budgets[[#This Row],[Jurisdiction]],Places[Jurisdiction],0))</f>
        <v>Ventura</v>
      </c>
      <c r="D317" s="21" t="str">
        <f>INDEX(Places[Majority RB],MATCH(Budgets[[#This Row],[Jurisdiction]],Places[Jurisdiction],0))</f>
        <v>Los Angeles</v>
      </c>
      <c r="E317" s="19">
        <f>INDEX(Places[Majority RB '#],MATCH(Budgets[[#This Row],[Jurisdiction]],Places[Jurisdiction],0))</f>
        <v>4</v>
      </c>
      <c r="F317" s="19" t="str">
        <f>VLOOKUP(Budgets[[#This Row],[Jurisdiction]],Places[#All],8,FALSE)</f>
        <v>Phase I MS4</v>
      </c>
      <c r="G317" s="81"/>
      <c r="H317" s="21" t="s">
        <v>1871</v>
      </c>
      <c r="I317" s="21">
        <f>VALUE(LEFT(Budgets[[#This Row],[Fiscal Year]],4))</f>
        <v>2012</v>
      </c>
      <c r="J317" s="20">
        <v>117000</v>
      </c>
      <c r="K317" s="27">
        <f>IF(Budgets[[#This Row],[Reference Year]]&gt;2018,Budgets[[#This Row],[Value]],Budgets[[#This Row],[Value]]*(1+VLOOKUP(Budgets[[#This Row],[Reference Year]],Inflation[#All],3,FALSE)))</f>
        <v>128226.59843205575</v>
      </c>
      <c r="L317" s="27">
        <f>Budgets[[#This Row],[2018 $ Value]]/VLOOKUP(Budgets[[#This Row],[Jurisdiction]],Places[],6,FALSE)</f>
        <v>17.106002992536787</v>
      </c>
      <c r="M317" s="27">
        <f>Budgets[[#This Row],[2018 $ Value]]/VLOOKUP(Budgets[[#This Row],[Jurisdiction]],Places[],7,FALSE)</f>
        <v>29820.139170245522</v>
      </c>
      <c r="N317" s="27"/>
      <c r="O317" s="27" t="s">
        <v>1460</v>
      </c>
      <c r="P317" s="4"/>
      <c r="Q317"/>
    </row>
    <row r="318" spans="1:17" x14ac:dyDescent="0.25">
      <c r="A318" s="19" t="s">
        <v>256</v>
      </c>
      <c r="B318" s="19" t="str">
        <f>INDEX(Places[Type],MATCH(Budgets[[#This Row],[Jurisdiction]],Places[Jurisdiction],0))</f>
        <v>City</v>
      </c>
      <c r="C318" s="19" t="str">
        <f>INDEX(Places[County],MATCH(Budgets[[#This Row],[Jurisdiction]],Places[Jurisdiction],0))</f>
        <v>Ventura</v>
      </c>
      <c r="D318" s="21" t="str">
        <f>INDEX(Places[Majority RB],MATCH(Budgets[[#This Row],[Jurisdiction]],Places[Jurisdiction],0))</f>
        <v>Los Angeles</v>
      </c>
      <c r="E318" s="19">
        <f>INDEX(Places[Majority RB '#],MATCH(Budgets[[#This Row],[Jurisdiction]],Places[Jurisdiction],0))</f>
        <v>4</v>
      </c>
      <c r="F318" s="19" t="str">
        <f>VLOOKUP(Budgets[[#This Row],[Jurisdiction]],Places[#All],8,FALSE)</f>
        <v>Phase I MS4</v>
      </c>
      <c r="G318" s="81"/>
      <c r="H318" s="21" t="s">
        <v>1881</v>
      </c>
      <c r="I318" s="21">
        <f>VALUE(LEFT(Budgets[[#This Row],[Fiscal Year]],4))</f>
        <v>2014</v>
      </c>
      <c r="J318" s="20">
        <v>117000</v>
      </c>
      <c r="K318" s="27">
        <f>IF(Budgets[[#This Row],[Reference Year]]&gt;2018,Budgets[[#This Row],[Value]],Budgets[[#This Row],[Value]]*(1+VLOOKUP(Budgets[[#This Row],[Reference Year]],Inflation[#All],3,FALSE)))</f>
        <v>124380.34220532321</v>
      </c>
      <c r="L318" s="27">
        <f>Budgets[[#This Row],[2018 $ Value]]/VLOOKUP(Budgets[[#This Row],[Jurisdiction]],Places[],6,FALSE)</f>
        <v>16.592895171467877</v>
      </c>
      <c r="M318" s="27">
        <f>Budgets[[#This Row],[2018 $ Value]]/VLOOKUP(Budgets[[#This Row],[Jurisdiction]],Places[],7,FALSE)</f>
        <v>28925.660977982141</v>
      </c>
      <c r="N318" s="27"/>
      <c r="O318" s="27" t="s">
        <v>1460</v>
      </c>
      <c r="P318" s="4"/>
      <c r="Q318"/>
    </row>
    <row r="319" spans="1:17" x14ac:dyDescent="0.25">
      <c r="A319" s="19" t="s">
        <v>256</v>
      </c>
      <c r="B319" s="21" t="str">
        <f>INDEX(Places[Type],MATCH(Budgets[[#This Row],[Jurisdiction]],Places[Jurisdiction],0))</f>
        <v>City</v>
      </c>
      <c r="C319" s="21" t="str">
        <f>INDEX(Places[County],MATCH(Budgets[[#This Row],[Jurisdiction]],Places[Jurisdiction],0))</f>
        <v>Ventura</v>
      </c>
      <c r="D319" s="21" t="str">
        <f>INDEX(Places[Majority RB],MATCH(Budgets[[#This Row],[Jurisdiction]],Places[Jurisdiction],0))</f>
        <v>Los Angeles</v>
      </c>
      <c r="E319" s="19">
        <f>INDEX(Places[Majority RB '#],MATCH(Budgets[[#This Row],[Jurisdiction]],Places[Jurisdiction],0))</f>
        <v>4</v>
      </c>
      <c r="F319" s="19" t="str">
        <f>VLOOKUP(Budgets[[#This Row],[Jurisdiction]],Places[#All],8,FALSE)</f>
        <v>Phase I MS4</v>
      </c>
      <c r="G319" s="81"/>
      <c r="H319" s="21" t="s">
        <v>1876</v>
      </c>
      <c r="I319" s="21">
        <f>VALUE(LEFT(Budgets[[#This Row],[Fiscal Year]],4))</f>
        <v>2018</v>
      </c>
      <c r="J319" s="20">
        <v>139790</v>
      </c>
      <c r="K319" s="27">
        <f>IF(Budgets[[#This Row],[Reference Year]]&gt;2018,Budgets[[#This Row],[Value]],Budgets[[#This Row],[Value]]*(1+VLOOKUP(Budgets[[#This Row],[Reference Year]],Inflation[#All],3,FALSE)))</f>
        <v>139790</v>
      </c>
      <c r="L319" s="27">
        <f>Budgets[[#This Row],[2018 $ Value]]/VLOOKUP(Budgets[[#This Row],[Jurisdiction]],Places[],6,FALSE)</f>
        <v>18.648612593383138</v>
      </c>
      <c r="M319" s="27">
        <f>Budgets[[#This Row],[2018 $ Value]]/VLOOKUP(Budgets[[#This Row],[Jurisdiction]],Places[],7,FALSE)</f>
        <v>32509.302325581397</v>
      </c>
      <c r="N319" s="27" t="s">
        <v>1853</v>
      </c>
      <c r="O319" s="27" t="s">
        <v>1853</v>
      </c>
      <c r="P319" s="4"/>
      <c r="Q319"/>
    </row>
    <row r="320" spans="1:17" x14ac:dyDescent="0.25">
      <c r="A320" s="19" t="s">
        <v>18</v>
      </c>
      <c r="B320" s="19" t="str">
        <f>INDEX(Places[Type],MATCH(Budgets[[#This Row],[Jurisdiction]],Places[Jurisdiction],0))</f>
        <v>City</v>
      </c>
      <c r="C320" s="19" t="str">
        <f>INDEX(Places[County],MATCH(Budgets[[#This Row],[Jurisdiction]],Places[Jurisdiction],0))</f>
        <v>San Bernardino</v>
      </c>
      <c r="D320" s="21" t="str">
        <f>INDEX(Places[Majority RB],MATCH(Budgets[[#This Row],[Jurisdiction]],Places[Jurisdiction],0))</f>
        <v>Santa Ana</v>
      </c>
      <c r="E320" s="19">
        <f>INDEX(Places[Majority RB '#],MATCH(Budgets[[#This Row],[Jurisdiction]],Places[Jurisdiction],0))</f>
        <v>8</v>
      </c>
      <c r="F320" s="19" t="str">
        <f>VLOOKUP(Budgets[[#This Row],[Jurisdiction]],Places[#All],8,FALSE)</f>
        <v>Phase I MS4</v>
      </c>
      <c r="G320" s="81"/>
      <c r="H320" s="21" t="s">
        <v>1871</v>
      </c>
      <c r="I320" s="21">
        <f>VALUE(LEFT(Budgets[[#This Row],[Fiscal Year]],4))</f>
        <v>2012</v>
      </c>
      <c r="J320" s="20">
        <v>2359343</v>
      </c>
      <c r="K320" s="27">
        <f>IF(Budgets[[#This Row],[Reference Year]]&gt;2018,Budgets[[#This Row],[Value]],Budgets[[#This Row],[Value]]*(1+VLOOKUP(Budgets[[#This Row],[Reference Year]],Inflation[#All],3,FALSE)))</f>
        <v>2585731.003628049</v>
      </c>
      <c r="L320" s="27">
        <f>Budgets[[#This Row],[2018 $ Value]]/VLOOKUP(Budgets[[#This Row],[Jurisdiction]],Places[],6,FALSE)</f>
        <v>14.277366438779556</v>
      </c>
      <c r="M320" s="27">
        <f>Budgets[[#This Row],[2018 $ Value]]/VLOOKUP(Budgets[[#This Row],[Jurisdiction]],Places[],7,FALSE)</f>
        <v>51818.256585732444</v>
      </c>
      <c r="N320" s="27"/>
      <c r="O320" s="27" t="s">
        <v>1460</v>
      </c>
      <c r="P320" s="4"/>
      <c r="Q320"/>
    </row>
    <row r="321" spans="1:17" x14ac:dyDescent="0.25">
      <c r="A321" s="19" t="s">
        <v>18</v>
      </c>
      <c r="B321" s="19" t="str">
        <f>INDEX(Places[Type],MATCH(Budgets[[#This Row],[Jurisdiction]],Places[Jurisdiction],0))</f>
        <v>City</v>
      </c>
      <c r="C321" s="19" t="str">
        <f>INDEX(Places[County],MATCH(Budgets[[#This Row],[Jurisdiction]],Places[Jurisdiction],0))</f>
        <v>San Bernardino</v>
      </c>
      <c r="D321" s="21" t="str">
        <f>INDEX(Places[Majority RB],MATCH(Budgets[[#This Row],[Jurisdiction]],Places[Jurisdiction],0))</f>
        <v>Santa Ana</v>
      </c>
      <c r="E321" s="19">
        <f>INDEX(Places[Majority RB '#],MATCH(Budgets[[#This Row],[Jurisdiction]],Places[Jurisdiction],0))</f>
        <v>8</v>
      </c>
      <c r="F321" s="19" t="str">
        <f>VLOOKUP(Budgets[[#This Row],[Jurisdiction]],Places[#All],8,FALSE)</f>
        <v>Phase I MS4</v>
      </c>
      <c r="G321" s="81"/>
      <c r="H321" s="21" t="s">
        <v>1880</v>
      </c>
      <c r="I321" s="21">
        <f>VALUE(LEFT(Budgets[[#This Row],[Fiscal Year]],4))</f>
        <v>2013</v>
      </c>
      <c r="J321" s="20">
        <v>2550383</v>
      </c>
      <c r="K321" s="27">
        <f>IF(Budgets[[#This Row],[Reference Year]]&gt;2018,Budgets[[#This Row],[Value]],Budgets[[#This Row],[Value]]*(1+VLOOKUP(Budgets[[#This Row],[Reference Year]],Inflation[#All],3,FALSE)))</f>
        <v>2754315.1273519313</v>
      </c>
      <c r="L321" s="27">
        <f>Budgets[[#This Row],[2018 $ Value]]/VLOOKUP(Budgets[[#This Row],[Jurisdiction]],Places[],6,FALSE)</f>
        <v>15.208220153566296</v>
      </c>
      <c r="M321" s="27">
        <f>Budgets[[#This Row],[2018 $ Value]]/VLOOKUP(Budgets[[#This Row],[Jurisdiction]],Places[],7,FALSE)</f>
        <v>55196.695938916462</v>
      </c>
      <c r="N321" s="27"/>
      <c r="O321" s="27" t="s">
        <v>1460</v>
      </c>
      <c r="P321" s="4"/>
      <c r="Q321"/>
    </row>
    <row r="322" spans="1:17" x14ac:dyDescent="0.25">
      <c r="A322" s="19" t="s">
        <v>18</v>
      </c>
      <c r="B322" s="19" t="str">
        <f>INDEX(Places[Type],MATCH(Budgets[[#This Row],[Jurisdiction]],Places[Jurisdiction],0))</f>
        <v>City</v>
      </c>
      <c r="C322" s="19" t="str">
        <f>INDEX(Places[County],MATCH(Budgets[[#This Row],[Jurisdiction]],Places[Jurisdiction],0))</f>
        <v>San Bernardino</v>
      </c>
      <c r="D322" s="21" t="str">
        <f>INDEX(Places[Majority RB],MATCH(Budgets[[#This Row],[Jurisdiction]],Places[Jurisdiction],0))</f>
        <v>Santa Ana</v>
      </c>
      <c r="E322" s="19">
        <f>INDEX(Places[Majority RB '#],MATCH(Budgets[[#This Row],[Jurisdiction]],Places[Jurisdiction],0))</f>
        <v>8</v>
      </c>
      <c r="F322" s="19" t="str">
        <f>VLOOKUP(Budgets[[#This Row],[Jurisdiction]],Places[#All],8,FALSE)</f>
        <v>Phase I MS4</v>
      </c>
      <c r="G322" s="81"/>
      <c r="H322" s="21" t="s">
        <v>1881</v>
      </c>
      <c r="I322" s="21">
        <f>VALUE(LEFT(Budgets[[#This Row],[Fiscal Year]],4))</f>
        <v>2014</v>
      </c>
      <c r="J322" s="20">
        <v>2320641</v>
      </c>
      <c r="K322" s="27">
        <f>IF(Budgets[[#This Row],[Reference Year]]&gt;2018,Budgets[[#This Row],[Value]],Budgets[[#This Row],[Value]]*(1+VLOOKUP(Budgets[[#This Row],[Reference Year]],Inflation[#All],3,FALSE)))</f>
        <v>2467026.6813307987</v>
      </c>
      <c r="L322" s="27">
        <f>Budgets[[#This Row],[2018 $ Value]]/VLOOKUP(Budgets[[#This Row],[Jurisdiction]],Places[],6,FALSE)</f>
        <v>13.621928922298965</v>
      </c>
      <c r="M322" s="27">
        <f>Budgets[[#This Row],[2018 $ Value]]/VLOOKUP(Budgets[[#This Row],[Jurisdiction]],Places[],7,FALSE)</f>
        <v>49439.412451519012</v>
      </c>
      <c r="N322" s="27"/>
      <c r="O322" s="27" t="s">
        <v>1460</v>
      </c>
      <c r="P322" s="4"/>
      <c r="Q322"/>
    </row>
    <row r="323" spans="1:17" x14ac:dyDescent="0.25">
      <c r="A323" s="19" t="s">
        <v>18</v>
      </c>
      <c r="B323" s="19" t="str">
        <f>INDEX(Places[Type],MATCH(Budgets[[#This Row],[Jurisdiction]],Places[Jurisdiction],0))</f>
        <v>City</v>
      </c>
      <c r="C323" s="19" t="str">
        <f>INDEX(Places[County],MATCH(Budgets[[#This Row],[Jurisdiction]],Places[Jurisdiction],0))</f>
        <v>San Bernardino</v>
      </c>
      <c r="D323" s="21" t="str">
        <f>INDEX(Places[Majority RB],MATCH(Budgets[[#This Row],[Jurisdiction]],Places[Jurisdiction],0))</f>
        <v>Santa Ana</v>
      </c>
      <c r="E323" s="19">
        <f>INDEX(Places[Majority RB '#],MATCH(Budgets[[#This Row],[Jurisdiction]],Places[Jurisdiction],0))</f>
        <v>8</v>
      </c>
      <c r="F323" s="19" t="str">
        <f>VLOOKUP(Budgets[[#This Row],[Jurisdiction]],Places[#All],8,FALSE)</f>
        <v>Phase I MS4</v>
      </c>
      <c r="G323" s="81"/>
      <c r="H323" s="21" t="s">
        <v>1873</v>
      </c>
      <c r="I323" s="21">
        <f>VALUE(LEFT(Budgets[[#This Row],[Fiscal Year]],4))</f>
        <v>2015</v>
      </c>
      <c r="J323" s="20">
        <v>2546292</v>
      </c>
      <c r="K323" s="27">
        <f>IF(Budgets[[#This Row],[Reference Year]]&gt;2018,Budgets[[#This Row],[Value]],Budgets[[#This Row],[Value]]*(1+VLOOKUP(Budgets[[#This Row],[Reference Year]],Inflation[#All],3,FALSE)))</f>
        <v>2703485.2415696201</v>
      </c>
      <c r="L323" s="27">
        <f>Budgets[[#This Row],[2018 $ Value]]/VLOOKUP(Budgets[[#This Row],[Jurisdiction]],Places[],6,FALSE)</f>
        <v>14.927557971638976</v>
      </c>
      <c r="M323" s="27">
        <f>Budgets[[#This Row],[2018 $ Value]]/VLOOKUP(Budgets[[#This Row],[Jurisdiction]],Places[],7,FALSE)</f>
        <v>54178.060953298998</v>
      </c>
      <c r="N323" s="27"/>
      <c r="O323" s="27" t="s">
        <v>1460</v>
      </c>
      <c r="P323" s="4"/>
      <c r="Q323"/>
    </row>
    <row r="324" spans="1:17" x14ac:dyDescent="0.25">
      <c r="A324" s="19" t="s">
        <v>18</v>
      </c>
      <c r="B324" s="19" t="str">
        <f>INDEX(Places[Type],MATCH(Budgets[[#This Row],[Jurisdiction]],Places[Jurisdiction],0))</f>
        <v>City</v>
      </c>
      <c r="C324" s="19" t="str">
        <f>INDEX(Places[County],MATCH(Budgets[[#This Row],[Jurisdiction]],Places[Jurisdiction],0))</f>
        <v>San Bernardino</v>
      </c>
      <c r="D324" s="21" t="str">
        <f>INDEX(Places[Majority RB],MATCH(Budgets[[#This Row],[Jurisdiction]],Places[Jurisdiction],0))</f>
        <v>Santa Ana</v>
      </c>
      <c r="E324" s="19">
        <f>INDEX(Places[Majority RB '#],MATCH(Budgets[[#This Row],[Jurisdiction]],Places[Jurisdiction],0))</f>
        <v>8</v>
      </c>
      <c r="F324" s="19" t="str">
        <f>VLOOKUP(Budgets[[#This Row],[Jurisdiction]],Places[#All],8,FALSE)</f>
        <v>Phase I MS4</v>
      </c>
      <c r="G324" s="81"/>
      <c r="H324" s="21" t="s">
        <v>1869</v>
      </c>
      <c r="I324" s="21">
        <f>VALUE(LEFT(Budgets[[#This Row],[Fiscal Year]],4))</f>
        <v>2016</v>
      </c>
      <c r="J324" s="20">
        <v>2535141</v>
      </c>
      <c r="K324" s="27">
        <f>IF(Budgets[[#This Row],[Reference Year]]&gt;2018,Budgets[[#This Row],[Value]],Budgets[[#This Row],[Value]]*(1+VLOOKUP(Budgets[[#This Row],[Reference Year]],Inflation[#All],3,FALSE)))</f>
        <v>2658000.2707125</v>
      </c>
      <c r="L324" s="27">
        <f>Budgets[[#This Row],[2018 $ Value]]/VLOOKUP(Budgets[[#This Row],[Jurisdiction]],Places[],6,FALSE)</f>
        <v>14.676408259827063</v>
      </c>
      <c r="M324" s="27">
        <f>Budgets[[#This Row],[2018 $ Value]]/VLOOKUP(Budgets[[#This Row],[Jurisdiction]],Places[],7,FALSE)</f>
        <v>53266.538491232466</v>
      </c>
      <c r="N324" s="27"/>
      <c r="O324" s="27" t="s">
        <v>1853</v>
      </c>
      <c r="P324" s="4"/>
      <c r="Q324"/>
    </row>
    <row r="325" spans="1:17" x14ac:dyDescent="0.25">
      <c r="A325" s="19" t="s">
        <v>262</v>
      </c>
      <c r="B325" s="19" t="str">
        <f>INDEX(Places[Type],MATCH(Budgets[[#This Row],[Jurisdiction]],Places[Jurisdiction],0))</f>
        <v>City</v>
      </c>
      <c r="C325" s="19" t="str">
        <f>INDEX(Places[County],MATCH(Budgets[[#This Row],[Jurisdiction]],Places[Jurisdiction],0))</f>
        <v>Orange</v>
      </c>
      <c r="D325" s="21" t="str">
        <f>INDEX(Places[Majority RB],MATCH(Budgets[[#This Row],[Jurisdiction]],Places[Jurisdiction],0))</f>
        <v>Santa Ana</v>
      </c>
      <c r="E325" s="19">
        <f>INDEX(Places[Majority RB '#],MATCH(Budgets[[#This Row],[Jurisdiction]],Places[Jurisdiction],0))</f>
        <v>8</v>
      </c>
      <c r="F325" s="19" t="str">
        <f>VLOOKUP(Budgets[[#This Row],[Jurisdiction]],Places[#All],8,FALSE)</f>
        <v>Phase I MS4</v>
      </c>
      <c r="G325" s="81"/>
      <c r="H325" s="21" t="s">
        <v>1875</v>
      </c>
      <c r="I325" s="21">
        <f>VALUE(LEFT(Budgets[[#This Row],[Fiscal Year]],4))</f>
        <v>2001</v>
      </c>
      <c r="J325" s="20">
        <v>3861900</v>
      </c>
      <c r="K325" s="27">
        <f>IF(Budgets[[#This Row],[Reference Year]]&gt;2018,Budgets[[#This Row],[Value]],Budgets[[#This Row],[Value]]*(1+VLOOKUP(Budgets[[#This Row],[Reference Year]],Inflation[#All],3,FALSE)))</f>
        <v>5487147.1422924902</v>
      </c>
      <c r="L325" s="27">
        <f>Budgets[[#This Row],[2018 $ Value]]/VLOOKUP(Budgets[[#This Row],[Jurisdiction]],Places[],6,FALSE)</f>
        <v>39.338900105334595</v>
      </c>
      <c r="M325" s="27">
        <f>Budgets[[#This Row],[2018 $ Value]]/VLOOKUP(Budgets[[#This Row],[Jurisdiction]],Places[],7,FALSE)</f>
        <v>216029.41505088547</v>
      </c>
      <c r="N325" s="27"/>
      <c r="O325" s="27" t="s">
        <v>1460</v>
      </c>
      <c r="P325" s="4"/>
      <c r="Q325"/>
    </row>
    <row r="326" spans="1:17" x14ac:dyDescent="0.25">
      <c r="A326" s="19" t="s">
        <v>262</v>
      </c>
      <c r="B326" s="19" t="str">
        <f>INDEX(Places[Type],MATCH(Budgets[[#This Row],[Jurisdiction]],Places[Jurisdiction],0))</f>
        <v>City</v>
      </c>
      <c r="C326" s="19" t="str">
        <f>INDEX(Places[County],MATCH(Budgets[[#This Row],[Jurisdiction]],Places[Jurisdiction],0))</f>
        <v>Orange</v>
      </c>
      <c r="D326" s="21" t="str">
        <f>INDEX(Places[Majority RB],MATCH(Budgets[[#This Row],[Jurisdiction]],Places[Jurisdiction],0))</f>
        <v>Santa Ana</v>
      </c>
      <c r="E326" s="19">
        <f>INDEX(Places[Majority RB '#],MATCH(Budgets[[#This Row],[Jurisdiction]],Places[Jurisdiction],0))</f>
        <v>8</v>
      </c>
      <c r="F326" s="19" t="str">
        <f>VLOOKUP(Budgets[[#This Row],[Jurisdiction]],Places[#All],8,FALSE)</f>
        <v>Phase I MS4</v>
      </c>
      <c r="G326" s="81"/>
      <c r="H326" s="21" t="s">
        <v>1872</v>
      </c>
      <c r="I326" s="21">
        <f>VALUE(LEFT(Budgets[[#This Row],[Fiscal Year]],4))</f>
        <v>2002</v>
      </c>
      <c r="J326" s="20">
        <v>2189381</v>
      </c>
      <c r="K326" s="27">
        <f>IF(Budgets[[#This Row],[Reference Year]]&gt;2018,Budgets[[#This Row],[Value]],Budgets[[#This Row],[Value]]*(1+VLOOKUP(Budgets[[#This Row],[Reference Year]],Inflation[#All],3,FALSE)))</f>
        <v>3062346.4725458585</v>
      </c>
      <c r="L326" s="27">
        <f>Budgets[[#This Row],[2018 $ Value]]/VLOOKUP(Budgets[[#This Row],[Jurisdiction]],Places[],6,FALSE)</f>
        <v>21.954822578545627</v>
      </c>
      <c r="M326" s="27">
        <f>Budgets[[#This Row],[2018 $ Value]]/VLOOKUP(Budgets[[#This Row],[Jurisdiction]],Places[],7,FALSE)</f>
        <v>120564.82175377397</v>
      </c>
      <c r="N326" s="27"/>
      <c r="O326" s="27" t="s">
        <v>1853</v>
      </c>
      <c r="P326" s="4"/>
      <c r="Q326"/>
    </row>
    <row r="327" spans="1:17" x14ac:dyDescent="0.25">
      <c r="A327" s="19" t="s">
        <v>1444</v>
      </c>
      <c r="B327" s="19" t="str">
        <f>INDEX(Places[Type],MATCH(Budgets[[#This Row],[Jurisdiction]],Places[Jurisdiction],0))</f>
        <v>County</v>
      </c>
      <c r="C327" s="19" t="str">
        <f>INDEX(Places[County],MATCH(Budgets[[#This Row],[Jurisdiction]],Places[Jurisdiction],0))</f>
        <v>Orange</v>
      </c>
      <c r="D327" s="21" t="str">
        <f>INDEX(Places[Majority RB],MATCH(Budgets[[#This Row],[Jurisdiction]],Places[Jurisdiction],0))</f>
        <v>Santa Ana</v>
      </c>
      <c r="E327" s="19">
        <f>INDEX(Places[Majority RB '#],MATCH(Budgets[[#This Row],[Jurisdiction]],Places[Jurisdiction],0))</f>
        <v>8</v>
      </c>
      <c r="F327" s="19" t="str">
        <f>VLOOKUP(Budgets[[#This Row],[Jurisdiction]],Places[#All],8,FALSE)</f>
        <v>Phase I MS4</v>
      </c>
      <c r="G327" s="81"/>
      <c r="H327" s="21" t="s">
        <v>1886</v>
      </c>
      <c r="I327" s="21">
        <f>VALUE(LEFT(Budgets[[#This Row],[Fiscal Year]],4))</f>
        <v>2003</v>
      </c>
      <c r="J327" s="20">
        <v>9643003</v>
      </c>
      <c r="K327" s="27">
        <f>IF(Budgets[[#This Row],[Reference Year]]&gt;2018,Budgets[[#This Row],[Value]],Budgets[[#This Row],[Value]]*(1+VLOOKUP(Budgets[[#This Row],[Reference Year]],Inflation[#All],3,FALSE)))</f>
        <v>13187383.086375</v>
      </c>
      <c r="L327" s="27" t="e">
        <f>Budgets[[#This Row],[2018 $ Value]]/VLOOKUP(Budgets[[#This Row],[Jurisdiction]],Places[],6,FALSE)</f>
        <v>#N/A</v>
      </c>
      <c r="M327" s="27" t="e">
        <f>Budgets[[#This Row],[2018 $ Value]]/VLOOKUP(Budgets[[#This Row],[Jurisdiction]],Places[],7,FALSE)</f>
        <v>#N/A</v>
      </c>
      <c r="N327" s="27"/>
      <c r="O327" s="27" t="s">
        <v>1460</v>
      </c>
      <c r="P327" s="4"/>
      <c r="Q327"/>
    </row>
    <row r="328" spans="1:17" x14ac:dyDescent="0.25">
      <c r="A328" s="19" t="s">
        <v>1444</v>
      </c>
      <c r="B328" s="19" t="str">
        <f>INDEX(Places[Type],MATCH(Budgets[[#This Row],[Jurisdiction]],Places[Jurisdiction],0))</f>
        <v>County</v>
      </c>
      <c r="C328" s="19" t="str">
        <f>INDEX(Places[County],MATCH(Budgets[[#This Row],[Jurisdiction]],Places[Jurisdiction],0))</f>
        <v>Orange</v>
      </c>
      <c r="D328" s="21" t="str">
        <f>INDEX(Places[Majority RB],MATCH(Budgets[[#This Row],[Jurisdiction]],Places[Jurisdiction],0))</f>
        <v>Santa Ana</v>
      </c>
      <c r="E328" s="19">
        <f>INDEX(Places[Majority RB '#],MATCH(Budgets[[#This Row],[Jurisdiction]],Places[Jurisdiction],0))</f>
        <v>8</v>
      </c>
      <c r="F328" s="19" t="str">
        <f>VLOOKUP(Budgets[[#This Row],[Jurisdiction]],Places[#All],8,FALSE)</f>
        <v>Phase I MS4</v>
      </c>
      <c r="G328" s="81"/>
      <c r="H328" s="21" t="s">
        <v>1887</v>
      </c>
      <c r="I328" s="21">
        <f>VALUE(LEFT(Budgets[[#This Row],[Fiscal Year]],4))</f>
        <v>2004</v>
      </c>
      <c r="J328" s="20">
        <v>13328092</v>
      </c>
      <c r="K328" s="27">
        <f>IF(Budgets[[#This Row],[Reference Year]]&gt;2018,Budgets[[#This Row],[Value]],Budgets[[#This Row],[Value]]*(1+VLOOKUP(Budgets[[#This Row],[Reference Year]],Inflation[#All],3,FALSE)))</f>
        <v>17754161.556654315</v>
      </c>
      <c r="L328" s="27" t="e">
        <f>Budgets[[#This Row],[2018 $ Value]]/VLOOKUP(Budgets[[#This Row],[Jurisdiction]],Places[],6,FALSE)</f>
        <v>#N/A</v>
      </c>
      <c r="M328" s="27" t="e">
        <f>Budgets[[#This Row],[2018 $ Value]]/VLOOKUP(Budgets[[#This Row],[Jurisdiction]],Places[],7,FALSE)</f>
        <v>#N/A</v>
      </c>
      <c r="N328" s="27"/>
      <c r="O328" s="27" t="s">
        <v>1460</v>
      </c>
      <c r="P328" s="4"/>
      <c r="Q328"/>
    </row>
    <row r="329" spans="1:17" x14ac:dyDescent="0.25">
      <c r="A329" s="19" t="s">
        <v>1444</v>
      </c>
      <c r="B329" s="19" t="str">
        <f>INDEX(Places[Type],MATCH(Budgets[[#This Row],[Jurisdiction]],Places[Jurisdiction],0))</f>
        <v>County</v>
      </c>
      <c r="C329" s="19" t="str">
        <f>INDEX(Places[County],MATCH(Budgets[[#This Row],[Jurisdiction]],Places[Jurisdiction],0))</f>
        <v>Orange</v>
      </c>
      <c r="D329" s="21" t="str">
        <f>INDEX(Places[Majority RB],MATCH(Budgets[[#This Row],[Jurisdiction]],Places[Jurisdiction],0))</f>
        <v>Santa Ana</v>
      </c>
      <c r="E329" s="19">
        <f>INDEX(Places[Majority RB '#],MATCH(Budgets[[#This Row],[Jurisdiction]],Places[Jurisdiction],0))</f>
        <v>8</v>
      </c>
      <c r="F329" s="19" t="str">
        <f>VLOOKUP(Budgets[[#This Row],[Jurisdiction]],Places[#All],8,FALSE)</f>
        <v>Phase I MS4</v>
      </c>
      <c r="G329" s="81"/>
      <c r="H329" s="21" t="s">
        <v>1882</v>
      </c>
      <c r="I329" s="21">
        <f>VALUE(LEFT(Budgets[[#This Row],[Fiscal Year]],4))</f>
        <v>2005</v>
      </c>
      <c r="J329" s="20">
        <v>9468729</v>
      </c>
      <c r="K329" s="27">
        <f>IF(Budgets[[#This Row],[Reference Year]]&gt;2018,Budgets[[#This Row],[Value]],Budgets[[#This Row],[Value]]*(1+VLOOKUP(Budgets[[#This Row],[Reference Year]],Inflation[#All],3,FALSE)))</f>
        <v>12199824.613410138</v>
      </c>
      <c r="L329" s="27" t="e">
        <f>Budgets[[#This Row],[2018 $ Value]]/VLOOKUP(Budgets[[#This Row],[Jurisdiction]],Places[],6,FALSE)</f>
        <v>#N/A</v>
      </c>
      <c r="M329" s="27" t="e">
        <f>Budgets[[#This Row],[2018 $ Value]]/VLOOKUP(Budgets[[#This Row],[Jurisdiction]],Places[],7,FALSE)</f>
        <v>#N/A</v>
      </c>
      <c r="N329" s="27"/>
      <c r="O329" s="27" t="s">
        <v>1460</v>
      </c>
      <c r="P329" s="4"/>
      <c r="Q329"/>
    </row>
    <row r="330" spans="1:17" x14ac:dyDescent="0.25">
      <c r="A330" s="19" t="s">
        <v>1444</v>
      </c>
      <c r="B330" s="19" t="str">
        <f>INDEX(Places[Type],MATCH(Budgets[[#This Row],[Jurisdiction]],Places[Jurisdiction],0))</f>
        <v>County</v>
      </c>
      <c r="C330" s="19" t="str">
        <f>INDEX(Places[County],MATCH(Budgets[[#This Row],[Jurisdiction]],Places[Jurisdiction],0))</f>
        <v>Orange</v>
      </c>
      <c r="D330" s="21" t="str">
        <f>INDEX(Places[Majority RB],MATCH(Budgets[[#This Row],[Jurisdiction]],Places[Jurisdiction],0))</f>
        <v>Santa Ana</v>
      </c>
      <c r="E330" s="19">
        <f>INDEX(Places[Majority RB '#],MATCH(Budgets[[#This Row],[Jurisdiction]],Places[Jurisdiction],0))</f>
        <v>8</v>
      </c>
      <c r="F330" s="19" t="str">
        <f>VLOOKUP(Budgets[[#This Row],[Jurisdiction]],Places[#All],8,FALSE)</f>
        <v>Phase I MS4</v>
      </c>
      <c r="G330" s="81"/>
      <c r="H330" s="21" t="s">
        <v>1883</v>
      </c>
      <c r="I330" s="21">
        <f>VALUE(LEFT(Budgets[[#This Row],[Fiscal Year]],4))</f>
        <v>2006</v>
      </c>
      <c r="J330" s="20">
        <v>15030535</v>
      </c>
      <c r="K330" s="27">
        <f>IF(Budgets[[#This Row],[Reference Year]]&gt;2018,Budgets[[#This Row],[Value]],Budgets[[#This Row],[Value]]*(1+VLOOKUP(Budgets[[#This Row],[Reference Year]],Inflation[#All],3,FALSE)))</f>
        <v>18760657.502901785</v>
      </c>
      <c r="L330" s="27" t="e">
        <f>Budgets[[#This Row],[2018 $ Value]]/VLOOKUP(Budgets[[#This Row],[Jurisdiction]],Places[],6,FALSE)</f>
        <v>#N/A</v>
      </c>
      <c r="M330" s="27" t="e">
        <f>Budgets[[#This Row],[2018 $ Value]]/VLOOKUP(Budgets[[#This Row],[Jurisdiction]],Places[],7,FALSE)</f>
        <v>#N/A</v>
      </c>
      <c r="N330" s="27"/>
      <c r="O330" s="27" t="s">
        <v>1460</v>
      </c>
      <c r="P330" s="4"/>
      <c r="Q330"/>
    </row>
    <row r="331" spans="1:17" x14ac:dyDescent="0.25">
      <c r="A331" s="19" t="s">
        <v>1444</v>
      </c>
      <c r="B331" s="19" t="str">
        <f>INDEX(Places[Type],MATCH(Budgets[[#This Row],[Jurisdiction]],Places[Jurisdiction],0))</f>
        <v>County</v>
      </c>
      <c r="C331" s="19" t="str">
        <f>INDEX(Places[County],MATCH(Budgets[[#This Row],[Jurisdiction]],Places[Jurisdiction],0))</f>
        <v>Orange</v>
      </c>
      <c r="D331" s="21" t="str">
        <f>INDEX(Places[Majority RB],MATCH(Budgets[[#This Row],[Jurisdiction]],Places[Jurisdiction],0))</f>
        <v>Santa Ana</v>
      </c>
      <c r="E331" s="19">
        <f>INDEX(Places[Majority RB '#],MATCH(Budgets[[#This Row],[Jurisdiction]],Places[Jurisdiction],0))</f>
        <v>8</v>
      </c>
      <c r="F331" s="19" t="str">
        <f>VLOOKUP(Budgets[[#This Row],[Jurisdiction]],Places[#All],8,FALSE)</f>
        <v>Phase I MS4</v>
      </c>
      <c r="G331" s="81"/>
      <c r="H331" s="21" t="s">
        <v>1888</v>
      </c>
      <c r="I331" s="21">
        <f>VALUE(LEFT(Budgets[[#This Row],[Fiscal Year]],4))</f>
        <v>2007</v>
      </c>
      <c r="J331" s="20">
        <v>21009979</v>
      </c>
      <c r="K331" s="27">
        <f>IF(Budgets[[#This Row],[Reference Year]]&gt;2018,Budgets[[#This Row],[Value]],Budgets[[#This Row],[Value]]*(1+VLOOKUP(Budgets[[#This Row],[Reference Year]],Inflation[#All],3,FALSE)))</f>
        <v>25502952.36733719</v>
      </c>
      <c r="L331" s="27" t="e">
        <f>Budgets[[#This Row],[2018 $ Value]]/VLOOKUP(Budgets[[#This Row],[Jurisdiction]],Places[],6,FALSE)</f>
        <v>#N/A</v>
      </c>
      <c r="M331" s="27" t="e">
        <f>Budgets[[#This Row],[2018 $ Value]]/VLOOKUP(Budgets[[#This Row],[Jurisdiction]],Places[],7,FALSE)</f>
        <v>#N/A</v>
      </c>
      <c r="N331" s="27"/>
      <c r="O331" s="27" t="s">
        <v>1460</v>
      </c>
      <c r="P331" s="4"/>
      <c r="Q331"/>
    </row>
    <row r="332" spans="1:17" x14ac:dyDescent="0.25">
      <c r="A332" s="19" t="s">
        <v>1444</v>
      </c>
      <c r="B332" s="19" t="str">
        <f>INDEX(Places[Type],MATCH(Budgets[[#This Row],[Jurisdiction]],Places[Jurisdiction],0))</f>
        <v>County</v>
      </c>
      <c r="C332" s="19" t="str">
        <f>INDEX(Places[County],MATCH(Budgets[[#This Row],[Jurisdiction]],Places[Jurisdiction],0))</f>
        <v>Orange</v>
      </c>
      <c r="D332" s="21" t="str">
        <f>INDEX(Places[Majority RB],MATCH(Budgets[[#This Row],[Jurisdiction]],Places[Jurisdiction],0))</f>
        <v>Santa Ana</v>
      </c>
      <c r="E332" s="19">
        <f>INDEX(Places[Majority RB '#],MATCH(Budgets[[#This Row],[Jurisdiction]],Places[Jurisdiction],0))</f>
        <v>8</v>
      </c>
      <c r="F332" s="19" t="str">
        <f>VLOOKUP(Budgets[[#This Row],[Jurisdiction]],Places[#All],8,FALSE)</f>
        <v>Phase I MS4</v>
      </c>
      <c r="G332" s="81"/>
      <c r="H332" s="21" t="s">
        <v>1884</v>
      </c>
      <c r="I332" s="21">
        <f>VALUE(LEFT(Budgets[[#This Row],[Fiscal Year]],4))</f>
        <v>2008</v>
      </c>
      <c r="J332" s="20">
        <v>23983782</v>
      </c>
      <c r="K332" s="27">
        <f>IF(Budgets[[#This Row],[Reference Year]]&gt;2018,Budgets[[#This Row],[Value]],Budgets[[#This Row],[Value]]*(1+VLOOKUP(Budgets[[#This Row],[Reference Year]],Inflation[#All],3,FALSE)))</f>
        <v>28030947.740092892</v>
      </c>
      <c r="L332" s="27" t="e">
        <f>Budgets[[#This Row],[2018 $ Value]]/VLOOKUP(Budgets[[#This Row],[Jurisdiction]],Places[],6,FALSE)</f>
        <v>#N/A</v>
      </c>
      <c r="M332" s="27" t="e">
        <f>Budgets[[#This Row],[2018 $ Value]]/VLOOKUP(Budgets[[#This Row],[Jurisdiction]],Places[],7,FALSE)</f>
        <v>#N/A</v>
      </c>
      <c r="N332" s="27"/>
      <c r="O332" s="27" t="s">
        <v>1460</v>
      </c>
      <c r="P332" s="4"/>
      <c r="Q332"/>
    </row>
    <row r="333" spans="1:17" x14ac:dyDescent="0.25">
      <c r="A333" s="19" t="s">
        <v>1444</v>
      </c>
      <c r="B333" s="19" t="str">
        <f>INDEX(Places[Type],MATCH(Budgets[[#This Row],[Jurisdiction]],Places[Jurisdiction],0))</f>
        <v>County</v>
      </c>
      <c r="C333" s="19" t="str">
        <f>INDEX(Places[County],MATCH(Budgets[[#This Row],[Jurisdiction]],Places[Jurisdiction],0))</f>
        <v>Orange</v>
      </c>
      <c r="D333" s="21" t="str">
        <f>INDEX(Places[Majority RB],MATCH(Budgets[[#This Row],[Jurisdiction]],Places[Jurisdiction],0))</f>
        <v>Santa Ana</v>
      </c>
      <c r="E333" s="19">
        <f>INDEX(Places[Majority RB '#],MATCH(Budgets[[#This Row],[Jurisdiction]],Places[Jurisdiction],0))</f>
        <v>8</v>
      </c>
      <c r="F333" s="19" t="str">
        <f>VLOOKUP(Budgets[[#This Row],[Jurisdiction]],Places[#All],8,FALSE)</f>
        <v>Phase I MS4</v>
      </c>
      <c r="G333" s="81"/>
      <c r="H333" s="21" t="s">
        <v>1889</v>
      </c>
      <c r="I333" s="21">
        <f>VALUE(LEFT(Budgets[[#This Row],[Fiscal Year]],4))</f>
        <v>2009</v>
      </c>
      <c r="J333" s="20">
        <v>18939182</v>
      </c>
      <c r="K333" s="27">
        <f>IF(Budgets[[#This Row],[Reference Year]]&gt;2018,Budgets[[#This Row],[Value]],Budgets[[#This Row],[Value]]*(1+VLOOKUP(Budgets[[#This Row],[Reference Year]],Inflation[#All],3,FALSE)))</f>
        <v>22217647.113482516</v>
      </c>
      <c r="L333" s="27" t="e">
        <f>Budgets[[#This Row],[2018 $ Value]]/VLOOKUP(Budgets[[#This Row],[Jurisdiction]],Places[],6,FALSE)</f>
        <v>#N/A</v>
      </c>
      <c r="M333" s="27" t="e">
        <f>Budgets[[#This Row],[2018 $ Value]]/VLOOKUP(Budgets[[#This Row],[Jurisdiction]],Places[],7,FALSE)</f>
        <v>#N/A</v>
      </c>
      <c r="N333" s="27"/>
      <c r="O333" s="27" t="s">
        <v>1460</v>
      </c>
      <c r="P333" s="4"/>
      <c r="Q333"/>
    </row>
    <row r="334" spans="1:17" x14ac:dyDescent="0.25">
      <c r="A334" s="19" t="s">
        <v>1444</v>
      </c>
      <c r="B334" s="19" t="str">
        <f>INDEX(Places[Type],MATCH(Budgets[[#This Row],[Jurisdiction]],Places[Jurisdiction],0))</f>
        <v>County</v>
      </c>
      <c r="C334" s="19" t="str">
        <f>INDEX(Places[County],MATCH(Budgets[[#This Row],[Jurisdiction]],Places[Jurisdiction],0))</f>
        <v>Orange</v>
      </c>
      <c r="D334" s="21" t="str">
        <f>INDEX(Places[Majority RB],MATCH(Budgets[[#This Row],[Jurisdiction]],Places[Jurisdiction],0))</f>
        <v>Santa Ana</v>
      </c>
      <c r="E334" s="19">
        <f>INDEX(Places[Majority RB '#],MATCH(Budgets[[#This Row],[Jurisdiction]],Places[Jurisdiction],0))</f>
        <v>8</v>
      </c>
      <c r="F334" s="19" t="str">
        <f>VLOOKUP(Budgets[[#This Row],[Jurisdiction]],Places[#All],8,FALSE)</f>
        <v>Phase I MS4</v>
      </c>
      <c r="G334" s="81"/>
      <c r="H334" s="21" t="s">
        <v>1885</v>
      </c>
      <c r="I334" s="21">
        <f>VALUE(LEFT(Budgets[[#This Row],[Fiscal Year]],4))</f>
        <v>2010</v>
      </c>
      <c r="J334" s="20">
        <v>21921837</v>
      </c>
      <c r="K334" s="27">
        <f>IF(Budgets[[#This Row],[Reference Year]]&gt;2018,Budgets[[#This Row],[Value]],Budgets[[#This Row],[Value]]*(1+VLOOKUP(Budgets[[#This Row],[Reference Year]],Inflation[#All],3,FALSE)))</f>
        <v>25292130.977290235</v>
      </c>
      <c r="L334" s="27" t="e">
        <f>Budgets[[#This Row],[2018 $ Value]]/VLOOKUP(Budgets[[#This Row],[Jurisdiction]],Places[],6,FALSE)</f>
        <v>#N/A</v>
      </c>
      <c r="M334" s="27" t="e">
        <f>Budgets[[#This Row],[2018 $ Value]]/VLOOKUP(Budgets[[#This Row],[Jurisdiction]],Places[],7,FALSE)</f>
        <v>#N/A</v>
      </c>
      <c r="N334" s="27"/>
      <c r="O334" s="27" t="s">
        <v>1460</v>
      </c>
      <c r="P334" s="4"/>
      <c r="Q334"/>
    </row>
    <row r="335" spans="1:17" x14ac:dyDescent="0.25">
      <c r="A335" s="19" t="s">
        <v>1444</v>
      </c>
      <c r="B335" s="19" t="str">
        <f>INDEX(Places[Type],MATCH(Budgets[[#This Row],[Jurisdiction]],Places[Jurisdiction],0))</f>
        <v>County</v>
      </c>
      <c r="C335" s="19" t="str">
        <f>INDEX(Places[County],MATCH(Budgets[[#This Row],[Jurisdiction]],Places[Jurisdiction],0))</f>
        <v>Orange</v>
      </c>
      <c r="D335" s="21" t="str">
        <f>INDEX(Places[Majority RB],MATCH(Budgets[[#This Row],[Jurisdiction]],Places[Jurisdiction],0))</f>
        <v>Santa Ana</v>
      </c>
      <c r="E335" s="19">
        <f>INDEX(Places[Majority RB '#],MATCH(Budgets[[#This Row],[Jurisdiction]],Places[Jurisdiction],0))</f>
        <v>8</v>
      </c>
      <c r="F335" s="19" t="str">
        <f>VLOOKUP(Budgets[[#This Row],[Jurisdiction]],Places[#All],8,FALSE)</f>
        <v>Phase I MS4</v>
      </c>
      <c r="G335" s="81"/>
      <c r="H335" s="21" t="s">
        <v>1870</v>
      </c>
      <c r="I335" s="21">
        <f>VALUE(LEFT(Budgets[[#This Row],[Fiscal Year]],4))</f>
        <v>2011</v>
      </c>
      <c r="J335" s="20">
        <v>33283086</v>
      </c>
      <c r="K335" s="27">
        <f>IF(Budgets[[#This Row],[Reference Year]]&gt;2018,Budgets[[#This Row],[Value]],Budgets[[#This Row],[Value]]*(1+VLOOKUP(Budgets[[#This Row],[Reference Year]],Inflation[#All],3,FALSE)))</f>
        <v>37239022.735731438</v>
      </c>
      <c r="L335" s="27" t="e">
        <f>Budgets[[#This Row],[2018 $ Value]]/VLOOKUP(Budgets[[#This Row],[Jurisdiction]],Places[],6,FALSE)</f>
        <v>#N/A</v>
      </c>
      <c r="M335" s="27" t="e">
        <f>Budgets[[#This Row],[2018 $ Value]]/VLOOKUP(Budgets[[#This Row],[Jurisdiction]],Places[],7,FALSE)</f>
        <v>#N/A</v>
      </c>
      <c r="N335" s="27"/>
      <c r="O335" s="27" t="s">
        <v>1460</v>
      </c>
      <c r="P335" s="4"/>
      <c r="Q335"/>
    </row>
    <row r="336" spans="1:17" x14ac:dyDescent="0.25">
      <c r="A336" s="19" t="s">
        <v>1444</v>
      </c>
      <c r="B336" s="19" t="str">
        <f>INDEX(Places[Type],MATCH(Budgets[[#This Row],[Jurisdiction]],Places[Jurisdiction],0))</f>
        <v>County</v>
      </c>
      <c r="C336" s="19" t="str">
        <f>INDEX(Places[County],MATCH(Budgets[[#This Row],[Jurisdiction]],Places[Jurisdiction],0))</f>
        <v>Orange</v>
      </c>
      <c r="D336" s="21" t="str">
        <f>INDEX(Places[Majority RB],MATCH(Budgets[[#This Row],[Jurisdiction]],Places[Jurisdiction],0))</f>
        <v>Santa Ana</v>
      </c>
      <c r="E336" s="19">
        <f>INDEX(Places[Majority RB '#],MATCH(Budgets[[#This Row],[Jurisdiction]],Places[Jurisdiction],0))</f>
        <v>8</v>
      </c>
      <c r="F336" s="19" t="str">
        <f>VLOOKUP(Budgets[[#This Row],[Jurisdiction]],Places[#All],8,FALSE)</f>
        <v>Phase I MS4</v>
      </c>
      <c r="G336" s="81"/>
      <c r="H336" s="21" t="s">
        <v>1871</v>
      </c>
      <c r="I336" s="21">
        <f>VALUE(LEFT(Budgets[[#This Row],[Fiscal Year]],4))</f>
        <v>2012</v>
      </c>
      <c r="J336" s="20">
        <v>37470004</v>
      </c>
      <c r="K336" s="27">
        <f>IF(Budgets[[#This Row],[Reference Year]]&gt;2018,Budgets[[#This Row],[Value]],Budgets[[#This Row],[Value]]*(1+VLOOKUP(Budgets[[#This Row],[Reference Year]],Inflation[#All],3,FALSE)))</f>
        <v>41065394.497055747</v>
      </c>
      <c r="L336" s="27" t="e">
        <f>Budgets[[#This Row],[2018 $ Value]]/VLOOKUP(Budgets[[#This Row],[Jurisdiction]],Places[],6,FALSE)</f>
        <v>#N/A</v>
      </c>
      <c r="M336" s="27" t="e">
        <f>Budgets[[#This Row],[2018 $ Value]]/VLOOKUP(Budgets[[#This Row],[Jurisdiction]],Places[],7,FALSE)</f>
        <v>#N/A</v>
      </c>
      <c r="N336" s="27"/>
      <c r="O336" s="27" t="s">
        <v>1460</v>
      </c>
      <c r="P336" s="4"/>
      <c r="Q336"/>
    </row>
    <row r="337" spans="1:17" x14ac:dyDescent="0.25">
      <c r="A337" s="19" t="s">
        <v>1444</v>
      </c>
      <c r="B337" s="19" t="str">
        <f>INDEX(Places[Type],MATCH(Budgets[[#This Row],[Jurisdiction]],Places[Jurisdiction],0))</f>
        <v>County</v>
      </c>
      <c r="C337" s="19" t="str">
        <f>INDEX(Places[County],MATCH(Budgets[[#This Row],[Jurisdiction]],Places[Jurisdiction],0))</f>
        <v>Orange</v>
      </c>
      <c r="D337" s="21" t="str">
        <f>INDEX(Places[Majority RB],MATCH(Budgets[[#This Row],[Jurisdiction]],Places[Jurisdiction],0))</f>
        <v>Santa Ana</v>
      </c>
      <c r="E337" s="19">
        <f>INDEX(Places[Majority RB '#],MATCH(Budgets[[#This Row],[Jurisdiction]],Places[Jurisdiction],0))</f>
        <v>8</v>
      </c>
      <c r="F337" s="19" t="str">
        <f>VLOOKUP(Budgets[[#This Row],[Jurisdiction]],Places[#All],8,FALSE)</f>
        <v>Phase I MS4</v>
      </c>
      <c r="G337" s="81"/>
      <c r="H337" s="21" t="s">
        <v>1880</v>
      </c>
      <c r="I337" s="21">
        <f>VALUE(LEFT(Budgets[[#This Row],[Fiscal Year]],4))</f>
        <v>2013</v>
      </c>
      <c r="J337" s="20">
        <v>20842854</v>
      </c>
      <c r="K337" s="27">
        <f>IF(Budgets[[#This Row],[Reference Year]]&gt;2018,Budgets[[#This Row],[Value]],Budgets[[#This Row],[Value]]*(1+VLOOKUP(Budgets[[#This Row],[Reference Year]],Inflation[#All],3,FALSE)))</f>
        <v>22509477.231218886</v>
      </c>
      <c r="L337" s="27" t="e">
        <f>Budgets[[#This Row],[2018 $ Value]]/VLOOKUP(Budgets[[#This Row],[Jurisdiction]],Places[],6,FALSE)</f>
        <v>#N/A</v>
      </c>
      <c r="M337" s="27" t="e">
        <f>Budgets[[#This Row],[2018 $ Value]]/VLOOKUP(Budgets[[#This Row],[Jurisdiction]],Places[],7,FALSE)</f>
        <v>#N/A</v>
      </c>
      <c r="N337" s="27"/>
      <c r="O337" s="27" t="s">
        <v>1460</v>
      </c>
      <c r="P337" s="4"/>
      <c r="Q337"/>
    </row>
    <row r="338" spans="1:17" x14ac:dyDescent="0.25">
      <c r="A338" s="19" t="s">
        <v>1444</v>
      </c>
      <c r="B338" s="19" t="str">
        <f>INDEX(Places[Type],MATCH(Budgets[[#This Row],[Jurisdiction]],Places[Jurisdiction],0))</f>
        <v>County</v>
      </c>
      <c r="C338" s="19" t="str">
        <f>INDEX(Places[County],MATCH(Budgets[[#This Row],[Jurisdiction]],Places[Jurisdiction],0))</f>
        <v>Orange</v>
      </c>
      <c r="D338" s="21" t="str">
        <f>INDEX(Places[Majority RB],MATCH(Budgets[[#This Row],[Jurisdiction]],Places[Jurisdiction],0))</f>
        <v>Santa Ana</v>
      </c>
      <c r="E338" s="19">
        <f>INDEX(Places[Majority RB '#],MATCH(Budgets[[#This Row],[Jurisdiction]],Places[Jurisdiction],0))</f>
        <v>8</v>
      </c>
      <c r="F338" s="19" t="str">
        <f>VLOOKUP(Budgets[[#This Row],[Jurisdiction]],Places[#All],8,FALSE)</f>
        <v>Phase I MS4</v>
      </c>
      <c r="G338" s="81"/>
      <c r="H338" s="21" t="s">
        <v>1881</v>
      </c>
      <c r="I338" s="21">
        <f>VALUE(LEFT(Budgets[[#This Row],[Fiscal Year]],4))</f>
        <v>2014</v>
      </c>
      <c r="J338" s="20">
        <v>19694630</v>
      </c>
      <c r="K338" s="27">
        <f>IF(Budgets[[#This Row],[Reference Year]]&gt;2018,Budgets[[#This Row],[Value]],Budgets[[#This Row],[Value]]*(1+VLOOKUP(Budgets[[#This Row],[Reference Year]],Inflation[#All],3,FALSE)))</f>
        <v>20936964.265019014</v>
      </c>
      <c r="L338" s="27" t="e">
        <f>Budgets[[#This Row],[2018 $ Value]]/VLOOKUP(Budgets[[#This Row],[Jurisdiction]],Places[],6,FALSE)</f>
        <v>#N/A</v>
      </c>
      <c r="M338" s="27" t="e">
        <f>Budgets[[#This Row],[2018 $ Value]]/VLOOKUP(Budgets[[#This Row],[Jurisdiction]],Places[],7,FALSE)</f>
        <v>#N/A</v>
      </c>
      <c r="N338" s="27"/>
      <c r="O338" s="27" t="s">
        <v>1460</v>
      </c>
      <c r="P338" s="4"/>
      <c r="Q338"/>
    </row>
    <row r="339" spans="1:17" x14ac:dyDescent="0.25">
      <c r="A339" s="19" t="s">
        <v>1444</v>
      </c>
      <c r="B339" s="19" t="str">
        <f>INDEX(Places[Type],MATCH(Budgets[[#This Row],[Jurisdiction]],Places[Jurisdiction],0))</f>
        <v>County</v>
      </c>
      <c r="C339" s="19" t="str">
        <f>INDEX(Places[County],MATCH(Budgets[[#This Row],[Jurisdiction]],Places[Jurisdiction],0))</f>
        <v>Orange</v>
      </c>
      <c r="D339" s="21" t="str">
        <f>INDEX(Places[Majority RB],MATCH(Budgets[[#This Row],[Jurisdiction]],Places[Jurisdiction],0))</f>
        <v>Santa Ana</v>
      </c>
      <c r="E339" s="19">
        <f>INDEX(Places[Majority RB '#],MATCH(Budgets[[#This Row],[Jurisdiction]],Places[Jurisdiction],0))</f>
        <v>8</v>
      </c>
      <c r="F339" s="19" t="str">
        <f>VLOOKUP(Budgets[[#This Row],[Jurisdiction]],Places[#All],8,FALSE)</f>
        <v>Phase I MS4</v>
      </c>
      <c r="G339" s="81"/>
      <c r="H339" s="21" t="s">
        <v>1873</v>
      </c>
      <c r="I339" s="21">
        <f>VALUE(LEFT(Budgets[[#This Row],[Fiscal Year]],4))</f>
        <v>2015</v>
      </c>
      <c r="J339" s="20">
        <v>35655587</v>
      </c>
      <c r="K339" s="27">
        <f>IF(Budgets[[#This Row],[Reference Year]]&gt;2018,Budgets[[#This Row],[Value]],Budgets[[#This Row],[Value]]*(1+VLOOKUP(Budgets[[#This Row],[Reference Year]],Inflation[#All],3,FALSE)))</f>
        <v>37856755.326569617</v>
      </c>
      <c r="L339" s="27" t="e">
        <f>Budgets[[#This Row],[2018 $ Value]]/VLOOKUP(Budgets[[#This Row],[Jurisdiction]],Places[],6,FALSE)</f>
        <v>#N/A</v>
      </c>
      <c r="M339" s="27" t="e">
        <f>Budgets[[#This Row],[2018 $ Value]]/VLOOKUP(Budgets[[#This Row],[Jurisdiction]],Places[],7,FALSE)</f>
        <v>#N/A</v>
      </c>
      <c r="N339" s="27"/>
      <c r="O339" s="27" t="s">
        <v>1460</v>
      </c>
      <c r="P339" s="4"/>
      <c r="Q339"/>
    </row>
    <row r="340" spans="1:17" x14ac:dyDescent="0.25">
      <c r="A340" s="19" t="s">
        <v>1444</v>
      </c>
      <c r="B340" s="19" t="str">
        <f>INDEX(Places[Type],MATCH(Budgets[[#This Row],[Jurisdiction]],Places[Jurisdiction],0))</f>
        <v>County</v>
      </c>
      <c r="C340" s="19" t="str">
        <f>INDEX(Places[County],MATCH(Budgets[[#This Row],[Jurisdiction]],Places[Jurisdiction],0))</f>
        <v>Orange</v>
      </c>
      <c r="D340" s="21" t="str">
        <f>INDEX(Places[Majority RB],MATCH(Budgets[[#This Row],[Jurisdiction]],Places[Jurisdiction],0))</f>
        <v>Santa Ana</v>
      </c>
      <c r="E340" s="19">
        <f>INDEX(Places[Majority RB '#],MATCH(Budgets[[#This Row],[Jurisdiction]],Places[Jurisdiction],0))</f>
        <v>8</v>
      </c>
      <c r="F340" s="19" t="str">
        <f>VLOOKUP(Budgets[[#This Row],[Jurisdiction]],Places[#All],8,FALSE)</f>
        <v>Phase I MS4</v>
      </c>
      <c r="G340" s="81"/>
      <c r="H340" s="21" t="s">
        <v>1869</v>
      </c>
      <c r="I340" s="21">
        <f>VALUE(LEFT(Budgets[[#This Row],[Fiscal Year]],4))</f>
        <v>2016</v>
      </c>
      <c r="J340" s="20">
        <v>36179555</v>
      </c>
      <c r="K340" s="27">
        <f>IF(Budgets[[#This Row],[Reference Year]]&gt;2018,Budgets[[#This Row],[Value]],Budgets[[#This Row],[Value]]*(1+VLOOKUP(Budgets[[#This Row],[Reference Year]],Inflation[#All],3,FALSE)))</f>
        <v>37932906.684187502</v>
      </c>
      <c r="L340" s="27" t="e">
        <f>Budgets[[#This Row],[2018 $ Value]]/VLOOKUP(Budgets[[#This Row],[Jurisdiction]],Places[],6,FALSE)</f>
        <v>#N/A</v>
      </c>
      <c r="M340" s="27" t="e">
        <f>Budgets[[#This Row],[2018 $ Value]]/VLOOKUP(Budgets[[#This Row],[Jurisdiction]],Places[],7,FALSE)</f>
        <v>#N/A</v>
      </c>
      <c r="N340" s="27"/>
      <c r="O340" s="27" t="s">
        <v>1460</v>
      </c>
      <c r="P340" s="4"/>
      <c r="Q340"/>
    </row>
    <row r="341" spans="1:17" x14ac:dyDescent="0.25">
      <c r="A341" s="19" t="s">
        <v>1444</v>
      </c>
      <c r="B341" s="19" t="str">
        <f>INDEX(Places[Type],MATCH(Budgets[[#This Row],[Jurisdiction]],Places[Jurisdiction],0))</f>
        <v>County</v>
      </c>
      <c r="C341" s="19" t="str">
        <f>INDEX(Places[County],MATCH(Budgets[[#This Row],[Jurisdiction]],Places[Jurisdiction],0))</f>
        <v>Orange</v>
      </c>
      <c r="D341" s="21" t="str">
        <f>INDEX(Places[Majority RB],MATCH(Budgets[[#This Row],[Jurisdiction]],Places[Jurisdiction],0))</f>
        <v>Santa Ana</v>
      </c>
      <c r="E341" s="19">
        <f>INDEX(Places[Majority RB '#],MATCH(Budgets[[#This Row],[Jurisdiction]],Places[Jurisdiction],0))</f>
        <v>8</v>
      </c>
      <c r="F341" s="19" t="str">
        <f>VLOOKUP(Budgets[[#This Row],[Jurisdiction]],Places[#All],8,FALSE)</f>
        <v>Phase I MS4</v>
      </c>
      <c r="G341" s="81"/>
      <c r="H341" s="21" t="s">
        <v>1874</v>
      </c>
      <c r="I341" s="21">
        <f>VALUE(LEFT(Budgets[[#This Row],[Fiscal Year]],4))</f>
        <v>2017</v>
      </c>
      <c r="J341" s="20">
        <v>34026462</v>
      </c>
      <c r="K341" s="27">
        <f>IF(Budgets[[#This Row],[Reference Year]]&gt;2018,Budgets[[#This Row],[Value]],Budgets[[#This Row],[Value]]*(1+VLOOKUP(Budgets[[#This Row],[Reference Year]],Inflation[#All],3,FALSE)))</f>
        <v>34933140.185728282</v>
      </c>
      <c r="L341" s="27" t="e">
        <f>Budgets[[#This Row],[2018 $ Value]]/VLOOKUP(Budgets[[#This Row],[Jurisdiction]],Places[],6,FALSE)</f>
        <v>#N/A</v>
      </c>
      <c r="M341" s="27" t="e">
        <f>Budgets[[#This Row],[2018 $ Value]]/VLOOKUP(Budgets[[#This Row],[Jurisdiction]],Places[],7,FALSE)</f>
        <v>#N/A</v>
      </c>
      <c r="N341" s="27"/>
      <c r="O341" s="27" t="s">
        <v>1460</v>
      </c>
      <c r="P341" s="4"/>
      <c r="Q341"/>
    </row>
    <row r="342" spans="1:17" x14ac:dyDescent="0.25">
      <c r="A342" s="19" t="s">
        <v>1444</v>
      </c>
      <c r="B342" s="19" t="str">
        <f>INDEX(Places[Type],MATCH(Budgets[[#This Row],[Jurisdiction]],Places[Jurisdiction],0))</f>
        <v>County</v>
      </c>
      <c r="C342" s="19" t="str">
        <f>INDEX(Places[County],MATCH(Budgets[[#This Row],[Jurisdiction]],Places[Jurisdiction],0))</f>
        <v>Orange</v>
      </c>
      <c r="D342" s="21" t="str">
        <f>INDEX(Places[Majority RB],MATCH(Budgets[[#This Row],[Jurisdiction]],Places[Jurisdiction],0))</f>
        <v>Santa Ana</v>
      </c>
      <c r="E342" s="19">
        <f>INDEX(Places[Majority RB '#],MATCH(Budgets[[#This Row],[Jurisdiction]],Places[Jurisdiction],0))</f>
        <v>8</v>
      </c>
      <c r="F342" s="19" t="str">
        <f>VLOOKUP(Budgets[[#This Row],[Jurisdiction]],Places[#All],8,FALSE)</f>
        <v>Phase I MS4</v>
      </c>
      <c r="G342" s="81"/>
      <c r="H342" s="21" t="s">
        <v>1876</v>
      </c>
      <c r="I342" s="21">
        <f>VALUE(LEFT(Budgets[[#This Row],[Fiscal Year]],4))</f>
        <v>2018</v>
      </c>
      <c r="J342" s="20">
        <v>31218531</v>
      </c>
      <c r="K342" s="27">
        <f>IF(Budgets[[#This Row],[Reference Year]]&gt;2018,Budgets[[#This Row],[Value]],Budgets[[#This Row],[Value]]*(1+VLOOKUP(Budgets[[#This Row],[Reference Year]],Inflation[#All],3,FALSE)))</f>
        <v>31218531</v>
      </c>
      <c r="L342" s="27" t="e">
        <f>Budgets[[#This Row],[2018 $ Value]]/VLOOKUP(Budgets[[#This Row],[Jurisdiction]],Places[],6,FALSE)</f>
        <v>#N/A</v>
      </c>
      <c r="M342" s="27" t="e">
        <f>Budgets[[#This Row],[2018 $ Value]]/VLOOKUP(Budgets[[#This Row],[Jurisdiction]],Places[],7,FALSE)</f>
        <v>#N/A</v>
      </c>
      <c r="N342" s="27"/>
      <c r="O342" s="27" t="s">
        <v>1853</v>
      </c>
      <c r="P342" s="4"/>
      <c r="Q342"/>
    </row>
    <row r="343" spans="1:17" x14ac:dyDescent="0.25">
      <c r="A343" s="19" t="s">
        <v>257</v>
      </c>
      <c r="B343" s="19" t="str">
        <f>INDEX(Places[Type],MATCH(Budgets[[#This Row],[Jurisdiction]],Places[Jurisdiction],0))</f>
        <v>City</v>
      </c>
      <c r="C343" s="19" t="str">
        <f>INDEX(Places[County],MATCH(Budgets[[#This Row],[Jurisdiction]],Places[Jurisdiction],0))</f>
        <v>Ventura</v>
      </c>
      <c r="D343" s="21" t="str">
        <f>INDEX(Places[Majority RB],MATCH(Budgets[[#This Row],[Jurisdiction]],Places[Jurisdiction],0))</f>
        <v>Los Angeles</v>
      </c>
      <c r="E343" s="19">
        <f>INDEX(Places[Majority RB '#],MATCH(Budgets[[#This Row],[Jurisdiction]],Places[Jurisdiction],0))</f>
        <v>4</v>
      </c>
      <c r="F343" s="19" t="str">
        <f>VLOOKUP(Budgets[[#This Row],[Jurisdiction]],Places[#All],8,FALSE)</f>
        <v>Phase I MS4</v>
      </c>
      <c r="G343" s="81"/>
      <c r="H343" s="21" t="s">
        <v>1882</v>
      </c>
      <c r="I343" s="21">
        <f>VALUE(LEFT(Budgets[[#This Row],[Fiscal Year]],4))</f>
        <v>2005</v>
      </c>
      <c r="J343" s="20">
        <v>2274884</v>
      </c>
      <c r="K343" s="27">
        <f>IF(Budgets[[#This Row],[Reference Year]]&gt;2018,Budgets[[#This Row],[Value]],Budgets[[#This Row],[Value]]*(1+VLOOKUP(Budgets[[#This Row],[Reference Year]],Inflation[#All],3,FALSE)))</f>
        <v>2931036.0256221197</v>
      </c>
      <c r="L343" s="27">
        <f>Budgets[[#This Row],[2018 $ Value]]/VLOOKUP(Budgets[[#This Row],[Jurisdiction]],Places[],6,FALSE)</f>
        <v>13.965494197182728</v>
      </c>
      <c r="M343" s="27">
        <f>Budgets[[#This Row],[2018 $ Value]]/VLOOKUP(Budgets[[#This Row],[Jurisdiction]],Places[],7,FALSE)</f>
        <v>108960.44704914943</v>
      </c>
      <c r="N343" s="27"/>
      <c r="O343" s="27" t="s">
        <v>1460</v>
      </c>
      <c r="P343" s="4"/>
      <c r="Q343"/>
    </row>
    <row r="344" spans="1:17" x14ac:dyDescent="0.25">
      <c r="A344" s="19" t="s">
        <v>257</v>
      </c>
      <c r="B344" s="19" t="str">
        <f>INDEX(Places[Type],MATCH(Budgets[[#This Row],[Jurisdiction]],Places[Jurisdiction],0))</f>
        <v>City</v>
      </c>
      <c r="C344" s="19" t="str">
        <f>INDEX(Places[County],MATCH(Budgets[[#This Row],[Jurisdiction]],Places[Jurisdiction],0))</f>
        <v>Ventura</v>
      </c>
      <c r="D344" s="21" t="str">
        <f>INDEX(Places[Majority RB],MATCH(Budgets[[#This Row],[Jurisdiction]],Places[Jurisdiction],0))</f>
        <v>Los Angeles</v>
      </c>
      <c r="E344" s="19">
        <f>INDEX(Places[Majority RB '#],MATCH(Budgets[[#This Row],[Jurisdiction]],Places[Jurisdiction],0))</f>
        <v>4</v>
      </c>
      <c r="F344" s="19" t="str">
        <f>VLOOKUP(Budgets[[#This Row],[Jurisdiction]],Places[#All],8,FALSE)</f>
        <v>Phase I MS4</v>
      </c>
      <c r="G344" s="81"/>
      <c r="H344" s="21" t="s">
        <v>1883</v>
      </c>
      <c r="I344" s="21">
        <f>VALUE(LEFT(Budgets[[#This Row],[Fiscal Year]],4))</f>
        <v>2006</v>
      </c>
      <c r="J344" s="20">
        <v>2274884</v>
      </c>
      <c r="K344" s="27">
        <f>IF(Budgets[[#This Row],[Reference Year]]&gt;2018,Budgets[[#This Row],[Value]],Budgets[[#This Row],[Value]]*(1+VLOOKUP(Budgets[[#This Row],[Reference Year]],Inflation[#All],3,FALSE)))</f>
        <v>2839441.1498214286</v>
      </c>
      <c r="L344" s="27">
        <f>Budgets[[#This Row],[2018 $ Value]]/VLOOKUP(Budgets[[#This Row],[Jurisdiction]],Places[],6,FALSE)</f>
        <v>13.529072503520769</v>
      </c>
      <c r="M344" s="27">
        <f>Budgets[[#This Row],[2018 $ Value]]/VLOOKUP(Budgets[[#This Row],[Jurisdiction]],Places[],7,FALSE)</f>
        <v>105555.43307886353</v>
      </c>
      <c r="N344" s="27"/>
      <c r="O344" s="27" t="s">
        <v>1460</v>
      </c>
      <c r="P344" s="4"/>
      <c r="Q344"/>
    </row>
    <row r="345" spans="1:17" x14ac:dyDescent="0.25">
      <c r="A345" s="19" t="s">
        <v>257</v>
      </c>
      <c r="B345" s="19" t="str">
        <f>INDEX(Places[Type],MATCH(Budgets[[#This Row],[Jurisdiction]],Places[Jurisdiction],0))</f>
        <v>City</v>
      </c>
      <c r="C345" s="19" t="str">
        <f>INDEX(Places[County],MATCH(Budgets[[#This Row],[Jurisdiction]],Places[Jurisdiction],0))</f>
        <v>Ventura</v>
      </c>
      <c r="D345" s="21" t="str">
        <f>INDEX(Places[Majority RB],MATCH(Budgets[[#This Row],[Jurisdiction]],Places[Jurisdiction],0))</f>
        <v>Los Angeles</v>
      </c>
      <c r="E345" s="19">
        <f>INDEX(Places[Majority RB '#],MATCH(Budgets[[#This Row],[Jurisdiction]],Places[Jurisdiction],0))</f>
        <v>4</v>
      </c>
      <c r="F345" s="19" t="str">
        <f>VLOOKUP(Budgets[[#This Row],[Jurisdiction]],Places[#All],8,FALSE)</f>
        <v>Phase I MS4</v>
      </c>
      <c r="G345" s="81"/>
      <c r="H345" s="21" t="s">
        <v>1884</v>
      </c>
      <c r="I345" s="21">
        <f>VALUE(LEFT(Budgets[[#This Row],[Fiscal Year]],4))</f>
        <v>2008</v>
      </c>
      <c r="J345" s="20">
        <v>2295268</v>
      </c>
      <c r="K345" s="27">
        <f>IF(Budgets[[#This Row],[Reference Year]]&gt;2018,Budgets[[#This Row],[Value]],Budgets[[#This Row],[Value]]*(1+VLOOKUP(Budgets[[#This Row],[Reference Year]],Inflation[#All],3,FALSE)))</f>
        <v>2682585.1468091034</v>
      </c>
      <c r="L345" s="27">
        <f>Budgets[[#This Row],[2018 $ Value]]/VLOOKUP(Budgets[[#This Row],[Jurisdiction]],Places[],6,FALSE)</f>
        <v>12.781701409916778</v>
      </c>
      <c r="M345" s="27">
        <f>Budgets[[#This Row],[2018 $ Value]]/VLOOKUP(Budgets[[#This Row],[Jurisdiction]],Places[],7,FALSE)</f>
        <v>99724.354899966682</v>
      </c>
      <c r="N345" s="27"/>
      <c r="O345" s="27" t="s">
        <v>1460</v>
      </c>
      <c r="P345" s="4"/>
      <c r="Q345"/>
    </row>
    <row r="346" spans="1:17" x14ac:dyDescent="0.25">
      <c r="A346" s="19" t="s">
        <v>257</v>
      </c>
      <c r="B346" s="19" t="str">
        <f>INDEX(Places[Type],MATCH(Budgets[[#This Row],[Jurisdiction]],Places[Jurisdiction],0))</f>
        <v>City</v>
      </c>
      <c r="C346" s="19" t="str">
        <f>INDEX(Places[County],MATCH(Budgets[[#This Row],[Jurisdiction]],Places[Jurisdiction],0))</f>
        <v>Ventura</v>
      </c>
      <c r="D346" s="21" t="str">
        <f>INDEX(Places[Majority RB],MATCH(Budgets[[#This Row],[Jurisdiction]],Places[Jurisdiction],0))</f>
        <v>Los Angeles</v>
      </c>
      <c r="E346" s="19">
        <f>INDEX(Places[Majority RB '#],MATCH(Budgets[[#This Row],[Jurisdiction]],Places[Jurisdiction],0))</f>
        <v>4</v>
      </c>
      <c r="F346" s="19" t="str">
        <f>VLOOKUP(Budgets[[#This Row],[Jurisdiction]],Places[#All],8,FALSE)</f>
        <v>Phase I MS4</v>
      </c>
      <c r="G346" s="81"/>
      <c r="H346" s="21" t="s">
        <v>1885</v>
      </c>
      <c r="I346" s="21">
        <f>VALUE(LEFT(Budgets[[#This Row],[Fiscal Year]],4))</f>
        <v>2010</v>
      </c>
      <c r="J346" s="20">
        <v>2369296</v>
      </c>
      <c r="K346" s="27">
        <f>IF(Budgets[[#This Row],[Reference Year]]&gt;2018,Budgets[[#This Row],[Value]],Budgets[[#This Row],[Value]]*(1+VLOOKUP(Budgets[[#This Row],[Reference Year]],Inflation[#All],3,FALSE)))</f>
        <v>2733554.8912242092</v>
      </c>
      <c r="L346" s="27">
        <f>Budgets[[#This Row],[2018 $ Value]]/VLOOKUP(Budgets[[#This Row],[Jurisdiction]],Places[],6,FALSE)</f>
        <v>13.024556722386013</v>
      </c>
      <c r="M346" s="27">
        <f>Budgets[[#This Row],[2018 $ Value]]/VLOOKUP(Budgets[[#This Row],[Jurisdiction]],Places[],7,FALSE)</f>
        <v>101619.14093770295</v>
      </c>
      <c r="N346" s="27"/>
      <c r="O346" s="27" t="s">
        <v>1460</v>
      </c>
      <c r="P346" s="4"/>
      <c r="Q346"/>
    </row>
    <row r="347" spans="1:17" x14ac:dyDescent="0.25">
      <c r="A347" s="19" t="s">
        <v>257</v>
      </c>
      <c r="B347" s="19" t="str">
        <f>INDEX(Places[Type],MATCH(Budgets[[#This Row],[Jurisdiction]],Places[Jurisdiction],0))</f>
        <v>City</v>
      </c>
      <c r="C347" s="19" t="str">
        <f>INDEX(Places[County],MATCH(Budgets[[#This Row],[Jurisdiction]],Places[Jurisdiction],0))</f>
        <v>Ventura</v>
      </c>
      <c r="D347" s="21" t="str">
        <f>INDEX(Places[Majority RB],MATCH(Budgets[[#This Row],[Jurisdiction]],Places[Jurisdiction],0))</f>
        <v>Los Angeles</v>
      </c>
      <c r="E347" s="19">
        <f>INDEX(Places[Majority RB '#],MATCH(Budgets[[#This Row],[Jurisdiction]],Places[Jurisdiction],0))</f>
        <v>4</v>
      </c>
      <c r="F347" s="19" t="str">
        <f>VLOOKUP(Budgets[[#This Row],[Jurisdiction]],Places[#All],8,FALSE)</f>
        <v>Phase I MS4</v>
      </c>
      <c r="G347" s="81"/>
      <c r="H347" s="21" t="s">
        <v>1870</v>
      </c>
      <c r="I347" s="21">
        <f>VALUE(LEFT(Budgets[[#This Row],[Fiscal Year]],4))</f>
        <v>2011</v>
      </c>
      <c r="J347" s="20">
        <v>2369296</v>
      </c>
      <c r="K347" s="27">
        <f>IF(Budgets[[#This Row],[Reference Year]]&gt;2018,Budgets[[#This Row],[Value]],Budgets[[#This Row],[Value]]*(1+VLOOKUP(Budgets[[#This Row],[Reference Year]],Inflation[#All],3,FALSE)))</f>
        <v>2650904.0541396178</v>
      </c>
      <c r="L347" s="27">
        <f>Budgets[[#This Row],[2018 $ Value]]/VLOOKUP(Budgets[[#This Row],[Jurisdiction]],Places[],6,FALSE)</f>
        <v>12.630750649855001</v>
      </c>
      <c r="M347" s="27">
        <f>Budgets[[#This Row],[2018 $ Value]]/VLOOKUP(Budgets[[#This Row],[Jurisdiction]],Places[],7,FALSE)</f>
        <v>98546.619112996952</v>
      </c>
      <c r="N347" s="27"/>
      <c r="O347" s="27" t="s">
        <v>1460</v>
      </c>
      <c r="P347" s="4"/>
      <c r="Q347"/>
    </row>
    <row r="348" spans="1:17" x14ac:dyDescent="0.25">
      <c r="A348" s="19" t="s">
        <v>257</v>
      </c>
      <c r="B348" s="19" t="str">
        <f>INDEX(Places[Type],MATCH(Budgets[[#This Row],[Jurisdiction]],Places[Jurisdiction],0))</f>
        <v>City</v>
      </c>
      <c r="C348" s="19" t="str">
        <f>INDEX(Places[County],MATCH(Budgets[[#This Row],[Jurisdiction]],Places[Jurisdiction],0))</f>
        <v>Ventura</v>
      </c>
      <c r="D348" s="21" t="str">
        <f>INDEX(Places[Majority RB],MATCH(Budgets[[#This Row],[Jurisdiction]],Places[Jurisdiction],0))</f>
        <v>Los Angeles</v>
      </c>
      <c r="E348" s="19">
        <f>INDEX(Places[Majority RB '#],MATCH(Budgets[[#This Row],[Jurisdiction]],Places[Jurisdiction],0))</f>
        <v>4</v>
      </c>
      <c r="F348" s="19" t="str">
        <f>VLOOKUP(Budgets[[#This Row],[Jurisdiction]],Places[#All],8,FALSE)</f>
        <v>Phase I MS4</v>
      </c>
      <c r="G348" s="81"/>
      <c r="H348" s="21" t="s">
        <v>1871</v>
      </c>
      <c r="I348" s="21">
        <f>VALUE(LEFT(Budgets[[#This Row],[Fiscal Year]],4))</f>
        <v>2012</v>
      </c>
      <c r="J348" s="20">
        <v>2480816</v>
      </c>
      <c r="K348" s="27">
        <f>IF(Budgets[[#This Row],[Reference Year]]&gt;2018,Budgets[[#This Row],[Value]],Budgets[[#This Row],[Value]]*(1+VLOOKUP(Budgets[[#This Row],[Reference Year]],Inflation[#All],3,FALSE)))</f>
        <v>2718859.8035540069</v>
      </c>
      <c r="L348" s="27">
        <f>Budgets[[#This Row],[2018 $ Value]]/VLOOKUP(Budgets[[#This Row],[Jurisdiction]],Places[],6,FALSE)</f>
        <v>12.954539104113394</v>
      </c>
      <c r="M348" s="27">
        <f>Budgets[[#This Row],[2018 $ Value]]/VLOOKUP(Budgets[[#This Row],[Jurisdiction]],Places[],7,FALSE)</f>
        <v>101072.85515070659</v>
      </c>
      <c r="N348" s="27"/>
      <c r="O348" s="27" t="s">
        <v>1460</v>
      </c>
      <c r="P348" s="4"/>
      <c r="Q348"/>
    </row>
    <row r="349" spans="1:17" x14ac:dyDescent="0.25">
      <c r="A349" s="19" t="s">
        <v>257</v>
      </c>
      <c r="B349" s="19" t="str">
        <f>INDEX(Places[Type],MATCH(Budgets[[#This Row],[Jurisdiction]],Places[Jurisdiction],0))</f>
        <v>City</v>
      </c>
      <c r="C349" s="19" t="str">
        <f>INDEX(Places[County],MATCH(Budgets[[#This Row],[Jurisdiction]],Places[Jurisdiction],0))</f>
        <v>Ventura</v>
      </c>
      <c r="D349" s="21" t="str">
        <f>INDEX(Places[Majority RB],MATCH(Budgets[[#This Row],[Jurisdiction]],Places[Jurisdiction],0))</f>
        <v>Los Angeles</v>
      </c>
      <c r="E349" s="19">
        <f>INDEX(Places[Majority RB '#],MATCH(Budgets[[#This Row],[Jurisdiction]],Places[Jurisdiction],0))</f>
        <v>4</v>
      </c>
      <c r="F349" s="19" t="str">
        <f>VLOOKUP(Budgets[[#This Row],[Jurisdiction]],Places[#All],8,FALSE)</f>
        <v>Phase I MS4</v>
      </c>
      <c r="G349" s="81"/>
      <c r="H349" s="21" t="s">
        <v>1881</v>
      </c>
      <c r="I349" s="21">
        <f>VALUE(LEFT(Budgets[[#This Row],[Fiscal Year]],4))</f>
        <v>2014</v>
      </c>
      <c r="J349" s="20">
        <v>2600816</v>
      </c>
      <c r="K349" s="27">
        <f>IF(Budgets[[#This Row],[Reference Year]]&gt;2018,Budgets[[#This Row],[Value]],Budgets[[#This Row],[Value]]*(1+VLOOKUP(Budgets[[#This Row],[Reference Year]],Inflation[#All],3,FALSE)))</f>
        <v>2764875.0777186314</v>
      </c>
      <c r="L349" s="27">
        <f>Budgets[[#This Row],[2018 $ Value]]/VLOOKUP(Budgets[[#This Row],[Jurisdiction]],Places[],6,FALSE)</f>
        <v>13.173787874415163</v>
      </c>
      <c r="M349" s="27">
        <f>Budgets[[#This Row],[2018 $ Value]]/VLOOKUP(Budgets[[#This Row],[Jurisdiction]],Places[],7,FALSE)</f>
        <v>102783.46013823908</v>
      </c>
      <c r="N349" s="27"/>
      <c r="O349" s="27" t="s">
        <v>1460</v>
      </c>
      <c r="P349" s="4"/>
      <c r="Q349"/>
    </row>
    <row r="350" spans="1:17" x14ac:dyDescent="0.25">
      <c r="A350" s="19" t="s">
        <v>257</v>
      </c>
      <c r="B350" s="21" t="str">
        <f>INDEX(Places[Type],MATCH(Budgets[[#This Row],[Jurisdiction]],Places[Jurisdiction],0))</f>
        <v>City</v>
      </c>
      <c r="C350" s="21" t="str">
        <f>INDEX(Places[County],MATCH(Budgets[[#This Row],[Jurisdiction]],Places[Jurisdiction],0))</f>
        <v>Ventura</v>
      </c>
      <c r="D350" s="21" t="str">
        <f>INDEX(Places[Majority RB],MATCH(Budgets[[#This Row],[Jurisdiction]],Places[Jurisdiction],0))</f>
        <v>Los Angeles</v>
      </c>
      <c r="E350" s="19">
        <f>INDEX(Places[Majority RB '#],MATCH(Budgets[[#This Row],[Jurisdiction]],Places[Jurisdiction],0))</f>
        <v>4</v>
      </c>
      <c r="F350" s="19" t="str">
        <f>VLOOKUP(Budgets[[#This Row],[Jurisdiction]],Places[#All],8,FALSE)</f>
        <v>Phase I MS4</v>
      </c>
      <c r="G350" s="81"/>
      <c r="H350" s="21" t="s">
        <v>1876</v>
      </c>
      <c r="I350" s="21">
        <f>VALUE(LEFT(Budgets[[#This Row],[Fiscal Year]],4))</f>
        <v>2018</v>
      </c>
      <c r="J350" s="20">
        <v>1567000</v>
      </c>
      <c r="K350" s="27">
        <f>IF(Budgets[[#This Row],[Reference Year]]&gt;2018,Budgets[[#This Row],[Value]],Budgets[[#This Row],[Value]]*(1+VLOOKUP(Budgets[[#This Row],[Reference Year]],Inflation[#All],3,FALSE)))</f>
        <v>1567000</v>
      </c>
      <c r="L350" s="27">
        <f>Budgets[[#This Row],[2018 $ Value]]/VLOOKUP(Budgets[[#This Row],[Jurisdiction]],Places[],6,FALSE)</f>
        <v>7.4662778675128765</v>
      </c>
      <c r="M350" s="27">
        <f>Budgets[[#This Row],[2018 $ Value]]/VLOOKUP(Budgets[[#This Row],[Jurisdiction]],Places[],7,FALSE)</f>
        <v>58252.788104089224</v>
      </c>
      <c r="N350" s="27" t="s">
        <v>1853</v>
      </c>
      <c r="O350" s="27" t="s">
        <v>1853</v>
      </c>
      <c r="P350" s="4"/>
      <c r="Q350"/>
    </row>
    <row r="351" spans="1:17" x14ac:dyDescent="0.25">
      <c r="A351" s="19" t="s">
        <v>176</v>
      </c>
      <c r="B351" s="19" t="str">
        <f>INDEX(Places[Type],MATCH(Budgets[[#This Row],[Jurisdiction]],Places[Jurisdiction],0))</f>
        <v>City</v>
      </c>
      <c r="C351" s="19" t="str">
        <f>INDEX(Places[County],MATCH(Budgets[[#This Row],[Jurisdiction]],Places[Jurisdiction],0))</f>
        <v>Los Angeles</v>
      </c>
      <c r="D351" s="21" t="str">
        <f>INDEX(Places[Majority RB],MATCH(Budgets[[#This Row],[Jurisdiction]],Places[Jurisdiction],0))</f>
        <v>Los Angeles</v>
      </c>
      <c r="E351" s="19">
        <f>INDEX(Places[Majority RB '#],MATCH(Budgets[[#This Row],[Jurisdiction]],Places[Jurisdiction],0))</f>
        <v>4</v>
      </c>
      <c r="F351" s="19" t="str">
        <f>VLOOKUP(Budgets[[#This Row],[Jurisdiction]],Places[#All],8,FALSE)</f>
        <v>Phase I MS4</v>
      </c>
      <c r="G351" s="81"/>
      <c r="H351" s="100" t="s">
        <v>1870</v>
      </c>
      <c r="I351" s="21">
        <f>VALUE(LEFT(Budgets[[#This Row],[Fiscal Year]],4))</f>
        <v>2011</v>
      </c>
      <c r="J351" s="20">
        <v>236900</v>
      </c>
      <c r="K351" s="27">
        <f>IF(Budgets[[#This Row],[Reference Year]]&gt;2018,Budgets[[#This Row],[Value]],Budgets[[#This Row],[Value]]*(1+VLOOKUP(Budgets[[#This Row],[Reference Year]],Inflation[#All],3,FALSE)))</f>
        <v>265057.28723877278</v>
      </c>
      <c r="L351" s="27">
        <f>Budgets[[#This Row],[2018 $ Value]]/VLOOKUP(Budgets[[#This Row],[Jurisdiction]],Places[],6,FALSE)</f>
        <v>19.774491736703432</v>
      </c>
      <c r="M351" s="27">
        <f>Budgets[[#This Row],[2018 $ Value]]/VLOOKUP(Budgets[[#This Row],[Jurisdiction]],Places[],7,FALSE)</f>
        <v>55220.268174744335</v>
      </c>
      <c r="N351" s="27"/>
      <c r="O351" s="27" t="s">
        <v>1460</v>
      </c>
      <c r="P351" s="4"/>
      <c r="Q351"/>
    </row>
    <row r="352" spans="1:17" x14ac:dyDescent="0.25">
      <c r="A352" s="19" t="s">
        <v>176</v>
      </c>
      <c r="B352" s="19" t="str">
        <f>INDEX(Places[Type],MATCH(Budgets[[#This Row],[Jurisdiction]],Places[Jurisdiction],0))</f>
        <v>City</v>
      </c>
      <c r="C352" s="19" t="str">
        <f>INDEX(Places[County],MATCH(Budgets[[#This Row],[Jurisdiction]],Places[Jurisdiction],0))</f>
        <v>Los Angeles</v>
      </c>
      <c r="D352" s="21" t="str">
        <f>INDEX(Places[Majority RB],MATCH(Budgets[[#This Row],[Jurisdiction]],Places[Jurisdiction],0))</f>
        <v>Los Angeles</v>
      </c>
      <c r="E352" s="19">
        <f>INDEX(Places[Majority RB '#],MATCH(Budgets[[#This Row],[Jurisdiction]],Places[Jurisdiction],0))</f>
        <v>4</v>
      </c>
      <c r="F352" s="19" t="str">
        <f>VLOOKUP(Budgets[[#This Row],[Jurisdiction]],Places[#All],8,FALSE)</f>
        <v>Phase I MS4</v>
      </c>
      <c r="G352" s="81"/>
      <c r="H352" s="100" t="s">
        <v>1871</v>
      </c>
      <c r="I352" s="21">
        <f>VALUE(LEFT(Budgets[[#This Row],[Fiscal Year]],4))</f>
        <v>2012</v>
      </c>
      <c r="J352" s="20">
        <v>236900</v>
      </c>
      <c r="K352" s="27">
        <f>IF(Budgets[[#This Row],[Reference Year]]&gt;2018,Budgets[[#This Row],[Value]],Budgets[[#This Row],[Value]]*(1+VLOOKUP(Budgets[[#This Row],[Reference Year]],Inflation[#All],3,FALSE)))</f>
        <v>259631.4629790941</v>
      </c>
      <c r="L352" s="27">
        <f>Budgets[[#This Row],[2018 $ Value]]/VLOOKUP(Budgets[[#This Row],[Jurisdiction]],Places[],6,FALSE)</f>
        <v>19.369700311779624</v>
      </c>
      <c r="M352" s="27">
        <f>Budgets[[#This Row],[2018 $ Value]]/VLOOKUP(Budgets[[#This Row],[Jurisdiction]],Places[],7,FALSE)</f>
        <v>54089.888120644602</v>
      </c>
      <c r="N352" s="27"/>
      <c r="O352" s="27" t="s">
        <v>1460</v>
      </c>
      <c r="P352" s="4"/>
      <c r="Q352"/>
    </row>
    <row r="353" spans="1:17" x14ac:dyDescent="0.25">
      <c r="A353" s="19" t="s">
        <v>176</v>
      </c>
      <c r="B353" s="19" t="str">
        <f>INDEX(Places[Type],MATCH(Budgets[[#This Row],[Jurisdiction]],Places[Jurisdiction],0))</f>
        <v>City</v>
      </c>
      <c r="C353" s="19" t="str">
        <f>INDEX(Places[County],MATCH(Budgets[[#This Row],[Jurisdiction]],Places[Jurisdiction],0))</f>
        <v>Los Angeles</v>
      </c>
      <c r="D353" s="21" t="str">
        <f>INDEX(Places[Majority RB],MATCH(Budgets[[#This Row],[Jurisdiction]],Places[Jurisdiction],0))</f>
        <v>Los Angeles</v>
      </c>
      <c r="E353" s="19">
        <f>INDEX(Places[Majority RB '#],MATCH(Budgets[[#This Row],[Jurisdiction]],Places[Jurisdiction],0))</f>
        <v>4</v>
      </c>
      <c r="F353" s="19" t="str">
        <f>VLOOKUP(Budgets[[#This Row],[Jurisdiction]],Places[#All],8,FALSE)</f>
        <v>Phase I MS4</v>
      </c>
      <c r="G353" s="81"/>
      <c r="H353" s="100" t="s">
        <v>1869</v>
      </c>
      <c r="I353" s="21">
        <f>VALUE(LEFT(Budgets[[#This Row],[Fiscal Year]],4))</f>
        <v>2016</v>
      </c>
      <c r="J353" s="20">
        <v>348378</v>
      </c>
      <c r="K353" s="27">
        <f>IF(Budgets[[#This Row],[Reference Year]]&gt;2018,Budgets[[#This Row],[Value]],Budgets[[#This Row],[Value]]*(1+VLOOKUP(Budgets[[#This Row],[Reference Year]],Inflation[#All],3,FALSE)))</f>
        <v>365261.26882500004</v>
      </c>
      <c r="L353" s="27">
        <f>Budgets[[#This Row],[2018 $ Value]]/VLOOKUP(Budgets[[#This Row],[Jurisdiction]],Places[],6,FALSE)</f>
        <v>27.250169264771714</v>
      </c>
      <c r="M353" s="27">
        <f>Budgets[[#This Row],[2018 $ Value]]/VLOOKUP(Budgets[[#This Row],[Jurisdiction]],Places[],7,FALSE)</f>
        <v>76096.097671875017</v>
      </c>
      <c r="N353" s="27"/>
      <c r="O353" s="27" t="s">
        <v>1853</v>
      </c>
      <c r="P353" s="4"/>
      <c r="Q353"/>
    </row>
    <row r="354" spans="1:17" x14ac:dyDescent="0.25">
      <c r="A354" s="19" t="s">
        <v>212</v>
      </c>
      <c r="B354" s="19" t="str">
        <f>INDEX(Places[Type],MATCH(Budgets[[#This Row],[Jurisdiction]],Places[Jurisdiction],0))</f>
        <v>City</v>
      </c>
      <c r="C354" s="19" t="str">
        <f>INDEX(Places[County],MATCH(Budgets[[#This Row],[Jurisdiction]],Places[Jurisdiction],0))</f>
        <v>Los Angeles</v>
      </c>
      <c r="D354" s="21" t="str">
        <f>INDEX(Places[Majority RB],MATCH(Budgets[[#This Row],[Jurisdiction]],Places[Jurisdiction],0))</f>
        <v>Los Angeles</v>
      </c>
      <c r="E354" s="19">
        <f>INDEX(Places[Majority RB '#],MATCH(Budgets[[#This Row],[Jurisdiction]],Places[Jurisdiction],0))</f>
        <v>4</v>
      </c>
      <c r="F354" s="19" t="str">
        <f>VLOOKUP(Budgets[[#This Row],[Jurisdiction]],Places[#All],8,FALSE)</f>
        <v>Phase I MS4</v>
      </c>
      <c r="G354" s="81"/>
      <c r="H354" s="21" t="s">
        <v>1869</v>
      </c>
      <c r="I354" s="21">
        <f>VALUE(LEFT(Budgets[[#This Row],[Fiscal Year]],4))</f>
        <v>2016</v>
      </c>
      <c r="J354" s="20">
        <v>628220</v>
      </c>
      <c r="K354" s="27">
        <f>IF(Budgets[[#This Row],[Reference Year]]&gt;2018,Budgets[[#This Row],[Value]],Budgets[[#This Row],[Value]]*(1+VLOOKUP(Budgets[[#This Row],[Reference Year]],Inflation[#All],3,FALSE)))</f>
        <v>658665.11175000004</v>
      </c>
      <c r="L354" s="27">
        <f>Budgets[[#This Row],[2018 $ Value]]/VLOOKUP(Budgets[[#This Row],[Jurisdiction]],Places[],6,FALSE)</f>
        <v>12.269757306918521</v>
      </c>
      <c r="M354" s="27">
        <f>Budgets[[#This Row],[2018 $ Value]]/VLOOKUP(Budgets[[#This Row],[Jurisdiction]],Places[],7,FALSE)</f>
        <v>140141.51313829789</v>
      </c>
      <c r="N354" s="27"/>
      <c r="O354" s="27" t="s">
        <v>1853</v>
      </c>
      <c r="P354" s="4"/>
      <c r="Q354"/>
    </row>
    <row r="355" spans="1:17" x14ac:dyDescent="0.25">
      <c r="A355" s="19" t="s">
        <v>193</v>
      </c>
      <c r="B355" s="19" t="str">
        <f>INDEX(Places[Type],MATCH(Budgets[[#This Row],[Jurisdiction]],Places[Jurisdiction],0))</f>
        <v>City</v>
      </c>
      <c r="C355" s="19" t="str">
        <f>INDEX(Places[County],MATCH(Budgets[[#This Row],[Jurisdiction]],Places[Jurisdiction],0))</f>
        <v>Los Angeles</v>
      </c>
      <c r="D355" s="21" t="str">
        <f>INDEX(Places[Majority RB],MATCH(Budgets[[#This Row],[Jurisdiction]],Places[Jurisdiction],0))</f>
        <v>Los Angeles</v>
      </c>
      <c r="E355" s="19">
        <f>INDEX(Places[Majority RB '#],MATCH(Budgets[[#This Row],[Jurisdiction]],Places[Jurisdiction],0))</f>
        <v>4</v>
      </c>
      <c r="F355" s="19" t="str">
        <f>VLOOKUP(Budgets[[#This Row],[Jurisdiction]],Places[#All],8,FALSE)</f>
        <v>Phase I MS4</v>
      </c>
      <c r="G355" s="81"/>
      <c r="H355" s="21" t="s">
        <v>1870</v>
      </c>
      <c r="I355" s="21">
        <f>VALUE(LEFT(Budgets[[#This Row],[Fiscal Year]],4))</f>
        <v>2011</v>
      </c>
      <c r="J355" s="20">
        <v>19063000</v>
      </c>
      <c r="K355" s="27">
        <f>IF(Budgets[[#This Row],[Reference Year]]&gt;2018,Budgets[[#This Row],[Value]],Budgets[[#This Row],[Value]]*(1+VLOOKUP(Budgets[[#This Row],[Reference Year]],Inflation[#All],3,FALSE)))</f>
        <v>21328776.136060473</v>
      </c>
      <c r="L355" s="27">
        <f>Budgets[[#This Row],[2018 $ Value]]/VLOOKUP(Budgets[[#This Row],[Jurisdiction]],Places[],6,FALSE)</f>
        <v>150.87094337636765</v>
      </c>
      <c r="M355" s="27">
        <f>Budgets[[#This Row],[2018 $ Value]]/VLOOKUP(Budgets[[#This Row],[Jurisdiction]],Places[],7,FALSE)</f>
        <v>927338.09287219448</v>
      </c>
      <c r="N355" s="27"/>
      <c r="O355" s="27" t="s">
        <v>1460</v>
      </c>
      <c r="P355" s="4"/>
      <c r="Q355"/>
    </row>
    <row r="356" spans="1:17" x14ac:dyDescent="0.25">
      <c r="A356" s="19" t="s">
        <v>193</v>
      </c>
      <c r="B356" s="19" t="str">
        <f>INDEX(Places[Type],MATCH(Budgets[[#This Row],[Jurisdiction]],Places[Jurisdiction],0))</f>
        <v>City</v>
      </c>
      <c r="C356" s="19" t="str">
        <f>INDEX(Places[County],MATCH(Budgets[[#This Row],[Jurisdiction]],Places[Jurisdiction],0))</f>
        <v>Los Angeles</v>
      </c>
      <c r="D356" s="21" t="str">
        <f>INDEX(Places[Majority RB],MATCH(Budgets[[#This Row],[Jurisdiction]],Places[Jurisdiction],0))</f>
        <v>Los Angeles</v>
      </c>
      <c r="E356" s="19">
        <f>INDEX(Places[Majority RB '#],MATCH(Budgets[[#This Row],[Jurisdiction]],Places[Jurisdiction],0))</f>
        <v>4</v>
      </c>
      <c r="F356" s="19" t="str">
        <f>VLOOKUP(Budgets[[#This Row],[Jurisdiction]],Places[#All],8,FALSE)</f>
        <v>Phase I MS4</v>
      </c>
      <c r="G356" s="81"/>
      <c r="H356" s="21" t="s">
        <v>1871</v>
      </c>
      <c r="I356" s="21">
        <f>VALUE(LEFT(Budgets[[#This Row],[Fiscal Year]],4))</f>
        <v>2012</v>
      </c>
      <c r="J356" s="20">
        <v>20972000</v>
      </c>
      <c r="K356" s="27">
        <f>IF(Budgets[[#This Row],[Reference Year]]&gt;2018,Budgets[[#This Row],[Value]],Budgets[[#This Row],[Value]]*(1+VLOOKUP(Budgets[[#This Row],[Reference Year]],Inflation[#All],3,FALSE)))</f>
        <v>22984343.780487806</v>
      </c>
      <c r="L356" s="27">
        <f>Budgets[[#This Row],[2018 $ Value]]/VLOOKUP(Budgets[[#This Row],[Jurisdiction]],Places[],6,FALSE)</f>
        <v>162.58174434988652</v>
      </c>
      <c r="M356" s="27">
        <f>Budgets[[#This Row],[2018 $ Value]]/VLOOKUP(Budgets[[#This Row],[Jurisdiction]],Places[],7,FALSE)</f>
        <v>999319.29480381764</v>
      </c>
      <c r="N356" s="27"/>
      <c r="O356" s="27" t="s">
        <v>1460</v>
      </c>
      <c r="P356" s="4"/>
      <c r="Q356"/>
    </row>
    <row r="357" spans="1:17" x14ac:dyDescent="0.25">
      <c r="A357" s="19" t="s">
        <v>193</v>
      </c>
      <c r="B357" s="19" t="str">
        <f>INDEX(Places[Type],MATCH(Budgets[[#This Row],[Jurisdiction]],Places[Jurisdiction],0))</f>
        <v>City</v>
      </c>
      <c r="C357" s="19" t="str">
        <f>INDEX(Places[County],MATCH(Budgets[[#This Row],[Jurisdiction]],Places[Jurisdiction],0))</f>
        <v>Los Angeles</v>
      </c>
      <c r="D357" s="21" t="str">
        <f>INDEX(Places[Majority RB],MATCH(Budgets[[#This Row],[Jurisdiction]],Places[Jurisdiction],0))</f>
        <v>Los Angeles</v>
      </c>
      <c r="E357" s="19">
        <f>INDEX(Places[Majority RB '#],MATCH(Budgets[[#This Row],[Jurisdiction]],Places[Jurisdiction],0))</f>
        <v>4</v>
      </c>
      <c r="F357" s="19" t="str">
        <f>VLOOKUP(Budgets[[#This Row],[Jurisdiction]],Places[#All],8,FALSE)</f>
        <v>Phase I MS4</v>
      </c>
      <c r="G357" s="81"/>
      <c r="H357" s="21" t="s">
        <v>1869</v>
      </c>
      <c r="I357" s="21">
        <f>VALUE(LEFT(Budgets[[#This Row],[Fiscal Year]],4))</f>
        <v>2016</v>
      </c>
      <c r="J357" s="20">
        <v>18460000</v>
      </c>
      <c r="K357" s="27">
        <f>IF(Budgets[[#This Row],[Reference Year]]&gt;2018,Budgets[[#This Row],[Value]],Budgets[[#This Row],[Value]]*(1+VLOOKUP(Budgets[[#This Row],[Reference Year]],Inflation[#All],3,FALSE)))</f>
        <v>19354617.75</v>
      </c>
      <c r="L357" s="27">
        <f>Budgets[[#This Row],[2018 $ Value]]/VLOOKUP(Budgets[[#This Row],[Jurisdiction]],Places[],6,FALSE)</f>
        <v>136.90656322725312</v>
      </c>
      <c r="M357" s="27">
        <f>Budgets[[#This Row],[2018 $ Value]]/VLOOKUP(Budgets[[#This Row],[Jurisdiction]],Places[],7,FALSE)</f>
        <v>841505.11956521741</v>
      </c>
      <c r="N357" s="27"/>
      <c r="O357" s="27" t="s">
        <v>1853</v>
      </c>
      <c r="P357" s="4"/>
      <c r="Q357"/>
    </row>
    <row r="358" spans="1:17" x14ac:dyDescent="0.25">
      <c r="A358" s="19" t="s">
        <v>238</v>
      </c>
      <c r="B358" s="19" t="str">
        <f>INDEX(Places[Type],MATCH(Budgets[[#This Row],[Jurisdiction]],Places[Jurisdiction],0))</f>
        <v>City</v>
      </c>
      <c r="C358" s="19" t="str">
        <f>INDEX(Places[County],MATCH(Budgets[[#This Row],[Jurisdiction]],Places[Jurisdiction],0))</f>
        <v>Riverside</v>
      </c>
      <c r="D358" s="21" t="str">
        <f>INDEX(Places[Majority RB],MATCH(Budgets[[#This Row],[Jurisdiction]],Places[Jurisdiction],0))</f>
        <v>Santa Ana</v>
      </c>
      <c r="E358" s="19">
        <f>INDEX(Places[Majority RB '#],MATCH(Budgets[[#This Row],[Jurisdiction]],Places[Jurisdiction],0))</f>
        <v>8</v>
      </c>
      <c r="F358" s="19" t="str">
        <f>VLOOKUP(Budgets[[#This Row],[Jurisdiction]],Places[#All],8,FALSE)</f>
        <v>Phase I MS4</v>
      </c>
      <c r="G358" s="81"/>
      <c r="H358" s="21" t="s">
        <v>1869</v>
      </c>
      <c r="I358" s="21">
        <f>VALUE(LEFT(Budgets[[#This Row],[Fiscal Year]],4))</f>
        <v>2016</v>
      </c>
      <c r="J358" s="20">
        <v>370446</v>
      </c>
      <c r="K358" s="27">
        <f>IF(Budgets[[#This Row],[Reference Year]]&gt;2018,Budgets[[#This Row],[Value]],Budgets[[#This Row],[Value]]*(1+VLOOKUP(Budgets[[#This Row],[Reference Year]],Inflation[#All],3,FALSE)))</f>
        <v>388398.739275</v>
      </c>
      <c r="L358" s="27">
        <f>Budgets[[#This Row],[2018 $ Value]]/VLOOKUP(Budgets[[#This Row],[Jurisdiction]],Places[],6,FALSE)</f>
        <v>4.9081766048930282</v>
      </c>
      <c r="M358" s="27">
        <f>Budgets[[#This Row],[2018 $ Value]]/VLOOKUP(Budgets[[#This Row],[Jurisdiction]],Places[],7,FALSE)</f>
        <v>12291.099344145568</v>
      </c>
      <c r="N358" s="27"/>
      <c r="O358" s="27" t="s">
        <v>1853</v>
      </c>
      <c r="P358" s="4"/>
      <c r="Q358"/>
    </row>
    <row r="359" spans="1:17" x14ac:dyDescent="0.25">
      <c r="A359" s="19" t="s">
        <v>170</v>
      </c>
      <c r="B359" s="19" t="str">
        <f>INDEX(Places[Type],MATCH(Budgets[[#This Row],[Jurisdiction]],Places[Jurisdiction],0))</f>
        <v>City</v>
      </c>
      <c r="C359" s="19" t="str">
        <f>INDEX(Places[County],MATCH(Budgets[[#This Row],[Jurisdiction]],Places[Jurisdiction],0))</f>
        <v>Los Angeles</v>
      </c>
      <c r="D359" s="21" t="str">
        <f>INDEX(Places[Majority RB],MATCH(Budgets[[#This Row],[Jurisdiction]],Places[Jurisdiction],0))</f>
        <v>Los Angeles</v>
      </c>
      <c r="E359" s="19">
        <f>INDEX(Places[Majority RB '#],MATCH(Budgets[[#This Row],[Jurisdiction]],Places[Jurisdiction],0))</f>
        <v>4</v>
      </c>
      <c r="F359" s="19" t="str">
        <f>VLOOKUP(Budgets[[#This Row],[Jurisdiction]],Places[#All],8,FALSE)</f>
        <v>Phase I MS4</v>
      </c>
      <c r="G359" s="81"/>
      <c r="H359" s="100" t="s">
        <v>1870</v>
      </c>
      <c r="I359" s="21">
        <f>VALUE(LEFT(Budgets[[#This Row],[Fiscal Year]],4))</f>
        <v>2011</v>
      </c>
      <c r="J359" s="20">
        <v>3906488</v>
      </c>
      <c r="K359" s="27">
        <f>IF(Budgets[[#This Row],[Reference Year]]&gt;2018,Budgets[[#This Row],[Value]],Budgets[[#This Row],[Value]]*(1+VLOOKUP(Budgets[[#This Row],[Reference Year]],Inflation[#All],3,FALSE)))</f>
        <v>4370802.4985682527</v>
      </c>
      <c r="L359" s="27">
        <f>Budgets[[#This Row],[2018 $ Value]]/VLOOKUP(Budgets[[#This Row],[Jurisdiction]],Places[],6,FALSE)</f>
        <v>69.501375438370644</v>
      </c>
      <c r="M359" s="27">
        <f>Budgets[[#This Row],[2018 $ Value]]/VLOOKUP(Budgets[[#This Row],[Jurisdiction]],Places[],7,FALSE)</f>
        <v>526602.71067087376</v>
      </c>
      <c r="N359" s="27"/>
      <c r="O359" s="27" t="s">
        <v>1460</v>
      </c>
      <c r="P359" s="4"/>
      <c r="Q359"/>
    </row>
    <row r="360" spans="1:17" x14ac:dyDescent="0.25">
      <c r="A360" s="19" t="s">
        <v>170</v>
      </c>
      <c r="B360" s="19" t="str">
        <f>INDEX(Places[Type],MATCH(Budgets[[#This Row],[Jurisdiction]],Places[Jurisdiction],0))</f>
        <v>City</v>
      </c>
      <c r="C360" s="19" t="str">
        <f>INDEX(Places[County],MATCH(Budgets[[#This Row],[Jurisdiction]],Places[Jurisdiction],0))</f>
        <v>Los Angeles</v>
      </c>
      <c r="D360" s="21" t="str">
        <f>INDEX(Places[Majority RB],MATCH(Budgets[[#This Row],[Jurisdiction]],Places[Jurisdiction],0))</f>
        <v>Los Angeles</v>
      </c>
      <c r="E360" s="19">
        <f>INDEX(Places[Majority RB '#],MATCH(Budgets[[#This Row],[Jurisdiction]],Places[Jurisdiction],0))</f>
        <v>4</v>
      </c>
      <c r="F360" s="19" t="str">
        <f>VLOOKUP(Budgets[[#This Row],[Jurisdiction]],Places[#All],8,FALSE)</f>
        <v>Phase I MS4</v>
      </c>
      <c r="G360" s="81"/>
      <c r="H360" s="100" t="s">
        <v>1871</v>
      </c>
      <c r="I360" s="21">
        <f>VALUE(LEFT(Budgets[[#This Row],[Fiscal Year]],4))</f>
        <v>2012</v>
      </c>
      <c r="J360" s="20">
        <v>3920488</v>
      </c>
      <c r="K360" s="27">
        <f>IF(Budgets[[#This Row],[Reference Year]]&gt;2018,Budgets[[#This Row],[Value]],Budgets[[#This Row],[Value]]*(1+VLOOKUP(Budgets[[#This Row],[Reference Year]],Inflation[#All],3,FALSE)))</f>
        <v>4296673.8498606272</v>
      </c>
      <c r="L360" s="27">
        <f>Budgets[[#This Row],[2018 $ Value]]/VLOOKUP(Budgets[[#This Row],[Jurisdiction]],Places[],6,FALSE)</f>
        <v>68.322634681666244</v>
      </c>
      <c r="M360" s="27">
        <f>Budgets[[#This Row],[2018 $ Value]]/VLOOKUP(Budgets[[#This Row],[Jurisdiction]],Places[],7,FALSE)</f>
        <v>517671.54817597911</v>
      </c>
      <c r="N360" s="27"/>
      <c r="O360" s="27" t="s">
        <v>1460</v>
      </c>
      <c r="P360" s="4"/>
      <c r="Q360"/>
    </row>
    <row r="361" spans="1:17" x14ac:dyDescent="0.25">
      <c r="A361" s="19" t="s">
        <v>170</v>
      </c>
      <c r="B361" s="19" t="str">
        <f>INDEX(Places[Type],MATCH(Budgets[[#This Row],[Jurisdiction]],Places[Jurisdiction],0))</f>
        <v>City</v>
      </c>
      <c r="C361" s="19" t="str">
        <f>INDEX(Places[County],MATCH(Budgets[[#This Row],[Jurisdiction]],Places[Jurisdiction],0))</f>
        <v>Los Angeles</v>
      </c>
      <c r="D361" s="21" t="str">
        <f>INDEX(Places[Majority RB],MATCH(Budgets[[#This Row],[Jurisdiction]],Places[Jurisdiction],0))</f>
        <v>Los Angeles</v>
      </c>
      <c r="E361" s="19">
        <f>INDEX(Places[Majority RB '#],MATCH(Budgets[[#This Row],[Jurisdiction]],Places[Jurisdiction],0))</f>
        <v>4</v>
      </c>
      <c r="F361" s="19" t="str">
        <f>VLOOKUP(Budgets[[#This Row],[Jurisdiction]],Places[#All],8,FALSE)</f>
        <v>Phase I MS4</v>
      </c>
      <c r="G361" s="81"/>
      <c r="H361" s="100" t="s">
        <v>1869</v>
      </c>
      <c r="I361" s="21">
        <f>VALUE(LEFT(Budgets[[#This Row],[Fiscal Year]],4))</f>
        <v>2016</v>
      </c>
      <c r="J361" s="20">
        <v>1252050</v>
      </c>
      <c r="K361" s="27">
        <f>IF(Budgets[[#This Row],[Reference Year]]&gt;2018,Budgets[[#This Row],[Value]],Budgets[[#This Row],[Value]]*(1+VLOOKUP(Budgets[[#This Row],[Reference Year]],Inflation[#All],3,FALSE)))</f>
        <v>1312727.473125</v>
      </c>
      <c r="L361" s="27">
        <f>Budgets[[#This Row],[2018 $ Value]]/VLOOKUP(Budgets[[#This Row],[Jurisdiction]],Places[],6,FALSE)</f>
        <v>20.874053446205952</v>
      </c>
      <c r="M361" s="27">
        <f>Budgets[[#This Row],[2018 $ Value]]/VLOOKUP(Budgets[[#This Row],[Jurisdiction]],Places[],7,FALSE)</f>
        <v>158159.93652108434</v>
      </c>
      <c r="N361" s="27"/>
      <c r="O361" s="27" t="s">
        <v>1853</v>
      </c>
      <c r="P361" s="4"/>
      <c r="Q361"/>
    </row>
    <row r="362" spans="1:17" x14ac:dyDescent="0.25">
      <c r="A362" s="19" t="s">
        <v>286</v>
      </c>
      <c r="B362" s="19" t="str">
        <f>INDEX(Places[Type],MATCH(Budgets[[#This Row],[Jurisdiction]],Places[Jurisdiction],0))</f>
        <v>City</v>
      </c>
      <c r="C362" s="19" t="str">
        <f>INDEX(Places[County],MATCH(Budgets[[#This Row],[Jurisdiction]],Places[Jurisdiction],0))</f>
        <v>Orange</v>
      </c>
      <c r="D362" s="21" t="str">
        <f>INDEX(Places[Majority RB],MATCH(Budgets[[#This Row],[Jurisdiction]],Places[Jurisdiction],0))</f>
        <v>Santa Ana</v>
      </c>
      <c r="E362" s="19">
        <f>INDEX(Places[Majority RB '#],MATCH(Budgets[[#This Row],[Jurisdiction]],Places[Jurisdiction],0))</f>
        <v>8</v>
      </c>
      <c r="F362" s="19" t="str">
        <f>VLOOKUP(Budgets[[#This Row],[Jurisdiction]],Places[#All],8,FALSE)</f>
        <v>Phase I MS4</v>
      </c>
      <c r="G362" s="81"/>
      <c r="H362" s="21" t="s">
        <v>1875</v>
      </c>
      <c r="I362" s="21">
        <f>VALUE(LEFT(Budgets[[#This Row],[Fiscal Year]],4))</f>
        <v>2001</v>
      </c>
      <c r="J362" s="20">
        <v>282720</v>
      </c>
      <c r="K362" s="27">
        <f>IF(Budgets[[#This Row],[Reference Year]]&gt;2018,Budgets[[#This Row],[Value]],Budgets[[#This Row],[Value]]*(1+VLOOKUP(Budgets[[#This Row],[Reference Year]],Inflation[#All],3,FALSE)))</f>
        <v>401700.26154714852</v>
      </c>
      <c r="L362" s="27">
        <f>Budgets[[#This Row],[2018 $ Value]]/VLOOKUP(Budgets[[#This Row],[Jurisdiction]],Places[],6,FALSE)</f>
        <v>7.7741917428954057</v>
      </c>
      <c r="M362" s="27">
        <f>Budgets[[#This Row],[2018 $ Value]]/VLOOKUP(Budgets[[#This Row],[Jurisdiction]],Places[],7,FALSE)</f>
        <v>60863.675991992204</v>
      </c>
      <c r="N362" s="27"/>
      <c r="O362" s="27" t="s">
        <v>1460</v>
      </c>
      <c r="P362" s="4"/>
      <c r="Q362"/>
    </row>
    <row r="363" spans="1:17" x14ac:dyDescent="0.25">
      <c r="A363" s="19" t="s">
        <v>286</v>
      </c>
      <c r="B363" s="19" t="str">
        <f>INDEX(Places[Type],MATCH(Budgets[[#This Row],[Jurisdiction]],Places[Jurisdiction],0))</f>
        <v>City</v>
      </c>
      <c r="C363" s="19" t="str">
        <f>INDEX(Places[County],MATCH(Budgets[[#This Row],[Jurisdiction]],Places[Jurisdiction],0))</f>
        <v>Orange</v>
      </c>
      <c r="D363" s="21" t="str">
        <f>INDEX(Places[Majority RB],MATCH(Budgets[[#This Row],[Jurisdiction]],Places[Jurisdiction],0))</f>
        <v>Santa Ana</v>
      </c>
      <c r="E363" s="19">
        <f>INDEX(Places[Majority RB '#],MATCH(Budgets[[#This Row],[Jurisdiction]],Places[Jurisdiction],0))</f>
        <v>8</v>
      </c>
      <c r="F363" s="19" t="str">
        <f>VLOOKUP(Budgets[[#This Row],[Jurisdiction]],Places[#All],8,FALSE)</f>
        <v>Phase I MS4</v>
      </c>
      <c r="G363" s="81"/>
      <c r="H363" s="21" t="s">
        <v>1872</v>
      </c>
      <c r="I363" s="21">
        <f>VALUE(LEFT(Budgets[[#This Row],[Fiscal Year]],4))</f>
        <v>2002</v>
      </c>
      <c r="J363" s="20">
        <v>291202</v>
      </c>
      <c r="K363" s="27">
        <f>IF(Budgets[[#This Row],[Reference Year]]&gt;2018,Budgets[[#This Row],[Value]],Budgets[[#This Row],[Value]]*(1+VLOOKUP(Budgets[[#This Row],[Reference Year]],Inflation[#All],3,FALSE)))</f>
        <v>407312.12041133962</v>
      </c>
      <c r="L363" s="27">
        <f>Budgets[[#This Row],[2018 $ Value]]/VLOOKUP(Budgets[[#This Row],[Jurisdiction]],Places[],6,FALSE)</f>
        <v>7.8827992570559813</v>
      </c>
      <c r="M363" s="27">
        <f>Budgets[[#This Row],[2018 $ Value]]/VLOOKUP(Budgets[[#This Row],[Jurisdiction]],Places[],7,FALSE)</f>
        <v>61713.957638081767</v>
      </c>
      <c r="N363" s="27"/>
      <c r="O363" s="27" t="s">
        <v>1853</v>
      </c>
      <c r="P363" s="4"/>
      <c r="Q363"/>
    </row>
    <row r="364" spans="1:17" x14ac:dyDescent="0.25">
      <c r="A364" s="19" t="s">
        <v>153</v>
      </c>
      <c r="B364" s="19" t="str">
        <f>INDEX(Places[Type],MATCH(Budgets[[#This Row],[Jurisdiction]],Places[Jurisdiction],0))</f>
        <v>City</v>
      </c>
      <c r="C364" s="19" t="str">
        <f>INDEX(Places[County],MATCH(Budgets[[#This Row],[Jurisdiction]],Places[Jurisdiction],0))</f>
        <v>Los Angeles</v>
      </c>
      <c r="D364" s="21" t="str">
        <f>INDEX(Places[Majority RB],MATCH(Budgets[[#This Row],[Jurisdiction]],Places[Jurisdiction],0))</f>
        <v>Los Angeles</v>
      </c>
      <c r="E364" s="19">
        <f>INDEX(Places[Majority RB '#],MATCH(Budgets[[#This Row],[Jurisdiction]],Places[Jurisdiction],0))</f>
        <v>4</v>
      </c>
      <c r="F364" s="19" t="str">
        <f>VLOOKUP(Budgets[[#This Row],[Jurisdiction]],Places[#All],8,FALSE)</f>
        <v>Phase I MS4</v>
      </c>
      <c r="G364" s="81"/>
      <c r="H364" s="100" t="s">
        <v>1870</v>
      </c>
      <c r="I364" s="21">
        <f>VALUE(LEFT(Budgets[[#This Row],[Fiscal Year]],4))</f>
        <v>2011</v>
      </c>
      <c r="J364" s="20">
        <v>3447298</v>
      </c>
      <c r="K364" s="27">
        <f>IF(Budgets[[#This Row],[Reference Year]]&gt;2018,Budgets[[#This Row],[Value]],Budgets[[#This Row],[Value]]*(1+VLOOKUP(Budgets[[#This Row],[Reference Year]],Inflation[#All],3,FALSE)))</f>
        <v>3857034.4288039128</v>
      </c>
      <c r="L364" s="27">
        <f>Budgets[[#This Row],[2018 $ Value]]/VLOOKUP(Budgets[[#This Row],[Jurisdiction]],Places[],6,FALSE)</f>
        <v>25.315103135342461</v>
      </c>
      <c r="M364" s="27">
        <f>Budgets[[#This Row],[2018 $ Value]]/VLOOKUP(Budgets[[#This Row],[Jurisdiction]],Places[],7,FALSE)</f>
        <v>167697.14907843099</v>
      </c>
      <c r="N364" s="27"/>
      <c r="O364" s="27" t="s">
        <v>1460</v>
      </c>
      <c r="P364" s="4"/>
      <c r="Q364"/>
    </row>
    <row r="365" spans="1:17" x14ac:dyDescent="0.25">
      <c r="A365" s="19" t="s">
        <v>153</v>
      </c>
      <c r="B365" s="19" t="str">
        <f>INDEX(Places[Type],MATCH(Budgets[[#This Row],[Jurisdiction]],Places[Jurisdiction],0))</f>
        <v>City</v>
      </c>
      <c r="C365" s="19" t="str">
        <f>INDEX(Places[County],MATCH(Budgets[[#This Row],[Jurisdiction]],Places[Jurisdiction],0))</f>
        <v>Los Angeles</v>
      </c>
      <c r="D365" s="21" t="str">
        <f>INDEX(Places[Majority RB],MATCH(Budgets[[#This Row],[Jurisdiction]],Places[Jurisdiction],0))</f>
        <v>Los Angeles</v>
      </c>
      <c r="E365" s="19">
        <f>INDEX(Places[Majority RB '#],MATCH(Budgets[[#This Row],[Jurisdiction]],Places[Jurisdiction],0))</f>
        <v>4</v>
      </c>
      <c r="F365" s="19" t="str">
        <f>VLOOKUP(Budgets[[#This Row],[Jurisdiction]],Places[#All],8,FALSE)</f>
        <v>Phase I MS4</v>
      </c>
      <c r="G365" s="81"/>
      <c r="H365" s="100" t="s">
        <v>1871</v>
      </c>
      <c r="I365" s="21">
        <f>VALUE(LEFT(Budgets[[#This Row],[Fiscal Year]],4))</f>
        <v>2012</v>
      </c>
      <c r="J365" s="20">
        <v>3447298</v>
      </c>
      <c r="K365" s="27">
        <f>IF(Budgets[[#This Row],[Reference Year]]&gt;2018,Budgets[[#This Row],[Value]],Budgets[[#This Row],[Value]]*(1+VLOOKUP(Budgets[[#This Row],[Reference Year]],Inflation[#All],3,FALSE)))</f>
        <v>3778079.4557404183</v>
      </c>
      <c r="L365" s="27">
        <f>Budgets[[#This Row],[2018 $ Value]]/VLOOKUP(Budgets[[#This Row],[Jurisdiction]],Places[],6,FALSE)</f>
        <v>24.796893271509234</v>
      </c>
      <c r="M365" s="27">
        <f>Budgets[[#This Row],[2018 $ Value]]/VLOOKUP(Budgets[[#This Row],[Jurisdiction]],Places[],7,FALSE)</f>
        <v>164264.32416262687</v>
      </c>
      <c r="N365" s="27"/>
      <c r="O365" s="27" t="s">
        <v>1460</v>
      </c>
      <c r="P365" s="4"/>
      <c r="Q365"/>
    </row>
    <row r="366" spans="1:17" x14ac:dyDescent="0.25">
      <c r="A366" s="19" t="s">
        <v>153</v>
      </c>
      <c r="B366" s="19" t="str">
        <f>INDEX(Places[Type],MATCH(Budgets[[#This Row],[Jurisdiction]],Places[Jurisdiction],0))</f>
        <v>City</v>
      </c>
      <c r="C366" s="19" t="str">
        <f>INDEX(Places[County],MATCH(Budgets[[#This Row],[Jurisdiction]],Places[Jurisdiction],0))</f>
        <v>Los Angeles</v>
      </c>
      <c r="D366" s="21" t="str">
        <f>INDEX(Places[Majority RB],MATCH(Budgets[[#This Row],[Jurisdiction]],Places[Jurisdiction],0))</f>
        <v>Los Angeles</v>
      </c>
      <c r="E366" s="19">
        <f>INDEX(Places[Majority RB '#],MATCH(Budgets[[#This Row],[Jurisdiction]],Places[Jurisdiction],0))</f>
        <v>4</v>
      </c>
      <c r="F366" s="19" t="str">
        <f>VLOOKUP(Budgets[[#This Row],[Jurisdiction]],Places[#All],8,FALSE)</f>
        <v>Phase I MS4</v>
      </c>
      <c r="G366" s="81"/>
      <c r="H366" s="100" t="s">
        <v>1869</v>
      </c>
      <c r="I366" s="21">
        <f>VALUE(LEFT(Budgets[[#This Row],[Fiscal Year]],4))</f>
        <v>2016</v>
      </c>
      <c r="J366" s="20">
        <v>4014989</v>
      </c>
      <c r="K366" s="27">
        <f>IF(Budgets[[#This Row],[Reference Year]]&gt;2018,Budgets[[#This Row],[Value]],Budgets[[#This Row],[Value]]*(1+VLOOKUP(Budgets[[#This Row],[Reference Year]],Inflation[#All],3,FALSE)))</f>
        <v>4209565.4044125006</v>
      </c>
      <c r="L366" s="27">
        <f>Budgets[[#This Row],[2018 $ Value]]/VLOOKUP(Budgets[[#This Row],[Jurisdiction]],Places[],6,FALSE)</f>
        <v>27.628890624323159</v>
      </c>
      <c r="M366" s="27">
        <f>Budgets[[#This Row],[2018 $ Value]]/VLOOKUP(Budgets[[#This Row],[Jurisdiction]],Places[],7,FALSE)</f>
        <v>183024.58280054349</v>
      </c>
      <c r="N366" s="27"/>
      <c r="O366" s="27" t="s">
        <v>1853</v>
      </c>
      <c r="P366" s="4"/>
      <c r="Q366"/>
    </row>
    <row r="367" spans="1:17" x14ac:dyDescent="0.25">
      <c r="A367" s="19" t="s">
        <v>258</v>
      </c>
      <c r="B367" s="19" t="str">
        <f>INDEX(Places[Type],MATCH(Budgets[[#This Row],[Jurisdiction]],Places[Jurisdiction],0))</f>
        <v>City</v>
      </c>
      <c r="C367" s="19" t="str">
        <f>INDEX(Places[County],MATCH(Budgets[[#This Row],[Jurisdiction]],Places[Jurisdiction],0))</f>
        <v>Ventura</v>
      </c>
      <c r="D367" s="21" t="str">
        <f>INDEX(Places[Majority RB],MATCH(Budgets[[#This Row],[Jurisdiction]],Places[Jurisdiction],0))</f>
        <v>Los Angeles</v>
      </c>
      <c r="E367" s="19">
        <f>INDEX(Places[Majority RB '#],MATCH(Budgets[[#This Row],[Jurisdiction]],Places[Jurisdiction],0))</f>
        <v>4</v>
      </c>
      <c r="F367" s="19" t="str">
        <f>VLOOKUP(Budgets[[#This Row],[Jurisdiction]],Places[#All],8,FALSE)</f>
        <v>Phase I MS4</v>
      </c>
      <c r="G367" s="81"/>
      <c r="H367" s="21" t="s">
        <v>1882</v>
      </c>
      <c r="I367" s="21">
        <f>VALUE(LEFT(Budgets[[#This Row],[Fiscal Year]],4))</f>
        <v>2005</v>
      </c>
      <c r="J367" s="20">
        <v>507300</v>
      </c>
      <c r="K367" s="27">
        <f>IF(Budgets[[#This Row],[Reference Year]]&gt;2018,Budgets[[#This Row],[Value]],Budgets[[#This Row],[Value]]*(1+VLOOKUP(Budgets[[#This Row],[Reference Year]],Inflation[#All],3,FALSE)))</f>
        <v>653622.15207373269</v>
      </c>
      <c r="L367" s="27">
        <f>Budgets[[#This Row],[2018 $ Value]]/VLOOKUP(Budgets[[#This Row],[Jurisdiction]],Places[],6,FALSE)</f>
        <v>29.47829125845545</v>
      </c>
      <c r="M367" s="27">
        <f>Budgets[[#This Row],[2018 $ Value]]/VLOOKUP(Budgets[[#This Row],[Jurisdiction]],Places[],7,FALSE)</f>
        <v>145249.36712749617</v>
      </c>
      <c r="N367" s="27"/>
      <c r="O367" s="27" t="s">
        <v>1460</v>
      </c>
      <c r="P367" s="4"/>
      <c r="Q367"/>
    </row>
    <row r="368" spans="1:17" x14ac:dyDescent="0.25">
      <c r="A368" s="19" t="s">
        <v>258</v>
      </c>
      <c r="B368" s="19" t="str">
        <f>INDEX(Places[Type],MATCH(Budgets[[#This Row],[Jurisdiction]],Places[Jurisdiction],0))</f>
        <v>City</v>
      </c>
      <c r="C368" s="19" t="str">
        <f>INDEX(Places[County],MATCH(Budgets[[#This Row],[Jurisdiction]],Places[Jurisdiction],0))</f>
        <v>Ventura</v>
      </c>
      <c r="D368" s="21" t="str">
        <f>INDEX(Places[Majority RB],MATCH(Budgets[[#This Row],[Jurisdiction]],Places[Jurisdiction],0))</f>
        <v>Los Angeles</v>
      </c>
      <c r="E368" s="19">
        <f>INDEX(Places[Majority RB '#],MATCH(Budgets[[#This Row],[Jurisdiction]],Places[Jurisdiction],0))</f>
        <v>4</v>
      </c>
      <c r="F368" s="19" t="str">
        <f>VLOOKUP(Budgets[[#This Row],[Jurisdiction]],Places[#All],8,FALSE)</f>
        <v>Phase I MS4</v>
      </c>
      <c r="G368" s="81"/>
      <c r="H368" s="21" t="s">
        <v>1883</v>
      </c>
      <c r="I368" s="21">
        <f>VALUE(LEFT(Budgets[[#This Row],[Fiscal Year]],4))</f>
        <v>2006</v>
      </c>
      <c r="J368" s="20">
        <v>507300</v>
      </c>
      <c r="K368" s="27">
        <f>IF(Budgets[[#This Row],[Reference Year]]&gt;2018,Budgets[[#This Row],[Value]],Budgets[[#This Row],[Value]]*(1+VLOOKUP(Budgets[[#This Row],[Reference Year]],Inflation[#All],3,FALSE)))</f>
        <v>633196.45982142864</v>
      </c>
      <c r="L368" s="27">
        <f>Budgets[[#This Row],[2018 $ Value]]/VLOOKUP(Budgets[[#This Row],[Jurisdiction]],Places[],6,FALSE)</f>
        <v>28.55709465662872</v>
      </c>
      <c r="M368" s="27">
        <f>Budgets[[#This Row],[2018 $ Value]]/VLOOKUP(Budgets[[#This Row],[Jurisdiction]],Places[],7,FALSE)</f>
        <v>140710.32440476192</v>
      </c>
      <c r="N368" s="27"/>
      <c r="O368" s="27" t="s">
        <v>1460</v>
      </c>
      <c r="P368" s="4"/>
      <c r="Q368"/>
    </row>
    <row r="369" spans="1:17" x14ac:dyDescent="0.25">
      <c r="A369" s="19" t="s">
        <v>258</v>
      </c>
      <c r="B369" s="19" t="str">
        <f>INDEX(Places[Type],MATCH(Budgets[[#This Row],[Jurisdiction]],Places[Jurisdiction],0))</f>
        <v>City</v>
      </c>
      <c r="C369" s="19" t="str">
        <f>INDEX(Places[County],MATCH(Budgets[[#This Row],[Jurisdiction]],Places[Jurisdiction],0))</f>
        <v>Ventura</v>
      </c>
      <c r="D369" s="21" t="str">
        <f>INDEX(Places[Majority RB],MATCH(Budgets[[#This Row],[Jurisdiction]],Places[Jurisdiction],0))</f>
        <v>Los Angeles</v>
      </c>
      <c r="E369" s="19">
        <f>INDEX(Places[Majority RB '#],MATCH(Budgets[[#This Row],[Jurisdiction]],Places[Jurisdiction],0))</f>
        <v>4</v>
      </c>
      <c r="F369" s="19" t="str">
        <f>VLOOKUP(Budgets[[#This Row],[Jurisdiction]],Places[#All],8,FALSE)</f>
        <v>Phase I MS4</v>
      </c>
      <c r="G369" s="81"/>
      <c r="H369" s="21" t="s">
        <v>1884</v>
      </c>
      <c r="I369" s="21">
        <f>VALUE(LEFT(Budgets[[#This Row],[Fiscal Year]],4))</f>
        <v>2008</v>
      </c>
      <c r="J369" s="20">
        <v>527300</v>
      </c>
      <c r="K369" s="27">
        <f>IF(Budgets[[#This Row],[Reference Year]]&gt;2018,Budgets[[#This Row],[Value]],Budgets[[#This Row],[Value]]*(1+VLOOKUP(Budgets[[#This Row],[Reference Year]],Inflation[#All],3,FALSE)))</f>
        <v>616279.73200185783</v>
      </c>
      <c r="L369" s="27">
        <f>Budgets[[#This Row],[2018 $ Value]]/VLOOKUP(Budgets[[#This Row],[Jurisdiction]],Places[],6,FALSE)</f>
        <v>27.794151986734217</v>
      </c>
      <c r="M369" s="27">
        <f>Budgets[[#This Row],[2018 $ Value]]/VLOOKUP(Budgets[[#This Row],[Jurisdiction]],Places[],7,FALSE)</f>
        <v>136951.05155596841</v>
      </c>
      <c r="N369" s="27"/>
      <c r="O369" s="27" t="s">
        <v>1460</v>
      </c>
      <c r="P369" s="4"/>
      <c r="Q369"/>
    </row>
    <row r="370" spans="1:17" x14ac:dyDescent="0.25">
      <c r="A370" s="19" t="s">
        <v>258</v>
      </c>
      <c r="B370" s="19" t="str">
        <f>INDEX(Places[Type],MATCH(Budgets[[#This Row],[Jurisdiction]],Places[Jurisdiction],0))</f>
        <v>City</v>
      </c>
      <c r="C370" s="19" t="str">
        <f>INDEX(Places[County],MATCH(Budgets[[#This Row],[Jurisdiction]],Places[Jurisdiction],0))</f>
        <v>Ventura</v>
      </c>
      <c r="D370" s="21" t="str">
        <f>INDEX(Places[Majority RB],MATCH(Budgets[[#This Row],[Jurisdiction]],Places[Jurisdiction],0))</f>
        <v>Los Angeles</v>
      </c>
      <c r="E370" s="19">
        <f>INDEX(Places[Majority RB '#],MATCH(Budgets[[#This Row],[Jurisdiction]],Places[Jurisdiction],0))</f>
        <v>4</v>
      </c>
      <c r="F370" s="19" t="str">
        <f>VLOOKUP(Budgets[[#This Row],[Jurisdiction]],Places[#All],8,FALSE)</f>
        <v>Phase I MS4</v>
      </c>
      <c r="G370" s="81"/>
      <c r="H370" s="21" t="s">
        <v>1885</v>
      </c>
      <c r="I370" s="21">
        <f>VALUE(LEFT(Budgets[[#This Row],[Fiscal Year]],4))</f>
        <v>2010</v>
      </c>
      <c r="J370" s="20">
        <v>734450</v>
      </c>
      <c r="K370" s="27">
        <f>IF(Budgets[[#This Row],[Reference Year]]&gt;2018,Budgets[[#This Row],[Value]],Budgets[[#This Row],[Value]]*(1+VLOOKUP(Budgets[[#This Row],[Reference Year]],Inflation[#All],3,FALSE)))</f>
        <v>847365.37345254468</v>
      </c>
      <c r="L370" s="27">
        <f>Budgets[[#This Row],[2018 $ Value]]/VLOOKUP(Budgets[[#This Row],[Jurisdiction]],Places[],6,FALSE)</f>
        <v>38.216090445701738</v>
      </c>
      <c r="M370" s="27">
        <f>Budgets[[#This Row],[2018 $ Value]]/VLOOKUP(Budgets[[#This Row],[Jurisdiction]],Places[],7,FALSE)</f>
        <v>188303.4163227877</v>
      </c>
      <c r="N370" s="27"/>
      <c r="O370" s="27" t="s">
        <v>1460</v>
      </c>
      <c r="P370" s="4"/>
      <c r="Q370"/>
    </row>
    <row r="371" spans="1:17" x14ac:dyDescent="0.25">
      <c r="A371" s="19" t="s">
        <v>258</v>
      </c>
      <c r="B371" s="19" t="str">
        <f>INDEX(Places[Type],MATCH(Budgets[[#This Row],[Jurisdiction]],Places[Jurisdiction],0))</f>
        <v>City</v>
      </c>
      <c r="C371" s="19" t="str">
        <f>INDEX(Places[County],MATCH(Budgets[[#This Row],[Jurisdiction]],Places[Jurisdiction],0))</f>
        <v>Ventura</v>
      </c>
      <c r="D371" s="21" t="str">
        <f>INDEX(Places[Majority RB],MATCH(Budgets[[#This Row],[Jurisdiction]],Places[Jurisdiction],0))</f>
        <v>Los Angeles</v>
      </c>
      <c r="E371" s="19">
        <f>INDEX(Places[Majority RB '#],MATCH(Budgets[[#This Row],[Jurisdiction]],Places[Jurisdiction],0))</f>
        <v>4</v>
      </c>
      <c r="F371" s="19" t="str">
        <f>VLOOKUP(Budgets[[#This Row],[Jurisdiction]],Places[#All],8,FALSE)</f>
        <v>Phase I MS4</v>
      </c>
      <c r="G371" s="81"/>
      <c r="H371" s="21" t="s">
        <v>1870</v>
      </c>
      <c r="I371" s="21">
        <f>VALUE(LEFT(Budgets[[#This Row],[Fiscal Year]],4))</f>
        <v>2011</v>
      </c>
      <c r="J371" s="20">
        <v>720450</v>
      </c>
      <c r="K371" s="27">
        <f>IF(Budgets[[#This Row],[Reference Year]]&gt;2018,Budgets[[#This Row],[Value]],Budgets[[#This Row],[Value]]*(1+VLOOKUP(Budgets[[#This Row],[Reference Year]],Inflation[#All],3,FALSE)))</f>
        <v>806080.72009782132</v>
      </c>
      <c r="L371" s="27">
        <f>Budgets[[#This Row],[2018 $ Value]]/VLOOKUP(Budgets[[#This Row],[Jurisdiction]],Places[],6,FALSE)</f>
        <v>36.35415686185096</v>
      </c>
      <c r="M371" s="27">
        <f>Budgets[[#This Row],[2018 $ Value]]/VLOOKUP(Budgets[[#This Row],[Jurisdiction]],Places[],7,FALSE)</f>
        <v>179129.04891062697</v>
      </c>
      <c r="N371" s="27"/>
      <c r="O371" s="27" t="s">
        <v>1460</v>
      </c>
      <c r="P371" s="4"/>
      <c r="Q371"/>
    </row>
    <row r="372" spans="1:17" x14ac:dyDescent="0.25">
      <c r="A372" s="19" t="s">
        <v>258</v>
      </c>
      <c r="B372" s="19" t="str">
        <f>INDEX(Places[Type],MATCH(Budgets[[#This Row],[Jurisdiction]],Places[Jurisdiction],0))</f>
        <v>City</v>
      </c>
      <c r="C372" s="19" t="str">
        <f>INDEX(Places[County],MATCH(Budgets[[#This Row],[Jurisdiction]],Places[Jurisdiction],0))</f>
        <v>Ventura</v>
      </c>
      <c r="D372" s="21" t="str">
        <f>INDEX(Places[Majority RB],MATCH(Budgets[[#This Row],[Jurisdiction]],Places[Jurisdiction],0))</f>
        <v>Los Angeles</v>
      </c>
      <c r="E372" s="19">
        <f>INDEX(Places[Majority RB '#],MATCH(Budgets[[#This Row],[Jurisdiction]],Places[Jurisdiction],0))</f>
        <v>4</v>
      </c>
      <c r="F372" s="19" t="str">
        <f>VLOOKUP(Budgets[[#This Row],[Jurisdiction]],Places[#All],8,FALSE)</f>
        <v>Phase I MS4</v>
      </c>
      <c r="G372" s="81"/>
      <c r="H372" s="21" t="s">
        <v>1871</v>
      </c>
      <c r="I372" s="21">
        <f>VALUE(LEFT(Budgets[[#This Row],[Fiscal Year]],4))</f>
        <v>2012</v>
      </c>
      <c r="J372" s="20">
        <v>519500</v>
      </c>
      <c r="K372" s="27">
        <f>IF(Budgets[[#This Row],[Reference Year]]&gt;2018,Budgets[[#This Row],[Value]],Budgets[[#This Row],[Value]]*(1+VLOOKUP(Budgets[[#This Row],[Reference Year]],Inflation[#All],3,FALSE)))</f>
        <v>569348.01611498254</v>
      </c>
      <c r="L372" s="27">
        <f>Budgets[[#This Row],[2018 $ Value]]/VLOOKUP(Budgets[[#This Row],[Jurisdiction]],Places[],6,FALSE)</f>
        <v>25.677536468451834</v>
      </c>
      <c r="M372" s="27">
        <f>Budgets[[#This Row],[2018 $ Value]]/VLOOKUP(Budgets[[#This Row],[Jurisdiction]],Places[],7,FALSE)</f>
        <v>126521.78135888501</v>
      </c>
      <c r="N372" s="27"/>
      <c r="O372" s="27" t="s">
        <v>1460</v>
      </c>
      <c r="P372" s="4"/>
      <c r="Q372"/>
    </row>
    <row r="373" spans="1:17" x14ac:dyDescent="0.25">
      <c r="A373" s="19" t="s">
        <v>258</v>
      </c>
      <c r="B373" s="19" t="str">
        <f>INDEX(Places[Type],MATCH(Budgets[[#This Row],[Jurisdiction]],Places[Jurisdiction],0))</f>
        <v>City</v>
      </c>
      <c r="C373" s="19" t="str">
        <f>INDEX(Places[County],MATCH(Budgets[[#This Row],[Jurisdiction]],Places[Jurisdiction],0))</f>
        <v>Ventura</v>
      </c>
      <c r="D373" s="21" t="str">
        <f>INDEX(Places[Majority RB],MATCH(Budgets[[#This Row],[Jurisdiction]],Places[Jurisdiction],0))</f>
        <v>Los Angeles</v>
      </c>
      <c r="E373" s="19">
        <f>INDEX(Places[Majority RB '#],MATCH(Budgets[[#This Row],[Jurisdiction]],Places[Jurisdiction],0))</f>
        <v>4</v>
      </c>
      <c r="F373" s="19" t="str">
        <f>VLOOKUP(Budgets[[#This Row],[Jurisdiction]],Places[#All],8,FALSE)</f>
        <v>Phase I MS4</v>
      </c>
      <c r="G373" s="81"/>
      <c r="H373" s="21" t="s">
        <v>1881</v>
      </c>
      <c r="I373" s="21">
        <f>VALUE(LEFT(Budgets[[#This Row],[Fiscal Year]],4))</f>
        <v>2014</v>
      </c>
      <c r="J373" s="20">
        <v>387884</v>
      </c>
      <c r="K373" s="27">
        <f>IF(Budgets[[#This Row],[Reference Year]]&gt;2018,Budgets[[#This Row],[Value]],Budgets[[#This Row],[Value]]*(1+VLOOKUP(Budgets[[#This Row],[Reference Year]],Inflation[#All],3,FALSE)))</f>
        <v>412351.6637262358</v>
      </c>
      <c r="L373" s="27">
        <f>Budgets[[#This Row],[2018 $ Value]]/VLOOKUP(Budgets[[#This Row],[Jurisdiction]],Places[],6,FALSE)</f>
        <v>18.597017260913535</v>
      </c>
      <c r="M373" s="27">
        <f>Budgets[[#This Row],[2018 $ Value]]/VLOOKUP(Budgets[[#This Row],[Jurisdiction]],Places[],7,FALSE)</f>
        <v>91633.70305027462</v>
      </c>
      <c r="N373" s="27"/>
      <c r="O373" s="27" t="s">
        <v>1460</v>
      </c>
      <c r="P373" s="4"/>
      <c r="Q373"/>
    </row>
    <row r="374" spans="1:17" x14ac:dyDescent="0.25">
      <c r="A374" s="19" t="s">
        <v>258</v>
      </c>
      <c r="B374" s="21" t="str">
        <f>INDEX(Places[Type],MATCH(Budgets[[#This Row],[Jurisdiction]],Places[Jurisdiction],0))</f>
        <v>City</v>
      </c>
      <c r="C374" s="21" t="str">
        <f>INDEX(Places[County],MATCH(Budgets[[#This Row],[Jurisdiction]],Places[Jurisdiction],0))</f>
        <v>Ventura</v>
      </c>
      <c r="D374" s="21" t="str">
        <f>INDEX(Places[Majority RB],MATCH(Budgets[[#This Row],[Jurisdiction]],Places[Jurisdiction],0))</f>
        <v>Los Angeles</v>
      </c>
      <c r="E374" s="19">
        <f>INDEX(Places[Majority RB '#],MATCH(Budgets[[#This Row],[Jurisdiction]],Places[Jurisdiction],0))</f>
        <v>4</v>
      </c>
      <c r="F374" s="21" t="str">
        <f>VLOOKUP(Budgets[[#This Row],[Jurisdiction]],Places[#All],8,FALSE)</f>
        <v>Phase I MS4</v>
      </c>
      <c r="G374" s="81"/>
      <c r="H374" s="21" t="s">
        <v>1876</v>
      </c>
      <c r="I374" s="21">
        <f>VALUE(LEFT(Budgets[[#This Row],[Fiscal Year]],4))</f>
        <v>2018</v>
      </c>
      <c r="J374" s="20">
        <v>241500</v>
      </c>
      <c r="K374" s="27">
        <f>IF(Budgets[[#This Row],[Reference Year]]&gt;2018,Budgets[[#This Row],[Value]],Budgets[[#This Row],[Value]]*(1+VLOOKUP(Budgets[[#This Row],[Reference Year]],Inflation[#All],3,FALSE)))</f>
        <v>241500</v>
      </c>
      <c r="L374" s="27">
        <f>Budgets[[#This Row],[2018 $ Value]]/VLOOKUP(Budgets[[#This Row],[Jurisdiction]],Places[],6,FALSE)</f>
        <v>10.891624949262617</v>
      </c>
      <c r="M374" s="27">
        <f>Budgets[[#This Row],[2018 $ Value]]/VLOOKUP(Budgets[[#This Row],[Jurisdiction]],Places[],7,FALSE)</f>
        <v>53666.666666666664</v>
      </c>
      <c r="N374" s="27" t="s">
        <v>1853</v>
      </c>
      <c r="O374" s="27" t="s">
        <v>1853</v>
      </c>
      <c r="P374" s="4"/>
      <c r="Q374"/>
    </row>
    <row r="375" spans="1:17" x14ac:dyDescent="0.25">
      <c r="A375" s="19" t="s">
        <v>309</v>
      </c>
      <c r="B375" s="19" t="str">
        <f>INDEX(Places[Type],MATCH(Budgets[[#This Row],[Jurisdiction]],Places[Jurisdiction],0))</f>
        <v>City</v>
      </c>
      <c r="C375" s="19" t="str">
        <f>INDEX(Places[County],MATCH(Budgets[[#This Row],[Jurisdiction]],Places[Jurisdiction],0))</f>
        <v>San Diego</v>
      </c>
      <c r="D375" s="21" t="str">
        <f>INDEX(Places[Majority RB],MATCH(Budgets[[#This Row],[Jurisdiction]],Places[Jurisdiction],0))</f>
        <v>San Diego</v>
      </c>
      <c r="E375" s="19">
        <f>INDEX(Places[Majority RB '#],MATCH(Budgets[[#This Row],[Jurisdiction]],Places[Jurisdiction],0))</f>
        <v>9</v>
      </c>
      <c r="F375" s="19" t="str">
        <f>VLOOKUP(Budgets[[#This Row],[Jurisdiction]],Places[#All],8,FALSE)</f>
        <v>Phase I MS4</v>
      </c>
      <c r="G375" s="81"/>
      <c r="H375" s="21" t="s">
        <v>1873</v>
      </c>
      <c r="I375" s="21">
        <f>VALUE(LEFT(Budgets[[#This Row],[Fiscal Year]],4))</f>
        <v>2015</v>
      </c>
      <c r="J375" s="20">
        <v>1899717</v>
      </c>
      <c r="K375" s="27">
        <f>IF(Budgets[[#This Row],[Reference Year]]&gt;2018,Budgets[[#This Row],[Value]],Budgets[[#This Row],[Value]]*(1+VLOOKUP(Budgets[[#This Row],[Reference Year]],Inflation[#All],3,FALSE)))</f>
        <v>2016994.4659367087</v>
      </c>
      <c r="L375" s="27">
        <f>Budgets[[#This Row],[2018 $ Value]]/VLOOKUP(Budgets[[#This Row],[Jurisdiction]],Places[],6,FALSE)</f>
        <v>40.580123650746593</v>
      </c>
      <c r="M375" s="27">
        <f>Budgets[[#This Row],[2018 $ Value]]/VLOOKUP(Budgets[[#This Row],[Jurisdiction]],Places[],7,FALSE)</f>
        <v>51585.536213215055</v>
      </c>
      <c r="N375" s="27"/>
      <c r="O375" s="27" t="s">
        <v>1460</v>
      </c>
      <c r="P375" s="4"/>
      <c r="Q375"/>
    </row>
    <row r="376" spans="1:17" x14ac:dyDescent="0.25">
      <c r="A376" s="19" t="s">
        <v>309</v>
      </c>
      <c r="B376" s="19" t="str">
        <f>INDEX(Places[Type],MATCH(Budgets[[#This Row],[Jurisdiction]],Places[Jurisdiction],0))</f>
        <v>City</v>
      </c>
      <c r="C376" s="19" t="str">
        <f>INDEX(Places[County],MATCH(Budgets[[#This Row],[Jurisdiction]],Places[Jurisdiction],0))</f>
        <v>San Diego</v>
      </c>
      <c r="D376" s="21" t="str">
        <f>INDEX(Places[Majority RB],MATCH(Budgets[[#This Row],[Jurisdiction]],Places[Jurisdiction],0))</f>
        <v>San Diego</v>
      </c>
      <c r="E376" s="19">
        <f>INDEX(Places[Majority RB '#],MATCH(Budgets[[#This Row],[Jurisdiction]],Places[Jurisdiction],0))</f>
        <v>9</v>
      </c>
      <c r="F376" s="19" t="str">
        <f>VLOOKUP(Budgets[[#This Row],[Jurisdiction]],Places[#All],8,FALSE)</f>
        <v>Phase I MS4</v>
      </c>
      <c r="G376" s="81"/>
      <c r="H376" s="21" t="s">
        <v>1869</v>
      </c>
      <c r="I376" s="21">
        <f>VALUE(LEFT(Budgets[[#This Row],[Fiscal Year]],4))</f>
        <v>2016</v>
      </c>
      <c r="J376" s="20">
        <v>1961629</v>
      </c>
      <c r="K376" s="27">
        <f>IF(Budgets[[#This Row],[Reference Year]]&gt;2018,Budgets[[#This Row],[Value]],Budgets[[#This Row],[Value]]*(1+VLOOKUP(Budgets[[#This Row],[Reference Year]],Inflation[#All],3,FALSE)))</f>
        <v>2056694.4454125001</v>
      </c>
      <c r="L376" s="27">
        <f>Budgets[[#This Row],[2018 $ Value]]/VLOOKUP(Budgets[[#This Row],[Jurisdiction]],Places[],6,FALSE)</f>
        <v>41.378851710375422</v>
      </c>
      <c r="M376" s="27">
        <f>Budgets[[#This Row],[2018 $ Value]]/VLOOKUP(Budgets[[#This Row],[Jurisdiction]],Places[],7,FALSE)</f>
        <v>52600.880956841429</v>
      </c>
      <c r="N376" s="27"/>
      <c r="O376" s="27" t="s">
        <v>1460</v>
      </c>
      <c r="P376" s="4"/>
      <c r="Q376"/>
    </row>
    <row r="377" spans="1:17" x14ac:dyDescent="0.25">
      <c r="A377" s="19" t="s">
        <v>309</v>
      </c>
      <c r="B377" s="19" t="str">
        <f>INDEX(Places[Type],MATCH(Budgets[[#This Row],[Jurisdiction]],Places[Jurisdiction],0))</f>
        <v>City</v>
      </c>
      <c r="C377" s="19" t="str">
        <f>INDEX(Places[County],MATCH(Budgets[[#This Row],[Jurisdiction]],Places[Jurisdiction],0))</f>
        <v>San Diego</v>
      </c>
      <c r="D377" s="21" t="str">
        <f>INDEX(Places[Majority RB],MATCH(Budgets[[#This Row],[Jurisdiction]],Places[Jurisdiction],0))</f>
        <v>San Diego</v>
      </c>
      <c r="E377" s="19">
        <f>INDEX(Places[Majority RB '#],MATCH(Budgets[[#This Row],[Jurisdiction]],Places[Jurisdiction],0))</f>
        <v>9</v>
      </c>
      <c r="F377" s="19" t="str">
        <f>VLOOKUP(Budgets[[#This Row],[Jurisdiction]],Places[#All],8,FALSE)</f>
        <v>Phase I MS4</v>
      </c>
      <c r="G377" s="81"/>
      <c r="H377" s="21" t="s">
        <v>1874</v>
      </c>
      <c r="I377" s="21">
        <f>VALUE(LEFT(Budgets[[#This Row],[Fiscal Year]],4))</f>
        <v>2017</v>
      </c>
      <c r="J377" s="20">
        <v>2010838</v>
      </c>
      <c r="K377" s="27">
        <f>IF(Budgets[[#This Row],[Reference Year]]&gt;2018,Budgets[[#This Row],[Value]],Budgets[[#This Row],[Value]]*(1+VLOOKUP(Budgets[[#This Row],[Reference Year]],Inflation[#All],3,FALSE)))</f>
        <v>2064419.3258996331</v>
      </c>
      <c r="L377" s="27">
        <f>Budgets[[#This Row],[2018 $ Value]]/VLOOKUP(Budgets[[#This Row],[Jurisdiction]],Places[],6,FALSE)</f>
        <v>41.534269392798024</v>
      </c>
      <c r="M377" s="27">
        <f>Budgets[[#This Row],[2018 $ Value]]/VLOOKUP(Budgets[[#This Row],[Jurisdiction]],Places[],7,FALSE)</f>
        <v>52798.448232727191</v>
      </c>
      <c r="N377" s="27" t="s">
        <v>1853</v>
      </c>
      <c r="O377" s="27" t="s">
        <v>1853</v>
      </c>
      <c r="P377" s="4"/>
      <c r="Q377"/>
    </row>
    <row r="378" spans="1:17" x14ac:dyDescent="0.25">
      <c r="A378" s="19" t="s">
        <v>1453</v>
      </c>
      <c r="B378" s="19" t="str">
        <f>INDEX(Places[Type],MATCH(Budgets[[#This Row],[Jurisdiction]],Places[Jurisdiction],0))</f>
        <v>FCD</v>
      </c>
      <c r="C378" s="19" t="str">
        <f>INDEX(Places[County],MATCH(Budgets[[#This Row],[Jurisdiction]],Places[Jurisdiction],0))</f>
        <v>Ventura</v>
      </c>
      <c r="D378" s="21" t="str">
        <f>INDEX(Places[Majority RB],MATCH(Budgets[[#This Row],[Jurisdiction]],Places[Jurisdiction],0))</f>
        <v>Los Angeles</v>
      </c>
      <c r="E378" s="19">
        <f>INDEX(Places[Majority RB '#],MATCH(Budgets[[#This Row],[Jurisdiction]],Places[Jurisdiction],0))</f>
        <v>4</v>
      </c>
      <c r="F378" s="19" t="str">
        <f>VLOOKUP(Budgets[[#This Row],[Jurisdiction]],Places[#All],8,FALSE)</f>
        <v>Phase I MS4</v>
      </c>
      <c r="G378" s="81"/>
      <c r="H378" s="21" t="s">
        <v>1882</v>
      </c>
      <c r="I378" s="21">
        <f>VALUE(LEFT(Budgets[[#This Row],[Fiscal Year]],4))</f>
        <v>2005</v>
      </c>
      <c r="J378" s="20">
        <v>1514838</v>
      </c>
      <c r="K378" s="27">
        <f>IF(Budgets[[#This Row],[Reference Year]]&gt;2018,Budgets[[#This Row],[Value]],Budgets[[#This Row],[Value]]*(1+VLOOKUP(Budgets[[#This Row],[Reference Year]],Inflation[#All],3,FALSE)))</f>
        <v>1951767.5411059908</v>
      </c>
      <c r="L378" s="27" t="e">
        <f>Budgets[[#This Row],[2018 $ Value]]/VLOOKUP(Budgets[[#This Row],[Jurisdiction]],Places[],6,FALSE)</f>
        <v>#N/A</v>
      </c>
      <c r="M378" s="27" t="e">
        <f>Budgets[[#This Row],[2018 $ Value]]/VLOOKUP(Budgets[[#This Row],[Jurisdiction]],Places[],7,FALSE)</f>
        <v>#N/A</v>
      </c>
      <c r="N378" s="27"/>
      <c r="O378" s="27" t="s">
        <v>1460</v>
      </c>
      <c r="P378" s="4"/>
      <c r="Q378"/>
    </row>
    <row r="379" spans="1:17" x14ac:dyDescent="0.25">
      <c r="A379" s="19" t="s">
        <v>1453</v>
      </c>
      <c r="B379" s="19" t="str">
        <f>INDEX(Places[Type],MATCH(Budgets[[#This Row],[Jurisdiction]],Places[Jurisdiction],0))</f>
        <v>FCD</v>
      </c>
      <c r="C379" s="19" t="str">
        <f>INDEX(Places[County],MATCH(Budgets[[#This Row],[Jurisdiction]],Places[Jurisdiction],0))</f>
        <v>Ventura</v>
      </c>
      <c r="D379" s="21" t="str">
        <f>INDEX(Places[Majority RB],MATCH(Budgets[[#This Row],[Jurisdiction]],Places[Jurisdiction],0))</f>
        <v>Los Angeles</v>
      </c>
      <c r="E379" s="19">
        <f>INDEX(Places[Majority RB '#],MATCH(Budgets[[#This Row],[Jurisdiction]],Places[Jurisdiction],0))</f>
        <v>4</v>
      </c>
      <c r="F379" s="19" t="str">
        <f>VLOOKUP(Budgets[[#This Row],[Jurisdiction]],Places[#All],8,FALSE)</f>
        <v>Phase I MS4</v>
      </c>
      <c r="G379" s="81"/>
      <c r="H379" s="21" t="s">
        <v>1883</v>
      </c>
      <c r="I379" s="21">
        <f>VALUE(LEFT(Budgets[[#This Row],[Fiscal Year]],4))</f>
        <v>2006</v>
      </c>
      <c r="J379" s="20">
        <v>1432675</v>
      </c>
      <c r="K379" s="27">
        <f>IF(Budgets[[#This Row],[Reference Year]]&gt;2018,Budgets[[#This Row],[Value]],Budgets[[#This Row],[Value]]*(1+VLOOKUP(Budgets[[#This Row],[Reference Year]],Inflation[#All],3,FALSE)))</f>
        <v>1788221.4430803573</v>
      </c>
      <c r="L379" s="27" t="e">
        <f>Budgets[[#This Row],[2018 $ Value]]/VLOOKUP(Budgets[[#This Row],[Jurisdiction]],Places[],6,FALSE)</f>
        <v>#N/A</v>
      </c>
      <c r="M379" s="27" t="e">
        <f>Budgets[[#This Row],[2018 $ Value]]/VLOOKUP(Budgets[[#This Row],[Jurisdiction]],Places[],7,FALSE)</f>
        <v>#N/A</v>
      </c>
      <c r="N379" s="27"/>
      <c r="O379" s="27" t="s">
        <v>1460</v>
      </c>
      <c r="P379" s="4"/>
      <c r="Q379"/>
    </row>
    <row r="380" spans="1:17" x14ac:dyDescent="0.25">
      <c r="A380" s="19" t="s">
        <v>1453</v>
      </c>
      <c r="B380" s="19" t="str">
        <f>INDEX(Places[Type],MATCH(Budgets[[#This Row],[Jurisdiction]],Places[Jurisdiction],0))</f>
        <v>FCD</v>
      </c>
      <c r="C380" s="19" t="str">
        <f>INDEX(Places[County],MATCH(Budgets[[#This Row],[Jurisdiction]],Places[Jurisdiction],0))</f>
        <v>Ventura</v>
      </c>
      <c r="D380" s="21" t="str">
        <f>INDEX(Places[Majority RB],MATCH(Budgets[[#This Row],[Jurisdiction]],Places[Jurisdiction],0))</f>
        <v>Los Angeles</v>
      </c>
      <c r="E380" s="19">
        <f>INDEX(Places[Majority RB '#],MATCH(Budgets[[#This Row],[Jurisdiction]],Places[Jurisdiction],0))</f>
        <v>4</v>
      </c>
      <c r="F380" s="19" t="str">
        <f>VLOOKUP(Budgets[[#This Row],[Jurisdiction]],Places[#All],8,FALSE)</f>
        <v>Phase I MS4</v>
      </c>
      <c r="G380" s="81"/>
      <c r="H380" s="21" t="s">
        <v>1884</v>
      </c>
      <c r="I380" s="21">
        <f>VALUE(LEFT(Budgets[[#This Row],[Fiscal Year]],4))</f>
        <v>2008</v>
      </c>
      <c r="J380" s="20">
        <v>1425197</v>
      </c>
      <c r="K380" s="27">
        <f>IF(Budgets[[#This Row],[Reference Year]]&gt;2018,Budgets[[#This Row],[Value]],Budgets[[#This Row],[Value]]*(1+VLOOKUP(Budgets[[#This Row],[Reference Year]],Inflation[#All],3,FALSE)))</f>
        <v>1665693.2016117044</v>
      </c>
      <c r="L380" s="27" t="e">
        <f>Budgets[[#This Row],[2018 $ Value]]/VLOOKUP(Budgets[[#This Row],[Jurisdiction]],Places[],6,FALSE)</f>
        <v>#N/A</v>
      </c>
      <c r="M380" s="27" t="e">
        <f>Budgets[[#This Row],[2018 $ Value]]/VLOOKUP(Budgets[[#This Row],[Jurisdiction]],Places[],7,FALSE)</f>
        <v>#N/A</v>
      </c>
      <c r="N380" s="27"/>
      <c r="O380" s="27" t="s">
        <v>1460</v>
      </c>
      <c r="P380" s="4"/>
      <c r="Q380"/>
    </row>
    <row r="381" spans="1:17" x14ac:dyDescent="0.25">
      <c r="A381" s="19" t="s">
        <v>1453</v>
      </c>
      <c r="B381" s="19" t="str">
        <f>INDEX(Places[Type],MATCH(Budgets[[#This Row],[Jurisdiction]],Places[Jurisdiction],0))</f>
        <v>FCD</v>
      </c>
      <c r="C381" s="19" t="str">
        <f>INDEX(Places[County],MATCH(Budgets[[#This Row],[Jurisdiction]],Places[Jurisdiction],0))</f>
        <v>Ventura</v>
      </c>
      <c r="D381" s="21" t="str">
        <f>INDEX(Places[Majority RB],MATCH(Budgets[[#This Row],[Jurisdiction]],Places[Jurisdiction],0))</f>
        <v>Los Angeles</v>
      </c>
      <c r="E381" s="19">
        <f>INDEX(Places[Majority RB '#],MATCH(Budgets[[#This Row],[Jurisdiction]],Places[Jurisdiction],0))</f>
        <v>4</v>
      </c>
      <c r="F381" s="19" t="str">
        <f>VLOOKUP(Budgets[[#This Row],[Jurisdiction]],Places[#All],8,FALSE)</f>
        <v>Phase I MS4</v>
      </c>
      <c r="G381" s="81"/>
      <c r="H381" s="21" t="s">
        <v>1885</v>
      </c>
      <c r="I381" s="21">
        <f>VALUE(LEFT(Budgets[[#This Row],[Fiscal Year]],4))</f>
        <v>2010</v>
      </c>
      <c r="J381" s="20">
        <v>2263795</v>
      </c>
      <c r="K381" s="27">
        <f>IF(Budgets[[#This Row],[Reference Year]]&gt;2018,Budgets[[#This Row],[Value]],Budgets[[#This Row],[Value]]*(1+VLOOKUP(Budgets[[#This Row],[Reference Year]],Inflation[#All],3,FALSE)))</f>
        <v>2611834.0194635489</v>
      </c>
      <c r="L381" s="27" t="e">
        <f>Budgets[[#This Row],[2018 $ Value]]/VLOOKUP(Budgets[[#This Row],[Jurisdiction]],Places[],6,FALSE)</f>
        <v>#N/A</v>
      </c>
      <c r="M381" s="27" t="e">
        <f>Budgets[[#This Row],[2018 $ Value]]/VLOOKUP(Budgets[[#This Row],[Jurisdiction]],Places[],7,FALSE)</f>
        <v>#N/A</v>
      </c>
      <c r="N381" s="27"/>
      <c r="O381" s="27" t="s">
        <v>1460</v>
      </c>
      <c r="P381" s="4"/>
      <c r="Q381"/>
    </row>
    <row r="382" spans="1:17" x14ac:dyDescent="0.25">
      <c r="A382" s="19" t="s">
        <v>1453</v>
      </c>
      <c r="B382" s="19" t="str">
        <f>INDEX(Places[Type],MATCH(Budgets[[#This Row],[Jurisdiction]],Places[Jurisdiction],0))</f>
        <v>FCD</v>
      </c>
      <c r="C382" s="19" t="str">
        <f>INDEX(Places[County],MATCH(Budgets[[#This Row],[Jurisdiction]],Places[Jurisdiction],0))</f>
        <v>Ventura</v>
      </c>
      <c r="D382" s="21" t="str">
        <f>INDEX(Places[Majority RB],MATCH(Budgets[[#This Row],[Jurisdiction]],Places[Jurisdiction],0))</f>
        <v>Los Angeles</v>
      </c>
      <c r="E382" s="19">
        <f>INDEX(Places[Majority RB '#],MATCH(Budgets[[#This Row],[Jurisdiction]],Places[Jurisdiction],0))</f>
        <v>4</v>
      </c>
      <c r="F382" s="19" t="str">
        <f>VLOOKUP(Budgets[[#This Row],[Jurisdiction]],Places[#All],8,FALSE)</f>
        <v>Phase I MS4</v>
      </c>
      <c r="G382" s="81"/>
      <c r="H382" s="21" t="s">
        <v>1870</v>
      </c>
      <c r="I382" s="21">
        <f>VALUE(LEFT(Budgets[[#This Row],[Fiscal Year]],4))</f>
        <v>2011</v>
      </c>
      <c r="J382" s="20">
        <v>2263795</v>
      </c>
      <c r="K382" s="27">
        <f>IF(Budgets[[#This Row],[Reference Year]]&gt;2018,Budgets[[#This Row],[Value]],Budgets[[#This Row],[Value]]*(1+VLOOKUP(Budgets[[#This Row],[Reference Year]],Inflation[#All],3,FALSE)))</f>
        <v>2532863.4933081372</v>
      </c>
      <c r="L382" s="27" t="e">
        <f>Budgets[[#This Row],[2018 $ Value]]/VLOOKUP(Budgets[[#This Row],[Jurisdiction]],Places[],6,FALSE)</f>
        <v>#N/A</v>
      </c>
      <c r="M382" s="27" t="e">
        <f>Budgets[[#This Row],[2018 $ Value]]/VLOOKUP(Budgets[[#This Row],[Jurisdiction]],Places[],7,FALSE)</f>
        <v>#N/A</v>
      </c>
      <c r="N382" s="27"/>
      <c r="O382" s="27" t="s">
        <v>1460</v>
      </c>
      <c r="P382" s="4"/>
      <c r="Q382"/>
    </row>
    <row r="383" spans="1:17" x14ac:dyDescent="0.25">
      <c r="A383" s="19" t="s">
        <v>1453</v>
      </c>
      <c r="B383" s="19" t="str">
        <f>INDEX(Places[Type],MATCH(Budgets[[#This Row],[Jurisdiction]],Places[Jurisdiction],0))</f>
        <v>FCD</v>
      </c>
      <c r="C383" s="19" t="str">
        <f>INDEX(Places[County],MATCH(Budgets[[#This Row],[Jurisdiction]],Places[Jurisdiction],0))</f>
        <v>Ventura</v>
      </c>
      <c r="D383" s="21" t="str">
        <f>INDEX(Places[Majority RB],MATCH(Budgets[[#This Row],[Jurisdiction]],Places[Jurisdiction],0))</f>
        <v>Los Angeles</v>
      </c>
      <c r="E383" s="19">
        <f>INDEX(Places[Majority RB '#],MATCH(Budgets[[#This Row],[Jurisdiction]],Places[Jurisdiction],0))</f>
        <v>4</v>
      </c>
      <c r="F383" s="19" t="str">
        <f>VLOOKUP(Budgets[[#This Row],[Jurisdiction]],Places[#All],8,FALSE)</f>
        <v>Phase I MS4</v>
      </c>
      <c r="G383" s="81"/>
      <c r="H383" s="21" t="s">
        <v>1871</v>
      </c>
      <c r="I383" s="21">
        <f>VALUE(LEFT(Budgets[[#This Row],[Fiscal Year]],4))</f>
        <v>2012</v>
      </c>
      <c r="J383" s="20">
        <v>1987363</v>
      </c>
      <c r="K383" s="27">
        <f>IF(Budgets[[#This Row],[Reference Year]]&gt;2018,Budgets[[#This Row],[Value]],Budgets[[#This Row],[Value]]*(1+VLOOKUP(Budgets[[#This Row],[Reference Year]],Inflation[#All],3,FALSE)))</f>
        <v>2178058.0969207319</v>
      </c>
      <c r="L383" s="27" t="e">
        <f>Budgets[[#This Row],[2018 $ Value]]/VLOOKUP(Budgets[[#This Row],[Jurisdiction]],Places[],6,FALSE)</f>
        <v>#N/A</v>
      </c>
      <c r="M383" s="27" t="e">
        <f>Budgets[[#This Row],[2018 $ Value]]/VLOOKUP(Budgets[[#This Row],[Jurisdiction]],Places[],7,FALSE)</f>
        <v>#N/A</v>
      </c>
      <c r="N383" s="27"/>
      <c r="O383" s="27" t="s">
        <v>1460</v>
      </c>
      <c r="P383" s="4"/>
      <c r="Q383"/>
    </row>
    <row r="384" spans="1:17" x14ac:dyDescent="0.25">
      <c r="A384" s="19" t="s">
        <v>1453</v>
      </c>
      <c r="B384" s="19" t="str">
        <f>INDEX(Places[Type],MATCH(Budgets[[#This Row],[Jurisdiction]],Places[Jurisdiction],0))</f>
        <v>FCD</v>
      </c>
      <c r="C384" s="19" t="str">
        <f>INDEX(Places[County],MATCH(Budgets[[#This Row],[Jurisdiction]],Places[Jurisdiction],0))</f>
        <v>Ventura</v>
      </c>
      <c r="D384" s="21" t="str">
        <f>INDEX(Places[Majority RB],MATCH(Budgets[[#This Row],[Jurisdiction]],Places[Jurisdiction],0))</f>
        <v>Los Angeles</v>
      </c>
      <c r="E384" s="19">
        <f>INDEX(Places[Majority RB '#],MATCH(Budgets[[#This Row],[Jurisdiction]],Places[Jurisdiction],0))</f>
        <v>4</v>
      </c>
      <c r="F384" s="19" t="str">
        <f>VLOOKUP(Budgets[[#This Row],[Jurisdiction]],Places[#All],8,FALSE)</f>
        <v>Phase I MS4</v>
      </c>
      <c r="G384" s="81"/>
      <c r="H384" s="21" t="s">
        <v>1881</v>
      </c>
      <c r="I384" s="21">
        <f>VALUE(LEFT(Budgets[[#This Row],[Fiscal Year]],4))</f>
        <v>2014</v>
      </c>
      <c r="J384" s="20">
        <v>1936408</v>
      </c>
      <c r="K384" s="27">
        <f>IF(Budgets[[#This Row],[Reference Year]]&gt;2018,Budgets[[#This Row],[Value]],Budgets[[#This Row],[Value]]*(1+VLOOKUP(Budgets[[#This Row],[Reference Year]],Inflation[#All],3,FALSE)))</f>
        <v>2058556.3221292777</v>
      </c>
      <c r="L384" s="27" t="e">
        <f>Budgets[[#This Row],[2018 $ Value]]/VLOOKUP(Budgets[[#This Row],[Jurisdiction]],Places[],6,FALSE)</f>
        <v>#N/A</v>
      </c>
      <c r="M384" s="27" t="e">
        <f>Budgets[[#This Row],[2018 $ Value]]/VLOOKUP(Budgets[[#This Row],[Jurisdiction]],Places[],7,FALSE)</f>
        <v>#N/A</v>
      </c>
      <c r="N384" s="27"/>
      <c r="O384" s="27" t="s">
        <v>1460</v>
      </c>
      <c r="P384" s="4"/>
      <c r="Q384"/>
    </row>
    <row r="385" spans="1:17" x14ac:dyDescent="0.25">
      <c r="A385" s="19" t="s">
        <v>1453</v>
      </c>
      <c r="B385" s="19" t="str">
        <f>INDEX(Places[Type],MATCH(Budgets[[#This Row],[Jurisdiction]],Places[Jurisdiction],0))</f>
        <v>FCD</v>
      </c>
      <c r="C385" s="19" t="str">
        <f>INDEX(Places[County],MATCH(Budgets[[#This Row],[Jurisdiction]],Places[Jurisdiction],0))</f>
        <v>Ventura</v>
      </c>
      <c r="D385" s="21" t="str">
        <f>INDEX(Places[Majority RB],MATCH(Budgets[[#This Row],[Jurisdiction]],Places[Jurisdiction],0))</f>
        <v>Los Angeles</v>
      </c>
      <c r="E385" s="19">
        <f>INDEX(Places[Majority RB '#],MATCH(Budgets[[#This Row],[Jurisdiction]],Places[Jurisdiction],0))</f>
        <v>4</v>
      </c>
      <c r="F385" s="19" t="str">
        <f>VLOOKUP(Budgets[[#This Row],[Jurisdiction]],Places[#All],8,FALSE)</f>
        <v>Phase I MS4</v>
      </c>
      <c r="G385" s="81"/>
      <c r="H385" s="21" t="s">
        <v>1876</v>
      </c>
      <c r="I385" s="21">
        <f>VALUE(LEFT(Budgets[[#This Row],[Fiscal Year]],4))</f>
        <v>2018</v>
      </c>
      <c r="J385" s="20">
        <v>1999903</v>
      </c>
      <c r="K385" s="27">
        <f>IF(Budgets[[#This Row],[Reference Year]]&gt;2018,Budgets[[#This Row],[Value]],Budgets[[#This Row],[Value]]*(1+VLOOKUP(Budgets[[#This Row],[Reference Year]],Inflation[#All],3,FALSE)))</f>
        <v>1999903</v>
      </c>
      <c r="L385" s="27" t="e">
        <f>Budgets[[#This Row],[2018 $ Value]]/VLOOKUP(Budgets[[#This Row],[Jurisdiction]],Places[],6,FALSE)</f>
        <v>#N/A</v>
      </c>
      <c r="M385" s="27" t="e">
        <f>Budgets[[#This Row],[2018 $ Value]]/VLOOKUP(Budgets[[#This Row],[Jurisdiction]],Places[],7,FALSE)</f>
        <v>#N/A</v>
      </c>
      <c r="N385" s="27"/>
      <c r="O385" s="27" t="s">
        <v>1853</v>
      </c>
      <c r="P385" s="4"/>
      <c r="Q385"/>
    </row>
    <row r="386" spans="1:17" x14ac:dyDescent="0.25">
      <c r="A386" s="19" t="s">
        <v>140</v>
      </c>
      <c r="B386" s="19" t="str">
        <f>INDEX(Places[Type],MATCH(Budgets[[#This Row],[Jurisdiction]],Places[Jurisdiction],0))</f>
        <v>City</v>
      </c>
      <c r="C386" s="19" t="str">
        <f>INDEX(Places[County],MATCH(Budgets[[#This Row],[Jurisdiction]],Places[Jurisdiction],0))</f>
        <v>Sacramento</v>
      </c>
      <c r="D386" s="21" t="str">
        <f>INDEX(Places[Majority RB],MATCH(Budgets[[#This Row],[Jurisdiction]],Places[Jurisdiction],0))</f>
        <v>Central Valley</v>
      </c>
      <c r="E386" s="19">
        <f>INDEX(Places[Majority RB '#],MATCH(Budgets[[#This Row],[Jurisdiction]],Places[Jurisdiction],0))</f>
        <v>5</v>
      </c>
      <c r="F386" s="19" t="str">
        <f>VLOOKUP(Budgets[[#This Row],[Jurisdiction]],Places[#All],8,FALSE)</f>
        <v>Phase I MS4</v>
      </c>
      <c r="G386" s="81"/>
      <c r="H386" s="21" t="s">
        <v>1870</v>
      </c>
      <c r="I386" s="21">
        <f>VALUE(LEFT(Budgets[[#This Row],[Fiscal Year]],4))</f>
        <v>2011</v>
      </c>
      <c r="J386" s="20">
        <v>3039808</v>
      </c>
      <c r="K386" s="27">
        <f>IF(Budgets[[#This Row],[Reference Year]]&gt;2018,Budgets[[#This Row],[Value]],Budgets[[#This Row],[Value]]*(1+VLOOKUP(Budgets[[#This Row],[Reference Year]],Inflation[#All],3,FALSE)))</f>
        <v>3401111.2798932861</v>
      </c>
      <c r="L386" s="27">
        <f>Budgets[[#This Row],[2018 $ Value]]/VLOOKUP(Budgets[[#This Row],[Jurisdiction]],Places[],6,FALSE)</f>
        <v>45.600473015931968</v>
      </c>
      <c r="M386" s="27">
        <f>Budgets[[#This Row],[2018 $ Value]]/VLOOKUP(Budgets[[#This Row],[Jurisdiction]],Places[],7,FALSE)</f>
        <v>97453.045269148599</v>
      </c>
      <c r="N386" s="27"/>
      <c r="O386" s="27" t="s">
        <v>1460</v>
      </c>
      <c r="P386" s="4"/>
      <c r="Q386"/>
    </row>
    <row r="387" spans="1:17" x14ac:dyDescent="0.25">
      <c r="A387" s="19" t="s">
        <v>140</v>
      </c>
      <c r="B387" s="19" t="str">
        <f>INDEX(Places[Type],MATCH(Budgets[[#This Row],[Jurisdiction]],Places[Jurisdiction],0))</f>
        <v>City</v>
      </c>
      <c r="C387" s="19" t="str">
        <f>INDEX(Places[County],MATCH(Budgets[[#This Row],[Jurisdiction]],Places[Jurisdiction],0))</f>
        <v>Sacramento</v>
      </c>
      <c r="D387" s="21" t="str">
        <f>INDEX(Places[Majority RB],MATCH(Budgets[[#This Row],[Jurisdiction]],Places[Jurisdiction],0))</f>
        <v>Central Valley</v>
      </c>
      <c r="E387" s="19">
        <f>INDEX(Places[Majority RB '#],MATCH(Budgets[[#This Row],[Jurisdiction]],Places[Jurisdiction],0))</f>
        <v>5</v>
      </c>
      <c r="F387" s="19" t="str">
        <f>VLOOKUP(Budgets[[#This Row],[Jurisdiction]],Places[#All],8,FALSE)</f>
        <v>Phase I MS4</v>
      </c>
      <c r="G387" s="81"/>
      <c r="H387" s="21" t="s">
        <v>1871</v>
      </c>
      <c r="I387" s="21">
        <f>VALUE(LEFT(Budgets[[#This Row],[Fiscal Year]],4))</f>
        <v>2012</v>
      </c>
      <c r="J387" s="20">
        <v>3301291</v>
      </c>
      <c r="K387" s="27">
        <f>IF(Budgets[[#This Row],[Reference Year]]&gt;2018,Budgets[[#This Row],[Value]],Budgets[[#This Row],[Value]]*(1+VLOOKUP(Budgets[[#This Row],[Reference Year]],Inflation[#All],3,FALSE)))</f>
        <v>3618062.5244817073</v>
      </c>
      <c r="L387" s="27">
        <f>Budgets[[#This Row],[2018 $ Value]]/VLOOKUP(Budgets[[#This Row],[Jurisdiction]],Places[],6,FALSE)</f>
        <v>48.50925151815656</v>
      </c>
      <c r="M387" s="27">
        <f>Budgets[[#This Row],[2018 $ Value]]/VLOOKUP(Budgets[[#This Row],[Jurisdiction]],Places[],7,FALSE)</f>
        <v>103669.41330893144</v>
      </c>
      <c r="N387" s="27"/>
      <c r="O387" s="27" t="s">
        <v>1460</v>
      </c>
      <c r="P387" s="4"/>
      <c r="Q387"/>
    </row>
    <row r="388" spans="1:17" x14ac:dyDescent="0.25">
      <c r="A388" s="19" t="s">
        <v>140</v>
      </c>
      <c r="B388" s="19" t="str">
        <f>INDEX(Places[Type],MATCH(Budgets[[#This Row],[Jurisdiction]],Places[Jurisdiction],0))</f>
        <v>City</v>
      </c>
      <c r="C388" s="19" t="str">
        <f>INDEX(Places[County],MATCH(Budgets[[#This Row],[Jurisdiction]],Places[Jurisdiction],0))</f>
        <v>Sacramento</v>
      </c>
      <c r="D388" s="21" t="str">
        <f>INDEX(Places[Majority RB],MATCH(Budgets[[#This Row],[Jurisdiction]],Places[Jurisdiction],0))</f>
        <v>Central Valley</v>
      </c>
      <c r="E388" s="19">
        <f>INDEX(Places[Majority RB '#],MATCH(Budgets[[#This Row],[Jurisdiction]],Places[Jurisdiction],0))</f>
        <v>5</v>
      </c>
      <c r="F388" s="19" t="str">
        <f>VLOOKUP(Budgets[[#This Row],[Jurisdiction]],Places[#All],8,FALSE)</f>
        <v>Phase I MS4</v>
      </c>
      <c r="G388" s="81"/>
      <c r="H388" s="21" t="s">
        <v>1880</v>
      </c>
      <c r="I388" s="21">
        <f>VALUE(LEFT(Budgets[[#This Row],[Fiscal Year]],4))</f>
        <v>2013</v>
      </c>
      <c r="J388" s="20">
        <v>2931914</v>
      </c>
      <c r="K388" s="27">
        <f>IF(Budgets[[#This Row],[Reference Year]]&gt;2018,Budgets[[#This Row],[Value]],Budgets[[#This Row],[Value]]*(1+VLOOKUP(Budgets[[#This Row],[Reference Year]],Inflation[#All],3,FALSE)))</f>
        <v>3166353.8701030044</v>
      </c>
      <c r="L388" s="27">
        <f>Budgets[[#This Row],[2018 $ Value]]/VLOOKUP(Budgets[[#This Row],[Jurisdiction]],Places[],6,FALSE)</f>
        <v>42.452957968800753</v>
      </c>
      <c r="M388" s="27">
        <f>Budgets[[#This Row],[2018 $ Value]]/VLOOKUP(Budgets[[#This Row],[Jurisdiction]],Places[],7,FALSE)</f>
        <v>90726.471922722194</v>
      </c>
      <c r="N388" s="27"/>
      <c r="O388" s="27" t="s">
        <v>1460</v>
      </c>
      <c r="P388" s="4"/>
      <c r="Q388"/>
    </row>
    <row r="389" spans="1:17" x14ac:dyDescent="0.25">
      <c r="A389" s="19" t="s">
        <v>140</v>
      </c>
      <c r="B389" s="19" t="str">
        <f>INDEX(Places[Type],MATCH(Budgets[[#This Row],[Jurisdiction]],Places[Jurisdiction],0))</f>
        <v>City</v>
      </c>
      <c r="C389" s="19" t="str">
        <f>INDEX(Places[County],MATCH(Budgets[[#This Row],[Jurisdiction]],Places[Jurisdiction],0))</f>
        <v>Sacramento</v>
      </c>
      <c r="D389" s="21" t="str">
        <f>INDEX(Places[Majority RB],MATCH(Budgets[[#This Row],[Jurisdiction]],Places[Jurisdiction],0))</f>
        <v>Central Valley</v>
      </c>
      <c r="E389" s="19">
        <f>INDEX(Places[Majority RB '#],MATCH(Budgets[[#This Row],[Jurisdiction]],Places[Jurisdiction],0))</f>
        <v>5</v>
      </c>
      <c r="F389" s="19" t="str">
        <f>VLOOKUP(Budgets[[#This Row],[Jurisdiction]],Places[#All],8,FALSE)</f>
        <v>Phase I MS4</v>
      </c>
      <c r="G389" s="81"/>
      <c r="H389" s="21" t="s">
        <v>1881</v>
      </c>
      <c r="I389" s="21">
        <f>VALUE(LEFT(Budgets[[#This Row],[Fiscal Year]],4))</f>
        <v>2014</v>
      </c>
      <c r="J389" s="20">
        <v>4018163</v>
      </c>
      <c r="K389" s="27">
        <f>IF(Budgets[[#This Row],[Reference Year]]&gt;2018,Budgets[[#This Row],[Value]],Budgets[[#This Row],[Value]]*(1+VLOOKUP(Budgets[[#This Row],[Reference Year]],Inflation[#All],3,FALSE)))</f>
        <v>4271628.1109125474</v>
      </c>
      <c r="L389" s="27">
        <f>Budgets[[#This Row],[2018 $ Value]]/VLOOKUP(Budgets[[#This Row],[Jurisdiction]],Places[],6,FALSE)</f>
        <v>57.271946248073306</v>
      </c>
      <c r="M389" s="27">
        <f>Budgets[[#This Row],[2018 $ Value]]/VLOOKUP(Budgets[[#This Row],[Jurisdiction]],Places[],7,FALSE)</f>
        <v>122396.22094305295</v>
      </c>
      <c r="N389" s="27"/>
      <c r="O389" s="27" t="s">
        <v>1460</v>
      </c>
      <c r="P389" s="4"/>
      <c r="Q389"/>
    </row>
    <row r="390" spans="1:17" x14ac:dyDescent="0.25">
      <c r="A390" s="19" t="s">
        <v>140</v>
      </c>
      <c r="B390" s="19" t="str">
        <f>INDEX(Places[Type],MATCH(Budgets[[#This Row],[Jurisdiction]],Places[Jurisdiction],0))</f>
        <v>City</v>
      </c>
      <c r="C390" s="19" t="str">
        <f>INDEX(Places[County],MATCH(Budgets[[#This Row],[Jurisdiction]],Places[Jurisdiction],0))</f>
        <v>Sacramento</v>
      </c>
      <c r="D390" s="21" t="str">
        <f>INDEX(Places[Majority RB],MATCH(Budgets[[#This Row],[Jurisdiction]],Places[Jurisdiction],0))</f>
        <v>Central Valley</v>
      </c>
      <c r="E390" s="19">
        <f>INDEX(Places[Majority RB '#],MATCH(Budgets[[#This Row],[Jurisdiction]],Places[Jurisdiction],0))</f>
        <v>5</v>
      </c>
      <c r="F390" s="19" t="str">
        <f>VLOOKUP(Budgets[[#This Row],[Jurisdiction]],Places[#All],8,FALSE)</f>
        <v>Phase I MS4</v>
      </c>
      <c r="G390" s="81" t="s">
        <v>1858</v>
      </c>
      <c r="H390" s="21" t="s">
        <v>1874</v>
      </c>
      <c r="I390" s="21">
        <f>VALUE(LEFT(Budgets[[#This Row],[Fiscal Year]],4))</f>
        <v>2017</v>
      </c>
      <c r="J390" s="20">
        <v>2588400</v>
      </c>
      <c r="K390" s="27">
        <f>IF(Budgets[[#This Row],[Reference Year]]&gt;2018,Budgets[[#This Row],[Value]],Budgets[[#This Row],[Value]]*(1+VLOOKUP(Budgets[[#This Row],[Reference Year]],Inflation[#All],3,FALSE)))</f>
        <v>2657371.1970624239</v>
      </c>
      <c r="L390" s="27">
        <f>Budgets[[#This Row],[2018 $ Value]]/VLOOKUP(Budgets[[#This Row],[Jurisdiction]],Places[],6,FALSE)</f>
        <v>35.628761775992814</v>
      </c>
      <c r="M390" s="27">
        <f>Budgets[[#This Row],[2018 $ Value]]/VLOOKUP(Budgets[[#This Row],[Jurisdiction]],Places[],7,FALSE)</f>
        <v>76142.44117657376</v>
      </c>
      <c r="N390" s="27"/>
      <c r="O390" s="27" t="s">
        <v>1853</v>
      </c>
      <c r="P390" s="4"/>
      <c r="Q390"/>
    </row>
    <row r="391" spans="1:17" x14ac:dyDescent="0.25">
      <c r="A391" s="19" t="s">
        <v>248</v>
      </c>
      <c r="B391" s="19" t="str">
        <f>INDEX(Places[Type],MATCH(Budgets[[#This Row],[Jurisdiction]],Places[Jurisdiction],0))</f>
        <v>City</v>
      </c>
      <c r="C391" s="19" t="str">
        <f>INDEX(Places[County],MATCH(Budgets[[#This Row],[Jurisdiction]],Places[Jurisdiction],0))</f>
        <v>San Bernardino</v>
      </c>
      <c r="D391" s="21" t="str">
        <f>INDEX(Places[Majority RB],MATCH(Budgets[[#This Row],[Jurisdiction]],Places[Jurisdiction],0))</f>
        <v>Santa Ana</v>
      </c>
      <c r="E391" s="19">
        <f>INDEX(Places[Majority RB '#],MATCH(Budgets[[#This Row],[Jurisdiction]],Places[Jurisdiction],0))</f>
        <v>8</v>
      </c>
      <c r="F391" s="19" t="str">
        <f>VLOOKUP(Budgets[[#This Row],[Jurisdiction]],Places[#All],8,FALSE)</f>
        <v>Phase I MS4</v>
      </c>
      <c r="G391" s="81"/>
      <c r="H391" s="21" t="s">
        <v>1871</v>
      </c>
      <c r="I391" s="21">
        <f>VALUE(LEFT(Budgets[[#This Row],[Fiscal Year]],4))</f>
        <v>2012</v>
      </c>
      <c r="J391" s="20">
        <v>1160058</v>
      </c>
      <c r="K391" s="27">
        <f>IF(Budgets[[#This Row],[Reference Year]]&gt;2018,Budgets[[#This Row],[Value]],Budgets[[#This Row],[Value]]*(1+VLOOKUP(Budgets[[#This Row],[Reference Year]],Inflation[#All],3,FALSE)))</f>
        <v>1271370.0113153311</v>
      </c>
      <c r="L391" s="27">
        <f>Budgets[[#This Row],[2018 $ Value]]/VLOOKUP(Budgets[[#This Row],[Jurisdiction]],Places[],6,FALSE)</f>
        <v>7.152533664031882</v>
      </c>
      <c r="M391" s="27">
        <f>Budgets[[#This Row],[2018 $ Value]]/VLOOKUP(Budgets[[#This Row],[Jurisdiction]],Places[],7,FALSE)</f>
        <v>31784.250282883277</v>
      </c>
      <c r="N391" s="27"/>
      <c r="O391" s="27" t="s">
        <v>1460</v>
      </c>
      <c r="P391" s="4"/>
      <c r="Q391"/>
    </row>
    <row r="392" spans="1:17" x14ac:dyDescent="0.25">
      <c r="A392" s="19" t="s">
        <v>248</v>
      </c>
      <c r="B392" s="19" t="str">
        <f>INDEX(Places[Type],MATCH(Budgets[[#This Row],[Jurisdiction]],Places[Jurisdiction],0))</f>
        <v>City</v>
      </c>
      <c r="C392" s="19" t="str">
        <f>INDEX(Places[County],MATCH(Budgets[[#This Row],[Jurisdiction]],Places[Jurisdiction],0))</f>
        <v>San Bernardino</v>
      </c>
      <c r="D392" s="21" t="str">
        <f>INDEX(Places[Majority RB],MATCH(Budgets[[#This Row],[Jurisdiction]],Places[Jurisdiction],0))</f>
        <v>Santa Ana</v>
      </c>
      <c r="E392" s="19">
        <f>INDEX(Places[Majority RB '#],MATCH(Budgets[[#This Row],[Jurisdiction]],Places[Jurisdiction],0))</f>
        <v>8</v>
      </c>
      <c r="F392" s="19" t="str">
        <f>VLOOKUP(Budgets[[#This Row],[Jurisdiction]],Places[#All],8,FALSE)</f>
        <v>Phase I MS4</v>
      </c>
      <c r="G392" s="81"/>
      <c r="H392" s="21" t="s">
        <v>1880</v>
      </c>
      <c r="I392" s="21">
        <f>VALUE(LEFT(Budgets[[#This Row],[Fiscal Year]],4))</f>
        <v>2013</v>
      </c>
      <c r="J392" s="20">
        <v>1290428</v>
      </c>
      <c r="K392" s="27">
        <f>IF(Budgets[[#This Row],[Reference Year]]&gt;2018,Budgets[[#This Row],[Value]],Budgets[[#This Row],[Value]]*(1+VLOOKUP(Budgets[[#This Row],[Reference Year]],Inflation[#All],3,FALSE)))</f>
        <v>1393612.3951416309</v>
      </c>
      <c r="L392" s="27">
        <f>Budgets[[#This Row],[2018 $ Value]]/VLOOKUP(Budgets[[#This Row],[Jurisdiction]],Places[],6,FALSE)</f>
        <v>7.8402506604274009</v>
      </c>
      <c r="M392" s="27">
        <f>Budgets[[#This Row],[2018 $ Value]]/VLOOKUP(Budgets[[#This Row],[Jurisdiction]],Places[],7,FALSE)</f>
        <v>34840.309878540771</v>
      </c>
      <c r="N392" s="27"/>
      <c r="O392" s="27" t="s">
        <v>1460</v>
      </c>
      <c r="P392" s="4"/>
      <c r="Q392"/>
    </row>
    <row r="393" spans="1:17" x14ac:dyDescent="0.25">
      <c r="A393" s="19" t="s">
        <v>248</v>
      </c>
      <c r="B393" s="19" t="str">
        <f>INDEX(Places[Type],MATCH(Budgets[[#This Row],[Jurisdiction]],Places[Jurisdiction],0))</f>
        <v>City</v>
      </c>
      <c r="C393" s="19" t="str">
        <f>INDEX(Places[County],MATCH(Budgets[[#This Row],[Jurisdiction]],Places[Jurisdiction],0))</f>
        <v>San Bernardino</v>
      </c>
      <c r="D393" s="21" t="str">
        <f>INDEX(Places[Majority RB],MATCH(Budgets[[#This Row],[Jurisdiction]],Places[Jurisdiction],0))</f>
        <v>Santa Ana</v>
      </c>
      <c r="E393" s="19">
        <f>INDEX(Places[Majority RB '#],MATCH(Budgets[[#This Row],[Jurisdiction]],Places[Jurisdiction],0))</f>
        <v>8</v>
      </c>
      <c r="F393" s="19" t="str">
        <f>VLOOKUP(Budgets[[#This Row],[Jurisdiction]],Places[#All],8,FALSE)</f>
        <v>Phase I MS4</v>
      </c>
      <c r="G393" s="81"/>
      <c r="H393" s="21" t="s">
        <v>1881</v>
      </c>
      <c r="I393" s="21">
        <f>VALUE(LEFT(Budgets[[#This Row],[Fiscal Year]],4))</f>
        <v>2014</v>
      </c>
      <c r="J393" s="20">
        <v>1331232</v>
      </c>
      <c r="K393" s="27">
        <f>IF(Budgets[[#This Row],[Reference Year]]&gt;2018,Budgets[[#This Row],[Value]],Budgets[[#This Row],[Value]]*(1+VLOOKUP(Budgets[[#This Row],[Reference Year]],Inflation[#All],3,FALSE)))</f>
        <v>1415205.912091255</v>
      </c>
      <c r="L393" s="27">
        <f>Budgets[[#This Row],[2018 $ Value]]/VLOOKUP(Budgets[[#This Row],[Jurisdiction]],Places[],6,FALSE)</f>
        <v>7.9617324914698369</v>
      </c>
      <c r="M393" s="27">
        <f>Budgets[[#This Row],[2018 $ Value]]/VLOOKUP(Budgets[[#This Row],[Jurisdiction]],Places[],7,FALSE)</f>
        <v>35380.147802281375</v>
      </c>
      <c r="N393" s="27"/>
      <c r="O393" s="27" t="s">
        <v>1460</v>
      </c>
      <c r="P393" s="4"/>
      <c r="Q393"/>
    </row>
    <row r="394" spans="1:17" x14ac:dyDescent="0.25">
      <c r="A394" s="19" t="s">
        <v>248</v>
      </c>
      <c r="B394" s="19" t="str">
        <f>INDEX(Places[Type],MATCH(Budgets[[#This Row],[Jurisdiction]],Places[Jurisdiction],0))</f>
        <v>City</v>
      </c>
      <c r="C394" s="19" t="str">
        <f>INDEX(Places[County],MATCH(Budgets[[#This Row],[Jurisdiction]],Places[Jurisdiction],0))</f>
        <v>San Bernardino</v>
      </c>
      <c r="D394" s="21" t="str">
        <f>INDEX(Places[Majority RB],MATCH(Budgets[[#This Row],[Jurisdiction]],Places[Jurisdiction],0))</f>
        <v>Santa Ana</v>
      </c>
      <c r="E394" s="19">
        <f>INDEX(Places[Majority RB '#],MATCH(Budgets[[#This Row],[Jurisdiction]],Places[Jurisdiction],0))</f>
        <v>8</v>
      </c>
      <c r="F394" s="19" t="str">
        <f>VLOOKUP(Budgets[[#This Row],[Jurisdiction]],Places[#All],8,FALSE)</f>
        <v>Phase I MS4</v>
      </c>
      <c r="G394" s="81"/>
      <c r="H394" s="21" t="s">
        <v>1873</v>
      </c>
      <c r="I394" s="21">
        <f>VALUE(LEFT(Budgets[[#This Row],[Fiscal Year]],4))</f>
        <v>2015</v>
      </c>
      <c r="J394" s="20">
        <v>1393090</v>
      </c>
      <c r="K394" s="27">
        <f>IF(Budgets[[#This Row],[Reference Year]]&gt;2018,Budgets[[#This Row],[Value]],Budgets[[#This Row],[Value]]*(1+VLOOKUP(Budgets[[#This Row],[Reference Year]],Inflation[#All],3,FALSE)))</f>
        <v>1479091.2649367088</v>
      </c>
      <c r="L394" s="27">
        <f>Budgets[[#This Row],[2018 $ Value]]/VLOOKUP(Budgets[[#This Row],[Jurisdiction]],Places[],6,FALSE)</f>
        <v>8.3211417372431598</v>
      </c>
      <c r="M394" s="27">
        <f>Budgets[[#This Row],[2018 $ Value]]/VLOOKUP(Budgets[[#This Row],[Jurisdiction]],Places[],7,FALSE)</f>
        <v>36977.281623417723</v>
      </c>
      <c r="N394" s="27"/>
      <c r="O394" s="27" t="s">
        <v>1460</v>
      </c>
      <c r="P394" s="4"/>
      <c r="Q394"/>
    </row>
    <row r="395" spans="1:17" x14ac:dyDescent="0.25">
      <c r="A395" s="19" t="s">
        <v>248</v>
      </c>
      <c r="B395" s="19" t="str">
        <f>INDEX(Places[Type],MATCH(Budgets[[#This Row],[Jurisdiction]],Places[Jurisdiction],0))</f>
        <v>City</v>
      </c>
      <c r="C395" s="19" t="str">
        <f>INDEX(Places[County],MATCH(Budgets[[#This Row],[Jurisdiction]],Places[Jurisdiction],0))</f>
        <v>San Bernardino</v>
      </c>
      <c r="D395" s="21" t="str">
        <f>INDEX(Places[Majority RB],MATCH(Budgets[[#This Row],[Jurisdiction]],Places[Jurisdiction],0))</f>
        <v>Santa Ana</v>
      </c>
      <c r="E395" s="19">
        <f>INDEX(Places[Majority RB '#],MATCH(Budgets[[#This Row],[Jurisdiction]],Places[Jurisdiction],0))</f>
        <v>8</v>
      </c>
      <c r="F395" s="19" t="str">
        <f>VLOOKUP(Budgets[[#This Row],[Jurisdiction]],Places[#All],8,FALSE)</f>
        <v>Phase I MS4</v>
      </c>
      <c r="G395" s="81"/>
      <c r="H395" s="21" t="s">
        <v>1869</v>
      </c>
      <c r="I395" s="21">
        <f>VALUE(LEFT(Budgets[[#This Row],[Fiscal Year]],4))</f>
        <v>2016</v>
      </c>
      <c r="J395" s="20">
        <v>1414728</v>
      </c>
      <c r="K395" s="27">
        <f>IF(Budgets[[#This Row],[Reference Year]]&gt;2018,Budgets[[#This Row],[Value]],Budgets[[#This Row],[Value]]*(1+VLOOKUP(Budgets[[#This Row],[Reference Year]],Inflation[#All],3,FALSE)))</f>
        <v>1483289.2557000001</v>
      </c>
      <c r="L395" s="27">
        <f>Budgets[[#This Row],[2018 $ Value]]/VLOOKUP(Budgets[[#This Row],[Jurisdiction]],Places[],6,FALSE)</f>
        <v>8.3447589926357661</v>
      </c>
      <c r="M395" s="27">
        <f>Budgets[[#This Row],[2018 $ Value]]/VLOOKUP(Budgets[[#This Row],[Jurisdiction]],Places[],7,FALSE)</f>
        <v>37082.231392500005</v>
      </c>
      <c r="N395" s="27"/>
      <c r="O395" s="27" t="s">
        <v>1853</v>
      </c>
      <c r="P395" s="4"/>
      <c r="Q395"/>
    </row>
    <row r="396" spans="1:17" x14ac:dyDescent="0.25">
      <c r="A396" s="19" t="s">
        <v>178</v>
      </c>
      <c r="B396" s="19" t="str">
        <f>INDEX(Places[Type],MATCH(Budgets[[#This Row],[Jurisdiction]],Places[Jurisdiction],0))</f>
        <v>City</v>
      </c>
      <c r="C396" s="19" t="str">
        <f>INDEX(Places[County],MATCH(Budgets[[#This Row],[Jurisdiction]],Places[Jurisdiction],0))</f>
        <v>Los Angeles</v>
      </c>
      <c r="D396" s="21" t="str">
        <f>INDEX(Places[Majority RB],MATCH(Budgets[[#This Row],[Jurisdiction]],Places[Jurisdiction],0))</f>
        <v>Los Angeles</v>
      </c>
      <c r="E396" s="19">
        <f>INDEX(Places[Majority RB '#],MATCH(Budgets[[#This Row],[Jurisdiction]],Places[Jurisdiction],0))</f>
        <v>4</v>
      </c>
      <c r="F396" s="19" t="str">
        <f>VLOOKUP(Budgets[[#This Row],[Jurisdiction]],Places[#All],8,FALSE)</f>
        <v>Phase I MS4</v>
      </c>
      <c r="G396" s="81"/>
      <c r="H396" s="100" t="s">
        <v>1870</v>
      </c>
      <c r="I396" s="21">
        <f>VALUE(LEFT(Budgets[[#This Row],[Fiscal Year]],4))</f>
        <v>2011</v>
      </c>
      <c r="J396" s="20">
        <v>2746577</v>
      </c>
      <c r="K396" s="27">
        <f>IF(Budgets[[#This Row],[Reference Year]]&gt;2018,Budgets[[#This Row],[Value]],Budgets[[#This Row],[Value]]*(1+VLOOKUP(Budgets[[#This Row],[Reference Year]],Inflation[#All],3,FALSE)))</f>
        <v>3073027.6437839041</v>
      </c>
      <c r="L396" s="27">
        <f>Budgets[[#This Row],[2018 $ Value]]/VLOOKUP(Budgets[[#This Row],[Jurisdiction]],Places[],6,FALSE)</f>
        <v>73.29296994332914</v>
      </c>
      <c r="M396" s="27">
        <f>Budgets[[#This Row],[2018 $ Value]]/VLOOKUP(Budgets[[#This Row],[Jurisdiction]],Places[],7,FALSE)</f>
        <v>227631.67731732622</v>
      </c>
      <c r="N396" s="27"/>
      <c r="O396" s="27" t="s">
        <v>1460</v>
      </c>
      <c r="P396" s="4"/>
      <c r="Q396"/>
    </row>
    <row r="397" spans="1:17" x14ac:dyDescent="0.25">
      <c r="A397" s="19" t="s">
        <v>178</v>
      </c>
      <c r="B397" s="19" t="str">
        <f>INDEX(Places[Type],MATCH(Budgets[[#This Row],[Jurisdiction]],Places[Jurisdiction],0))</f>
        <v>City</v>
      </c>
      <c r="C397" s="19" t="str">
        <f>INDEX(Places[County],MATCH(Budgets[[#This Row],[Jurisdiction]],Places[Jurisdiction],0))</f>
        <v>Los Angeles</v>
      </c>
      <c r="D397" s="21" t="str">
        <f>INDEX(Places[Majority RB],MATCH(Budgets[[#This Row],[Jurisdiction]],Places[Jurisdiction],0))</f>
        <v>Los Angeles</v>
      </c>
      <c r="E397" s="19">
        <f>INDEX(Places[Majority RB '#],MATCH(Budgets[[#This Row],[Jurisdiction]],Places[Jurisdiction],0))</f>
        <v>4</v>
      </c>
      <c r="F397" s="19" t="str">
        <f>VLOOKUP(Budgets[[#This Row],[Jurisdiction]],Places[#All],8,FALSE)</f>
        <v>Phase I MS4</v>
      </c>
      <c r="G397" s="81"/>
      <c r="H397" s="100" t="s">
        <v>1871</v>
      </c>
      <c r="I397" s="21">
        <f>VALUE(LEFT(Budgets[[#This Row],[Fiscal Year]],4))</f>
        <v>2012</v>
      </c>
      <c r="J397" s="20">
        <v>2541152</v>
      </c>
      <c r="K397" s="27">
        <f>IF(Budgets[[#This Row],[Reference Year]]&gt;2018,Budgets[[#This Row],[Value]],Budgets[[#This Row],[Value]]*(1+VLOOKUP(Budgets[[#This Row],[Reference Year]],Inflation[#All],3,FALSE)))</f>
        <v>2784985.2740069688</v>
      </c>
      <c r="L397" s="27">
        <f>Budgets[[#This Row],[2018 $ Value]]/VLOOKUP(Budgets[[#This Row],[Jurisdiction]],Places[],6,FALSE)</f>
        <v>66.4230412613759</v>
      </c>
      <c r="M397" s="27">
        <f>Budgets[[#This Row],[2018 $ Value]]/VLOOKUP(Budgets[[#This Row],[Jurisdiction]],Places[],7,FALSE)</f>
        <v>206295.20548199769</v>
      </c>
      <c r="N397" s="27"/>
      <c r="O397" s="27" t="s">
        <v>1460</v>
      </c>
      <c r="P397" s="4"/>
      <c r="Q397"/>
    </row>
    <row r="398" spans="1:17" x14ac:dyDescent="0.25">
      <c r="A398" s="19" t="s">
        <v>178</v>
      </c>
      <c r="B398" s="19" t="str">
        <f>INDEX(Places[Type],MATCH(Budgets[[#This Row],[Jurisdiction]],Places[Jurisdiction],0))</f>
        <v>City</v>
      </c>
      <c r="C398" s="19" t="str">
        <f>INDEX(Places[County],MATCH(Budgets[[#This Row],[Jurisdiction]],Places[Jurisdiction],0))</f>
        <v>Los Angeles</v>
      </c>
      <c r="D398" s="21" t="str">
        <f>INDEX(Places[Majority RB],MATCH(Budgets[[#This Row],[Jurisdiction]],Places[Jurisdiction],0))</f>
        <v>Los Angeles</v>
      </c>
      <c r="E398" s="19">
        <f>INDEX(Places[Majority RB '#],MATCH(Budgets[[#This Row],[Jurisdiction]],Places[Jurisdiction],0))</f>
        <v>4</v>
      </c>
      <c r="F398" s="19" t="str">
        <f>VLOOKUP(Budgets[[#This Row],[Jurisdiction]],Places[#All],8,FALSE)</f>
        <v>Phase I MS4</v>
      </c>
      <c r="G398" s="81"/>
      <c r="H398" s="100" t="s">
        <v>1869</v>
      </c>
      <c r="I398" s="21">
        <f>VALUE(LEFT(Budgets[[#This Row],[Fiscal Year]],4))</f>
        <v>2016</v>
      </c>
      <c r="J398" s="20">
        <v>1054600</v>
      </c>
      <c r="K398" s="27">
        <f>IF(Budgets[[#This Row],[Reference Year]]&gt;2018,Budgets[[#This Row],[Value]],Budgets[[#This Row],[Value]]*(1+VLOOKUP(Budgets[[#This Row],[Reference Year]],Inflation[#All],3,FALSE)))</f>
        <v>1105708.5525</v>
      </c>
      <c r="L398" s="27">
        <f>Budgets[[#This Row],[2018 $ Value]]/VLOOKUP(Budgets[[#This Row],[Jurisdiction]],Places[],6,FALSE)</f>
        <v>26.37160256868918</v>
      </c>
      <c r="M398" s="27">
        <f>Budgets[[#This Row],[2018 $ Value]]/VLOOKUP(Budgets[[#This Row],[Jurisdiction]],Places[],7,FALSE)</f>
        <v>81904.337222222224</v>
      </c>
      <c r="N398" s="27"/>
      <c r="O398" s="27" t="s">
        <v>1853</v>
      </c>
      <c r="P398" s="4"/>
      <c r="Q398"/>
    </row>
    <row r="399" spans="1:17" x14ac:dyDescent="0.25">
      <c r="A399" s="19" t="s">
        <v>287</v>
      </c>
      <c r="B399" s="19" t="str">
        <f>INDEX(Places[Type],MATCH(Budgets[[#This Row],[Jurisdiction]],Places[Jurisdiction],0))</f>
        <v>City</v>
      </c>
      <c r="C399" s="19" t="str">
        <f>INDEX(Places[County],MATCH(Budgets[[#This Row],[Jurisdiction]],Places[Jurisdiction],0))</f>
        <v>Orange</v>
      </c>
      <c r="D399" s="21" t="str">
        <f>INDEX(Places[Majority RB],MATCH(Budgets[[#This Row],[Jurisdiction]],Places[Jurisdiction],0))</f>
        <v>San Diego</v>
      </c>
      <c r="E399" s="19">
        <f>INDEX(Places[Majority RB '#],MATCH(Budgets[[#This Row],[Jurisdiction]],Places[Jurisdiction],0))</f>
        <v>9</v>
      </c>
      <c r="F399" s="19" t="str">
        <f>VLOOKUP(Budgets[[#This Row],[Jurisdiction]],Places[#All],8,FALSE)</f>
        <v>Phase I MS4</v>
      </c>
      <c r="G399" s="81"/>
      <c r="H399" s="21" t="s">
        <v>1875</v>
      </c>
      <c r="I399" s="21">
        <f>VALUE(LEFT(Budgets[[#This Row],[Fiscal Year]],4))</f>
        <v>2001</v>
      </c>
      <c r="J399" s="20">
        <v>301080</v>
      </c>
      <c r="K399" s="27">
        <f>IF(Budgets[[#This Row],[Reference Year]]&gt;2018,Budgets[[#This Row],[Value]],Budgets[[#This Row],[Value]]*(1+VLOOKUP(Budgets[[#This Row],[Reference Year]],Inflation[#All],3,FALSE)))</f>
        <v>427786.90841332579</v>
      </c>
      <c r="L399" s="27">
        <f>Budgets[[#This Row],[2018 $ Value]]/VLOOKUP(Budgets[[#This Row],[Jurisdiction]],Places[],6,FALSE)</f>
        <v>8.8522898792203986</v>
      </c>
      <c r="M399" s="27">
        <f>Budgets[[#This Row],[2018 $ Value]]/VLOOKUP(Budgets[[#This Row],[Jurisdiction]],Places[],7,FALSE)</f>
        <v>33161.775845994249</v>
      </c>
      <c r="N399" s="27"/>
      <c r="O399" s="27" t="s">
        <v>1460</v>
      </c>
      <c r="P399" s="4"/>
      <c r="Q399"/>
    </row>
    <row r="400" spans="1:17" x14ac:dyDescent="0.25">
      <c r="A400" s="19" t="s">
        <v>287</v>
      </c>
      <c r="B400" s="19" t="str">
        <f>INDEX(Places[Type],MATCH(Budgets[[#This Row],[Jurisdiction]],Places[Jurisdiction],0))</f>
        <v>City</v>
      </c>
      <c r="C400" s="19" t="str">
        <f>INDEX(Places[County],MATCH(Budgets[[#This Row],[Jurisdiction]],Places[Jurisdiction],0))</f>
        <v>Orange</v>
      </c>
      <c r="D400" s="21" t="str">
        <f>INDEX(Places[Majority RB],MATCH(Budgets[[#This Row],[Jurisdiction]],Places[Jurisdiction],0))</f>
        <v>San Diego</v>
      </c>
      <c r="E400" s="19">
        <f>INDEX(Places[Majority RB '#],MATCH(Budgets[[#This Row],[Jurisdiction]],Places[Jurisdiction],0))</f>
        <v>9</v>
      </c>
      <c r="F400" s="19" t="str">
        <f>VLOOKUP(Budgets[[#This Row],[Jurisdiction]],Places[#All],8,FALSE)</f>
        <v>Phase I MS4</v>
      </c>
      <c r="G400" s="81"/>
      <c r="H400" s="21" t="s">
        <v>1872</v>
      </c>
      <c r="I400" s="21">
        <f>VALUE(LEFT(Budgets[[#This Row],[Fiscal Year]],4))</f>
        <v>2002</v>
      </c>
      <c r="J400" s="20">
        <v>65200</v>
      </c>
      <c r="K400" s="27">
        <f>IF(Budgets[[#This Row],[Reference Year]]&gt;2018,Budgets[[#This Row],[Value]],Budgets[[#This Row],[Value]]*(1+VLOOKUP(Budgets[[#This Row],[Reference Year]],Inflation[#All],3,FALSE)))</f>
        <v>91197.005002779319</v>
      </c>
      <c r="L400" s="27">
        <f>Budgets[[#This Row],[2018 $ Value]]/VLOOKUP(Budgets[[#This Row],[Jurisdiction]],Places[],6,FALSE)</f>
        <v>1.8871599586710672</v>
      </c>
      <c r="M400" s="27">
        <f>Budgets[[#This Row],[2018 $ Value]]/VLOOKUP(Budgets[[#This Row],[Jurisdiction]],Places[],7,FALSE)</f>
        <v>7069.5352715332801</v>
      </c>
      <c r="N400" s="27"/>
      <c r="O400" s="27" t="s">
        <v>1460</v>
      </c>
      <c r="P400" s="4"/>
      <c r="Q400"/>
    </row>
    <row r="401" spans="1:17" x14ac:dyDescent="0.25">
      <c r="A401" s="19" t="s">
        <v>287</v>
      </c>
      <c r="B401" s="19" t="str">
        <f>INDEX(Places[Type],MATCH(Budgets[[#This Row],[Jurisdiction]],Places[Jurisdiction],0))</f>
        <v>City</v>
      </c>
      <c r="C401" s="19" t="str">
        <f>INDEX(Places[County],MATCH(Budgets[[#This Row],[Jurisdiction]],Places[Jurisdiction],0))</f>
        <v>Orange</v>
      </c>
      <c r="D401" s="21" t="str">
        <f>INDEX(Places[Majority RB],MATCH(Budgets[[#This Row],[Jurisdiction]],Places[Jurisdiction],0))</f>
        <v>San Diego</v>
      </c>
      <c r="E401" s="19">
        <f>INDEX(Places[Majority RB '#],MATCH(Budgets[[#This Row],[Jurisdiction]],Places[Jurisdiction],0))</f>
        <v>9</v>
      </c>
      <c r="F401" s="19" t="str">
        <f>VLOOKUP(Budgets[[#This Row],[Jurisdiction]],Places[#All],8,FALSE)</f>
        <v>Phase I MS4</v>
      </c>
      <c r="G401" s="81"/>
      <c r="H401" s="21" t="s">
        <v>1873</v>
      </c>
      <c r="I401" s="21">
        <f>VALUE(LEFT(Budgets[[#This Row],[Fiscal Year]],4))</f>
        <v>2015</v>
      </c>
      <c r="J401" s="20">
        <v>326910</v>
      </c>
      <c r="K401" s="27">
        <f>IF(Budgets[[#This Row],[Reference Year]]&gt;2018,Budgets[[#This Row],[Value]],Budgets[[#This Row],[Value]]*(1+VLOOKUP(Budgets[[#This Row],[Reference Year]],Inflation[#All],3,FALSE)))</f>
        <v>347091.51987341768</v>
      </c>
      <c r="L401" s="27">
        <f>Budgets[[#This Row],[2018 $ Value]]/VLOOKUP(Budgets[[#This Row],[Jurisdiction]],Places[],6,FALSE)</f>
        <v>7.1824422115554611</v>
      </c>
      <c r="M401" s="27">
        <f>Budgets[[#This Row],[2018 $ Value]]/VLOOKUP(Budgets[[#This Row],[Jurisdiction]],Places[],7,FALSE)</f>
        <v>26906.319370032379</v>
      </c>
      <c r="N401" s="27"/>
      <c r="O401" s="27" t="s">
        <v>1460</v>
      </c>
      <c r="P401" s="4"/>
      <c r="Q401"/>
    </row>
    <row r="402" spans="1:17" x14ac:dyDescent="0.25">
      <c r="A402" s="19" t="s">
        <v>287</v>
      </c>
      <c r="B402" s="19" t="str">
        <f>INDEX(Places[Type],MATCH(Budgets[[#This Row],[Jurisdiction]],Places[Jurisdiction],0))</f>
        <v>City</v>
      </c>
      <c r="C402" s="19" t="str">
        <f>INDEX(Places[County],MATCH(Budgets[[#This Row],[Jurisdiction]],Places[Jurisdiction],0))</f>
        <v>Orange</v>
      </c>
      <c r="D402" s="21" t="str">
        <f>INDEX(Places[Majority RB],MATCH(Budgets[[#This Row],[Jurisdiction]],Places[Jurisdiction],0))</f>
        <v>San Diego</v>
      </c>
      <c r="E402" s="19">
        <f>INDEX(Places[Majority RB '#],MATCH(Budgets[[#This Row],[Jurisdiction]],Places[Jurisdiction],0))</f>
        <v>9</v>
      </c>
      <c r="F402" s="19" t="str">
        <f>VLOOKUP(Budgets[[#This Row],[Jurisdiction]],Places[#All],8,FALSE)</f>
        <v>Phase I MS4</v>
      </c>
      <c r="G402" s="81"/>
      <c r="H402" s="21" t="s">
        <v>1869</v>
      </c>
      <c r="I402" s="21">
        <f>VALUE(LEFT(Budgets[[#This Row],[Fiscal Year]],4))</f>
        <v>2016</v>
      </c>
      <c r="J402" s="20">
        <v>575317</v>
      </c>
      <c r="K402" s="27">
        <f>IF(Budgets[[#This Row],[Reference Year]]&gt;2018,Budgets[[#This Row],[Value]],Budgets[[#This Row],[Value]]*(1+VLOOKUP(Budgets[[#This Row],[Reference Year]],Inflation[#All],3,FALSE)))</f>
        <v>603198.30011250009</v>
      </c>
      <c r="L402" s="27">
        <f>Budgets[[#This Row],[2018 $ Value]]/VLOOKUP(Budgets[[#This Row],[Jurisdiction]],Places[],6,FALSE)</f>
        <v>12.482116919037766</v>
      </c>
      <c r="M402" s="27">
        <f>Budgets[[#This Row],[2018 $ Value]]/VLOOKUP(Budgets[[#This Row],[Jurisdiction]],Places[],7,FALSE)</f>
        <v>46759.558148255819</v>
      </c>
      <c r="N402" s="27"/>
      <c r="O402" s="27" t="s">
        <v>1460</v>
      </c>
      <c r="P402" s="4"/>
      <c r="Q402"/>
    </row>
    <row r="403" spans="1:17" x14ac:dyDescent="0.25">
      <c r="A403" s="19" t="s">
        <v>287</v>
      </c>
      <c r="B403" s="19" t="str">
        <f>INDEX(Places[Type],MATCH(Budgets[[#This Row],[Jurisdiction]],Places[Jurisdiction],0))</f>
        <v>City</v>
      </c>
      <c r="C403" s="19" t="str">
        <f>INDEX(Places[County],MATCH(Budgets[[#This Row],[Jurisdiction]],Places[Jurisdiction],0))</f>
        <v>Orange</v>
      </c>
      <c r="D403" s="21" t="str">
        <f>INDEX(Places[Majority RB],MATCH(Budgets[[#This Row],[Jurisdiction]],Places[Jurisdiction],0))</f>
        <v>San Diego</v>
      </c>
      <c r="E403" s="19">
        <f>INDEX(Places[Majority RB '#],MATCH(Budgets[[#This Row],[Jurisdiction]],Places[Jurisdiction],0))</f>
        <v>9</v>
      </c>
      <c r="F403" s="19" t="str">
        <f>VLOOKUP(Budgets[[#This Row],[Jurisdiction]],Places[#All],8,FALSE)</f>
        <v>Phase I MS4</v>
      </c>
      <c r="G403" s="81"/>
      <c r="H403" s="21" t="s">
        <v>1874</v>
      </c>
      <c r="I403" s="21">
        <f>VALUE(LEFT(Budgets[[#This Row],[Fiscal Year]],4))</f>
        <v>2017</v>
      </c>
      <c r="J403" s="20">
        <v>417495.65</v>
      </c>
      <c r="K403" s="27">
        <f>IF(Budgets[[#This Row],[Reference Year]]&gt;2018,Budgets[[#This Row],[Value]],Budgets[[#This Row],[Value]]*(1+VLOOKUP(Budgets[[#This Row],[Reference Year]],Inflation[#All],3,FALSE)))</f>
        <v>428620.35049020813</v>
      </c>
      <c r="L403" s="27">
        <f>Budgets[[#This Row],[2018 $ Value]]/VLOOKUP(Budgets[[#This Row],[Jurisdiction]],Places[],6,FALSE)</f>
        <v>8.8695364819494706</v>
      </c>
      <c r="M403" s="27">
        <f>Budgets[[#This Row],[2018 $ Value]]/VLOOKUP(Budgets[[#This Row],[Jurisdiction]],Places[],7,FALSE)</f>
        <v>33226.38375893086</v>
      </c>
      <c r="N403" s="27"/>
      <c r="O403" s="27" t="s">
        <v>1460</v>
      </c>
      <c r="P403" s="4"/>
      <c r="Q403"/>
    </row>
    <row r="404" spans="1:17" x14ac:dyDescent="0.25">
      <c r="A404" s="19" t="s">
        <v>287</v>
      </c>
      <c r="B404" s="19" t="str">
        <f>INDEX(Places[Type],MATCH(Budgets[[#This Row],[Jurisdiction]],Places[Jurisdiction],0))</f>
        <v>City</v>
      </c>
      <c r="C404" s="19" t="str">
        <f>INDEX(Places[County],MATCH(Budgets[[#This Row],[Jurisdiction]],Places[Jurisdiction],0))</f>
        <v>Orange</v>
      </c>
      <c r="D404" s="21" t="str">
        <f>INDEX(Places[Majority RB],MATCH(Budgets[[#This Row],[Jurisdiction]],Places[Jurisdiction],0))</f>
        <v>San Diego</v>
      </c>
      <c r="E404" s="19">
        <f>INDEX(Places[Majority RB '#],MATCH(Budgets[[#This Row],[Jurisdiction]],Places[Jurisdiction],0))</f>
        <v>9</v>
      </c>
      <c r="F404" s="19" t="str">
        <f>VLOOKUP(Budgets[[#This Row],[Jurisdiction]],Places[#All],8,FALSE)</f>
        <v>Phase I MS4</v>
      </c>
      <c r="G404" s="81"/>
      <c r="H404" s="21" t="s">
        <v>1876</v>
      </c>
      <c r="I404" s="21">
        <f>VALUE(LEFT(Budgets[[#This Row],[Fiscal Year]],4))</f>
        <v>2018</v>
      </c>
      <c r="J404" s="20">
        <v>403393</v>
      </c>
      <c r="K404" s="27">
        <f>IF(Budgets[[#This Row],[Reference Year]]&gt;2018,Budgets[[#This Row],[Value]],Budgets[[#This Row],[Value]]*(1+VLOOKUP(Budgets[[#This Row],[Reference Year]],Inflation[#All],3,FALSE)))</f>
        <v>403393</v>
      </c>
      <c r="L404" s="27">
        <f>Budgets[[#This Row],[2018 $ Value]]/VLOOKUP(Budgets[[#This Row],[Jurisdiction]],Places[],6,FALSE)</f>
        <v>8.3475012933264363</v>
      </c>
      <c r="M404" s="27">
        <f>Budgets[[#This Row],[2018 $ Value]]/VLOOKUP(Budgets[[#This Row],[Jurisdiction]],Places[],7,FALSE)</f>
        <v>31270.77519379845</v>
      </c>
      <c r="N404" s="27"/>
      <c r="O404" s="27" t="s">
        <v>1853</v>
      </c>
      <c r="P404" s="4"/>
      <c r="Q404"/>
    </row>
    <row r="405" spans="1:17" x14ac:dyDescent="0.25">
      <c r="A405" s="19" t="s">
        <v>249</v>
      </c>
      <c r="B405" s="19" t="str">
        <f>INDEX(Places[Type],MATCH(Budgets[[#This Row],[Jurisdiction]],Places[Jurisdiction],0))</f>
        <v>City</v>
      </c>
      <c r="C405" s="19" t="str">
        <f>INDEX(Places[County],MATCH(Budgets[[#This Row],[Jurisdiction]],Places[Jurisdiction],0))</f>
        <v>San Bernardino</v>
      </c>
      <c r="D405" s="21" t="str">
        <f>INDEX(Places[Majority RB],MATCH(Budgets[[#This Row],[Jurisdiction]],Places[Jurisdiction],0))</f>
        <v>Santa Ana</v>
      </c>
      <c r="E405" s="19">
        <f>INDEX(Places[Majority RB '#],MATCH(Budgets[[#This Row],[Jurisdiction]],Places[Jurisdiction],0))</f>
        <v>8</v>
      </c>
      <c r="F405" s="19" t="str">
        <f>VLOOKUP(Budgets[[#This Row],[Jurisdiction]],Places[#All],8,FALSE)</f>
        <v>Phase I MS4</v>
      </c>
      <c r="G405" s="81"/>
      <c r="H405" s="21" t="s">
        <v>1871</v>
      </c>
      <c r="I405" s="21">
        <f>VALUE(LEFT(Budgets[[#This Row],[Fiscal Year]],4))</f>
        <v>2012</v>
      </c>
      <c r="J405" s="20">
        <v>431400</v>
      </c>
      <c r="K405" s="27">
        <f>IF(Budgets[[#This Row],[Reference Year]]&gt;2018,Budgets[[#This Row],[Value]],Budgets[[#This Row],[Value]]*(1+VLOOKUP(Budgets[[#This Row],[Reference Year]],Inflation[#All],3,FALSE)))</f>
        <v>472794.48344947735</v>
      </c>
      <c r="L405" s="27">
        <f>Budgets[[#This Row],[2018 $ Value]]/VLOOKUP(Budgets[[#This Row],[Jurisdiction]],Places[],6,FALSE)</f>
        <v>6.6045663041583182</v>
      </c>
      <c r="M405" s="27">
        <f>Budgets[[#This Row],[2018 $ Value]]/VLOOKUP(Budgets[[#This Row],[Jurisdiction]],Places[],7,FALSE)</f>
        <v>13133.180095818816</v>
      </c>
      <c r="N405" s="27"/>
      <c r="O405" s="27" t="s">
        <v>1460</v>
      </c>
      <c r="P405" s="4"/>
      <c r="Q405"/>
    </row>
    <row r="406" spans="1:17" x14ac:dyDescent="0.25">
      <c r="A406" s="19" t="s">
        <v>249</v>
      </c>
      <c r="B406" s="19" t="str">
        <f>INDEX(Places[Type],MATCH(Budgets[[#This Row],[Jurisdiction]],Places[Jurisdiction],0))</f>
        <v>City</v>
      </c>
      <c r="C406" s="19" t="str">
        <f>INDEX(Places[County],MATCH(Budgets[[#This Row],[Jurisdiction]],Places[Jurisdiction],0))</f>
        <v>San Bernardino</v>
      </c>
      <c r="D406" s="21" t="str">
        <f>INDEX(Places[Majority RB],MATCH(Budgets[[#This Row],[Jurisdiction]],Places[Jurisdiction],0))</f>
        <v>Santa Ana</v>
      </c>
      <c r="E406" s="19">
        <f>INDEX(Places[Majority RB '#],MATCH(Budgets[[#This Row],[Jurisdiction]],Places[Jurisdiction],0))</f>
        <v>8</v>
      </c>
      <c r="F406" s="19" t="str">
        <f>VLOOKUP(Budgets[[#This Row],[Jurisdiction]],Places[#All],8,FALSE)</f>
        <v>Phase I MS4</v>
      </c>
      <c r="G406" s="81"/>
      <c r="H406" s="21" t="s">
        <v>1880</v>
      </c>
      <c r="I406" s="21">
        <f>VALUE(LEFT(Budgets[[#This Row],[Fiscal Year]],4))</f>
        <v>2013</v>
      </c>
      <c r="J406" s="20">
        <v>1204100</v>
      </c>
      <c r="K406" s="27">
        <f>IF(Budgets[[#This Row],[Reference Year]]&gt;2018,Budgets[[#This Row],[Value]],Budgets[[#This Row],[Value]]*(1+VLOOKUP(Budgets[[#This Row],[Reference Year]],Inflation[#All],3,FALSE)))</f>
        <v>1300381.4896995709</v>
      </c>
      <c r="L406" s="27">
        <f>Budgets[[#This Row],[2018 $ Value]]/VLOOKUP(Budgets[[#This Row],[Jurisdiction]],Places[],6,FALSE)</f>
        <v>18.165304524621728</v>
      </c>
      <c r="M406" s="27">
        <f>Budgets[[#This Row],[2018 $ Value]]/VLOOKUP(Budgets[[#This Row],[Jurisdiction]],Places[],7,FALSE)</f>
        <v>36121.708047210304</v>
      </c>
      <c r="N406" s="27"/>
      <c r="O406" s="27" t="s">
        <v>1460</v>
      </c>
      <c r="P406" s="4"/>
      <c r="Q406"/>
    </row>
    <row r="407" spans="1:17" x14ac:dyDescent="0.25">
      <c r="A407" s="19" t="s">
        <v>249</v>
      </c>
      <c r="B407" s="19" t="str">
        <f>INDEX(Places[Type],MATCH(Budgets[[#This Row],[Jurisdiction]],Places[Jurisdiction],0))</f>
        <v>City</v>
      </c>
      <c r="C407" s="19" t="str">
        <f>INDEX(Places[County],MATCH(Budgets[[#This Row],[Jurisdiction]],Places[Jurisdiction],0))</f>
        <v>San Bernardino</v>
      </c>
      <c r="D407" s="21" t="str">
        <f>INDEX(Places[Majority RB],MATCH(Budgets[[#This Row],[Jurisdiction]],Places[Jurisdiction],0))</f>
        <v>Santa Ana</v>
      </c>
      <c r="E407" s="19">
        <f>INDEX(Places[Majority RB '#],MATCH(Budgets[[#This Row],[Jurisdiction]],Places[Jurisdiction],0))</f>
        <v>8</v>
      </c>
      <c r="F407" s="19" t="str">
        <f>VLOOKUP(Budgets[[#This Row],[Jurisdiction]],Places[#All],8,FALSE)</f>
        <v>Phase I MS4</v>
      </c>
      <c r="G407" s="81"/>
      <c r="H407" s="21" t="s">
        <v>1881</v>
      </c>
      <c r="I407" s="21">
        <f>VALUE(LEFT(Budgets[[#This Row],[Fiscal Year]],4))</f>
        <v>2014</v>
      </c>
      <c r="J407" s="20">
        <v>1156012</v>
      </c>
      <c r="K407" s="27">
        <f>IF(Budgets[[#This Row],[Reference Year]]&gt;2018,Budgets[[#This Row],[Value]],Budgets[[#This Row],[Value]]*(1+VLOOKUP(Budgets[[#This Row],[Reference Year]],Inflation[#All],3,FALSE)))</f>
        <v>1228933.0611406844</v>
      </c>
      <c r="L407" s="27">
        <f>Budgets[[#This Row],[2018 $ Value]]/VLOOKUP(Budgets[[#This Row],[Jurisdiction]],Places[],6,FALSE)</f>
        <v>17.167226289228122</v>
      </c>
      <c r="M407" s="27">
        <f>Budgets[[#This Row],[2018 $ Value]]/VLOOKUP(Budgets[[#This Row],[Jurisdiction]],Places[],7,FALSE)</f>
        <v>34137.029476130119</v>
      </c>
      <c r="N407" s="27"/>
      <c r="O407" s="27" t="s">
        <v>1460</v>
      </c>
      <c r="P407" s="4"/>
      <c r="Q407"/>
    </row>
    <row r="408" spans="1:17" x14ac:dyDescent="0.25">
      <c r="A408" s="19" t="s">
        <v>249</v>
      </c>
      <c r="B408" s="19" t="str">
        <f>INDEX(Places[Type],MATCH(Budgets[[#This Row],[Jurisdiction]],Places[Jurisdiction],0))</f>
        <v>City</v>
      </c>
      <c r="C408" s="19" t="str">
        <f>INDEX(Places[County],MATCH(Budgets[[#This Row],[Jurisdiction]],Places[Jurisdiction],0))</f>
        <v>San Bernardino</v>
      </c>
      <c r="D408" s="21" t="str">
        <f>INDEX(Places[Majority RB],MATCH(Budgets[[#This Row],[Jurisdiction]],Places[Jurisdiction],0))</f>
        <v>Santa Ana</v>
      </c>
      <c r="E408" s="19">
        <f>INDEX(Places[Majority RB '#],MATCH(Budgets[[#This Row],[Jurisdiction]],Places[Jurisdiction],0))</f>
        <v>8</v>
      </c>
      <c r="F408" s="19" t="str">
        <f>VLOOKUP(Budgets[[#This Row],[Jurisdiction]],Places[#All],8,FALSE)</f>
        <v>Phase I MS4</v>
      </c>
      <c r="G408" s="81"/>
      <c r="H408" s="21" t="s">
        <v>1873</v>
      </c>
      <c r="I408" s="21">
        <f>VALUE(LEFT(Budgets[[#This Row],[Fiscal Year]],4))</f>
        <v>2015</v>
      </c>
      <c r="J408" s="20">
        <v>1151600</v>
      </c>
      <c r="K408" s="27">
        <f>IF(Budgets[[#This Row],[Reference Year]]&gt;2018,Budgets[[#This Row],[Value]],Budgets[[#This Row],[Value]]*(1+VLOOKUP(Budgets[[#This Row],[Reference Year]],Inflation[#All],3,FALSE)))</f>
        <v>1222693.0784810125</v>
      </c>
      <c r="L408" s="27">
        <f>Budgets[[#This Row],[2018 $ Value]]/VLOOKUP(Budgets[[#This Row],[Jurisdiction]],Places[],6,FALSE)</f>
        <v>17.08005864947074</v>
      </c>
      <c r="M408" s="27">
        <f>Budgets[[#This Row],[2018 $ Value]]/VLOOKUP(Budgets[[#This Row],[Jurisdiction]],Places[],7,FALSE)</f>
        <v>33963.69662447257</v>
      </c>
      <c r="N408" s="27"/>
      <c r="O408" s="27" t="s">
        <v>1460</v>
      </c>
      <c r="P408" s="4"/>
      <c r="Q408"/>
    </row>
    <row r="409" spans="1:17" x14ac:dyDescent="0.25">
      <c r="A409" s="19" t="s">
        <v>249</v>
      </c>
      <c r="B409" s="19" t="str">
        <f>INDEX(Places[Type],MATCH(Budgets[[#This Row],[Jurisdiction]],Places[Jurisdiction],0))</f>
        <v>City</v>
      </c>
      <c r="C409" s="19" t="str">
        <f>INDEX(Places[County],MATCH(Budgets[[#This Row],[Jurisdiction]],Places[Jurisdiction],0))</f>
        <v>San Bernardino</v>
      </c>
      <c r="D409" s="21" t="str">
        <f>INDEX(Places[Majority RB],MATCH(Budgets[[#This Row],[Jurisdiction]],Places[Jurisdiction],0))</f>
        <v>Santa Ana</v>
      </c>
      <c r="E409" s="19">
        <f>INDEX(Places[Majority RB '#],MATCH(Budgets[[#This Row],[Jurisdiction]],Places[Jurisdiction],0))</f>
        <v>8</v>
      </c>
      <c r="F409" s="19" t="str">
        <f>VLOOKUP(Budgets[[#This Row],[Jurisdiction]],Places[#All],8,FALSE)</f>
        <v>Phase I MS4</v>
      </c>
      <c r="G409" s="81"/>
      <c r="H409" s="21" t="s">
        <v>1869</v>
      </c>
      <c r="I409" s="21">
        <f>VALUE(LEFT(Budgets[[#This Row],[Fiscal Year]],4))</f>
        <v>2016</v>
      </c>
      <c r="J409" s="20">
        <v>1196600</v>
      </c>
      <c r="K409" s="27">
        <f>IF(Budgets[[#This Row],[Reference Year]]&gt;2018,Budgets[[#This Row],[Value]],Budgets[[#This Row],[Value]]*(1+VLOOKUP(Budgets[[#This Row],[Reference Year]],Inflation[#All],3,FALSE)))</f>
        <v>1254590.2275</v>
      </c>
      <c r="L409" s="27">
        <f>Budgets[[#This Row],[2018 $ Value]]/VLOOKUP(Budgets[[#This Row],[Jurisdiction]],Places[],6,FALSE)</f>
        <v>17.525636681753415</v>
      </c>
      <c r="M409" s="27">
        <f>Budgets[[#This Row],[2018 $ Value]]/VLOOKUP(Budgets[[#This Row],[Jurisdiction]],Places[],7,FALSE)</f>
        <v>34849.728541666671</v>
      </c>
      <c r="N409" s="27"/>
      <c r="O409" s="27" t="s">
        <v>1853</v>
      </c>
      <c r="P409" s="4"/>
      <c r="Q409"/>
    </row>
    <row r="410" spans="1:17" x14ac:dyDescent="0.25">
      <c r="A410" s="19" t="s">
        <v>148</v>
      </c>
      <c r="B410" s="19" t="str">
        <f>INDEX(Places[Type],MATCH(Budgets[[#This Row],[Jurisdiction]],Places[Jurisdiction],0))</f>
        <v>City</v>
      </c>
      <c r="C410" s="19" t="str">
        <f>INDEX(Places[County],MATCH(Budgets[[#This Row],[Jurisdiction]],Places[Jurisdiction],0))</f>
        <v>Los Angeles</v>
      </c>
      <c r="D410" s="21" t="str">
        <f>INDEX(Places[Majority RB],MATCH(Budgets[[#This Row],[Jurisdiction]],Places[Jurisdiction],0))</f>
        <v>Los Angeles</v>
      </c>
      <c r="E410" s="19">
        <f>INDEX(Places[Majority RB '#],MATCH(Budgets[[#This Row],[Jurisdiction]],Places[Jurisdiction],0))</f>
        <v>4</v>
      </c>
      <c r="F410" s="19" t="str">
        <f>VLOOKUP(Budgets[[#This Row],[Jurisdiction]],Places[#All],8,FALSE)</f>
        <v>Phase I MS4</v>
      </c>
      <c r="G410" s="81"/>
      <c r="H410" s="100" t="s">
        <v>1870</v>
      </c>
      <c r="I410" s="21">
        <f>VALUE(LEFT(Budgets[[#This Row],[Fiscal Year]],4))</f>
        <v>2011</v>
      </c>
      <c r="J410" s="20">
        <v>1782000</v>
      </c>
      <c r="K410" s="27">
        <f>IF(Budgets[[#This Row],[Reference Year]]&gt;2018,Budgets[[#This Row],[Value]],Budgets[[#This Row],[Value]]*(1+VLOOKUP(Budgets[[#This Row],[Reference Year]],Inflation[#All],3,FALSE)))</f>
        <v>1993803.6549577592</v>
      </c>
      <c r="L410" s="27">
        <f>Budgets[[#This Row],[2018 $ Value]]/VLOOKUP(Budgets[[#This Row],[Jurisdiction]],Places[],6,FALSE)</f>
        <v>29.576390775496339</v>
      </c>
      <c r="M410" s="27">
        <f>Budgets[[#This Row],[2018 $ Value]]/VLOOKUP(Budgets[[#This Row],[Jurisdiction]],Places[],7,FALSE)</f>
        <v>321581.23467060633</v>
      </c>
      <c r="N410" s="27"/>
      <c r="O410" s="27" t="s">
        <v>1460</v>
      </c>
      <c r="P410" s="4"/>
      <c r="Q410"/>
    </row>
    <row r="411" spans="1:17" x14ac:dyDescent="0.25">
      <c r="A411" s="19" t="s">
        <v>148</v>
      </c>
      <c r="B411" s="19" t="str">
        <f>INDEX(Places[Type],MATCH(Budgets[[#This Row],[Jurisdiction]],Places[Jurisdiction],0))</f>
        <v>City</v>
      </c>
      <c r="C411" s="19" t="str">
        <f>INDEX(Places[County],MATCH(Budgets[[#This Row],[Jurisdiction]],Places[Jurisdiction],0))</f>
        <v>Los Angeles</v>
      </c>
      <c r="D411" s="21" t="str">
        <f>INDEX(Places[Majority RB],MATCH(Budgets[[#This Row],[Jurisdiction]],Places[Jurisdiction],0))</f>
        <v>Los Angeles</v>
      </c>
      <c r="E411" s="19">
        <f>INDEX(Places[Majority RB '#],MATCH(Budgets[[#This Row],[Jurisdiction]],Places[Jurisdiction],0))</f>
        <v>4</v>
      </c>
      <c r="F411" s="19" t="str">
        <f>VLOOKUP(Budgets[[#This Row],[Jurisdiction]],Places[#All],8,FALSE)</f>
        <v>Phase I MS4</v>
      </c>
      <c r="G411" s="81"/>
      <c r="H411" s="100" t="s">
        <v>1871</v>
      </c>
      <c r="I411" s="21">
        <f>VALUE(LEFT(Budgets[[#This Row],[Fiscal Year]],4))</f>
        <v>2012</v>
      </c>
      <c r="J411" s="20">
        <v>1933000</v>
      </c>
      <c r="K411" s="27">
        <f>IF(Budgets[[#This Row],[Reference Year]]&gt;2018,Budgets[[#This Row],[Value]],Budgets[[#This Row],[Value]]*(1+VLOOKUP(Budgets[[#This Row],[Reference Year]],Inflation[#All],3,FALSE)))</f>
        <v>2118478.7587108016</v>
      </c>
      <c r="L411" s="27">
        <f>Budgets[[#This Row],[2018 $ Value]]/VLOOKUP(Budgets[[#This Row],[Jurisdiction]],Places[],6,FALSE)</f>
        <v>31.42584048405034</v>
      </c>
      <c r="M411" s="27">
        <f>Budgets[[#This Row],[2018 $ Value]]/VLOOKUP(Budgets[[#This Row],[Jurisdiction]],Places[],7,FALSE)</f>
        <v>341690.12237270991</v>
      </c>
      <c r="N411" s="27"/>
      <c r="O411" s="27" t="s">
        <v>1460</v>
      </c>
      <c r="P411" s="4"/>
      <c r="Q411"/>
    </row>
    <row r="412" spans="1:17" x14ac:dyDescent="0.25">
      <c r="A412" s="19" t="s">
        <v>148</v>
      </c>
      <c r="B412" s="19" t="str">
        <f>INDEX(Places[Type],MATCH(Budgets[[#This Row],[Jurisdiction]],Places[Jurisdiction],0))</f>
        <v>City</v>
      </c>
      <c r="C412" s="19" t="str">
        <f>INDEX(Places[County],MATCH(Budgets[[#This Row],[Jurisdiction]],Places[Jurisdiction],0))</f>
        <v>Los Angeles</v>
      </c>
      <c r="D412" s="21" t="str">
        <f>INDEX(Places[Majority RB],MATCH(Budgets[[#This Row],[Jurisdiction]],Places[Jurisdiction],0))</f>
        <v>Los Angeles</v>
      </c>
      <c r="E412" s="19">
        <f>INDEX(Places[Majority RB '#],MATCH(Budgets[[#This Row],[Jurisdiction]],Places[Jurisdiction],0))</f>
        <v>4</v>
      </c>
      <c r="F412" s="19" t="str">
        <f>VLOOKUP(Budgets[[#This Row],[Jurisdiction]],Places[#All],8,FALSE)</f>
        <v>Phase I MS4</v>
      </c>
      <c r="G412" s="81"/>
      <c r="H412" s="100" t="s">
        <v>1869</v>
      </c>
      <c r="I412" s="21">
        <f>VALUE(LEFT(Budgets[[#This Row],[Fiscal Year]],4))</f>
        <v>2016</v>
      </c>
      <c r="J412" s="20">
        <v>2439000</v>
      </c>
      <c r="K412" s="27">
        <f>IF(Budgets[[#This Row],[Reference Year]]&gt;2018,Budgets[[#This Row],[Value]],Budgets[[#This Row],[Value]]*(1+VLOOKUP(Budgets[[#This Row],[Reference Year]],Inflation[#All],3,FALSE)))</f>
        <v>2557200.0375000001</v>
      </c>
      <c r="L412" s="27">
        <f>Budgets[[#This Row],[2018 $ Value]]/VLOOKUP(Budgets[[#This Row],[Jurisdiction]],Places[],6,FALSE)</f>
        <v>37.933899565359283</v>
      </c>
      <c r="M412" s="27">
        <f>Budgets[[#This Row],[2018 $ Value]]/VLOOKUP(Budgets[[#This Row],[Jurisdiction]],Places[],7,FALSE)</f>
        <v>412451.61895161291</v>
      </c>
      <c r="N412" s="27"/>
      <c r="O412" s="27" t="s">
        <v>1853</v>
      </c>
      <c r="P412" s="4"/>
      <c r="Q412"/>
    </row>
    <row r="413" spans="1:17" x14ac:dyDescent="0.25">
      <c r="A413" s="19" t="s">
        <v>250</v>
      </c>
      <c r="B413" s="19" t="str">
        <f>INDEX(Places[Type],MATCH(Budgets[[#This Row],[Jurisdiction]],Places[Jurisdiction],0))</f>
        <v>City</v>
      </c>
      <c r="C413" s="19" t="str">
        <f>INDEX(Places[County],MATCH(Budgets[[#This Row],[Jurisdiction]],Places[Jurisdiction],0))</f>
        <v>San Bernardino</v>
      </c>
      <c r="D413" s="21" t="str">
        <f>INDEX(Places[Majority RB],MATCH(Budgets[[#This Row],[Jurisdiction]],Places[Jurisdiction],0))</f>
        <v>Santa Ana</v>
      </c>
      <c r="E413" s="19">
        <f>INDEX(Places[Majority RB '#],MATCH(Budgets[[#This Row],[Jurisdiction]],Places[Jurisdiction],0))</f>
        <v>8</v>
      </c>
      <c r="F413" s="19" t="str">
        <f>VLOOKUP(Budgets[[#This Row],[Jurisdiction]],Places[#All],8,FALSE)</f>
        <v>Phase I MS4</v>
      </c>
      <c r="G413" s="81"/>
      <c r="H413" s="21" t="s">
        <v>1871</v>
      </c>
      <c r="I413" s="21">
        <f>VALUE(LEFT(Budgets[[#This Row],[Fiscal Year]],4))</f>
        <v>2012</v>
      </c>
      <c r="J413" s="20">
        <v>572200</v>
      </c>
      <c r="K413" s="27">
        <f>IF(Budgets[[#This Row],[Reference Year]]&gt;2018,Budgets[[#This Row],[Value]],Budgets[[#This Row],[Value]]*(1+VLOOKUP(Budgets[[#This Row],[Reference Year]],Inflation[#All],3,FALSE)))</f>
        <v>627104.78310104529</v>
      </c>
      <c r="L413" s="27">
        <f>Budgets[[#This Row],[2018 $ Value]]/VLOOKUP(Budgets[[#This Row],[Jurisdiction]],Places[],6,FALSE)</f>
        <v>6.062497903142356</v>
      </c>
      <c r="M413" s="27">
        <f>Budgets[[#This Row],[2018 $ Value]]/VLOOKUP(Budgets[[#This Row],[Jurisdiction]],Places[],7,FALSE)</f>
        <v>28121.290722019967</v>
      </c>
      <c r="N413" s="27"/>
      <c r="O413" s="27" t="s">
        <v>1460</v>
      </c>
      <c r="P413" s="4"/>
      <c r="Q413"/>
    </row>
    <row r="414" spans="1:17" x14ac:dyDescent="0.25">
      <c r="A414" s="19" t="s">
        <v>250</v>
      </c>
      <c r="B414" s="19" t="str">
        <f>INDEX(Places[Type],MATCH(Budgets[[#This Row],[Jurisdiction]],Places[Jurisdiction],0))</f>
        <v>City</v>
      </c>
      <c r="C414" s="19" t="str">
        <f>INDEX(Places[County],MATCH(Budgets[[#This Row],[Jurisdiction]],Places[Jurisdiction],0))</f>
        <v>San Bernardino</v>
      </c>
      <c r="D414" s="21" t="str">
        <f>INDEX(Places[Majority RB],MATCH(Budgets[[#This Row],[Jurisdiction]],Places[Jurisdiction],0))</f>
        <v>Santa Ana</v>
      </c>
      <c r="E414" s="19">
        <f>INDEX(Places[Majority RB '#],MATCH(Budgets[[#This Row],[Jurisdiction]],Places[Jurisdiction],0))</f>
        <v>8</v>
      </c>
      <c r="F414" s="19" t="str">
        <f>VLOOKUP(Budgets[[#This Row],[Jurisdiction]],Places[#All],8,FALSE)</f>
        <v>Phase I MS4</v>
      </c>
      <c r="G414" s="81"/>
      <c r="H414" s="21" t="s">
        <v>1880</v>
      </c>
      <c r="I414" s="21">
        <f>VALUE(LEFT(Budgets[[#This Row],[Fiscal Year]],4))</f>
        <v>2013</v>
      </c>
      <c r="J414" s="20">
        <v>285000</v>
      </c>
      <c r="K414" s="27">
        <f>IF(Budgets[[#This Row],[Reference Year]]&gt;2018,Budgets[[#This Row],[Value]],Budgets[[#This Row],[Value]]*(1+VLOOKUP(Budgets[[#This Row],[Reference Year]],Inflation[#All],3,FALSE)))</f>
        <v>307788.99141630903</v>
      </c>
      <c r="L414" s="27">
        <f>Budgets[[#This Row],[2018 $ Value]]/VLOOKUP(Budgets[[#This Row],[Jurisdiction]],Places[],6,FALSE)</f>
        <v>2.9755316262210849</v>
      </c>
      <c r="M414" s="27">
        <f>Budgets[[#This Row],[2018 $ Value]]/VLOOKUP(Budgets[[#This Row],[Jurisdiction]],Places[],7,FALSE)</f>
        <v>13802.196924498163</v>
      </c>
      <c r="N414" s="27"/>
      <c r="O414" s="27" t="s">
        <v>1460</v>
      </c>
      <c r="P414" s="4"/>
      <c r="Q414"/>
    </row>
    <row r="415" spans="1:17" x14ac:dyDescent="0.25">
      <c r="A415" s="19" t="s">
        <v>250</v>
      </c>
      <c r="B415" s="19" t="str">
        <f>INDEX(Places[Type],MATCH(Budgets[[#This Row],[Jurisdiction]],Places[Jurisdiction],0))</f>
        <v>City</v>
      </c>
      <c r="C415" s="19" t="str">
        <f>INDEX(Places[County],MATCH(Budgets[[#This Row],[Jurisdiction]],Places[Jurisdiction],0))</f>
        <v>San Bernardino</v>
      </c>
      <c r="D415" s="21" t="str">
        <f>INDEX(Places[Majority RB],MATCH(Budgets[[#This Row],[Jurisdiction]],Places[Jurisdiction],0))</f>
        <v>Santa Ana</v>
      </c>
      <c r="E415" s="19">
        <f>INDEX(Places[Majority RB '#],MATCH(Budgets[[#This Row],[Jurisdiction]],Places[Jurisdiction],0))</f>
        <v>8</v>
      </c>
      <c r="F415" s="19" t="str">
        <f>VLOOKUP(Budgets[[#This Row],[Jurisdiction]],Places[#All],8,FALSE)</f>
        <v>Phase I MS4</v>
      </c>
      <c r="G415" s="81"/>
      <c r="H415" s="21" t="s">
        <v>1881</v>
      </c>
      <c r="I415" s="21">
        <f>VALUE(LEFT(Budgets[[#This Row],[Fiscal Year]],4))</f>
        <v>2014</v>
      </c>
      <c r="J415" s="20">
        <v>287370</v>
      </c>
      <c r="K415" s="27">
        <f>IF(Budgets[[#This Row],[Reference Year]]&gt;2018,Budgets[[#This Row],[Value]],Budgets[[#This Row],[Value]]*(1+VLOOKUP(Budgets[[#This Row],[Reference Year]],Inflation[#All],3,FALSE)))</f>
        <v>305497.25589353614</v>
      </c>
      <c r="L415" s="27">
        <f>Budgets[[#This Row],[2018 $ Value]]/VLOOKUP(Budgets[[#This Row],[Jurisdiction]],Places[],6,FALSE)</f>
        <v>2.9533764104170159</v>
      </c>
      <c r="M415" s="27">
        <f>Budgets[[#This Row],[2018 $ Value]]/VLOOKUP(Budgets[[#This Row],[Jurisdiction]],Places[],7,FALSE)</f>
        <v>13699.428515405209</v>
      </c>
      <c r="N415" s="27"/>
      <c r="O415" s="27" t="s">
        <v>1460</v>
      </c>
      <c r="P415" s="4"/>
      <c r="Q415"/>
    </row>
    <row r="416" spans="1:17" x14ac:dyDescent="0.25">
      <c r="A416" s="19" t="s">
        <v>250</v>
      </c>
      <c r="B416" s="19" t="str">
        <f>INDEX(Places[Type],MATCH(Budgets[[#This Row],[Jurisdiction]],Places[Jurisdiction],0))</f>
        <v>City</v>
      </c>
      <c r="C416" s="19" t="str">
        <f>INDEX(Places[County],MATCH(Budgets[[#This Row],[Jurisdiction]],Places[Jurisdiction],0))</f>
        <v>San Bernardino</v>
      </c>
      <c r="D416" s="21" t="str">
        <f>INDEX(Places[Majority RB],MATCH(Budgets[[#This Row],[Jurisdiction]],Places[Jurisdiction],0))</f>
        <v>Santa Ana</v>
      </c>
      <c r="E416" s="19">
        <f>INDEX(Places[Majority RB '#],MATCH(Budgets[[#This Row],[Jurisdiction]],Places[Jurisdiction],0))</f>
        <v>8</v>
      </c>
      <c r="F416" s="19" t="str">
        <f>VLOOKUP(Budgets[[#This Row],[Jurisdiction]],Places[#All],8,FALSE)</f>
        <v>Phase I MS4</v>
      </c>
      <c r="G416" s="81"/>
      <c r="H416" s="21" t="s">
        <v>1873</v>
      </c>
      <c r="I416" s="21">
        <f>VALUE(LEFT(Budgets[[#This Row],[Fiscal Year]],4))</f>
        <v>2015</v>
      </c>
      <c r="J416" s="20">
        <v>296365</v>
      </c>
      <c r="K416" s="27">
        <f>IF(Budgets[[#This Row],[Reference Year]]&gt;2018,Budgets[[#This Row],[Value]],Budgets[[#This Row],[Value]]*(1+VLOOKUP(Budgets[[#This Row],[Reference Year]],Inflation[#All],3,FALSE)))</f>
        <v>314660.84943037975</v>
      </c>
      <c r="L416" s="27">
        <f>Budgets[[#This Row],[2018 $ Value]]/VLOOKUP(Budgets[[#This Row],[Jurisdiction]],Places[],6,FALSE)</f>
        <v>3.0419649016858057</v>
      </c>
      <c r="M416" s="27">
        <f>Budgets[[#This Row],[2018 $ Value]]/VLOOKUP(Budgets[[#This Row],[Jurisdiction]],Places[],7,FALSE)</f>
        <v>14110.351992393711</v>
      </c>
      <c r="N416" s="27"/>
      <c r="O416" s="27" t="s">
        <v>1460</v>
      </c>
      <c r="P416" s="4"/>
      <c r="Q416"/>
    </row>
    <row r="417" spans="1:17" x14ac:dyDescent="0.25">
      <c r="A417" s="19" t="s">
        <v>250</v>
      </c>
      <c r="B417" s="19" t="str">
        <f>INDEX(Places[Type],MATCH(Budgets[[#This Row],[Jurisdiction]],Places[Jurisdiction],0))</f>
        <v>City</v>
      </c>
      <c r="C417" s="19" t="str">
        <f>INDEX(Places[County],MATCH(Budgets[[#This Row],[Jurisdiction]],Places[Jurisdiction],0))</f>
        <v>San Bernardino</v>
      </c>
      <c r="D417" s="21" t="str">
        <f>INDEX(Places[Majority RB],MATCH(Budgets[[#This Row],[Jurisdiction]],Places[Jurisdiction],0))</f>
        <v>Santa Ana</v>
      </c>
      <c r="E417" s="19">
        <f>INDEX(Places[Majority RB '#],MATCH(Budgets[[#This Row],[Jurisdiction]],Places[Jurisdiction],0))</f>
        <v>8</v>
      </c>
      <c r="F417" s="19" t="str">
        <f>VLOOKUP(Budgets[[#This Row],[Jurisdiction]],Places[#All],8,FALSE)</f>
        <v>Phase I MS4</v>
      </c>
      <c r="G417" s="81"/>
      <c r="H417" s="21" t="s">
        <v>1869</v>
      </c>
      <c r="I417" s="21">
        <f>VALUE(LEFT(Budgets[[#This Row],[Fiscal Year]],4))</f>
        <v>2016</v>
      </c>
      <c r="J417" s="20">
        <v>291850</v>
      </c>
      <c r="K417" s="27">
        <f>IF(Budgets[[#This Row],[Reference Year]]&gt;2018,Budgets[[#This Row],[Value]],Budgets[[#This Row],[Value]]*(1+VLOOKUP(Budgets[[#This Row],[Reference Year]],Inflation[#All],3,FALSE)))</f>
        <v>305993.78062500001</v>
      </c>
      <c r="L417" s="27">
        <f>Budgets[[#This Row],[2018 $ Value]]/VLOOKUP(Budgets[[#This Row],[Jurisdiction]],Places[],6,FALSE)</f>
        <v>2.9581765334976797</v>
      </c>
      <c r="M417" s="27">
        <f>Budgets[[#This Row],[2018 $ Value]]/VLOOKUP(Budgets[[#This Row],[Jurisdiction]],Places[],7,FALSE)</f>
        <v>13721.694198430494</v>
      </c>
      <c r="N417" s="27"/>
      <c r="O417" s="27" t="s">
        <v>1853</v>
      </c>
      <c r="P417" s="4"/>
      <c r="Q417"/>
    </row>
    <row r="418" spans="1:17" x14ac:dyDescent="0.25">
      <c r="A418" s="19" t="s">
        <v>1446</v>
      </c>
      <c r="B418" s="19" t="str">
        <f>INDEX(Places[Type],MATCH(Budgets[[#This Row],[Jurisdiction]],Places[Jurisdiction],0))</f>
        <v>County</v>
      </c>
      <c r="C418" s="19" t="str">
        <f>INDEX(Places[County],MATCH(Budgets[[#This Row],[Jurisdiction]],Places[Jurisdiction],0))</f>
        <v>Riverside</v>
      </c>
      <c r="D418" s="21" t="str">
        <f>INDEX(Places[Majority RB],MATCH(Budgets[[#This Row],[Jurisdiction]],Places[Jurisdiction],0))</f>
        <v>Santa Ana</v>
      </c>
      <c r="E418" s="19">
        <f>INDEX(Places[Majority RB '#],MATCH(Budgets[[#This Row],[Jurisdiction]],Places[Jurisdiction],0))</f>
        <v>8</v>
      </c>
      <c r="F418" s="19" t="str">
        <f>VLOOKUP(Budgets[[#This Row],[Jurisdiction]],Places[#All],8,FALSE)</f>
        <v>Phase I MS4</v>
      </c>
      <c r="G418" s="81"/>
      <c r="H418" s="21" t="s">
        <v>1869</v>
      </c>
      <c r="I418" s="21">
        <f>VALUE(LEFT(Budgets[[#This Row],[Fiscal Year]],4))</f>
        <v>2016</v>
      </c>
      <c r="J418" s="20">
        <v>5145299</v>
      </c>
      <c r="K418" s="27">
        <f>IF(Budgets[[#This Row],[Reference Year]]&gt;2018,Budgets[[#This Row],[Value]],Budgets[[#This Row],[Value]]*(1+VLOOKUP(Budgets[[#This Row],[Reference Year]],Inflation[#All],3,FALSE)))</f>
        <v>5394653.0527875004</v>
      </c>
      <c r="L418" s="27" t="e">
        <f>Budgets[[#This Row],[2018 $ Value]]/VLOOKUP(Budgets[[#This Row],[Jurisdiction]],Places[],6,FALSE)</f>
        <v>#N/A</v>
      </c>
      <c r="M418" s="27" t="e">
        <f>Budgets[[#This Row],[2018 $ Value]]/VLOOKUP(Budgets[[#This Row],[Jurisdiction]],Places[],7,FALSE)</f>
        <v>#N/A</v>
      </c>
      <c r="N418" s="27"/>
      <c r="O418" s="27" t="s">
        <v>1460</v>
      </c>
      <c r="P418" s="4"/>
      <c r="Q418"/>
    </row>
    <row r="419" spans="1:17" x14ac:dyDescent="0.25">
      <c r="A419" s="19" t="s">
        <v>1446</v>
      </c>
      <c r="B419" s="19" t="str">
        <f>INDEX(Places[Type],MATCH(Budgets[[#This Row],[Jurisdiction]],Places[Jurisdiction],0))</f>
        <v>County</v>
      </c>
      <c r="C419" s="19" t="str">
        <f>INDEX(Places[County],MATCH(Budgets[[#This Row],[Jurisdiction]],Places[Jurisdiction],0))</f>
        <v>Riverside</v>
      </c>
      <c r="D419" s="21" t="str">
        <f>INDEX(Places[Majority RB],MATCH(Budgets[[#This Row],[Jurisdiction]],Places[Jurisdiction],0))</f>
        <v>Santa Ana</v>
      </c>
      <c r="E419" s="19">
        <f>INDEX(Places[Majority RB '#],MATCH(Budgets[[#This Row],[Jurisdiction]],Places[Jurisdiction],0))</f>
        <v>8</v>
      </c>
      <c r="F419" s="19" t="str">
        <f>VLOOKUP(Budgets[[#This Row],[Jurisdiction]],Places[#All],8,FALSE)</f>
        <v>Phase I MS4</v>
      </c>
      <c r="G419" s="81"/>
      <c r="H419" s="21" t="s">
        <v>1869</v>
      </c>
      <c r="I419" s="21">
        <f>VALUE(LEFT(Budgets[[#This Row],[Fiscal Year]],4))</f>
        <v>2016</v>
      </c>
      <c r="J419" s="20">
        <v>7332750</v>
      </c>
      <c r="K419" s="27">
        <f>IF(Budgets[[#This Row],[Reference Year]]&gt;2018,Budgets[[#This Row],[Value]],Budgets[[#This Row],[Value]]*(1+VLOOKUP(Budgets[[#This Row],[Reference Year]],Inflation[#All],3,FALSE)))</f>
        <v>7688113.3968750006</v>
      </c>
      <c r="L419" s="27" t="e">
        <f>Budgets[[#This Row],[2018 $ Value]]/VLOOKUP(Budgets[[#This Row],[Jurisdiction]],Places[],6,FALSE)</f>
        <v>#N/A</v>
      </c>
      <c r="M419" s="27" t="e">
        <f>Budgets[[#This Row],[2018 $ Value]]/VLOOKUP(Budgets[[#This Row],[Jurisdiction]],Places[],7,FALSE)</f>
        <v>#N/A</v>
      </c>
      <c r="N419" s="27"/>
      <c r="O419" s="27" t="s">
        <v>1460</v>
      </c>
      <c r="P419" s="4"/>
      <c r="Q419"/>
    </row>
    <row r="420" spans="1:17" x14ac:dyDescent="0.25">
      <c r="A420" s="19" t="s">
        <v>1446</v>
      </c>
      <c r="B420" s="19" t="str">
        <f>INDEX(Places[Type],MATCH(Budgets[[#This Row],[Jurisdiction]],Places[Jurisdiction],0))</f>
        <v>County</v>
      </c>
      <c r="C420" s="19" t="str">
        <f>INDEX(Places[County],MATCH(Budgets[[#This Row],[Jurisdiction]],Places[Jurisdiction],0))</f>
        <v>Riverside</v>
      </c>
      <c r="D420" s="21" t="str">
        <f>INDEX(Places[Majority RB],MATCH(Budgets[[#This Row],[Jurisdiction]],Places[Jurisdiction],0))</f>
        <v>Santa Ana</v>
      </c>
      <c r="E420" s="19">
        <f>INDEX(Places[Majority RB '#],MATCH(Budgets[[#This Row],[Jurisdiction]],Places[Jurisdiction],0))</f>
        <v>8</v>
      </c>
      <c r="F420" s="19" t="str">
        <f>VLOOKUP(Budgets[[#This Row],[Jurisdiction]],Places[#All],8,FALSE)</f>
        <v>Phase I MS4</v>
      </c>
      <c r="G420" s="81"/>
      <c r="H420" s="21" t="s">
        <v>1876</v>
      </c>
      <c r="I420" s="21">
        <f>VALUE(LEFT(Budgets[[#This Row],[Fiscal Year]],4))</f>
        <v>2018</v>
      </c>
      <c r="J420" s="20">
        <v>12541826</v>
      </c>
      <c r="K420" s="27">
        <f>IF(Budgets[[#This Row],[Reference Year]]&gt;2018,Budgets[[#This Row],[Value]],Budgets[[#This Row],[Value]]*(1+VLOOKUP(Budgets[[#This Row],[Reference Year]],Inflation[#All],3,FALSE)))</f>
        <v>12541826</v>
      </c>
      <c r="L420" s="27" t="e">
        <f>Budgets[[#This Row],[2018 $ Value]]/VLOOKUP(Budgets[[#This Row],[Jurisdiction]],Places[],6,FALSE)</f>
        <v>#N/A</v>
      </c>
      <c r="M420" s="27" t="e">
        <f>Budgets[[#This Row],[2018 $ Value]]/VLOOKUP(Budgets[[#This Row],[Jurisdiction]],Places[],7,FALSE)</f>
        <v>#N/A</v>
      </c>
      <c r="N420" s="27"/>
      <c r="O420" s="27" t="s">
        <v>1853</v>
      </c>
      <c r="P420" s="4"/>
      <c r="Q420"/>
    </row>
    <row r="421" spans="1:17" x14ac:dyDescent="0.25">
      <c r="A421" s="19" t="s">
        <v>1438</v>
      </c>
      <c r="B421" s="19" t="str">
        <f>INDEX(Places[Type],MATCH(Budgets[[#This Row],[Jurisdiction]],Places[Jurisdiction],0))</f>
        <v>FCD</v>
      </c>
      <c r="C421" s="19" t="str">
        <f>INDEX(Places[County],MATCH(Budgets[[#This Row],[Jurisdiction]],Places[Jurisdiction],0))</f>
        <v>Riverside</v>
      </c>
      <c r="D421" s="21" t="str">
        <f>INDEX(Places[Majority RB],MATCH(Budgets[[#This Row],[Jurisdiction]],Places[Jurisdiction],0))</f>
        <v>Santa Ana</v>
      </c>
      <c r="E421" s="19">
        <f>INDEX(Places[Majority RB '#],MATCH(Budgets[[#This Row],[Jurisdiction]],Places[Jurisdiction],0))</f>
        <v>8</v>
      </c>
      <c r="F421" s="19" t="str">
        <f>VLOOKUP(Budgets[[#This Row],[Jurisdiction]],Places[#All],8,FALSE)</f>
        <v>Phase I MS4</v>
      </c>
      <c r="G421" s="81"/>
      <c r="H421" s="21" t="s">
        <v>1869</v>
      </c>
      <c r="I421" s="21">
        <f>VALUE(LEFT(Budgets[[#This Row],[Fiscal Year]],4))</f>
        <v>2016</v>
      </c>
      <c r="J421" s="20">
        <v>3267486</v>
      </c>
      <c r="K421" s="27">
        <f>IF(Budgets[[#This Row],[Reference Year]]&gt;2018,Budgets[[#This Row],[Value]],Budgets[[#This Row],[Value]]*(1+VLOOKUP(Budgets[[#This Row],[Reference Year]],Inflation[#All],3,FALSE)))</f>
        <v>3425836.540275</v>
      </c>
      <c r="L421" s="27" t="e">
        <f>Budgets[[#This Row],[2018 $ Value]]/VLOOKUP(Budgets[[#This Row],[Jurisdiction]],Places[],6,FALSE)</f>
        <v>#N/A</v>
      </c>
      <c r="M421" s="27" t="e">
        <f>Budgets[[#This Row],[2018 $ Value]]/VLOOKUP(Budgets[[#This Row],[Jurisdiction]],Places[],7,FALSE)</f>
        <v>#N/A</v>
      </c>
      <c r="N421" s="27"/>
      <c r="O421" s="27" t="s">
        <v>1853</v>
      </c>
      <c r="P421" s="4"/>
      <c r="Q421"/>
    </row>
    <row r="422" spans="1:17" x14ac:dyDescent="0.25">
      <c r="A422" s="19" t="s">
        <v>185</v>
      </c>
      <c r="B422" s="19" t="str">
        <f>INDEX(Places[Type],MATCH(Budgets[[#This Row],[Jurisdiction]],Places[Jurisdiction],0))</f>
        <v>City</v>
      </c>
      <c r="C422" s="19" t="str">
        <f>INDEX(Places[County],MATCH(Budgets[[#This Row],[Jurisdiction]],Places[Jurisdiction],0))</f>
        <v>Los Angeles</v>
      </c>
      <c r="D422" s="21" t="str">
        <f>INDEX(Places[Majority RB],MATCH(Budgets[[#This Row],[Jurisdiction]],Places[Jurisdiction],0))</f>
        <v>Los Angeles</v>
      </c>
      <c r="E422" s="19">
        <f>INDEX(Places[Majority RB '#],MATCH(Budgets[[#This Row],[Jurisdiction]],Places[Jurisdiction],0))</f>
        <v>4</v>
      </c>
      <c r="F422" s="19" t="str">
        <f>VLOOKUP(Budgets[[#This Row],[Jurisdiction]],Places[#All],8,FALSE)</f>
        <v>Phase I MS4</v>
      </c>
      <c r="G422" s="81"/>
      <c r="H422" s="21" t="s">
        <v>1870</v>
      </c>
      <c r="I422" s="21">
        <f>VALUE(LEFT(Budgets[[#This Row],[Fiscal Year]],4))</f>
        <v>2011</v>
      </c>
      <c r="J422" s="20">
        <v>65066</v>
      </c>
      <c r="K422" s="27">
        <f>IF(Budgets[[#This Row],[Reference Year]]&gt;2018,Budgets[[#This Row],[Value]],Budgets[[#This Row],[Value]]*(1+VLOOKUP(Budgets[[#This Row],[Reference Year]],Inflation[#All],3,FALSE)))</f>
        <v>72799.567123165849</v>
      </c>
      <c r="L422" s="27">
        <f>Budgets[[#This Row],[2018 $ Value]]/VLOOKUP(Budgets[[#This Row],[Jurisdiction]],Places[],6,FALSE)</f>
        <v>38.992805100785134</v>
      </c>
      <c r="M422" s="27">
        <f>Budgets[[#This Row],[2018 $ Value]]/VLOOKUP(Budgets[[#This Row],[Jurisdiction]],Places[],7,FALSE)</f>
        <v>24266.522374388616</v>
      </c>
      <c r="N422" s="27"/>
      <c r="O422" s="27" t="s">
        <v>1460</v>
      </c>
      <c r="P422" s="4"/>
      <c r="Q422"/>
    </row>
    <row r="423" spans="1:17" x14ac:dyDescent="0.25">
      <c r="A423" s="19" t="s">
        <v>185</v>
      </c>
      <c r="B423" s="19" t="str">
        <f>INDEX(Places[Type],MATCH(Budgets[[#This Row],[Jurisdiction]],Places[Jurisdiction],0))</f>
        <v>City</v>
      </c>
      <c r="C423" s="19" t="str">
        <f>INDEX(Places[County],MATCH(Budgets[[#This Row],[Jurisdiction]],Places[Jurisdiction],0))</f>
        <v>Los Angeles</v>
      </c>
      <c r="D423" s="21" t="str">
        <f>INDEX(Places[Majority RB],MATCH(Budgets[[#This Row],[Jurisdiction]],Places[Jurisdiction],0))</f>
        <v>Los Angeles</v>
      </c>
      <c r="E423" s="19">
        <f>INDEX(Places[Majority RB '#],MATCH(Budgets[[#This Row],[Jurisdiction]],Places[Jurisdiction],0))</f>
        <v>4</v>
      </c>
      <c r="F423" s="19" t="str">
        <f>VLOOKUP(Budgets[[#This Row],[Jurisdiction]],Places[#All],8,FALSE)</f>
        <v>Phase I MS4</v>
      </c>
      <c r="G423" s="81"/>
      <c r="H423" s="21" t="s">
        <v>1871</v>
      </c>
      <c r="I423" s="21">
        <f>VALUE(LEFT(Budgets[[#This Row],[Fiscal Year]],4))</f>
        <v>2012</v>
      </c>
      <c r="J423" s="20">
        <v>69428</v>
      </c>
      <c r="K423" s="27">
        <f>IF(Budgets[[#This Row],[Reference Year]]&gt;2018,Budgets[[#This Row],[Value]],Budgets[[#This Row],[Value]]*(1+VLOOKUP(Budgets[[#This Row],[Reference Year]],Inflation[#All],3,FALSE)))</f>
        <v>76089.882700348433</v>
      </c>
      <c r="L423" s="27">
        <f>Budgets[[#This Row],[2018 $ Value]]/VLOOKUP(Budgets[[#This Row],[Jurisdiction]],Places[],6,FALSE)</f>
        <v>40.755159453855612</v>
      </c>
      <c r="M423" s="27">
        <f>Budgets[[#This Row],[2018 $ Value]]/VLOOKUP(Budgets[[#This Row],[Jurisdiction]],Places[],7,FALSE)</f>
        <v>25363.294233449476</v>
      </c>
      <c r="N423" s="27"/>
      <c r="O423" s="27" t="s">
        <v>1460</v>
      </c>
      <c r="P423" s="4"/>
      <c r="Q423"/>
    </row>
    <row r="424" spans="1:17" x14ac:dyDescent="0.25">
      <c r="A424" s="19" t="s">
        <v>185</v>
      </c>
      <c r="B424" s="19" t="str">
        <f>INDEX(Places[Type],MATCH(Budgets[[#This Row],[Jurisdiction]],Places[Jurisdiction],0))</f>
        <v>City</v>
      </c>
      <c r="C424" s="19" t="str">
        <f>INDEX(Places[County],MATCH(Budgets[[#This Row],[Jurisdiction]],Places[Jurisdiction],0))</f>
        <v>Los Angeles</v>
      </c>
      <c r="D424" s="21" t="str">
        <f>INDEX(Places[Majority RB],MATCH(Budgets[[#This Row],[Jurisdiction]],Places[Jurisdiction],0))</f>
        <v>Los Angeles</v>
      </c>
      <c r="E424" s="19">
        <f>INDEX(Places[Majority RB '#],MATCH(Budgets[[#This Row],[Jurisdiction]],Places[Jurisdiction],0))</f>
        <v>4</v>
      </c>
      <c r="F424" s="19" t="str">
        <f>VLOOKUP(Budgets[[#This Row],[Jurisdiction]],Places[#All],8,FALSE)</f>
        <v>Phase I MS4</v>
      </c>
      <c r="G424" s="81"/>
      <c r="H424" s="21" t="s">
        <v>1869</v>
      </c>
      <c r="I424" s="21">
        <f>VALUE(LEFT(Budgets[[#This Row],[Fiscal Year]],4))</f>
        <v>2016</v>
      </c>
      <c r="J424" s="20">
        <v>104422</v>
      </c>
      <c r="K424" s="27">
        <f>IF(Budgets[[#This Row],[Reference Year]]&gt;2018,Budgets[[#This Row],[Value]],Budgets[[#This Row],[Value]]*(1+VLOOKUP(Budgets[[#This Row],[Reference Year]],Inflation[#All],3,FALSE)))</f>
        <v>109482.55117500002</v>
      </c>
      <c r="L424" s="27">
        <f>Budgets[[#This Row],[2018 $ Value]]/VLOOKUP(Budgets[[#This Row],[Jurisdiction]],Places[],6,FALSE)</f>
        <v>58.640895112479924</v>
      </c>
      <c r="M424" s="27">
        <f>Budgets[[#This Row],[2018 $ Value]]/VLOOKUP(Budgets[[#This Row],[Jurisdiction]],Places[],7,FALSE)</f>
        <v>36494.183725000003</v>
      </c>
      <c r="N424" s="27"/>
      <c r="O424" s="27" t="s">
        <v>1853</v>
      </c>
      <c r="P424" s="4"/>
      <c r="Q424"/>
    </row>
    <row r="425" spans="1:17" x14ac:dyDescent="0.25">
      <c r="A425" s="19" t="s">
        <v>177</v>
      </c>
      <c r="B425" s="19" t="str">
        <f>INDEX(Places[Type],MATCH(Budgets[[#This Row],[Jurisdiction]],Places[Jurisdiction],0))</f>
        <v>City</v>
      </c>
      <c r="C425" s="19" t="str">
        <f>INDEX(Places[County],MATCH(Budgets[[#This Row],[Jurisdiction]],Places[Jurisdiction],0))</f>
        <v>Los Angeles</v>
      </c>
      <c r="D425" s="21" t="str">
        <f>INDEX(Places[Majority RB],MATCH(Budgets[[#This Row],[Jurisdiction]],Places[Jurisdiction],0))</f>
        <v>Los Angeles</v>
      </c>
      <c r="E425" s="19">
        <f>INDEX(Places[Majority RB '#],MATCH(Budgets[[#This Row],[Jurisdiction]],Places[Jurisdiction],0))</f>
        <v>4</v>
      </c>
      <c r="F425" s="19" t="str">
        <f>VLOOKUP(Budgets[[#This Row],[Jurisdiction]],Places[#All],8,FALSE)</f>
        <v>Phase I MS4</v>
      </c>
      <c r="G425" s="81"/>
      <c r="H425" s="100" t="s">
        <v>1870</v>
      </c>
      <c r="I425" s="21">
        <f>VALUE(LEFT(Budgets[[#This Row],[Fiscal Year]],4))</f>
        <v>2011</v>
      </c>
      <c r="J425" s="20">
        <v>324966</v>
      </c>
      <c r="K425" s="27">
        <f>IF(Budgets[[#This Row],[Reference Year]]&gt;2018,Budgets[[#This Row],[Value]],Budgets[[#This Row],[Value]]*(1+VLOOKUP(Budgets[[#This Row],[Reference Year]],Inflation[#All],3,FALSE)))</f>
        <v>363590.57156958652</v>
      </c>
      <c r="L425" s="27">
        <f>Budgets[[#This Row],[2018 $ Value]]/VLOOKUP(Budgets[[#This Row],[Jurisdiction]],Places[],6,FALSE)</f>
        <v>44.661659694089977</v>
      </c>
      <c r="M425" s="27">
        <f>Budgets[[#This Row],[2018 $ Value]]/VLOOKUP(Budgets[[#This Row],[Jurisdiction]],Places[],7,FALSE)</f>
        <v>100997.38099155181</v>
      </c>
      <c r="N425" s="27"/>
      <c r="O425" s="27" t="s">
        <v>1460</v>
      </c>
      <c r="P425" s="4"/>
      <c r="Q425"/>
    </row>
    <row r="426" spans="1:17" x14ac:dyDescent="0.25">
      <c r="A426" s="19" t="s">
        <v>177</v>
      </c>
      <c r="B426" s="19" t="str">
        <f>INDEX(Places[Type],MATCH(Budgets[[#This Row],[Jurisdiction]],Places[Jurisdiction],0))</f>
        <v>City</v>
      </c>
      <c r="C426" s="19" t="str">
        <f>INDEX(Places[County],MATCH(Budgets[[#This Row],[Jurisdiction]],Places[Jurisdiction],0))</f>
        <v>Los Angeles</v>
      </c>
      <c r="D426" s="21" t="str">
        <f>INDEX(Places[Majority RB],MATCH(Budgets[[#This Row],[Jurisdiction]],Places[Jurisdiction],0))</f>
        <v>Los Angeles</v>
      </c>
      <c r="E426" s="19">
        <f>INDEX(Places[Majority RB '#],MATCH(Budgets[[#This Row],[Jurisdiction]],Places[Jurisdiction],0))</f>
        <v>4</v>
      </c>
      <c r="F426" s="19" t="str">
        <f>VLOOKUP(Budgets[[#This Row],[Jurisdiction]],Places[#All],8,FALSE)</f>
        <v>Phase I MS4</v>
      </c>
      <c r="G426" s="81"/>
      <c r="H426" s="100" t="s">
        <v>1871</v>
      </c>
      <c r="I426" s="21">
        <f>VALUE(LEFT(Budgets[[#This Row],[Fiscal Year]],4))</f>
        <v>2012</v>
      </c>
      <c r="J426" s="20">
        <v>307705</v>
      </c>
      <c r="K426" s="27">
        <f>IF(Budgets[[#This Row],[Reference Year]]&gt;2018,Budgets[[#This Row],[Value]],Budgets[[#This Row],[Value]]*(1+VLOOKUP(Budgets[[#This Row],[Reference Year]],Inflation[#All],3,FALSE)))</f>
        <v>337230.47410714289</v>
      </c>
      <c r="L426" s="27">
        <f>Budgets[[#This Row],[2018 $ Value]]/VLOOKUP(Budgets[[#This Row],[Jurisdiction]],Places[],6,FALSE)</f>
        <v>41.423716264235708</v>
      </c>
      <c r="M426" s="27">
        <f>Budgets[[#This Row],[2018 $ Value]]/VLOOKUP(Budgets[[#This Row],[Jurisdiction]],Places[],7,FALSE)</f>
        <v>93675.13169642858</v>
      </c>
      <c r="N426" s="27"/>
      <c r="O426" s="27" t="s">
        <v>1460</v>
      </c>
      <c r="P426" s="4"/>
      <c r="Q426"/>
    </row>
    <row r="427" spans="1:17" x14ac:dyDescent="0.25">
      <c r="A427" s="19" t="s">
        <v>177</v>
      </c>
      <c r="B427" s="19" t="str">
        <f>INDEX(Places[Type],MATCH(Budgets[[#This Row],[Jurisdiction]],Places[Jurisdiction],0))</f>
        <v>City</v>
      </c>
      <c r="C427" s="19" t="str">
        <f>INDEX(Places[County],MATCH(Budgets[[#This Row],[Jurisdiction]],Places[Jurisdiction],0))</f>
        <v>Los Angeles</v>
      </c>
      <c r="D427" s="21" t="str">
        <f>INDEX(Places[Majority RB],MATCH(Budgets[[#This Row],[Jurisdiction]],Places[Jurisdiction],0))</f>
        <v>Los Angeles</v>
      </c>
      <c r="E427" s="19">
        <f>INDEX(Places[Majority RB '#],MATCH(Budgets[[#This Row],[Jurisdiction]],Places[Jurisdiction],0))</f>
        <v>4</v>
      </c>
      <c r="F427" s="19" t="str">
        <f>VLOOKUP(Budgets[[#This Row],[Jurisdiction]],Places[#All],8,FALSE)</f>
        <v>Phase I MS4</v>
      </c>
      <c r="G427" s="81"/>
      <c r="H427" s="100" t="s">
        <v>1869</v>
      </c>
      <c r="I427" s="21">
        <f>VALUE(LEFT(Budgets[[#This Row],[Fiscal Year]],4))</f>
        <v>2016</v>
      </c>
      <c r="J427" s="20">
        <v>684965</v>
      </c>
      <c r="K427" s="27">
        <f>IF(Budgets[[#This Row],[Reference Year]]&gt;2018,Budgets[[#This Row],[Value]],Budgets[[#This Row],[Value]]*(1+VLOOKUP(Budgets[[#This Row],[Reference Year]],Inflation[#All],3,FALSE)))</f>
        <v>718160.11631250009</v>
      </c>
      <c r="L427" s="27">
        <f>Budgets[[#This Row],[2018 $ Value]]/VLOOKUP(Budgets[[#This Row],[Jurisdiction]],Places[],6,FALSE)</f>
        <v>88.215221264279577</v>
      </c>
      <c r="M427" s="27">
        <f>Budgets[[#This Row],[2018 $ Value]]/VLOOKUP(Budgets[[#This Row],[Jurisdiction]],Places[],7,FALSE)</f>
        <v>199488.92119791667</v>
      </c>
      <c r="N427" s="27"/>
      <c r="O427" s="27" t="s">
        <v>1853</v>
      </c>
      <c r="P427" s="4"/>
      <c r="Q427"/>
    </row>
    <row r="428" spans="1:17" x14ac:dyDescent="0.25">
      <c r="A428" s="19" t="s">
        <v>194</v>
      </c>
      <c r="B428" s="19" t="str">
        <f>INDEX(Places[Type],MATCH(Budgets[[#This Row],[Jurisdiction]],Places[Jurisdiction],0))</f>
        <v>City</v>
      </c>
      <c r="C428" s="19" t="str">
        <f>INDEX(Places[County],MATCH(Budgets[[#This Row],[Jurisdiction]],Places[Jurisdiction],0))</f>
        <v>Los Angeles</v>
      </c>
      <c r="D428" s="21" t="str">
        <f>INDEX(Places[Majority RB],MATCH(Budgets[[#This Row],[Jurisdiction]],Places[Jurisdiction],0))</f>
        <v>Los Angeles</v>
      </c>
      <c r="E428" s="19">
        <f>INDEX(Places[Majority RB '#],MATCH(Budgets[[#This Row],[Jurisdiction]],Places[Jurisdiction],0))</f>
        <v>4</v>
      </c>
      <c r="F428" s="19" t="str">
        <f>VLOOKUP(Budgets[[#This Row],[Jurisdiction]],Places[#All],8,FALSE)</f>
        <v>Phase I MS4</v>
      </c>
      <c r="G428" s="81"/>
      <c r="H428" s="21" t="s">
        <v>1870</v>
      </c>
      <c r="I428" s="21">
        <f>VALUE(LEFT(Budgets[[#This Row],[Fiscal Year]],4))</f>
        <v>2011</v>
      </c>
      <c r="J428" s="20">
        <v>432000</v>
      </c>
      <c r="K428" s="27">
        <f>IF(Budgets[[#This Row],[Reference Year]]&gt;2018,Budgets[[#This Row],[Value]],Budgets[[#This Row],[Value]]*(1+VLOOKUP(Budgets[[#This Row],[Reference Year]],Inflation[#All],3,FALSE)))</f>
        <v>483346.34059582039</v>
      </c>
      <c r="L428" s="27">
        <f>Budgets[[#This Row],[2018 $ Value]]/VLOOKUP(Budgets[[#This Row],[Jurisdiction]],Places[],6,FALSE)</f>
        <v>8.8830835219403887</v>
      </c>
      <c r="M428" s="27">
        <f>Budgets[[#This Row],[2018 $ Value]]/VLOOKUP(Budgets[[#This Row],[Jurisdiction]],Places[],7,FALSE)</f>
        <v>92951.219345350066</v>
      </c>
      <c r="N428" s="27"/>
      <c r="O428" s="27" t="s">
        <v>1460</v>
      </c>
      <c r="P428" s="4"/>
      <c r="Q428"/>
    </row>
    <row r="429" spans="1:17" x14ac:dyDescent="0.25">
      <c r="A429" s="19" t="s">
        <v>194</v>
      </c>
      <c r="B429" s="19" t="str">
        <f>INDEX(Places[Type],MATCH(Budgets[[#This Row],[Jurisdiction]],Places[Jurisdiction],0))</f>
        <v>City</v>
      </c>
      <c r="C429" s="19" t="str">
        <f>INDEX(Places[County],MATCH(Budgets[[#This Row],[Jurisdiction]],Places[Jurisdiction],0))</f>
        <v>Los Angeles</v>
      </c>
      <c r="D429" s="21" t="str">
        <f>INDEX(Places[Majority RB],MATCH(Budgets[[#This Row],[Jurisdiction]],Places[Jurisdiction],0))</f>
        <v>Los Angeles</v>
      </c>
      <c r="E429" s="19">
        <f>INDEX(Places[Majority RB '#],MATCH(Budgets[[#This Row],[Jurisdiction]],Places[Jurisdiction],0))</f>
        <v>4</v>
      </c>
      <c r="F429" s="19" t="str">
        <f>VLOOKUP(Budgets[[#This Row],[Jurisdiction]],Places[#All],8,FALSE)</f>
        <v>Phase I MS4</v>
      </c>
      <c r="G429" s="81"/>
      <c r="H429" s="21" t="s">
        <v>1871</v>
      </c>
      <c r="I429" s="21">
        <f>VALUE(LEFT(Budgets[[#This Row],[Fiscal Year]],4))</f>
        <v>2012</v>
      </c>
      <c r="J429" s="20">
        <v>769000</v>
      </c>
      <c r="K429" s="27">
        <f>IF(Budgets[[#This Row],[Reference Year]]&gt;2018,Budgets[[#This Row],[Value]],Budgets[[#This Row],[Value]]*(1+VLOOKUP(Budgets[[#This Row],[Reference Year]],Inflation[#All],3,FALSE)))</f>
        <v>842788.49738675961</v>
      </c>
      <c r="L429" s="27">
        <f>Budgets[[#This Row],[2018 $ Value]]/VLOOKUP(Budgets[[#This Row],[Jurisdiction]],Places[],6,FALSE)</f>
        <v>15.489018918377557</v>
      </c>
      <c r="M429" s="27">
        <f>Budgets[[#This Row],[2018 $ Value]]/VLOOKUP(Budgets[[#This Row],[Jurisdiction]],Places[],7,FALSE)</f>
        <v>162074.7110359153</v>
      </c>
      <c r="N429" s="27"/>
      <c r="O429" s="27" t="s">
        <v>1460</v>
      </c>
      <c r="P429" s="4"/>
      <c r="Q429"/>
    </row>
    <row r="430" spans="1:17" x14ac:dyDescent="0.25">
      <c r="A430" s="19" t="s">
        <v>194</v>
      </c>
      <c r="B430" s="19" t="str">
        <f>INDEX(Places[Type],MATCH(Budgets[[#This Row],[Jurisdiction]],Places[Jurisdiction],0))</f>
        <v>City</v>
      </c>
      <c r="C430" s="19" t="str">
        <f>INDEX(Places[County],MATCH(Budgets[[#This Row],[Jurisdiction]],Places[Jurisdiction],0))</f>
        <v>Los Angeles</v>
      </c>
      <c r="D430" s="21" t="str">
        <f>INDEX(Places[Majority RB],MATCH(Budgets[[#This Row],[Jurisdiction]],Places[Jurisdiction],0))</f>
        <v>Los Angeles</v>
      </c>
      <c r="E430" s="19">
        <f>INDEX(Places[Majority RB '#],MATCH(Budgets[[#This Row],[Jurisdiction]],Places[Jurisdiction],0))</f>
        <v>4</v>
      </c>
      <c r="F430" s="19" t="str">
        <f>VLOOKUP(Budgets[[#This Row],[Jurisdiction]],Places[#All],8,FALSE)</f>
        <v>Phase I MS4</v>
      </c>
      <c r="G430" s="81"/>
      <c r="H430" s="21" t="s">
        <v>1869</v>
      </c>
      <c r="I430" s="21">
        <f>VALUE(LEFT(Budgets[[#This Row],[Fiscal Year]],4))</f>
        <v>2016</v>
      </c>
      <c r="J430" s="20">
        <v>600000</v>
      </c>
      <c r="K430" s="27">
        <f>IF(Budgets[[#This Row],[Reference Year]]&gt;2018,Budgets[[#This Row],[Value]],Budgets[[#This Row],[Value]]*(1+VLOOKUP(Budgets[[#This Row],[Reference Year]],Inflation[#All],3,FALSE)))</f>
        <v>629077.5</v>
      </c>
      <c r="L430" s="27">
        <f>Budgets[[#This Row],[2018 $ Value]]/VLOOKUP(Budgets[[#This Row],[Jurisdiction]],Places[],6,FALSE)</f>
        <v>11.561374329192089</v>
      </c>
      <c r="M430" s="27">
        <f>Budgets[[#This Row],[2018 $ Value]]/VLOOKUP(Budgets[[#This Row],[Jurisdiction]],Places[],7,FALSE)</f>
        <v>120976.4423076923</v>
      </c>
      <c r="N430" s="27"/>
      <c r="O430" s="27" t="s">
        <v>1853</v>
      </c>
      <c r="P430" s="4"/>
      <c r="Q430"/>
    </row>
    <row r="431" spans="1:17" x14ac:dyDescent="0.25">
      <c r="A431" s="19" t="s">
        <v>124</v>
      </c>
      <c r="B431" s="19" t="str">
        <f>INDEX(Places[Type],MATCH(Budgets[[#This Row],[Jurisdiction]],Places[Jurisdiction],0))</f>
        <v>City</v>
      </c>
      <c r="C431" s="19" t="str">
        <f>INDEX(Places[County],MATCH(Budgets[[#This Row],[Jurisdiction]],Places[Jurisdiction],0))</f>
        <v>Sacramento</v>
      </c>
      <c r="D431" s="21" t="str">
        <f>INDEX(Places[Majority RB],MATCH(Budgets[[#This Row],[Jurisdiction]],Places[Jurisdiction],0))</f>
        <v>Central Valley</v>
      </c>
      <c r="E431" s="19">
        <f>INDEX(Places[Majority RB '#],MATCH(Budgets[[#This Row],[Jurisdiction]],Places[Jurisdiction],0))</f>
        <v>5</v>
      </c>
      <c r="F431" s="19" t="str">
        <f>VLOOKUP(Budgets[[#This Row],[Jurisdiction]],Places[#All],8,FALSE)</f>
        <v>Phase I MS4</v>
      </c>
      <c r="G431" s="81"/>
      <c r="H431" s="21" t="s">
        <v>1871</v>
      </c>
      <c r="I431" s="21">
        <f>VALUE(LEFT(Budgets[[#This Row],[Fiscal Year]],4))</f>
        <v>2012</v>
      </c>
      <c r="J431" s="20">
        <v>2992584</v>
      </c>
      <c r="K431" s="27">
        <f>IF(Budgets[[#This Row],[Reference Year]]&gt;2018,Budgets[[#This Row],[Value]],Budgets[[#This Row],[Value]]*(1+VLOOKUP(Budgets[[#This Row],[Reference Year]],Inflation[#All],3,FALSE)))</f>
        <v>3279733.9046341465</v>
      </c>
      <c r="L431" s="27">
        <f>Budgets[[#This Row],[2018 $ Value]]/VLOOKUP(Budgets[[#This Row],[Jurisdiction]],Places[],6,FALSE)</f>
        <v>6.4494530393235125</v>
      </c>
      <c r="M431" s="27">
        <f>Budgets[[#This Row],[2018 $ Value]]/VLOOKUP(Budgets[[#This Row],[Jurisdiction]],Places[],7,FALSE)</f>
        <v>33500.857044271157</v>
      </c>
      <c r="N431" s="27"/>
      <c r="O431" s="27" t="s">
        <v>1460</v>
      </c>
      <c r="P431" s="4"/>
      <c r="Q431"/>
    </row>
    <row r="432" spans="1:17" x14ac:dyDescent="0.25">
      <c r="A432" s="19" t="s">
        <v>124</v>
      </c>
      <c r="B432" s="19" t="str">
        <f>INDEX(Places[Type],MATCH(Budgets[[#This Row],[Jurisdiction]],Places[Jurisdiction],0))</f>
        <v>City</v>
      </c>
      <c r="C432" s="19" t="str">
        <f>INDEX(Places[County],MATCH(Budgets[[#This Row],[Jurisdiction]],Places[Jurisdiction],0))</f>
        <v>Sacramento</v>
      </c>
      <c r="D432" s="21" t="str">
        <f>INDEX(Places[Majority RB],MATCH(Budgets[[#This Row],[Jurisdiction]],Places[Jurisdiction],0))</f>
        <v>Central Valley</v>
      </c>
      <c r="E432" s="19">
        <f>INDEX(Places[Majority RB '#],MATCH(Budgets[[#This Row],[Jurisdiction]],Places[Jurisdiction],0))</f>
        <v>5</v>
      </c>
      <c r="F432" s="19" t="str">
        <f>VLOOKUP(Budgets[[#This Row],[Jurisdiction]],Places[#All],8,FALSE)</f>
        <v>Phase I MS4</v>
      </c>
      <c r="G432" s="81"/>
      <c r="H432" s="21" t="s">
        <v>1880</v>
      </c>
      <c r="I432" s="21">
        <f>VALUE(LEFT(Budgets[[#This Row],[Fiscal Year]],4))</f>
        <v>2013</v>
      </c>
      <c r="J432" s="20">
        <v>2379882</v>
      </c>
      <c r="K432" s="27">
        <f>IF(Budgets[[#This Row],[Reference Year]]&gt;2018,Budgets[[#This Row],[Value]],Budgets[[#This Row],[Value]]*(1+VLOOKUP(Budgets[[#This Row],[Reference Year]],Inflation[#All],3,FALSE)))</f>
        <v>2570180.633227468</v>
      </c>
      <c r="L432" s="27">
        <f>Budgets[[#This Row],[2018 $ Value]]/VLOOKUP(Budgets[[#This Row],[Jurisdiction]],Places[],6,FALSE)</f>
        <v>5.0541476164141432</v>
      </c>
      <c r="M432" s="27">
        <f>Budgets[[#This Row],[2018 $ Value]]/VLOOKUP(Budgets[[#This Row],[Jurisdiction]],Places[],7,FALSE)</f>
        <v>26253.12189200682</v>
      </c>
      <c r="N432" s="27"/>
      <c r="O432" s="27" t="s">
        <v>1460</v>
      </c>
      <c r="P432" s="4"/>
      <c r="Q432"/>
    </row>
    <row r="433" spans="1:17" x14ac:dyDescent="0.25">
      <c r="A433" s="19" t="s">
        <v>124</v>
      </c>
      <c r="B433" s="19" t="str">
        <f>INDEX(Places[Type],MATCH(Budgets[[#This Row],[Jurisdiction]],Places[Jurisdiction],0))</f>
        <v>City</v>
      </c>
      <c r="C433" s="19" t="str">
        <f>INDEX(Places[County],MATCH(Budgets[[#This Row],[Jurisdiction]],Places[Jurisdiction],0))</f>
        <v>Sacramento</v>
      </c>
      <c r="D433" s="21" t="str">
        <f>INDEX(Places[Majority RB],MATCH(Budgets[[#This Row],[Jurisdiction]],Places[Jurisdiction],0))</f>
        <v>Central Valley</v>
      </c>
      <c r="E433" s="19">
        <f>INDEX(Places[Majority RB '#],MATCH(Budgets[[#This Row],[Jurisdiction]],Places[Jurisdiction],0))</f>
        <v>5</v>
      </c>
      <c r="F433" s="19" t="str">
        <f>VLOOKUP(Budgets[[#This Row],[Jurisdiction]],Places[#All],8,FALSE)</f>
        <v>Phase I MS4</v>
      </c>
      <c r="G433" s="81"/>
      <c r="H433" s="21" t="s">
        <v>1881</v>
      </c>
      <c r="I433" s="21">
        <f>VALUE(LEFT(Budgets[[#This Row],[Fiscal Year]],4))</f>
        <v>2014</v>
      </c>
      <c r="J433" s="20">
        <v>2567406</v>
      </c>
      <c r="K433" s="27">
        <f>IF(Budgets[[#This Row],[Reference Year]]&gt;2018,Budgets[[#This Row],[Value]],Budgets[[#This Row],[Value]]*(1+VLOOKUP(Budgets[[#This Row],[Reference Year]],Inflation[#All],3,FALSE)))</f>
        <v>2729357.58</v>
      </c>
      <c r="L433" s="27">
        <f>Budgets[[#This Row],[2018 $ Value]]/VLOOKUP(Budgets[[#This Row],[Jurisdiction]],Places[],6,FALSE)</f>
        <v>5.3671621087489605</v>
      </c>
      <c r="M433" s="27">
        <f>Budgets[[#This Row],[2018 $ Value]]/VLOOKUP(Budgets[[#This Row],[Jurisdiction]],Places[],7,FALSE)</f>
        <v>27879.035546475996</v>
      </c>
      <c r="N433" s="27"/>
      <c r="O433" s="27" t="s">
        <v>1460</v>
      </c>
      <c r="P433" s="4"/>
      <c r="Q433"/>
    </row>
    <row r="434" spans="1:17" x14ac:dyDescent="0.25">
      <c r="A434" s="19" t="s">
        <v>124</v>
      </c>
      <c r="B434" s="19" t="str">
        <f>INDEX(Places[Type],MATCH(Budgets[[#This Row],[Jurisdiction]],Places[Jurisdiction],0))</f>
        <v>City</v>
      </c>
      <c r="C434" s="19" t="str">
        <f>INDEX(Places[County],MATCH(Budgets[[#This Row],[Jurisdiction]],Places[Jurisdiction],0))</f>
        <v>Sacramento</v>
      </c>
      <c r="D434" s="21" t="str">
        <f>INDEX(Places[Majority RB],MATCH(Budgets[[#This Row],[Jurisdiction]],Places[Jurisdiction],0))</f>
        <v>Central Valley</v>
      </c>
      <c r="E434" s="19">
        <f>INDEX(Places[Majority RB '#],MATCH(Budgets[[#This Row],[Jurisdiction]],Places[Jurisdiction],0))</f>
        <v>5</v>
      </c>
      <c r="F434" s="19" t="str">
        <f>VLOOKUP(Budgets[[#This Row],[Jurisdiction]],Places[#All],8,FALSE)</f>
        <v>Phase I MS4</v>
      </c>
      <c r="G434" s="81"/>
      <c r="H434" s="21" t="s">
        <v>1873</v>
      </c>
      <c r="I434" s="21">
        <f>VALUE(LEFT(Budgets[[#This Row],[Fiscal Year]],4))</f>
        <v>2015</v>
      </c>
      <c r="J434" s="20">
        <v>2365400</v>
      </c>
      <c r="K434" s="27">
        <f>IF(Budgets[[#This Row],[Reference Year]]&gt;2018,Budgets[[#This Row],[Value]],Budgets[[#This Row],[Value]]*(1+VLOOKUP(Budgets[[#This Row],[Reference Year]],Inflation[#All],3,FALSE)))</f>
        <v>2511426.02278481</v>
      </c>
      <c r="L434" s="27">
        <f>Budgets[[#This Row],[2018 $ Value]]/VLOOKUP(Budgets[[#This Row],[Jurisdiction]],Places[],6,FALSE)</f>
        <v>4.9386092490001747</v>
      </c>
      <c r="M434" s="27">
        <f>Budgets[[#This Row],[2018 $ Value]]/VLOOKUP(Budgets[[#This Row],[Jurisdiction]],Places[],7,FALSE)</f>
        <v>25652.972653573135</v>
      </c>
      <c r="N434" s="27"/>
      <c r="O434" s="27" t="s">
        <v>1460</v>
      </c>
      <c r="P434" s="4"/>
      <c r="Q434"/>
    </row>
    <row r="435" spans="1:17" x14ac:dyDescent="0.25">
      <c r="A435" s="19" t="s">
        <v>124</v>
      </c>
      <c r="B435" s="19" t="str">
        <f>INDEX(Places[Type],MATCH(Budgets[[#This Row],[Jurisdiction]],Places[Jurisdiction],0))</f>
        <v>City</v>
      </c>
      <c r="C435" s="19" t="str">
        <f>INDEX(Places[County],MATCH(Budgets[[#This Row],[Jurisdiction]],Places[Jurisdiction],0))</f>
        <v>Sacramento</v>
      </c>
      <c r="D435" s="21" t="str">
        <f>INDEX(Places[Majority RB],MATCH(Budgets[[#This Row],[Jurisdiction]],Places[Jurisdiction],0))</f>
        <v>Central Valley</v>
      </c>
      <c r="E435" s="19">
        <f>INDEX(Places[Majority RB '#],MATCH(Budgets[[#This Row],[Jurisdiction]],Places[Jurisdiction],0))</f>
        <v>5</v>
      </c>
      <c r="F435" s="19" t="str">
        <f>VLOOKUP(Budgets[[#This Row],[Jurisdiction]],Places[#All],8,FALSE)</f>
        <v>Phase I MS4</v>
      </c>
      <c r="G435" s="81"/>
      <c r="H435" s="21" t="s">
        <v>1869</v>
      </c>
      <c r="I435" s="21">
        <f>VALUE(LEFT(Budgets[[#This Row],[Fiscal Year]],4))</f>
        <v>2016</v>
      </c>
      <c r="J435" s="20">
        <v>2396992</v>
      </c>
      <c r="K435" s="27">
        <f>IF(Budgets[[#This Row],[Reference Year]]&gt;2018,Budgets[[#This Row],[Value]],Budgets[[#This Row],[Value]]*(1+VLOOKUP(Budgets[[#This Row],[Reference Year]],Inflation[#All],3,FALSE)))</f>
        <v>2513156.2248</v>
      </c>
      <c r="L435" s="27">
        <f>Budgets[[#This Row],[2018 $ Value]]/VLOOKUP(Budgets[[#This Row],[Jurisdiction]],Places[],6,FALSE)</f>
        <v>4.942011615463425</v>
      </c>
      <c r="M435" s="27">
        <f>Budgets[[#This Row],[2018 $ Value]]/VLOOKUP(Budgets[[#This Row],[Jurisdiction]],Places[],7,FALSE)</f>
        <v>25670.645810010214</v>
      </c>
      <c r="N435" s="27"/>
      <c r="O435" s="27" t="s">
        <v>1460</v>
      </c>
      <c r="P435" s="4"/>
      <c r="Q435"/>
    </row>
    <row r="436" spans="1:17" x14ac:dyDescent="0.25">
      <c r="A436" s="19" t="s">
        <v>124</v>
      </c>
      <c r="B436" s="19" t="str">
        <f>INDEX(Places[Type],MATCH(Budgets[[#This Row],[Jurisdiction]],Places[Jurisdiction],0))</f>
        <v>City</v>
      </c>
      <c r="C436" s="19" t="str">
        <f>INDEX(Places[County],MATCH(Budgets[[#This Row],[Jurisdiction]],Places[Jurisdiction],0))</f>
        <v>Sacramento</v>
      </c>
      <c r="D436" s="21" t="str">
        <f>INDEX(Places[Majority RB],MATCH(Budgets[[#This Row],[Jurisdiction]],Places[Jurisdiction],0))</f>
        <v>Central Valley</v>
      </c>
      <c r="E436" s="19">
        <f>INDEX(Places[Majority RB '#],MATCH(Budgets[[#This Row],[Jurisdiction]],Places[Jurisdiction],0))</f>
        <v>5</v>
      </c>
      <c r="F436" s="19" t="str">
        <f>VLOOKUP(Budgets[[#This Row],[Jurisdiction]],Places[#All],8,FALSE)</f>
        <v>Phase I MS4</v>
      </c>
      <c r="G436" s="81" t="s">
        <v>1890</v>
      </c>
      <c r="H436" s="21" t="s">
        <v>1874</v>
      </c>
      <c r="I436" s="21">
        <f>VALUE(LEFT(Budgets[[#This Row],[Fiscal Year]],4))</f>
        <v>2017</v>
      </c>
      <c r="J436" s="20">
        <v>41453725</v>
      </c>
      <c r="K436" s="27">
        <f>IF(Budgets[[#This Row],[Reference Year]]&gt;2018,Budgets[[#This Row],[Value]],Budgets[[#This Row],[Value]]*(1+VLOOKUP(Budgets[[#This Row],[Reference Year]],Inflation[#All],3,FALSE)))</f>
        <v>42558312.017441869</v>
      </c>
      <c r="L436" s="27">
        <f>Budgets[[#This Row],[2018 $ Value]]/VLOOKUP(Budgets[[#This Row],[Jurisdiction]],Places[],6,FALSE)</f>
        <v>83.689056115662765</v>
      </c>
      <c r="M436" s="27">
        <f>Budgets[[#This Row],[2018 $ Value]]/VLOOKUP(Budgets[[#This Row],[Jurisdiction]],Places[],7,FALSE)</f>
        <v>434712.07372259314</v>
      </c>
      <c r="N436" s="27"/>
      <c r="O436" s="27" t="s">
        <v>1853</v>
      </c>
      <c r="P436" s="4"/>
      <c r="Q436"/>
    </row>
    <row r="437" spans="1:17" x14ac:dyDescent="0.25">
      <c r="A437" s="19" t="s">
        <v>1443</v>
      </c>
      <c r="B437" s="19" t="str">
        <f>INDEX(Places[Type],MATCH(Budgets[[#This Row],[Jurisdiction]],Places[Jurisdiction],0))</f>
        <v>County</v>
      </c>
      <c r="C437" s="19" t="str">
        <f>INDEX(Places[County],MATCH(Budgets[[#This Row],[Jurisdiction]],Places[Jurisdiction],0))</f>
        <v>Sacramento</v>
      </c>
      <c r="D437" s="21" t="str">
        <f>INDEX(Places[Majority RB],MATCH(Budgets[[#This Row],[Jurisdiction]],Places[Jurisdiction],0))</f>
        <v>Central Valley</v>
      </c>
      <c r="E437" s="19">
        <f>INDEX(Places[Majority RB '#],MATCH(Budgets[[#This Row],[Jurisdiction]],Places[Jurisdiction],0))</f>
        <v>5</v>
      </c>
      <c r="F437" s="19" t="str">
        <f>VLOOKUP(Budgets[[#This Row],[Jurisdiction]],Places[#All],8,FALSE)</f>
        <v>Phase I MS4</v>
      </c>
      <c r="G437" s="81"/>
      <c r="H437" s="21" t="s">
        <v>1871</v>
      </c>
      <c r="I437" s="21">
        <f>VALUE(LEFT(Budgets[[#This Row],[Fiscal Year]],4))</f>
        <v>2012</v>
      </c>
      <c r="J437" s="20">
        <v>24222187</v>
      </c>
      <c r="K437" s="27">
        <f>IF(Budgets[[#This Row],[Reference Year]]&gt;2018,Budgets[[#This Row],[Value]],Budgets[[#This Row],[Value]]*(1+VLOOKUP(Budgets[[#This Row],[Reference Year]],Inflation[#All],3,FALSE)))</f>
        <v>26546398.680300523</v>
      </c>
      <c r="L437" s="27" t="e">
        <f>Budgets[[#This Row],[2018 $ Value]]/VLOOKUP(Budgets[[#This Row],[Jurisdiction]],Places[],6,FALSE)</f>
        <v>#N/A</v>
      </c>
      <c r="M437" s="27" t="e">
        <f>Budgets[[#This Row],[2018 $ Value]]/VLOOKUP(Budgets[[#This Row],[Jurisdiction]],Places[],7,FALSE)</f>
        <v>#N/A</v>
      </c>
      <c r="N437" s="27"/>
      <c r="O437" s="27" t="s">
        <v>1460</v>
      </c>
      <c r="P437" s="4"/>
      <c r="Q437"/>
    </row>
    <row r="438" spans="1:17" x14ac:dyDescent="0.25">
      <c r="A438" s="19" t="s">
        <v>1443</v>
      </c>
      <c r="B438" s="19" t="str">
        <f>INDEX(Places[Type],MATCH(Budgets[[#This Row],[Jurisdiction]],Places[Jurisdiction],0))</f>
        <v>County</v>
      </c>
      <c r="C438" s="19" t="str">
        <f>INDEX(Places[County],MATCH(Budgets[[#This Row],[Jurisdiction]],Places[Jurisdiction],0))</f>
        <v>Sacramento</v>
      </c>
      <c r="D438" s="21" t="str">
        <f>INDEX(Places[Majority RB],MATCH(Budgets[[#This Row],[Jurisdiction]],Places[Jurisdiction],0))</f>
        <v>Central Valley</v>
      </c>
      <c r="E438" s="19">
        <f>INDEX(Places[Majority RB '#],MATCH(Budgets[[#This Row],[Jurisdiction]],Places[Jurisdiction],0))</f>
        <v>5</v>
      </c>
      <c r="F438" s="19" t="str">
        <f>VLOOKUP(Budgets[[#This Row],[Jurisdiction]],Places[#All],8,FALSE)</f>
        <v>Phase I MS4</v>
      </c>
      <c r="G438" s="81"/>
      <c r="H438" s="21" t="s">
        <v>1880</v>
      </c>
      <c r="I438" s="21">
        <f>VALUE(LEFT(Budgets[[#This Row],[Fiscal Year]],4))</f>
        <v>2013</v>
      </c>
      <c r="J438" s="20">
        <v>24402134</v>
      </c>
      <c r="K438" s="27">
        <f>IF(Budgets[[#This Row],[Reference Year]]&gt;2018,Budgets[[#This Row],[Value]],Budgets[[#This Row],[Value]]*(1+VLOOKUP(Budgets[[#This Row],[Reference Year]],Inflation[#All],3,FALSE)))</f>
        <v>26353362.148300432</v>
      </c>
      <c r="L438" s="27" t="e">
        <f>Budgets[[#This Row],[2018 $ Value]]/VLOOKUP(Budgets[[#This Row],[Jurisdiction]],Places[],6,FALSE)</f>
        <v>#N/A</v>
      </c>
      <c r="M438" s="27" t="e">
        <f>Budgets[[#This Row],[2018 $ Value]]/VLOOKUP(Budgets[[#This Row],[Jurisdiction]],Places[],7,FALSE)</f>
        <v>#N/A</v>
      </c>
      <c r="N438" s="27"/>
      <c r="O438" s="27" t="s">
        <v>1460</v>
      </c>
      <c r="P438" s="4"/>
      <c r="Q438"/>
    </row>
    <row r="439" spans="1:17" x14ac:dyDescent="0.25">
      <c r="A439" s="19" t="s">
        <v>1443</v>
      </c>
      <c r="B439" s="19" t="str">
        <f>INDEX(Places[Type],MATCH(Budgets[[#This Row],[Jurisdiction]],Places[Jurisdiction],0))</f>
        <v>County</v>
      </c>
      <c r="C439" s="19" t="str">
        <f>INDEX(Places[County],MATCH(Budgets[[#This Row],[Jurisdiction]],Places[Jurisdiction],0))</f>
        <v>Sacramento</v>
      </c>
      <c r="D439" s="21" t="str">
        <f>INDEX(Places[Majority RB],MATCH(Budgets[[#This Row],[Jurisdiction]],Places[Jurisdiction],0))</f>
        <v>Central Valley</v>
      </c>
      <c r="E439" s="19">
        <f>INDEX(Places[Majority RB '#],MATCH(Budgets[[#This Row],[Jurisdiction]],Places[Jurisdiction],0))</f>
        <v>5</v>
      </c>
      <c r="F439" s="19" t="str">
        <f>VLOOKUP(Budgets[[#This Row],[Jurisdiction]],Places[#All],8,FALSE)</f>
        <v>Phase I MS4</v>
      </c>
      <c r="G439" s="81"/>
      <c r="H439" s="21" t="s">
        <v>1881</v>
      </c>
      <c r="I439" s="21">
        <f>VALUE(LEFT(Budgets[[#This Row],[Fiscal Year]],4))</f>
        <v>2014</v>
      </c>
      <c r="J439" s="20">
        <v>21370635</v>
      </c>
      <c r="K439" s="27">
        <f>IF(Budgets[[#This Row],[Reference Year]]&gt;2018,Budgets[[#This Row],[Value]],Budgets[[#This Row],[Value]]*(1+VLOOKUP(Budgets[[#This Row],[Reference Year]],Inflation[#All],3,FALSE)))</f>
        <v>22718691.405513309</v>
      </c>
      <c r="L439" s="27" t="e">
        <f>Budgets[[#This Row],[2018 $ Value]]/VLOOKUP(Budgets[[#This Row],[Jurisdiction]],Places[],6,FALSE)</f>
        <v>#N/A</v>
      </c>
      <c r="M439" s="27" t="e">
        <f>Budgets[[#This Row],[2018 $ Value]]/VLOOKUP(Budgets[[#This Row],[Jurisdiction]],Places[],7,FALSE)</f>
        <v>#N/A</v>
      </c>
      <c r="N439" s="27"/>
      <c r="O439" s="27" t="s">
        <v>1460</v>
      </c>
      <c r="P439" s="4"/>
      <c r="Q439"/>
    </row>
    <row r="440" spans="1:17" x14ac:dyDescent="0.25">
      <c r="A440" s="19" t="s">
        <v>1443</v>
      </c>
      <c r="B440" s="19" t="str">
        <f>INDEX(Places[Type],MATCH(Budgets[[#This Row],[Jurisdiction]],Places[Jurisdiction],0))</f>
        <v>County</v>
      </c>
      <c r="C440" s="19" t="str">
        <f>INDEX(Places[County],MATCH(Budgets[[#This Row],[Jurisdiction]],Places[Jurisdiction],0))</f>
        <v>Sacramento</v>
      </c>
      <c r="D440" s="21" t="str">
        <f>INDEX(Places[Majority RB],MATCH(Budgets[[#This Row],[Jurisdiction]],Places[Jurisdiction],0))</f>
        <v>Central Valley</v>
      </c>
      <c r="E440" s="19">
        <f>INDEX(Places[Majority RB '#],MATCH(Budgets[[#This Row],[Jurisdiction]],Places[Jurisdiction],0))</f>
        <v>5</v>
      </c>
      <c r="F440" s="19" t="str">
        <f>VLOOKUP(Budgets[[#This Row],[Jurisdiction]],Places[#All],8,FALSE)</f>
        <v>Phase I MS4</v>
      </c>
      <c r="G440" s="81"/>
      <c r="H440" s="21" t="s">
        <v>1873</v>
      </c>
      <c r="I440" s="21">
        <f>VALUE(LEFT(Budgets[[#This Row],[Fiscal Year]],4))</f>
        <v>2015</v>
      </c>
      <c r="J440" s="20">
        <v>20203475</v>
      </c>
      <c r="K440" s="27">
        <f>IF(Budgets[[#This Row],[Reference Year]]&gt;2018,Budgets[[#This Row],[Value]],Budgets[[#This Row],[Value]]*(1+VLOOKUP(Budgets[[#This Row],[Reference Year]],Inflation[#All],3,FALSE)))</f>
        <v>21450719.906012658</v>
      </c>
      <c r="L440" s="27" t="e">
        <f>Budgets[[#This Row],[2018 $ Value]]/VLOOKUP(Budgets[[#This Row],[Jurisdiction]],Places[],6,FALSE)</f>
        <v>#N/A</v>
      </c>
      <c r="M440" s="27" t="e">
        <f>Budgets[[#This Row],[2018 $ Value]]/VLOOKUP(Budgets[[#This Row],[Jurisdiction]],Places[],7,FALSE)</f>
        <v>#N/A</v>
      </c>
      <c r="N440" s="27"/>
      <c r="O440" s="27" t="s">
        <v>1460</v>
      </c>
      <c r="P440" s="4"/>
      <c r="Q440"/>
    </row>
    <row r="441" spans="1:17" x14ac:dyDescent="0.25">
      <c r="A441" s="19" t="s">
        <v>1443</v>
      </c>
      <c r="B441" s="19" t="str">
        <f>INDEX(Places[Type],MATCH(Budgets[[#This Row],[Jurisdiction]],Places[Jurisdiction],0))</f>
        <v>County</v>
      </c>
      <c r="C441" s="19" t="str">
        <f>INDEX(Places[County],MATCH(Budgets[[#This Row],[Jurisdiction]],Places[Jurisdiction],0))</f>
        <v>Sacramento</v>
      </c>
      <c r="D441" s="21" t="str">
        <f>INDEX(Places[Majority RB],MATCH(Budgets[[#This Row],[Jurisdiction]],Places[Jurisdiction],0))</f>
        <v>Central Valley</v>
      </c>
      <c r="E441" s="19">
        <f>INDEX(Places[Majority RB '#],MATCH(Budgets[[#This Row],[Jurisdiction]],Places[Jurisdiction],0))</f>
        <v>5</v>
      </c>
      <c r="F441" s="19" t="str">
        <f>VLOOKUP(Budgets[[#This Row],[Jurisdiction]],Places[#All],8,FALSE)</f>
        <v>Phase I MS4</v>
      </c>
      <c r="G441" s="81"/>
      <c r="H441" s="21" t="s">
        <v>1869</v>
      </c>
      <c r="I441" s="21">
        <f>VALUE(LEFT(Budgets[[#This Row],[Fiscal Year]],4))</f>
        <v>2016</v>
      </c>
      <c r="J441" s="20">
        <v>20478975</v>
      </c>
      <c r="K441" s="27">
        <f>IF(Budgets[[#This Row],[Reference Year]]&gt;2018,Budgets[[#This Row],[Value]],Budgets[[#This Row],[Value]]*(1+VLOOKUP(Budgets[[#This Row],[Reference Year]],Inflation[#All],3,FALSE)))</f>
        <v>21471437.325937502</v>
      </c>
      <c r="L441" s="27" t="e">
        <f>Budgets[[#This Row],[2018 $ Value]]/VLOOKUP(Budgets[[#This Row],[Jurisdiction]],Places[],6,FALSE)</f>
        <v>#N/A</v>
      </c>
      <c r="M441" s="27" t="e">
        <f>Budgets[[#This Row],[2018 $ Value]]/VLOOKUP(Budgets[[#This Row],[Jurisdiction]],Places[],7,FALSE)</f>
        <v>#N/A</v>
      </c>
      <c r="N441" s="27"/>
      <c r="O441" s="27" t="s">
        <v>1853</v>
      </c>
      <c r="P441" s="4"/>
      <c r="Q441"/>
    </row>
    <row r="442" spans="1:17" x14ac:dyDescent="0.25">
      <c r="A442" s="19" t="s">
        <v>7</v>
      </c>
      <c r="B442" s="19" t="str">
        <f>INDEX(Places[Type],MATCH(Budgets[[#This Row],[Jurisdiction]],Places[Jurisdiction],0))</f>
        <v>City</v>
      </c>
      <c r="C442" s="19" t="str">
        <f>INDEX(Places[County],MATCH(Budgets[[#This Row],[Jurisdiction]],Places[Jurisdiction],0))</f>
        <v>Monterey</v>
      </c>
      <c r="D442" s="19" t="str">
        <f>INDEX(Places[Majority RB],MATCH(Budgets[[#This Row],[Jurisdiction]],Places[Jurisdiction],0))</f>
        <v>Central Coast</v>
      </c>
      <c r="E442" s="19">
        <f>INDEX(Places[Majority RB '#],MATCH(Budgets[[#This Row],[Jurisdiction]],Places[Jurisdiction],0))</f>
        <v>3</v>
      </c>
      <c r="F442" s="19" t="str">
        <f>VLOOKUP(Budgets[[#This Row],[Jurisdiction]],Places[#All],8,FALSE)</f>
        <v>Phase I MS4</v>
      </c>
      <c r="G442" s="81" t="s">
        <v>1891</v>
      </c>
      <c r="H442" s="21" t="s">
        <v>1874</v>
      </c>
      <c r="I442" s="21">
        <f>VALUE(LEFT(Budgets[[#This Row],[Fiscal Year]],4))</f>
        <v>2017</v>
      </c>
      <c r="J442" s="20">
        <v>1100000</v>
      </c>
      <c r="K442" s="27">
        <f>IF(Budgets[[#This Row],[Reference Year]]&gt;2018,Budgets[[#This Row],[Value]],Budgets[[#This Row],[Value]]*(1+VLOOKUP(Budgets[[#This Row],[Reference Year]],Inflation[#All],3,FALSE)))</f>
        <v>1129310.893512852</v>
      </c>
      <c r="L442" s="27">
        <f>Budgets[[#This Row],[2018 $ Value]]/VLOOKUP(Budgets[[#This Row],[Jurisdiction]],Places[],6,FALSE)</f>
        <v>7.2271734332924957</v>
      </c>
      <c r="M442" s="27">
        <f>Budgets[[#This Row],[2018 $ Value]]/VLOOKUP(Budgets[[#This Row],[Jurisdiction]],Places[],7,FALSE)</f>
        <v>47852.156504781866</v>
      </c>
      <c r="N442" s="27"/>
      <c r="O442" s="27" t="s">
        <v>1853</v>
      </c>
      <c r="P442" s="4"/>
      <c r="Q442"/>
    </row>
    <row r="443" spans="1:17" x14ac:dyDescent="0.25">
      <c r="A443" s="19" t="s">
        <v>20</v>
      </c>
      <c r="B443" s="19" t="str">
        <f>INDEX(Places[Type],MATCH(Budgets[[#This Row],[Jurisdiction]],Places[Jurisdiction],0))</f>
        <v>City</v>
      </c>
      <c r="C443" s="19" t="str">
        <f>INDEX(Places[County],MATCH(Budgets[[#This Row],[Jurisdiction]],Places[Jurisdiction],0))</f>
        <v>San Bernardino</v>
      </c>
      <c r="D443" s="21" t="str">
        <f>INDEX(Places[Majority RB],MATCH(Budgets[[#This Row],[Jurisdiction]],Places[Jurisdiction],0))</f>
        <v>Santa Ana</v>
      </c>
      <c r="E443" s="19">
        <f>INDEX(Places[Majority RB '#],MATCH(Budgets[[#This Row],[Jurisdiction]],Places[Jurisdiction],0))</f>
        <v>8</v>
      </c>
      <c r="F443" s="19" t="str">
        <f>VLOOKUP(Budgets[[#This Row],[Jurisdiction]],Places[#All],8,FALSE)</f>
        <v>Phase I MS4</v>
      </c>
      <c r="G443" s="81"/>
      <c r="H443" s="21" t="s">
        <v>1871</v>
      </c>
      <c r="I443" s="21">
        <f>VALUE(LEFT(Budgets[[#This Row],[Fiscal Year]],4))</f>
        <v>2012</v>
      </c>
      <c r="J443" s="20">
        <v>2193416</v>
      </c>
      <c r="K443" s="27">
        <f>IF(Budgets[[#This Row],[Reference Year]]&gt;2018,Budgets[[#This Row],[Value]],Budgets[[#This Row],[Value]]*(1+VLOOKUP(Budgets[[#This Row],[Reference Year]],Inflation[#All],3,FALSE)))</f>
        <v>2403882.6720209061</v>
      </c>
      <c r="L443" s="27">
        <f>Budgets[[#This Row],[2018 $ Value]]/VLOOKUP(Budgets[[#This Row],[Jurisdiction]],Places[],6,FALSE)</f>
        <v>11.132127164461155</v>
      </c>
      <c r="M443" s="27">
        <f>Budgets[[#This Row],[2018 $ Value]]/VLOOKUP(Budgets[[#This Row],[Jurisdiction]],Places[],7,FALSE)</f>
        <v>39087.523122291153</v>
      </c>
      <c r="N443" s="27"/>
      <c r="O443" s="27" t="s">
        <v>1460</v>
      </c>
      <c r="P443" s="4"/>
      <c r="Q443"/>
    </row>
    <row r="444" spans="1:17" x14ac:dyDescent="0.25">
      <c r="A444" s="19" t="s">
        <v>20</v>
      </c>
      <c r="B444" s="19" t="str">
        <f>INDEX(Places[Type],MATCH(Budgets[[#This Row],[Jurisdiction]],Places[Jurisdiction],0))</f>
        <v>City</v>
      </c>
      <c r="C444" s="19" t="str">
        <f>INDEX(Places[County],MATCH(Budgets[[#This Row],[Jurisdiction]],Places[Jurisdiction],0))</f>
        <v>San Bernardino</v>
      </c>
      <c r="D444" s="21" t="str">
        <f>INDEX(Places[Majority RB],MATCH(Budgets[[#This Row],[Jurisdiction]],Places[Jurisdiction],0))</f>
        <v>Santa Ana</v>
      </c>
      <c r="E444" s="19">
        <f>INDEX(Places[Majority RB '#],MATCH(Budgets[[#This Row],[Jurisdiction]],Places[Jurisdiction],0))</f>
        <v>8</v>
      </c>
      <c r="F444" s="19" t="str">
        <f>VLOOKUP(Budgets[[#This Row],[Jurisdiction]],Places[#All],8,FALSE)</f>
        <v>Phase I MS4</v>
      </c>
      <c r="G444" s="81"/>
      <c r="H444" s="21" t="s">
        <v>1880</v>
      </c>
      <c r="I444" s="21">
        <f>VALUE(LEFT(Budgets[[#This Row],[Fiscal Year]],4))</f>
        <v>2013</v>
      </c>
      <c r="J444" s="20">
        <v>1921849</v>
      </c>
      <c r="K444" s="27">
        <f>IF(Budgets[[#This Row],[Reference Year]]&gt;2018,Budgets[[#This Row],[Value]],Budgets[[#This Row],[Value]]*(1+VLOOKUP(Budgets[[#This Row],[Reference Year]],Inflation[#All],3,FALSE)))</f>
        <v>2075522.6854892704</v>
      </c>
      <c r="L444" s="27">
        <f>Budgets[[#This Row],[2018 $ Value]]/VLOOKUP(Budgets[[#This Row],[Jurisdiction]],Places[],6,FALSE)</f>
        <v>9.6115266924264979</v>
      </c>
      <c r="M444" s="27">
        <f>Budgets[[#This Row],[2018 $ Value]]/VLOOKUP(Budgets[[#This Row],[Jurisdiction]],Places[],7,FALSE)</f>
        <v>33748.336349419027</v>
      </c>
      <c r="N444" s="27"/>
      <c r="O444" s="27" t="s">
        <v>1460</v>
      </c>
      <c r="P444" s="4"/>
      <c r="Q444"/>
    </row>
    <row r="445" spans="1:17" x14ac:dyDescent="0.25">
      <c r="A445" s="19" t="s">
        <v>20</v>
      </c>
      <c r="B445" s="19" t="str">
        <f>INDEX(Places[Type],MATCH(Budgets[[#This Row],[Jurisdiction]],Places[Jurisdiction],0))</f>
        <v>City</v>
      </c>
      <c r="C445" s="19" t="str">
        <f>INDEX(Places[County],MATCH(Budgets[[#This Row],[Jurisdiction]],Places[Jurisdiction],0))</f>
        <v>San Bernardino</v>
      </c>
      <c r="D445" s="21" t="str">
        <f>INDEX(Places[Majority RB],MATCH(Budgets[[#This Row],[Jurisdiction]],Places[Jurisdiction],0))</f>
        <v>Santa Ana</v>
      </c>
      <c r="E445" s="19">
        <f>INDEX(Places[Majority RB '#],MATCH(Budgets[[#This Row],[Jurisdiction]],Places[Jurisdiction],0))</f>
        <v>8</v>
      </c>
      <c r="F445" s="19" t="str">
        <f>VLOOKUP(Budgets[[#This Row],[Jurisdiction]],Places[#All],8,FALSE)</f>
        <v>Phase I MS4</v>
      </c>
      <c r="G445" s="81"/>
      <c r="H445" s="21" t="s">
        <v>1881</v>
      </c>
      <c r="I445" s="21">
        <f>VALUE(LEFT(Budgets[[#This Row],[Fiscal Year]],4))</f>
        <v>2014</v>
      </c>
      <c r="J445" s="20">
        <v>1932275</v>
      </c>
      <c r="K445" s="27">
        <f>IF(Budgets[[#This Row],[Reference Year]]&gt;2018,Budgets[[#This Row],[Value]],Budgets[[#This Row],[Value]]*(1+VLOOKUP(Budgets[[#This Row],[Reference Year]],Inflation[#All],3,FALSE)))</f>
        <v>2054162.6131178709</v>
      </c>
      <c r="L445" s="27">
        <f>Budgets[[#This Row],[2018 $ Value]]/VLOOKUP(Budgets[[#This Row],[Jurisdiction]],Places[],6,FALSE)</f>
        <v>9.5126104496963109</v>
      </c>
      <c r="M445" s="27">
        <f>Budgets[[#This Row],[2018 $ Value]]/VLOOKUP(Budgets[[#This Row],[Jurisdiction]],Places[],7,FALSE)</f>
        <v>33401.018099477573</v>
      </c>
      <c r="N445" s="27"/>
      <c r="O445" s="27" t="s">
        <v>1460</v>
      </c>
      <c r="P445" s="4"/>
      <c r="Q445"/>
    </row>
    <row r="446" spans="1:17" x14ac:dyDescent="0.25">
      <c r="A446" s="19" t="s">
        <v>20</v>
      </c>
      <c r="B446" s="19" t="str">
        <f>INDEX(Places[Type],MATCH(Budgets[[#This Row],[Jurisdiction]],Places[Jurisdiction],0))</f>
        <v>City</v>
      </c>
      <c r="C446" s="19" t="str">
        <f>INDEX(Places[County],MATCH(Budgets[[#This Row],[Jurisdiction]],Places[Jurisdiction],0))</f>
        <v>San Bernardino</v>
      </c>
      <c r="D446" s="21" t="str">
        <f>INDEX(Places[Majority RB],MATCH(Budgets[[#This Row],[Jurisdiction]],Places[Jurisdiction],0))</f>
        <v>Santa Ana</v>
      </c>
      <c r="E446" s="19">
        <f>INDEX(Places[Majority RB '#],MATCH(Budgets[[#This Row],[Jurisdiction]],Places[Jurisdiction],0))</f>
        <v>8</v>
      </c>
      <c r="F446" s="19" t="str">
        <f>VLOOKUP(Budgets[[#This Row],[Jurisdiction]],Places[#All],8,FALSE)</f>
        <v>Phase I MS4</v>
      </c>
      <c r="G446" s="81"/>
      <c r="H446" s="21" t="s">
        <v>1873</v>
      </c>
      <c r="I446" s="21">
        <f>VALUE(LEFT(Budgets[[#This Row],[Fiscal Year]],4))</f>
        <v>2015</v>
      </c>
      <c r="J446" s="20">
        <v>1735330</v>
      </c>
      <c r="K446" s="27">
        <f>IF(Budgets[[#This Row],[Reference Year]]&gt;2018,Budgets[[#This Row],[Value]],Budgets[[#This Row],[Value]]*(1+VLOOKUP(Budgets[[#This Row],[Reference Year]],Inflation[#All],3,FALSE)))</f>
        <v>1842459.1697468353</v>
      </c>
      <c r="L446" s="27">
        <f>Budgets[[#This Row],[2018 $ Value]]/VLOOKUP(Budgets[[#This Row],[Jurisdiction]],Places[],6,FALSE)</f>
        <v>8.5322341275942755</v>
      </c>
      <c r="M446" s="27">
        <f>Budgets[[#This Row],[2018 $ Value]]/VLOOKUP(Budgets[[#This Row],[Jurisdiction]],Places[],7,FALSE)</f>
        <v>29958.685686940411</v>
      </c>
      <c r="N446" s="27"/>
      <c r="O446" s="27" t="s">
        <v>1460</v>
      </c>
      <c r="P446" s="4"/>
      <c r="Q446"/>
    </row>
    <row r="447" spans="1:17" x14ac:dyDescent="0.25">
      <c r="A447" s="19" t="s">
        <v>20</v>
      </c>
      <c r="B447" s="19" t="str">
        <f>INDEX(Places[Type],MATCH(Budgets[[#This Row],[Jurisdiction]],Places[Jurisdiction],0))</f>
        <v>City</v>
      </c>
      <c r="C447" s="19" t="str">
        <f>INDEX(Places[County],MATCH(Budgets[[#This Row],[Jurisdiction]],Places[Jurisdiction],0))</f>
        <v>San Bernardino</v>
      </c>
      <c r="D447" s="21" t="str">
        <f>INDEX(Places[Majority RB],MATCH(Budgets[[#This Row],[Jurisdiction]],Places[Jurisdiction],0))</f>
        <v>Santa Ana</v>
      </c>
      <c r="E447" s="19">
        <f>INDEX(Places[Majority RB '#],MATCH(Budgets[[#This Row],[Jurisdiction]],Places[Jurisdiction],0))</f>
        <v>8</v>
      </c>
      <c r="F447" s="19" t="str">
        <f>VLOOKUP(Budgets[[#This Row],[Jurisdiction]],Places[#All],8,FALSE)</f>
        <v>Phase I MS4</v>
      </c>
      <c r="G447" s="81"/>
      <c r="H447" s="21" t="s">
        <v>1869</v>
      </c>
      <c r="I447" s="21">
        <f>VALUE(LEFT(Budgets[[#This Row],[Fiscal Year]],4))</f>
        <v>2016</v>
      </c>
      <c r="J447" s="20">
        <v>1886760</v>
      </c>
      <c r="K447" s="27">
        <f>IF(Budgets[[#This Row],[Reference Year]]&gt;2018,Budgets[[#This Row],[Value]],Budgets[[#This Row],[Value]]*(1+VLOOKUP(Budgets[[#This Row],[Reference Year]],Inflation[#All],3,FALSE)))</f>
        <v>1978197.1065000002</v>
      </c>
      <c r="L447" s="27">
        <f>Budgets[[#This Row],[2018 $ Value]]/VLOOKUP(Budgets[[#This Row],[Jurisdiction]],Places[],6,FALSE)</f>
        <v>9.1608221991192043</v>
      </c>
      <c r="M447" s="27">
        <f>Budgets[[#This Row],[2018 $ Value]]/VLOOKUP(Budgets[[#This Row],[Jurisdiction]],Places[],7,FALSE)</f>
        <v>32165.806609756102</v>
      </c>
      <c r="N447" s="27"/>
      <c r="O447" s="27" t="s">
        <v>1853</v>
      </c>
      <c r="P447" s="4"/>
      <c r="Q447"/>
    </row>
    <row r="448" spans="1:17" x14ac:dyDescent="0.25">
      <c r="A448" s="19" t="s">
        <v>1440</v>
      </c>
      <c r="B448" s="19" t="str">
        <f>INDEX(Places[Type],MATCH(Budgets[[#This Row],[Jurisdiction]],Places[Jurisdiction],0))</f>
        <v>County</v>
      </c>
      <c r="C448" s="19" t="str">
        <f>INDEX(Places[County],MATCH(Budgets[[#This Row],[Jurisdiction]],Places[Jurisdiction],0))</f>
        <v>San Bernardino</v>
      </c>
      <c r="D448" s="21" t="str">
        <f>INDEX(Places[Majority RB],MATCH(Budgets[[#This Row],[Jurisdiction]],Places[Jurisdiction],0))</f>
        <v>Santa Ana</v>
      </c>
      <c r="E448" s="19">
        <f>INDEX(Places[Majority RB '#],MATCH(Budgets[[#This Row],[Jurisdiction]],Places[Jurisdiction],0))</f>
        <v>8</v>
      </c>
      <c r="F448" s="19" t="str">
        <f>VLOOKUP(Budgets[[#This Row],[Jurisdiction]],Places[#All],8,FALSE)</f>
        <v>Phase I MS4</v>
      </c>
      <c r="G448" s="81"/>
      <c r="H448" s="21" t="s">
        <v>1871</v>
      </c>
      <c r="I448" s="21">
        <f>VALUE(LEFT(Budgets[[#This Row],[Fiscal Year]],4))</f>
        <v>2012</v>
      </c>
      <c r="J448" s="20">
        <v>3535576</v>
      </c>
      <c r="K448" s="27">
        <f>IF(Budgets[[#This Row],[Reference Year]]&gt;2018,Budgets[[#This Row],[Value]],Budgets[[#This Row],[Value]]*(1+VLOOKUP(Budgets[[#This Row],[Reference Year]],Inflation[#All],3,FALSE)))</f>
        <v>3874828.0681881532</v>
      </c>
      <c r="L448" s="27" t="e">
        <f>Budgets[[#This Row],[2018 $ Value]]/VLOOKUP(Budgets[[#This Row],[Jurisdiction]],Places[],6,FALSE)</f>
        <v>#N/A</v>
      </c>
      <c r="M448" s="27" t="e">
        <f>Budgets[[#This Row],[2018 $ Value]]/VLOOKUP(Budgets[[#This Row],[Jurisdiction]],Places[],7,FALSE)</f>
        <v>#N/A</v>
      </c>
      <c r="N448" s="27"/>
      <c r="O448" s="27" t="s">
        <v>1460</v>
      </c>
      <c r="P448" s="4"/>
      <c r="Q448"/>
    </row>
    <row r="449" spans="1:17" x14ac:dyDescent="0.25">
      <c r="A449" s="19" t="s">
        <v>1440</v>
      </c>
      <c r="B449" s="19" t="str">
        <f>INDEX(Places[Type],MATCH(Budgets[[#This Row],[Jurisdiction]],Places[Jurisdiction],0))</f>
        <v>County</v>
      </c>
      <c r="C449" s="19" t="str">
        <f>INDEX(Places[County],MATCH(Budgets[[#This Row],[Jurisdiction]],Places[Jurisdiction],0))</f>
        <v>San Bernardino</v>
      </c>
      <c r="D449" s="21" t="str">
        <f>INDEX(Places[Majority RB],MATCH(Budgets[[#This Row],[Jurisdiction]],Places[Jurisdiction],0))</f>
        <v>Santa Ana</v>
      </c>
      <c r="E449" s="19">
        <f>INDEX(Places[Majority RB '#],MATCH(Budgets[[#This Row],[Jurisdiction]],Places[Jurisdiction],0))</f>
        <v>8</v>
      </c>
      <c r="F449" s="19" t="str">
        <f>VLOOKUP(Budgets[[#This Row],[Jurisdiction]],Places[#All],8,FALSE)</f>
        <v>Phase I MS4</v>
      </c>
      <c r="G449" s="81"/>
      <c r="H449" s="21" t="s">
        <v>1880</v>
      </c>
      <c r="I449" s="21">
        <f>VALUE(LEFT(Budgets[[#This Row],[Fiscal Year]],4))</f>
        <v>2013</v>
      </c>
      <c r="J449" s="20">
        <v>2905000</v>
      </c>
      <c r="K449" s="27">
        <f>IF(Budgets[[#This Row],[Reference Year]]&gt;2018,Budgets[[#This Row],[Value]],Budgets[[#This Row],[Value]]*(1+VLOOKUP(Budgets[[#This Row],[Reference Year]],Inflation[#All],3,FALSE)))</f>
        <v>3137287.7896995707</v>
      </c>
      <c r="L449" s="27" t="e">
        <f>Budgets[[#This Row],[2018 $ Value]]/VLOOKUP(Budgets[[#This Row],[Jurisdiction]],Places[],6,FALSE)</f>
        <v>#N/A</v>
      </c>
      <c r="M449" s="27" t="e">
        <f>Budgets[[#This Row],[2018 $ Value]]/VLOOKUP(Budgets[[#This Row],[Jurisdiction]],Places[],7,FALSE)</f>
        <v>#N/A</v>
      </c>
      <c r="N449" s="27"/>
      <c r="O449" s="27" t="s">
        <v>1460</v>
      </c>
      <c r="P449" s="4"/>
      <c r="Q449"/>
    </row>
    <row r="450" spans="1:17" x14ac:dyDescent="0.25">
      <c r="A450" s="19" t="s">
        <v>1440</v>
      </c>
      <c r="B450" s="19" t="str">
        <f>INDEX(Places[Type],MATCH(Budgets[[#This Row],[Jurisdiction]],Places[Jurisdiction],0))</f>
        <v>County</v>
      </c>
      <c r="C450" s="19" t="str">
        <f>INDEX(Places[County],MATCH(Budgets[[#This Row],[Jurisdiction]],Places[Jurisdiction],0))</f>
        <v>San Bernardino</v>
      </c>
      <c r="D450" s="21" t="str">
        <f>INDEX(Places[Majority RB],MATCH(Budgets[[#This Row],[Jurisdiction]],Places[Jurisdiction],0))</f>
        <v>Santa Ana</v>
      </c>
      <c r="E450" s="19">
        <f>INDEX(Places[Majority RB '#],MATCH(Budgets[[#This Row],[Jurisdiction]],Places[Jurisdiction],0))</f>
        <v>8</v>
      </c>
      <c r="F450" s="19" t="str">
        <f>VLOOKUP(Budgets[[#This Row],[Jurisdiction]],Places[#All],8,FALSE)</f>
        <v>Phase I MS4</v>
      </c>
      <c r="G450" s="81"/>
      <c r="H450" s="21" t="s">
        <v>1881</v>
      </c>
      <c r="I450" s="21">
        <f>VALUE(LEFT(Budgets[[#This Row],[Fiscal Year]],4))</f>
        <v>2014</v>
      </c>
      <c r="J450" s="20">
        <v>3371550</v>
      </c>
      <c r="K450" s="27">
        <f>IF(Budgets[[#This Row],[Reference Year]]&gt;2018,Budgets[[#This Row],[Value]],Budgets[[#This Row],[Value]]*(1+VLOOKUP(Budgets[[#This Row],[Reference Year]],Inflation[#All],3,FALSE)))</f>
        <v>3584226.8612167304</v>
      </c>
      <c r="L450" s="27" t="e">
        <f>Budgets[[#This Row],[2018 $ Value]]/VLOOKUP(Budgets[[#This Row],[Jurisdiction]],Places[],6,FALSE)</f>
        <v>#N/A</v>
      </c>
      <c r="M450" s="27" t="e">
        <f>Budgets[[#This Row],[2018 $ Value]]/VLOOKUP(Budgets[[#This Row],[Jurisdiction]],Places[],7,FALSE)</f>
        <v>#N/A</v>
      </c>
      <c r="N450" s="27"/>
      <c r="O450" s="27" t="s">
        <v>1460</v>
      </c>
      <c r="P450" s="4"/>
      <c r="Q450"/>
    </row>
    <row r="451" spans="1:17" x14ac:dyDescent="0.25">
      <c r="A451" s="19" t="s">
        <v>1440</v>
      </c>
      <c r="B451" s="19" t="str">
        <f>INDEX(Places[Type],MATCH(Budgets[[#This Row],[Jurisdiction]],Places[Jurisdiction],0))</f>
        <v>County</v>
      </c>
      <c r="C451" s="19" t="str">
        <f>INDEX(Places[County],MATCH(Budgets[[#This Row],[Jurisdiction]],Places[Jurisdiction],0))</f>
        <v>San Bernardino</v>
      </c>
      <c r="D451" s="21" t="str">
        <f>INDEX(Places[Majority RB],MATCH(Budgets[[#This Row],[Jurisdiction]],Places[Jurisdiction],0))</f>
        <v>Santa Ana</v>
      </c>
      <c r="E451" s="19">
        <f>INDEX(Places[Majority RB '#],MATCH(Budgets[[#This Row],[Jurisdiction]],Places[Jurisdiction],0))</f>
        <v>8</v>
      </c>
      <c r="F451" s="19" t="str">
        <f>VLOOKUP(Budgets[[#This Row],[Jurisdiction]],Places[#All],8,FALSE)</f>
        <v>Phase I MS4</v>
      </c>
      <c r="G451" s="81"/>
      <c r="H451" s="21" t="s">
        <v>1873</v>
      </c>
      <c r="I451" s="21">
        <f>VALUE(LEFT(Budgets[[#This Row],[Fiscal Year]],4))</f>
        <v>2015</v>
      </c>
      <c r="J451" s="20">
        <v>5367097</v>
      </c>
      <c r="K451" s="27">
        <f>IF(Budgets[[#This Row],[Reference Year]]&gt;2018,Budgets[[#This Row],[Value]],Budgets[[#This Row],[Value]]*(1+VLOOKUP(Budgets[[#This Row],[Reference Year]],Inflation[#All],3,FALSE)))</f>
        <v>5698430.3173291134</v>
      </c>
      <c r="L451" s="27" t="e">
        <f>Budgets[[#This Row],[2018 $ Value]]/VLOOKUP(Budgets[[#This Row],[Jurisdiction]],Places[],6,FALSE)</f>
        <v>#N/A</v>
      </c>
      <c r="M451" s="27" t="e">
        <f>Budgets[[#This Row],[2018 $ Value]]/VLOOKUP(Budgets[[#This Row],[Jurisdiction]],Places[],7,FALSE)</f>
        <v>#N/A</v>
      </c>
      <c r="N451" s="27"/>
      <c r="O451" s="27" t="s">
        <v>1460</v>
      </c>
      <c r="P451" s="4"/>
      <c r="Q451"/>
    </row>
    <row r="452" spans="1:17" x14ac:dyDescent="0.25">
      <c r="A452" s="19" t="s">
        <v>1440</v>
      </c>
      <c r="B452" s="19" t="str">
        <f>INDEX(Places[Type],MATCH(Budgets[[#This Row],[Jurisdiction]],Places[Jurisdiction],0))</f>
        <v>County</v>
      </c>
      <c r="C452" s="19" t="str">
        <f>INDEX(Places[County],MATCH(Budgets[[#This Row],[Jurisdiction]],Places[Jurisdiction],0))</f>
        <v>San Bernardino</v>
      </c>
      <c r="D452" s="21" t="str">
        <f>INDEX(Places[Majority RB],MATCH(Budgets[[#This Row],[Jurisdiction]],Places[Jurisdiction],0))</f>
        <v>Santa Ana</v>
      </c>
      <c r="E452" s="19">
        <f>INDEX(Places[Majority RB '#],MATCH(Budgets[[#This Row],[Jurisdiction]],Places[Jurisdiction],0))</f>
        <v>8</v>
      </c>
      <c r="F452" s="19" t="str">
        <f>VLOOKUP(Budgets[[#This Row],[Jurisdiction]],Places[#All],8,FALSE)</f>
        <v>Phase I MS4</v>
      </c>
      <c r="G452" s="81"/>
      <c r="H452" s="21" t="s">
        <v>1869</v>
      </c>
      <c r="I452" s="21">
        <f>VALUE(LEFT(Budgets[[#This Row],[Fiscal Year]],4))</f>
        <v>2016</v>
      </c>
      <c r="J452" s="20">
        <v>5635452</v>
      </c>
      <c r="K452" s="27">
        <f>IF(Budgets[[#This Row],[Reference Year]]&gt;2018,Budgets[[#This Row],[Value]],Budgets[[#This Row],[Value]]*(1+VLOOKUP(Budgets[[#This Row],[Reference Year]],Inflation[#All],3,FALSE)))</f>
        <v>5908560.0925500002</v>
      </c>
      <c r="L452" s="27" t="e">
        <f>Budgets[[#This Row],[2018 $ Value]]/VLOOKUP(Budgets[[#This Row],[Jurisdiction]],Places[],6,FALSE)</f>
        <v>#N/A</v>
      </c>
      <c r="M452" s="27" t="e">
        <f>Budgets[[#This Row],[2018 $ Value]]/VLOOKUP(Budgets[[#This Row],[Jurisdiction]],Places[],7,FALSE)</f>
        <v>#N/A</v>
      </c>
      <c r="N452" s="27"/>
      <c r="O452" s="27" t="s">
        <v>1853</v>
      </c>
      <c r="P452" s="4"/>
      <c r="Q452"/>
    </row>
    <row r="453" spans="1:17" x14ac:dyDescent="0.25">
      <c r="A453" s="19" t="s">
        <v>1441</v>
      </c>
      <c r="B453" s="19" t="str">
        <f>INDEX(Places[Type],MATCH(Budgets[[#This Row],[Jurisdiction]],Places[Jurisdiction],0))</f>
        <v>FCD</v>
      </c>
      <c r="C453" s="19" t="str">
        <f>INDEX(Places[County],MATCH(Budgets[[#This Row],[Jurisdiction]],Places[Jurisdiction],0))</f>
        <v>San Bernardino</v>
      </c>
      <c r="D453" s="21" t="str">
        <f>INDEX(Places[Majority RB],MATCH(Budgets[[#This Row],[Jurisdiction]],Places[Jurisdiction],0))</f>
        <v>Santa Ana</v>
      </c>
      <c r="E453" s="19">
        <f>INDEX(Places[Majority RB '#],MATCH(Budgets[[#This Row],[Jurisdiction]],Places[Jurisdiction],0))</f>
        <v>8</v>
      </c>
      <c r="F453" s="19" t="str">
        <f>VLOOKUP(Budgets[[#This Row],[Jurisdiction]],Places[#All],8,FALSE)</f>
        <v>Phase I MS4</v>
      </c>
      <c r="G453" s="81"/>
      <c r="H453" s="21" t="s">
        <v>1871</v>
      </c>
      <c r="I453" s="21">
        <f>VALUE(LEFT(Budgets[[#This Row],[Fiscal Year]],4))</f>
        <v>2012</v>
      </c>
      <c r="J453" s="20">
        <v>41817474</v>
      </c>
      <c r="K453" s="27">
        <f>IF(Budgets[[#This Row],[Reference Year]]&gt;2018,Budgets[[#This Row],[Value]],Budgets[[#This Row],[Value]]*(1+VLOOKUP(Budgets[[#This Row],[Reference Year]],Inflation[#All],3,FALSE)))</f>
        <v>45830020.906332754</v>
      </c>
      <c r="L453" s="27" t="e">
        <f>Budgets[[#This Row],[2018 $ Value]]/VLOOKUP(Budgets[[#This Row],[Jurisdiction]],Places[],6,FALSE)</f>
        <v>#N/A</v>
      </c>
      <c r="M453" s="27" t="e">
        <f>Budgets[[#This Row],[2018 $ Value]]/VLOOKUP(Budgets[[#This Row],[Jurisdiction]],Places[],7,FALSE)</f>
        <v>#N/A</v>
      </c>
      <c r="N453" s="27"/>
      <c r="O453" s="27" t="s">
        <v>1460</v>
      </c>
      <c r="P453" s="4"/>
      <c r="Q453"/>
    </row>
    <row r="454" spans="1:17" x14ac:dyDescent="0.25">
      <c r="A454" s="19" t="s">
        <v>1441</v>
      </c>
      <c r="B454" s="19" t="str">
        <f>INDEX(Places[Type],MATCH(Budgets[[#This Row],[Jurisdiction]],Places[Jurisdiction],0))</f>
        <v>FCD</v>
      </c>
      <c r="C454" s="19" t="str">
        <f>INDEX(Places[County],MATCH(Budgets[[#This Row],[Jurisdiction]],Places[Jurisdiction],0))</f>
        <v>San Bernardino</v>
      </c>
      <c r="D454" s="21" t="str">
        <f>INDEX(Places[Majority RB],MATCH(Budgets[[#This Row],[Jurisdiction]],Places[Jurisdiction],0))</f>
        <v>Santa Ana</v>
      </c>
      <c r="E454" s="19">
        <f>INDEX(Places[Majority RB '#],MATCH(Budgets[[#This Row],[Jurisdiction]],Places[Jurisdiction],0))</f>
        <v>8</v>
      </c>
      <c r="F454" s="19" t="str">
        <f>VLOOKUP(Budgets[[#This Row],[Jurisdiction]],Places[#All],8,FALSE)</f>
        <v>Phase I MS4</v>
      </c>
      <c r="G454" s="81"/>
      <c r="H454" s="21" t="s">
        <v>1880</v>
      </c>
      <c r="I454" s="21">
        <f>VALUE(LEFT(Budgets[[#This Row],[Fiscal Year]],4))</f>
        <v>2013</v>
      </c>
      <c r="J454" s="20">
        <v>44552449</v>
      </c>
      <c r="K454" s="27">
        <f>IF(Budgets[[#This Row],[Reference Year]]&gt;2018,Budgets[[#This Row],[Value]],Budgets[[#This Row],[Value]]*(1+VLOOKUP(Budgets[[#This Row],[Reference Year]],Inflation[#All],3,FALSE)))</f>
        <v>48114924.009952791</v>
      </c>
      <c r="L454" s="27" t="e">
        <f>Budgets[[#This Row],[2018 $ Value]]/VLOOKUP(Budgets[[#This Row],[Jurisdiction]],Places[],6,FALSE)</f>
        <v>#N/A</v>
      </c>
      <c r="M454" s="27" t="e">
        <f>Budgets[[#This Row],[2018 $ Value]]/VLOOKUP(Budgets[[#This Row],[Jurisdiction]],Places[],7,FALSE)</f>
        <v>#N/A</v>
      </c>
      <c r="N454" s="27"/>
      <c r="O454" s="27" t="s">
        <v>1460</v>
      </c>
      <c r="P454" s="4"/>
      <c r="Q454"/>
    </row>
    <row r="455" spans="1:17" x14ac:dyDescent="0.25">
      <c r="A455" s="19" t="s">
        <v>1441</v>
      </c>
      <c r="B455" s="19" t="str">
        <f>INDEX(Places[Type],MATCH(Budgets[[#This Row],[Jurisdiction]],Places[Jurisdiction],0))</f>
        <v>FCD</v>
      </c>
      <c r="C455" s="19" t="str">
        <f>INDEX(Places[County],MATCH(Budgets[[#This Row],[Jurisdiction]],Places[Jurisdiction],0))</f>
        <v>San Bernardino</v>
      </c>
      <c r="D455" s="21" t="str">
        <f>INDEX(Places[Majority RB],MATCH(Budgets[[#This Row],[Jurisdiction]],Places[Jurisdiction],0))</f>
        <v>Santa Ana</v>
      </c>
      <c r="E455" s="19">
        <f>INDEX(Places[Majority RB '#],MATCH(Budgets[[#This Row],[Jurisdiction]],Places[Jurisdiction],0))</f>
        <v>8</v>
      </c>
      <c r="F455" s="19" t="str">
        <f>VLOOKUP(Budgets[[#This Row],[Jurisdiction]],Places[#All],8,FALSE)</f>
        <v>Phase I MS4</v>
      </c>
      <c r="G455" s="81"/>
      <c r="H455" s="21" t="s">
        <v>1881</v>
      </c>
      <c r="I455" s="21">
        <f>VALUE(LEFT(Budgets[[#This Row],[Fiscal Year]],4))</f>
        <v>2014</v>
      </c>
      <c r="J455" s="20">
        <v>14935855</v>
      </c>
      <c r="K455" s="27">
        <f>IF(Budgets[[#This Row],[Reference Year]]&gt;2018,Budgets[[#This Row],[Value]],Budgets[[#This Row],[Value]]*(1+VLOOKUP(Budgets[[#This Row],[Reference Year]],Inflation[#All],3,FALSE)))</f>
        <v>15878006.461787073</v>
      </c>
      <c r="L455" s="27" t="e">
        <f>Budgets[[#This Row],[2018 $ Value]]/VLOOKUP(Budgets[[#This Row],[Jurisdiction]],Places[],6,FALSE)</f>
        <v>#N/A</v>
      </c>
      <c r="M455" s="27" t="e">
        <f>Budgets[[#This Row],[2018 $ Value]]/VLOOKUP(Budgets[[#This Row],[Jurisdiction]],Places[],7,FALSE)</f>
        <v>#N/A</v>
      </c>
      <c r="N455" s="27"/>
      <c r="O455" s="27" t="s">
        <v>1460</v>
      </c>
      <c r="P455" s="4"/>
      <c r="Q455"/>
    </row>
    <row r="456" spans="1:17" x14ac:dyDescent="0.25">
      <c r="A456" s="19" t="s">
        <v>1441</v>
      </c>
      <c r="B456" s="19" t="str">
        <f>INDEX(Places[Type],MATCH(Budgets[[#This Row],[Jurisdiction]],Places[Jurisdiction],0))</f>
        <v>FCD</v>
      </c>
      <c r="C456" s="19" t="str">
        <f>INDEX(Places[County],MATCH(Budgets[[#This Row],[Jurisdiction]],Places[Jurisdiction],0))</f>
        <v>San Bernardino</v>
      </c>
      <c r="D456" s="21" t="str">
        <f>INDEX(Places[Majority RB],MATCH(Budgets[[#This Row],[Jurisdiction]],Places[Jurisdiction],0))</f>
        <v>Santa Ana</v>
      </c>
      <c r="E456" s="19">
        <f>INDEX(Places[Majority RB '#],MATCH(Budgets[[#This Row],[Jurisdiction]],Places[Jurisdiction],0))</f>
        <v>8</v>
      </c>
      <c r="F456" s="19" t="str">
        <f>VLOOKUP(Budgets[[#This Row],[Jurisdiction]],Places[#All],8,FALSE)</f>
        <v>Phase I MS4</v>
      </c>
      <c r="G456" s="81"/>
      <c r="H456" s="21" t="s">
        <v>1873</v>
      </c>
      <c r="I456" s="21">
        <f>VALUE(LEFT(Budgets[[#This Row],[Fiscal Year]],4))</f>
        <v>2015</v>
      </c>
      <c r="J456" s="20">
        <v>80284024</v>
      </c>
      <c r="K456" s="27">
        <f>IF(Budgets[[#This Row],[Reference Year]]&gt;2018,Budgets[[#This Row],[Value]],Budgets[[#This Row],[Value]]*(1+VLOOKUP(Budgets[[#This Row],[Reference Year]],Inflation[#All],3,FALSE)))</f>
        <v>85240292.165164545</v>
      </c>
      <c r="L456" s="27" t="e">
        <f>Budgets[[#This Row],[2018 $ Value]]/VLOOKUP(Budgets[[#This Row],[Jurisdiction]],Places[],6,FALSE)</f>
        <v>#N/A</v>
      </c>
      <c r="M456" s="27" t="e">
        <f>Budgets[[#This Row],[2018 $ Value]]/VLOOKUP(Budgets[[#This Row],[Jurisdiction]],Places[],7,FALSE)</f>
        <v>#N/A</v>
      </c>
      <c r="N456" s="27"/>
      <c r="O456" s="27" t="s">
        <v>1460</v>
      </c>
      <c r="P456" s="4"/>
      <c r="Q456"/>
    </row>
    <row r="457" spans="1:17" x14ac:dyDescent="0.25">
      <c r="A457" s="19" t="s">
        <v>1441</v>
      </c>
      <c r="B457" s="19" t="str">
        <f>INDEX(Places[Type],MATCH(Budgets[[#This Row],[Jurisdiction]],Places[Jurisdiction],0))</f>
        <v>FCD</v>
      </c>
      <c r="C457" s="19" t="str">
        <f>INDEX(Places[County],MATCH(Budgets[[#This Row],[Jurisdiction]],Places[Jurisdiction],0))</f>
        <v>San Bernardino</v>
      </c>
      <c r="D457" s="21" t="str">
        <f>INDEX(Places[Majority RB],MATCH(Budgets[[#This Row],[Jurisdiction]],Places[Jurisdiction],0))</f>
        <v>Santa Ana</v>
      </c>
      <c r="E457" s="19">
        <f>INDEX(Places[Majority RB '#],MATCH(Budgets[[#This Row],[Jurisdiction]],Places[Jurisdiction],0))</f>
        <v>8</v>
      </c>
      <c r="F457" s="19" t="str">
        <f>VLOOKUP(Budgets[[#This Row],[Jurisdiction]],Places[#All],8,FALSE)</f>
        <v>Phase I MS4</v>
      </c>
      <c r="G457" s="81"/>
      <c r="H457" s="21" t="s">
        <v>1869</v>
      </c>
      <c r="I457" s="21">
        <f>VALUE(LEFT(Budgets[[#This Row],[Fiscal Year]],4))</f>
        <v>2016</v>
      </c>
      <c r="J457" s="20">
        <v>84298226</v>
      </c>
      <c r="K457" s="27">
        <f>IF(Budgets[[#This Row],[Reference Year]]&gt;2018,Budgets[[#This Row],[Value]],Budgets[[#This Row],[Value]]*(1+VLOOKUP(Budgets[[#This Row],[Reference Year]],Inflation[#All],3,FALSE)))</f>
        <v>88383528.777525008</v>
      </c>
      <c r="L457" s="27" t="e">
        <f>Budgets[[#This Row],[2018 $ Value]]/VLOOKUP(Budgets[[#This Row],[Jurisdiction]],Places[],6,FALSE)</f>
        <v>#N/A</v>
      </c>
      <c r="M457" s="27" t="e">
        <f>Budgets[[#This Row],[2018 $ Value]]/VLOOKUP(Budgets[[#This Row],[Jurisdiction]],Places[],7,FALSE)</f>
        <v>#N/A</v>
      </c>
      <c r="N457" s="27"/>
      <c r="O457" s="27" t="s">
        <v>1853</v>
      </c>
      <c r="P457" s="4"/>
      <c r="Q457"/>
    </row>
    <row r="458" spans="1:17" x14ac:dyDescent="0.25">
      <c r="A458" s="19" t="s">
        <v>1761</v>
      </c>
      <c r="B458" s="19" t="str">
        <f>INDEX(Places[Type],MATCH(Budgets[[#This Row],[Jurisdiction]],Places[Jurisdiction],0))</f>
        <v>City</v>
      </c>
      <c r="C458" s="19" t="str">
        <f>INDEX(Places[County],MATCH(Budgets[[#This Row],[Jurisdiction]],Places[Jurisdiction],0))</f>
        <v>Ventura</v>
      </c>
      <c r="D458" s="21" t="str">
        <f>INDEX(Places[Majority RB],MATCH(Budgets[[#This Row],[Jurisdiction]],Places[Jurisdiction],0))</f>
        <v>Los Angeles</v>
      </c>
      <c r="E458" s="19">
        <f>INDEX(Places[Majority RB '#],MATCH(Budgets[[#This Row],[Jurisdiction]],Places[Jurisdiction],0))</f>
        <v>4</v>
      </c>
      <c r="F458" s="19" t="str">
        <f>VLOOKUP(Budgets[[#This Row],[Jurisdiction]],Places[#All],8,FALSE)</f>
        <v>Phase I MS4</v>
      </c>
      <c r="G458" s="81"/>
      <c r="H458" s="21" t="s">
        <v>1882</v>
      </c>
      <c r="I458" s="21">
        <f>VALUE(LEFT(Budgets[[#This Row],[Fiscal Year]],4))</f>
        <v>2005</v>
      </c>
      <c r="J458" s="20">
        <v>1177228</v>
      </c>
      <c r="K458" s="27">
        <f>IF(Budgets[[#This Row],[Reference Year]]&gt;2018,Budgets[[#This Row],[Value]],Budgets[[#This Row],[Value]]*(1+VLOOKUP(Budgets[[#This Row],[Reference Year]],Inflation[#All],3,FALSE)))</f>
        <v>1516779.6152995392</v>
      </c>
      <c r="L458" s="27">
        <f>Budgets[[#This Row],[2018 $ Value]]/VLOOKUP(Budgets[[#This Row],[Jurisdiction]],Places[],6,FALSE)</f>
        <v>13.648941898527276</v>
      </c>
      <c r="M458" s="27">
        <f>Budgets[[#This Row],[2018 $ Value]]/VLOOKUP(Budgets[[#This Row],[Jurisdiction]],Places[],7,FALSE)</f>
        <v>69577.046573373358</v>
      </c>
      <c r="N458" s="27"/>
      <c r="O458" s="27" t="s">
        <v>1460</v>
      </c>
      <c r="P458" s="4"/>
      <c r="Q458"/>
    </row>
    <row r="459" spans="1:17" x14ac:dyDescent="0.25">
      <c r="A459" s="19" t="s">
        <v>1761</v>
      </c>
      <c r="B459" s="19" t="str">
        <f>INDEX(Places[Type],MATCH(Budgets[[#This Row],[Jurisdiction]],Places[Jurisdiction],0))</f>
        <v>City</v>
      </c>
      <c r="C459" s="19" t="str">
        <f>INDEX(Places[County],MATCH(Budgets[[#This Row],[Jurisdiction]],Places[Jurisdiction],0))</f>
        <v>Ventura</v>
      </c>
      <c r="D459" s="21" t="str">
        <f>INDEX(Places[Majority RB],MATCH(Budgets[[#This Row],[Jurisdiction]],Places[Jurisdiction],0))</f>
        <v>Los Angeles</v>
      </c>
      <c r="E459" s="19">
        <f>INDEX(Places[Majority RB '#],MATCH(Budgets[[#This Row],[Jurisdiction]],Places[Jurisdiction],0))</f>
        <v>4</v>
      </c>
      <c r="F459" s="19" t="str">
        <f>VLOOKUP(Budgets[[#This Row],[Jurisdiction]],Places[#All],8,FALSE)</f>
        <v>Phase I MS4</v>
      </c>
      <c r="G459" s="81"/>
      <c r="H459" s="21" t="s">
        <v>1883</v>
      </c>
      <c r="I459" s="21">
        <f>VALUE(LEFT(Budgets[[#This Row],[Fiscal Year]],4))</f>
        <v>2006</v>
      </c>
      <c r="J459" s="20">
        <v>1203594</v>
      </c>
      <c r="K459" s="27">
        <f>IF(Budgets[[#This Row],[Reference Year]]&gt;2018,Budgets[[#This Row],[Value]],Budgets[[#This Row],[Value]]*(1+VLOOKUP(Budgets[[#This Row],[Reference Year]],Inflation[#All],3,FALSE)))</f>
        <v>1502289.493125</v>
      </c>
      <c r="L459" s="27">
        <f>Budgets[[#This Row],[2018 $ Value]]/VLOOKUP(Budgets[[#This Row],[Jurisdiction]],Places[],6,FALSE)</f>
        <v>13.518550618430998</v>
      </c>
      <c r="M459" s="27">
        <f>Budgets[[#This Row],[2018 $ Value]]/VLOOKUP(Budgets[[#This Row],[Jurisdiction]],Places[],7,FALSE)</f>
        <v>68912.362069954121</v>
      </c>
      <c r="N459" s="27"/>
      <c r="O459" s="27" t="s">
        <v>1460</v>
      </c>
      <c r="P459" s="4"/>
      <c r="Q459"/>
    </row>
    <row r="460" spans="1:17" x14ac:dyDescent="0.25">
      <c r="A460" s="19" t="s">
        <v>1761</v>
      </c>
      <c r="B460" s="19" t="str">
        <f>INDEX(Places[Type],MATCH(Budgets[[#This Row],[Jurisdiction]],Places[Jurisdiction],0))</f>
        <v>City</v>
      </c>
      <c r="C460" s="19" t="str">
        <f>INDEX(Places[County],MATCH(Budgets[[#This Row],[Jurisdiction]],Places[Jurisdiction],0))</f>
        <v>Ventura</v>
      </c>
      <c r="D460" s="21" t="str">
        <f>INDEX(Places[Majority RB],MATCH(Budgets[[#This Row],[Jurisdiction]],Places[Jurisdiction],0))</f>
        <v>Los Angeles</v>
      </c>
      <c r="E460" s="19">
        <f>INDEX(Places[Majority RB '#],MATCH(Budgets[[#This Row],[Jurisdiction]],Places[Jurisdiction],0))</f>
        <v>4</v>
      </c>
      <c r="F460" s="19" t="str">
        <f>VLOOKUP(Budgets[[#This Row],[Jurisdiction]],Places[#All],8,FALSE)</f>
        <v>Phase I MS4</v>
      </c>
      <c r="G460" s="81"/>
      <c r="H460" s="21" t="s">
        <v>1884</v>
      </c>
      <c r="I460" s="21">
        <f>VALUE(LEFT(Budgets[[#This Row],[Fiscal Year]],4))</f>
        <v>2008</v>
      </c>
      <c r="J460" s="20">
        <v>1396709</v>
      </c>
      <c r="K460" s="27">
        <f>IF(Budgets[[#This Row],[Reference Year]]&gt;2018,Budgets[[#This Row],[Value]],Budgets[[#This Row],[Value]]*(1+VLOOKUP(Budgets[[#This Row],[Reference Year]],Inflation[#All],3,FALSE)))</f>
        <v>1632397.9673896886</v>
      </c>
      <c r="L460" s="27">
        <f>Budgets[[#This Row],[2018 $ Value]]/VLOOKUP(Budgets[[#This Row],[Jurisdiction]],Places[],6,FALSE)</f>
        <v>14.689348925470526</v>
      </c>
      <c r="M460" s="27">
        <f>Budgets[[#This Row],[2018 $ Value]]/VLOOKUP(Budgets[[#This Row],[Jurisdiction]],Places[],7,FALSE)</f>
        <v>74880.640705949016</v>
      </c>
      <c r="N460" s="27"/>
      <c r="O460" s="27" t="s">
        <v>1460</v>
      </c>
      <c r="P460" s="4"/>
      <c r="Q460"/>
    </row>
    <row r="461" spans="1:17" x14ac:dyDescent="0.25">
      <c r="A461" s="19" t="s">
        <v>1761</v>
      </c>
      <c r="B461" s="19" t="str">
        <f>INDEX(Places[Type],MATCH(Budgets[[#This Row],[Jurisdiction]],Places[Jurisdiction],0))</f>
        <v>City</v>
      </c>
      <c r="C461" s="19" t="str">
        <f>INDEX(Places[County],MATCH(Budgets[[#This Row],[Jurisdiction]],Places[Jurisdiction],0))</f>
        <v>Ventura</v>
      </c>
      <c r="D461" s="21" t="str">
        <f>INDEX(Places[Majority RB],MATCH(Budgets[[#This Row],[Jurisdiction]],Places[Jurisdiction],0))</f>
        <v>Los Angeles</v>
      </c>
      <c r="E461" s="19">
        <f>INDEX(Places[Majority RB '#],MATCH(Budgets[[#This Row],[Jurisdiction]],Places[Jurisdiction],0))</f>
        <v>4</v>
      </c>
      <c r="F461" s="19" t="str">
        <f>VLOOKUP(Budgets[[#This Row],[Jurisdiction]],Places[#All],8,FALSE)</f>
        <v>Phase I MS4</v>
      </c>
      <c r="G461" s="81"/>
      <c r="H461" s="21" t="s">
        <v>1885</v>
      </c>
      <c r="I461" s="21">
        <f>VALUE(LEFT(Budgets[[#This Row],[Fiscal Year]],4))</f>
        <v>2010</v>
      </c>
      <c r="J461" s="20">
        <v>1719000</v>
      </c>
      <c r="K461" s="27">
        <f>IF(Budgets[[#This Row],[Reference Year]]&gt;2018,Budgets[[#This Row],[Value]],Budgets[[#This Row],[Value]]*(1+VLOOKUP(Budgets[[#This Row],[Reference Year]],Inflation[#All],3,FALSE)))</f>
        <v>1983281.4718019257</v>
      </c>
      <c r="L461" s="27">
        <f>Budgets[[#This Row],[2018 $ Value]]/VLOOKUP(Budgets[[#This Row],[Jurisdiction]],Places[],6,FALSE)</f>
        <v>17.846820529496849</v>
      </c>
      <c r="M461" s="27">
        <f>Budgets[[#This Row],[2018 $ Value]]/VLOOKUP(Budgets[[#This Row],[Jurisdiction]],Places[],7,FALSE)</f>
        <v>90976.214302840628</v>
      </c>
      <c r="N461" s="27"/>
      <c r="O461" s="27" t="s">
        <v>1460</v>
      </c>
      <c r="P461" s="4"/>
      <c r="Q461"/>
    </row>
    <row r="462" spans="1:17" x14ac:dyDescent="0.25">
      <c r="A462" s="19" t="s">
        <v>1761</v>
      </c>
      <c r="B462" s="19" t="str">
        <f>INDEX(Places[Type],MATCH(Budgets[[#This Row],[Jurisdiction]],Places[Jurisdiction],0))</f>
        <v>City</v>
      </c>
      <c r="C462" s="19" t="str">
        <f>INDEX(Places[County],MATCH(Budgets[[#This Row],[Jurisdiction]],Places[Jurisdiction],0))</f>
        <v>Ventura</v>
      </c>
      <c r="D462" s="21" t="str">
        <f>INDEX(Places[Majority RB],MATCH(Budgets[[#This Row],[Jurisdiction]],Places[Jurisdiction],0))</f>
        <v>Los Angeles</v>
      </c>
      <c r="E462" s="19">
        <f>INDEX(Places[Majority RB '#],MATCH(Budgets[[#This Row],[Jurisdiction]],Places[Jurisdiction],0))</f>
        <v>4</v>
      </c>
      <c r="F462" s="19" t="str">
        <f>VLOOKUP(Budgets[[#This Row],[Jurisdiction]],Places[#All],8,FALSE)</f>
        <v>Phase I MS4</v>
      </c>
      <c r="G462" s="81"/>
      <c r="H462" s="21" t="s">
        <v>1870</v>
      </c>
      <c r="I462" s="21">
        <f>VALUE(LEFT(Budgets[[#This Row],[Fiscal Year]],4))</f>
        <v>2011</v>
      </c>
      <c r="J462" s="20">
        <v>1719000</v>
      </c>
      <c r="K462" s="27">
        <f>IF(Budgets[[#This Row],[Reference Year]]&gt;2018,Budgets[[#This Row],[Value]],Budgets[[#This Row],[Value]]*(1+VLOOKUP(Budgets[[#This Row],[Reference Year]],Inflation[#All],3,FALSE)))</f>
        <v>1923315.6469542019</v>
      </c>
      <c r="L462" s="27">
        <f>Budgets[[#This Row],[2018 $ Value]]/VLOOKUP(Budgets[[#This Row],[Jurisdiction]],Places[],6,FALSE)</f>
        <v>17.307210126648567</v>
      </c>
      <c r="M462" s="27">
        <f>Budgets[[#This Row],[2018 $ Value]]/VLOOKUP(Budgets[[#This Row],[Jurisdiction]],Places[],7,FALSE)</f>
        <v>88225.488392394574</v>
      </c>
      <c r="N462" s="27"/>
      <c r="O462" s="27" t="s">
        <v>1460</v>
      </c>
      <c r="P462" s="4"/>
      <c r="Q462"/>
    </row>
    <row r="463" spans="1:17" x14ac:dyDescent="0.25">
      <c r="A463" s="19" t="s">
        <v>1761</v>
      </c>
      <c r="B463" s="19" t="str">
        <f>INDEX(Places[Type],MATCH(Budgets[[#This Row],[Jurisdiction]],Places[Jurisdiction],0))</f>
        <v>City</v>
      </c>
      <c r="C463" s="19" t="str">
        <f>INDEX(Places[County],MATCH(Budgets[[#This Row],[Jurisdiction]],Places[Jurisdiction],0))</f>
        <v>Ventura</v>
      </c>
      <c r="D463" s="21" t="str">
        <f>INDEX(Places[Majority RB],MATCH(Budgets[[#This Row],[Jurisdiction]],Places[Jurisdiction],0))</f>
        <v>Los Angeles</v>
      </c>
      <c r="E463" s="19">
        <f>INDEX(Places[Majority RB '#],MATCH(Budgets[[#This Row],[Jurisdiction]],Places[Jurisdiction],0))</f>
        <v>4</v>
      </c>
      <c r="F463" s="19" t="str">
        <f>VLOOKUP(Budgets[[#This Row],[Jurisdiction]],Places[#All],8,FALSE)</f>
        <v>Phase I MS4</v>
      </c>
      <c r="G463" s="81"/>
      <c r="H463" s="21" t="s">
        <v>1871</v>
      </c>
      <c r="I463" s="21">
        <f>VALUE(LEFT(Budgets[[#This Row],[Fiscal Year]],4))</f>
        <v>2012</v>
      </c>
      <c r="J463" s="20">
        <v>1588000</v>
      </c>
      <c r="K463" s="27">
        <f>IF(Budgets[[#This Row],[Reference Year]]&gt;2018,Budgets[[#This Row],[Value]],Budgets[[#This Row],[Value]]*(1+VLOOKUP(Budgets[[#This Row],[Reference Year]],Inflation[#All],3,FALSE)))</f>
        <v>1740374.6864111498</v>
      </c>
      <c r="L463" s="27">
        <f>Budgets[[#This Row],[2018 $ Value]]/VLOOKUP(Budgets[[#This Row],[Jurisdiction]],Places[],6,FALSE)</f>
        <v>15.660991706960891</v>
      </c>
      <c r="M463" s="27">
        <f>Budgets[[#This Row],[2018 $ Value]]/VLOOKUP(Budgets[[#This Row],[Jurisdiction]],Places[],7,FALSE)</f>
        <v>79833.701211520631</v>
      </c>
      <c r="N463" s="27"/>
      <c r="O463" s="27" t="s">
        <v>1460</v>
      </c>
      <c r="P463" s="4"/>
      <c r="Q463"/>
    </row>
    <row r="464" spans="1:17" x14ac:dyDescent="0.25">
      <c r="A464" s="19" t="s">
        <v>1761</v>
      </c>
      <c r="B464" s="19" t="str">
        <f>INDEX(Places[Type],MATCH(Budgets[[#This Row],[Jurisdiction]],Places[Jurisdiction],0))</f>
        <v>City</v>
      </c>
      <c r="C464" s="19" t="str">
        <f>INDEX(Places[County],MATCH(Budgets[[#This Row],[Jurisdiction]],Places[Jurisdiction],0))</f>
        <v>Ventura</v>
      </c>
      <c r="D464" s="21" t="str">
        <f>INDEX(Places[Majority RB],MATCH(Budgets[[#This Row],[Jurisdiction]],Places[Jurisdiction],0))</f>
        <v>Los Angeles</v>
      </c>
      <c r="E464" s="19">
        <f>INDEX(Places[Majority RB '#],MATCH(Budgets[[#This Row],[Jurisdiction]],Places[Jurisdiction],0))</f>
        <v>4</v>
      </c>
      <c r="F464" s="19" t="str">
        <f>VLOOKUP(Budgets[[#This Row],[Jurisdiction]],Places[#All],8,FALSE)</f>
        <v>Phase I MS4</v>
      </c>
      <c r="G464" s="81"/>
      <c r="H464" s="21" t="s">
        <v>1881</v>
      </c>
      <c r="I464" s="21">
        <f>VALUE(LEFT(Budgets[[#This Row],[Fiscal Year]],4))</f>
        <v>2014</v>
      </c>
      <c r="J464" s="20">
        <v>1599000</v>
      </c>
      <c r="K464" s="27">
        <f>IF(Budgets[[#This Row],[Reference Year]]&gt;2018,Budgets[[#This Row],[Value]],Budgets[[#This Row],[Value]]*(1+VLOOKUP(Budgets[[#This Row],[Reference Year]],Inflation[#All],3,FALSE)))</f>
        <v>1699864.6768060839</v>
      </c>
      <c r="L464" s="27">
        <f>Budgets[[#This Row],[2018 $ Value]]/VLOOKUP(Budgets[[#This Row],[Jurisdiction]],Places[],6,FALSE)</f>
        <v>15.296457029786227</v>
      </c>
      <c r="M464" s="27">
        <f>Budgets[[#This Row],[2018 $ Value]]/VLOOKUP(Budgets[[#This Row],[Jurisdiction]],Places[],7,FALSE)</f>
        <v>77975.443890187336</v>
      </c>
      <c r="N464" s="27"/>
      <c r="O464" s="27" t="s">
        <v>1853</v>
      </c>
      <c r="P464" s="4"/>
      <c r="Q464"/>
    </row>
    <row r="465" spans="1:17" x14ac:dyDescent="0.25">
      <c r="A465" s="19" t="s">
        <v>288</v>
      </c>
      <c r="B465" s="19" t="str">
        <f>INDEX(Places[Type],MATCH(Budgets[[#This Row],[Jurisdiction]],Places[Jurisdiction],0))</f>
        <v>City</v>
      </c>
      <c r="C465" s="19" t="str">
        <f>INDEX(Places[County],MATCH(Budgets[[#This Row],[Jurisdiction]],Places[Jurisdiction],0))</f>
        <v>Orange</v>
      </c>
      <c r="D465" s="21" t="str">
        <f>INDEX(Places[Majority RB],MATCH(Budgets[[#This Row],[Jurisdiction]],Places[Jurisdiction],0))</f>
        <v>San Diego</v>
      </c>
      <c r="E465" s="19">
        <f>INDEX(Places[Majority RB '#],MATCH(Budgets[[#This Row],[Jurisdiction]],Places[Jurisdiction],0))</f>
        <v>9</v>
      </c>
      <c r="F465" s="19" t="str">
        <f>VLOOKUP(Budgets[[#This Row],[Jurisdiction]],Places[#All],8,FALSE)</f>
        <v>Phase I MS4</v>
      </c>
      <c r="G465" s="81"/>
      <c r="H465" s="21" t="s">
        <v>1875</v>
      </c>
      <c r="I465" s="21">
        <f>VALUE(LEFT(Budgets[[#This Row],[Fiscal Year]],4))</f>
        <v>2001</v>
      </c>
      <c r="J465" s="20">
        <v>798200</v>
      </c>
      <c r="K465" s="27">
        <f>IF(Budgets[[#This Row],[Reference Year]]&gt;2018,Budgets[[#This Row],[Value]],Budgets[[#This Row],[Value]]*(1+VLOOKUP(Budgets[[#This Row],[Reference Year]],Inflation[#All],3,FALSE)))</f>
        <v>1134115.5516657257</v>
      </c>
      <c r="L465" s="27">
        <f>Budgets[[#This Row],[2018 $ Value]]/VLOOKUP(Budgets[[#This Row],[Jurisdiction]],Places[],6,FALSE)</f>
        <v>17.486401647713055</v>
      </c>
      <c r="M465" s="27">
        <f>Budgets[[#This Row],[2018 $ Value]]/VLOOKUP(Budgets[[#This Row],[Jurisdiction]],Places[],7,FALSE)</f>
        <v>61636.714764441618</v>
      </c>
      <c r="N465" s="27"/>
      <c r="O465" s="27" t="s">
        <v>1460</v>
      </c>
      <c r="P465" s="4"/>
      <c r="Q465"/>
    </row>
    <row r="466" spans="1:17" x14ac:dyDescent="0.25">
      <c r="A466" s="19" t="s">
        <v>288</v>
      </c>
      <c r="B466" s="19" t="str">
        <f>INDEX(Places[Type],MATCH(Budgets[[#This Row],[Jurisdiction]],Places[Jurisdiction],0))</f>
        <v>City</v>
      </c>
      <c r="C466" s="19" t="str">
        <f>INDEX(Places[County],MATCH(Budgets[[#This Row],[Jurisdiction]],Places[Jurisdiction],0))</f>
        <v>Orange</v>
      </c>
      <c r="D466" s="21" t="str">
        <f>INDEX(Places[Majority RB],MATCH(Budgets[[#This Row],[Jurisdiction]],Places[Jurisdiction],0))</f>
        <v>San Diego</v>
      </c>
      <c r="E466" s="19">
        <f>INDEX(Places[Majority RB '#],MATCH(Budgets[[#This Row],[Jurisdiction]],Places[Jurisdiction],0))</f>
        <v>9</v>
      </c>
      <c r="F466" s="19" t="str">
        <f>VLOOKUP(Budgets[[#This Row],[Jurisdiction]],Places[#All],8,FALSE)</f>
        <v>Phase I MS4</v>
      </c>
      <c r="G466" s="81"/>
      <c r="H466" s="21" t="s">
        <v>1872</v>
      </c>
      <c r="I466" s="21">
        <f>VALUE(LEFT(Budgets[[#This Row],[Fiscal Year]],4))</f>
        <v>2002</v>
      </c>
      <c r="J466" s="20">
        <v>648730</v>
      </c>
      <c r="K466" s="27">
        <f>IF(Budgets[[#This Row],[Reference Year]]&gt;2018,Budgets[[#This Row],[Value]],Budgets[[#This Row],[Value]]*(1+VLOOKUP(Budgets[[#This Row],[Reference Year]],Inflation[#All],3,FALSE)))</f>
        <v>907396.21250694827</v>
      </c>
      <c r="L466" s="27">
        <f>Budgets[[#This Row],[2018 $ Value]]/VLOOKUP(Budgets[[#This Row],[Jurisdiction]],Places[],6,FALSE)</f>
        <v>13.990721317775233</v>
      </c>
      <c r="M466" s="27">
        <f>Budgets[[#This Row],[2018 $ Value]]/VLOOKUP(Budgets[[#This Row],[Jurisdiction]],Places[],7,FALSE)</f>
        <v>49315.01154929067</v>
      </c>
      <c r="N466" s="27"/>
      <c r="O466" s="27" t="s">
        <v>1460</v>
      </c>
      <c r="P466" s="4"/>
      <c r="Q466"/>
    </row>
    <row r="467" spans="1:17" x14ac:dyDescent="0.25">
      <c r="A467" s="19" t="s">
        <v>288</v>
      </c>
      <c r="B467" s="19" t="str">
        <f>INDEX(Places[Type],MATCH(Budgets[[#This Row],[Jurisdiction]],Places[Jurisdiction],0))</f>
        <v>City</v>
      </c>
      <c r="C467" s="19" t="str">
        <f>INDEX(Places[County],MATCH(Budgets[[#This Row],[Jurisdiction]],Places[Jurisdiction],0))</f>
        <v>Orange</v>
      </c>
      <c r="D467" s="21" t="str">
        <f>INDEX(Places[Majority RB],MATCH(Budgets[[#This Row],[Jurisdiction]],Places[Jurisdiction],0))</f>
        <v>San Diego</v>
      </c>
      <c r="E467" s="19">
        <f>INDEX(Places[Majority RB '#],MATCH(Budgets[[#This Row],[Jurisdiction]],Places[Jurisdiction],0))</f>
        <v>9</v>
      </c>
      <c r="F467" s="19" t="str">
        <f>VLOOKUP(Budgets[[#This Row],[Jurisdiction]],Places[#All],8,FALSE)</f>
        <v>Phase I MS4</v>
      </c>
      <c r="G467" s="81"/>
      <c r="H467" s="21" t="s">
        <v>1869</v>
      </c>
      <c r="I467" s="21">
        <f>VALUE(LEFT(Budgets[[#This Row],[Fiscal Year]],4))</f>
        <v>2016</v>
      </c>
      <c r="J467" s="20">
        <v>3377440</v>
      </c>
      <c r="K467" s="27">
        <f>IF(Budgets[[#This Row],[Reference Year]]&gt;2018,Budgets[[#This Row],[Value]],Budgets[[#This Row],[Value]]*(1+VLOOKUP(Budgets[[#This Row],[Reference Year]],Inflation[#All],3,FALSE)))</f>
        <v>3541119.1860000002</v>
      </c>
      <c r="L467" s="27">
        <f>Budgets[[#This Row],[2018 $ Value]]/VLOOKUP(Budgets[[#This Row],[Jurisdiction]],Places[],6,FALSE)</f>
        <v>54.598874231000515</v>
      </c>
      <c r="M467" s="27">
        <f>Budgets[[#This Row],[2018 $ Value]]/VLOOKUP(Budgets[[#This Row],[Jurisdiction]],Places[],7,FALSE)</f>
        <v>192452.12967391306</v>
      </c>
      <c r="N467" s="27"/>
      <c r="O467" s="27" t="s">
        <v>1460</v>
      </c>
      <c r="P467" s="4"/>
      <c r="Q467"/>
    </row>
    <row r="468" spans="1:17" x14ac:dyDescent="0.25">
      <c r="A468" s="19" t="s">
        <v>288</v>
      </c>
      <c r="B468" s="19" t="str">
        <f>INDEX(Places[Type],MATCH(Budgets[[#This Row],[Jurisdiction]],Places[Jurisdiction],0))</f>
        <v>City</v>
      </c>
      <c r="C468" s="19" t="str">
        <f>INDEX(Places[County],MATCH(Budgets[[#This Row],[Jurisdiction]],Places[Jurisdiction],0))</f>
        <v>Orange</v>
      </c>
      <c r="D468" s="21" t="str">
        <f>INDEX(Places[Majority RB],MATCH(Budgets[[#This Row],[Jurisdiction]],Places[Jurisdiction],0))</f>
        <v>San Diego</v>
      </c>
      <c r="E468" s="19">
        <f>INDEX(Places[Majority RB '#],MATCH(Budgets[[#This Row],[Jurisdiction]],Places[Jurisdiction],0))</f>
        <v>9</v>
      </c>
      <c r="F468" s="19" t="str">
        <f>VLOOKUP(Budgets[[#This Row],[Jurisdiction]],Places[#All],8,FALSE)</f>
        <v>Phase I MS4</v>
      </c>
      <c r="G468" s="81"/>
      <c r="H468" s="21" t="s">
        <v>1874</v>
      </c>
      <c r="I468" s="21">
        <f>VALUE(LEFT(Budgets[[#This Row],[Fiscal Year]],4))</f>
        <v>2017</v>
      </c>
      <c r="J468" s="20">
        <v>3545090</v>
      </c>
      <c r="K468" s="27">
        <f>IF(Budgets[[#This Row],[Reference Year]]&gt;2018,Budgets[[#This Row],[Value]],Budgets[[#This Row],[Value]]*(1+VLOOKUP(Budgets[[#This Row],[Reference Year]],Inflation[#All],3,FALSE)))</f>
        <v>3639553.4140758878</v>
      </c>
      <c r="L468" s="27">
        <f>Budgets[[#This Row],[2018 $ Value]]/VLOOKUP(Budgets[[#This Row],[Jurisdiction]],Places[],6,FALSE)</f>
        <v>56.116585936381391</v>
      </c>
      <c r="M468" s="27">
        <f>Budgets[[#This Row],[2018 $ Value]]/VLOOKUP(Budgets[[#This Row],[Jurisdiction]],Places[],7,FALSE)</f>
        <v>197801.81598238522</v>
      </c>
      <c r="N468" s="27"/>
      <c r="O468" s="27" t="s">
        <v>1460</v>
      </c>
      <c r="P468" s="4"/>
      <c r="Q468"/>
    </row>
    <row r="469" spans="1:17" x14ac:dyDescent="0.25">
      <c r="A469" s="19" t="s">
        <v>288</v>
      </c>
      <c r="B469" s="19" t="str">
        <f>INDEX(Places[Type],MATCH(Budgets[[#This Row],[Jurisdiction]],Places[Jurisdiction],0))</f>
        <v>City</v>
      </c>
      <c r="C469" s="19" t="str">
        <f>INDEX(Places[County],MATCH(Budgets[[#This Row],[Jurisdiction]],Places[Jurisdiction],0))</f>
        <v>Orange</v>
      </c>
      <c r="D469" s="21" t="str">
        <f>INDEX(Places[Majority RB],MATCH(Budgets[[#This Row],[Jurisdiction]],Places[Jurisdiction],0))</f>
        <v>San Diego</v>
      </c>
      <c r="E469" s="19">
        <f>INDEX(Places[Majority RB '#],MATCH(Budgets[[#This Row],[Jurisdiction]],Places[Jurisdiction],0))</f>
        <v>9</v>
      </c>
      <c r="F469" s="19" t="str">
        <f>VLOOKUP(Budgets[[#This Row],[Jurisdiction]],Places[#All],8,FALSE)</f>
        <v>Phase I MS4</v>
      </c>
      <c r="G469" s="81"/>
      <c r="H469" s="21" t="s">
        <v>1876</v>
      </c>
      <c r="I469" s="21">
        <f>VALUE(LEFT(Budgets[[#This Row],[Fiscal Year]],4))</f>
        <v>2018</v>
      </c>
      <c r="J469" s="20">
        <v>3598820</v>
      </c>
      <c r="K469" s="27">
        <f>IF(Budgets[[#This Row],[Reference Year]]&gt;2018,Budgets[[#This Row],[Value]],Budgets[[#This Row],[Value]]*(1+VLOOKUP(Budgets[[#This Row],[Reference Year]],Inflation[#All],3,FALSE)))</f>
        <v>3598820</v>
      </c>
      <c r="L469" s="27">
        <f>Budgets[[#This Row],[2018 $ Value]]/VLOOKUP(Budgets[[#This Row],[Jurisdiction]],Places[],6,FALSE)</f>
        <v>55.488536318361938</v>
      </c>
      <c r="M469" s="27">
        <f>Budgets[[#This Row],[2018 $ Value]]/VLOOKUP(Budgets[[#This Row],[Jurisdiction]],Places[],7,FALSE)</f>
        <v>195588.04347826089</v>
      </c>
      <c r="N469" s="27"/>
      <c r="O469" s="27" t="s">
        <v>1460</v>
      </c>
      <c r="P469" s="4"/>
      <c r="Q469"/>
    </row>
    <row r="470" spans="1:17" x14ac:dyDescent="0.25">
      <c r="A470" s="19" t="s">
        <v>288</v>
      </c>
      <c r="B470" s="19" t="str">
        <f>INDEX(Places[Type],MATCH(Budgets[[#This Row],[Jurisdiction]],Places[Jurisdiction],0))</f>
        <v>City</v>
      </c>
      <c r="C470" s="19" t="str">
        <f>INDEX(Places[County],MATCH(Budgets[[#This Row],[Jurisdiction]],Places[Jurisdiction],0))</f>
        <v>Orange</v>
      </c>
      <c r="D470" s="21" t="str">
        <f>INDEX(Places[Majority RB],MATCH(Budgets[[#This Row],[Jurisdiction]],Places[Jurisdiction],0))</f>
        <v>San Diego</v>
      </c>
      <c r="E470" s="19">
        <f>INDEX(Places[Majority RB '#],MATCH(Budgets[[#This Row],[Jurisdiction]],Places[Jurisdiction],0))</f>
        <v>9</v>
      </c>
      <c r="F470" s="19" t="str">
        <f>VLOOKUP(Budgets[[#This Row],[Jurisdiction]],Places[#All],8,FALSE)</f>
        <v>Phase I MS4</v>
      </c>
      <c r="G470" s="81"/>
      <c r="H470" s="21" t="s">
        <v>1877</v>
      </c>
      <c r="I470" s="21">
        <f>VALUE(LEFT(Budgets[[#This Row],[Fiscal Year]],4))</f>
        <v>2019</v>
      </c>
      <c r="J470" s="20">
        <v>3660710</v>
      </c>
      <c r="K470" s="27">
        <f>IF(Budgets[[#This Row],[Reference Year]]&gt;2018,Budgets[[#This Row],[Value]],Budgets[[#This Row],[Value]]*(1+VLOOKUP(Budgets[[#This Row],[Reference Year]],Inflation[#All],3,FALSE)))</f>
        <v>3660710</v>
      </c>
      <c r="L470" s="27">
        <f>Budgets[[#This Row],[2018 $ Value]]/VLOOKUP(Budgets[[#This Row],[Jurisdiction]],Places[],6,FALSE)</f>
        <v>56.442789521562823</v>
      </c>
      <c r="M470" s="27">
        <f>Budgets[[#This Row],[2018 $ Value]]/VLOOKUP(Budgets[[#This Row],[Jurisdiction]],Places[],7,FALSE)</f>
        <v>198951.63043478262</v>
      </c>
      <c r="N470" s="27"/>
      <c r="O470" s="27" t="s">
        <v>1853</v>
      </c>
      <c r="P470" s="4"/>
      <c r="Q470"/>
    </row>
    <row r="471" spans="1:17" x14ac:dyDescent="0.25">
      <c r="A471" s="19" t="s">
        <v>154</v>
      </c>
      <c r="B471" s="19" t="str">
        <f>INDEX(Places[Type],MATCH(Budgets[[#This Row],[Jurisdiction]],Places[Jurisdiction],0))</f>
        <v>City</v>
      </c>
      <c r="C471" s="19" t="str">
        <f>INDEX(Places[County],MATCH(Budgets[[#This Row],[Jurisdiction]],Places[Jurisdiction],0))</f>
        <v>Los Angeles</v>
      </c>
      <c r="D471" s="21" t="str">
        <f>INDEX(Places[Majority RB],MATCH(Budgets[[#This Row],[Jurisdiction]],Places[Jurisdiction],0))</f>
        <v>Los Angeles</v>
      </c>
      <c r="E471" s="19">
        <f>INDEX(Places[Majority RB '#],MATCH(Budgets[[#This Row],[Jurisdiction]],Places[Jurisdiction],0))</f>
        <v>4</v>
      </c>
      <c r="F471" s="19" t="str">
        <f>VLOOKUP(Budgets[[#This Row],[Jurisdiction]],Places[#All],8,FALSE)</f>
        <v>Phase I MS4</v>
      </c>
      <c r="G471" s="81"/>
      <c r="H471" s="100" t="s">
        <v>1870</v>
      </c>
      <c r="I471" s="21">
        <f>VALUE(LEFT(Budgets[[#This Row],[Fiscal Year]],4))</f>
        <v>2011</v>
      </c>
      <c r="J471" s="20">
        <v>487000</v>
      </c>
      <c r="K471" s="27">
        <f>IF(Budgets[[#This Row],[Reference Year]]&gt;2018,Budgets[[#This Row],[Value]],Budgets[[#This Row],[Value]]*(1+VLOOKUP(Budgets[[#This Row],[Reference Year]],Inflation[#All],3,FALSE)))</f>
        <v>544883.49044019566</v>
      </c>
      <c r="L471" s="27">
        <f>Budgets[[#This Row],[2018 $ Value]]/VLOOKUP(Budgets[[#This Row],[Jurisdiction]],Places[],6,FALSE)</f>
        <v>16.034473852045071</v>
      </c>
      <c r="M471" s="27">
        <f>Budgets[[#This Row],[2018 $ Value]]/VLOOKUP(Budgets[[#This Row],[Jurisdiction]],Places[],7,FALSE)</f>
        <v>36325.566029346381</v>
      </c>
      <c r="N471" s="27"/>
      <c r="O471" s="27" t="s">
        <v>1460</v>
      </c>
      <c r="P471" s="4"/>
      <c r="Q471"/>
    </row>
    <row r="472" spans="1:17" x14ac:dyDescent="0.25">
      <c r="A472" s="19" t="s">
        <v>154</v>
      </c>
      <c r="B472" s="19" t="str">
        <f>INDEX(Places[Type],MATCH(Budgets[[#This Row],[Jurisdiction]],Places[Jurisdiction],0))</f>
        <v>City</v>
      </c>
      <c r="C472" s="19" t="str">
        <f>INDEX(Places[County],MATCH(Budgets[[#This Row],[Jurisdiction]],Places[Jurisdiction],0))</f>
        <v>Los Angeles</v>
      </c>
      <c r="D472" s="21" t="str">
        <f>INDEX(Places[Majority RB],MATCH(Budgets[[#This Row],[Jurisdiction]],Places[Jurisdiction],0))</f>
        <v>Los Angeles</v>
      </c>
      <c r="E472" s="19">
        <f>INDEX(Places[Majority RB '#],MATCH(Budgets[[#This Row],[Jurisdiction]],Places[Jurisdiction],0))</f>
        <v>4</v>
      </c>
      <c r="F472" s="19" t="str">
        <f>VLOOKUP(Budgets[[#This Row],[Jurisdiction]],Places[#All],8,FALSE)</f>
        <v>Phase I MS4</v>
      </c>
      <c r="G472" s="81"/>
      <c r="H472" s="100" t="s">
        <v>1869</v>
      </c>
      <c r="I472" s="21">
        <f>VALUE(LEFT(Budgets[[#This Row],[Fiscal Year]],4))</f>
        <v>2016</v>
      </c>
      <c r="J472" s="20">
        <v>1305000</v>
      </c>
      <c r="K472" s="27">
        <f>IF(Budgets[[#This Row],[Reference Year]]&gt;2018,Budgets[[#This Row],[Value]],Budgets[[#This Row],[Value]]*(1+VLOOKUP(Budgets[[#This Row],[Reference Year]],Inflation[#All],3,FALSE)))</f>
        <v>1368243.5625</v>
      </c>
      <c r="L472" s="27">
        <f>Budgets[[#This Row],[2018 $ Value]]/VLOOKUP(Budgets[[#This Row],[Jurisdiction]],Places[],6,FALSE)</f>
        <v>40.263773836148552</v>
      </c>
      <c r="M472" s="27">
        <f>Budgets[[#This Row],[2018 $ Value]]/VLOOKUP(Budgets[[#This Row],[Jurisdiction]],Places[],7,FALSE)</f>
        <v>91216.237500000003</v>
      </c>
      <c r="N472" s="27"/>
      <c r="O472" s="27" t="s">
        <v>1853</v>
      </c>
      <c r="P472" s="4"/>
      <c r="Q472"/>
    </row>
    <row r="473" spans="1:17" x14ac:dyDescent="0.25">
      <c r="A473" s="19" t="s">
        <v>195</v>
      </c>
      <c r="B473" s="19" t="str">
        <f>INDEX(Places[Type],MATCH(Budgets[[#This Row],[Jurisdiction]],Places[Jurisdiction],0))</f>
        <v>City</v>
      </c>
      <c r="C473" s="19" t="str">
        <f>INDEX(Places[County],MATCH(Budgets[[#This Row],[Jurisdiction]],Places[Jurisdiction],0))</f>
        <v>Los Angeles</v>
      </c>
      <c r="D473" s="21" t="str">
        <f>INDEX(Places[Majority RB],MATCH(Budgets[[#This Row],[Jurisdiction]],Places[Jurisdiction],0))</f>
        <v>Los Angeles</v>
      </c>
      <c r="E473" s="19">
        <f>INDEX(Places[Majority RB '#],MATCH(Budgets[[#This Row],[Jurisdiction]],Places[Jurisdiction],0))</f>
        <v>4</v>
      </c>
      <c r="F473" s="19" t="str">
        <f>VLOOKUP(Budgets[[#This Row],[Jurisdiction]],Places[#All],8,FALSE)</f>
        <v>Phase I MS4</v>
      </c>
      <c r="G473" s="81"/>
      <c r="H473" s="21" t="s">
        <v>1870</v>
      </c>
      <c r="I473" s="21">
        <f>VALUE(LEFT(Budgets[[#This Row],[Fiscal Year]],4))</f>
        <v>2011</v>
      </c>
      <c r="J473" s="20">
        <v>1202000</v>
      </c>
      <c r="K473" s="27">
        <f>IF(Budgets[[#This Row],[Reference Year]]&gt;2018,Budgets[[#This Row],[Value]],Budgets[[#This Row],[Value]]*(1+VLOOKUP(Budgets[[#This Row],[Reference Year]],Inflation[#All],3,FALSE)))</f>
        <v>1344866.4384170743</v>
      </c>
      <c r="L473" s="27">
        <f>Budgets[[#This Row],[2018 $ Value]]/VLOOKUP(Budgets[[#This Row],[Jurisdiction]],Places[],6,FALSE)</f>
        <v>54.870111726522815</v>
      </c>
      <c r="M473" s="27">
        <f>Budgets[[#This Row],[2018 $ Value]]/VLOOKUP(Budgets[[#This Row],[Jurisdiction]],Places[],7,FALSE)</f>
        <v>560361.01600711432</v>
      </c>
      <c r="N473" s="27"/>
      <c r="O473" s="27" t="s">
        <v>1460</v>
      </c>
      <c r="P473" s="4"/>
      <c r="Q473"/>
    </row>
    <row r="474" spans="1:17" x14ac:dyDescent="0.25">
      <c r="A474" s="19" t="s">
        <v>195</v>
      </c>
      <c r="B474" s="19" t="str">
        <f>INDEX(Places[Type],MATCH(Budgets[[#This Row],[Jurisdiction]],Places[Jurisdiction],0))</f>
        <v>City</v>
      </c>
      <c r="C474" s="19" t="str">
        <f>INDEX(Places[County],MATCH(Budgets[[#This Row],[Jurisdiction]],Places[Jurisdiction],0))</f>
        <v>Los Angeles</v>
      </c>
      <c r="D474" s="21" t="str">
        <f>INDEX(Places[Majority RB],MATCH(Budgets[[#This Row],[Jurisdiction]],Places[Jurisdiction],0))</f>
        <v>Los Angeles</v>
      </c>
      <c r="E474" s="19">
        <f>INDEX(Places[Majority RB '#],MATCH(Budgets[[#This Row],[Jurisdiction]],Places[Jurisdiction],0))</f>
        <v>4</v>
      </c>
      <c r="F474" s="19" t="str">
        <f>VLOOKUP(Budgets[[#This Row],[Jurisdiction]],Places[#All],8,FALSE)</f>
        <v>Phase I MS4</v>
      </c>
      <c r="G474" s="81"/>
      <c r="H474" s="21" t="s">
        <v>1871</v>
      </c>
      <c r="I474" s="21">
        <f>VALUE(LEFT(Budgets[[#This Row],[Fiscal Year]],4))</f>
        <v>2012</v>
      </c>
      <c r="J474" s="20">
        <v>1202000</v>
      </c>
      <c r="K474" s="27">
        <f>IF(Budgets[[#This Row],[Reference Year]]&gt;2018,Budgets[[#This Row],[Value]],Budgets[[#This Row],[Value]]*(1+VLOOKUP(Budgets[[#This Row],[Reference Year]],Inflation[#All],3,FALSE)))</f>
        <v>1317336.5069686412</v>
      </c>
      <c r="L474" s="27">
        <f>Budgets[[#This Row],[2018 $ Value]]/VLOOKUP(Budgets[[#This Row],[Jurisdiction]],Places[],6,FALSE)</f>
        <v>53.746899509124489</v>
      </c>
      <c r="M474" s="27">
        <f>Budgets[[#This Row],[2018 $ Value]]/VLOOKUP(Budgets[[#This Row],[Jurisdiction]],Places[],7,FALSE)</f>
        <v>548890.21123693383</v>
      </c>
      <c r="N474" s="27"/>
      <c r="O474" s="27" t="s">
        <v>1460</v>
      </c>
      <c r="P474" s="4"/>
      <c r="Q474"/>
    </row>
    <row r="475" spans="1:17" x14ac:dyDescent="0.25">
      <c r="A475" s="19" t="s">
        <v>195</v>
      </c>
      <c r="B475" s="19" t="str">
        <f>INDEX(Places[Type],MATCH(Budgets[[#This Row],[Jurisdiction]],Places[Jurisdiction],0))</f>
        <v>City</v>
      </c>
      <c r="C475" s="19" t="str">
        <f>INDEX(Places[County],MATCH(Budgets[[#This Row],[Jurisdiction]],Places[Jurisdiction],0))</f>
        <v>Los Angeles</v>
      </c>
      <c r="D475" s="21" t="str">
        <f>INDEX(Places[Majority RB],MATCH(Budgets[[#This Row],[Jurisdiction]],Places[Jurisdiction],0))</f>
        <v>Los Angeles</v>
      </c>
      <c r="E475" s="19">
        <f>INDEX(Places[Majority RB '#],MATCH(Budgets[[#This Row],[Jurisdiction]],Places[Jurisdiction],0))</f>
        <v>4</v>
      </c>
      <c r="F475" s="19" t="str">
        <f>VLOOKUP(Budgets[[#This Row],[Jurisdiction]],Places[#All],8,FALSE)</f>
        <v>Phase I MS4</v>
      </c>
      <c r="G475" s="81"/>
      <c r="H475" s="21" t="s">
        <v>1869</v>
      </c>
      <c r="I475" s="21">
        <f>VALUE(LEFT(Budgets[[#This Row],[Fiscal Year]],4))</f>
        <v>2016</v>
      </c>
      <c r="J475" s="20">
        <v>380767</v>
      </c>
      <c r="K475" s="27">
        <f>IF(Budgets[[#This Row],[Reference Year]]&gt;2018,Budgets[[#This Row],[Value]],Budgets[[#This Row],[Value]]*(1+VLOOKUP(Budgets[[#This Row],[Reference Year]],Inflation[#All],3,FALSE)))</f>
        <v>399219.92073750001</v>
      </c>
      <c r="L475" s="27">
        <f>Budgets[[#This Row],[2018 $ Value]]/VLOOKUP(Budgets[[#This Row],[Jurisdiction]],Places[],6,FALSE)</f>
        <v>16.288042461750308</v>
      </c>
      <c r="M475" s="27">
        <f>Budgets[[#This Row],[2018 $ Value]]/VLOOKUP(Budgets[[#This Row],[Jurisdiction]],Places[],7,FALSE)</f>
        <v>166341.63364062502</v>
      </c>
      <c r="N475" s="27"/>
      <c r="O475" s="27" t="s">
        <v>1853</v>
      </c>
      <c r="P475" s="4"/>
      <c r="Q475"/>
    </row>
    <row r="476" spans="1:17" x14ac:dyDescent="0.25">
      <c r="A476" s="19" t="s">
        <v>196</v>
      </c>
      <c r="B476" s="19" t="str">
        <f>INDEX(Places[Type],MATCH(Budgets[[#This Row],[Jurisdiction]],Places[Jurisdiction],0))</f>
        <v>City</v>
      </c>
      <c r="C476" s="19" t="str">
        <f>INDEX(Places[County],MATCH(Budgets[[#This Row],[Jurisdiction]],Places[Jurisdiction],0))</f>
        <v>Los Angeles</v>
      </c>
      <c r="D476" s="21" t="str">
        <f>INDEX(Places[Majority RB],MATCH(Budgets[[#This Row],[Jurisdiction]],Places[Jurisdiction],0))</f>
        <v>Los Angeles</v>
      </c>
      <c r="E476" s="19">
        <f>INDEX(Places[Majority RB '#],MATCH(Budgets[[#This Row],[Jurisdiction]],Places[Jurisdiction],0))</f>
        <v>4</v>
      </c>
      <c r="F476" s="19" t="str">
        <f>VLOOKUP(Budgets[[#This Row],[Jurisdiction]],Places[#All],8,FALSE)</f>
        <v>Phase I MS4</v>
      </c>
      <c r="G476" s="81"/>
      <c r="H476" s="21" t="s">
        <v>1870</v>
      </c>
      <c r="I476" s="21">
        <f>VALUE(LEFT(Budgets[[#This Row],[Fiscal Year]],4))</f>
        <v>2011</v>
      </c>
      <c r="J476" s="20">
        <v>267450</v>
      </c>
      <c r="K476" s="27">
        <f>IF(Budgets[[#This Row],[Reference Year]]&gt;2018,Budgets[[#This Row],[Value]],Budgets[[#This Row],[Value]]*(1+VLOOKUP(Budgets[[#This Row],[Reference Year]],Inflation[#All],3,FALSE)))</f>
        <v>299238.37683414854</v>
      </c>
      <c r="L476" s="27">
        <f>Budgets[[#This Row],[2018 $ Value]]/VLOOKUP(Budgets[[#This Row],[Jurisdiction]],Places[],6,FALSE)</f>
        <v>7.418826746848854</v>
      </c>
      <c r="M476" s="27">
        <f>Budgets[[#This Row],[2018 $ Value]]/VLOOKUP(Budgets[[#This Row],[Jurisdiction]],Places[],7,FALSE)</f>
        <v>72984.969959548427</v>
      </c>
      <c r="N476" s="27"/>
      <c r="O476" s="27" t="s">
        <v>1460</v>
      </c>
      <c r="P476" s="4"/>
      <c r="Q476"/>
    </row>
    <row r="477" spans="1:17" x14ac:dyDescent="0.25">
      <c r="A477" s="19" t="s">
        <v>196</v>
      </c>
      <c r="B477" s="19" t="str">
        <f>INDEX(Places[Type],MATCH(Budgets[[#This Row],[Jurisdiction]],Places[Jurisdiction],0))</f>
        <v>City</v>
      </c>
      <c r="C477" s="19" t="str">
        <f>INDEX(Places[County],MATCH(Budgets[[#This Row],[Jurisdiction]],Places[Jurisdiction],0))</f>
        <v>Los Angeles</v>
      </c>
      <c r="D477" s="21" t="str">
        <f>INDEX(Places[Majority RB],MATCH(Budgets[[#This Row],[Jurisdiction]],Places[Jurisdiction],0))</f>
        <v>Los Angeles</v>
      </c>
      <c r="E477" s="19">
        <f>INDEX(Places[Majority RB '#],MATCH(Budgets[[#This Row],[Jurisdiction]],Places[Jurisdiction],0))</f>
        <v>4</v>
      </c>
      <c r="F477" s="19" t="str">
        <f>VLOOKUP(Budgets[[#This Row],[Jurisdiction]],Places[#All],8,FALSE)</f>
        <v>Phase I MS4</v>
      </c>
      <c r="G477" s="81"/>
      <c r="H477" s="21" t="s">
        <v>1869</v>
      </c>
      <c r="I477" s="21">
        <f>VALUE(LEFT(Budgets[[#This Row],[Fiscal Year]],4))</f>
        <v>2016</v>
      </c>
      <c r="J477" s="20">
        <v>317291</v>
      </c>
      <c r="K477" s="27">
        <f>IF(Budgets[[#This Row],[Reference Year]]&gt;2018,Budgets[[#This Row],[Value]],Budgets[[#This Row],[Value]]*(1+VLOOKUP(Budgets[[#This Row],[Reference Year]],Inflation[#All],3,FALSE)))</f>
        <v>332667.71508750005</v>
      </c>
      <c r="L477" s="27">
        <f>Budgets[[#This Row],[2018 $ Value]]/VLOOKUP(Budgets[[#This Row],[Jurisdiction]],Places[],6,FALSE)</f>
        <v>8.2476190674972116</v>
      </c>
      <c r="M477" s="27">
        <f>Budgets[[#This Row],[2018 $ Value]]/VLOOKUP(Budgets[[#This Row],[Jurisdiction]],Places[],7,FALSE)</f>
        <v>81138.46709451222</v>
      </c>
      <c r="N477" s="27"/>
      <c r="O477" s="27" t="s">
        <v>1853</v>
      </c>
      <c r="P477" s="4"/>
      <c r="Q477"/>
    </row>
    <row r="478" spans="1:17" x14ac:dyDescent="0.25">
      <c r="A478" s="19" t="s">
        <v>239</v>
      </c>
      <c r="B478" s="19" t="str">
        <f>INDEX(Places[Type],MATCH(Budgets[[#This Row],[Jurisdiction]],Places[Jurisdiction],0))</f>
        <v>City</v>
      </c>
      <c r="C478" s="19" t="str">
        <f>INDEX(Places[County],MATCH(Budgets[[#This Row],[Jurisdiction]],Places[Jurisdiction],0))</f>
        <v>Riverside</v>
      </c>
      <c r="D478" s="21" t="str">
        <f>INDEX(Places[Majority RB],MATCH(Budgets[[#This Row],[Jurisdiction]],Places[Jurisdiction],0))</f>
        <v>Santa Ana</v>
      </c>
      <c r="E478" s="19">
        <f>INDEX(Places[Majority RB '#],MATCH(Budgets[[#This Row],[Jurisdiction]],Places[Jurisdiction],0))</f>
        <v>8</v>
      </c>
      <c r="F478" s="19" t="str">
        <f>VLOOKUP(Budgets[[#This Row],[Jurisdiction]],Places[#All],8,FALSE)</f>
        <v>Phase I MS4</v>
      </c>
      <c r="G478" s="81"/>
      <c r="H478" s="21" t="s">
        <v>1869</v>
      </c>
      <c r="I478" s="21">
        <f>VALUE(LEFT(Budgets[[#This Row],[Fiscal Year]],4))</f>
        <v>2016</v>
      </c>
      <c r="J478" s="20">
        <v>1697136.4</v>
      </c>
      <c r="K478" s="27">
        <f>IF(Budgets[[#This Row],[Reference Year]]&gt;2018,Budgets[[#This Row],[Value]],Budgets[[#This Row],[Value]]*(1+VLOOKUP(Budgets[[#This Row],[Reference Year]],Inflation[#All],3,FALSE)))</f>
        <v>1779383.8727850001</v>
      </c>
      <c r="L478" s="27">
        <f>Budgets[[#This Row],[2018 $ Value]]/VLOOKUP(Budgets[[#This Row],[Jurisdiction]],Places[],6,FALSE)</f>
        <v>36.412791306710055</v>
      </c>
      <c r="M478" s="27">
        <f>Budgets[[#This Row],[2018 $ Value]]/VLOOKUP(Budgets[[#This Row],[Jurisdiction]],Places[],7,FALSE)</f>
        <v>69236.72656750973</v>
      </c>
      <c r="N478" s="27"/>
      <c r="O478" s="27" t="s">
        <v>1853</v>
      </c>
      <c r="P478" s="4"/>
      <c r="Q478"/>
    </row>
    <row r="479" spans="1:17" x14ac:dyDescent="0.25">
      <c r="A479" s="19" t="s">
        <v>1450</v>
      </c>
      <c r="B479" s="19" t="str">
        <f>INDEX(Places[Type],MATCH(Budgets[[#This Row],[Jurisdiction]],Places[Jurisdiction],0))</f>
        <v>County</v>
      </c>
      <c r="C479" s="19" t="str">
        <f>INDEX(Places[County],MATCH(Budgets[[#This Row],[Jurisdiction]],Places[Jurisdiction],0))</f>
        <v>San Joaquin</v>
      </c>
      <c r="D479" s="21" t="str">
        <f>INDEX(Places[Majority RB],MATCH(Budgets[[#This Row],[Jurisdiction]],Places[Jurisdiction],0))</f>
        <v>Central Valley</v>
      </c>
      <c r="E479" s="19">
        <f>INDEX(Places[Majority RB '#],MATCH(Budgets[[#This Row],[Jurisdiction]],Places[Jurisdiction],0))</f>
        <v>5</v>
      </c>
      <c r="F479" s="19" t="str">
        <f>VLOOKUP(Budgets[[#This Row],[Jurisdiction]],Places[#All],8,FALSE)</f>
        <v>Phase I MS4</v>
      </c>
      <c r="G479" s="81"/>
      <c r="H479" s="21" t="s">
        <v>1880</v>
      </c>
      <c r="I479" s="21">
        <f>VALUE(LEFT(Budgets[[#This Row],[Fiscal Year]],4))</f>
        <v>2013</v>
      </c>
      <c r="J479" s="20">
        <v>779200</v>
      </c>
      <c r="K479" s="27">
        <f>IF(Budgets[[#This Row],[Reference Year]]&gt;2018,Budgets[[#This Row],[Value]],Budgets[[#This Row],[Value]]*(1+VLOOKUP(Budgets[[#This Row],[Reference Year]],Inflation[#All],3,FALSE)))</f>
        <v>841505.90214592277</v>
      </c>
      <c r="L479" s="27" t="e">
        <f>Budgets[[#This Row],[2018 $ Value]]/VLOOKUP(Budgets[[#This Row],[Jurisdiction]],Places[],6,FALSE)</f>
        <v>#N/A</v>
      </c>
      <c r="M479" s="27" t="e">
        <f>Budgets[[#This Row],[2018 $ Value]]/VLOOKUP(Budgets[[#This Row],[Jurisdiction]],Places[],7,FALSE)</f>
        <v>#N/A</v>
      </c>
      <c r="N479" s="27"/>
      <c r="O479" s="27" t="s">
        <v>1460</v>
      </c>
      <c r="P479" s="4"/>
      <c r="Q479"/>
    </row>
    <row r="480" spans="1:17" x14ac:dyDescent="0.25">
      <c r="A480" s="19" t="s">
        <v>1450</v>
      </c>
      <c r="B480" s="19" t="str">
        <f>INDEX(Places[Type],MATCH(Budgets[[#This Row],[Jurisdiction]],Places[Jurisdiction],0))</f>
        <v>County</v>
      </c>
      <c r="C480" s="19" t="str">
        <f>INDEX(Places[County],MATCH(Budgets[[#This Row],[Jurisdiction]],Places[Jurisdiction],0))</f>
        <v>San Joaquin</v>
      </c>
      <c r="D480" s="21" t="str">
        <f>INDEX(Places[Majority RB],MATCH(Budgets[[#This Row],[Jurisdiction]],Places[Jurisdiction],0))</f>
        <v>Central Valley</v>
      </c>
      <c r="E480" s="19">
        <f>INDEX(Places[Majority RB '#],MATCH(Budgets[[#This Row],[Jurisdiction]],Places[Jurisdiction],0))</f>
        <v>5</v>
      </c>
      <c r="F480" s="19" t="str">
        <f>VLOOKUP(Budgets[[#This Row],[Jurisdiction]],Places[#All],8,FALSE)</f>
        <v>Phase I MS4</v>
      </c>
      <c r="G480" s="81"/>
      <c r="H480" s="21" t="s">
        <v>1874</v>
      </c>
      <c r="I480" s="21">
        <f>VALUE(LEFT(Budgets[[#This Row],[Fiscal Year]],4))</f>
        <v>2017</v>
      </c>
      <c r="J480" s="20">
        <v>1060595</v>
      </c>
      <c r="K480" s="27">
        <f>IF(Budgets[[#This Row],[Reference Year]]&gt;2018,Budgets[[#This Row],[Value]],Budgets[[#This Row],[Value]]*(1+VLOOKUP(Budgets[[#This Row],[Reference Year]],Inflation[#All],3,FALSE)))</f>
        <v>1088855.8973684211</v>
      </c>
      <c r="L480" s="27" t="e">
        <f>Budgets[[#This Row],[2018 $ Value]]/VLOOKUP(Budgets[[#This Row],[Jurisdiction]],Places[],6,FALSE)</f>
        <v>#N/A</v>
      </c>
      <c r="M480" s="27" t="e">
        <f>Budgets[[#This Row],[2018 $ Value]]/VLOOKUP(Budgets[[#This Row],[Jurisdiction]],Places[],7,FALSE)</f>
        <v>#N/A</v>
      </c>
      <c r="N480" s="27"/>
      <c r="O480" s="27" t="s">
        <v>1460</v>
      </c>
      <c r="P480" s="4"/>
      <c r="Q480"/>
    </row>
    <row r="481" spans="1:17" x14ac:dyDescent="0.25">
      <c r="A481" s="19" t="s">
        <v>1450</v>
      </c>
      <c r="B481" s="19" t="str">
        <f>INDEX(Places[Type],MATCH(Budgets[[#This Row],[Jurisdiction]],Places[Jurisdiction],0))</f>
        <v>County</v>
      </c>
      <c r="C481" s="19" t="str">
        <f>INDEX(Places[County],MATCH(Budgets[[#This Row],[Jurisdiction]],Places[Jurisdiction],0))</f>
        <v>San Joaquin</v>
      </c>
      <c r="D481" s="21" t="str">
        <f>INDEX(Places[Majority RB],MATCH(Budgets[[#This Row],[Jurisdiction]],Places[Jurisdiction],0))</f>
        <v>Central Valley</v>
      </c>
      <c r="E481" s="19">
        <f>INDEX(Places[Majority RB '#],MATCH(Budgets[[#This Row],[Jurisdiction]],Places[Jurisdiction],0))</f>
        <v>5</v>
      </c>
      <c r="F481" s="19" t="str">
        <f>VLOOKUP(Budgets[[#This Row],[Jurisdiction]],Places[#All],8,FALSE)</f>
        <v>Phase I MS4</v>
      </c>
      <c r="G481" s="81"/>
      <c r="H481" s="21" t="s">
        <v>1876</v>
      </c>
      <c r="I481" s="21">
        <f>VALUE(LEFT(Budgets[[#This Row],[Fiscal Year]],4))</f>
        <v>2018</v>
      </c>
      <c r="J481" s="20">
        <v>1325839</v>
      </c>
      <c r="K481" s="27">
        <f>IF(Budgets[[#This Row],[Reference Year]]&gt;2018,Budgets[[#This Row],[Value]],Budgets[[#This Row],[Value]]*(1+VLOOKUP(Budgets[[#This Row],[Reference Year]],Inflation[#All],3,FALSE)))</f>
        <v>1325839</v>
      </c>
      <c r="L481" s="27" t="e">
        <f>Budgets[[#This Row],[2018 $ Value]]/VLOOKUP(Budgets[[#This Row],[Jurisdiction]],Places[],6,FALSE)</f>
        <v>#N/A</v>
      </c>
      <c r="M481" s="27" t="e">
        <f>Budgets[[#This Row],[2018 $ Value]]/VLOOKUP(Budgets[[#This Row],[Jurisdiction]],Places[],7,FALSE)</f>
        <v>#N/A</v>
      </c>
      <c r="N481" s="27"/>
      <c r="O481" s="27" t="s">
        <v>1853</v>
      </c>
      <c r="P481" s="4"/>
      <c r="Q481"/>
    </row>
    <row r="482" spans="1:17" x14ac:dyDescent="0.25">
      <c r="A482" s="19" t="s">
        <v>289</v>
      </c>
      <c r="B482" s="19" t="str">
        <f>INDEX(Places[Type],MATCH(Budgets[[#This Row],[Jurisdiction]],Places[Jurisdiction],0))</f>
        <v>City</v>
      </c>
      <c r="C482" s="19" t="str">
        <f>INDEX(Places[County],MATCH(Budgets[[#This Row],[Jurisdiction]],Places[Jurisdiction],0))</f>
        <v>Orange</v>
      </c>
      <c r="D482" s="21" t="str">
        <f>INDEX(Places[Majority RB],MATCH(Budgets[[#This Row],[Jurisdiction]],Places[Jurisdiction],0))</f>
        <v>San Diego</v>
      </c>
      <c r="E482" s="19">
        <f>INDEX(Places[Majority RB '#],MATCH(Budgets[[#This Row],[Jurisdiction]],Places[Jurisdiction],0))</f>
        <v>9</v>
      </c>
      <c r="F482" s="19" t="str">
        <f>VLOOKUP(Budgets[[#This Row],[Jurisdiction]],Places[#All],8,FALSE)</f>
        <v>Phase I MS4</v>
      </c>
      <c r="G482" s="81"/>
      <c r="H482" s="21" t="s">
        <v>1875</v>
      </c>
      <c r="I482" s="21">
        <f>VALUE(LEFT(Budgets[[#This Row],[Fiscal Year]],4))</f>
        <v>2001</v>
      </c>
      <c r="J482" s="20">
        <v>603100</v>
      </c>
      <c r="K482" s="27">
        <f>IF(Budgets[[#This Row],[Reference Year]]&gt;2018,Budgets[[#This Row],[Value]],Budgets[[#This Row],[Value]]*(1+VLOOKUP(Budgets[[#This Row],[Reference Year]],Inflation[#All],3,FALSE)))</f>
        <v>856909.40767927724</v>
      </c>
      <c r="L482" s="27">
        <f>Budgets[[#This Row],[2018 $ Value]]/VLOOKUP(Budgets[[#This Row],[Jurisdiction]],Places[],6,FALSE)</f>
        <v>23.794446663129349</v>
      </c>
      <c r="M482" s="27">
        <f>Budgets[[#This Row],[2018 $ Value]]/VLOOKUP(Budgets[[#This Row],[Jurisdiction]],Places[],7,FALSE)</f>
        <v>60345.732935160369</v>
      </c>
      <c r="N482" s="27"/>
      <c r="O482" s="27" t="s">
        <v>1460</v>
      </c>
      <c r="P482" s="4"/>
      <c r="Q482"/>
    </row>
    <row r="483" spans="1:17" x14ac:dyDescent="0.25">
      <c r="A483" s="19" t="s">
        <v>289</v>
      </c>
      <c r="B483" s="19" t="str">
        <f>INDEX(Places[Type],MATCH(Budgets[[#This Row],[Jurisdiction]],Places[Jurisdiction],0))</f>
        <v>City</v>
      </c>
      <c r="C483" s="19" t="str">
        <f>INDEX(Places[County],MATCH(Budgets[[#This Row],[Jurisdiction]],Places[Jurisdiction],0))</f>
        <v>Orange</v>
      </c>
      <c r="D483" s="21" t="str">
        <f>INDEX(Places[Majority RB],MATCH(Budgets[[#This Row],[Jurisdiction]],Places[Jurisdiction],0))</f>
        <v>San Diego</v>
      </c>
      <c r="E483" s="19">
        <f>INDEX(Places[Majority RB '#],MATCH(Budgets[[#This Row],[Jurisdiction]],Places[Jurisdiction],0))</f>
        <v>9</v>
      </c>
      <c r="F483" s="19" t="str">
        <f>VLOOKUP(Budgets[[#This Row],[Jurisdiction]],Places[#All],8,FALSE)</f>
        <v>Phase I MS4</v>
      </c>
      <c r="G483" s="81"/>
      <c r="H483" s="21" t="s">
        <v>1872</v>
      </c>
      <c r="I483" s="21">
        <f>VALUE(LEFT(Budgets[[#This Row],[Fiscal Year]],4))</f>
        <v>2002</v>
      </c>
      <c r="J483" s="20">
        <v>471760</v>
      </c>
      <c r="K483" s="27">
        <f>IF(Budgets[[#This Row],[Reference Year]]&gt;2018,Budgets[[#This Row],[Value]],Budgets[[#This Row],[Value]]*(1+VLOOKUP(Budgets[[#This Row],[Reference Year]],Inflation[#All],3,FALSE)))</f>
        <v>659863.48282379098</v>
      </c>
      <c r="L483" s="27">
        <f>Budgets[[#This Row],[2018 $ Value]]/VLOOKUP(Budgets[[#This Row],[Jurisdiction]],Places[],6,FALSE)</f>
        <v>18.322924577896622</v>
      </c>
      <c r="M483" s="27">
        <f>Budgets[[#This Row],[2018 $ Value]]/VLOOKUP(Budgets[[#This Row],[Jurisdiction]],Places[],7,FALSE)</f>
        <v>46469.259353788097</v>
      </c>
      <c r="N483" s="27"/>
      <c r="O483" s="27" t="s">
        <v>1460</v>
      </c>
      <c r="P483" s="4"/>
      <c r="Q483"/>
    </row>
    <row r="484" spans="1:17" x14ac:dyDescent="0.25">
      <c r="A484" s="19" t="s">
        <v>289</v>
      </c>
      <c r="B484" s="19" t="str">
        <f>INDEX(Places[Type],MATCH(Budgets[[#This Row],[Jurisdiction]],Places[Jurisdiction],0))</f>
        <v>City</v>
      </c>
      <c r="C484" s="19" t="str">
        <f>INDEX(Places[County],MATCH(Budgets[[#This Row],[Jurisdiction]],Places[Jurisdiction],0))</f>
        <v>Orange</v>
      </c>
      <c r="D484" s="21" t="str">
        <f>INDEX(Places[Majority RB],MATCH(Budgets[[#This Row],[Jurisdiction]],Places[Jurisdiction],0))</f>
        <v>San Diego</v>
      </c>
      <c r="E484" s="19">
        <f>INDEX(Places[Majority RB '#],MATCH(Budgets[[#This Row],[Jurisdiction]],Places[Jurisdiction],0))</f>
        <v>9</v>
      </c>
      <c r="F484" s="19" t="str">
        <f>VLOOKUP(Budgets[[#This Row],[Jurisdiction]],Places[#All],8,FALSE)</f>
        <v>Phase I MS4</v>
      </c>
      <c r="G484" s="81"/>
      <c r="H484" s="21" t="s">
        <v>1873</v>
      </c>
      <c r="I484" s="21">
        <f>VALUE(LEFT(Budgets[[#This Row],[Fiscal Year]],4))</f>
        <v>2015</v>
      </c>
      <c r="J484" s="20">
        <v>1551819</v>
      </c>
      <c r="K484" s="27">
        <f>IF(Budgets[[#This Row],[Reference Year]]&gt;2018,Budgets[[#This Row],[Value]],Budgets[[#This Row],[Value]]*(1+VLOOKUP(Budgets[[#This Row],[Reference Year]],Inflation[#All],3,FALSE)))</f>
        <v>1647619.2691518986</v>
      </c>
      <c r="L484" s="27">
        <f>Budgets[[#This Row],[2018 $ Value]]/VLOOKUP(Budgets[[#This Row],[Jurisdiction]],Places[],6,FALSE)</f>
        <v>45.750680841693239</v>
      </c>
      <c r="M484" s="27">
        <f>Budgets[[#This Row],[2018 $ Value]]/VLOOKUP(Budgets[[#This Row],[Jurisdiction]],Places[],7,FALSE)</f>
        <v>116029.52599661257</v>
      </c>
      <c r="N484" s="27"/>
      <c r="O484" s="27" t="s">
        <v>1460</v>
      </c>
      <c r="P484" s="4"/>
      <c r="Q484"/>
    </row>
    <row r="485" spans="1:17" x14ac:dyDescent="0.25">
      <c r="A485" s="19" t="s">
        <v>289</v>
      </c>
      <c r="B485" s="19" t="str">
        <f>INDEX(Places[Type],MATCH(Budgets[[#This Row],[Jurisdiction]],Places[Jurisdiction],0))</f>
        <v>City</v>
      </c>
      <c r="C485" s="19" t="str">
        <f>INDEX(Places[County],MATCH(Budgets[[#This Row],[Jurisdiction]],Places[Jurisdiction],0))</f>
        <v>Orange</v>
      </c>
      <c r="D485" s="21" t="str">
        <f>INDEX(Places[Majority RB],MATCH(Budgets[[#This Row],[Jurisdiction]],Places[Jurisdiction],0))</f>
        <v>San Diego</v>
      </c>
      <c r="E485" s="19">
        <f>INDEX(Places[Majority RB '#],MATCH(Budgets[[#This Row],[Jurisdiction]],Places[Jurisdiction],0))</f>
        <v>9</v>
      </c>
      <c r="F485" s="19" t="str">
        <f>VLOOKUP(Budgets[[#This Row],[Jurisdiction]],Places[#All],8,FALSE)</f>
        <v>Phase I MS4</v>
      </c>
      <c r="G485" s="81"/>
      <c r="H485" s="21" t="s">
        <v>1869</v>
      </c>
      <c r="I485" s="21">
        <f>VALUE(LEFT(Budgets[[#This Row],[Fiscal Year]],4))</f>
        <v>2016</v>
      </c>
      <c r="J485" s="20">
        <v>4558679.97</v>
      </c>
      <c r="K485" s="27">
        <f>IF(Budgets[[#This Row],[Reference Year]]&gt;2018,Budgets[[#This Row],[Value]],Budgets[[#This Row],[Value]]*(1+VLOOKUP(Budgets[[#This Row],[Reference Year]],Inflation[#All],3,FALSE)))</f>
        <v>4779604.9980461253</v>
      </c>
      <c r="L485" s="27">
        <f>Budgets[[#This Row],[2018 $ Value]]/VLOOKUP(Budgets[[#This Row],[Jurisdiction]],Places[],6,FALSE)</f>
        <v>132.71887923933372</v>
      </c>
      <c r="M485" s="27">
        <f>Budgets[[#This Row],[2018 $ Value]]/VLOOKUP(Budgets[[#This Row],[Jurisdiction]],Places[],7,FALSE)</f>
        <v>336591.90127085394</v>
      </c>
      <c r="N485" s="27"/>
      <c r="O485" s="27" t="s">
        <v>1460</v>
      </c>
      <c r="P485" s="4"/>
      <c r="Q485"/>
    </row>
    <row r="486" spans="1:17" x14ac:dyDescent="0.25">
      <c r="A486" s="19" t="s">
        <v>289</v>
      </c>
      <c r="B486" s="19" t="str">
        <f>INDEX(Places[Type],MATCH(Budgets[[#This Row],[Jurisdiction]],Places[Jurisdiction],0))</f>
        <v>City</v>
      </c>
      <c r="C486" s="19" t="str">
        <f>INDEX(Places[County],MATCH(Budgets[[#This Row],[Jurisdiction]],Places[Jurisdiction],0))</f>
        <v>Orange</v>
      </c>
      <c r="D486" s="21" t="str">
        <f>INDEX(Places[Majority RB],MATCH(Budgets[[#This Row],[Jurisdiction]],Places[Jurisdiction],0))</f>
        <v>San Diego</v>
      </c>
      <c r="E486" s="19">
        <f>INDEX(Places[Majority RB '#],MATCH(Budgets[[#This Row],[Jurisdiction]],Places[Jurisdiction],0))</f>
        <v>9</v>
      </c>
      <c r="F486" s="19" t="str">
        <f>VLOOKUP(Budgets[[#This Row],[Jurisdiction]],Places[#All],8,FALSE)</f>
        <v>Phase I MS4</v>
      </c>
      <c r="G486" s="81"/>
      <c r="H486" s="21" t="s">
        <v>1874</v>
      </c>
      <c r="I486" s="21">
        <f>VALUE(LEFT(Budgets[[#This Row],[Fiscal Year]],4))</f>
        <v>2017</v>
      </c>
      <c r="J486" s="20">
        <v>4271609.0199999996</v>
      </c>
      <c r="K486" s="27">
        <f>IF(Budgets[[#This Row],[Reference Year]]&gt;2018,Budgets[[#This Row],[Value]],Budgets[[#This Row],[Value]]*(1+VLOOKUP(Budgets[[#This Row],[Reference Year]],Inflation[#All],3,FALSE)))</f>
        <v>4385431.45373978</v>
      </c>
      <c r="L486" s="27">
        <f>Budgets[[#This Row],[2018 $ Value]]/VLOOKUP(Budgets[[#This Row],[Jurisdiction]],Places[],6,FALSE)</f>
        <v>121.77356659372393</v>
      </c>
      <c r="M486" s="27">
        <f>Budgets[[#This Row],[2018 $ Value]]/VLOOKUP(Budgets[[#This Row],[Jurisdiction]],Places[],7,FALSE)</f>
        <v>308833.20096759015</v>
      </c>
      <c r="N486" s="27"/>
      <c r="O486" s="27" t="s">
        <v>1460</v>
      </c>
      <c r="P486" s="4"/>
      <c r="Q486"/>
    </row>
    <row r="487" spans="1:17" x14ac:dyDescent="0.25">
      <c r="A487" s="19" t="s">
        <v>289</v>
      </c>
      <c r="B487" s="19" t="str">
        <f>INDEX(Places[Type],MATCH(Budgets[[#This Row],[Jurisdiction]],Places[Jurisdiction],0))</f>
        <v>City</v>
      </c>
      <c r="C487" s="19" t="str">
        <f>INDEX(Places[County],MATCH(Budgets[[#This Row],[Jurisdiction]],Places[Jurisdiction],0))</f>
        <v>Orange</v>
      </c>
      <c r="D487" s="21" t="str">
        <f>INDEX(Places[Majority RB],MATCH(Budgets[[#This Row],[Jurisdiction]],Places[Jurisdiction],0))</f>
        <v>San Diego</v>
      </c>
      <c r="E487" s="19">
        <f>INDEX(Places[Majority RB '#],MATCH(Budgets[[#This Row],[Jurisdiction]],Places[Jurisdiction],0))</f>
        <v>9</v>
      </c>
      <c r="F487" s="19" t="str">
        <f>VLOOKUP(Budgets[[#This Row],[Jurisdiction]],Places[#All],8,FALSE)</f>
        <v>Phase I MS4</v>
      </c>
      <c r="G487" s="81"/>
      <c r="H487" s="21" t="s">
        <v>1876</v>
      </c>
      <c r="I487" s="21">
        <f>VALUE(LEFT(Budgets[[#This Row],[Fiscal Year]],4))</f>
        <v>2018</v>
      </c>
      <c r="J487" s="20">
        <v>6485176.1900000004</v>
      </c>
      <c r="K487" s="27">
        <f>IF(Budgets[[#This Row],[Reference Year]]&gt;2018,Budgets[[#This Row],[Value]],Budgets[[#This Row],[Value]]*(1+VLOOKUP(Budgets[[#This Row],[Reference Year]],Inflation[#All],3,FALSE)))</f>
        <v>6485176.1900000004</v>
      </c>
      <c r="L487" s="27">
        <f>Budgets[[#This Row],[2018 $ Value]]/VLOOKUP(Budgets[[#This Row],[Jurisdiction]],Places[],6,FALSE)</f>
        <v>180.07875461638855</v>
      </c>
      <c r="M487" s="27">
        <f>Budgets[[#This Row],[2018 $ Value]]/VLOOKUP(Budgets[[#This Row],[Jurisdiction]],Places[],7,FALSE)</f>
        <v>456702.54859154933</v>
      </c>
      <c r="N487" s="27"/>
      <c r="O487" s="27" t="s">
        <v>1853</v>
      </c>
      <c r="P487" s="4"/>
      <c r="Q487"/>
    </row>
    <row r="488" spans="1:17" x14ac:dyDescent="0.25">
      <c r="A488" s="19" t="s">
        <v>22</v>
      </c>
      <c r="B488" s="19" t="str">
        <f>INDEX(Places[Type],MATCH(Budgets[[#This Row],[Jurisdiction]],Places[Jurisdiction],0))</f>
        <v>City</v>
      </c>
      <c r="C488" s="19" t="str">
        <f>INDEX(Places[County],MATCH(Budgets[[#This Row],[Jurisdiction]],Places[Jurisdiction],0))</f>
        <v>San Diego</v>
      </c>
      <c r="D488" s="21" t="str">
        <f>INDEX(Places[Majority RB],MATCH(Budgets[[#This Row],[Jurisdiction]],Places[Jurisdiction],0))</f>
        <v>San Diego</v>
      </c>
      <c r="E488" s="19">
        <f>INDEX(Places[Majority RB '#],MATCH(Budgets[[#This Row],[Jurisdiction]],Places[Jurisdiction],0))</f>
        <v>9</v>
      </c>
      <c r="F488" s="19" t="str">
        <f>VLOOKUP(Budgets[[#This Row],[Jurisdiction]],Places[#All],8,FALSE)</f>
        <v>Phase I MS4</v>
      </c>
      <c r="G488" s="81"/>
      <c r="H488" s="21" t="s">
        <v>1880</v>
      </c>
      <c r="I488" s="21">
        <f>VALUE(LEFT(Budgets[[#This Row],[Fiscal Year]],4))</f>
        <v>2013</v>
      </c>
      <c r="J488" s="20">
        <v>1056233</v>
      </c>
      <c r="K488" s="27">
        <f>IF(Budgets[[#This Row],[Reference Year]]&gt;2018,Budgets[[#This Row],[Value]],Budgets[[#This Row],[Value]]*(1+VLOOKUP(Budgets[[#This Row],[Reference Year]],Inflation[#All],3,FALSE)))</f>
        <v>1140690.8413004293</v>
      </c>
      <c r="L488" s="27">
        <f>Budgets[[#This Row],[2018 $ Value]]/VLOOKUP(Budgets[[#This Row],[Jurisdiction]],Places[],6,FALSE)</f>
        <v>11.778277502663267</v>
      </c>
      <c r="M488" s="27">
        <f>Budgets[[#This Row],[2018 $ Value]]/VLOOKUP(Budgets[[#This Row],[Jurisdiction]],Places[],7,FALSE)</f>
        <v>46749.624643460222</v>
      </c>
      <c r="N488" s="27"/>
      <c r="O488" s="27" t="s">
        <v>1460</v>
      </c>
      <c r="P488" s="4"/>
      <c r="Q488"/>
    </row>
    <row r="489" spans="1:17" x14ac:dyDescent="0.25">
      <c r="A489" s="19" t="s">
        <v>22</v>
      </c>
      <c r="B489" s="19" t="str">
        <f>INDEX(Places[Type],MATCH(Budgets[[#This Row],[Jurisdiction]],Places[Jurisdiction],0))</f>
        <v>City</v>
      </c>
      <c r="C489" s="19" t="str">
        <f>INDEX(Places[County],MATCH(Budgets[[#This Row],[Jurisdiction]],Places[Jurisdiction],0))</f>
        <v>San Diego</v>
      </c>
      <c r="D489" s="21" t="str">
        <f>INDEX(Places[Majority RB],MATCH(Budgets[[#This Row],[Jurisdiction]],Places[Jurisdiction],0))</f>
        <v>San Diego</v>
      </c>
      <c r="E489" s="19">
        <f>INDEX(Places[Majority RB '#],MATCH(Budgets[[#This Row],[Jurisdiction]],Places[Jurisdiction],0))</f>
        <v>9</v>
      </c>
      <c r="F489" s="19" t="str">
        <f>VLOOKUP(Budgets[[#This Row],[Jurisdiction]],Places[#All],8,FALSE)</f>
        <v>Phase I MS4</v>
      </c>
      <c r="G489" s="81"/>
      <c r="H489" s="21" t="s">
        <v>1881</v>
      </c>
      <c r="I489" s="21">
        <f>VALUE(LEFT(Budgets[[#This Row],[Fiscal Year]],4))</f>
        <v>2014</v>
      </c>
      <c r="J489" s="20">
        <v>659069</v>
      </c>
      <c r="K489" s="27">
        <f>IF(Budgets[[#This Row],[Reference Year]]&gt;2018,Budgets[[#This Row],[Value]],Budgets[[#This Row],[Value]]*(1+VLOOKUP(Budgets[[#This Row],[Reference Year]],Inflation[#All],3,FALSE)))</f>
        <v>700642.97228136891</v>
      </c>
      <c r="L489" s="27">
        <f>Budgets[[#This Row],[2018 $ Value]]/VLOOKUP(Budgets[[#This Row],[Jurisdiction]],Places[],6,FALSE)</f>
        <v>7.2345345987110488</v>
      </c>
      <c r="M489" s="27">
        <f>Budgets[[#This Row],[2018 $ Value]]/VLOOKUP(Budgets[[#This Row],[Jurisdiction]],Places[],7,FALSE)</f>
        <v>28714.875913170858</v>
      </c>
      <c r="N489" s="27"/>
      <c r="O489" s="27" t="s">
        <v>1460</v>
      </c>
      <c r="P489" s="4"/>
      <c r="Q489"/>
    </row>
    <row r="490" spans="1:17" x14ac:dyDescent="0.25">
      <c r="A490" s="19" t="s">
        <v>22</v>
      </c>
      <c r="B490" s="19" t="str">
        <f>INDEX(Places[Type],MATCH(Budgets[[#This Row],[Jurisdiction]],Places[Jurisdiction],0))</f>
        <v>City</v>
      </c>
      <c r="C490" s="19" t="str">
        <f>INDEX(Places[County],MATCH(Budgets[[#This Row],[Jurisdiction]],Places[Jurisdiction],0))</f>
        <v>San Diego</v>
      </c>
      <c r="D490" s="21" t="str">
        <f>INDEX(Places[Majority RB],MATCH(Budgets[[#This Row],[Jurisdiction]],Places[Jurisdiction],0))</f>
        <v>San Diego</v>
      </c>
      <c r="E490" s="19">
        <f>INDEX(Places[Majority RB '#],MATCH(Budgets[[#This Row],[Jurisdiction]],Places[Jurisdiction],0))</f>
        <v>9</v>
      </c>
      <c r="F490" s="19" t="str">
        <f>VLOOKUP(Budgets[[#This Row],[Jurisdiction]],Places[#All],8,FALSE)</f>
        <v>Phase I MS4</v>
      </c>
      <c r="G490" s="81"/>
      <c r="H490" s="21" t="s">
        <v>1873</v>
      </c>
      <c r="I490" s="21">
        <f>VALUE(LEFT(Budgets[[#This Row],[Fiscal Year]],4))</f>
        <v>2015</v>
      </c>
      <c r="J490" s="20">
        <v>678379</v>
      </c>
      <c r="K490" s="27">
        <f>IF(Budgets[[#This Row],[Reference Year]]&gt;2018,Budgets[[#This Row],[Value]],Budgets[[#This Row],[Value]]*(1+VLOOKUP(Budgets[[#This Row],[Reference Year]],Inflation[#All],3,FALSE)))</f>
        <v>720258.16940506327</v>
      </c>
      <c r="L490" s="27">
        <f>Budgets[[#This Row],[2018 $ Value]]/VLOOKUP(Budgets[[#This Row],[Jurisdiction]],Places[],6,FALSE)</f>
        <v>7.4370725929049248</v>
      </c>
      <c r="M490" s="27">
        <f>Budgets[[#This Row],[2018 $ Value]]/VLOOKUP(Budgets[[#This Row],[Jurisdiction]],Places[],7,FALSE)</f>
        <v>29518.777434633743</v>
      </c>
      <c r="N490" s="27"/>
      <c r="O490" s="27" t="s">
        <v>1460</v>
      </c>
      <c r="P490" s="4"/>
      <c r="Q490"/>
    </row>
    <row r="491" spans="1:17" x14ac:dyDescent="0.25">
      <c r="A491" s="19" t="s">
        <v>22</v>
      </c>
      <c r="B491" s="19" t="str">
        <f>INDEX(Places[Type],MATCH(Budgets[[#This Row],[Jurisdiction]],Places[Jurisdiction],0))</f>
        <v>City</v>
      </c>
      <c r="C491" s="19" t="str">
        <f>INDEX(Places[County],MATCH(Budgets[[#This Row],[Jurisdiction]],Places[Jurisdiction],0))</f>
        <v>San Diego</v>
      </c>
      <c r="D491" s="21" t="str">
        <f>INDEX(Places[Majority RB],MATCH(Budgets[[#This Row],[Jurisdiction]],Places[Jurisdiction],0))</f>
        <v>San Diego</v>
      </c>
      <c r="E491" s="19">
        <f>INDEX(Places[Majority RB '#],MATCH(Budgets[[#This Row],[Jurisdiction]],Places[Jurisdiction],0))</f>
        <v>9</v>
      </c>
      <c r="F491" s="19" t="str">
        <f>VLOOKUP(Budgets[[#This Row],[Jurisdiction]],Places[#All],8,FALSE)</f>
        <v>Phase I MS4</v>
      </c>
      <c r="G491" s="81"/>
      <c r="H491" s="21" t="s">
        <v>1869</v>
      </c>
      <c r="I491" s="21">
        <f>VALUE(LEFT(Budgets[[#This Row],[Fiscal Year]],4))</f>
        <v>2016</v>
      </c>
      <c r="J491" s="20">
        <v>709618</v>
      </c>
      <c r="K491" s="27">
        <f>IF(Budgets[[#This Row],[Reference Year]]&gt;2018,Budgets[[#This Row],[Value]],Budgets[[#This Row],[Value]]*(1+VLOOKUP(Budgets[[#This Row],[Reference Year]],Inflation[#All],3,FALSE)))</f>
        <v>744007.86232500011</v>
      </c>
      <c r="L491" s="27">
        <f>Budgets[[#This Row],[2018 $ Value]]/VLOOKUP(Budgets[[#This Row],[Jurisdiction]],Places[],6,FALSE)</f>
        <v>7.6823015924602736</v>
      </c>
      <c r="M491" s="27">
        <f>Budgets[[#This Row],[2018 $ Value]]/VLOOKUP(Budgets[[#This Row],[Jurisdiction]],Places[],7,FALSE)</f>
        <v>30492.125505122956</v>
      </c>
      <c r="N491" s="27"/>
      <c r="O491" s="27" t="s">
        <v>1460</v>
      </c>
      <c r="P491" s="4"/>
      <c r="Q491"/>
    </row>
    <row r="492" spans="1:17" x14ac:dyDescent="0.25">
      <c r="A492" s="19" t="s">
        <v>22</v>
      </c>
      <c r="B492" s="21" t="str">
        <f>INDEX(Places[Type],MATCH(Budgets[[#This Row],[Jurisdiction]],Places[Jurisdiction],0))</f>
        <v>City</v>
      </c>
      <c r="C492" s="21" t="str">
        <f>INDEX(Places[County],MATCH(Budgets[[#This Row],[Jurisdiction]],Places[Jurisdiction],0))</f>
        <v>San Diego</v>
      </c>
      <c r="D492" s="21" t="str">
        <f>INDEX(Places[Majority RB],MATCH(Budgets[[#This Row],[Jurisdiction]],Places[Jurisdiction],0))</f>
        <v>San Diego</v>
      </c>
      <c r="E492" s="19">
        <f>INDEX(Places[Majority RB '#],MATCH(Budgets[[#This Row],[Jurisdiction]],Places[Jurisdiction],0))</f>
        <v>9</v>
      </c>
      <c r="F492" s="21" t="str">
        <f>VLOOKUP(Budgets[[#This Row],[Jurisdiction]],Places[#All],8,FALSE)</f>
        <v>Phase I MS4</v>
      </c>
      <c r="G492" s="81"/>
      <c r="H492" s="21" t="s">
        <v>1874</v>
      </c>
      <c r="I492" s="21">
        <f>VALUE(LEFT(Budgets[[#This Row],[Fiscal Year]],4))</f>
        <v>2017</v>
      </c>
      <c r="J492" s="20">
        <v>837643</v>
      </c>
      <c r="K492" s="27">
        <f>IF(Budgets[[#This Row],[Reference Year]]&gt;2018,Budgets[[#This Row],[Value]],Budgets[[#This Row],[Value]]*(1+VLOOKUP(Budgets[[#This Row],[Reference Year]],Inflation[#All],3,FALSE)))</f>
        <v>859963.05888616899</v>
      </c>
      <c r="L492" s="27">
        <f>Budgets[[#This Row],[2018 $ Value]]/VLOOKUP(Budgets[[#This Row],[Jurisdiction]],Places[],6,FALSE)</f>
        <v>8.8796045193570166</v>
      </c>
      <c r="M492" s="27">
        <f>Budgets[[#This Row],[2018 $ Value]]/VLOOKUP(Budgets[[#This Row],[Jurisdiction]],Places[],7,FALSE)</f>
        <v>35244.387659269225</v>
      </c>
      <c r="N492" s="27" t="s">
        <v>1853</v>
      </c>
      <c r="O492" s="27" t="s">
        <v>1853</v>
      </c>
      <c r="P492" s="4"/>
      <c r="Q492"/>
    </row>
    <row r="493" spans="1:17" x14ac:dyDescent="0.25">
      <c r="A493" s="19" t="s">
        <v>197</v>
      </c>
      <c r="B493" s="19" t="str">
        <f>INDEX(Places[Type],MATCH(Budgets[[#This Row],[Jurisdiction]],Places[Jurisdiction],0))</f>
        <v>City</v>
      </c>
      <c r="C493" s="19" t="str">
        <f>INDEX(Places[County],MATCH(Budgets[[#This Row],[Jurisdiction]],Places[Jurisdiction],0))</f>
        <v>Los Angeles</v>
      </c>
      <c r="D493" s="21" t="str">
        <f>INDEX(Places[Majority RB],MATCH(Budgets[[#This Row],[Jurisdiction]],Places[Jurisdiction],0))</f>
        <v>Los Angeles</v>
      </c>
      <c r="E493" s="19">
        <f>INDEX(Places[Majority RB '#],MATCH(Budgets[[#This Row],[Jurisdiction]],Places[Jurisdiction],0))</f>
        <v>4</v>
      </c>
      <c r="F493" s="19" t="str">
        <f>VLOOKUP(Budgets[[#This Row],[Jurisdiction]],Places[#All],8,FALSE)</f>
        <v>Phase I MS4</v>
      </c>
      <c r="G493" s="81"/>
      <c r="H493" s="21" t="s">
        <v>1870</v>
      </c>
      <c r="I493" s="21">
        <f>VALUE(LEFT(Budgets[[#This Row],[Fiscal Year]],4))</f>
        <v>2011</v>
      </c>
      <c r="J493" s="20">
        <v>458360</v>
      </c>
      <c r="K493" s="27">
        <f>IF(Budgets[[#This Row],[Reference Year]]&gt;2018,Budgets[[#This Row],[Value]],Budgets[[#This Row],[Value]]*(1+VLOOKUP(Budgets[[#This Row],[Reference Year]],Inflation[#All],3,FALSE)))</f>
        <v>512839.41823032463</v>
      </c>
      <c r="L493" s="27">
        <f>Budgets[[#This Row],[2018 $ Value]]/VLOOKUP(Budgets[[#This Row],[Jurisdiction]],Places[],6,FALSE)</f>
        <v>38.892720933590525</v>
      </c>
      <c r="M493" s="27">
        <f>Budgets[[#This Row],[2018 $ Value]]/VLOOKUP(Budgets[[#This Row],[Jurisdiction]],Places[],7,FALSE)</f>
        <v>134957.74163955913</v>
      </c>
      <c r="N493" s="27"/>
      <c r="O493" s="27" t="s">
        <v>1460</v>
      </c>
      <c r="P493" s="4"/>
      <c r="Q493"/>
    </row>
    <row r="494" spans="1:17" x14ac:dyDescent="0.25">
      <c r="A494" s="19" t="s">
        <v>197</v>
      </c>
      <c r="B494" s="19" t="str">
        <f>INDEX(Places[Type],MATCH(Budgets[[#This Row],[Jurisdiction]],Places[Jurisdiction],0))</f>
        <v>City</v>
      </c>
      <c r="C494" s="19" t="str">
        <f>INDEX(Places[County],MATCH(Budgets[[#This Row],[Jurisdiction]],Places[Jurisdiction],0))</f>
        <v>Los Angeles</v>
      </c>
      <c r="D494" s="21" t="str">
        <f>INDEX(Places[Majority RB],MATCH(Budgets[[#This Row],[Jurisdiction]],Places[Jurisdiction],0))</f>
        <v>Los Angeles</v>
      </c>
      <c r="E494" s="19">
        <f>INDEX(Places[Majority RB '#],MATCH(Budgets[[#This Row],[Jurisdiction]],Places[Jurisdiction],0))</f>
        <v>4</v>
      </c>
      <c r="F494" s="19" t="str">
        <f>VLOOKUP(Budgets[[#This Row],[Jurisdiction]],Places[#All],8,FALSE)</f>
        <v>Phase I MS4</v>
      </c>
      <c r="G494" s="81"/>
      <c r="H494" s="21" t="s">
        <v>1871</v>
      </c>
      <c r="I494" s="21">
        <f>VALUE(LEFT(Budgets[[#This Row],[Fiscal Year]],4))</f>
        <v>2012</v>
      </c>
      <c r="J494" s="20">
        <v>428160</v>
      </c>
      <c r="K494" s="27">
        <f>IF(Budgets[[#This Row],[Reference Year]]&gt;2018,Budgets[[#This Row],[Value]],Budgets[[#This Row],[Value]]*(1+VLOOKUP(Budgets[[#This Row],[Reference Year]],Inflation[#All],3,FALSE)))</f>
        <v>469243.59303135891</v>
      </c>
      <c r="L494" s="27">
        <f>Budgets[[#This Row],[2018 $ Value]]/VLOOKUP(Budgets[[#This Row],[Jurisdiction]],Places[],6,FALSE)</f>
        <v>35.58650030573024</v>
      </c>
      <c r="M494" s="27">
        <f>Budgets[[#This Row],[2018 $ Value]]/VLOOKUP(Budgets[[#This Row],[Jurisdiction]],Places[],7,FALSE)</f>
        <v>123485.15606088394</v>
      </c>
      <c r="N494" s="27"/>
      <c r="O494" s="27" t="s">
        <v>1460</v>
      </c>
      <c r="P494" s="4"/>
      <c r="Q494"/>
    </row>
    <row r="495" spans="1:17" x14ac:dyDescent="0.25">
      <c r="A495" s="19" t="s">
        <v>197</v>
      </c>
      <c r="B495" s="19" t="str">
        <f>INDEX(Places[Type],MATCH(Budgets[[#This Row],[Jurisdiction]],Places[Jurisdiction],0))</f>
        <v>City</v>
      </c>
      <c r="C495" s="19" t="str">
        <f>INDEX(Places[County],MATCH(Budgets[[#This Row],[Jurisdiction]],Places[Jurisdiction],0))</f>
        <v>Los Angeles</v>
      </c>
      <c r="D495" s="21" t="str">
        <f>INDEX(Places[Majority RB],MATCH(Budgets[[#This Row],[Jurisdiction]],Places[Jurisdiction],0))</f>
        <v>Los Angeles</v>
      </c>
      <c r="E495" s="19">
        <f>INDEX(Places[Majority RB '#],MATCH(Budgets[[#This Row],[Jurisdiction]],Places[Jurisdiction],0))</f>
        <v>4</v>
      </c>
      <c r="F495" s="19" t="str">
        <f>VLOOKUP(Budgets[[#This Row],[Jurisdiction]],Places[#All],8,FALSE)</f>
        <v>Phase I MS4</v>
      </c>
      <c r="G495" s="81"/>
      <c r="H495" s="21" t="s">
        <v>1869</v>
      </c>
      <c r="I495" s="21">
        <f>VALUE(LEFT(Budgets[[#This Row],[Fiscal Year]],4))</f>
        <v>2016</v>
      </c>
      <c r="J495" s="20">
        <v>540008</v>
      </c>
      <c r="K495" s="27">
        <f>IF(Budgets[[#This Row],[Reference Year]]&gt;2018,Budgets[[#This Row],[Value]],Budgets[[#This Row],[Value]]*(1+VLOOKUP(Budgets[[#This Row],[Reference Year]],Inflation[#All],3,FALSE)))</f>
        <v>566178.13770000008</v>
      </c>
      <c r="L495" s="27">
        <f>Budgets[[#This Row],[2018 $ Value]]/VLOOKUP(Budgets[[#This Row],[Jurisdiction]],Places[],6,FALSE)</f>
        <v>42.937823274685279</v>
      </c>
      <c r="M495" s="27">
        <f>Budgets[[#This Row],[2018 $ Value]]/VLOOKUP(Budgets[[#This Row],[Jurisdiction]],Places[],7,FALSE)</f>
        <v>148994.24676315792</v>
      </c>
      <c r="N495" s="27"/>
      <c r="O495" s="27" t="s">
        <v>1853</v>
      </c>
      <c r="P495" s="4"/>
      <c r="Q495"/>
    </row>
    <row r="496" spans="1:17" x14ac:dyDescent="0.25">
      <c r="A496" s="19" t="s">
        <v>290</v>
      </c>
      <c r="B496" s="19" t="str">
        <f>INDEX(Places[Type],MATCH(Budgets[[#This Row],[Jurisdiction]],Places[Jurisdiction],0))</f>
        <v>City</v>
      </c>
      <c r="C496" s="19" t="str">
        <f>INDEX(Places[County],MATCH(Budgets[[#This Row],[Jurisdiction]],Places[Jurisdiction],0))</f>
        <v>Orange</v>
      </c>
      <c r="D496" s="21" t="str">
        <f>INDEX(Places[Majority RB],MATCH(Budgets[[#This Row],[Jurisdiction]],Places[Jurisdiction],0))</f>
        <v>Santa Ana</v>
      </c>
      <c r="E496" s="19">
        <f>INDEX(Places[Majority RB '#],MATCH(Budgets[[#This Row],[Jurisdiction]],Places[Jurisdiction],0))</f>
        <v>8</v>
      </c>
      <c r="F496" s="19" t="str">
        <f>VLOOKUP(Budgets[[#This Row],[Jurisdiction]],Places[#All],8,FALSE)</f>
        <v>Phase I MS4</v>
      </c>
      <c r="G496" s="81"/>
      <c r="H496" s="21" t="s">
        <v>1875</v>
      </c>
      <c r="I496" s="21">
        <f>VALUE(LEFT(Budgets[[#This Row],[Fiscal Year]],4))</f>
        <v>2001</v>
      </c>
      <c r="J496" s="20">
        <v>6029164</v>
      </c>
      <c r="K496" s="27">
        <f>IF(Budgets[[#This Row],[Reference Year]]&gt;2018,Budgets[[#This Row],[Value]],Budgets[[#This Row],[Value]]*(1+VLOOKUP(Budgets[[#This Row],[Reference Year]],Inflation[#All],3,FALSE)))</f>
        <v>8566485.4121061545</v>
      </c>
      <c r="L496" s="27">
        <f>Budgets[[#This Row],[2018 $ Value]]/VLOOKUP(Budgets[[#This Row],[Jurisdiction]],Places[],6,FALSE)</f>
        <v>25.746443495698113</v>
      </c>
      <c r="M496" s="27">
        <f>Budgets[[#This Row],[2018 $ Value]]/VLOOKUP(Budgets[[#This Row],[Jurisdiction]],Places[],7,FALSE)</f>
        <v>316106.47277144482</v>
      </c>
      <c r="N496" s="27"/>
      <c r="O496" s="27" t="s">
        <v>1460</v>
      </c>
      <c r="P496" s="4"/>
      <c r="Q496"/>
    </row>
    <row r="497" spans="1:17" x14ac:dyDescent="0.25">
      <c r="A497" s="19" t="s">
        <v>290</v>
      </c>
      <c r="B497" s="19" t="str">
        <f>INDEX(Places[Type],MATCH(Budgets[[#This Row],[Jurisdiction]],Places[Jurisdiction],0))</f>
        <v>City</v>
      </c>
      <c r="C497" s="19" t="str">
        <f>INDEX(Places[County],MATCH(Budgets[[#This Row],[Jurisdiction]],Places[Jurisdiction],0))</f>
        <v>Orange</v>
      </c>
      <c r="D497" s="21" t="str">
        <f>INDEX(Places[Majority RB],MATCH(Budgets[[#This Row],[Jurisdiction]],Places[Jurisdiction],0))</f>
        <v>Santa Ana</v>
      </c>
      <c r="E497" s="19">
        <f>INDEX(Places[Majority RB '#],MATCH(Budgets[[#This Row],[Jurisdiction]],Places[Jurisdiction],0))</f>
        <v>8</v>
      </c>
      <c r="F497" s="19" t="str">
        <f>VLOOKUP(Budgets[[#This Row],[Jurisdiction]],Places[#All],8,FALSE)</f>
        <v>Phase I MS4</v>
      </c>
      <c r="G497" s="81"/>
      <c r="H497" s="21" t="s">
        <v>1872</v>
      </c>
      <c r="I497" s="21">
        <f>VALUE(LEFT(Budgets[[#This Row],[Fiscal Year]],4))</f>
        <v>2002</v>
      </c>
      <c r="J497" s="20">
        <v>5087332</v>
      </c>
      <c r="K497" s="27">
        <f>IF(Budgets[[#This Row],[Reference Year]]&gt;2018,Budgets[[#This Row],[Value]],Budgets[[#This Row],[Value]]*(1+VLOOKUP(Budgets[[#This Row],[Reference Year]],Inflation[#All],3,FALSE)))</f>
        <v>7115788.985503057</v>
      </c>
      <c r="L497" s="27">
        <f>Budgets[[#This Row],[2018 $ Value]]/VLOOKUP(Budgets[[#This Row],[Jurisdiction]],Places[],6,FALSE)</f>
        <v>21.386397131273746</v>
      </c>
      <c r="M497" s="27">
        <f>Budgets[[#This Row],[2018 $ Value]]/VLOOKUP(Budgets[[#This Row],[Jurisdiction]],Places[],7,FALSE)</f>
        <v>262575.23931745597</v>
      </c>
      <c r="N497" s="27"/>
      <c r="O497" s="27" t="s">
        <v>1853</v>
      </c>
      <c r="P497" s="4"/>
      <c r="Q497"/>
    </row>
    <row r="498" spans="1:17" x14ac:dyDescent="0.25">
      <c r="A498" s="19" t="s">
        <v>206</v>
      </c>
      <c r="B498" s="19" t="str">
        <f>INDEX(Places[Type],MATCH(Budgets[[#This Row],[Jurisdiction]],Places[Jurisdiction],0))</f>
        <v>City</v>
      </c>
      <c r="C498" s="19" t="str">
        <f>INDEX(Places[County],MATCH(Budgets[[#This Row],[Jurisdiction]],Places[Jurisdiction],0))</f>
        <v>Los Angeles</v>
      </c>
      <c r="D498" s="21" t="str">
        <f>INDEX(Places[Majority RB],MATCH(Budgets[[#This Row],[Jurisdiction]],Places[Jurisdiction],0))</f>
        <v>Los Angeles</v>
      </c>
      <c r="E498" s="19">
        <f>INDEX(Places[Majority RB '#],MATCH(Budgets[[#This Row],[Jurisdiction]],Places[Jurisdiction],0))</f>
        <v>4</v>
      </c>
      <c r="F498" s="19" t="str">
        <f>VLOOKUP(Budgets[[#This Row],[Jurisdiction]],Places[#All],8,FALSE)</f>
        <v>Phase I MS4</v>
      </c>
      <c r="G498" s="81"/>
      <c r="H498" s="21" t="s">
        <v>1870</v>
      </c>
      <c r="I498" s="21">
        <f>VALUE(LEFT(Budgets[[#This Row],[Fiscal Year]],4))</f>
        <v>2011</v>
      </c>
      <c r="J498" s="20">
        <v>3215000</v>
      </c>
      <c r="K498" s="27">
        <f>IF(Budgets[[#This Row],[Reference Year]]&gt;2018,Budgets[[#This Row],[Value]],Budgets[[#This Row],[Value]]*(1+VLOOKUP(Budgets[[#This Row],[Reference Year]],Inflation[#All],3,FALSE)))</f>
        <v>3597126.1227212097</v>
      </c>
      <c r="L498" s="27">
        <f>Budgets[[#This Row],[2018 $ Value]]/VLOOKUP(Budgets[[#This Row],[Jurisdiction]],Places[],6,FALSE)</f>
        <v>17.121915582068599</v>
      </c>
      <c r="M498" s="27">
        <f>Budgets[[#This Row],[2018 $ Value]]/VLOOKUP(Budgets[[#This Row],[Jurisdiction]],Places[],7,FALSE)</f>
        <v>68127.388687901708</v>
      </c>
      <c r="N498" s="27"/>
      <c r="O498" s="27" t="s">
        <v>1460</v>
      </c>
      <c r="P498" s="4"/>
      <c r="Q498"/>
    </row>
    <row r="499" spans="1:17" x14ac:dyDescent="0.25">
      <c r="A499" s="19" t="s">
        <v>206</v>
      </c>
      <c r="B499" s="19" t="str">
        <f>INDEX(Places[Type],MATCH(Budgets[[#This Row],[Jurisdiction]],Places[Jurisdiction],0))</f>
        <v>City</v>
      </c>
      <c r="C499" s="19" t="str">
        <f>INDEX(Places[County],MATCH(Budgets[[#This Row],[Jurisdiction]],Places[Jurisdiction],0))</f>
        <v>Los Angeles</v>
      </c>
      <c r="D499" s="21" t="str">
        <f>INDEX(Places[Majority RB],MATCH(Budgets[[#This Row],[Jurisdiction]],Places[Jurisdiction],0))</f>
        <v>Los Angeles</v>
      </c>
      <c r="E499" s="19">
        <f>INDEX(Places[Majority RB '#],MATCH(Budgets[[#This Row],[Jurisdiction]],Places[Jurisdiction],0))</f>
        <v>4</v>
      </c>
      <c r="F499" s="19" t="str">
        <f>VLOOKUP(Budgets[[#This Row],[Jurisdiction]],Places[#All],8,FALSE)</f>
        <v>Phase I MS4</v>
      </c>
      <c r="G499" s="81"/>
      <c r="H499" s="21" t="s">
        <v>1871</v>
      </c>
      <c r="I499" s="21">
        <f>VALUE(LEFT(Budgets[[#This Row],[Fiscal Year]],4))</f>
        <v>2012</v>
      </c>
      <c r="J499" s="20">
        <v>3215000</v>
      </c>
      <c r="K499" s="27">
        <f>IF(Budgets[[#This Row],[Reference Year]]&gt;2018,Budgets[[#This Row],[Value]],Budgets[[#This Row],[Value]]*(1+VLOOKUP(Budgets[[#This Row],[Reference Year]],Inflation[#All],3,FALSE)))</f>
        <v>3523491.5722996518</v>
      </c>
      <c r="L499" s="27">
        <f>Budgets[[#This Row],[2018 $ Value]]/VLOOKUP(Budgets[[#This Row],[Jurisdiction]],Places[],6,FALSE)</f>
        <v>16.771423407696986</v>
      </c>
      <c r="M499" s="27">
        <f>Budgets[[#This Row],[2018 $ Value]]/VLOOKUP(Budgets[[#This Row],[Jurisdiction]],Places[],7,FALSE)</f>
        <v>66732.794929917654</v>
      </c>
      <c r="N499" s="27"/>
      <c r="O499" s="27" t="s">
        <v>1460</v>
      </c>
      <c r="P499" s="4"/>
      <c r="Q499"/>
    </row>
    <row r="500" spans="1:17" x14ac:dyDescent="0.25">
      <c r="A500" s="19" t="s">
        <v>206</v>
      </c>
      <c r="B500" s="19" t="str">
        <f>INDEX(Places[Type],MATCH(Budgets[[#This Row],[Jurisdiction]],Places[Jurisdiction],0))</f>
        <v>City</v>
      </c>
      <c r="C500" s="19" t="str">
        <f>INDEX(Places[County],MATCH(Budgets[[#This Row],[Jurisdiction]],Places[Jurisdiction],0))</f>
        <v>Los Angeles</v>
      </c>
      <c r="D500" s="21" t="str">
        <f>INDEX(Places[Majority RB],MATCH(Budgets[[#This Row],[Jurisdiction]],Places[Jurisdiction],0))</f>
        <v>Los Angeles</v>
      </c>
      <c r="E500" s="19">
        <f>INDEX(Places[Majority RB '#],MATCH(Budgets[[#This Row],[Jurisdiction]],Places[Jurisdiction],0))</f>
        <v>4</v>
      </c>
      <c r="F500" s="19" t="str">
        <f>VLOOKUP(Budgets[[#This Row],[Jurisdiction]],Places[#All],8,FALSE)</f>
        <v>Phase I MS4</v>
      </c>
      <c r="G500" s="81"/>
      <c r="H500" s="21" t="s">
        <v>1869</v>
      </c>
      <c r="I500" s="21">
        <f>VALUE(LEFT(Budgets[[#This Row],[Fiscal Year]],4))</f>
        <v>2016</v>
      </c>
      <c r="J500" s="20">
        <v>3395000</v>
      </c>
      <c r="K500" s="27">
        <f>IF(Budgets[[#This Row],[Reference Year]]&gt;2018,Budgets[[#This Row],[Value]],Budgets[[#This Row],[Value]]*(1+VLOOKUP(Budgets[[#This Row],[Reference Year]],Inflation[#All],3,FALSE)))</f>
        <v>3559530.1875000005</v>
      </c>
      <c r="L500" s="27">
        <f>Budgets[[#This Row],[2018 $ Value]]/VLOOKUP(Budgets[[#This Row],[Jurisdiction]],Places[],6,FALSE)</f>
        <v>16.94296316085088</v>
      </c>
      <c r="M500" s="27">
        <f>Budgets[[#This Row],[2018 $ Value]]/VLOOKUP(Budgets[[#This Row],[Jurisdiction]],Places[],7,FALSE)</f>
        <v>67415.344460227279</v>
      </c>
      <c r="N500" s="27"/>
      <c r="O500" s="27" t="s">
        <v>1853</v>
      </c>
      <c r="P500" s="4"/>
      <c r="Q500"/>
    </row>
    <row r="501" spans="1:17" x14ac:dyDescent="0.25">
      <c r="A501" s="19" t="s">
        <v>186</v>
      </c>
      <c r="B501" s="19" t="str">
        <f>INDEX(Places[Type],MATCH(Budgets[[#This Row],[Jurisdiction]],Places[Jurisdiction],0))</f>
        <v>City</v>
      </c>
      <c r="C501" s="19" t="str">
        <f>INDEX(Places[County],MATCH(Budgets[[#This Row],[Jurisdiction]],Places[Jurisdiction],0))</f>
        <v>Los Angeles</v>
      </c>
      <c r="D501" s="21" t="str">
        <f>INDEX(Places[Majority RB],MATCH(Budgets[[#This Row],[Jurisdiction]],Places[Jurisdiction],0))</f>
        <v>Los Angeles</v>
      </c>
      <c r="E501" s="19">
        <f>INDEX(Places[Majority RB '#],MATCH(Budgets[[#This Row],[Jurisdiction]],Places[Jurisdiction],0))</f>
        <v>4</v>
      </c>
      <c r="F501" s="19" t="str">
        <f>VLOOKUP(Budgets[[#This Row],[Jurisdiction]],Places[#All],8,FALSE)</f>
        <v>Phase I MS4</v>
      </c>
      <c r="G501" s="81"/>
      <c r="H501" s="21" t="s">
        <v>1870</v>
      </c>
      <c r="I501" s="21">
        <f>VALUE(LEFT(Budgets[[#This Row],[Fiscal Year]],4))</f>
        <v>2011</v>
      </c>
      <c r="J501" s="20">
        <v>9703484</v>
      </c>
      <c r="K501" s="27">
        <f>IF(Budgets[[#This Row],[Reference Year]]&gt;2018,Budgets[[#This Row],[Value]],Budgets[[#This Row],[Value]]*(1+VLOOKUP(Budgets[[#This Row],[Reference Year]],Inflation[#All],3,FALSE)))</f>
        <v>10856813.616736328</v>
      </c>
      <c r="L501" s="27">
        <f>Budgets[[#This Row],[2018 $ Value]]/VLOOKUP(Budgets[[#This Row],[Jurisdiction]],Places[],6,FALSE)</f>
        <v>118.76922489346281</v>
      </c>
      <c r="M501" s="27">
        <f>Budgets[[#This Row],[2018 $ Value]]/VLOOKUP(Budgets[[#This Row],[Jurisdiction]],Places[],7,FALSE)</f>
        <v>1292477.8115162295</v>
      </c>
      <c r="N501" s="27"/>
      <c r="O501" s="27" t="s">
        <v>1460</v>
      </c>
      <c r="P501" s="4"/>
      <c r="Q501"/>
    </row>
    <row r="502" spans="1:17" x14ac:dyDescent="0.25">
      <c r="A502" s="19" t="s">
        <v>186</v>
      </c>
      <c r="B502" s="19" t="str">
        <f>INDEX(Places[Type],MATCH(Budgets[[#This Row],[Jurisdiction]],Places[Jurisdiction],0))</f>
        <v>City</v>
      </c>
      <c r="C502" s="19" t="str">
        <f>INDEX(Places[County],MATCH(Budgets[[#This Row],[Jurisdiction]],Places[Jurisdiction],0))</f>
        <v>Los Angeles</v>
      </c>
      <c r="D502" s="21" t="str">
        <f>INDEX(Places[Majority RB],MATCH(Budgets[[#This Row],[Jurisdiction]],Places[Jurisdiction],0))</f>
        <v>Los Angeles</v>
      </c>
      <c r="E502" s="19">
        <f>INDEX(Places[Majority RB '#],MATCH(Budgets[[#This Row],[Jurisdiction]],Places[Jurisdiction],0))</f>
        <v>4</v>
      </c>
      <c r="F502" s="19" t="str">
        <f>VLOOKUP(Budgets[[#This Row],[Jurisdiction]],Places[#All],8,FALSE)</f>
        <v>Phase I MS4</v>
      </c>
      <c r="G502" s="81"/>
      <c r="H502" s="21" t="s">
        <v>1871</v>
      </c>
      <c r="I502" s="21">
        <f>VALUE(LEFT(Budgets[[#This Row],[Fiscal Year]],4))</f>
        <v>2012</v>
      </c>
      <c r="J502" s="20">
        <v>12311893</v>
      </c>
      <c r="K502" s="27">
        <f>IF(Budgets[[#This Row],[Reference Year]]&gt;2018,Budgets[[#This Row],[Value]],Budgets[[#This Row],[Value]]*(1+VLOOKUP(Budgets[[#This Row],[Reference Year]],Inflation[#All],3,FALSE)))</f>
        <v>13493266.321790069</v>
      </c>
      <c r="L502" s="27">
        <f>Budgets[[#This Row],[2018 $ Value]]/VLOOKUP(Budgets[[#This Row],[Jurisdiction]],Places[],6,FALSE)</f>
        <v>147.61096937775616</v>
      </c>
      <c r="M502" s="27">
        <f>Budgets[[#This Row],[2018 $ Value]]/VLOOKUP(Budgets[[#This Row],[Jurisdiction]],Places[],7,FALSE)</f>
        <v>1606341.2287845321</v>
      </c>
      <c r="N502" s="27"/>
      <c r="O502" s="27" t="s">
        <v>1460</v>
      </c>
      <c r="P502" s="4"/>
      <c r="Q502"/>
    </row>
    <row r="503" spans="1:17" x14ac:dyDescent="0.25">
      <c r="A503" s="19" t="s">
        <v>186</v>
      </c>
      <c r="B503" s="19" t="str">
        <f>INDEX(Places[Type],MATCH(Budgets[[#This Row],[Jurisdiction]],Places[Jurisdiction],0))</f>
        <v>City</v>
      </c>
      <c r="C503" s="19" t="str">
        <f>INDEX(Places[County],MATCH(Budgets[[#This Row],[Jurisdiction]],Places[Jurisdiction],0))</f>
        <v>Los Angeles</v>
      </c>
      <c r="D503" s="21" t="str">
        <f>INDEX(Places[Majority RB],MATCH(Budgets[[#This Row],[Jurisdiction]],Places[Jurisdiction],0))</f>
        <v>Los Angeles</v>
      </c>
      <c r="E503" s="19">
        <f>INDEX(Places[Majority RB '#],MATCH(Budgets[[#This Row],[Jurisdiction]],Places[Jurisdiction],0))</f>
        <v>4</v>
      </c>
      <c r="F503" s="19" t="str">
        <f>VLOOKUP(Budgets[[#This Row],[Jurisdiction]],Places[#All],8,FALSE)</f>
        <v>Phase I MS4</v>
      </c>
      <c r="G503" s="81"/>
      <c r="H503" s="21" t="s">
        <v>1869</v>
      </c>
      <c r="I503" s="21">
        <f>VALUE(LEFT(Budgets[[#This Row],[Fiscal Year]],4))</f>
        <v>2016</v>
      </c>
      <c r="J503" s="20">
        <v>13112239</v>
      </c>
      <c r="K503" s="27">
        <f>IF(Budgets[[#This Row],[Reference Year]]&gt;2018,Budgets[[#This Row],[Value]],Budgets[[#This Row],[Value]]*(1+VLOOKUP(Budgets[[#This Row],[Reference Year]],Inflation[#All],3,FALSE)))</f>
        <v>13747690.882537501</v>
      </c>
      <c r="L503" s="27">
        <f>Budgets[[#This Row],[2018 $ Value]]/VLOOKUP(Budgets[[#This Row],[Jurisdiction]],Places[],6,FALSE)</f>
        <v>150.39427292708208</v>
      </c>
      <c r="M503" s="27">
        <f>Budgets[[#This Row],[2018 $ Value]]/VLOOKUP(Budgets[[#This Row],[Jurisdiction]],Places[],7,FALSE)</f>
        <v>1636629.86696875</v>
      </c>
      <c r="N503" s="27"/>
      <c r="O503" s="27" t="s">
        <v>1853</v>
      </c>
      <c r="P503" s="4"/>
      <c r="Q503"/>
    </row>
    <row r="504" spans="1:17" x14ac:dyDescent="0.25">
      <c r="A504" s="19" t="s">
        <v>259</v>
      </c>
      <c r="B504" s="19" t="str">
        <f>INDEX(Places[Type],MATCH(Budgets[[#This Row],[Jurisdiction]],Places[Jurisdiction],0))</f>
        <v>City</v>
      </c>
      <c r="C504" s="19" t="str">
        <f>INDEX(Places[County],MATCH(Budgets[[#This Row],[Jurisdiction]],Places[Jurisdiction],0))</f>
        <v>Ventura</v>
      </c>
      <c r="D504" s="21" t="str">
        <f>INDEX(Places[Majority RB],MATCH(Budgets[[#This Row],[Jurisdiction]],Places[Jurisdiction],0))</f>
        <v>Los Angeles</v>
      </c>
      <c r="E504" s="19">
        <f>INDEX(Places[Majority RB '#],MATCH(Budgets[[#This Row],[Jurisdiction]],Places[Jurisdiction],0))</f>
        <v>4</v>
      </c>
      <c r="F504" s="19" t="str">
        <f>VLOOKUP(Budgets[[#This Row],[Jurisdiction]],Places[#All],8,FALSE)</f>
        <v>Phase I MS4</v>
      </c>
      <c r="G504" s="81" t="s">
        <v>1859</v>
      </c>
      <c r="H504" s="21" t="s">
        <v>1882</v>
      </c>
      <c r="I504" s="21">
        <f>VALUE(LEFT(Budgets[[#This Row],[Fiscal Year]],4))</f>
        <v>2005</v>
      </c>
      <c r="J504" s="20">
        <v>398405</v>
      </c>
      <c r="K504" s="27">
        <f>IF(Budgets[[#This Row],[Reference Year]]&gt;2018,Budgets[[#This Row],[Value]],Budgets[[#This Row],[Value]]*(1+VLOOKUP(Budgets[[#This Row],[Reference Year]],Inflation[#All],3,FALSE)))</f>
        <v>513318.22096774192</v>
      </c>
      <c r="L504" s="27">
        <f>Budgets[[#This Row],[2018 $ Value]]/VLOOKUP(Budgets[[#This Row],[Jurisdiction]],Places[],6,FALSE)</f>
        <v>17.104335775806934</v>
      </c>
      <c r="M504" s="27">
        <f>Budgets[[#This Row],[2018 $ Value]]/VLOOKUP(Budgets[[#This Row],[Jurisdiction]],Places[],7,FALSE)</f>
        <v>111590.91760168303</v>
      </c>
      <c r="N504" s="27"/>
      <c r="O504" s="27" t="s">
        <v>1460</v>
      </c>
      <c r="P504" s="4"/>
      <c r="Q504"/>
    </row>
    <row r="505" spans="1:17" x14ac:dyDescent="0.25">
      <c r="A505" s="19" t="s">
        <v>259</v>
      </c>
      <c r="B505" s="19" t="str">
        <f>INDEX(Places[Type],MATCH(Budgets[[#This Row],[Jurisdiction]],Places[Jurisdiction],0))</f>
        <v>City</v>
      </c>
      <c r="C505" s="19" t="str">
        <f>INDEX(Places[County],MATCH(Budgets[[#This Row],[Jurisdiction]],Places[Jurisdiction],0))</f>
        <v>Ventura</v>
      </c>
      <c r="D505" s="21" t="str">
        <f>INDEX(Places[Majority RB],MATCH(Budgets[[#This Row],[Jurisdiction]],Places[Jurisdiction],0))</f>
        <v>Los Angeles</v>
      </c>
      <c r="E505" s="19">
        <f>INDEX(Places[Majority RB '#],MATCH(Budgets[[#This Row],[Jurisdiction]],Places[Jurisdiction],0))</f>
        <v>4</v>
      </c>
      <c r="F505" s="19" t="str">
        <f>VLOOKUP(Budgets[[#This Row],[Jurisdiction]],Places[#All],8,FALSE)</f>
        <v>Phase I MS4</v>
      </c>
      <c r="G505" s="81"/>
      <c r="H505" s="21" t="s">
        <v>1883</v>
      </c>
      <c r="I505" s="21">
        <f>VALUE(LEFT(Budgets[[#This Row],[Fiscal Year]],4))</f>
        <v>2006</v>
      </c>
      <c r="J505" s="20">
        <v>432307</v>
      </c>
      <c r="K505" s="27">
        <f>IF(Budgets[[#This Row],[Reference Year]]&gt;2018,Budgets[[#This Row],[Value]],Budgets[[#This Row],[Value]]*(1+VLOOKUP(Budgets[[#This Row],[Reference Year]],Inflation[#All],3,FALSE)))</f>
        <v>539592.47379464284</v>
      </c>
      <c r="L505" s="27">
        <f>Budgets[[#This Row],[2018 $ Value]]/VLOOKUP(Budgets[[#This Row],[Jurisdiction]],Places[],6,FALSE)</f>
        <v>17.979823191317944</v>
      </c>
      <c r="M505" s="27">
        <f>Budgets[[#This Row],[2018 $ Value]]/VLOOKUP(Budgets[[#This Row],[Jurisdiction]],Places[],7,FALSE)</f>
        <v>117302.71169448759</v>
      </c>
      <c r="N505" s="27"/>
      <c r="O505" s="27" t="s">
        <v>1460</v>
      </c>
      <c r="P505" s="4"/>
      <c r="Q505"/>
    </row>
    <row r="506" spans="1:17" x14ac:dyDescent="0.25">
      <c r="A506" s="19" t="s">
        <v>259</v>
      </c>
      <c r="B506" s="19" t="str">
        <f>INDEX(Places[Type],MATCH(Budgets[[#This Row],[Jurisdiction]],Places[Jurisdiction],0))</f>
        <v>City</v>
      </c>
      <c r="C506" s="19" t="str">
        <f>INDEX(Places[County],MATCH(Budgets[[#This Row],[Jurisdiction]],Places[Jurisdiction],0))</f>
        <v>Ventura</v>
      </c>
      <c r="D506" s="21" t="str">
        <f>INDEX(Places[Majority RB],MATCH(Budgets[[#This Row],[Jurisdiction]],Places[Jurisdiction],0))</f>
        <v>Los Angeles</v>
      </c>
      <c r="E506" s="19">
        <f>INDEX(Places[Majority RB '#],MATCH(Budgets[[#This Row],[Jurisdiction]],Places[Jurisdiction],0))</f>
        <v>4</v>
      </c>
      <c r="F506" s="19" t="str">
        <f>VLOOKUP(Budgets[[#This Row],[Jurisdiction]],Places[#All],8,FALSE)</f>
        <v>Phase I MS4</v>
      </c>
      <c r="G506" s="81"/>
      <c r="H506" s="21" t="s">
        <v>1884</v>
      </c>
      <c r="I506" s="21">
        <f>VALUE(LEFT(Budgets[[#This Row],[Fiscal Year]],4))</f>
        <v>2008</v>
      </c>
      <c r="J506" s="20">
        <v>441666</v>
      </c>
      <c r="K506" s="27">
        <f>IF(Budgets[[#This Row],[Reference Year]]&gt;2018,Budgets[[#This Row],[Value]],Budgets[[#This Row],[Value]]*(1+VLOOKUP(Budgets[[#This Row],[Reference Year]],Inflation[#All],3,FALSE)))</f>
        <v>516195.34252670687</v>
      </c>
      <c r="L506" s="27">
        <f>Budgets[[#This Row],[2018 $ Value]]/VLOOKUP(Budgets[[#This Row],[Jurisdiction]],Places[],6,FALSE)</f>
        <v>17.200204675842421</v>
      </c>
      <c r="M506" s="27">
        <f>Budgets[[#This Row],[2018 $ Value]]/VLOOKUP(Budgets[[#This Row],[Jurisdiction]],Places[],7,FALSE)</f>
        <v>112216.37881015368</v>
      </c>
      <c r="N506" s="27"/>
      <c r="O506" s="27" t="s">
        <v>1460</v>
      </c>
      <c r="P506" s="4"/>
      <c r="Q506"/>
    </row>
    <row r="507" spans="1:17" x14ac:dyDescent="0.25">
      <c r="A507" s="19" t="s">
        <v>259</v>
      </c>
      <c r="B507" s="19" t="str">
        <f>INDEX(Places[Type],MATCH(Budgets[[#This Row],[Jurisdiction]],Places[Jurisdiction],0))</f>
        <v>City</v>
      </c>
      <c r="C507" s="19" t="str">
        <f>INDEX(Places[County],MATCH(Budgets[[#This Row],[Jurisdiction]],Places[Jurisdiction],0))</f>
        <v>Ventura</v>
      </c>
      <c r="D507" s="21" t="str">
        <f>INDEX(Places[Majority RB],MATCH(Budgets[[#This Row],[Jurisdiction]],Places[Jurisdiction],0))</f>
        <v>Los Angeles</v>
      </c>
      <c r="E507" s="19">
        <f>INDEX(Places[Majority RB '#],MATCH(Budgets[[#This Row],[Jurisdiction]],Places[Jurisdiction],0))</f>
        <v>4</v>
      </c>
      <c r="F507" s="19" t="str">
        <f>VLOOKUP(Budgets[[#This Row],[Jurisdiction]],Places[#All],8,FALSE)</f>
        <v>Phase I MS4</v>
      </c>
      <c r="G507" s="81"/>
      <c r="H507" s="21" t="s">
        <v>1870</v>
      </c>
      <c r="I507" s="21">
        <f>VALUE(LEFT(Budgets[[#This Row],[Fiscal Year]],4))</f>
        <v>2011</v>
      </c>
      <c r="J507" s="20">
        <v>74555</v>
      </c>
      <c r="K507" s="27">
        <f>IF(Budgets[[#This Row],[Reference Year]]&gt;2018,Budgets[[#This Row],[Value]],Budgets[[#This Row],[Value]]*(1+VLOOKUP(Budgets[[#This Row],[Reference Year]],Inflation[#All],3,FALSE)))</f>
        <v>83416.403757225431</v>
      </c>
      <c r="L507" s="27">
        <f>Budgets[[#This Row],[2018 $ Value]]/VLOOKUP(Budgets[[#This Row],[Jurisdiction]],Places[],6,FALSE)</f>
        <v>2.779527631775863</v>
      </c>
      <c r="M507" s="27">
        <f>Budgets[[#This Row],[2018 $ Value]]/VLOOKUP(Budgets[[#This Row],[Jurisdiction]],Places[],7,FALSE)</f>
        <v>18134.000816788139</v>
      </c>
      <c r="N507" s="27"/>
      <c r="O507" s="27" t="s">
        <v>1460</v>
      </c>
      <c r="P507" s="4"/>
      <c r="Q507"/>
    </row>
    <row r="508" spans="1:17" x14ac:dyDescent="0.25">
      <c r="A508" s="19" t="s">
        <v>259</v>
      </c>
      <c r="B508" s="19" t="str">
        <f>INDEX(Places[Type],MATCH(Budgets[[#This Row],[Jurisdiction]],Places[Jurisdiction],0))</f>
        <v>City</v>
      </c>
      <c r="C508" s="19" t="str">
        <f>INDEX(Places[County],MATCH(Budgets[[#This Row],[Jurisdiction]],Places[Jurisdiction],0))</f>
        <v>Ventura</v>
      </c>
      <c r="D508" s="21" t="str">
        <f>INDEX(Places[Majority RB],MATCH(Budgets[[#This Row],[Jurisdiction]],Places[Jurisdiction],0))</f>
        <v>Los Angeles</v>
      </c>
      <c r="E508" s="19">
        <f>INDEX(Places[Majority RB '#],MATCH(Budgets[[#This Row],[Jurisdiction]],Places[Jurisdiction],0))</f>
        <v>4</v>
      </c>
      <c r="F508" s="19" t="str">
        <f>VLOOKUP(Budgets[[#This Row],[Jurisdiction]],Places[#All],8,FALSE)</f>
        <v>Phase I MS4</v>
      </c>
      <c r="G508" s="81"/>
      <c r="H508" s="21" t="s">
        <v>1871</v>
      </c>
      <c r="I508" s="21">
        <f>VALUE(LEFT(Budgets[[#This Row],[Fiscal Year]],4))</f>
        <v>2012</v>
      </c>
      <c r="J508" s="20">
        <v>118500</v>
      </c>
      <c r="K508" s="27">
        <f>IF(Budgets[[#This Row],[Reference Year]]&gt;2018,Budgets[[#This Row],[Value]],Budgets[[#This Row],[Value]]*(1+VLOOKUP(Budgets[[#This Row],[Reference Year]],Inflation[#All],3,FALSE)))</f>
        <v>129870.52918118467</v>
      </c>
      <c r="L508" s="27">
        <f>Budgets[[#This Row],[2018 $ Value]]/VLOOKUP(Budgets[[#This Row],[Jurisdiction]],Places[],6,FALSE)</f>
        <v>4.3274309147040979</v>
      </c>
      <c r="M508" s="27">
        <f>Budgets[[#This Row],[2018 $ Value]]/VLOOKUP(Budgets[[#This Row],[Jurisdiction]],Places[],7,FALSE)</f>
        <v>28232.723735040148</v>
      </c>
      <c r="N508" s="27"/>
      <c r="O508" s="27" t="s">
        <v>1460</v>
      </c>
      <c r="P508" s="4"/>
      <c r="Q508"/>
    </row>
    <row r="509" spans="1:17" x14ac:dyDescent="0.25">
      <c r="A509" s="19" t="s">
        <v>259</v>
      </c>
      <c r="B509" s="19" t="str">
        <f>INDEX(Places[Type],MATCH(Budgets[[#This Row],[Jurisdiction]],Places[Jurisdiction],0))</f>
        <v>City</v>
      </c>
      <c r="C509" s="19" t="str">
        <f>INDEX(Places[County],MATCH(Budgets[[#This Row],[Jurisdiction]],Places[Jurisdiction],0))</f>
        <v>Ventura</v>
      </c>
      <c r="D509" s="21" t="str">
        <f>INDEX(Places[Majority RB],MATCH(Budgets[[#This Row],[Jurisdiction]],Places[Jurisdiction],0))</f>
        <v>Los Angeles</v>
      </c>
      <c r="E509" s="19">
        <f>INDEX(Places[Majority RB '#],MATCH(Budgets[[#This Row],[Jurisdiction]],Places[Jurisdiction],0))</f>
        <v>4</v>
      </c>
      <c r="F509" s="19" t="str">
        <f>VLOOKUP(Budgets[[#This Row],[Jurisdiction]],Places[#All],8,FALSE)</f>
        <v>Phase I MS4</v>
      </c>
      <c r="G509" s="81"/>
      <c r="H509" s="21" t="s">
        <v>1881</v>
      </c>
      <c r="I509" s="21">
        <f>VALUE(LEFT(Budgets[[#This Row],[Fiscal Year]],4))</f>
        <v>2014</v>
      </c>
      <c r="J509" s="20">
        <v>165000</v>
      </c>
      <c r="K509" s="27">
        <f>IF(Budgets[[#This Row],[Reference Year]]&gt;2018,Budgets[[#This Row],[Value]],Budgets[[#This Row],[Value]]*(1+VLOOKUP(Budgets[[#This Row],[Reference Year]],Inflation[#All],3,FALSE)))</f>
        <v>175408.17490494298</v>
      </c>
      <c r="L509" s="27">
        <f>Budgets[[#This Row],[2018 $ Value]]/VLOOKUP(Budgets[[#This Row],[Jurisdiction]],Places[],6,FALSE)</f>
        <v>5.8447960716051774</v>
      </c>
      <c r="M509" s="27">
        <f>Budgets[[#This Row],[2018 $ Value]]/VLOOKUP(Budgets[[#This Row],[Jurisdiction]],Places[],7,FALSE)</f>
        <v>38132.211935857173</v>
      </c>
      <c r="N509" s="27"/>
      <c r="O509" s="27" t="s">
        <v>1460</v>
      </c>
      <c r="P509" s="4"/>
      <c r="Q509"/>
    </row>
    <row r="510" spans="1:17" x14ac:dyDescent="0.25">
      <c r="A510" s="19" t="s">
        <v>259</v>
      </c>
      <c r="B510" s="19" t="str">
        <f>INDEX(Places[Type],MATCH(Budgets[[#This Row],[Jurisdiction]],Places[Jurisdiction],0))</f>
        <v>City</v>
      </c>
      <c r="C510" s="19" t="str">
        <f>INDEX(Places[County],MATCH(Budgets[[#This Row],[Jurisdiction]],Places[Jurisdiction],0))</f>
        <v>Ventura</v>
      </c>
      <c r="D510" s="21" t="str">
        <f>INDEX(Places[Majority RB],MATCH(Budgets[[#This Row],[Jurisdiction]],Places[Jurisdiction],0))</f>
        <v>Los Angeles</v>
      </c>
      <c r="E510" s="19">
        <f>INDEX(Places[Majority RB '#],MATCH(Budgets[[#This Row],[Jurisdiction]],Places[Jurisdiction],0))</f>
        <v>4</v>
      </c>
      <c r="F510" s="19" t="str">
        <f>VLOOKUP(Budgets[[#This Row],[Jurisdiction]],Places[#All],8,FALSE)</f>
        <v>Phase I MS4</v>
      </c>
      <c r="G510" s="81"/>
      <c r="H510" s="21" t="s">
        <v>1876</v>
      </c>
      <c r="I510" s="21">
        <f>VALUE(LEFT(Budgets[[#This Row],[Fiscal Year]],4))</f>
        <v>2018</v>
      </c>
      <c r="J510" s="20">
        <v>200500</v>
      </c>
      <c r="K510" s="27">
        <f>IF(Budgets[[#This Row],[Reference Year]]&gt;2018,Budgets[[#This Row],[Value]],Budgets[[#This Row],[Value]]*(1+VLOOKUP(Budgets[[#This Row],[Reference Year]],Inflation[#All],3,FALSE)))</f>
        <v>200500</v>
      </c>
      <c r="L510" s="27">
        <f>Budgets[[#This Row],[2018 $ Value]]/VLOOKUP(Budgets[[#This Row],[Jurisdiction]],Places[],6,FALSE)</f>
        <v>6.6808836759854717</v>
      </c>
      <c r="M510" s="27">
        <f>Budgets[[#This Row],[2018 $ Value]]/VLOOKUP(Budgets[[#This Row],[Jurisdiction]],Places[],7,FALSE)</f>
        <v>43586.956521739135</v>
      </c>
      <c r="N510" s="27" t="s">
        <v>1853</v>
      </c>
      <c r="O510" s="27" t="s">
        <v>1853</v>
      </c>
      <c r="P510" s="4"/>
      <c r="Q510"/>
    </row>
    <row r="511" spans="1:17" x14ac:dyDescent="0.25">
      <c r="A511" s="19" t="s">
        <v>291</v>
      </c>
      <c r="B511" s="19" t="str">
        <f>INDEX(Places[Type],MATCH(Budgets[[#This Row],[Jurisdiction]],Places[Jurisdiction],0))</f>
        <v>City</v>
      </c>
      <c r="C511" s="19" t="str">
        <f>INDEX(Places[County],MATCH(Budgets[[#This Row],[Jurisdiction]],Places[Jurisdiction],0))</f>
        <v>Orange</v>
      </c>
      <c r="D511" s="21" t="str">
        <f>INDEX(Places[Majority RB],MATCH(Budgets[[#This Row],[Jurisdiction]],Places[Jurisdiction],0))</f>
        <v>Santa Ana</v>
      </c>
      <c r="E511" s="19">
        <f>INDEX(Places[Majority RB '#],MATCH(Budgets[[#This Row],[Jurisdiction]],Places[Jurisdiction],0))</f>
        <v>8</v>
      </c>
      <c r="F511" s="19" t="str">
        <f>VLOOKUP(Budgets[[#This Row],[Jurisdiction]],Places[#All],8,FALSE)</f>
        <v>Phase I MS4</v>
      </c>
      <c r="G511" s="81"/>
      <c r="H511" s="21" t="s">
        <v>1875</v>
      </c>
      <c r="I511" s="21">
        <f>VALUE(LEFT(Budgets[[#This Row],[Fiscal Year]],4))</f>
        <v>2001</v>
      </c>
      <c r="J511" s="20">
        <v>339338</v>
      </c>
      <c r="K511" s="27">
        <f>IF(Budgets[[#This Row],[Reference Year]]&gt;2018,Budgets[[#This Row],[Value]],Budgets[[#This Row],[Value]]*(1+VLOOKUP(Budgets[[#This Row],[Reference Year]],Inflation[#All],3,FALSE)))</f>
        <v>482145.45611518912</v>
      </c>
      <c r="L511" s="27">
        <f>Budgets[[#This Row],[2018 $ Value]]/VLOOKUP(Budgets[[#This Row],[Jurisdiction]],Places[],6,FALSE)</f>
        <v>19.99027555517182</v>
      </c>
      <c r="M511" s="27">
        <f>Budgets[[#This Row],[2018 $ Value]]/VLOOKUP(Budgets[[#This Row],[Jurisdiction]],Places[],7,FALSE)</f>
        <v>42667.739479220276</v>
      </c>
      <c r="N511" s="27"/>
      <c r="O511" s="27" t="s">
        <v>1460</v>
      </c>
      <c r="P511" s="4"/>
      <c r="Q511"/>
    </row>
    <row r="512" spans="1:17" x14ac:dyDescent="0.25">
      <c r="A512" s="19" t="s">
        <v>291</v>
      </c>
      <c r="B512" s="19" t="str">
        <f>INDEX(Places[Type],MATCH(Budgets[[#This Row],[Jurisdiction]],Places[Jurisdiction],0))</f>
        <v>City</v>
      </c>
      <c r="C512" s="19" t="str">
        <f>INDEX(Places[County],MATCH(Budgets[[#This Row],[Jurisdiction]],Places[Jurisdiction],0))</f>
        <v>Orange</v>
      </c>
      <c r="D512" s="21" t="str">
        <f>INDEX(Places[Majority RB],MATCH(Budgets[[#This Row],[Jurisdiction]],Places[Jurisdiction],0))</f>
        <v>Santa Ana</v>
      </c>
      <c r="E512" s="19">
        <f>INDEX(Places[Majority RB '#],MATCH(Budgets[[#This Row],[Jurisdiction]],Places[Jurisdiction],0))</f>
        <v>8</v>
      </c>
      <c r="F512" s="19" t="str">
        <f>VLOOKUP(Budgets[[#This Row],[Jurisdiction]],Places[#All],8,FALSE)</f>
        <v>Phase I MS4</v>
      </c>
      <c r="G512" s="81"/>
      <c r="H512" s="21" t="s">
        <v>1872</v>
      </c>
      <c r="I512" s="21">
        <f>VALUE(LEFT(Budgets[[#This Row],[Fiscal Year]],4))</f>
        <v>2002</v>
      </c>
      <c r="J512" s="20">
        <v>388700</v>
      </c>
      <c r="K512" s="27">
        <f>IF(Budgets[[#This Row],[Reference Year]]&gt;2018,Budgets[[#This Row],[Value]],Budgets[[#This Row],[Value]]*(1+VLOOKUP(Budgets[[#This Row],[Reference Year]],Inflation[#All],3,FALSE)))</f>
        <v>543685.21234018891</v>
      </c>
      <c r="L512" s="27">
        <f>Budgets[[#This Row],[2018 $ Value]]/VLOOKUP(Budgets[[#This Row],[Jurisdiction]],Places[],6,FALSE)</f>
        <v>22.541780850789372</v>
      </c>
      <c r="M512" s="27">
        <f>Budgets[[#This Row],[2018 $ Value]]/VLOOKUP(Budgets[[#This Row],[Jurisdiction]],Places[],7,FALSE)</f>
        <v>48113.735605326452</v>
      </c>
      <c r="N512" s="27"/>
      <c r="O512" s="27" t="s">
        <v>1853</v>
      </c>
      <c r="P512" s="4"/>
      <c r="Q512"/>
    </row>
    <row r="513" spans="1:17" x14ac:dyDescent="0.25">
      <c r="A513" s="19" t="s">
        <v>184</v>
      </c>
      <c r="B513" s="19" t="str">
        <f>INDEX(Places[Type],MATCH(Budgets[[#This Row],[Jurisdiction]],Places[Jurisdiction],0))</f>
        <v>City</v>
      </c>
      <c r="C513" s="19" t="str">
        <f>INDEX(Places[County],MATCH(Budgets[[#This Row],[Jurisdiction]],Places[Jurisdiction],0))</f>
        <v>Los Angeles</v>
      </c>
      <c r="D513" s="21" t="str">
        <f>INDEX(Places[Majority RB],MATCH(Budgets[[#This Row],[Jurisdiction]],Places[Jurisdiction],0))</f>
        <v>Los Angeles</v>
      </c>
      <c r="E513" s="19">
        <f>INDEX(Places[Majority RB '#],MATCH(Budgets[[#This Row],[Jurisdiction]],Places[Jurisdiction],0))</f>
        <v>4</v>
      </c>
      <c r="F513" s="19" t="str">
        <f>VLOOKUP(Budgets[[#This Row],[Jurisdiction]],Places[#All],8,FALSE)</f>
        <v>Phase I MS4</v>
      </c>
      <c r="G513" s="81"/>
      <c r="H513" s="21" t="s">
        <v>1871</v>
      </c>
      <c r="I513" s="21">
        <f>VALUE(LEFT(Budgets[[#This Row],[Fiscal Year]],4))</f>
        <v>2012</v>
      </c>
      <c r="J513" s="20">
        <v>432377</v>
      </c>
      <c r="K513" s="27">
        <f>IF(Budgets[[#This Row],[Reference Year]]&gt;2018,Budgets[[#This Row],[Value]],Budgets[[#This Row],[Value]]*(1+VLOOKUP(Budgets[[#This Row],[Reference Year]],Inflation[#All],3,FALSE)))</f>
        <v>473865.23034407664</v>
      </c>
      <c r="L513" s="27">
        <f>Budgets[[#This Row],[2018 $ Value]]/VLOOKUP(Budgets[[#This Row],[Jurisdiction]],Places[],6,FALSE)</f>
        <v>43.406176636812006</v>
      </c>
      <c r="M513" s="27">
        <f>Budgets[[#This Row],[2018 $ Value]]/VLOOKUP(Budgets[[#This Row],[Jurisdiction]],Places[],7,FALSE)</f>
        <v>157955.07678135889</v>
      </c>
      <c r="N513" s="27"/>
      <c r="O513" s="27" t="s">
        <v>1460</v>
      </c>
      <c r="P513" s="4"/>
      <c r="Q513"/>
    </row>
    <row r="514" spans="1:17" x14ac:dyDescent="0.25">
      <c r="A514" s="19" t="s">
        <v>184</v>
      </c>
      <c r="B514" s="19" t="str">
        <f>INDEX(Places[Type],MATCH(Budgets[[#This Row],[Jurisdiction]],Places[Jurisdiction],0))</f>
        <v>City</v>
      </c>
      <c r="C514" s="19" t="str">
        <f>INDEX(Places[County],MATCH(Budgets[[#This Row],[Jurisdiction]],Places[Jurisdiction],0))</f>
        <v>Los Angeles</v>
      </c>
      <c r="D514" s="21" t="str">
        <f>INDEX(Places[Majority RB],MATCH(Budgets[[#This Row],[Jurisdiction]],Places[Jurisdiction],0))</f>
        <v>Los Angeles</v>
      </c>
      <c r="E514" s="19">
        <f>INDEX(Places[Majority RB '#],MATCH(Budgets[[#This Row],[Jurisdiction]],Places[Jurisdiction],0))</f>
        <v>4</v>
      </c>
      <c r="F514" s="19" t="str">
        <f>VLOOKUP(Budgets[[#This Row],[Jurisdiction]],Places[#All],8,FALSE)</f>
        <v>Phase I MS4</v>
      </c>
      <c r="G514" s="81"/>
      <c r="H514" s="21" t="s">
        <v>1869</v>
      </c>
      <c r="I514" s="21">
        <f>VALUE(LEFT(Budgets[[#This Row],[Fiscal Year]],4))</f>
        <v>2016</v>
      </c>
      <c r="J514" s="20">
        <v>582763</v>
      </c>
      <c r="K514" s="27">
        <f>IF(Budgets[[#This Row],[Reference Year]]&gt;2018,Budgets[[#This Row],[Value]],Budgets[[#This Row],[Value]]*(1+VLOOKUP(Budgets[[#This Row],[Reference Year]],Inflation[#All],3,FALSE)))</f>
        <v>611005.15188750008</v>
      </c>
      <c r="L514" s="27">
        <f>Budgets[[#This Row],[2018 $ Value]]/VLOOKUP(Budgets[[#This Row],[Jurisdiction]],Places[],6,FALSE)</f>
        <v>55.968228623935154</v>
      </c>
      <c r="M514" s="27">
        <f>Budgets[[#This Row],[2018 $ Value]]/VLOOKUP(Budgets[[#This Row],[Jurisdiction]],Places[],7,FALSE)</f>
        <v>203668.38396250003</v>
      </c>
      <c r="N514" s="27"/>
      <c r="O514" s="27" t="s">
        <v>1853</v>
      </c>
      <c r="P514" s="4"/>
      <c r="Q514"/>
    </row>
    <row r="515" spans="1:17" x14ac:dyDescent="0.25">
      <c r="A515" s="19" t="s">
        <v>164</v>
      </c>
      <c r="B515" s="19" t="str">
        <f>INDEX(Places[Type],MATCH(Budgets[[#This Row],[Jurisdiction]],Places[Jurisdiction],0))</f>
        <v>City</v>
      </c>
      <c r="C515" s="19" t="str">
        <f>INDEX(Places[County],MATCH(Budgets[[#This Row],[Jurisdiction]],Places[Jurisdiction],0))</f>
        <v>Los Angeles</v>
      </c>
      <c r="D515" s="21" t="str">
        <f>INDEX(Places[Majority RB],MATCH(Budgets[[#This Row],[Jurisdiction]],Places[Jurisdiction],0))</f>
        <v>Los Angeles</v>
      </c>
      <c r="E515" s="19">
        <f>INDEX(Places[Majority RB '#],MATCH(Budgets[[#This Row],[Jurisdiction]],Places[Jurisdiction],0))</f>
        <v>4</v>
      </c>
      <c r="F515" s="19" t="str">
        <f>VLOOKUP(Budgets[[#This Row],[Jurisdiction]],Places[#All],8,FALSE)</f>
        <v>Phase I MS4</v>
      </c>
      <c r="G515" s="81"/>
      <c r="H515" s="100" t="s">
        <v>1870</v>
      </c>
      <c r="I515" s="21">
        <f>VALUE(LEFT(Budgets[[#This Row],[Fiscal Year]],4))</f>
        <v>2011</v>
      </c>
      <c r="J515" s="20">
        <v>2768380</v>
      </c>
      <c r="K515" s="27">
        <f>IF(Budgets[[#This Row],[Reference Year]]&gt;2018,Budgets[[#This Row],[Value]],Budgets[[#This Row],[Value]]*(1+VLOOKUP(Budgets[[#This Row],[Reference Year]],Inflation[#All],3,FALSE)))</f>
        <v>3097422.0888394844</v>
      </c>
      <c r="L515" s="27">
        <f>Budgets[[#This Row],[2018 $ Value]]/VLOOKUP(Budgets[[#This Row],[Jurisdiction]],Places[],6,FALSE)</f>
        <v>268.0590297567706</v>
      </c>
      <c r="M515" s="27">
        <f>Budgets[[#This Row],[2018 $ Value]]/VLOOKUP(Budgets[[#This Row],[Jurisdiction]],Places[],7,FALSE)</f>
        <v>1407919.1312906747</v>
      </c>
      <c r="N515" s="27"/>
      <c r="O515" s="27" t="s">
        <v>1460</v>
      </c>
      <c r="P515" s="4"/>
      <c r="Q515"/>
    </row>
    <row r="516" spans="1:17" x14ac:dyDescent="0.25">
      <c r="A516" s="19" t="s">
        <v>164</v>
      </c>
      <c r="B516" s="19" t="str">
        <f>INDEX(Places[Type],MATCH(Budgets[[#This Row],[Jurisdiction]],Places[Jurisdiction],0))</f>
        <v>City</v>
      </c>
      <c r="C516" s="19" t="str">
        <f>INDEX(Places[County],MATCH(Budgets[[#This Row],[Jurisdiction]],Places[Jurisdiction],0))</f>
        <v>Los Angeles</v>
      </c>
      <c r="D516" s="21" t="str">
        <f>INDEX(Places[Majority RB],MATCH(Budgets[[#This Row],[Jurisdiction]],Places[Jurisdiction],0))</f>
        <v>Los Angeles</v>
      </c>
      <c r="E516" s="19">
        <f>INDEX(Places[Majority RB '#],MATCH(Budgets[[#This Row],[Jurisdiction]],Places[Jurisdiction],0))</f>
        <v>4</v>
      </c>
      <c r="F516" s="19" t="str">
        <f>VLOOKUP(Budgets[[#This Row],[Jurisdiction]],Places[#All],8,FALSE)</f>
        <v>Phase I MS4</v>
      </c>
      <c r="G516" s="81"/>
      <c r="H516" s="100" t="s">
        <v>1871</v>
      </c>
      <c r="I516" s="21">
        <f>VALUE(LEFT(Budgets[[#This Row],[Fiscal Year]],4))</f>
        <v>2012</v>
      </c>
      <c r="J516" s="20">
        <v>2742380</v>
      </c>
      <c r="K516" s="27">
        <f>IF(Budgets[[#This Row],[Reference Year]]&gt;2018,Budgets[[#This Row],[Value]],Budgets[[#This Row],[Value]]*(1+VLOOKUP(Budgets[[#This Row],[Reference Year]],Inflation[#All],3,FALSE)))</f>
        <v>3005521.8718641116</v>
      </c>
      <c r="L516" s="27">
        <f>Budgets[[#This Row],[2018 $ Value]]/VLOOKUP(Budgets[[#This Row],[Jurisdiction]],Places[],6,FALSE)</f>
        <v>260.10574399516327</v>
      </c>
      <c r="M516" s="27">
        <f>Budgets[[#This Row],[2018 $ Value]]/VLOOKUP(Budgets[[#This Row],[Jurisdiction]],Places[],7,FALSE)</f>
        <v>1366146.305392778</v>
      </c>
      <c r="N516" s="27"/>
      <c r="O516" s="27" t="s">
        <v>1460</v>
      </c>
      <c r="P516" s="4"/>
      <c r="Q516"/>
    </row>
    <row r="517" spans="1:17" x14ac:dyDescent="0.25">
      <c r="A517" s="19" t="s">
        <v>164</v>
      </c>
      <c r="B517" s="19" t="str">
        <f>INDEX(Places[Type],MATCH(Budgets[[#This Row],[Jurisdiction]],Places[Jurisdiction],0))</f>
        <v>City</v>
      </c>
      <c r="C517" s="19" t="str">
        <f>INDEX(Places[County],MATCH(Budgets[[#This Row],[Jurisdiction]],Places[Jurisdiction],0))</f>
        <v>Los Angeles</v>
      </c>
      <c r="D517" s="21" t="str">
        <f>INDEX(Places[Majority RB],MATCH(Budgets[[#This Row],[Jurisdiction]],Places[Jurisdiction],0))</f>
        <v>Los Angeles</v>
      </c>
      <c r="E517" s="19">
        <f>INDEX(Places[Majority RB '#],MATCH(Budgets[[#This Row],[Jurisdiction]],Places[Jurisdiction],0))</f>
        <v>4</v>
      </c>
      <c r="F517" s="19" t="str">
        <f>VLOOKUP(Budgets[[#This Row],[Jurisdiction]],Places[#All],8,FALSE)</f>
        <v>Phase I MS4</v>
      </c>
      <c r="G517" s="81"/>
      <c r="H517" s="100" t="s">
        <v>1869</v>
      </c>
      <c r="I517" s="21">
        <f>VALUE(LEFT(Budgets[[#This Row],[Fiscal Year]],4))</f>
        <v>2016</v>
      </c>
      <c r="J517" s="20">
        <v>11615000</v>
      </c>
      <c r="K517" s="27">
        <f>IF(Budgets[[#This Row],[Reference Year]]&gt;2018,Budgets[[#This Row],[Value]],Budgets[[#This Row],[Value]]*(1+VLOOKUP(Budgets[[#This Row],[Reference Year]],Inflation[#All],3,FALSE)))</f>
        <v>12177891.9375</v>
      </c>
      <c r="L517" s="27">
        <f>Budgets[[#This Row],[2018 $ Value]]/VLOOKUP(Budgets[[#This Row],[Jurisdiction]],Places[],6,FALSE)</f>
        <v>1053.9067016443098</v>
      </c>
      <c r="M517" s="27">
        <f>Budgets[[#This Row],[2018 $ Value]]/VLOOKUP(Budgets[[#This Row],[Jurisdiction]],Places[],7,FALSE)</f>
        <v>5535405.4261363633</v>
      </c>
      <c r="N517" s="27"/>
      <c r="O517" s="27" t="s">
        <v>1853</v>
      </c>
      <c r="P517" s="4"/>
      <c r="Q517"/>
    </row>
    <row r="518" spans="1:17" x14ac:dyDescent="0.25">
      <c r="A518" s="19" t="s">
        <v>260</v>
      </c>
      <c r="B518" s="19" t="str">
        <f>INDEX(Places[Type],MATCH(Budgets[[#This Row],[Jurisdiction]],Places[Jurisdiction],0))</f>
        <v>City</v>
      </c>
      <c r="C518" s="19" t="str">
        <f>INDEX(Places[County],MATCH(Budgets[[#This Row],[Jurisdiction]],Places[Jurisdiction],0))</f>
        <v>Ventura</v>
      </c>
      <c r="D518" s="21" t="str">
        <f>INDEX(Places[Majority RB],MATCH(Budgets[[#This Row],[Jurisdiction]],Places[Jurisdiction],0))</f>
        <v>Los Angeles</v>
      </c>
      <c r="E518" s="19">
        <f>INDEX(Places[Majority RB '#],MATCH(Budgets[[#This Row],[Jurisdiction]],Places[Jurisdiction],0))</f>
        <v>4</v>
      </c>
      <c r="F518" s="19" t="str">
        <f>VLOOKUP(Budgets[[#This Row],[Jurisdiction]],Places[#All],8,FALSE)</f>
        <v>Phase I MS4</v>
      </c>
      <c r="G518" s="81"/>
      <c r="H518" s="21" t="s">
        <v>1882</v>
      </c>
      <c r="I518" s="21">
        <f>VALUE(LEFT(Budgets[[#This Row],[Fiscal Year]],4))</f>
        <v>2005</v>
      </c>
      <c r="J518" s="20">
        <v>3174341</v>
      </c>
      <c r="K518" s="27">
        <f>IF(Budgets[[#This Row],[Reference Year]]&gt;2018,Budgets[[#This Row],[Value]],Budgets[[#This Row],[Value]]*(1+VLOOKUP(Budgets[[#This Row],[Reference Year]],Inflation[#All],3,FALSE)))</f>
        <v>4089926.2681566817</v>
      </c>
      <c r="L518" s="27">
        <f>Budgets[[#This Row],[2018 $ Value]]/VLOOKUP(Budgets[[#This Row],[Jurisdiction]],Places[],6,FALSE)</f>
        <v>32.498162653905666</v>
      </c>
      <c r="M518" s="27">
        <f>Budgets[[#This Row],[2018 $ Value]]/VLOOKUP(Budgets[[#This Row],[Jurisdiction]],Places[],7,FALSE)</f>
        <v>98552.440196546551</v>
      </c>
      <c r="N518" s="27"/>
      <c r="O518" s="27" t="s">
        <v>1460</v>
      </c>
      <c r="P518" s="4"/>
      <c r="Q518"/>
    </row>
    <row r="519" spans="1:17" x14ac:dyDescent="0.25">
      <c r="A519" s="19" t="s">
        <v>260</v>
      </c>
      <c r="B519" s="19" t="str">
        <f>INDEX(Places[Type],MATCH(Budgets[[#This Row],[Jurisdiction]],Places[Jurisdiction],0))</f>
        <v>City</v>
      </c>
      <c r="C519" s="19" t="str">
        <f>INDEX(Places[County],MATCH(Budgets[[#This Row],[Jurisdiction]],Places[Jurisdiction],0))</f>
        <v>Ventura</v>
      </c>
      <c r="D519" s="21" t="str">
        <f>INDEX(Places[Majority RB],MATCH(Budgets[[#This Row],[Jurisdiction]],Places[Jurisdiction],0))</f>
        <v>Los Angeles</v>
      </c>
      <c r="E519" s="19">
        <f>INDEX(Places[Majority RB '#],MATCH(Budgets[[#This Row],[Jurisdiction]],Places[Jurisdiction],0))</f>
        <v>4</v>
      </c>
      <c r="F519" s="19" t="str">
        <f>VLOOKUP(Budgets[[#This Row],[Jurisdiction]],Places[#All],8,FALSE)</f>
        <v>Phase I MS4</v>
      </c>
      <c r="G519" s="81"/>
      <c r="H519" s="21" t="s">
        <v>1883</v>
      </c>
      <c r="I519" s="21">
        <f>VALUE(LEFT(Budgets[[#This Row],[Fiscal Year]],4))</f>
        <v>2006</v>
      </c>
      <c r="J519" s="20">
        <v>3517940</v>
      </c>
      <c r="K519" s="27">
        <f>IF(Budgets[[#This Row],[Reference Year]]&gt;2018,Budgets[[#This Row],[Value]],Budgets[[#This Row],[Value]]*(1+VLOOKUP(Budgets[[#This Row],[Reference Year]],Inflation[#All],3,FALSE)))</f>
        <v>4390985.9133928576</v>
      </c>
      <c r="L519" s="27">
        <f>Budgets[[#This Row],[2018 $ Value]]/VLOOKUP(Budgets[[#This Row],[Jurisdiction]],Places[],6,FALSE)</f>
        <v>34.890353778618028</v>
      </c>
      <c r="M519" s="27">
        <f>Budgets[[#This Row],[2018 $ Value]]/VLOOKUP(Budgets[[#This Row],[Jurisdiction]],Places[],7,FALSE)</f>
        <v>105806.88947934596</v>
      </c>
      <c r="N519" s="27"/>
      <c r="O519" s="27" t="s">
        <v>1460</v>
      </c>
      <c r="P519" s="4"/>
      <c r="Q519"/>
    </row>
    <row r="520" spans="1:17" x14ac:dyDescent="0.25">
      <c r="A520" s="19" t="s">
        <v>260</v>
      </c>
      <c r="B520" s="19" t="str">
        <f>INDEX(Places[Type],MATCH(Budgets[[#This Row],[Jurisdiction]],Places[Jurisdiction],0))</f>
        <v>City</v>
      </c>
      <c r="C520" s="19" t="str">
        <f>INDEX(Places[County],MATCH(Budgets[[#This Row],[Jurisdiction]],Places[Jurisdiction],0))</f>
        <v>Ventura</v>
      </c>
      <c r="D520" s="21" t="str">
        <f>INDEX(Places[Majority RB],MATCH(Budgets[[#This Row],[Jurisdiction]],Places[Jurisdiction],0))</f>
        <v>Los Angeles</v>
      </c>
      <c r="E520" s="19">
        <f>INDEX(Places[Majority RB '#],MATCH(Budgets[[#This Row],[Jurisdiction]],Places[Jurisdiction],0))</f>
        <v>4</v>
      </c>
      <c r="F520" s="19" t="str">
        <f>VLOOKUP(Budgets[[#This Row],[Jurisdiction]],Places[#All],8,FALSE)</f>
        <v>Phase I MS4</v>
      </c>
      <c r="G520" s="81"/>
      <c r="H520" s="21" t="s">
        <v>1884</v>
      </c>
      <c r="I520" s="21">
        <f>VALUE(LEFT(Budgets[[#This Row],[Fiscal Year]],4))</f>
        <v>2008</v>
      </c>
      <c r="J520" s="20">
        <v>1734033</v>
      </c>
      <c r="K520" s="27">
        <f>IF(Budgets[[#This Row],[Reference Year]]&gt;2018,Budgets[[#This Row],[Value]],Budgets[[#This Row],[Value]]*(1+VLOOKUP(Budgets[[#This Row],[Reference Year]],Inflation[#All],3,FALSE)))</f>
        <v>2026644.021472364</v>
      </c>
      <c r="L520" s="27">
        <f>Budgets[[#This Row],[2018 $ Value]]/VLOOKUP(Budgets[[#This Row],[Jurisdiction]],Places[],6,FALSE)</f>
        <v>16.103519411624571</v>
      </c>
      <c r="M520" s="27">
        <f>Budgets[[#This Row],[2018 $ Value]]/VLOOKUP(Budgets[[#This Row],[Jurisdiction]],Places[],7,FALSE)</f>
        <v>48834.795698129252</v>
      </c>
      <c r="N520" s="27"/>
      <c r="O520" s="27" t="s">
        <v>1460</v>
      </c>
      <c r="P520" s="4"/>
      <c r="Q520"/>
    </row>
    <row r="521" spans="1:17" x14ac:dyDescent="0.25">
      <c r="A521" s="19" t="s">
        <v>260</v>
      </c>
      <c r="B521" s="19" t="str">
        <f>INDEX(Places[Type],MATCH(Budgets[[#This Row],[Jurisdiction]],Places[Jurisdiction],0))</f>
        <v>City</v>
      </c>
      <c r="C521" s="19" t="str">
        <f>INDEX(Places[County],MATCH(Budgets[[#This Row],[Jurisdiction]],Places[Jurisdiction],0))</f>
        <v>Ventura</v>
      </c>
      <c r="D521" s="21" t="str">
        <f>INDEX(Places[Majority RB],MATCH(Budgets[[#This Row],[Jurisdiction]],Places[Jurisdiction],0))</f>
        <v>Los Angeles</v>
      </c>
      <c r="E521" s="19">
        <f>INDEX(Places[Majority RB '#],MATCH(Budgets[[#This Row],[Jurisdiction]],Places[Jurisdiction],0))</f>
        <v>4</v>
      </c>
      <c r="F521" s="19" t="str">
        <f>VLOOKUP(Budgets[[#This Row],[Jurisdiction]],Places[#All],8,FALSE)</f>
        <v>Phase I MS4</v>
      </c>
      <c r="G521" s="81"/>
      <c r="H521" s="21" t="s">
        <v>1885</v>
      </c>
      <c r="I521" s="21">
        <f>VALUE(LEFT(Budgets[[#This Row],[Fiscal Year]],4))</f>
        <v>2010</v>
      </c>
      <c r="J521" s="20">
        <v>2766827</v>
      </c>
      <c r="K521" s="27">
        <f>IF(Budgets[[#This Row],[Reference Year]]&gt;2018,Budgets[[#This Row],[Value]],Budgets[[#This Row],[Value]]*(1+VLOOKUP(Budgets[[#This Row],[Reference Year]],Inflation[#All],3,FALSE)))</f>
        <v>3192202.8649105914</v>
      </c>
      <c r="L521" s="27">
        <f>Budgets[[#This Row],[2018 $ Value]]/VLOOKUP(Budgets[[#This Row],[Jurisdiction]],Places[],6,FALSE)</f>
        <v>25.36493841853137</v>
      </c>
      <c r="M521" s="27">
        <f>Budgets[[#This Row],[2018 $ Value]]/VLOOKUP(Budgets[[#This Row],[Jurisdiction]],Places[],7,FALSE)</f>
        <v>76920.550961700996</v>
      </c>
      <c r="N521" s="27"/>
      <c r="O521" s="27" t="s">
        <v>1460</v>
      </c>
      <c r="P521" s="4"/>
      <c r="Q521"/>
    </row>
    <row r="522" spans="1:17" x14ac:dyDescent="0.25">
      <c r="A522" s="19" t="s">
        <v>260</v>
      </c>
      <c r="B522" s="19" t="str">
        <f>INDEX(Places[Type],MATCH(Budgets[[#This Row],[Jurisdiction]],Places[Jurisdiction],0))</f>
        <v>City</v>
      </c>
      <c r="C522" s="19" t="str">
        <f>INDEX(Places[County],MATCH(Budgets[[#This Row],[Jurisdiction]],Places[Jurisdiction],0))</f>
        <v>Ventura</v>
      </c>
      <c r="D522" s="21" t="str">
        <f>INDEX(Places[Majority RB],MATCH(Budgets[[#This Row],[Jurisdiction]],Places[Jurisdiction],0))</f>
        <v>Los Angeles</v>
      </c>
      <c r="E522" s="19">
        <f>INDEX(Places[Majority RB '#],MATCH(Budgets[[#This Row],[Jurisdiction]],Places[Jurisdiction],0))</f>
        <v>4</v>
      </c>
      <c r="F522" s="19" t="str">
        <f>VLOOKUP(Budgets[[#This Row],[Jurisdiction]],Places[#All],8,FALSE)</f>
        <v>Phase I MS4</v>
      </c>
      <c r="G522" s="81"/>
      <c r="H522" s="21" t="s">
        <v>1870</v>
      </c>
      <c r="I522" s="21">
        <f>VALUE(LEFT(Budgets[[#This Row],[Fiscal Year]],4))</f>
        <v>2011</v>
      </c>
      <c r="J522" s="20">
        <v>2688014</v>
      </c>
      <c r="K522" s="27">
        <f>IF(Budgets[[#This Row],[Reference Year]]&gt;2018,Budgets[[#This Row],[Value]],Budgets[[#This Row],[Value]]*(1+VLOOKUP(Budgets[[#This Row],[Reference Year]],Inflation[#All],3,FALSE)))</f>
        <v>3007504.0054868832</v>
      </c>
      <c r="L522" s="27">
        <f>Budgets[[#This Row],[2018 $ Value]]/VLOOKUP(Budgets[[#This Row],[Jurisdiction]],Places[],6,FALSE)</f>
        <v>23.897338960253659</v>
      </c>
      <c r="M522" s="27">
        <f>Budgets[[#This Row],[2018 $ Value]]/VLOOKUP(Budgets[[#This Row],[Jurisdiction]],Places[],7,FALSE)</f>
        <v>72469.976035828513</v>
      </c>
      <c r="N522" s="27"/>
      <c r="O522" s="27" t="s">
        <v>1460</v>
      </c>
      <c r="P522" s="4"/>
      <c r="Q522"/>
    </row>
    <row r="523" spans="1:17" x14ac:dyDescent="0.25">
      <c r="A523" s="19" t="s">
        <v>260</v>
      </c>
      <c r="B523" s="19" t="str">
        <f>INDEX(Places[Type],MATCH(Budgets[[#This Row],[Jurisdiction]],Places[Jurisdiction],0))</f>
        <v>City</v>
      </c>
      <c r="C523" s="19" t="str">
        <f>INDEX(Places[County],MATCH(Budgets[[#This Row],[Jurisdiction]],Places[Jurisdiction],0))</f>
        <v>Ventura</v>
      </c>
      <c r="D523" s="21" t="str">
        <f>INDEX(Places[Majority RB],MATCH(Budgets[[#This Row],[Jurisdiction]],Places[Jurisdiction],0))</f>
        <v>Los Angeles</v>
      </c>
      <c r="E523" s="19">
        <f>INDEX(Places[Majority RB '#],MATCH(Budgets[[#This Row],[Jurisdiction]],Places[Jurisdiction],0))</f>
        <v>4</v>
      </c>
      <c r="F523" s="19" t="str">
        <f>VLOOKUP(Budgets[[#This Row],[Jurisdiction]],Places[#All],8,FALSE)</f>
        <v>Phase I MS4</v>
      </c>
      <c r="G523" s="81"/>
      <c r="H523" s="21" t="s">
        <v>1871</v>
      </c>
      <c r="I523" s="21">
        <f>VALUE(LEFT(Budgets[[#This Row],[Fiscal Year]],4))</f>
        <v>2012</v>
      </c>
      <c r="J523" s="20">
        <v>1668462</v>
      </c>
      <c r="K523" s="27">
        <f>IF(Budgets[[#This Row],[Reference Year]]&gt;2018,Budgets[[#This Row],[Value]],Budgets[[#This Row],[Value]]*(1+VLOOKUP(Budgets[[#This Row],[Reference Year]],Inflation[#All],3,FALSE)))</f>
        <v>1828557.3237020907</v>
      </c>
      <c r="L523" s="27">
        <f>Budgets[[#This Row],[2018 $ Value]]/VLOOKUP(Budgets[[#This Row],[Jurisdiction]],Places[],6,FALSE)</f>
        <v>14.529541471280249</v>
      </c>
      <c r="M523" s="27">
        <f>Budgets[[#This Row],[2018 $ Value]]/VLOOKUP(Budgets[[#This Row],[Jurisdiction]],Places[],7,FALSE)</f>
        <v>44061.622257881703</v>
      </c>
      <c r="N523" s="27"/>
      <c r="O523" s="27" t="s">
        <v>1460</v>
      </c>
      <c r="P523" s="4"/>
      <c r="Q523"/>
    </row>
    <row r="524" spans="1:17" x14ac:dyDescent="0.25">
      <c r="A524" s="19" t="s">
        <v>260</v>
      </c>
      <c r="B524" s="19" t="str">
        <f>INDEX(Places[Type],MATCH(Budgets[[#This Row],[Jurisdiction]],Places[Jurisdiction],0))</f>
        <v>City</v>
      </c>
      <c r="C524" s="19" t="str">
        <f>INDEX(Places[County],MATCH(Budgets[[#This Row],[Jurisdiction]],Places[Jurisdiction],0))</f>
        <v>Ventura</v>
      </c>
      <c r="D524" s="21" t="str">
        <f>INDEX(Places[Majority RB],MATCH(Budgets[[#This Row],[Jurisdiction]],Places[Jurisdiction],0))</f>
        <v>Los Angeles</v>
      </c>
      <c r="E524" s="19">
        <f>INDEX(Places[Majority RB '#],MATCH(Budgets[[#This Row],[Jurisdiction]],Places[Jurisdiction],0))</f>
        <v>4</v>
      </c>
      <c r="F524" s="19" t="str">
        <f>VLOOKUP(Budgets[[#This Row],[Jurisdiction]],Places[#All],8,FALSE)</f>
        <v>Phase I MS4</v>
      </c>
      <c r="G524" s="81"/>
      <c r="H524" s="21" t="s">
        <v>1881</v>
      </c>
      <c r="I524" s="21">
        <f>VALUE(LEFT(Budgets[[#This Row],[Fiscal Year]],4))</f>
        <v>2014</v>
      </c>
      <c r="J524" s="20">
        <v>1677748</v>
      </c>
      <c r="K524" s="27">
        <f>IF(Budgets[[#This Row],[Reference Year]]&gt;2018,Budgets[[#This Row],[Value]],Budgets[[#This Row],[Value]]*(1+VLOOKUP(Budgets[[#This Row],[Reference Year]],Inflation[#All],3,FALSE)))</f>
        <v>1783580.0886692016</v>
      </c>
      <c r="L524" s="27">
        <f>Budgets[[#This Row],[2018 $ Value]]/VLOOKUP(Budgets[[#This Row],[Jurisdiction]],Places[],6,FALSE)</f>
        <v>14.172156666766268</v>
      </c>
      <c r="M524" s="27">
        <f>Budgets[[#This Row],[2018 $ Value]]/VLOOKUP(Budgets[[#This Row],[Jurisdiction]],Places[],7,FALSE)</f>
        <v>42977.833461908471</v>
      </c>
      <c r="N524" s="27"/>
      <c r="O524" s="27" t="s">
        <v>1460</v>
      </c>
      <c r="P524" s="4"/>
      <c r="Q524"/>
    </row>
    <row r="525" spans="1:17" x14ac:dyDescent="0.25">
      <c r="A525" s="19" t="s">
        <v>260</v>
      </c>
      <c r="B525" s="21" t="str">
        <f>INDEX(Places[Type],MATCH(Budgets[[#This Row],[Jurisdiction]],Places[Jurisdiction],0))</f>
        <v>City</v>
      </c>
      <c r="C525" s="21" t="str">
        <f>INDEX(Places[County],MATCH(Budgets[[#This Row],[Jurisdiction]],Places[Jurisdiction],0))</f>
        <v>Ventura</v>
      </c>
      <c r="D525" s="21" t="str">
        <f>INDEX(Places[Majority RB],MATCH(Budgets[[#This Row],[Jurisdiction]],Places[Jurisdiction],0))</f>
        <v>Los Angeles</v>
      </c>
      <c r="E525" s="19">
        <f>INDEX(Places[Majority RB '#],MATCH(Budgets[[#This Row],[Jurisdiction]],Places[Jurisdiction],0))</f>
        <v>4</v>
      </c>
      <c r="F525" s="21" t="str">
        <f>VLOOKUP(Budgets[[#This Row],[Jurisdiction]],Places[#All],8,FALSE)</f>
        <v>Phase I MS4</v>
      </c>
      <c r="G525" s="81"/>
      <c r="H525" s="21" t="s">
        <v>1876</v>
      </c>
      <c r="I525" s="21">
        <f>VALUE(LEFT(Budgets[[#This Row],[Fiscal Year]],4))</f>
        <v>2018</v>
      </c>
      <c r="J525" s="20">
        <v>1619328</v>
      </c>
      <c r="K525" s="27">
        <f>IF(Budgets[[#This Row],[Reference Year]]&gt;2018,Budgets[[#This Row],[Value]],Budgets[[#This Row],[Value]]*(1+VLOOKUP(Budgets[[#This Row],[Reference Year]],Inflation[#All],3,FALSE)))</f>
        <v>1619328</v>
      </c>
      <c r="L525" s="27">
        <f>Budgets[[#This Row],[2018 $ Value]]/VLOOKUP(Budgets[[#This Row],[Jurisdiction]],Places[],6,FALSE)</f>
        <v>12.867025291813334</v>
      </c>
      <c r="M525" s="27">
        <f>Budgets[[#This Row],[2018 $ Value]]/VLOOKUP(Budgets[[#This Row],[Jurisdiction]],Places[],7,FALSE)</f>
        <v>39019.951807228914</v>
      </c>
      <c r="N525" s="27" t="s">
        <v>1853</v>
      </c>
      <c r="O525" s="27" t="s">
        <v>1853</v>
      </c>
      <c r="P525" s="4"/>
      <c r="Q525"/>
    </row>
    <row r="526" spans="1:17" x14ac:dyDescent="0.25">
      <c r="A526" s="19" t="s">
        <v>11</v>
      </c>
      <c r="B526" s="19" t="str">
        <f>INDEX(Places[Type],MATCH(Budgets[[#This Row],[Jurisdiction]],Places[Jurisdiction],0))</f>
        <v>City</v>
      </c>
      <c r="C526" s="19" t="str">
        <f>INDEX(Places[County],MATCH(Budgets[[#This Row],[Jurisdiction]],Places[Jurisdiction],0))</f>
        <v>Los Angeles</v>
      </c>
      <c r="D526" s="21" t="str">
        <f>INDEX(Places[Majority RB],MATCH(Budgets[[#This Row],[Jurisdiction]],Places[Jurisdiction],0))</f>
        <v>Los Angeles</v>
      </c>
      <c r="E526" s="19">
        <f>INDEX(Places[Majority RB '#],MATCH(Budgets[[#This Row],[Jurisdiction]],Places[Jurisdiction],0))</f>
        <v>4</v>
      </c>
      <c r="F526" s="19" t="str">
        <f>VLOOKUP(Budgets[[#This Row],[Jurisdiction]],Places[#All],8,FALSE)</f>
        <v>Phase I MS4</v>
      </c>
      <c r="G526" s="81"/>
      <c r="H526" s="21" t="s">
        <v>1870</v>
      </c>
      <c r="I526" s="21">
        <f>VALUE(LEFT(Budgets[[#This Row],[Fiscal Year]],4))</f>
        <v>2011</v>
      </c>
      <c r="J526" s="20">
        <v>272000</v>
      </c>
      <c r="K526" s="27">
        <f>IF(Budgets[[#This Row],[Reference Year]]&gt;2018,Budgets[[#This Row],[Value]],Budgets[[#This Row],[Value]]*(1+VLOOKUP(Budgets[[#This Row],[Reference Year]],Inflation[#All],3,FALSE)))</f>
        <v>304329.1774121832</v>
      </c>
      <c r="L526" s="27">
        <f>Budgets[[#This Row],[2018 $ Value]]/VLOOKUP(Budgets[[#This Row],[Jurisdiction]],Places[],6,FALSE)</f>
        <v>14.654460317435507</v>
      </c>
      <c r="M526" s="27">
        <f>Budgets[[#This Row],[2018 $ Value]]/VLOOKUP(Budgets[[#This Row],[Jurisdiction]],Places[],7,FALSE)</f>
        <v>108688.99193292258</v>
      </c>
      <c r="N526" s="27"/>
      <c r="O526" s="27" t="s">
        <v>1460</v>
      </c>
      <c r="P526" s="4"/>
      <c r="Q526"/>
    </row>
    <row r="527" spans="1:17" x14ac:dyDescent="0.25">
      <c r="A527" s="19" t="s">
        <v>11</v>
      </c>
      <c r="B527" s="19" t="str">
        <f>INDEX(Places[Type],MATCH(Budgets[[#This Row],[Jurisdiction]],Places[Jurisdiction],0))</f>
        <v>City</v>
      </c>
      <c r="C527" s="19" t="str">
        <f>INDEX(Places[County],MATCH(Budgets[[#This Row],[Jurisdiction]],Places[Jurisdiction],0))</f>
        <v>Los Angeles</v>
      </c>
      <c r="D527" s="21" t="str">
        <f>INDEX(Places[Majority RB],MATCH(Budgets[[#This Row],[Jurisdiction]],Places[Jurisdiction],0))</f>
        <v>Los Angeles</v>
      </c>
      <c r="E527" s="19">
        <f>INDEX(Places[Majority RB '#],MATCH(Budgets[[#This Row],[Jurisdiction]],Places[Jurisdiction],0))</f>
        <v>4</v>
      </c>
      <c r="F527" s="19" t="str">
        <f>VLOOKUP(Budgets[[#This Row],[Jurisdiction]],Places[#All],8,FALSE)</f>
        <v>Phase I MS4</v>
      </c>
      <c r="G527" s="81" t="s">
        <v>1856</v>
      </c>
      <c r="H527" s="21" t="s">
        <v>1869</v>
      </c>
      <c r="I527" s="21">
        <f>VALUE(LEFT(Budgets[[#This Row],[Fiscal Year]],4))</f>
        <v>2016</v>
      </c>
      <c r="J527" s="20">
        <v>292000</v>
      </c>
      <c r="K527" s="27">
        <f>IF(Budgets[[#This Row],[Reference Year]]&gt;2018,Budgets[[#This Row],[Value]],Budgets[[#This Row],[Value]]*(1+VLOOKUP(Budgets[[#This Row],[Reference Year]],Inflation[#All],3,FALSE)))</f>
        <v>306151.05000000005</v>
      </c>
      <c r="L527" s="27">
        <f>Budgets[[#This Row],[2018 $ Value]]/VLOOKUP(Budgets[[#This Row],[Jurisdiction]],Places[],6,FALSE)</f>
        <v>14.742189531468197</v>
      </c>
      <c r="M527" s="27">
        <f>Budgets[[#This Row],[2018 $ Value]]/VLOOKUP(Budgets[[#This Row],[Jurisdiction]],Places[],7,FALSE)</f>
        <v>109339.66071428574</v>
      </c>
      <c r="N527" s="27"/>
      <c r="O527" s="27" t="s">
        <v>1853</v>
      </c>
      <c r="P527" s="4"/>
      <c r="Q527"/>
    </row>
    <row r="528" spans="1:17" x14ac:dyDescent="0.25">
      <c r="A528" s="19" t="s">
        <v>198</v>
      </c>
      <c r="B528" s="19" t="str">
        <f>INDEX(Places[Type],MATCH(Budgets[[#This Row],[Jurisdiction]],Places[Jurisdiction],0))</f>
        <v>City</v>
      </c>
      <c r="C528" s="19" t="str">
        <f>INDEX(Places[County],MATCH(Budgets[[#This Row],[Jurisdiction]],Places[Jurisdiction],0))</f>
        <v>Los Angeles</v>
      </c>
      <c r="D528" s="21" t="str">
        <f>INDEX(Places[Majority RB],MATCH(Budgets[[#This Row],[Jurisdiction]],Places[Jurisdiction],0))</f>
        <v>Los Angeles</v>
      </c>
      <c r="E528" s="19">
        <f>INDEX(Places[Majority RB '#],MATCH(Budgets[[#This Row],[Jurisdiction]],Places[Jurisdiction],0))</f>
        <v>4</v>
      </c>
      <c r="F528" s="19" t="str">
        <f>VLOOKUP(Budgets[[#This Row],[Jurisdiction]],Places[#All],8,FALSE)</f>
        <v>Phase I MS4</v>
      </c>
      <c r="G528" s="81"/>
      <c r="H528" s="21" t="s">
        <v>1870</v>
      </c>
      <c r="I528" s="21">
        <f>VALUE(LEFT(Budgets[[#This Row],[Fiscal Year]],4))</f>
        <v>2011</v>
      </c>
      <c r="J528" s="20">
        <v>28697450</v>
      </c>
      <c r="K528" s="27">
        <f>IF(Budgets[[#This Row],[Reference Year]]&gt;2018,Budgets[[#This Row],[Value]],Budgets[[#This Row],[Value]]*(1+VLOOKUP(Budgets[[#This Row],[Reference Year]],Inflation[#All],3,FALSE)))</f>
        <v>32108350.560026679</v>
      </c>
      <c r="L528" s="27">
        <f>Budgets[[#This Row],[2018 $ Value]]/VLOOKUP(Budgets[[#This Row],[Jurisdiction]],Places[],6,FALSE)</f>
        <v>1253.6937472190339</v>
      </c>
      <c r="M528" s="27">
        <f>Budgets[[#This Row],[2018 $ Value]]/VLOOKUP(Budgets[[#This Row],[Jurisdiction]],Places[],7,FALSE)</f>
        <v>9443632.5176549051</v>
      </c>
      <c r="N528" s="27"/>
      <c r="O528" s="27" t="s">
        <v>1460</v>
      </c>
      <c r="P528" s="4"/>
      <c r="Q528"/>
    </row>
    <row r="529" spans="1:17" x14ac:dyDescent="0.25">
      <c r="A529" s="19" t="s">
        <v>198</v>
      </c>
      <c r="B529" s="19" t="str">
        <f>INDEX(Places[Type],MATCH(Budgets[[#This Row],[Jurisdiction]],Places[Jurisdiction],0))</f>
        <v>City</v>
      </c>
      <c r="C529" s="19" t="str">
        <f>INDEX(Places[County],MATCH(Budgets[[#This Row],[Jurisdiction]],Places[Jurisdiction],0))</f>
        <v>Los Angeles</v>
      </c>
      <c r="D529" s="21" t="str">
        <f>INDEX(Places[Majority RB],MATCH(Budgets[[#This Row],[Jurisdiction]],Places[Jurisdiction],0))</f>
        <v>Los Angeles</v>
      </c>
      <c r="E529" s="19">
        <f>INDEX(Places[Majority RB '#],MATCH(Budgets[[#This Row],[Jurisdiction]],Places[Jurisdiction],0))</f>
        <v>4</v>
      </c>
      <c r="F529" s="19" t="str">
        <f>VLOOKUP(Budgets[[#This Row],[Jurisdiction]],Places[#All],8,FALSE)</f>
        <v>Phase I MS4</v>
      </c>
      <c r="G529" s="81"/>
      <c r="H529" s="21" t="s">
        <v>1871</v>
      </c>
      <c r="I529" s="21">
        <f>VALUE(LEFT(Budgets[[#This Row],[Fiscal Year]],4))</f>
        <v>2012</v>
      </c>
      <c r="J529" s="20">
        <v>28697450</v>
      </c>
      <c r="K529" s="27">
        <f>IF(Budgets[[#This Row],[Reference Year]]&gt;2018,Budgets[[#This Row],[Value]],Budgets[[#This Row],[Value]]*(1+VLOOKUP(Budgets[[#This Row],[Reference Year]],Inflation[#All],3,FALSE)))</f>
        <v>31451080.317726482</v>
      </c>
      <c r="L529" s="27">
        <f>Budgets[[#This Row],[2018 $ Value]]/VLOOKUP(Budgets[[#This Row],[Jurisdiction]],Places[],6,FALSE)</f>
        <v>1228.0301557036619</v>
      </c>
      <c r="M529" s="27">
        <f>Budgets[[#This Row],[2018 $ Value]]/VLOOKUP(Budgets[[#This Row],[Jurisdiction]],Places[],7,FALSE)</f>
        <v>9250317.740507789</v>
      </c>
      <c r="N529" s="27"/>
      <c r="O529" s="27" t="s">
        <v>1460</v>
      </c>
      <c r="P529" s="4"/>
      <c r="Q529"/>
    </row>
    <row r="530" spans="1:17" x14ac:dyDescent="0.25">
      <c r="A530" s="19" t="s">
        <v>198</v>
      </c>
      <c r="B530" s="19" t="str">
        <f>INDEX(Places[Type],MATCH(Budgets[[#This Row],[Jurisdiction]],Places[Jurisdiction],0))</f>
        <v>City</v>
      </c>
      <c r="C530" s="19" t="str">
        <f>INDEX(Places[County],MATCH(Budgets[[#This Row],[Jurisdiction]],Places[Jurisdiction],0))</f>
        <v>Los Angeles</v>
      </c>
      <c r="D530" s="21" t="str">
        <f>INDEX(Places[Majority RB],MATCH(Budgets[[#This Row],[Jurisdiction]],Places[Jurisdiction],0))</f>
        <v>Los Angeles</v>
      </c>
      <c r="E530" s="19">
        <f>INDEX(Places[Majority RB '#],MATCH(Budgets[[#This Row],[Jurisdiction]],Places[Jurisdiction],0))</f>
        <v>4</v>
      </c>
      <c r="F530" s="19" t="str">
        <f>VLOOKUP(Budgets[[#This Row],[Jurisdiction]],Places[#All],8,FALSE)</f>
        <v>Phase I MS4</v>
      </c>
      <c r="G530" s="81"/>
      <c r="H530" s="21" t="s">
        <v>1869</v>
      </c>
      <c r="I530" s="21">
        <f>VALUE(LEFT(Budgets[[#This Row],[Fiscal Year]],4))</f>
        <v>2016</v>
      </c>
      <c r="J530" s="20">
        <v>207000</v>
      </c>
      <c r="K530" s="27">
        <f>IF(Budgets[[#This Row],[Reference Year]]&gt;2018,Budgets[[#This Row],[Value]],Budgets[[#This Row],[Value]]*(1+VLOOKUP(Budgets[[#This Row],[Reference Year]],Inflation[#All],3,FALSE)))</f>
        <v>217031.73750000002</v>
      </c>
      <c r="L530" s="27">
        <f>Budgets[[#This Row],[2018 $ Value]]/VLOOKUP(Budgets[[#This Row],[Jurisdiction]],Places[],6,FALSE)</f>
        <v>8.4741610050368994</v>
      </c>
      <c r="M530" s="27">
        <f>Budgets[[#This Row],[2018 $ Value]]/VLOOKUP(Budgets[[#This Row],[Jurisdiction]],Places[],7,FALSE)</f>
        <v>63832.863970588245</v>
      </c>
      <c r="N530" s="27"/>
      <c r="O530" s="27" t="s">
        <v>1853</v>
      </c>
      <c r="P530" s="4"/>
      <c r="Q530"/>
    </row>
    <row r="531" spans="1:17" x14ac:dyDescent="0.25">
      <c r="A531" s="19" t="s">
        <v>292</v>
      </c>
      <c r="B531" s="19" t="str">
        <f>INDEX(Places[Type],MATCH(Budgets[[#This Row],[Jurisdiction]],Places[Jurisdiction],0))</f>
        <v>City</v>
      </c>
      <c r="C531" s="19" t="str">
        <f>INDEX(Places[County],MATCH(Budgets[[#This Row],[Jurisdiction]],Places[Jurisdiction],0))</f>
        <v>Orange</v>
      </c>
      <c r="D531" s="21" t="str">
        <f>INDEX(Places[Majority RB],MATCH(Budgets[[#This Row],[Jurisdiction]],Places[Jurisdiction],0))</f>
        <v>Santa Ana</v>
      </c>
      <c r="E531" s="19">
        <f>INDEX(Places[Majority RB '#],MATCH(Budgets[[#This Row],[Jurisdiction]],Places[Jurisdiction],0))</f>
        <v>8</v>
      </c>
      <c r="F531" s="19" t="str">
        <f>VLOOKUP(Budgets[[#This Row],[Jurisdiction]],Places[#All],8,FALSE)</f>
        <v>Phase I MS4</v>
      </c>
      <c r="G531" s="81"/>
      <c r="H531" s="21" t="s">
        <v>1875</v>
      </c>
      <c r="I531" s="21">
        <f>VALUE(LEFT(Budgets[[#This Row],[Fiscal Year]],4))</f>
        <v>2001</v>
      </c>
      <c r="J531" s="20">
        <v>194400</v>
      </c>
      <c r="K531" s="27">
        <f>IF(Budgets[[#This Row],[Reference Year]]&gt;2018,Budgets[[#This Row],[Value]],Budgets[[#This Row],[Value]]*(1+VLOOKUP(Budgets[[#This Row],[Reference Year]],Inflation[#All],3,FALSE)))</f>
        <v>276211.55505364202</v>
      </c>
      <c r="L531" s="27">
        <f>Budgets[[#This Row],[2018 $ Value]]/VLOOKUP(Budgets[[#This Row],[Jurisdiction]],Places[],6,FALSE)</f>
        <v>7.224239029493174</v>
      </c>
      <c r="M531" s="27">
        <f>Budgets[[#This Row],[2018 $ Value]]/VLOOKUP(Budgets[[#This Row],[Jurisdiction]],Places[],7,FALSE)</f>
        <v>89100.501630207102</v>
      </c>
      <c r="N531" s="27"/>
      <c r="O531" s="27" t="s">
        <v>1460</v>
      </c>
      <c r="P531" s="4"/>
      <c r="Q531"/>
    </row>
    <row r="532" spans="1:17" x14ac:dyDescent="0.25">
      <c r="A532" s="19" t="s">
        <v>292</v>
      </c>
      <c r="B532" s="19" t="str">
        <f>INDEX(Places[Type],MATCH(Budgets[[#This Row],[Jurisdiction]],Places[Jurisdiction],0))</f>
        <v>City</v>
      </c>
      <c r="C532" s="19" t="str">
        <f>INDEX(Places[County],MATCH(Budgets[[#This Row],[Jurisdiction]],Places[Jurisdiction],0))</f>
        <v>Orange</v>
      </c>
      <c r="D532" s="21" t="str">
        <f>INDEX(Places[Majority RB],MATCH(Budgets[[#This Row],[Jurisdiction]],Places[Jurisdiction],0))</f>
        <v>Santa Ana</v>
      </c>
      <c r="E532" s="19">
        <f>INDEX(Places[Majority RB '#],MATCH(Budgets[[#This Row],[Jurisdiction]],Places[Jurisdiction],0))</f>
        <v>8</v>
      </c>
      <c r="F532" s="19" t="str">
        <f>VLOOKUP(Budgets[[#This Row],[Jurisdiction]],Places[#All],8,FALSE)</f>
        <v>Phase I MS4</v>
      </c>
      <c r="G532" s="81"/>
      <c r="H532" s="21" t="s">
        <v>1872</v>
      </c>
      <c r="I532" s="21">
        <f>VALUE(LEFT(Budgets[[#This Row],[Fiscal Year]],4))</f>
        <v>2002</v>
      </c>
      <c r="J532" s="20">
        <v>97700</v>
      </c>
      <c r="K532" s="27">
        <f>IF(Budgets[[#This Row],[Reference Year]]&gt;2018,Budgets[[#This Row],[Value]],Budgets[[#This Row],[Value]]*(1+VLOOKUP(Budgets[[#This Row],[Reference Year]],Inflation[#All],3,FALSE)))</f>
        <v>136655.63479710949</v>
      </c>
      <c r="L532" s="27">
        <f>Budgets[[#This Row],[2018 $ Value]]/VLOOKUP(Budgets[[#This Row],[Jurisdiction]],Places[],6,FALSE)</f>
        <v>3.5741914211725034</v>
      </c>
      <c r="M532" s="27">
        <f>Budgets[[#This Row],[2018 $ Value]]/VLOOKUP(Budgets[[#This Row],[Jurisdiction]],Places[],7,FALSE)</f>
        <v>44082.462837777253</v>
      </c>
      <c r="N532" s="27"/>
      <c r="O532" s="27" t="s">
        <v>1853</v>
      </c>
      <c r="P532" s="4"/>
      <c r="Q532"/>
    </row>
    <row r="533" spans="1:17" x14ac:dyDescent="0.25">
      <c r="A533" s="19" t="s">
        <v>416</v>
      </c>
      <c r="B533" s="19" t="str">
        <f>INDEX(Places[Type],MATCH(Budgets[[#This Row],[Jurisdiction]],Places[Jurisdiction],0))</f>
        <v>City</v>
      </c>
      <c r="C533" s="19" t="str">
        <f>INDEX(Places[County],MATCH(Budgets[[#This Row],[Jurisdiction]],Places[Jurisdiction],0))</f>
        <v>San Joaquin</v>
      </c>
      <c r="D533" s="21" t="str">
        <f>INDEX(Places[Majority RB],MATCH(Budgets[[#This Row],[Jurisdiction]],Places[Jurisdiction],0))</f>
        <v>Central Valley</v>
      </c>
      <c r="E533" s="19">
        <f>INDEX(Places[Majority RB '#],MATCH(Budgets[[#This Row],[Jurisdiction]],Places[Jurisdiction],0))</f>
        <v>5</v>
      </c>
      <c r="F533" s="19" t="str">
        <f>VLOOKUP(Budgets[[#This Row],[Jurisdiction]],Places[#All],8,FALSE)</f>
        <v>Phase I MS4</v>
      </c>
      <c r="G533" s="81"/>
      <c r="H533" s="21" t="s">
        <v>1892</v>
      </c>
      <c r="I533" s="21">
        <f>VALUE(LEFT(Budgets[[#This Row],[Fiscal Year]],4))</f>
        <v>1999</v>
      </c>
      <c r="J533" s="27">
        <v>884568</v>
      </c>
      <c r="K533" s="27">
        <f>IF(Budgets[[#This Row],[Reference Year]]&gt;2018,Budgets[[#This Row],[Value]],Budgets[[#This Row],[Value]]*(1+VLOOKUP(Budgets[[#This Row],[Reference Year]],Inflation[#All],3,FALSE)))</f>
        <v>1336042.7995678273</v>
      </c>
      <c r="L533" s="27">
        <f>Budgets[[#This Row],[2018 $ Value]]/VLOOKUP(Budgets[[#This Row],[Jurisdiction]],Places[],6,FALSE)</f>
        <v>4.293500181786075</v>
      </c>
      <c r="M533" s="27">
        <f>Budgets[[#This Row],[2018 $ Value]]/VLOOKUP(Budgets[[#This Row],[Jurisdiction]],Places[],7,FALSE)</f>
        <v>21653.854125896713</v>
      </c>
      <c r="N533" s="27"/>
      <c r="O533" s="27" t="s">
        <v>1460</v>
      </c>
      <c r="P533" s="4"/>
      <c r="Q533"/>
    </row>
    <row r="534" spans="1:17" x14ac:dyDescent="0.25">
      <c r="A534" s="19" t="s">
        <v>416</v>
      </c>
      <c r="B534" s="19" t="str">
        <f>INDEX(Places[Type],MATCH(Budgets[[#This Row],[Jurisdiction]],Places[Jurisdiction],0))</f>
        <v>City</v>
      </c>
      <c r="C534" s="19" t="str">
        <f>INDEX(Places[County],MATCH(Budgets[[#This Row],[Jurisdiction]],Places[Jurisdiction],0))</f>
        <v>San Joaquin</v>
      </c>
      <c r="D534" s="21" t="str">
        <f>INDEX(Places[Majority RB],MATCH(Budgets[[#This Row],[Jurisdiction]],Places[Jurisdiction],0))</f>
        <v>Central Valley</v>
      </c>
      <c r="E534" s="19">
        <f>INDEX(Places[Majority RB '#],MATCH(Budgets[[#This Row],[Jurisdiction]],Places[Jurisdiction],0))</f>
        <v>5</v>
      </c>
      <c r="F534" s="19" t="str">
        <f>VLOOKUP(Budgets[[#This Row],[Jurisdiction]],Places[#All],8,FALSE)</f>
        <v>Phase I MS4</v>
      </c>
      <c r="G534" s="81"/>
      <c r="H534" s="21" t="s">
        <v>1893</v>
      </c>
      <c r="I534" s="21">
        <f>VALUE(LEFT(Budgets[[#This Row],[Fiscal Year]],4))</f>
        <v>2000</v>
      </c>
      <c r="J534" s="20">
        <v>980644</v>
      </c>
      <c r="K534" s="27">
        <f>IF(Budgets[[#This Row],[Reference Year]]&gt;2018,Budgets[[#This Row],[Value]],Budgets[[#This Row],[Value]]*(1+VLOOKUP(Budgets[[#This Row],[Reference Year]],Inflation[#All],3,FALSE)))</f>
        <v>1432987.400487805</v>
      </c>
      <c r="L534" s="27">
        <f>Budgets[[#This Row],[2018 $ Value]]/VLOOKUP(Budgets[[#This Row],[Jurisdiction]],Places[],6,FALSE)</f>
        <v>4.6050408463574062</v>
      </c>
      <c r="M534" s="27">
        <f>Budgets[[#This Row],[2018 $ Value]]/VLOOKUP(Budgets[[#This Row],[Jurisdiction]],Places[],7,FALSE)</f>
        <v>23225.079424437681</v>
      </c>
      <c r="N534" s="27"/>
      <c r="O534" s="27" t="s">
        <v>1460</v>
      </c>
      <c r="P534" s="4"/>
      <c r="Q534"/>
    </row>
    <row r="535" spans="1:17" x14ac:dyDescent="0.25">
      <c r="A535" s="19" t="s">
        <v>416</v>
      </c>
      <c r="B535" s="19" t="str">
        <f>INDEX(Places[Type],MATCH(Budgets[[#This Row],[Jurisdiction]],Places[Jurisdiction],0))</f>
        <v>City</v>
      </c>
      <c r="C535" s="19" t="str">
        <f>INDEX(Places[County],MATCH(Budgets[[#This Row],[Jurisdiction]],Places[Jurisdiction],0))</f>
        <v>San Joaquin</v>
      </c>
      <c r="D535" s="21" t="str">
        <f>INDEX(Places[Majority RB],MATCH(Budgets[[#This Row],[Jurisdiction]],Places[Jurisdiction],0))</f>
        <v>Central Valley</v>
      </c>
      <c r="E535" s="19">
        <f>INDEX(Places[Majority RB '#],MATCH(Budgets[[#This Row],[Jurisdiction]],Places[Jurisdiction],0))</f>
        <v>5</v>
      </c>
      <c r="F535" s="19" t="str">
        <f>VLOOKUP(Budgets[[#This Row],[Jurisdiction]],Places[#All],8,FALSE)</f>
        <v>Phase I MS4</v>
      </c>
      <c r="G535" s="81"/>
      <c r="H535" s="21" t="s">
        <v>1875</v>
      </c>
      <c r="I535" s="21">
        <f>VALUE(LEFT(Budgets[[#This Row],[Fiscal Year]],4))</f>
        <v>2001</v>
      </c>
      <c r="J535" s="20">
        <v>1009664</v>
      </c>
      <c r="K535" s="27">
        <f>IF(Budgets[[#This Row],[Reference Year]]&gt;2018,Budgets[[#This Row],[Value]],Budgets[[#This Row],[Value]]*(1+VLOOKUP(Budgets[[#This Row],[Reference Year]],Inflation[#All],3,FALSE)))</f>
        <v>1434572.3432185205</v>
      </c>
      <c r="L535" s="27">
        <f>Budgets[[#This Row],[2018 $ Value]]/VLOOKUP(Budgets[[#This Row],[Jurisdiction]],Places[],6,FALSE)</f>
        <v>4.6101342100615099</v>
      </c>
      <c r="M535" s="27">
        <f>Budgets[[#This Row],[2018 $ Value]]/VLOOKUP(Budgets[[#This Row],[Jurisdiction]],Places[],7,FALSE)</f>
        <v>23250.767313104057</v>
      </c>
      <c r="N535" s="27"/>
      <c r="O535" s="27" t="s">
        <v>1460</v>
      </c>
      <c r="P535" s="4"/>
      <c r="Q535"/>
    </row>
    <row r="536" spans="1:17" x14ac:dyDescent="0.25">
      <c r="A536" s="19" t="s">
        <v>416</v>
      </c>
      <c r="B536" s="19" t="str">
        <f>INDEX(Places[Type],MATCH(Budgets[[#This Row],[Jurisdiction]],Places[Jurisdiction],0))</f>
        <v>City</v>
      </c>
      <c r="C536" s="19" t="str">
        <f>INDEX(Places[County],MATCH(Budgets[[#This Row],[Jurisdiction]],Places[Jurisdiction],0))</f>
        <v>San Joaquin</v>
      </c>
      <c r="D536" s="21" t="str">
        <f>INDEX(Places[Majority RB],MATCH(Budgets[[#This Row],[Jurisdiction]],Places[Jurisdiction],0))</f>
        <v>Central Valley</v>
      </c>
      <c r="E536" s="19">
        <f>INDEX(Places[Majority RB '#],MATCH(Budgets[[#This Row],[Jurisdiction]],Places[Jurisdiction],0))</f>
        <v>5</v>
      </c>
      <c r="F536" s="19" t="str">
        <f>VLOOKUP(Budgets[[#This Row],[Jurisdiction]],Places[#All],8,FALSE)</f>
        <v>Phase I MS4</v>
      </c>
      <c r="G536" s="81"/>
      <c r="H536" s="21" t="s">
        <v>1872</v>
      </c>
      <c r="I536" s="21">
        <f>VALUE(LEFT(Budgets[[#This Row],[Fiscal Year]],4))</f>
        <v>2002</v>
      </c>
      <c r="J536" s="20">
        <v>1560858</v>
      </c>
      <c r="K536" s="27">
        <f>IF(Budgets[[#This Row],[Reference Year]]&gt;2018,Budgets[[#This Row],[Value]],Budgets[[#This Row],[Value]]*(1+VLOOKUP(Budgets[[#This Row],[Reference Year]],Inflation[#All],3,FALSE)))</f>
        <v>2183214.3379544187</v>
      </c>
      <c r="L536" s="27">
        <f>Budgets[[#This Row],[2018 $ Value]]/VLOOKUP(Budgets[[#This Row],[Jurisdiction]],Places[],6,FALSE)</f>
        <v>7.0159662249722627</v>
      </c>
      <c r="M536" s="27">
        <f>Budgets[[#This Row],[2018 $ Value]]/VLOOKUP(Budgets[[#This Row],[Jurisdiction]],Places[],7,FALSE)</f>
        <v>35384.349075436279</v>
      </c>
      <c r="N536" s="27"/>
      <c r="O536" s="27" t="s">
        <v>1460</v>
      </c>
      <c r="P536" s="4"/>
      <c r="Q536"/>
    </row>
    <row r="537" spans="1:17" x14ac:dyDescent="0.25">
      <c r="A537" s="19" t="s">
        <v>416</v>
      </c>
      <c r="B537" s="19" t="str">
        <f>INDEX(Places[Type],MATCH(Budgets[[#This Row],[Jurisdiction]],Places[Jurisdiction],0))</f>
        <v>City</v>
      </c>
      <c r="C537" s="19" t="str">
        <f>INDEX(Places[County],MATCH(Budgets[[#This Row],[Jurisdiction]],Places[Jurisdiction],0))</f>
        <v>San Joaquin</v>
      </c>
      <c r="D537" s="21" t="str">
        <f>INDEX(Places[Majority RB],MATCH(Budgets[[#This Row],[Jurisdiction]],Places[Jurisdiction],0))</f>
        <v>Central Valley</v>
      </c>
      <c r="E537" s="19">
        <f>INDEX(Places[Majority RB '#],MATCH(Budgets[[#This Row],[Jurisdiction]],Places[Jurisdiction],0))</f>
        <v>5</v>
      </c>
      <c r="F537" s="19" t="str">
        <f>VLOOKUP(Budgets[[#This Row],[Jurisdiction]],Places[#All],8,FALSE)</f>
        <v>Phase I MS4</v>
      </c>
      <c r="G537" s="81"/>
      <c r="H537" s="21" t="s">
        <v>1887</v>
      </c>
      <c r="I537" s="21">
        <f>VALUE(LEFT(Budgets[[#This Row],[Fiscal Year]],4))</f>
        <v>2004</v>
      </c>
      <c r="J537" s="20">
        <v>4165587</v>
      </c>
      <c r="K537" s="27">
        <f>IF(Budgets[[#This Row],[Reference Year]]&gt;2018,Budgets[[#This Row],[Value]],Budgets[[#This Row],[Value]]*(1+VLOOKUP(Budgets[[#This Row],[Reference Year]],Inflation[#All],3,FALSE)))</f>
        <v>5548919.1233298043</v>
      </c>
      <c r="L537" s="27">
        <f>Budgets[[#This Row],[2018 $ Value]]/VLOOKUP(Budgets[[#This Row],[Jurisdiction]],Places[],6,FALSE)</f>
        <v>17.831977592663378</v>
      </c>
      <c r="M537" s="27">
        <f>Budgets[[#This Row],[2018 $ Value]]/VLOOKUP(Budgets[[#This Row],[Jurisdiction]],Places[],7,FALSE)</f>
        <v>89933.859373254527</v>
      </c>
      <c r="N537" s="27"/>
      <c r="O537" s="27" t="s">
        <v>1460</v>
      </c>
      <c r="P537" s="4"/>
      <c r="Q537"/>
    </row>
    <row r="538" spans="1:17" x14ac:dyDescent="0.25">
      <c r="A538" s="19" t="s">
        <v>416</v>
      </c>
      <c r="B538" s="19" t="str">
        <f>INDEX(Places[Type],MATCH(Budgets[[#This Row],[Jurisdiction]],Places[Jurisdiction],0))</f>
        <v>City</v>
      </c>
      <c r="C538" s="19" t="str">
        <f>INDEX(Places[County],MATCH(Budgets[[#This Row],[Jurisdiction]],Places[Jurisdiction],0))</f>
        <v>San Joaquin</v>
      </c>
      <c r="D538" s="21" t="str">
        <f>INDEX(Places[Majority RB],MATCH(Budgets[[#This Row],[Jurisdiction]],Places[Jurisdiction],0))</f>
        <v>Central Valley</v>
      </c>
      <c r="E538" s="19">
        <f>INDEX(Places[Majority RB '#],MATCH(Budgets[[#This Row],[Jurisdiction]],Places[Jurisdiction],0))</f>
        <v>5</v>
      </c>
      <c r="F538" s="19" t="str">
        <f>VLOOKUP(Budgets[[#This Row],[Jurisdiction]],Places[#All],8,FALSE)</f>
        <v>Phase I MS4</v>
      </c>
      <c r="G538" s="81"/>
      <c r="H538" s="21" t="s">
        <v>1882</v>
      </c>
      <c r="I538" s="21">
        <f>VALUE(LEFT(Budgets[[#This Row],[Fiscal Year]],4))</f>
        <v>2005</v>
      </c>
      <c r="J538" s="20">
        <v>6210477</v>
      </c>
      <c r="K538" s="27">
        <f>IF(Budgets[[#This Row],[Reference Year]]&gt;2018,Budgets[[#This Row],[Value]],Budgets[[#This Row],[Value]]*(1+VLOOKUP(Budgets[[#This Row],[Reference Year]],Inflation[#All],3,FALSE)))</f>
        <v>8001784.6287096767</v>
      </c>
      <c r="L538" s="27">
        <f>Budgets[[#This Row],[2018 $ Value]]/VLOOKUP(Budgets[[#This Row],[Jurisdiction]],Places[],6,FALSE)</f>
        <v>25.714493404770508</v>
      </c>
      <c r="M538" s="27">
        <f>Budgets[[#This Row],[2018 $ Value]]/VLOOKUP(Budgets[[#This Row],[Jurisdiction]],Places[],7,FALSE)</f>
        <v>129688.56772625083</v>
      </c>
      <c r="N538" s="27"/>
      <c r="O538" s="27" t="s">
        <v>1460</v>
      </c>
      <c r="P538" s="4"/>
      <c r="Q538"/>
    </row>
    <row r="539" spans="1:17" x14ac:dyDescent="0.25">
      <c r="A539" s="19" t="s">
        <v>416</v>
      </c>
      <c r="B539" s="19" t="str">
        <f>INDEX(Places[Type],MATCH(Budgets[[#This Row],[Jurisdiction]],Places[Jurisdiction],0))</f>
        <v>City</v>
      </c>
      <c r="C539" s="19" t="str">
        <f>INDEX(Places[County],MATCH(Budgets[[#This Row],[Jurisdiction]],Places[Jurisdiction],0))</f>
        <v>San Joaquin</v>
      </c>
      <c r="D539" s="21" t="str">
        <f>INDEX(Places[Majority RB],MATCH(Budgets[[#This Row],[Jurisdiction]],Places[Jurisdiction],0))</f>
        <v>Central Valley</v>
      </c>
      <c r="E539" s="19">
        <f>INDEX(Places[Majority RB '#],MATCH(Budgets[[#This Row],[Jurisdiction]],Places[Jurisdiction],0))</f>
        <v>5</v>
      </c>
      <c r="F539" s="19" t="str">
        <f>VLOOKUP(Budgets[[#This Row],[Jurisdiction]],Places[#All],8,FALSE)</f>
        <v>Phase I MS4</v>
      </c>
      <c r="G539" s="81"/>
      <c r="H539" s="21" t="s">
        <v>1883</v>
      </c>
      <c r="I539" s="21">
        <f>VALUE(LEFT(Budgets[[#This Row],[Fiscal Year]],4))</f>
        <v>2006</v>
      </c>
      <c r="J539" s="20">
        <v>7792497</v>
      </c>
      <c r="K539" s="27">
        <f>IF(Budgets[[#This Row],[Reference Year]]&gt;2018,Budgets[[#This Row],[Value]],Budgets[[#This Row],[Value]]*(1+VLOOKUP(Budgets[[#This Row],[Reference Year]],Inflation[#All],3,FALSE)))</f>
        <v>9726358.1974553578</v>
      </c>
      <c r="L539" s="27">
        <f>Budgets[[#This Row],[2018 $ Value]]/VLOOKUP(Budgets[[#This Row],[Jurisdiction]],Places[],6,FALSE)</f>
        <v>31.25657404268733</v>
      </c>
      <c r="M539" s="27">
        <f>Budgets[[#This Row],[2018 $ Value]]/VLOOKUP(Budgets[[#This Row],[Jurisdiction]],Places[],7,FALSE)</f>
        <v>157639.51697658602</v>
      </c>
      <c r="N539" s="27"/>
      <c r="O539" s="27" t="s">
        <v>1460</v>
      </c>
      <c r="P539" s="4"/>
      <c r="Q539"/>
    </row>
    <row r="540" spans="1:17" x14ac:dyDescent="0.25">
      <c r="A540" s="19" t="s">
        <v>416</v>
      </c>
      <c r="B540" s="19" t="str">
        <f>INDEX(Places[Type],MATCH(Budgets[[#This Row],[Jurisdiction]],Places[Jurisdiction],0))</f>
        <v>City</v>
      </c>
      <c r="C540" s="19" t="str">
        <f>INDEX(Places[County],MATCH(Budgets[[#This Row],[Jurisdiction]],Places[Jurisdiction],0))</f>
        <v>San Joaquin</v>
      </c>
      <c r="D540" s="21" t="str">
        <f>INDEX(Places[Majority RB],MATCH(Budgets[[#This Row],[Jurisdiction]],Places[Jurisdiction],0))</f>
        <v>Central Valley</v>
      </c>
      <c r="E540" s="19">
        <f>INDEX(Places[Majority RB '#],MATCH(Budgets[[#This Row],[Jurisdiction]],Places[Jurisdiction],0))</f>
        <v>5</v>
      </c>
      <c r="F540" s="19" t="str">
        <f>VLOOKUP(Budgets[[#This Row],[Jurisdiction]],Places[#All],8,FALSE)</f>
        <v>Phase I MS4</v>
      </c>
      <c r="G540" s="81"/>
      <c r="H540" s="21" t="s">
        <v>1884</v>
      </c>
      <c r="I540" s="21">
        <f>VALUE(LEFT(Budgets[[#This Row],[Fiscal Year]],4))</f>
        <v>2008</v>
      </c>
      <c r="J540" s="20">
        <v>7276201</v>
      </c>
      <c r="K540" s="27">
        <f>IF(Budgets[[#This Row],[Reference Year]]&gt;2018,Budgets[[#This Row],[Value]],Budgets[[#This Row],[Value]]*(1+VLOOKUP(Budgets[[#This Row],[Reference Year]],Inflation[#All],3,FALSE)))</f>
        <v>8504030.3475661855</v>
      </c>
      <c r="L540" s="27">
        <f>Budgets[[#This Row],[2018 $ Value]]/VLOOKUP(Budgets[[#This Row],[Jurisdiction]],Places[],6,FALSE)</f>
        <v>27.328507630893526</v>
      </c>
      <c r="M540" s="27">
        <f>Budgets[[#This Row],[2018 $ Value]]/VLOOKUP(Budgets[[#This Row],[Jurisdiction]],Places[],7,FALSE)</f>
        <v>137828.69282927367</v>
      </c>
      <c r="N540" s="27"/>
      <c r="O540" s="27" t="s">
        <v>1460</v>
      </c>
      <c r="P540" s="4"/>
      <c r="Q540"/>
    </row>
    <row r="541" spans="1:17" x14ac:dyDescent="0.25">
      <c r="A541" s="19" t="s">
        <v>416</v>
      </c>
      <c r="B541" s="19" t="str">
        <f>INDEX(Places[Type],MATCH(Budgets[[#This Row],[Jurisdiction]],Places[Jurisdiction],0))</f>
        <v>City</v>
      </c>
      <c r="C541" s="19" t="str">
        <f>INDEX(Places[County],MATCH(Budgets[[#This Row],[Jurisdiction]],Places[Jurisdiction],0))</f>
        <v>San Joaquin</v>
      </c>
      <c r="D541" s="21" t="str">
        <f>INDEX(Places[Majority RB],MATCH(Budgets[[#This Row],[Jurisdiction]],Places[Jurisdiction],0))</f>
        <v>Central Valley</v>
      </c>
      <c r="E541" s="19">
        <f>INDEX(Places[Majority RB '#],MATCH(Budgets[[#This Row],[Jurisdiction]],Places[Jurisdiction],0))</f>
        <v>5</v>
      </c>
      <c r="F541" s="19" t="str">
        <f>VLOOKUP(Budgets[[#This Row],[Jurisdiction]],Places[#All],8,FALSE)</f>
        <v>Phase I MS4</v>
      </c>
      <c r="G541" s="81"/>
      <c r="H541" s="21" t="s">
        <v>1889</v>
      </c>
      <c r="I541" s="21">
        <f>VALUE(LEFT(Budgets[[#This Row],[Fiscal Year]],4))</f>
        <v>2009</v>
      </c>
      <c r="J541" s="20">
        <v>7071370</v>
      </c>
      <c r="K541" s="27">
        <f>IF(Budgets[[#This Row],[Reference Year]]&gt;2018,Budgets[[#This Row],[Value]],Budgets[[#This Row],[Value]]*(1+VLOOKUP(Budgets[[#This Row],[Reference Year]],Inflation[#All],3,FALSE)))</f>
        <v>8295458.7620979017</v>
      </c>
      <c r="L541" s="27">
        <f>Budgets[[#This Row],[2018 $ Value]]/VLOOKUP(Budgets[[#This Row],[Jurisdiction]],Places[],6,FALSE)</f>
        <v>26.65824307019745</v>
      </c>
      <c r="M541" s="27">
        <f>Budgets[[#This Row],[2018 $ Value]]/VLOOKUP(Budgets[[#This Row],[Jurisdiction]],Places[],7,FALSE)</f>
        <v>134448.27815393682</v>
      </c>
      <c r="N541" s="27"/>
      <c r="O541" s="27" t="s">
        <v>1460</v>
      </c>
      <c r="P541" s="4"/>
      <c r="Q541"/>
    </row>
    <row r="542" spans="1:17" x14ac:dyDescent="0.25">
      <c r="A542" s="19" t="s">
        <v>416</v>
      </c>
      <c r="B542" s="19" t="str">
        <f>INDEX(Places[Type],MATCH(Budgets[[#This Row],[Jurisdiction]],Places[Jurisdiction],0))</f>
        <v>City</v>
      </c>
      <c r="C542" s="19" t="str">
        <f>INDEX(Places[County],MATCH(Budgets[[#This Row],[Jurisdiction]],Places[Jurisdiction],0))</f>
        <v>San Joaquin</v>
      </c>
      <c r="D542" s="21" t="str">
        <f>INDEX(Places[Majority RB],MATCH(Budgets[[#This Row],[Jurisdiction]],Places[Jurisdiction],0))</f>
        <v>Central Valley</v>
      </c>
      <c r="E542" s="19">
        <f>INDEX(Places[Majority RB '#],MATCH(Budgets[[#This Row],[Jurisdiction]],Places[Jurisdiction],0))</f>
        <v>5</v>
      </c>
      <c r="F542" s="19" t="str">
        <f>VLOOKUP(Budgets[[#This Row],[Jurisdiction]],Places[#All],8,FALSE)</f>
        <v>Phase I MS4</v>
      </c>
      <c r="G542" s="81"/>
      <c r="H542" s="21" t="s">
        <v>1885</v>
      </c>
      <c r="I542" s="21">
        <f>VALUE(LEFT(Budgets[[#This Row],[Fiscal Year]],4))</f>
        <v>2010</v>
      </c>
      <c r="J542" s="20">
        <v>5935161</v>
      </c>
      <c r="K542" s="27">
        <f>IF(Budgets[[#This Row],[Reference Year]]&gt;2018,Budgets[[#This Row],[Value]],Budgets[[#This Row],[Value]]*(1+VLOOKUP(Budgets[[#This Row],[Reference Year]],Inflation[#All],3,FALSE)))</f>
        <v>6847640.9793259976</v>
      </c>
      <c r="L542" s="27">
        <f>Budgets[[#This Row],[2018 $ Value]]/VLOOKUP(Budgets[[#This Row],[Jurisdiction]],Places[],6,FALSE)</f>
        <v>22.005543384577308</v>
      </c>
      <c r="M542" s="27">
        <f>Budgets[[#This Row],[2018 $ Value]]/VLOOKUP(Budgets[[#This Row],[Jurisdiction]],Places[],7,FALSE)</f>
        <v>110982.83596962718</v>
      </c>
      <c r="N542" s="27"/>
      <c r="O542" s="27" t="s">
        <v>1460</v>
      </c>
      <c r="P542" s="4"/>
      <c r="Q542"/>
    </row>
    <row r="543" spans="1:17" x14ac:dyDescent="0.25">
      <c r="A543" s="19" t="s">
        <v>416</v>
      </c>
      <c r="B543" s="19" t="str">
        <f>INDEX(Places[Type],MATCH(Budgets[[#This Row],[Jurisdiction]],Places[Jurisdiction],0))</f>
        <v>City</v>
      </c>
      <c r="C543" s="19" t="str">
        <f>INDEX(Places[County],MATCH(Budgets[[#This Row],[Jurisdiction]],Places[Jurisdiction],0))</f>
        <v>San Joaquin</v>
      </c>
      <c r="D543" s="21" t="str">
        <f>INDEX(Places[Majority RB],MATCH(Budgets[[#This Row],[Jurisdiction]],Places[Jurisdiction],0))</f>
        <v>Central Valley</v>
      </c>
      <c r="E543" s="19">
        <f>INDEX(Places[Majority RB '#],MATCH(Budgets[[#This Row],[Jurisdiction]],Places[Jurisdiction],0))</f>
        <v>5</v>
      </c>
      <c r="F543" s="19" t="str">
        <f>VLOOKUP(Budgets[[#This Row],[Jurisdiction]],Places[#All],8,FALSE)</f>
        <v>Phase I MS4</v>
      </c>
      <c r="G543" s="81"/>
      <c r="H543" s="21" t="s">
        <v>1870</v>
      </c>
      <c r="I543" s="21">
        <f>VALUE(LEFT(Budgets[[#This Row],[Fiscal Year]],4))</f>
        <v>2011</v>
      </c>
      <c r="J543" s="20">
        <v>5171535</v>
      </c>
      <c r="K543" s="27">
        <f>IF(Budgets[[#This Row],[Reference Year]]&gt;2018,Budgets[[#This Row],[Value]],Budgets[[#This Row],[Value]]*(1+VLOOKUP(Budgets[[#This Row],[Reference Year]],Inflation[#All],3,FALSE)))</f>
        <v>5786209.5312805697</v>
      </c>
      <c r="L543" s="27">
        <f>Budgets[[#This Row],[2018 $ Value]]/VLOOKUP(Budgets[[#This Row],[Jurisdiction]],Places[],6,FALSE)</f>
        <v>18.594532811704457</v>
      </c>
      <c r="M543" s="27">
        <f>Budgets[[#This Row],[2018 $ Value]]/VLOOKUP(Budgets[[#This Row],[Jurisdiction]],Places[],7,FALSE)</f>
        <v>93779.733083963845</v>
      </c>
      <c r="N543" s="27"/>
      <c r="O543" s="27" t="s">
        <v>1460</v>
      </c>
      <c r="P543" s="4"/>
      <c r="Q543"/>
    </row>
    <row r="544" spans="1:17" x14ac:dyDescent="0.25">
      <c r="A544" s="19" t="s">
        <v>416</v>
      </c>
      <c r="B544" s="19" t="str">
        <f>INDEX(Places[Type],MATCH(Budgets[[#This Row],[Jurisdiction]],Places[Jurisdiction],0))</f>
        <v>City</v>
      </c>
      <c r="C544" s="19" t="str">
        <f>INDEX(Places[County],MATCH(Budgets[[#This Row],[Jurisdiction]],Places[Jurisdiction],0))</f>
        <v>San Joaquin</v>
      </c>
      <c r="D544" s="21" t="str">
        <f>INDEX(Places[Majority RB],MATCH(Budgets[[#This Row],[Jurisdiction]],Places[Jurisdiction],0))</f>
        <v>Central Valley</v>
      </c>
      <c r="E544" s="19">
        <f>INDEX(Places[Majority RB '#],MATCH(Budgets[[#This Row],[Jurisdiction]],Places[Jurisdiction],0))</f>
        <v>5</v>
      </c>
      <c r="F544" s="19" t="str">
        <f>VLOOKUP(Budgets[[#This Row],[Jurisdiction]],Places[#All],8,FALSE)</f>
        <v>Phase I MS4</v>
      </c>
      <c r="G544" s="81"/>
      <c r="H544" s="21" t="s">
        <v>1881</v>
      </c>
      <c r="I544" s="21">
        <f>VALUE(LEFT(Budgets[[#This Row],[Fiscal Year]],4))</f>
        <v>2014</v>
      </c>
      <c r="J544" s="20">
        <v>5262098</v>
      </c>
      <c r="K544" s="27">
        <f>IF(Budgets[[#This Row],[Reference Year]]&gt;2018,Budgets[[#This Row],[Value]],Budgets[[#This Row],[Value]]*(1+VLOOKUP(Budgets[[#This Row],[Reference Year]],Inflation[#All],3,FALSE)))</f>
        <v>5594030.3415209129</v>
      </c>
      <c r="L544" s="27">
        <f>Budgets[[#This Row],[2018 $ Value]]/VLOOKUP(Budgets[[#This Row],[Jurisdiction]],Places[],6,FALSE)</f>
        <v>17.976946768476285</v>
      </c>
      <c r="M544" s="27">
        <f>Budgets[[#This Row],[2018 $ Value]]/VLOOKUP(Budgets[[#This Row],[Jurisdiction]],Places[],7,FALSE)</f>
        <v>90664.997431457261</v>
      </c>
      <c r="N544" s="27"/>
      <c r="O544" s="27" t="s">
        <v>1460</v>
      </c>
      <c r="P544" s="4"/>
      <c r="Q544"/>
    </row>
    <row r="545" spans="1:17" x14ac:dyDescent="0.25">
      <c r="A545" s="19" t="s">
        <v>416</v>
      </c>
      <c r="B545" s="19" t="str">
        <f>INDEX(Places[Type],MATCH(Budgets[[#This Row],[Jurisdiction]],Places[Jurisdiction],0))</f>
        <v>City</v>
      </c>
      <c r="C545" s="19" t="str">
        <f>INDEX(Places[County],MATCH(Budgets[[#This Row],[Jurisdiction]],Places[Jurisdiction],0))</f>
        <v>San Joaquin</v>
      </c>
      <c r="D545" s="21" t="str">
        <f>INDEX(Places[Majority RB],MATCH(Budgets[[#This Row],[Jurisdiction]],Places[Jurisdiction],0))</f>
        <v>Central Valley</v>
      </c>
      <c r="E545" s="19">
        <f>INDEX(Places[Majority RB '#],MATCH(Budgets[[#This Row],[Jurisdiction]],Places[Jurisdiction],0))</f>
        <v>5</v>
      </c>
      <c r="F545" s="19" t="str">
        <f>VLOOKUP(Budgets[[#This Row],[Jurisdiction]],Places[#All],8,FALSE)</f>
        <v>Phase I MS4</v>
      </c>
      <c r="G545" s="81"/>
      <c r="H545" s="21" t="s">
        <v>1873</v>
      </c>
      <c r="I545" s="21">
        <f>VALUE(LEFT(Budgets[[#This Row],[Fiscal Year]],4))</f>
        <v>2015</v>
      </c>
      <c r="J545" s="20">
        <v>4895662</v>
      </c>
      <c r="K545" s="27">
        <f>IF(Budgets[[#This Row],[Reference Year]]&gt;2018,Budgets[[#This Row],[Value]],Budgets[[#This Row],[Value]]*(1+VLOOKUP(Budgets[[#This Row],[Reference Year]],Inflation[#All],3,FALSE)))</f>
        <v>5197891.6654936709</v>
      </c>
      <c r="L545" s="27">
        <f>Budgets[[#This Row],[2018 $ Value]]/VLOOKUP(Budgets[[#This Row],[Jurisdiction]],Places[],6,FALSE)</f>
        <v>16.703917582520845</v>
      </c>
      <c r="M545" s="27">
        <f>Budgets[[#This Row],[2018 $ Value]]/VLOOKUP(Budgets[[#This Row],[Jurisdiction]],Places[],7,FALSE)</f>
        <v>84244.597495845548</v>
      </c>
      <c r="N545" s="27"/>
      <c r="O545" s="27" t="s">
        <v>1460</v>
      </c>
      <c r="P545" s="4"/>
      <c r="Q545"/>
    </row>
    <row r="546" spans="1:17" x14ac:dyDescent="0.25">
      <c r="A546" s="19" t="s">
        <v>416</v>
      </c>
      <c r="B546" s="19" t="str">
        <f>INDEX(Places[Type],MATCH(Budgets[[#This Row],[Jurisdiction]],Places[Jurisdiction],0))</f>
        <v>City</v>
      </c>
      <c r="C546" s="19" t="str">
        <f>INDEX(Places[County],MATCH(Budgets[[#This Row],[Jurisdiction]],Places[Jurisdiction],0))</f>
        <v>San Joaquin</v>
      </c>
      <c r="D546" s="21" t="str">
        <f>INDEX(Places[Majority RB],MATCH(Budgets[[#This Row],[Jurisdiction]],Places[Jurisdiction],0))</f>
        <v>Central Valley</v>
      </c>
      <c r="E546" s="19">
        <f>INDEX(Places[Majority RB '#],MATCH(Budgets[[#This Row],[Jurisdiction]],Places[Jurisdiction],0))</f>
        <v>5</v>
      </c>
      <c r="F546" s="19" t="str">
        <f>VLOOKUP(Budgets[[#This Row],[Jurisdiction]],Places[#All],8,FALSE)</f>
        <v>Phase I MS4</v>
      </c>
      <c r="G546" s="81"/>
      <c r="H546" s="21" t="s">
        <v>1869</v>
      </c>
      <c r="I546" s="21">
        <f>VALUE(LEFT(Budgets[[#This Row],[Fiscal Year]],4))</f>
        <v>2016</v>
      </c>
      <c r="J546" s="20">
        <v>4876973</v>
      </c>
      <c r="K546" s="27">
        <f>IF(Budgets[[#This Row],[Reference Year]]&gt;2018,Budgets[[#This Row],[Value]],Budgets[[#This Row],[Value]]*(1+VLOOKUP(Budgets[[#This Row],[Reference Year]],Inflation[#All],3,FALSE)))</f>
        <v>5113323.3040125007</v>
      </c>
      <c r="L546" s="27">
        <f>Budgets[[#This Row],[2018 $ Value]]/VLOOKUP(Budgets[[#This Row],[Jurisdiction]],Places[],6,FALSE)</f>
        <v>16.432149136547253</v>
      </c>
      <c r="M546" s="27">
        <f>Budgets[[#This Row],[2018 $ Value]]/VLOOKUP(Budgets[[#This Row],[Jurisdiction]],Places[],7,FALSE)</f>
        <v>82873.959546393846</v>
      </c>
      <c r="N546" s="27"/>
      <c r="O546" s="27" t="s">
        <v>1460</v>
      </c>
      <c r="P546" s="4"/>
      <c r="Q546"/>
    </row>
    <row r="547" spans="1:17" x14ac:dyDescent="0.25">
      <c r="A547" s="19" t="s">
        <v>416</v>
      </c>
      <c r="B547" s="19" t="str">
        <f>INDEX(Places[Type],MATCH(Budgets[[#This Row],[Jurisdiction]],Places[Jurisdiction],0))</f>
        <v>City</v>
      </c>
      <c r="C547" s="19" t="str">
        <f>INDEX(Places[County],MATCH(Budgets[[#This Row],[Jurisdiction]],Places[Jurisdiction],0))</f>
        <v>San Joaquin</v>
      </c>
      <c r="D547" s="21" t="str">
        <f>INDEX(Places[Majority RB],MATCH(Budgets[[#This Row],[Jurisdiction]],Places[Jurisdiction],0))</f>
        <v>Central Valley</v>
      </c>
      <c r="E547" s="19">
        <f>INDEX(Places[Majority RB '#],MATCH(Budgets[[#This Row],[Jurisdiction]],Places[Jurisdiction],0))</f>
        <v>5</v>
      </c>
      <c r="F547" s="19" t="str">
        <f>VLOOKUP(Budgets[[#This Row],[Jurisdiction]],Places[#All],8,FALSE)</f>
        <v>Phase I MS4</v>
      </c>
      <c r="G547" s="81"/>
      <c r="H547" s="21" t="s">
        <v>1874</v>
      </c>
      <c r="I547" s="21">
        <f>VALUE(LEFT(Budgets[[#This Row],[Fiscal Year]],4))</f>
        <v>2017</v>
      </c>
      <c r="J547" s="20">
        <v>7225146</v>
      </c>
      <c r="K547" s="27">
        <f>IF(Budgets[[#This Row],[Reference Year]]&gt;2018,Budgets[[#This Row],[Value]],Budgets[[#This Row],[Value]]*(1+VLOOKUP(Budgets[[#This Row],[Reference Year]],Inflation[#All],3,FALSE)))</f>
        <v>7417669.168200735</v>
      </c>
      <c r="L547" s="27">
        <f>Budgets[[#This Row],[2018 $ Value]]/VLOOKUP(Budgets[[#This Row],[Jurisdiction]],Places[],6,FALSE)</f>
        <v>23.837383003299511</v>
      </c>
      <c r="M547" s="27">
        <f>Budgets[[#This Row],[2018 $ Value]]/VLOOKUP(Budgets[[#This Row],[Jurisdiction]],Places[],7,FALSE)</f>
        <v>120221.54243437172</v>
      </c>
      <c r="N547" s="27"/>
      <c r="O547" s="27" t="s">
        <v>1460</v>
      </c>
      <c r="P547" s="4"/>
      <c r="Q547"/>
    </row>
    <row r="548" spans="1:17" x14ac:dyDescent="0.25">
      <c r="A548" s="19" t="s">
        <v>416</v>
      </c>
      <c r="B548" s="19" t="str">
        <f>INDEX(Places[Type],MATCH(Budgets[[#This Row],[Jurisdiction]],Places[Jurisdiction],0))</f>
        <v>City</v>
      </c>
      <c r="C548" s="19" t="str">
        <f>INDEX(Places[County],MATCH(Budgets[[#This Row],[Jurisdiction]],Places[Jurisdiction],0))</f>
        <v>San Joaquin</v>
      </c>
      <c r="D548" s="21" t="str">
        <f>INDEX(Places[Majority RB],MATCH(Budgets[[#This Row],[Jurisdiction]],Places[Jurisdiction],0))</f>
        <v>Central Valley</v>
      </c>
      <c r="E548" s="19">
        <f>INDEX(Places[Majority RB '#],MATCH(Budgets[[#This Row],[Jurisdiction]],Places[Jurisdiction],0))</f>
        <v>5</v>
      </c>
      <c r="F548" s="19" t="str">
        <f>VLOOKUP(Budgets[[#This Row],[Jurisdiction]],Places[#All],8,FALSE)</f>
        <v>Phase I MS4</v>
      </c>
      <c r="G548" s="81"/>
      <c r="H548" s="21" t="s">
        <v>1876</v>
      </c>
      <c r="I548" s="21">
        <f>VALUE(LEFT(Budgets[[#This Row],[Fiscal Year]],4))</f>
        <v>2018</v>
      </c>
      <c r="J548" s="20">
        <v>7048546</v>
      </c>
      <c r="K548" s="27">
        <f>IF(Budgets[[#This Row],[Reference Year]]&gt;2018,Budgets[[#This Row],[Value]],Budgets[[#This Row],[Value]]*(1+VLOOKUP(Budgets[[#This Row],[Reference Year]],Inflation[#All],3,FALSE)))</f>
        <v>7048546</v>
      </c>
      <c r="L548" s="27">
        <f>Budgets[[#This Row],[2018 $ Value]]/VLOOKUP(Budgets[[#This Row],[Jurisdiction]],Places[],6,FALSE)</f>
        <v>22.651170712582509</v>
      </c>
      <c r="M548" s="27">
        <f>Budgets[[#This Row],[2018 $ Value]]/VLOOKUP(Budgets[[#This Row],[Jurisdiction]],Places[],7,FALSE)</f>
        <v>114238.99513776337</v>
      </c>
      <c r="N548" s="27"/>
      <c r="O548" s="27" t="s">
        <v>1853</v>
      </c>
      <c r="P548" s="4"/>
      <c r="Q548"/>
    </row>
    <row r="549" spans="1:17" x14ac:dyDescent="0.25">
      <c r="A549" s="19" t="s">
        <v>199</v>
      </c>
      <c r="B549" s="19" t="str">
        <f>INDEX(Places[Type],MATCH(Budgets[[#This Row],[Jurisdiction]],Places[Jurisdiction],0))</f>
        <v>City</v>
      </c>
      <c r="C549" s="19" t="str">
        <f>INDEX(Places[County],MATCH(Budgets[[#This Row],[Jurisdiction]],Places[Jurisdiction],0))</f>
        <v>Los Angeles</v>
      </c>
      <c r="D549" s="21" t="str">
        <f>INDEX(Places[Majority RB],MATCH(Budgets[[#This Row],[Jurisdiction]],Places[Jurisdiction],0))</f>
        <v>Los Angeles</v>
      </c>
      <c r="E549" s="19">
        <f>INDEX(Places[Majority RB '#],MATCH(Budgets[[#This Row],[Jurisdiction]],Places[Jurisdiction],0))</f>
        <v>4</v>
      </c>
      <c r="F549" s="19" t="str">
        <f>VLOOKUP(Budgets[[#This Row],[Jurisdiction]],Places[#All],8,FALSE)</f>
        <v>Phase I MS4</v>
      </c>
      <c r="G549" s="81"/>
      <c r="H549" s="21" t="s">
        <v>1870</v>
      </c>
      <c r="I549" s="21">
        <f>VALUE(LEFT(Budgets[[#This Row],[Fiscal Year]],4))</f>
        <v>2011</v>
      </c>
      <c r="J549" s="20">
        <v>2328600</v>
      </c>
      <c r="K549" s="27">
        <f>IF(Budgets[[#This Row],[Reference Year]]&gt;2018,Budgets[[#This Row],[Value]],Budgets[[#This Row],[Value]]*(1+VLOOKUP(Budgets[[#This Row],[Reference Year]],Inflation[#All],3,FALSE)))</f>
        <v>2605371.0386838596</v>
      </c>
      <c r="L549" s="27">
        <f>Budgets[[#This Row],[2018 $ Value]]/VLOOKUP(Budgets[[#This Row],[Jurisdiction]],Places[],6,FALSE)</f>
        <v>72.1309811374269</v>
      </c>
      <c r="M549" s="27">
        <f>Budgets[[#This Row],[2018 $ Value]]/VLOOKUP(Budgets[[#This Row],[Jurisdiction]],Places[],7,FALSE)</f>
        <v>651342.75967096491</v>
      </c>
      <c r="N549" s="27"/>
      <c r="O549" s="27" t="s">
        <v>1460</v>
      </c>
      <c r="P549" s="4"/>
      <c r="Q549"/>
    </row>
    <row r="550" spans="1:17" x14ac:dyDescent="0.25">
      <c r="A550" s="19" t="s">
        <v>199</v>
      </c>
      <c r="B550" s="19" t="str">
        <f>INDEX(Places[Type],MATCH(Budgets[[#This Row],[Jurisdiction]],Places[Jurisdiction],0))</f>
        <v>City</v>
      </c>
      <c r="C550" s="19" t="str">
        <f>INDEX(Places[County],MATCH(Budgets[[#This Row],[Jurisdiction]],Places[Jurisdiction],0))</f>
        <v>Los Angeles</v>
      </c>
      <c r="D550" s="21" t="str">
        <f>INDEX(Places[Majority RB],MATCH(Budgets[[#This Row],[Jurisdiction]],Places[Jurisdiction],0))</f>
        <v>Los Angeles</v>
      </c>
      <c r="E550" s="19">
        <f>INDEX(Places[Majority RB '#],MATCH(Budgets[[#This Row],[Jurisdiction]],Places[Jurisdiction],0))</f>
        <v>4</v>
      </c>
      <c r="F550" s="19" t="str">
        <f>VLOOKUP(Budgets[[#This Row],[Jurisdiction]],Places[#All],8,FALSE)</f>
        <v>Phase I MS4</v>
      </c>
      <c r="G550" s="81"/>
      <c r="H550" s="21" t="s">
        <v>1871</v>
      </c>
      <c r="I550" s="21">
        <f>VALUE(LEFT(Budgets[[#This Row],[Fiscal Year]],4))</f>
        <v>2012</v>
      </c>
      <c r="J550" s="20">
        <v>2328600</v>
      </c>
      <c r="K550" s="27">
        <f>IF(Budgets[[#This Row],[Reference Year]]&gt;2018,Budgets[[#This Row],[Value]],Budgets[[#This Row],[Value]]*(1+VLOOKUP(Budgets[[#This Row],[Reference Year]],Inflation[#All],3,FALSE)))</f>
        <v>2552038.0949477353</v>
      </c>
      <c r="L550" s="27">
        <f>Budgets[[#This Row],[2018 $ Value]]/VLOOKUP(Budgets[[#This Row],[Jurisdiction]],Places[],6,FALSE)</f>
        <v>70.654432307523123</v>
      </c>
      <c r="M550" s="27">
        <f>Budgets[[#This Row],[2018 $ Value]]/VLOOKUP(Budgets[[#This Row],[Jurisdiction]],Places[],7,FALSE)</f>
        <v>638009.52373693383</v>
      </c>
      <c r="N550" s="27"/>
      <c r="O550" s="27" t="s">
        <v>1460</v>
      </c>
      <c r="P550" s="4"/>
      <c r="Q550"/>
    </row>
    <row r="551" spans="1:17" x14ac:dyDescent="0.25">
      <c r="A551" s="19" t="s">
        <v>199</v>
      </c>
      <c r="B551" s="19" t="str">
        <f>INDEX(Places[Type],MATCH(Budgets[[#This Row],[Jurisdiction]],Places[Jurisdiction],0))</f>
        <v>City</v>
      </c>
      <c r="C551" s="19" t="str">
        <f>INDEX(Places[County],MATCH(Budgets[[#This Row],[Jurisdiction]],Places[Jurisdiction],0))</f>
        <v>Los Angeles</v>
      </c>
      <c r="D551" s="21" t="str">
        <f>INDEX(Places[Majority RB],MATCH(Budgets[[#This Row],[Jurisdiction]],Places[Jurisdiction],0))</f>
        <v>Los Angeles</v>
      </c>
      <c r="E551" s="19">
        <f>INDEX(Places[Majority RB '#],MATCH(Budgets[[#This Row],[Jurisdiction]],Places[Jurisdiction],0))</f>
        <v>4</v>
      </c>
      <c r="F551" s="19" t="str">
        <f>VLOOKUP(Budgets[[#This Row],[Jurisdiction]],Places[#All],8,FALSE)</f>
        <v>Phase I MS4</v>
      </c>
      <c r="G551" s="81"/>
      <c r="H551" s="21" t="s">
        <v>1869</v>
      </c>
      <c r="I551" s="21">
        <f>VALUE(LEFT(Budgets[[#This Row],[Fiscal Year]],4))</f>
        <v>2016</v>
      </c>
      <c r="J551" s="20">
        <v>380500</v>
      </c>
      <c r="K551" s="27">
        <f>IF(Budgets[[#This Row],[Reference Year]]&gt;2018,Budgets[[#This Row],[Value]],Budgets[[#This Row],[Value]]*(1+VLOOKUP(Budgets[[#This Row],[Reference Year]],Inflation[#All],3,FALSE)))</f>
        <v>398939.98125000001</v>
      </c>
      <c r="L551" s="27">
        <f>Budgets[[#This Row],[2018 $ Value]]/VLOOKUP(Budgets[[#This Row],[Jurisdiction]],Places[],6,FALSE)</f>
        <v>11.044849979235881</v>
      </c>
      <c r="M551" s="27">
        <f>Budgets[[#This Row],[2018 $ Value]]/VLOOKUP(Budgets[[#This Row],[Jurisdiction]],Places[],7,FALSE)</f>
        <v>99734.995312500003</v>
      </c>
      <c r="N551" s="27"/>
      <c r="O551" s="27" t="s">
        <v>1853</v>
      </c>
      <c r="P551" s="4"/>
      <c r="Q551"/>
    </row>
    <row r="552" spans="1:17" x14ac:dyDescent="0.25">
      <c r="A552" s="19" t="s">
        <v>261</v>
      </c>
      <c r="B552" s="19" t="str">
        <f>INDEX(Places[Type],MATCH(Budgets[[#This Row],[Jurisdiction]],Places[Jurisdiction],0))</f>
        <v>City</v>
      </c>
      <c r="C552" s="19" t="str">
        <f>INDEX(Places[County],MATCH(Budgets[[#This Row],[Jurisdiction]],Places[Jurisdiction],0))</f>
        <v>Ventura</v>
      </c>
      <c r="D552" s="21" t="str">
        <f>INDEX(Places[Majority RB],MATCH(Budgets[[#This Row],[Jurisdiction]],Places[Jurisdiction],0))</f>
        <v>Los Angeles</v>
      </c>
      <c r="E552" s="19">
        <f>INDEX(Places[Majority RB '#],MATCH(Budgets[[#This Row],[Jurisdiction]],Places[Jurisdiction],0))</f>
        <v>4</v>
      </c>
      <c r="F552" s="19" t="str">
        <f>VLOOKUP(Budgets[[#This Row],[Jurisdiction]],Places[#All],8,FALSE)</f>
        <v>Phase I MS4</v>
      </c>
      <c r="G552" s="81"/>
      <c r="H552" s="21" t="s">
        <v>1882</v>
      </c>
      <c r="I552" s="21">
        <f>VALUE(LEFT(Budgets[[#This Row],[Fiscal Year]],4))</f>
        <v>2005</v>
      </c>
      <c r="J552" s="20">
        <v>1184552</v>
      </c>
      <c r="K552" s="27">
        <f>IF(Budgets[[#This Row],[Reference Year]]&gt;2018,Budgets[[#This Row],[Value]],Budgets[[#This Row],[Value]]*(1+VLOOKUP(Budgets[[#This Row],[Reference Year]],Inflation[#All],3,FALSE)))</f>
        <v>1526216.0999078341</v>
      </c>
      <c r="L552" s="27">
        <f>Budgets[[#This Row],[2018 $ Value]]/VLOOKUP(Budgets[[#This Row],[Jurisdiction]],Places[],6,FALSE)</f>
        <v>11.952510767545101</v>
      </c>
      <c r="M552" s="27">
        <f>Budgets[[#This Row],[2018 $ Value]]/VLOOKUP(Budgets[[#This Row],[Jurisdiction]],Places[],7,FALSE)</f>
        <v>27648.842389634676</v>
      </c>
      <c r="N552" s="27"/>
      <c r="O552" s="27" t="s">
        <v>1460</v>
      </c>
      <c r="P552" s="4"/>
      <c r="Q552"/>
    </row>
    <row r="553" spans="1:17" x14ac:dyDescent="0.25">
      <c r="A553" s="19" t="s">
        <v>261</v>
      </c>
      <c r="B553" s="19" t="str">
        <f>INDEX(Places[Type],MATCH(Budgets[[#This Row],[Jurisdiction]],Places[Jurisdiction],0))</f>
        <v>City</v>
      </c>
      <c r="C553" s="19" t="str">
        <f>INDEX(Places[County],MATCH(Budgets[[#This Row],[Jurisdiction]],Places[Jurisdiction],0))</f>
        <v>Ventura</v>
      </c>
      <c r="D553" s="21" t="str">
        <f>INDEX(Places[Majority RB],MATCH(Budgets[[#This Row],[Jurisdiction]],Places[Jurisdiction],0))</f>
        <v>Los Angeles</v>
      </c>
      <c r="E553" s="19">
        <f>INDEX(Places[Majority RB '#],MATCH(Budgets[[#This Row],[Jurisdiction]],Places[Jurisdiction],0))</f>
        <v>4</v>
      </c>
      <c r="F553" s="19" t="str">
        <f>VLOOKUP(Budgets[[#This Row],[Jurisdiction]],Places[#All],8,FALSE)</f>
        <v>Phase I MS4</v>
      </c>
      <c r="G553" s="81"/>
      <c r="H553" s="21" t="s">
        <v>1883</v>
      </c>
      <c r="I553" s="21">
        <f>VALUE(LEFT(Budgets[[#This Row],[Fiscal Year]],4))</f>
        <v>2006</v>
      </c>
      <c r="J553" s="20">
        <v>1311416</v>
      </c>
      <c r="K553" s="27">
        <f>IF(Budgets[[#This Row],[Reference Year]]&gt;2018,Budgets[[#This Row],[Value]],Budgets[[#This Row],[Value]]*(1+VLOOKUP(Budgets[[#This Row],[Reference Year]],Inflation[#All],3,FALSE)))</f>
        <v>1636869.640357143</v>
      </c>
      <c r="L553" s="27">
        <f>Budgets[[#This Row],[2018 $ Value]]/VLOOKUP(Budgets[[#This Row],[Jurisdiction]],Places[],6,FALSE)</f>
        <v>12.819090299609547</v>
      </c>
      <c r="M553" s="27">
        <f>Budgets[[#This Row],[2018 $ Value]]/VLOOKUP(Budgets[[#This Row],[Jurisdiction]],Places[],7,FALSE)</f>
        <v>29653.435513716358</v>
      </c>
      <c r="N553" s="27"/>
      <c r="O553" s="27" t="s">
        <v>1460</v>
      </c>
      <c r="P553" s="4"/>
      <c r="Q553"/>
    </row>
    <row r="554" spans="1:17" x14ac:dyDescent="0.25">
      <c r="A554" s="19" t="s">
        <v>261</v>
      </c>
      <c r="B554" s="19" t="str">
        <f>INDEX(Places[Type],MATCH(Budgets[[#This Row],[Jurisdiction]],Places[Jurisdiction],0))</f>
        <v>City</v>
      </c>
      <c r="C554" s="19" t="str">
        <f>INDEX(Places[County],MATCH(Budgets[[#This Row],[Jurisdiction]],Places[Jurisdiction],0))</f>
        <v>Ventura</v>
      </c>
      <c r="D554" s="21" t="str">
        <f>INDEX(Places[Majority RB],MATCH(Budgets[[#This Row],[Jurisdiction]],Places[Jurisdiction],0))</f>
        <v>Los Angeles</v>
      </c>
      <c r="E554" s="19">
        <f>INDEX(Places[Majority RB '#],MATCH(Budgets[[#This Row],[Jurisdiction]],Places[Jurisdiction],0))</f>
        <v>4</v>
      </c>
      <c r="F554" s="19" t="str">
        <f>VLOOKUP(Budgets[[#This Row],[Jurisdiction]],Places[#All],8,FALSE)</f>
        <v>Phase I MS4</v>
      </c>
      <c r="G554" s="81"/>
      <c r="H554" s="21" t="s">
        <v>1884</v>
      </c>
      <c r="I554" s="21">
        <f>VALUE(LEFT(Budgets[[#This Row],[Fiscal Year]],4))</f>
        <v>2008</v>
      </c>
      <c r="J554" s="20">
        <v>1337110</v>
      </c>
      <c r="K554" s="27">
        <f>IF(Budgets[[#This Row],[Reference Year]]&gt;2018,Budgets[[#This Row],[Value]],Budgets[[#This Row],[Value]]*(1+VLOOKUP(Budgets[[#This Row],[Reference Year]],Inflation[#All],3,FALSE)))</f>
        <v>1562741.8783557825</v>
      </c>
      <c r="L554" s="27">
        <f>Budgets[[#This Row],[2018 $ Value]]/VLOOKUP(Budgets[[#This Row],[Jurisdiction]],Places[],6,FALSE)</f>
        <v>12.238561190036672</v>
      </c>
      <c r="M554" s="27">
        <f>Budgets[[#This Row],[2018 $ Value]]/VLOOKUP(Budgets[[#This Row],[Jurisdiction]],Places[],7,FALSE)</f>
        <v>28310.541274561274</v>
      </c>
      <c r="N554" s="27"/>
      <c r="O554" s="27" t="s">
        <v>1460</v>
      </c>
      <c r="P554" s="4"/>
      <c r="Q554"/>
    </row>
    <row r="555" spans="1:17" x14ac:dyDescent="0.25">
      <c r="A555" s="19" t="s">
        <v>261</v>
      </c>
      <c r="B555" s="19" t="str">
        <f>INDEX(Places[Type],MATCH(Budgets[[#This Row],[Jurisdiction]],Places[Jurisdiction],0))</f>
        <v>City</v>
      </c>
      <c r="C555" s="19" t="str">
        <f>INDEX(Places[County],MATCH(Budgets[[#This Row],[Jurisdiction]],Places[Jurisdiction],0))</f>
        <v>Ventura</v>
      </c>
      <c r="D555" s="21" t="str">
        <f>INDEX(Places[Majority RB],MATCH(Budgets[[#This Row],[Jurisdiction]],Places[Jurisdiction],0))</f>
        <v>Los Angeles</v>
      </c>
      <c r="E555" s="19">
        <f>INDEX(Places[Majority RB '#],MATCH(Budgets[[#This Row],[Jurisdiction]],Places[Jurisdiction],0))</f>
        <v>4</v>
      </c>
      <c r="F555" s="19" t="str">
        <f>VLOOKUP(Budgets[[#This Row],[Jurisdiction]],Places[#All],8,FALSE)</f>
        <v>Phase I MS4</v>
      </c>
      <c r="G555" s="81"/>
      <c r="H555" s="21" t="s">
        <v>1885</v>
      </c>
      <c r="I555" s="21">
        <f>VALUE(LEFT(Budgets[[#This Row],[Fiscal Year]],4))</f>
        <v>2010</v>
      </c>
      <c r="J555" s="20">
        <v>4251000</v>
      </c>
      <c r="K555" s="27">
        <f>IF(Budgets[[#This Row],[Reference Year]]&gt;2018,Budgets[[#This Row],[Value]],Budgets[[#This Row],[Value]]*(1+VLOOKUP(Budgets[[#This Row],[Reference Year]],Inflation[#All],3,FALSE)))</f>
        <v>4904554.7042640988</v>
      </c>
      <c r="L555" s="27">
        <f>Budgets[[#This Row],[2018 $ Value]]/VLOOKUP(Budgets[[#This Row],[Jurisdiction]],Places[],6,FALSE)</f>
        <v>38.409857500697775</v>
      </c>
      <c r="M555" s="27">
        <f>Budgets[[#This Row],[2018 $ Value]]/VLOOKUP(Budgets[[#This Row],[Jurisdiction]],Places[],7,FALSE)</f>
        <v>88850.628700436573</v>
      </c>
      <c r="N555" s="27"/>
      <c r="O555" s="27" t="s">
        <v>1460</v>
      </c>
      <c r="P555" s="4"/>
      <c r="Q555"/>
    </row>
    <row r="556" spans="1:17" x14ac:dyDescent="0.25">
      <c r="A556" s="19" t="s">
        <v>261</v>
      </c>
      <c r="B556" s="19" t="str">
        <f>INDEX(Places[Type],MATCH(Budgets[[#This Row],[Jurisdiction]],Places[Jurisdiction],0))</f>
        <v>City</v>
      </c>
      <c r="C556" s="19" t="str">
        <f>INDEX(Places[County],MATCH(Budgets[[#This Row],[Jurisdiction]],Places[Jurisdiction],0))</f>
        <v>Ventura</v>
      </c>
      <c r="D556" s="21" t="str">
        <f>INDEX(Places[Majority RB],MATCH(Budgets[[#This Row],[Jurisdiction]],Places[Jurisdiction],0))</f>
        <v>Los Angeles</v>
      </c>
      <c r="E556" s="19">
        <f>INDEX(Places[Majority RB '#],MATCH(Budgets[[#This Row],[Jurisdiction]],Places[Jurisdiction],0))</f>
        <v>4</v>
      </c>
      <c r="F556" s="19" t="str">
        <f>VLOOKUP(Budgets[[#This Row],[Jurisdiction]],Places[#All],8,FALSE)</f>
        <v>Phase I MS4</v>
      </c>
      <c r="G556" s="81"/>
      <c r="H556" s="21" t="s">
        <v>1870</v>
      </c>
      <c r="I556" s="21">
        <f>VALUE(LEFT(Budgets[[#This Row],[Fiscal Year]],4))</f>
        <v>2011</v>
      </c>
      <c r="J556" s="20">
        <v>2109000</v>
      </c>
      <c r="K556" s="27">
        <f>IF(Budgets[[#This Row],[Reference Year]]&gt;2018,Budgets[[#This Row],[Value]],Budgets[[#This Row],[Value]]*(1+VLOOKUP(Budgets[[#This Row],[Reference Year]],Inflation[#All],3,FALSE)))</f>
        <v>2359669.9822143177</v>
      </c>
      <c r="L556" s="27">
        <f>Budgets[[#This Row],[2018 $ Value]]/VLOOKUP(Budgets[[#This Row],[Jurisdiction]],Places[],6,FALSE)</f>
        <v>18.47967720427847</v>
      </c>
      <c r="M556" s="27">
        <f>Budgets[[#This Row],[2018 $ Value]]/VLOOKUP(Budgets[[#This Row],[Jurisdiction]],Places[],7,FALSE)</f>
        <v>42747.644605331836</v>
      </c>
      <c r="N556" s="27"/>
      <c r="O556" s="27" t="s">
        <v>1460</v>
      </c>
      <c r="P556" s="4"/>
      <c r="Q556"/>
    </row>
    <row r="557" spans="1:17" x14ac:dyDescent="0.25">
      <c r="A557" s="19" t="s">
        <v>261</v>
      </c>
      <c r="B557" s="19" t="str">
        <f>INDEX(Places[Type],MATCH(Budgets[[#This Row],[Jurisdiction]],Places[Jurisdiction],0))</f>
        <v>City</v>
      </c>
      <c r="C557" s="19" t="str">
        <f>INDEX(Places[County],MATCH(Budgets[[#This Row],[Jurisdiction]],Places[Jurisdiction],0))</f>
        <v>Ventura</v>
      </c>
      <c r="D557" s="21" t="str">
        <f>INDEX(Places[Majority RB],MATCH(Budgets[[#This Row],[Jurisdiction]],Places[Jurisdiction],0))</f>
        <v>Los Angeles</v>
      </c>
      <c r="E557" s="19">
        <f>INDEX(Places[Majority RB '#],MATCH(Budgets[[#This Row],[Jurisdiction]],Places[Jurisdiction],0))</f>
        <v>4</v>
      </c>
      <c r="F557" s="19" t="str">
        <f>VLOOKUP(Budgets[[#This Row],[Jurisdiction]],Places[#All],8,FALSE)</f>
        <v>Phase I MS4</v>
      </c>
      <c r="G557" s="81"/>
      <c r="H557" s="21" t="s">
        <v>1871</v>
      </c>
      <c r="I557" s="21">
        <f>VALUE(LEFT(Budgets[[#This Row],[Fiscal Year]],4))</f>
        <v>2012</v>
      </c>
      <c r="J557" s="20">
        <v>1098000</v>
      </c>
      <c r="K557" s="27">
        <f>IF(Budgets[[#This Row],[Reference Year]]&gt;2018,Budgets[[#This Row],[Value]],Budgets[[#This Row],[Value]]*(1+VLOOKUP(Budgets[[#This Row],[Reference Year]],Inflation[#All],3,FALSE)))</f>
        <v>1203357.3083623694</v>
      </c>
      <c r="L557" s="27">
        <f>Budgets[[#This Row],[2018 $ Value]]/VLOOKUP(Budgets[[#This Row],[Jurisdiction]],Places[],6,FALSE)</f>
        <v>9.4240528495760785</v>
      </c>
      <c r="M557" s="27">
        <f>Budgets[[#This Row],[2018 $ Value]]/VLOOKUP(Budgets[[#This Row],[Jurisdiction]],Places[],7,FALSE)</f>
        <v>21799.951238448721</v>
      </c>
      <c r="N557" s="27"/>
      <c r="O557" s="27" t="s">
        <v>1460</v>
      </c>
      <c r="P557" s="4"/>
      <c r="Q557"/>
    </row>
    <row r="558" spans="1:17" x14ac:dyDescent="0.25">
      <c r="A558" s="19" t="s">
        <v>261</v>
      </c>
      <c r="B558" s="19" t="str">
        <f>INDEX(Places[Type],MATCH(Budgets[[#This Row],[Jurisdiction]],Places[Jurisdiction],0))</f>
        <v>City</v>
      </c>
      <c r="C558" s="19" t="str">
        <f>INDEX(Places[County],MATCH(Budgets[[#This Row],[Jurisdiction]],Places[Jurisdiction],0))</f>
        <v>Ventura</v>
      </c>
      <c r="D558" s="21" t="str">
        <f>INDEX(Places[Majority RB],MATCH(Budgets[[#This Row],[Jurisdiction]],Places[Jurisdiction],0))</f>
        <v>Los Angeles</v>
      </c>
      <c r="E558" s="19">
        <f>INDEX(Places[Majority RB '#],MATCH(Budgets[[#This Row],[Jurisdiction]],Places[Jurisdiction],0))</f>
        <v>4</v>
      </c>
      <c r="F558" s="19" t="str">
        <f>VLOOKUP(Budgets[[#This Row],[Jurisdiction]],Places[#All],8,FALSE)</f>
        <v>Phase I MS4</v>
      </c>
      <c r="G558" s="81"/>
      <c r="H558" s="21" t="s">
        <v>1881</v>
      </c>
      <c r="I558" s="21">
        <f>VALUE(LEFT(Budgets[[#This Row],[Fiscal Year]],4))</f>
        <v>2014</v>
      </c>
      <c r="J558" s="20">
        <v>900000</v>
      </c>
      <c r="K558" s="27">
        <f>IF(Budgets[[#This Row],[Reference Year]]&gt;2018,Budgets[[#This Row],[Value]],Budgets[[#This Row],[Value]]*(1+VLOOKUP(Budgets[[#This Row],[Reference Year]],Inflation[#All],3,FALSE)))</f>
        <v>956771.86311787076</v>
      </c>
      <c r="L558" s="27">
        <f>Budgets[[#This Row],[2018 $ Value]]/VLOOKUP(Budgets[[#This Row],[Jurisdiction]],Places[],6,FALSE)</f>
        <v>7.4929271134612794</v>
      </c>
      <c r="M558" s="27">
        <f>Budgets[[#This Row],[2018 $ Value]]/VLOOKUP(Budgets[[#This Row],[Jurisdiction]],Places[],7,FALSE)</f>
        <v>17332.823607207803</v>
      </c>
      <c r="N558" s="27"/>
      <c r="O558" s="27" t="s">
        <v>1460</v>
      </c>
      <c r="P558" s="4"/>
      <c r="Q558"/>
    </row>
    <row r="559" spans="1:17" x14ac:dyDescent="0.25">
      <c r="A559" s="19" t="s">
        <v>261</v>
      </c>
      <c r="B559" s="21" t="str">
        <f>INDEX(Places[Type],MATCH(Budgets[[#This Row],[Jurisdiction]],Places[Jurisdiction],0))</f>
        <v>City</v>
      </c>
      <c r="C559" s="21" t="str">
        <f>INDEX(Places[County],MATCH(Budgets[[#This Row],[Jurisdiction]],Places[Jurisdiction],0))</f>
        <v>Ventura</v>
      </c>
      <c r="D559" s="21" t="str">
        <f>INDEX(Places[Majority RB],MATCH(Budgets[[#This Row],[Jurisdiction]],Places[Jurisdiction],0))</f>
        <v>Los Angeles</v>
      </c>
      <c r="E559" s="19">
        <f>INDEX(Places[Majority RB '#],MATCH(Budgets[[#This Row],[Jurisdiction]],Places[Jurisdiction],0))</f>
        <v>4</v>
      </c>
      <c r="F559" s="21" t="str">
        <f>VLOOKUP(Budgets[[#This Row],[Jurisdiction]],Places[#All],8,FALSE)</f>
        <v>Phase I MS4</v>
      </c>
      <c r="G559" s="81"/>
      <c r="H559" s="21" t="s">
        <v>1876</v>
      </c>
      <c r="I559" s="21">
        <f>VALUE(LEFT(Budgets[[#This Row],[Fiscal Year]],4))</f>
        <v>2018</v>
      </c>
      <c r="J559" s="20">
        <v>980000</v>
      </c>
      <c r="K559" s="27">
        <f>IF(Budgets[[#This Row],[Reference Year]]&gt;2018,Budgets[[#This Row],[Value]],Budgets[[#This Row],[Value]]*(1+VLOOKUP(Budgets[[#This Row],[Reference Year]],Inflation[#All],3,FALSE)))</f>
        <v>980000</v>
      </c>
      <c r="L559" s="27">
        <f>Budgets[[#This Row],[2018 $ Value]]/VLOOKUP(Budgets[[#This Row],[Jurisdiction]],Places[],6,FALSE)</f>
        <v>7.6748374970631996</v>
      </c>
      <c r="M559" s="27">
        <f>Budgets[[#This Row],[2018 $ Value]]/VLOOKUP(Budgets[[#This Row],[Jurisdiction]],Places[],7,FALSE)</f>
        <v>17753.623188405796</v>
      </c>
      <c r="N559" s="27" t="s">
        <v>1853</v>
      </c>
      <c r="O559" s="27" t="s">
        <v>1853</v>
      </c>
      <c r="P559" s="4"/>
      <c r="Q559"/>
    </row>
    <row r="560" spans="1:17" x14ac:dyDescent="0.25">
      <c r="A560" s="19" t="s">
        <v>149</v>
      </c>
      <c r="B560" s="19" t="str">
        <f>INDEX(Places[Type],MATCH(Budgets[[#This Row],[Jurisdiction]],Places[Jurisdiction],0))</f>
        <v>City</v>
      </c>
      <c r="C560" s="19" t="str">
        <f>INDEX(Places[County],MATCH(Budgets[[#This Row],[Jurisdiction]],Places[Jurisdiction],0))</f>
        <v>Los Angeles</v>
      </c>
      <c r="D560" s="21" t="str">
        <f>INDEX(Places[Majority RB],MATCH(Budgets[[#This Row],[Jurisdiction]],Places[Jurisdiction],0))</f>
        <v>Los Angeles</v>
      </c>
      <c r="E560" s="19">
        <f>INDEX(Places[Majority RB '#],MATCH(Budgets[[#This Row],[Jurisdiction]],Places[Jurisdiction],0))</f>
        <v>4</v>
      </c>
      <c r="F560" s="19" t="str">
        <f>VLOOKUP(Budgets[[#This Row],[Jurisdiction]],Places[#All],8,FALSE)</f>
        <v>Phase I MS4</v>
      </c>
      <c r="G560" s="81"/>
      <c r="H560" s="100" t="s">
        <v>1870</v>
      </c>
      <c r="I560" s="21">
        <f>VALUE(LEFT(Budgets[[#This Row],[Fiscal Year]],4))</f>
        <v>2011</v>
      </c>
      <c r="J560" s="20">
        <v>1599807</v>
      </c>
      <c r="K560" s="27">
        <f>IF(Budgets[[#This Row],[Reference Year]]&gt;2018,Budgets[[#This Row],[Value]],Budgets[[#This Row],[Value]]*(1+VLOOKUP(Budgets[[#This Row],[Reference Year]],Inflation[#All],3,FALSE)))</f>
        <v>1789955.6923832817</v>
      </c>
      <c r="L560" s="27">
        <f>Budgets[[#This Row],[2018 $ Value]]/VLOOKUP(Budgets[[#This Row],[Jurisdiction]],Places[],6,FALSE)</f>
        <v>12.329046936832952</v>
      </c>
      <c r="M560" s="27">
        <f>Budgets[[#This Row],[2018 $ Value]]/VLOOKUP(Budgets[[#This Row],[Jurisdiction]],Places[],7,FALSE)</f>
        <v>87314.911823574716</v>
      </c>
      <c r="N560" s="27"/>
      <c r="O560" s="27" t="s">
        <v>1460</v>
      </c>
      <c r="P560" s="4"/>
      <c r="Q560"/>
    </row>
    <row r="561" spans="1:17" x14ac:dyDescent="0.25">
      <c r="A561" s="19" t="s">
        <v>149</v>
      </c>
      <c r="B561" s="19" t="str">
        <f>INDEX(Places[Type],MATCH(Budgets[[#This Row],[Jurisdiction]],Places[Jurisdiction],0))</f>
        <v>City</v>
      </c>
      <c r="C561" s="19" t="str">
        <f>INDEX(Places[County],MATCH(Budgets[[#This Row],[Jurisdiction]],Places[Jurisdiction],0))</f>
        <v>Los Angeles</v>
      </c>
      <c r="D561" s="21" t="str">
        <f>INDEX(Places[Majority RB],MATCH(Budgets[[#This Row],[Jurisdiction]],Places[Jurisdiction],0))</f>
        <v>Los Angeles</v>
      </c>
      <c r="E561" s="19">
        <f>INDEX(Places[Majority RB '#],MATCH(Budgets[[#This Row],[Jurisdiction]],Places[Jurisdiction],0))</f>
        <v>4</v>
      </c>
      <c r="F561" s="19" t="str">
        <f>VLOOKUP(Budgets[[#This Row],[Jurisdiction]],Places[#All],8,FALSE)</f>
        <v>Phase I MS4</v>
      </c>
      <c r="G561" s="81"/>
      <c r="H561" s="100" t="s">
        <v>1871</v>
      </c>
      <c r="I561" s="21">
        <f>VALUE(LEFT(Budgets[[#This Row],[Fiscal Year]],4))</f>
        <v>2012</v>
      </c>
      <c r="J561" s="20">
        <v>11860000</v>
      </c>
      <c r="K561" s="27">
        <f>IF(Budgets[[#This Row],[Reference Year]]&gt;2018,Budgets[[#This Row],[Value]],Budgets[[#This Row],[Value]]*(1+VLOOKUP(Budgets[[#This Row],[Reference Year]],Inflation[#All],3,FALSE)))</f>
        <v>12998012.456445994</v>
      </c>
      <c r="L561" s="27">
        <f>Budgets[[#This Row],[2018 $ Value]]/VLOOKUP(Budgets[[#This Row],[Jurisdiction]],Places[],6,FALSE)</f>
        <v>89.529090771900059</v>
      </c>
      <c r="M561" s="27">
        <f>Budgets[[#This Row],[2018 $ Value]]/VLOOKUP(Budgets[[#This Row],[Jurisdiction]],Places[],7,FALSE)</f>
        <v>634049.38811931678</v>
      </c>
      <c r="N561" s="27"/>
      <c r="O561" s="27" t="s">
        <v>1460</v>
      </c>
      <c r="P561" s="4"/>
      <c r="Q561"/>
    </row>
    <row r="562" spans="1:17" x14ac:dyDescent="0.25">
      <c r="A562" s="19" t="s">
        <v>149</v>
      </c>
      <c r="B562" s="19" t="str">
        <f>INDEX(Places[Type],MATCH(Budgets[[#This Row],[Jurisdiction]],Places[Jurisdiction],0))</f>
        <v>City</v>
      </c>
      <c r="C562" s="19" t="str">
        <f>INDEX(Places[County],MATCH(Budgets[[#This Row],[Jurisdiction]],Places[Jurisdiction],0))</f>
        <v>Los Angeles</v>
      </c>
      <c r="D562" s="21" t="str">
        <f>INDEX(Places[Majority RB],MATCH(Budgets[[#This Row],[Jurisdiction]],Places[Jurisdiction],0))</f>
        <v>Los Angeles</v>
      </c>
      <c r="E562" s="19">
        <f>INDEX(Places[Majority RB '#],MATCH(Budgets[[#This Row],[Jurisdiction]],Places[Jurisdiction],0))</f>
        <v>4</v>
      </c>
      <c r="F562" s="19" t="str">
        <f>VLOOKUP(Budgets[[#This Row],[Jurisdiction]],Places[#All],8,FALSE)</f>
        <v>Phase I MS4</v>
      </c>
      <c r="G562" s="81"/>
      <c r="H562" s="100" t="s">
        <v>1869</v>
      </c>
      <c r="I562" s="21">
        <f>VALUE(LEFT(Budgets[[#This Row],[Fiscal Year]],4))</f>
        <v>2016</v>
      </c>
      <c r="J562" s="20">
        <v>3159000</v>
      </c>
      <c r="K562" s="27">
        <f>IF(Budgets[[#This Row],[Reference Year]]&gt;2018,Budgets[[#This Row],[Value]],Budgets[[#This Row],[Value]]*(1+VLOOKUP(Budgets[[#This Row],[Reference Year]],Inflation[#All],3,FALSE)))</f>
        <v>3312093.0375000001</v>
      </c>
      <c r="L562" s="27">
        <f>Budgets[[#This Row],[2018 $ Value]]/VLOOKUP(Budgets[[#This Row],[Jurisdiction]],Places[],6,FALSE)</f>
        <v>22.813386215233294</v>
      </c>
      <c r="M562" s="27">
        <f>Budgets[[#This Row],[2018 $ Value]]/VLOOKUP(Budgets[[#This Row],[Jurisdiction]],Places[],7,FALSE)</f>
        <v>161565.51402439026</v>
      </c>
      <c r="N562" s="27"/>
      <c r="O562" s="27" t="s">
        <v>1853</v>
      </c>
      <c r="P562" s="4"/>
      <c r="Q562"/>
    </row>
    <row r="563" spans="1:17" x14ac:dyDescent="0.25">
      <c r="A563" s="19" t="s">
        <v>293</v>
      </c>
      <c r="B563" s="19" t="str">
        <f>INDEX(Places[Type],MATCH(Budgets[[#This Row],[Jurisdiction]],Places[Jurisdiction],0))</f>
        <v>City</v>
      </c>
      <c r="C563" s="19" t="str">
        <f>INDEX(Places[County],MATCH(Budgets[[#This Row],[Jurisdiction]],Places[Jurisdiction],0))</f>
        <v>Orange</v>
      </c>
      <c r="D563" s="21" t="str">
        <f>INDEX(Places[Majority RB],MATCH(Budgets[[#This Row],[Jurisdiction]],Places[Jurisdiction],0))</f>
        <v>Santa Ana</v>
      </c>
      <c r="E563" s="19">
        <f>INDEX(Places[Majority RB '#],MATCH(Budgets[[#This Row],[Jurisdiction]],Places[Jurisdiction],0))</f>
        <v>8</v>
      </c>
      <c r="F563" s="19" t="str">
        <f>VLOOKUP(Budgets[[#This Row],[Jurisdiction]],Places[#All],8,FALSE)</f>
        <v>Phase I MS4</v>
      </c>
      <c r="G563" s="81"/>
      <c r="H563" s="21" t="s">
        <v>1875</v>
      </c>
      <c r="I563" s="21">
        <f>VALUE(LEFT(Budgets[[#This Row],[Fiscal Year]],4))</f>
        <v>2001</v>
      </c>
      <c r="J563" s="20">
        <v>771700</v>
      </c>
      <c r="K563" s="27">
        <f>IF(Budgets[[#This Row],[Reference Year]]&gt;2018,Budgets[[#This Row],[Value]],Budgets[[#This Row],[Value]]*(1+VLOOKUP(Budgets[[#This Row],[Reference Year]],Inflation[#All],3,FALSE)))</f>
        <v>1096463.2563523434</v>
      </c>
      <c r="L563" s="27">
        <f>Budgets[[#This Row],[2018 $ Value]]/VLOOKUP(Budgets[[#This Row],[Jurisdiction]],Places[],6,FALSE)</f>
        <v>13.741002022085887</v>
      </c>
      <c r="M563" s="27">
        <f>Budgets[[#This Row],[2018 $ Value]]/VLOOKUP(Budgets[[#This Row],[Jurisdiction]],Places[],7,FALSE)</f>
        <v>98780.473545256158</v>
      </c>
      <c r="N563" s="27"/>
      <c r="O563" s="27" t="s">
        <v>1460</v>
      </c>
      <c r="P563" s="4"/>
      <c r="Q563"/>
    </row>
    <row r="564" spans="1:17" x14ac:dyDescent="0.25">
      <c r="A564" s="19" t="s">
        <v>293</v>
      </c>
      <c r="B564" s="19" t="str">
        <f>INDEX(Places[Type],MATCH(Budgets[[#This Row],[Jurisdiction]],Places[Jurisdiction],0))</f>
        <v>City</v>
      </c>
      <c r="C564" s="19" t="str">
        <f>INDEX(Places[County],MATCH(Budgets[[#This Row],[Jurisdiction]],Places[Jurisdiction],0))</f>
        <v>Orange</v>
      </c>
      <c r="D564" s="21" t="str">
        <f>INDEX(Places[Majority RB],MATCH(Budgets[[#This Row],[Jurisdiction]],Places[Jurisdiction],0))</f>
        <v>Santa Ana</v>
      </c>
      <c r="E564" s="19">
        <f>INDEX(Places[Majority RB '#],MATCH(Budgets[[#This Row],[Jurisdiction]],Places[Jurisdiction],0))</f>
        <v>8</v>
      </c>
      <c r="F564" s="19" t="str">
        <f>VLOOKUP(Budgets[[#This Row],[Jurisdiction]],Places[#All],8,FALSE)</f>
        <v>Phase I MS4</v>
      </c>
      <c r="G564" s="81"/>
      <c r="H564" s="21" t="s">
        <v>1872</v>
      </c>
      <c r="I564" s="21">
        <f>VALUE(LEFT(Budgets[[#This Row],[Fiscal Year]],4))</f>
        <v>2002</v>
      </c>
      <c r="J564" s="20">
        <v>722000</v>
      </c>
      <c r="K564" s="27">
        <f>IF(Budgets[[#This Row],[Reference Year]]&gt;2018,Budgets[[#This Row],[Value]],Budgets[[#This Row],[Value]]*(1+VLOOKUP(Budgets[[#This Row],[Reference Year]],Inflation[#All],3,FALSE)))</f>
        <v>1009880.9449694274</v>
      </c>
      <c r="L564" s="27">
        <f>Budgets[[#This Row],[2018 $ Value]]/VLOOKUP(Budgets[[#This Row],[Jurisdiction]],Places[],6,FALSE)</f>
        <v>12.655942665197411</v>
      </c>
      <c r="M564" s="27">
        <f>Budgets[[#This Row],[2018 $ Value]]/VLOOKUP(Budgets[[#This Row],[Jurisdiction]],Places[],7,FALSE)</f>
        <v>90980.265312561038</v>
      </c>
      <c r="N564" s="27"/>
      <c r="O564" s="27" t="s">
        <v>1853</v>
      </c>
      <c r="P564" s="4"/>
      <c r="Q564"/>
    </row>
    <row r="565" spans="1:17" x14ac:dyDescent="0.25">
      <c r="A565" s="19" t="s">
        <v>252</v>
      </c>
      <c r="B565" s="19" t="str">
        <f>INDEX(Places[Type],MATCH(Budgets[[#This Row],[Jurisdiction]],Places[Jurisdiction],0))</f>
        <v>City</v>
      </c>
      <c r="C565" s="19" t="str">
        <f>INDEX(Places[County],MATCH(Budgets[[#This Row],[Jurisdiction]],Places[Jurisdiction],0))</f>
        <v>San Bernardino</v>
      </c>
      <c r="D565" s="21" t="str">
        <f>INDEX(Places[Majority RB],MATCH(Budgets[[#This Row],[Jurisdiction]],Places[Jurisdiction],0))</f>
        <v>Santa Ana</v>
      </c>
      <c r="E565" s="19">
        <f>INDEX(Places[Majority RB '#],MATCH(Budgets[[#This Row],[Jurisdiction]],Places[Jurisdiction],0))</f>
        <v>8</v>
      </c>
      <c r="F565" s="19" t="str">
        <f>VLOOKUP(Budgets[[#This Row],[Jurisdiction]],Places[#All],8,FALSE)</f>
        <v>Phase I MS4</v>
      </c>
      <c r="G565" s="81"/>
      <c r="H565" s="21" t="s">
        <v>1871</v>
      </c>
      <c r="I565" s="21">
        <f>VALUE(LEFT(Budgets[[#This Row],[Fiscal Year]],4))</f>
        <v>2012</v>
      </c>
      <c r="J565" s="20">
        <v>341970</v>
      </c>
      <c r="K565" s="27">
        <f>IF(Budgets[[#This Row],[Reference Year]]&gt;2018,Budgets[[#This Row],[Value]],Budgets[[#This Row],[Value]]*(1+VLOOKUP(Budgets[[#This Row],[Reference Year]],Inflation[#All],3,FALSE)))</f>
        <v>374783.33218641113</v>
      </c>
      <c r="L565" s="27">
        <f>Budgets[[#This Row],[2018 $ Value]]/VLOOKUP(Budgets[[#This Row],[Jurisdiction]],Places[],6,FALSE)</f>
        <v>4.8673160024209237</v>
      </c>
      <c r="M565" s="27">
        <f>Budgets[[#This Row],[2018 $ Value]]/VLOOKUP(Budgets[[#This Row],[Jurisdiction]],Places[],7,FALSE)</f>
        <v>24024.572576051996</v>
      </c>
      <c r="N565" s="27"/>
      <c r="O565" s="27" t="s">
        <v>1460</v>
      </c>
      <c r="P565" s="4"/>
      <c r="Q565"/>
    </row>
    <row r="566" spans="1:17" x14ac:dyDescent="0.25">
      <c r="A566" s="19" t="s">
        <v>252</v>
      </c>
      <c r="B566" s="19" t="str">
        <f>INDEX(Places[Type],MATCH(Budgets[[#This Row],[Jurisdiction]],Places[Jurisdiction],0))</f>
        <v>City</v>
      </c>
      <c r="C566" s="19" t="str">
        <f>INDEX(Places[County],MATCH(Budgets[[#This Row],[Jurisdiction]],Places[Jurisdiction],0))</f>
        <v>San Bernardino</v>
      </c>
      <c r="D566" s="21" t="str">
        <f>INDEX(Places[Majority RB],MATCH(Budgets[[#This Row],[Jurisdiction]],Places[Jurisdiction],0))</f>
        <v>Santa Ana</v>
      </c>
      <c r="E566" s="19">
        <f>INDEX(Places[Majority RB '#],MATCH(Budgets[[#This Row],[Jurisdiction]],Places[Jurisdiction],0))</f>
        <v>8</v>
      </c>
      <c r="F566" s="19" t="str">
        <f>VLOOKUP(Budgets[[#This Row],[Jurisdiction]],Places[#All],8,FALSE)</f>
        <v>Phase I MS4</v>
      </c>
      <c r="G566" s="81"/>
      <c r="H566" s="21" t="s">
        <v>1880</v>
      </c>
      <c r="I566" s="21">
        <f>VALUE(LEFT(Budgets[[#This Row],[Fiscal Year]],4))</f>
        <v>2013</v>
      </c>
      <c r="J566" s="20">
        <v>345500</v>
      </c>
      <c r="K566" s="27">
        <f>IF(Budgets[[#This Row],[Reference Year]]&gt;2018,Budgets[[#This Row],[Value]],Budgets[[#This Row],[Value]]*(1+VLOOKUP(Budgets[[#This Row],[Reference Year]],Inflation[#All],3,FALSE)))</f>
        <v>373126.65450643777</v>
      </c>
      <c r="L566" s="27">
        <f>Budgets[[#This Row],[2018 $ Value]]/VLOOKUP(Budgets[[#This Row],[Jurisdiction]],Places[],6,FALSE)</f>
        <v>4.8458007078758154</v>
      </c>
      <c r="M566" s="27">
        <f>Budgets[[#This Row],[2018 $ Value]]/VLOOKUP(Budgets[[#This Row],[Jurisdiction]],Places[],7,FALSE)</f>
        <v>23918.375288874216</v>
      </c>
      <c r="N566" s="27"/>
      <c r="O566" s="27" t="s">
        <v>1460</v>
      </c>
      <c r="P566" s="4"/>
      <c r="Q566"/>
    </row>
    <row r="567" spans="1:17" x14ac:dyDescent="0.25">
      <c r="A567" s="19" t="s">
        <v>252</v>
      </c>
      <c r="B567" s="19" t="str">
        <f>INDEX(Places[Type],MATCH(Budgets[[#This Row],[Jurisdiction]],Places[Jurisdiction],0))</f>
        <v>City</v>
      </c>
      <c r="C567" s="19" t="str">
        <f>INDEX(Places[County],MATCH(Budgets[[#This Row],[Jurisdiction]],Places[Jurisdiction],0))</f>
        <v>San Bernardino</v>
      </c>
      <c r="D567" s="21" t="str">
        <f>INDEX(Places[Majority RB],MATCH(Budgets[[#This Row],[Jurisdiction]],Places[Jurisdiction],0))</f>
        <v>Santa Ana</v>
      </c>
      <c r="E567" s="19">
        <f>INDEX(Places[Majority RB '#],MATCH(Budgets[[#This Row],[Jurisdiction]],Places[Jurisdiction],0))</f>
        <v>8</v>
      </c>
      <c r="F567" s="19" t="str">
        <f>VLOOKUP(Budgets[[#This Row],[Jurisdiction]],Places[#All],8,FALSE)</f>
        <v>Phase I MS4</v>
      </c>
      <c r="G567" s="81"/>
      <c r="H567" s="21" t="s">
        <v>1881</v>
      </c>
      <c r="I567" s="21">
        <f>VALUE(LEFT(Budgets[[#This Row],[Fiscal Year]],4))</f>
        <v>2014</v>
      </c>
      <c r="J567" s="20">
        <v>287334</v>
      </c>
      <c r="K567" s="27">
        <f>IF(Budgets[[#This Row],[Reference Year]]&gt;2018,Budgets[[#This Row],[Value]],Budgets[[#This Row],[Value]]*(1+VLOOKUP(Budgets[[#This Row],[Reference Year]],Inflation[#All],3,FALSE)))</f>
        <v>305458.98501901142</v>
      </c>
      <c r="L567" s="27">
        <f>Budgets[[#This Row],[2018 $ Value]]/VLOOKUP(Budgets[[#This Row],[Jurisdiction]],Places[],6,FALSE)</f>
        <v>3.9669998054417066</v>
      </c>
      <c r="M567" s="27">
        <f>Budgets[[#This Row],[2018 $ Value]]/VLOOKUP(Budgets[[#This Row],[Jurisdiction]],Places[],7,FALSE)</f>
        <v>19580.704167885349</v>
      </c>
      <c r="N567" s="27"/>
      <c r="O567" s="27" t="s">
        <v>1460</v>
      </c>
      <c r="P567" s="4"/>
      <c r="Q567"/>
    </row>
    <row r="568" spans="1:17" x14ac:dyDescent="0.25">
      <c r="A568" s="19" t="s">
        <v>252</v>
      </c>
      <c r="B568" s="19" t="str">
        <f>INDEX(Places[Type],MATCH(Budgets[[#This Row],[Jurisdiction]],Places[Jurisdiction],0))</f>
        <v>City</v>
      </c>
      <c r="C568" s="19" t="str">
        <f>INDEX(Places[County],MATCH(Budgets[[#This Row],[Jurisdiction]],Places[Jurisdiction],0))</f>
        <v>San Bernardino</v>
      </c>
      <c r="D568" s="21" t="str">
        <f>INDEX(Places[Majority RB],MATCH(Budgets[[#This Row],[Jurisdiction]],Places[Jurisdiction],0))</f>
        <v>Santa Ana</v>
      </c>
      <c r="E568" s="19">
        <f>INDEX(Places[Majority RB '#],MATCH(Budgets[[#This Row],[Jurisdiction]],Places[Jurisdiction],0))</f>
        <v>8</v>
      </c>
      <c r="F568" s="19" t="str">
        <f>VLOOKUP(Budgets[[#This Row],[Jurisdiction]],Places[#All],8,FALSE)</f>
        <v>Phase I MS4</v>
      </c>
      <c r="G568" s="81"/>
      <c r="H568" s="21" t="s">
        <v>1873</v>
      </c>
      <c r="I568" s="21">
        <f>VALUE(LEFT(Budgets[[#This Row],[Fiscal Year]],4))</f>
        <v>2015</v>
      </c>
      <c r="J568" s="20">
        <v>280160</v>
      </c>
      <c r="K568" s="27">
        <f>IF(Budgets[[#This Row],[Reference Year]]&gt;2018,Budgets[[#This Row],[Value]],Budgets[[#This Row],[Value]]*(1+VLOOKUP(Budgets[[#This Row],[Reference Year]],Inflation[#All],3,FALSE)))</f>
        <v>297455.44708860759</v>
      </c>
      <c r="L568" s="27">
        <f>Budgets[[#This Row],[2018 $ Value]]/VLOOKUP(Budgets[[#This Row],[Jurisdiction]],Places[],6,FALSE)</f>
        <v>3.8630577543975013</v>
      </c>
      <c r="M568" s="27">
        <f>Budgets[[#This Row],[2018 $ Value]]/VLOOKUP(Budgets[[#This Row],[Jurisdiction]],Places[],7,FALSE)</f>
        <v>19067.656864654335</v>
      </c>
      <c r="N568" s="27"/>
      <c r="O568" s="27" t="s">
        <v>1460</v>
      </c>
      <c r="P568" s="4"/>
      <c r="Q568"/>
    </row>
    <row r="569" spans="1:17" x14ac:dyDescent="0.25">
      <c r="A569" s="19" t="s">
        <v>252</v>
      </c>
      <c r="B569" s="19" t="str">
        <f>INDEX(Places[Type],MATCH(Budgets[[#This Row],[Jurisdiction]],Places[Jurisdiction],0))</f>
        <v>City</v>
      </c>
      <c r="C569" s="19" t="str">
        <f>INDEX(Places[County],MATCH(Budgets[[#This Row],[Jurisdiction]],Places[Jurisdiction],0))</f>
        <v>San Bernardino</v>
      </c>
      <c r="D569" s="21" t="str">
        <f>INDEX(Places[Majority RB],MATCH(Budgets[[#This Row],[Jurisdiction]],Places[Jurisdiction],0))</f>
        <v>Santa Ana</v>
      </c>
      <c r="E569" s="19">
        <f>INDEX(Places[Majority RB '#],MATCH(Budgets[[#This Row],[Jurisdiction]],Places[Jurisdiction],0))</f>
        <v>8</v>
      </c>
      <c r="F569" s="19" t="str">
        <f>VLOOKUP(Budgets[[#This Row],[Jurisdiction]],Places[#All],8,FALSE)</f>
        <v>Phase I MS4</v>
      </c>
      <c r="G569" s="81"/>
      <c r="H569" s="21" t="s">
        <v>1869</v>
      </c>
      <c r="I569" s="21">
        <f>VALUE(LEFT(Budgets[[#This Row],[Fiscal Year]],4))</f>
        <v>2016</v>
      </c>
      <c r="J569" s="20">
        <v>370600</v>
      </c>
      <c r="K569" s="27">
        <f>IF(Budgets[[#This Row],[Reference Year]]&gt;2018,Budgets[[#This Row],[Value]],Budgets[[#This Row],[Value]]*(1+VLOOKUP(Budgets[[#This Row],[Reference Year]],Inflation[#All],3,FALSE)))</f>
        <v>388560.20250000001</v>
      </c>
      <c r="L569" s="27">
        <f>Budgets[[#This Row],[2018 $ Value]]/VLOOKUP(Budgets[[#This Row],[Jurisdiction]],Places[],6,FALSE)</f>
        <v>5.0462363961038958</v>
      </c>
      <c r="M569" s="27">
        <f>Budgets[[#This Row],[2018 $ Value]]/VLOOKUP(Budgets[[#This Row],[Jurisdiction]],Places[],7,FALSE)</f>
        <v>24907.70528846154</v>
      </c>
      <c r="N569" s="27"/>
      <c r="O569" s="27" t="s">
        <v>1853</v>
      </c>
      <c r="P569" s="4"/>
      <c r="Q569"/>
    </row>
    <row r="570" spans="1:17" x14ac:dyDescent="0.25">
      <c r="A570" s="19" t="s">
        <v>1447</v>
      </c>
      <c r="B570" s="19" t="str">
        <f>INDEX(Places[Type],MATCH(Budgets[[#This Row],[Jurisdiction]],Places[Jurisdiction],0))</f>
        <v>County</v>
      </c>
      <c r="C570" s="19" t="str">
        <f>INDEX(Places[County],MATCH(Budgets[[#This Row],[Jurisdiction]],Places[Jurisdiction],0))</f>
        <v>Ventura</v>
      </c>
      <c r="D570" s="21" t="str">
        <f>INDEX(Places[Majority RB],MATCH(Budgets[[#This Row],[Jurisdiction]],Places[Jurisdiction],0))</f>
        <v>Los Angeles</v>
      </c>
      <c r="E570" s="19">
        <f>INDEX(Places[Majority RB '#],MATCH(Budgets[[#This Row],[Jurisdiction]],Places[Jurisdiction],0))</f>
        <v>4</v>
      </c>
      <c r="F570" s="19" t="str">
        <f>VLOOKUP(Budgets[[#This Row],[Jurisdiction]],Places[#All],8,FALSE)</f>
        <v>Phase I MS4</v>
      </c>
      <c r="G570" s="81"/>
      <c r="H570" s="21" t="s">
        <v>1882</v>
      </c>
      <c r="I570" s="21">
        <f>VALUE(LEFT(Budgets[[#This Row],[Fiscal Year]],4))</f>
        <v>2005</v>
      </c>
      <c r="J570" s="20">
        <v>913978</v>
      </c>
      <c r="K570" s="27">
        <f>IF(Budgets[[#This Row],[Reference Year]]&gt;2018,Budgets[[#This Row],[Value]],Budgets[[#This Row],[Value]]*(1+VLOOKUP(Budgets[[#This Row],[Reference Year]],Inflation[#All],3,FALSE)))</f>
        <v>1177599.5807373272</v>
      </c>
      <c r="L570" s="27" t="e">
        <f>Budgets[[#This Row],[2018 $ Value]]/VLOOKUP(Budgets[[#This Row],[Jurisdiction]],Places[],6,FALSE)</f>
        <v>#N/A</v>
      </c>
      <c r="M570" s="27" t="e">
        <f>Budgets[[#This Row],[2018 $ Value]]/VLOOKUP(Budgets[[#This Row],[Jurisdiction]],Places[],7,FALSE)</f>
        <v>#N/A</v>
      </c>
      <c r="N570" s="27"/>
      <c r="O570" s="27" t="s">
        <v>1460</v>
      </c>
      <c r="P570" s="4"/>
      <c r="Q570"/>
    </row>
    <row r="571" spans="1:17" x14ac:dyDescent="0.25">
      <c r="A571" s="19" t="s">
        <v>1447</v>
      </c>
      <c r="B571" s="19" t="str">
        <f>INDEX(Places[Type],MATCH(Budgets[[#This Row],[Jurisdiction]],Places[Jurisdiction],0))</f>
        <v>County</v>
      </c>
      <c r="C571" s="19" t="str">
        <f>INDEX(Places[County],MATCH(Budgets[[#This Row],[Jurisdiction]],Places[Jurisdiction],0))</f>
        <v>Ventura</v>
      </c>
      <c r="D571" s="21" t="str">
        <f>INDEX(Places[Majority RB],MATCH(Budgets[[#This Row],[Jurisdiction]],Places[Jurisdiction],0))</f>
        <v>Los Angeles</v>
      </c>
      <c r="E571" s="19">
        <f>INDEX(Places[Majority RB '#],MATCH(Budgets[[#This Row],[Jurisdiction]],Places[Jurisdiction],0))</f>
        <v>4</v>
      </c>
      <c r="F571" s="19" t="str">
        <f>VLOOKUP(Budgets[[#This Row],[Jurisdiction]],Places[#All],8,FALSE)</f>
        <v>Phase I MS4</v>
      </c>
      <c r="G571" s="81"/>
      <c r="H571" s="21" t="s">
        <v>1883</v>
      </c>
      <c r="I571" s="21">
        <f>VALUE(LEFT(Budgets[[#This Row],[Fiscal Year]],4))</f>
        <v>2006</v>
      </c>
      <c r="J571" s="20">
        <v>715995</v>
      </c>
      <c r="K571" s="27">
        <f>IF(Budgets[[#This Row],[Reference Year]]&gt;2018,Budgets[[#This Row],[Value]],Budgets[[#This Row],[Value]]*(1+VLOOKUP(Budgets[[#This Row],[Reference Year]],Inflation[#All],3,FALSE)))</f>
        <v>893683.22343750007</v>
      </c>
      <c r="L571" s="27" t="e">
        <f>Budgets[[#This Row],[2018 $ Value]]/VLOOKUP(Budgets[[#This Row],[Jurisdiction]],Places[],6,FALSE)</f>
        <v>#N/A</v>
      </c>
      <c r="M571" s="27" t="e">
        <f>Budgets[[#This Row],[2018 $ Value]]/VLOOKUP(Budgets[[#This Row],[Jurisdiction]],Places[],7,FALSE)</f>
        <v>#N/A</v>
      </c>
      <c r="N571" s="27"/>
      <c r="O571" s="27" t="s">
        <v>1460</v>
      </c>
      <c r="P571" s="4"/>
      <c r="Q571"/>
    </row>
    <row r="572" spans="1:17" x14ac:dyDescent="0.25">
      <c r="A572" s="19" t="s">
        <v>1447</v>
      </c>
      <c r="B572" s="19" t="str">
        <f>INDEX(Places[Type],MATCH(Budgets[[#This Row],[Jurisdiction]],Places[Jurisdiction],0))</f>
        <v>County</v>
      </c>
      <c r="C572" s="19" t="str">
        <f>INDEX(Places[County],MATCH(Budgets[[#This Row],[Jurisdiction]],Places[Jurisdiction],0))</f>
        <v>Ventura</v>
      </c>
      <c r="D572" s="21" t="str">
        <f>INDEX(Places[Majority RB],MATCH(Budgets[[#This Row],[Jurisdiction]],Places[Jurisdiction],0))</f>
        <v>Los Angeles</v>
      </c>
      <c r="E572" s="19">
        <f>INDEX(Places[Majority RB '#],MATCH(Budgets[[#This Row],[Jurisdiction]],Places[Jurisdiction],0))</f>
        <v>4</v>
      </c>
      <c r="F572" s="19" t="str">
        <f>VLOOKUP(Budgets[[#This Row],[Jurisdiction]],Places[#All],8,FALSE)</f>
        <v>Phase I MS4</v>
      </c>
      <c r="G572" s="81"/>
      <c r="H572" s="21" t="s">
        <v>1884</v>
      </c>
      <c r="I572" s="21">
        <f>VALUE(LEFT(Budgets[[#This Row],[Fiscal Year]],4))</f>
        <v>2008</v>
      </c>
      <c r="J572" s="20">
        <v>706028</v>
      </c>
      <c r="K572" s="27">
        <f>IF(Budgets[[#This Row],[Reference Year]]&gt;2018,Budgets[[#This Row],[Value]],Budgets[[#This Row],[Value]]*(1+VLOOKUP(Budgets[[#This Row],[Reference Year]],Inflation[#All],3,FALSE)))</f>
        <v>825167.35563399899</v>
      </c>
      <c r="L572" s="27" t="e">
        <f>Budgets[[#This Row],[2018 $ Value]]/VLOOKUP(Budgets[[#This Row],[Jurisdiction]],Places[],6,FALSE)</f>
        <v>#N/A</v>
      </c>
      <c r="M572" s="27" t="e">
        <f>Budgets[[#This Row],[2018 $ Value]]/VLOOKUP(Budgets[[#This Row],[Jurisdiction]],Places[],7,FALSE)</f>
        <v>#N/A</v>
      </c>
      <c r="N572" s="27"/>
      <c r="O572" s="27" t="s">
        <v>1460</v>
      </c>
      <c r="P572" s="4"/>
      <c r="Q572"/>
    </row>
    <row r="573" spans="1:17" x14ac:dyDescent="0.25">
      <c r="A573" s="19" t="s">
        <v>1447</v>
      </c>
      <c r="B573" s="19" t="str">
        <f>INDEX(Places[Type],MATCH(Budgets[[#This Row],[Jurisdiction]],Places[Jurisdiction],0))</f>
        <v>County</v>
      </c>
      <c r="C573" s="19" t="str">
        <f>INDEX(Places[County],MATCH(Budgets[[#This Row],[Jurisdiction]],Places[Jurisdiction],0))</f>
        <v>Ventura</v>
      </c>
      <c r="D573" s="21" t="str">
        <f>INDEX(Places[Majority RB],MATCH(Budgets[[#This Row],[Jurisdiction]],Places[Jurisdiction],0))</f>
        <v>Los Angeles</v>
      </c>
      <c r="E573" s="19">
        <f>INDEX(Places[Majority RB '#],MATCH(Budgets[[#This Row],[Jurisdiction]],Places[Jurisdiction],0))</f>
        <v>4</v>
      </c>
      <c r="F573" s="19" t="str">
        <f>VLOOKUP(Budgets[[#This Row],[Jurisdiction]],Places[#All],8,FALSE)</f>
        <v>Phase I MS4</v>
      </c>
      <c r="G573" s="81"/>
      <c r="H573" s="21" t="s">
        <v>1885</v>
      </c>
      <c r="I573" s="21">
        <f>VALUE(LEFT(Budgets[[#This Row],[Fiscal Year]],4))</f>
        <v>2010</v>
      </c>
      <c r="J573" s="20">
        <v>2295562</v>
      </c>
      <c r="K573" s="27">
        <f>IF(Budgets[[#This Row],[Reference Year]]&gt;2018,Budgets[[#This Row],[Value]],Budgets[[#This Row],[Value]]*(1+VLOOKUP(Budgets[[#This Row],[Reference Year]],Inflation[#All],3,FALSE)))</f>
        <v>2648484.9226134801</v>
      </c>
      <c r="L573" s="27" t="e">
        <f>Budgets[[#This Row],[2018 $ Value]]/VLOOKUP(Budgets[[#This Row],[Jurisdiction]],Places[],6,FALSE)</f>
        <v>#N/A</v>
      </c>
      <c r="M573" s="27" t="e">
        <f>Budgets[[#This Row],[2018 $ Value]]/VLOOKUP(Budgets[[#This Row],[Jurisdiction]],Places[],7,FALSE)</f>
        <v>#N/A</v>
      </c>
      <c r="N573" s="27"/>
      <c r="O573" s="27" t="s">
        <v>1460</v>
      </c>
      <c r="P573" s="4"/>
      <c r="Q573"/>
    </row>
    <row r="574" spans="1:17" x14ac:dyDescent="0.25">
      <c r="A574" s="19" t="s">
        <v>1447</v>
      </c>
      <c r="B574" s="19" t="str">
        <f>INDEX(Places[Type],MATCH(Budgets[[#This Row],[Jurisdiction]],Places[Jurisdiction],0))</f>
        <v>County</v>
      </c>
      <c r="C574" s="19" t="str">
        <f>INDEX(Places[County],MATCH(Budgets[[#This Row],[Jurisdiction]],Places[Jurisdiction],0))</f>
        <v>Ventura</v>
      </c>
      <c r="D574" s="21" t="str">
        <f>INDEX(Places[Majority RB],MATCH(Budgets[[#This Row],[Jurisdiction]],Places[Jurisdiction],0))</f>
        <v>Los Angeles</v>
      </c>
      <c r="E574" s="19">
        <f>INDEX(Places[Majority RB '#],MATCH(Budgets[[#This Row],[Jurisdiction]],Places[Jurisdiction],0))</f>
        <v>4</v>
      </c>
      <c r="F574" s="19" t="str">
        <f>VLOOKUP(Budgets[[#This Row],[Jurisdiction]],Places[#All],8,FALSE)</f>
        <v>Phase I MS4</v>
      </c>
      <c r="G574" s="81"/>
      <c r="H574" s="21" t="s">
        <v>1870</v>
      </c>
      <c r="I574" s="21">
        <f>VALUE(LEFT(Budgets[[#This Row],[Fiscal Year]],4))</f>
        <v>2011</v>
      </c>
      <c r="J574" s="20">
        <v>2179568</v>
      </c>
      <c r="K574" s="27">
        <f>IF(Budgets[[#This Row],[Reference Year]]&gt;2018,Budgets[[#This Row],[Value]],Budgets[[#This Row],[Value]]*(1+VLOOKUP(Budgets[[#This Row],[Reference Year]],Inflation[#All],3,FALSE)))</f>
        <v>2438625.5020364607</v>
      </c>
      <c r="L574" s="27" t="e">
        <f>Budgets[[#This Row],[2018 $ Value]]/VLOOKUP(Budgets[[#This Row],[Jurisdiction]],Places[],6,FALSE)</f>
        <v>#N/A</v>
      </c>
      <c r="M574" s="27" t="e">
        <f>Budgets[[#This Row],[2018 $ Value]]/VLOOKUP(Budgets[[#This Row],[Jurisdiction]],Places[],7,FALSE)</f>
        <v>#N/A</v>
      </c>
      <c r="N574" s="27"/>
      <c r="O574" s="27" t="s">
        <v>1460</v>
      </c>
      <c r="P574" s="4"/>
      <c r="Q574"/>
    </row>
    <row r="575" spans="1:17" x14ac:dyDescent="0.25">
      <c r="A575" s="19" t="s">
        <v>1447</v>
      </c>
      <c r="B575" s="19" t="str">
        <f>INDEX(Places[Type],MATCH(Budgets[[#This Row],[Jurisdiction]],Places[Jurisdiction],0))</f>
        <v>County</v>
      </c>
      <c r="C575" s="19" t="str">
        <f>INDEX(Places[County],MATCH(Budgets[[#This Row],[Jurisdiction]],Places[Jurisdiction],0))</f>
        <v>Ventura</v>
      </c>
      <c r="D575" s="21" t="str">
        <f>INDEX(Places[Majority RB],MATCH(Budgets[[#This Row],[Jurisdiction]],Places[Jurisdiction],0))</f>
        <v>Los Angeles</v>
      </c>
      <c r="E575" s="19">
        <f>INDEX(Places[Majority RB '#],MATCH(Budgets[[#This Row],[Jurisdiction]],Places[Jurisdiction],0))</f>
        <v>4</v>
      </c>
      <c r="F575" s="19" t="str">
        <f>VLOOKUP(Budgets[[#This Row],[Jurisdiction]],Places[#All],8,FALSE)</f>
        <v>Phase I MS4</v>
      </c>
      <c r="G575" s="81"/>
      <c r="H575" s="21" t="s">
        <v>1871</v>
      </c>
      <c r="I575" s="21">
        <f>VALUE(LEFT(Budgets[[#This Row],[Fiscal Year]],4))</f>
        <v>2012</v>
      </c>
      <c r="J575" s="20">
        <v>1998342</v>
      </c>
      <c r="K575" s="27">
        <f>IF(Budgets[[#This Row],[Reference Year]]&gt;2018,Budgets[[#This Row],[Value]],Budgets[[#This Row],[Value]]*(1+VLOOKUP(Budgets[[#This Row],[Reference Year]],Inflation[#All],3,FALSE)))</f>
        <v>2190090.5740505229</v>
      </c>
      <c r="L575" s="27" t="e">
        <f>Budgets[[#This Row],[2018 $ Value]]/VLOOKUP(Budgets[[#This Row],[Jurisdiction]],Places[],6,FALSE)</f>
        <v>#N/A</v>
      </c>
      <c r="M575" s="27" t="e">
        <f>Budgets[[#This Row],[2018 $ Value]]/VLOOKUP(Budgets[[#This Row],[Jurisdiction]],Places[],7,FALSE)</f>
        <v>#N/A</v>
      </c>
      <c r="N575" s="27"/>
      <c r="O575" s="27" t="s">
        <v>1460</v>
      </c>
      <c r="P575" s="4"/>
      <c r="Q575"/>
    </row>
    <row r="576" spans="1:17" x14ac:dyDescent="0.25">
      <c r="A576" s="19" t="s">
        <v>1447</v>
      </c>
      <c r="B576" s="19" t="str">
        <f>INDEX(Places[Type],MATCH(Budgets[[#This Row],[Jurisdiction]],Places[Jurisdiction],0))</f>
        <v>County</v>
      </c>
      <c r="C576" s="19" t="str">
        <f>INDEX(Places[County],MATCH(Budgets[[#This Row],[Jurisdiction]],Places[Jurisdiction],0))</f>
        <v>Ventura</v>
      </c>
      <c r="D576" s="21" t="str">
        <f>INDEX(Places[Majority RB],MATCH(Budgets[[#This Row],[Jurisdiction]],Places[Jurisdiction],0))</f>
        <v>Los Angeles</v>
      </c>
      <c r="E576" s="19">
        <f>INDEX(Places[Majority RB '#],MATCH(Budgets[[#This Row],[Jurisdiction]],Places[Jurisdiction],0))</f>
        <v>4</v>
      </c>
      <c r="F576" s="19" t="str">
        <f>VLOOKUP(Budgets[[#This Row],[Jurisdiction]],Places[#All],8,FALSE)</f>
        <v>Phase I MS4</v>
      </c>
      <c r="G576" s="81"/>
      <c r="H576" s="21" t="s">
        <v>1881</v>
      </c>
      <c r="I576" s="21">
        <f>VALUE(LEFT(Budgets[[#This Row],[Fiscal Year]],4))</f>
        <v>2014</v>
      </c>
      <c r="J576" s="20">
        <v>4517700</v>
      </c>
      <c r="K576" s="27">
        <f>IF(Budgets[[#This Row],[Reference Year]]&gt;2018,Budgets[[#This Row],[Value]],Budgets[[#This Row],[Value]]*(1+VLOOKUP(Budgets[[#This Row],[Reference Year]],Inflation[#All],3,FALSE)))</f>
        <v>4802675.8288973384</v>
      </c>
      <c r="L576" s="27" t="e">
        <f>Budgets[[#This Row],[2018 $ Value]]/VLOOKUP(Budgets[[#This Row],[Jurisdiction]],Places[],6,FALSE)</f>
        <v>#N/A</v>
      </c>
      <c r="M576" s="27" t="e">
        <f>Budgets[[#This Row],[2018 $ Value]]/VLOOKUP(Budgets[[#This Row],[Jurisdiction]],Places[],7,FALSE)</f>
        <v>#N/A</v>
      </c>
      <c r="N576" s="27"/>
      <c r="O576" s="27" t="s">
        <v>1460</v>
      </c>
      <c r="P576" s="4"/>
      <c r="Q576"/>
    </row>
    <row r="577" spans="1:17" x14ac:dyDescent="0.25">
      <c r="A577" s="19" t="s">
        <v>1447</v>
      </c>
      <c r="B577" s="19" t="str">
        <f>INDEX(Places[Type],MATCH(Budgets[[#This Row],[Jurisdiction]],Places[Jurisdiction],0))</f>
        <v>County</v>
      </c>
      <c r="C577" s="19" t="str">
        <f>INDEX(Places[County],MATCH(Budgets[[#This Row],[Jurisdiction]],Places[Jurisdiction],0))</f>
        <v>Ventura</v>
      </c>
      <c r="D577" s="21" t="str">
        <f>INDEX(Places[Majority RB],MATCH(Budgets[[#This Row],[Jurisdiction]],Places[Jurisdiction],0))</f>
        <v>Los Angeles</v>
      </c>
      <c r="E577" s="19">
        <f>INDEX(Places[Majority RB '#],MATCH(Budgets[[#This Row],[Jurisdiction]],Places[Jurisdiction],0))</f>
        <v>4</v>
      </c>
      <c r="F577" s="19" t="str">
        <f>VLOOKUP(Budgets[[#This Row],[Jurisdiction]],Places[#All],8,FALSE)</f>
        <v>Phase I MS4</v>
      </c>
      <c r="G577" s="81"/>
      <c r="H577" s="21" t="s">
        <v>1876</v>
      </c>
      <c r="I577" s="21">
        <f>VALUE(LEFT(Budgets[[#This Row],[Fiscal Year]],4))</f>
        <v>2018</v>
      </c>
      <c r="J577" s="20">
        <v>2936200</v>
      </c>
      <c r="K577" s="27">
        <f>IF(Budgets[[#This Row],[Reference Year]]&gt;2018,Budgets[[#This Row],[Value]],Budgets[[#This Row],[Value]]*(1+VLOOKUP(Budgets[[#This Row],[Reference Year]],Inflation[#All],3,FALSE)))</f>
        <v>2936200</v>
      </c>
      <c r="L577" s="27" t="e">
        <f>Budgets[[#This Row],[2018 $ Value]]/VLOOKUP(Budgets[[#This Row],[Jurisdiction]],Places[],6,FALSE)</f>
        <v>#N/A</v>
      </c>
      <c r="M577" s="27" t="e">
        <f>Budgets[[#This Row],[2018 $ Value]]/VLOOKUP(Budgets[[#This Row],[Jurisdiction]],Places[],7,FALSE)</f>
        <v>#N/A</v>
      </c>
      <c r="N577" s="27" t="s">
        <v>1853</v>
      </c>
      <c r="O577" s="27" t="s">
        <v>1853</v>
      </c>
      <c r="P577" s="4"/>
      <c r="Q577"/>
    </row>
    <row r="578" spans="1:17" x14ac:dyDescent="0.25">
      <c r="A578" s="19" t="s">
        <v>424</v>
      </c>
      <c r="B578" s="19" t="str">
        <f>INDEX(Places[Type],MATCH(Budgets[[#This Row],[Jurisdiction]],Places[Jurisdiction],0))</f>
        <v>FCD</v>
      </c>
      <c r="C578" s="19" t="str">
        <f>INDEX(Places[County],MATCH(Budgets[[#This Row],[Jurisdiction]],Places[Jurisdiction],0))</f>
        <v>Ventura</v>
      </c>
      <c r="D578" s="21" t="str">
        <f>INDEX(Places[Majority RB],MATCH(Budgets[[#This Row],[Jurisdiction]],Places[Jurisdiction],0))</f>
        <v>Los Angeles</v>
      </c>
      <c r="E578" s="19">
        <f>INDEX(Places[Majority RB '#],MATCH(Budgets[[#This Row],[Jurisdiction]],Places[Jurisdiction],0))</f>
        <v>4</v>
      </c>
      <c r="F578" s="19" t="str">
        <f>VLOOKUP(Budgets[[#This Row],[Jurisdiction]],Places[#All],8,FALSE)</f>
        <v>Phase I MS4</v>
      </c>
      <c r="G578" s="81"/>
      <c r="H578" s="21" t="s">
        <v>1882</v>
      </c>
      <c r="I578" s="21">
        <f>VALUE(LEFT(Budgets[[#This Row],[Fiscal Year]],4))</f>
        <v>2005</v>
      </c>
      <c r="J578" s="20">
        <v>3042733</v>
      </c>
      <c r="K578" s="27">
        <f>IF(Budgets[[#This Row],[Reference Year]]&gt;2018,Budgets[[#This Row],[Value]],Budgets[[#This Row],[Value]]*(1+VLOOKUP(Budgets[[#This Row],[Reference Year]],Inflation[#All],3,FALSE)))</f>
        <v>3920358.1542396313</v>
      </c>
      <c r="L578" s="27" t="e">
        <f>Budgets[[#This Row],[2018 $ Value]]/VLOOKUP(Budgets[[#This Row],[Jurisdiction]],Places[],6,FALSE)</f>
        <v>#N/A</v>
      </c>
      <c r="M578" s="27" t="e">
        <f>Budgets[[#This Row],[2018 $ Value]]/VLOOKUP(Budgets[[#This Row],[Jurisdiction]],Places[],7,FALSE)</f>
        <v>#N/A</v>
      </c>
      <c r="N578" s="27"/>
      <c r="O578" s="27" t="s">
        <v>1460</v>
      </c>
      <c r="P578" s="4"/>
      <c r="Q578"/>
    </row>
    <row r="579" spans="1:17" x14ac:dyDescent="0.25">
      <c r="A579" s="19" t="s">
        <v>424</v>
      </c>
      <c r="B579" s="19" t="str">
        <f>INDEX(Places[Type],MATCH(Budgets[[#This Row],[Jurisdiction]],Places[Jurisdiction],0))</f>
        <v>FCD</v>
      </c>
      <c r="C579" s="19" t="str">
        <f>INDEX(Places[County],MATCH(Budgets[[#This Row],[Jurisdiction]],Places[Jurisdiction],0))</f>
        <v>Ventura</v>
      </c>
      <c r="D579" s="21" t="str">
        <f>INDEX(Places[Majority RB],MATCH(Budgets[[#This Row],[Jurisdiction]],Places[Jurisdiction],0))</f>
        <v>Los Angeles</v>
      </c>
      <c r="E579" s="19">
        <f>INDEX(Places[Majority RB '#],MATCH(Budgets[[#This Row],[Jurisdiction]],Places[Jurisdiction],0))</f>
        <v>4</v>
      </c>
      <c r="F579" s="19" t="str">
        <f>VLOOKUP(Budgets[[#This Row],[Jurisdiction]],Places[#All],8,FALSE)</f>
        <v>Phase I MS4</v>
      </c>
      <c r="G579" s="81"/>
      <c r="H579" s="21" t="s">
        <v>1883</v>
      </c>
      <c r="I579" s="21">
        <f>VALUE(LEFT(Budgets[[#This Row],[Fiscal Year]],4))</f>
        <v>2006</v>
      </c>
      <c r="J579" s="20">
        <v>3164432</v>
      </c>
      <c r="K579" s="27">
        <f>IF(Budgets[[#This Row],[Reference Year]]&gt;2018,Budgets[[#This Row],[Value]],Budgets[[#This Row],[Value]]*(1+VLOOKUP(Budgets[[#This Row],[Reference Year]],Inflation[#All],3,FALSE)))</f>
        <v>3949747.9592857147</v>
      </c>
      <c r="L579" s="27" t="e">
        <f>Budgets[[#This Row],[2018 $ Value]]/VLOOKUP(Budgets[[#This Row],[Jurisdiction]],Places[],6,FALSE)</f>
        <v>#N/A</v>
      </c>
      <c r="M579" s="27" t="e">
        <f>Budgets[[#This Row],[2018 $ Value]]/VLOOKUP(Budgets[[#This Row],[Jurisdiction]],Places[],7,FALSE)</f>
        <v>#N/A</v>
      </c>
      <c r="N579" s="27"/>
      <c r="O579" s="27" t="s">
        <v>1460</v>
      </c>
      <c r="P579" s="4"/>
      <c r="Q579"/>
    </row>
    <row r="580" spans="1:17" x14ac:dyDescent="0.25">
      <c r="A580" s="19" t="s">
        <v>424</v>
      </c>
      <c r="B580" s="19" t="str">
        <f>INDEX(Places[Type],MATCH(Budgets[[#This Row],[Jurisdiction]],Places[Jurisdiction],0))</f>
        <v>FCD</v>
      </c>
      <c r="C580" s="19" t="str">
        <f>INDEX(Places[County],MATCH(Budgets[[#This Row],[Jurisdiction]],Places[Jurisdiction],0))</f>
        <v>Ventura</v>
      </c>
      <c r="D580" s="21" t="str">
        <f>INDEX(Places[Majority RB],MATCH(Budgets[[#This Row],[Jurisdiction]],Places[Jurisdiction],0))</f>
        <v>Los Angeles</v>
      </c>
      <c r="E580" s="19">
        <f>INDEX(Places[Majority RB '#],MATCH(Budgets[[#This Row],[Jurisdiction]],Places[Jurisdiction],0))</f>
        <v>4</v>
      </c>
      <c r="F580" s="19" t="str">
        <f>VLOOKUP(Budgets[[#This Row],[Jurisdiction]],Places[#All],8,FALSE)</f>
        <v>Phase I MS4</v>
      </c>
      <c r="G580" s="81"/>
      <c r="H580" s="21" t="s">
        <v>1884</v>
      </c>
      <c r="I580" s="21">
        <f>VALUE(LEFT(Budgets[[#This Row],[Fiscal Year]],4))</f>
        <v>2008</v>
      </c>
      <c r="J580" s="20">
        <v>3164432</v>
      </c>
      <c r="K580" s="27">
        <f>IF(Budgets[[#This Row],[Reference Year]]&gt;2018,Budgets[[#This Row],[Value]],Budgets[[#This Row],[Value]]*(1+VLOOKUP(Budgets[[#This Row],[Reference Year]],Inflation[#All],3,FALSE)))</f>
        <v>3698417.0394426379</v>
      </c>
      <c r="L580" s="27" t="e">
        <f>Budgets[[#This Row],[2018 $ Value]]/VLOOKUP(Budgets[[#This Row],[Jurisdiction]],Places[],6,FALSE)</f>
        <v>#N/A</v>
      </c>
      <c r="M580" s="27" t="e">
        <f>Budgets[[#This Row],[2018 $ Value]]/VLOOKUP(Budgets[[#This Row],[Jurisdiction]],Places[],7,FALSE)</f>
        <v>#N/A</v>
      </c>
      <c r="N580" s="27"/>
      <c r="O580" s="27" t="s">
        <v>1460</v>
      </c>
      <c r="P580" s="4"/>
      <c r="Q580"/>
    </row>
    <row r="581" spans="1:17" x14ac:dyDescent="0.25">
      <c r="A581" s="19" t="s">
        <v>424</v>
      </c>
      <c r="B581" s="19" t="str">
        <f>INDEX(Places[Type],MATCH(Budgets[[#This Row],[Jurisdiction]],Places[Jurisdiction],0))</f>
        <v>FCD</v>
      </c>
      <c r="C581" s="19" t="str">
        <f>INDEX(Places[County],MATCH(Budgets[[#This Row],[Jurisdiction]],Places[Jurisdiction],0))</f>
        <v>Ventura</v>
      </c>
      <c r="D581" s="21" t="str">
        <f>INDEX(Places[Majority RB],MATCH(Budgets[[#This Row],[Jurisdiction]],Places[Jurisdiction],0))</f>
        <v>Los Angeles</v>
      </c>
      <c r="E581" s="19">
        <f>INDEX(Places[Majority RB '#],MATCH(Budgets[[#This Row],[Jurisdiction]],Places[Jurisdiction],0))</f>
        <v>4</v>
      </c>
      <c r="F581" s="19" t="str">
        <f>VLOOKUP(Budgets[[#This Row],[Jurisdiction]],Places[#All],8,FALSE)</f>
        <v>Phase I MS4</v>
      </c>
      <c r="G581" s="81"/>
      <c r="H581" s="21" t="s">
        <v>1885</v>
      </c>
      <c r="I581" s="21">
        <f>VALUE(LEFT(Budgets[[#This Row],[Fiscal Year]],4))</f>
        <v>2010</v>
      </c>
      <c r="J581" s="20">
        <v>2710000</v>
      </c>
      <c r="K581" s="27">
        <f>IF(Budgets[[#This Row],[Reference Year]]&gt;2018,Budgets[[#This Row],[Value]],Budgets[[#This Row],[Value]]*(1+VLOOKUP(Budgets[[#This Row],[Reference Year]],Inflation[#All],3,FALSE)))</f>
        <v>3126639.2022008253</v>
      </c>
      <c r="L581" s="27" t="e">
        <f>Budgets[[#This Row],[2018 $ Value]]/VLOOKUP(Budgets[[#This Row],[Jurisdiction]],Places[],6,FALSE)</f>
        <v>#N/A</v>
      </c>
      <c r="M581" s="27" t="e">
        <f>Budgets[[#This Row],[2018 $ Value]]/VLOOKUP(Budgets[[#This Row],[Jurisdiction]],Places[],7,FALSE)</f>
        <v>#N/A</v>
      </c>
      <c r="N581" s="27"/>
      <c r="O581" s="27" t="s">
        <v>1460</v>
      </c>
      <c r="P581" s="4"/>
      <c r="Q581"/>
    </row>
    <row r="582" spans="1:17" x14ac:dyDescent="0.25">
      <c r="A582" s="19" t="s">
        <v>424</v>
      </c>
      <c r="B582" s="19" t="str">
        <f>INDEX(Places[Type],MATCH(Budgets[[#This Row],[Jurisdiction]],Places[Jurisdiction],0))</f>
        <v>FCD</v>
      </c>
      <c r="C582" s="19" t="str">
        <f>INDEX(Places[County],MATCH(Budgets[[#This Row],[Jurisdiction]],Places[Jurisdiction],0))</f>
        <v>Ventura</v>
      </c>
      <c r="D582" s="21" t="str">
        <f>INDEX(Places[Majority RB],MATCH(Budgets[[#This Row],[Jurisdiction]],Places[Jurisdiction],0))</f>
        <v>Los Angeles</v>
      </c>
      <c r="E582" s="19">
        <f>INDEX(Places[Majority RB '#],MATCH(Budgets[[#This Row],[Jurisdiction]],Places[Jurisdiction],0))</f>
        <v>4</v>
      </c>
      <c r="F582" s="19" t="str">
        <f>VLOOKUP(Budgets[[#This Row],[Jurisdiction]],Places[#All],8,FALSE)</f>
        <v>Phase I MS4</v>
      </c>
      <c r="G582" s="81"/>
      <c r="H582" s="21" t="s">
        <v>1870</v>
      </c>
      <c r="I582" s="21">
        <f>VALUE(LEFT(Budgets[[#This Row],[Fiscal Year]],4))</f>
        <v>2011</v>
      </c>
      <c r="J582" s="20">
        <v>2710000</v>
      </c>
      <c r="K582" s="27">
        <f>IF(Budgets[[#This Row],[Reference Year]]&gt;2018,Budgets[[#This Row],[Value]],Budgets[[#This Row],[Value]]*(1+VLOOKUP(Budgets[[#This Row],[Reference Year]],Inflation[#All],3,FALSE)))</f>
        <v>3032103.2014228548</v>
      </c>
      <c r="L582" s="27" t="e">
        <f>Budgets[[#This Row],[2018 $ Value]]/VLOOKUP(Budgets[[#This Row],[Jurisdiction]],Places[],6,FALSE)</f>
        <v>#N/A</v>
      </c>
      <c r="M582" s="27" t="e">
        <f>Budgets[[#This Row],[2018 $ Value]]/VLOOKUP(Budgets[[#This Row],[Jurisdiction]],Places[],7,FALSE)</f>
        <v>#N/A</v>
      </c>
      <c r="N582" s="27"/>
      <c r="O582" s="27" t="s">
        <v>1460</v>
      </c>
      <c r="P582" s="4"/>
      <c r="Q582"/>
    </row>
    <row r="583" spans="1:17" x14ac:dyDescent="0.25">
      <c r="A583" s="19" t="s">
        <v>424</v>
      </c>
      <c r="B583" s="19" t="str">
        <f>INDEX(Places[Type],MATCH(Budgets[[#This Row],[Jurisdiction]],Places[Jurisdiction],0))</f>
        <v>FCD</v>
      </c>
      <c r="C583" s="19" t="str">
        <f>INDEX(Places[County],MATCH(Budgets[[#This Row],[Jurisdiction]],Places[Jurisdiction],0))</f>
        <v>Ventura</v>
      </c>
      <c r="D583" s="21" t="str">
        <f>INDEX(Places[Majority RB],MATCH(Budgets[[#This Row],[Jurisdiction]],Places[Jurisdiction],0))</f>
        <v>Los Angeles</v>
      </c>
      <c r="E583" s="19">
        <f>INDEX(Places[Majority RB '#],MATCH(Budgets[[#This Row],[Jurisdiction]],Places[Jurisdiction],0))</f>
        <v>4</v>
      </c>
      <c r="F583" s="19" t="str">
        <f>VLOOKUP(Budgets[[#This Row],[Jurisdiction]],Places[#All],8,FALSE)</f>
        <v>Phase I MS4</v>
      </c>
      <c r="G583" s="81"/>
      <c r="H583" s="21" t="s">
        <v>1871</v>
      </c>
      <c r="I583" s="21">
        <f>VALUE(LEFT(Budgets[[#This Row],[Fiscal Year]],4))</f>
        <v>2012</v>
      </c>
      <c r="J583" s="20">
        <v>2950000</v>
      </c>
      <c r="K583" s="27">
        <f>IF(Budgets[[#This Row],[Reference Year]]&gt;2018,Budgets[[#This Row],[Value]],Budgets[[#This Row],[Value]]*(1+VLOOKUP(Budgets[[#This Row],[Reference Year]],Inflation[#All],3,FALSE)))</f>
        <v>3233063.806620209</v>
      </c>
      <c r="L583" s="27" t="e">
        <f>Budgets[[#This Row],[2018 $ Value]]/VLOOKUP(Budgets[[#This Row],[Jurisdiction]],Places[],6,FALSE)</f>
        <v>#N/A</v>
      </c>
      <c r="M583" s="27" t="e">
        <f>Budgets[[#This Row],[2018 $ Value]]/VLOOKUP(Budgets[[#This Row],[Jurisdiction]],Places[],7,FALSE)</f>
        <v>#N/A</v>
      </c>
      <c r="N583" s="27"/>
      <c r="O583" s="27" t="s">
        <v>1460</v>
      </c>
      <c r="P583" s="4"/>
      <c r="Q583"/>
    </row>
    <row r="584" spans="1:17" x14ac:dyDescent="0.25">
      <c r="A584" s="19" t="s">
        <v>424</v>
      </c>
      <c r="B584" s="19" t="str">
        <f>INDEX(Places[Type],MATCH(Budgets[[#This Row],[Jurisdiction]],Places[Jurisdiction],0))</f>
        <v>FCD</v>
      </c>
      <c r="C584" s="19" t="str">
        <f>INDEX(Places[County],MATCH(Budgets[[#This Row],[Jurisdiction]],Places[Jurisdiction],0))</f>
        <v>Ventura</v>
      </c>
      <c r="D584" s="21" t="str">
        <f>INDEX(Places[Majority RB],MATCH(Budgets[[#This Row],[Jurisdiction]],Places[Jurisdiction],0))</f>
        <v>Los Angeles</v>
      </c>
      <c r="E584" s="19">
        <f>INDEX(Places[Majority RB '#],MATCH(Budgets[[#This Row],[Jurisdiction]],Places[Jurisdiction],0))</f>
        <v>4</v>
      </c>
      <c r="F584" s="19" t="str">
        <f>VLOOKUP(Budgets[[#This Row],[Jurisdiction]],Places[#All],8,FALSE)</f>
        <v>Phase I MS4</v>
      </c>
      <c r="G584" s="81"/>
      <c r="H584" s="21" t="s">
        <v>1881</v>
      </c>
      <c r="I584" s="21">
        <f>VALUE(LEFT(Budgets[[#This Row],[Fiscal Year]],4))</f>
        <v>2014</v>
      </c>
      <c r="J584" s="20">
        <v>2943204</v>
      </c>
      <c r="K584" s="27">
        <f>IF(Budgets[[#This Row],[Reference Year]]&gt;2018,Budgets[[#This Row],[Value]],Budgets[[#This Row],[Value]]*(1+VLOOKUP(Budgets[[#This Row],[Reference Year]],Inflation[#All],3,FALSE)))</f>
        <v>3128860.8606844107</v>
      </c>
      <c r="L584" s="27" t="e">
        <f>Budgets[[#This Row],[2018 $ Value]]/VLOOKUP(Budgets[[#This Row],[Jurisdiction]],Places[],6,FALSE)</f>
        <v>#N/A</v>
      </c>
      <c r="M584" s="27" t="e">
        <f>Budgets[[#This Row],[2018 $ Value]]/VLOOKUP(Budgets[[#This Row],[Jurisdiction]],Places[],7,FALSE)</f>
        <v>#N/A</v>
      </c>
      <c r="N584" s="27"/>
      <c r="O584" s="27" t="s">
        <v>1460</v>
      </c>
      <c r="P584" s="4"/>
      <c r="Q584"/>
    </row>
    <row r="585" spans="1:17" x14ac:dyDescent="0.25">
      <c r="A585" s="19" t="s">
        <v>424</v>
      </c>
      <c r="B585" s="19" t="str">
        <f>INDEX(Places[Type],MATCH(Budgets[[#This Row],[Jurisdiction]],Places[Jurisdiction],0))</f>
        <v>FCD</v>
      </c>
      <c r="C585" s="19" t="str">
        <f>INDEX(Places[County],MATCH(Budgets[[#This Row],[Jurisdiction]],Places[Jurisdiction],0))</f>
        <v>Ventura</v>
      </c>
      <c r="D585" s="21" t="str">
        <f>INDEX(Places[Majority RB],MATCH(Budgets[[#This Row],[Jurisdiction]],Places[Jurisdiction],0))</f>
        <v>Los Angeles</v>
      </c>
      <c r="E585" s="19">
        <f>INDEX(Places[Majority RB '#],MATCH(Budgets[[#This Row],[Jurisdiction]],Places[Jurisdiction],0))</f>
        <v>4</v>
      </c>
      <c r="F585" s="19" t="str">
        <f>VLOOKUP(Budgets[[#This Row],[Jurisdiction]],Places[#All],8,FALSE)</f>
        <v>Phase I MS4</v>
      </c>
      <c r="G585" s="81"/>
      <c r="H585" s="21" t="s">
        <v>1876</v>
      </c>
      <c r="I585" s="21">
        <f>VALUE(LEFT(Budgets[[#This Row],[Fiscal Year]],4))</f>
        <v>2018</v>
      </c>
      <c r="J585" s="20">
        <v>2949952</v>
      </c>
      <c r="K585" s="27">
        <f>IF(Budgets[[#This Row],[Reference Year]]&gt;2018,Budgets[[#This Row],[Value]],Budgets[[#This Row],[Value]]*(1+VLOOKUP(Budgets[[#This Row],[Reference Year]],Inflation[#All],3,FALSE)))</f>
        <v>2949952</v>
      </c>
      <c r="L585" s="27" t="e">
        <f>Budgets[[#This Row],[2018 $ Value]]/VLOOKUP(Budgets[[#This Row],[Jurisdiction]],Places[],6,FALSE)</f>
        <v>#N/A</v>
      </c>
      <c r="M585" s="27" t="e">
        <f>Budgets[[#This Row],[2018 $ Value]]/VLOOKUP(Budgets[[#This Row],[Jurisdiction]],Places[],7,FALSE)</f>
        <v>#N/A</v>
      </c>
      <c r="N585" s="27" t="s">
        <v>1853</v>
      </c>
      <c r="O585" s="27" t="s">
        <v>1853</v>
      </c>
      <c r="P585" s="4"/>
      <c r="Q585"/>
    </row>
    <row r="586" spans="1:17" x14ac:dyDescent="0.25">
      <c r="A586" s="19" t="s">
        <v>294</v>
      </c>
      <c r="B586" s="19" t="str">
        <f>INDEX(Places[Type],MATCH(Budgets[[#This Row],[Jurisdiction]],Places[Jurisdiction],0))</f>
        <v>City</v>
      </c>
      <c r="C586" s="19" t="str">
        <f>INDEX(Places[County],MATCH(Budgets[[#This Row],[Jurisdiction]],Places[Jurisdiction],0))</f>
        <v>Orange</v>
      </c>
      <c r="D586" s="21" t="str">
        <f>INDEX(Places[Majority RB],MATCH(Budgets[[#This Row],[Jurisdiction]],Places[Jurisdiction],0))</f>
        <v>Santa Ana</v>
      </c>
      <c r="E586" s="19">
        <f>INDEX(Places[Majority RB '#],MATCH(Budgets[[#This Row],[Jurisdiction]],Places[Jurisdiction],0))</f>
        <v>8</v>
      </c>
      <c r="F586" s="19" t="str">
        <f>VLOOKUP(Budgets[[#This Row],[Jurisdiction]],Places[#All],8,FALSE)</f>
        <v>Phase I MS4</v>
      </c>
      <c r="G586" s="81"/>
      <c r="H586" s="21" t="s">
        <v>1872</v>
      </c>
      <c r="I586" s="21">
        <f>VALUE(LEFT(Budgets[[#This Row],[Fiscal Year]],4))</f>
        <v>2002</v>
      </c>
      <c r="J586" s="20">
        <v>138000</v>
      </c>
      <c r="K586" s="27">
        <f>IF(Budgets[[#This Row],[Reference Year]]&gt;2018,Budgets[[#This Row],[Value]],Budgets[[#This Row],[Value]]*(1+VLOOKUP(Budgets[[#This Row],[Reference Year]],Inflation[#All],3,FALSE)))</f>
        <v>193024.33574207893</v>
      </c>
      <c r="L586" s="27">
        <f>Budgets[[#This Row],[2018 $ Value]]/VLOOKUP(Budgets[[#This Row],[Jurisdiction]],Places[],6,FALSE)</f>
        <v>33.057772862147445</v>
      </c>
      <c r="M586" s="27">
        <f>Budgets[[#This Row],[2018 $ Value]]/VLOOKUP(Budgets[[#This Row],[Jurisdiction]],Places[],7,FALSE)</f>
        <v>91916.350353370915</v>
      </c>
      <c r="N586" s="27"/>
      <c r="O586" s="27" t="s">
        <v>1853</v>
      </c>
      <c r="P586" s="4"/>
      <c r="Q586"/>
    </row>
    <row r="587" spans="1:17" x14ac:dyDescent="0.25">
      <c r="A587" s="19" t="s">
        <v>207</v>
      </c>
      <c r="B587" s="19" t="str">
        <f>INDEX(Places[Type],MATCH(Budgets[[#This Row],[Jurisdiction]],Places[Jurisdiction],0))</f>
        <v>City</v>
      </c>
      <c r="C587" s="19" t="str">
        <f>INDEX(Places[County],MATCH(Budgets[[#This Row],[Jurisdiction]],Places[Jurisdiction],0))</f>
        <v>Los Angeles</v>
      </c>
      <c r="D587" s="21" t="str">
        <f>INDEX(Places[Majority RB],MATCH(Budgets[[#This Row],[Jurisdiction]],Places[Jurisdiction],0))</f>
        <v>Los Angeles</v>
      </c>
      <c r="E587" s="19">
        <f>INDEX(Places[Majority RB '#],MATCH(Budgets[[#This Row],[Jurisdiction]],Places[Jurisdiction],0))</f>
        <v>4</v>
      </c>
      <c r="F587" s="19" t="str">
        <f>VLOOKUP(Budgets[[#This Row],[Jurisdiction]],Places[#All],8,FALSE)</f>
        <v>Phase I MS4</v>
      </c>
      <c r="G587" s="81"/>
      <c r="H587" s="21" t="s">
        <v>1870</v>
      </c>
      <c r="I587" s="21">
        <f>VALUE(LEFT(Budgets[[#This Row],[Fiscal Year]],4))</f>
        <v>2011</v>
      </c>
      <c r="J587" s="20">
        <v>29000</v>
      </c>
      <c r="K587" s="27">
        <f>IF(Budgets[[#This Row],[Reference Year]]&gt;2018,Budgets[[#This Row],[Value]],Budgets[[#This Row],[Value]]*(1+VLOOKUP(Budgets[[#This Row],[Reference Year]],Inflation[#All],3,FALSE)))</f>
        <v>32446.860827034237</v>
      </c>
      <c r="L587" s="27">
        <f>Budgets[[#This Row],[2018 $ Value]]/VLOOKUP(Budgets[[#This Row],[Jurisdiction]],Places[],6,FALSE)</f>
        <v>1.0813457584161248</v>
      </c>
      <c r="M587" s="27">
        <f>Budgets[[#This Row],[2018 $ Value]]/VLOOKUP(Budgets[[#This Row],[Jurisdiction]],Places[],7,FALSE)</f>
        <v>3605.2067585593595</v>
      </c>
      <c r="N587" s="27"/>
      <c r="O587" s="27" t="s">
        <v>1460</v>
      </c>
      <c r="P587" s="4"/>
      <c r="Q587"/>
    </row>
    <row r="588" spans="1:17" x14ac:dyDescent="0.25">
      <c r="A588" s="19" t="s">
        <v>207</v>
      </c>
      <c r="B588" s="19" t="str">
        <f>INDEX(Places[Type],MATCH(Budgets[[#This Row],[Jurisdiction]],Places[Jurisdiction],0))</f>
        <v>City</v>
      </c>
      <c r="C588" s="19" t="str">
        <f>INDEX(Places[County],MATCH(Budgets[[#This Row],[Jurisdiction]],Places[Jurisdiction],0))</f>
        <v>Los Angeles</v>
      </c>
      <c r="D588" s="21" t="str">
        <f>INDEX(Places[Majority RB],MATCH(Budgets[[#This Row],[Jurisdiction]],Places[Jurisdiction],0))</f>
        <v>Los Angeles</v>
      </c>
      <c r="E588" s="19">
        <f>INDEX(Places[Majority RB '#],MATCH(Budgets[[#This Row],[Jurisdiction]],Places[Jurisdiction],0))</f>
        <v>4</v>
      </c>
      <c r="F588" s="19" t="str">
        <f>VLOOKUP(Budgets[[#This Row],[Jurisdiction]],Places[#All],8,FALSE)</f>
        <v>Phase I MS4</v>
      </c>
      <c r="G588" s="81"/>
      <c r="H588" s="21" t="s">
        <v>1871</v>
      </c>
      <c r="I588" s="21">
        <f>VALUE(LEFT(Budgets[[#This Row],[Fiscal Year]],4))</f>
        <v>2012</v>
      </c>
      <c r="J588" s="20">
        <v>32000</v>
      </c>
      <c r="K588" s="27">
        <f>IF(Budgets[[#This Row],[Reference Year]]&gt;2018,Budgets[[#This Row],[Value]],Budgets[[#This Row],[Value]]*(1+VLOOKUP(Budgets[[#This Row],[Reference Year]],Inflation[#All],3,FALSE)))</f>
        <v>35070.522648083628</v>
      </c>
      <c r="L588" s="27">
        <f>Budgets[[#This Row],[2018 $ Value]]/VLOOKUP(Budgets[[#This Row],[Jurisdiction]],Places[],6,FALSE)</f>
        <v>1.1687836648698136</v>
      </c>
      <c r="M588" s="27">
        <f>Budgets[[#This Row],[2018 $ Value]]/VLOOKUP(Budgets[[#This Row],[Jurisdiction]],Places[],7,FALSE)</f>
        <v>3896.7247386759586</v>
      </c>
      <c r="N588" s="27"/>
      <c r="O588" s="27" t="s">
        <v>1460</v>
      </c>
      <c r="P588" s="4"/>
      <c r="Q588"/>
    </row>
    <row r="589" spans="1:17" x14ac:dyDescent="0.25">
      <c r="A589" s="19" t="s">
        <v>207</v>
      </c>
      <c r="B589" s="19" t="str">
        <f>INDEX(Places[Type],MATCH(Budgets[[#This Row],[Jurisdiction]],Places[Jurisdiction],0))</f>
        <v>City</v>
      </c>
      <c r="C589" s="19" t="str">
        <f>INDEX(Places[County],MATCH(Budgets[[#This Row],[Jurisdiction]],Places[Jurisdiction],0))</f>
        <v>Los Angeles</v>
      </c>
      <c r="D589" s="21" t="str">
        <f>INDEX(Places[Majority RB],MATCH(Budgets[[#This Row],[Jurisdiction]],Places[Jurisdiction],0))</f>
        <v>Los Angeles</v>
      </c>
      <c r="E589" s="19">
        <f>INDEX(Places[Majority RB '#],MATCH(Budgets[[#This Row],[Jurisdiction]],Places[Jurisdiction],0))</f>
        <v>4</v>
      </c>
      <c r="F589" s="19" t="str">
        <f>VLOOKUP(Budgets[[#This Row],[Jurisdiction]],Places[#All],8,FALSE)</f>
        <v>Phase I MS4</v>
      </c>
      <c r="G589" s="81"/>
      <c r="H589" s="21" t="s">
        <v>1869</v>
      </c>
      <c r="I589" s="21">
        <f>VALUE(LEFT(Budgets[[#This Row],[Fiscal Year]],4))</f>
        <v>2016</v>
      </c>
      <c r="J589" s="20">
        <v>181400</v>
      </c>
      <c r="K589" s="27">
        <f>IF(Budgets[[#This Row],[Reference Year]]&gt;2018,Budgets[[#This Row],[Value]],Budgets[[#This Row],[Value]]*(1+VLOOKUP(Budgets[[#This Row],[Reference Year]],Inflation[#All],3,FALSE)))</f>
        <v>190191.0975</v>
      </c>
      <c r="L589" s="27">
        <f>Budgets[[#This Row],[2018 $ Value]]/VLOOKUP(Budgets[[#This Row],[Jurisdiction]],Places[],6,FALSE)</f>
        <v>6.3384355628874225</v>
      </c>
      <c r="M589" s="27">
        <f>Budgets[[#This Row],[2018 $ Value]]/VLOOKUP(Budgets[[#This Row],[Jurisdiction]],Places[],7,FALSE)</f>
        <v>21132.344166666666</v>
      </c>
      <c r="N589" s="27"/>
      <c r="O589" s="27" t="s">
        <v>1853</v>
      </c>
      <c r="P589" s="4"/>
      <c r="Q589"/>
    </row>
    <row r="590" spans="1:17" x14ac:dyDescent="0.25">
      <c r="A590" s="19" t="s">
        <v>205</v>
      </c>
      <c r="B590" s="19" t="str">
        <f>INDEX(Places[Type],MATCH(Budgets[[#This Row],[Jurisdiction]],Places[Jurisdiction],0))</f>
        <v>City</v>
      </c>
      <c r="C590" s="19" t="str">
        <f>INDEX(Places[County],MATCH(Budgets[[#This Row],[Jurisdiction]],Places[Jurisdiction],0))</f>
        <v>Los Angeles</v>
      </c>
      <c r="D590" s="21" t="str">
        <f>INDEX(Places[Majority RB],MATCH(Budgets[[#This Row],[Jurisdiction]],Places[Jurisdiction],0))</f>
        <v>Los Angeles</v>
      </c>
      <c r="E590" s="19">
        <f>INDEX(Places[Majority RB '#],MATCH(Budgets[[#This Row],[Jurisdiction]],Places[Jurisdiction],0))</f>
        <v>4</v>
      </c>
      <c r="F590" s="19" t="str">
        <f>VLOOKUP(Budgets[[#This Row],[Jurisdiction]],Places[#All],8,FALSE)</f>
        <v>Phase I MS4</v>
      </c>
      <c r="G590" s="81"/>
      <c r="H590" s="21" t="s">
        <v>1870</v>
      </c>
      <c r="I590" s="21">
        <f>VALUE(LEFT(Budgets[[#This Row],[Fiscal Year]],4))</f>
        <v>2011</v>
      </c>
      <c r="J590" s="20">
        <v>955340</v>
      </c>
      <c r="K590" s="27">
        <f>IF(Budgets[[#This Row],[Reference Year]]&gt;2018,Budgets[[#This Row],[Value]],Budgets[[#This Row],[Value]]*(1+VLOOKUP(Budgets[[#This Row],[Reference Year]],Inflation[#All],3,FALSE)))</f>
        <v>1068889.1042240995</v>
      </c>
      <c r="L590" s="27">
        <f>Budgets[[#This Row],[2018 $ Value]]/VLOOKUP(Budgets[[#This Row],[Jurisdiction]],Places[],6,FALSE)</f>
        <v>10.054360359926061</v>
      </c>
      <c r="M590" s="27">
        <f>Budgets[[#This Row],[2018 $ Value]]/VLOOKUP(Budgets[[#This Row],[Jurisdiction]],Places[],7,FALSE)</f>
        <v>66805.569014006222</v>
      </c>
      <c r="N590" s="27"/>
      <c r="O590" s="27" t="s">
        <v>1460</v>
      </c>
      <c r="P590" s="4"/>
      <c r="Q590"/>
    </row>
    <row r="591" spans="1:17" x14ac:dyDescent="0.25">
      <c r="A591" s="19" t="s">
        <v>205</v>
      </c>
      <c r="B591" s="19" t="str">
        <f>INDEX(Places[Type],MATCH(Budgets[[#This Row],[Jurisdiction]],Places[Jurisdiction],0))</f>
        <v>City</v>
      </c>
      <c r="C591" s="19" t="str">
        <f>INDEX(Places[County],MATCH(Budgets[[#This Row],[Jurisdiction]],Places[Jurisdiction],0))</f>
        <v>Los Angeles</v>
      </c>
      <c r="D591" s="21" t="str">
        <f>INDEX(Places[Majority RB],MATCH(Budgets[[#This Row],[Jurisdiction]],Places[Jurisdiction],0))</f>
        <v>Los Angeles</v>
      </c>
      <c r="E591" s="19">
        <f>INDEX(Places[Majority RB '#],MATCH(Budgets[[#This Row],[Jurisdiction]],Places[Jurisdiction],0))</f>
        <v>4</v>
      </c>
      <c r="F591" s="19" t="str">
        <f>VLOOKUP(Budgets[[#This Row],[Jurisdiction]],Places[#All],8,FALSE)</f>
        <v>Phase I MS4</v>
      </c>
      <c r="G591" s="81"/>
      <c r="H591" s="21" t="s">
        <v>1871</v>
      </c>
      <c r="I591" s="21">
        <f>VALUE(LEFT(Budgets[[#This Row],[Fiscal Year]],4))</f>
        <v>2012</v>
      </c>
      <c r="J591" s="20">
        <v>955340</v>
      </c>
      <c r="K591" s="27">
        <f>IF(Budgets[[#This Row],[Reference Year]]&gt;2018,Budgets[[#This Row],[Value]],Budgets[[#This Row],[Value]]*(1+VLOOKUP(Budgets[[#This Row],[Reference Year]],Inflation[#All],3,FALSE)))</f>
        <v>1047008.5345818816</v>
      </c>
      <c r="L591" s="27">
        <f>Budgets[[#This Row],[2018 $ Value]]/VLOOKUP(Budgets[[#This Row],[Jurisdiction]],Places[],6,FALSE)</f>
        <v>9.8485437497707817</v>
      </c>
      <c r="M591" s="27">
        <f>Budgets[[#This Row],[2018 $ Value]]/VLOOKUP(Budgets[[#This Row],[Jurisdiction]],Places[],7,FALSE)</f>
        <v>65438.0334113676</v>
      </c>
      <c r="N591" s="27"/>
      <c r="O591" s="27" t="s">
        <v>1460</v>
      </c>
      <c r="P591" s="4"/>
      <c r="Q591"/>
    </row>
    <row r="592" spans="1:17" x14ac:dyDescent="0.25">
      <c r="A592" s="19" t="s">
        <v>205</v>
      </c>
      <c r="B592" s="19" t="str">
        <f>INDEX(Places[Type],MATCH(Budgets[[#This Row],[Jurisdiction]],Places[Jurisdiction],0))</f>
        <v>City</v>
      </c>
      <c r="C592" s="19" t="str">
        <f>INDEX(Places[County],MATCH(Budgets[[#This Row],[Jurisdiction]],Places[Jurisdiction],0))</f>
        <v>Los Angeles</v>
      </c>
      <c r="D592" s="21" t="str">
        <f>INDEX(Places[Majority RB],MATCH(Budgets[[#This Row],[Jurisdiction]],Places[Jurisdiction],0))</f>
        <v>Los Angeles</v>
      </c>
      <c r="E592" s="19">
        <f>INDEX(Places[Majority RB '#],MATCH(Budgets[[#This Row],[Jurisdiction]],Places[Jurisdiction],0))</f>
        <v>4</v>
      </c>
      <c r="F592" s="19" t="str">
        <f>VLOOKUP(Budgets[[#This Row],[Jurisdiction]],Places[#All],8,FALSE)</f>
        <v>Phase I MS4</v>
      </c>
      <c r="G592" s="81"/>
      <c r="H592" s="21" t="s">
        <v>1869</v>
      </c>
      <c r="I592" s="21">
        <f>VALUE(LEFT(Budgets[[#This Row],[Fiscal Year]],4))</f>
        <v>2016</v>
      </c>
      <c r="J592" s="20">
        <v>1055590</v>
      </c>
      <c r="K592" s="27">
        <f>IF(Budgets[[#This Row],[Reference Year]]&gt;2018,Budgets[[#This Row],[Value]],Budgets[[#This Row],[Value]]*(1+VLOOKUP(Budgets[[#This Row],[Reference Year]],Inflation[#All],3,FALSE)))</f>
        <v>1106746.5303750001</v>
      </c>
      <c r="L592" s="27">
        <f>Budgets[[#This Row],[2018 $ Value]]/VLOOKUP(Budgets[[#This Row],[Jurisdiction]],Places[],6,FALSE)</f>
        <v>10.410461103507634</v>
      </c>
      <c r="M592" s="27">
        <f>Budgets[[#This Row],[2018 $ Value]]/VLOOKUP(Budgets[[#This Row],[Jurisdiction]],Places[],7,FALSE)</f>
        <v>69171.658148437506</v>
      </c>
      <c r="N592" s="27"/>
      <c r="O592" s="27" t="s">
        <v>1853</v>
      </c>
      <c r="P592" s="4"/>
      <c r="Q592"/>
    </row>
    <row r="593" spans="1:17" x14ac:dyDescent="0.25">
      <c r="A593" s="19" t="s">
        <v>174</v>
      </c>
      <c r="B593" s="19" t="str">
        <f>INDEX(Places[Type],MATCH(Budgets[[#This Row],[Jurisdiction]],Places[Jurisdiction],0))</f>
        <v>City</v>
      </c>
      <c r="C593" s="19" t="str">
        <f>INDEX(Places[County],MATCH(Budgets[[#This Row],[Jurisdiction]],Places[Jurisdiction],0))</f>
        <v>Los Angeles</v>
      </c>
      <c r="D593" s="21" t="str">
        <f>INDEX(Places[Majority RB],MATCH(Budgets[[#This Row],[Jurisdiction]],Places[Jurisdiction],0))</f>
        <v>Los Angeles</v>
      </c>
      <c r="E593" s="19">
        <f>INDEX(Places[Majority RB '#],MATCH(Budgets[[#This Row],[Jurisdiction]],Places[Jurisdiction],0))</f>
        <v>4</v>
      </c>
      <c r="F593" s="19" t="str">
        <f>VLOOKUP(Budgets[[#This Row],[Jurisdiction]],Places[#All],8,FALSE)</f>
        <v>Phase I MS4</v>
      </c>
      <c r="G593" s="81"/>
      <c r="H593" s="100" t="s">
        <v>1870</v>
      </c>
      <c r="I593" s="21">
        <f>VALUE(LEFT(Budgets[[#This Row],[Fiscal Year]],4))</f>
        <v>2011</v>
      </c>
      <c r="J593" s="20">
        <v>768500</v>
      </c>
      <c r="K593" s="27">
        <f>IF(Budgets[[#This Row],[Reference Year]]&gt;2018,Budgets[[#This Row],[Value]],Budgets[[#This Row],[Value]]*(1+VLOOKUP(Budgets[[#This Row],[Reference Year]],Inflation[#All],3,FALSE)))</f>
        <v>859841.81191640731</v>
      </c>
      <c r="L593" s="27">
        <f>Budgets[[#This Row],[2018 $ Value]]/VLOOKUP(Budgets[[#This Row],[Jurisdiction]],Places[],6,FALSE)</f>
        <v>102.95040851489551</v>
      </c>
      <c r="M593" s="27">
        <f>Budgets[[#This Row],[2018 $ Value]]/VLOOKUP(Budgets[[#This Row],[Jurisdiction]],Places[],7,FALSE)</f>
        <v>165354.19459930909</v>
      </c>
      <c r="N593" s="27"/>
      <c r="O593" s="27" t="s">
        <v>1460</v>
      </c>
      <c r="P593" s="4"/>
      <c r="Q593"/>
    </row>
    <row r="594" spans="1:17" x14ac:dyDescent="0.25">
      <c r="A594" s="19" t="s">
        <v>174</v>
      </c>
      <c r="B594" s="19" t="str">
        <f>INDEX(Places[Type],MATCH(Budgets[[#This Row],[Jurisdiction]],Places[Jurisdiction],0))</f>
        <v>City</v>
      </c>
      <c r="C594" s="19" t="str">
        <f>INDEX(Places[County],MATCH(Budgets[[#This Row],[Jurisdiction]],Places[Jurisdiction],0))</f>
        <v>Los Angeles</v>
      </c>
      <c r="D594" s="21" t="str">
        <f>INDEX(Places[Majority RB],MATCH(Budgets[[#This Row],[Jurisdiction]],Places[Jurisdiction],0))</f>
        <v>Los Angeles</v>
      </c>
      <c r="E594" s="19">
        <f>INDEX(Places[Majority RB '#],MATCH(Budgets[[#This Row],[Jurisdiction]],Places[Jurisdiction],0))</f>
        <v>4</v>
      </c>
      <c r="F594" s="19" t="str">
        <f>VLOOKUP(Budgets[[#This Row],[Jurisdiction]],Places[#All],8,FALSE)</f>
        <v>Phase I MS4</v>
      </c>
      <c r="G594" s="81"/>
      <c r="H594" s="100" t="s">
        <v>1869</v>
      </c>
      <c r="I594" s="21">
        <f>VALUE(LEFT(Budgets[[#This Row],[Fiscal Year]],4))</f>
        <v>2016</v>
      </c>
      <c r="J594" s="20">
        <v>225971</v>
      </c>
      <c r="K594" s="27">
        <f>IF(Budgets[[#This Row],[Reference Year]]&gt;2018,Budgets[[#This Row],[Value]],Budgets[[#This Row],[Value]]*(1+VLOOKUP(Budgets[[#This Row],[Reference Year]],Inflation[#All],3,FALSE)))</f>
        <v>236922.11958750003</v>
      </c>
      <c r="L594" s="27">
        <f>Budgets[[#This Row],[2018 $ Value]]/VLOOKUP(Budgets[[#This Row],[Jurisdiction]],Places[],6,FALSE)</f>
        <v>28.367112019576151</v>
      </c>
      <c r="M594" s="27">
        <f>Budgets[[#This Row],[2018 $ Value]]/VLOOKUP(Budgets[[#This Row],[Jurisdiction]],Places[],7,FALSE)</f>
        <v>45561.946074519234</v>
      </c>
      <c r="N594" s="27"/>
      <c r="O594" s="27" t="s">
        <v>1853</v>
      </c>
      <c r="P594" s="4"/>
      <c r="Q594"/>
    </row>
    <row r="595" spans="1:17" x14ac:dyDescent="0.25">
      <c r="A595" s="19" t="s">
        <v>295</v>
      </c>
      <c r="B595" s="19" t="str">
        <f>INDEX(Places[Type],MATCH(Budgets[[#This Row],[Jurisdiction]],Places[Jurisdiction],0))</f>
        <v>City</v>
      </c>
      <c r="C595" s="19" t="str">
        <f>INDEX(Places[County],MATCH(Budgets[[#This Row],[Jurisdiction]],Places[Jurisdiction],0))</f>
        <v>Orange</v>
      </c>
      <c r="D595" s="21" t="str">
        <f>INDEX(Places[Majority RB],MATCH(Budgets[[#This Row],[Jurisdiction]],Places[Jurisdiction],0))</f>
        <v>Santa Ana</v>
      </c>
      <c r="E595" s="19">
        <f>INDEX(Places[Majority RB '#],MATCH(Budgets[[#This Row],[Jurisdiction]],Places[Jurisdiction],0))</f>
        <v>8</v>
      </c>
      <c r="F595" s="19" t="str">
        <f>VLOOKUP(Budgets[[#This Row],[Jurisdiction]],Places[#All],8,FALSE)</f>
        <v>Phase I MS4</v>
      </c>
      <c r="G595" s="81"/>
      <c r="H595" s="21" t="s">
        <v>1875</v>
      </c>
      <c r="I595" s="21">
        <f>VALUE(LEFT(Budgets[[#This Row],[Fiscal Year]],4))</f>
        <v>2001</v>
      </c>
      <c r="J595" s="20">
        <v>456500</v>
      </c>
      <c r="K595" s="27">
        <f>IF(Budgets[[#This Row],[Reference Year]]&gt;2018,Budgets[[#This Row],[Value]],Budgets[[#This Row],[Value]]*(1+VLOOKUP(Budgets[[#This Row],[Reference Year]],Inflation[#All],3,FALSE)))</f>
        <v>648614.06832298136</v>
      </c>
      <c r="L595" s="27">
        <f>Budgets[[#This Row],[2018 $ Value]]/VLOOKUP(Budgets[[#This Row],[Jurisdiction]],Places[],6,FALSE)</f>
        <v>7.1324866208073781</v>
      </c>
      <c r="M595" s="27">
        <f>Budgets[[#This Row],[2018 $ Value]]/VLOOKUP(Budgets[[#This Row],[Jurisdiction]],Places[],7,FALSE)</f>
        <v>64861.406832298133</v>
      </c>
      <c r="N595" s="27"/>
      <c r="O595" s="27" t="s">
        <v>1460</v>
      </c>
      <c r="P595" s="4"/>
      <c r="Q595"/>
    </row>
    <row r="596" spans="1:17" x14ac:dyDescent="0.25">
      <c r="A596" s="19" t="s">
        <v>295</v>
      </c>
      <c r="B596" s="19" t="str">
        <f>INDEX(Places[Type],MATCH(Budgets[[#This Row],[Jurisdiction]],Places[Jurisdiction],0))</f>
        <v>City</v>
      </c>
      <c r="C596" s="19" t="str">
        <f>INDEX(Places[County],MATCH(Budgets[[#This Row],[Jurisdiction]],Places[Jurisdiction],0))</f>
        <v>Orange</v>
      </c>
      <c r="D596" s="21" t="str">
        <f>INDEX(Places[Majority RB],MATCH(Budgets[[#This Row],[Jurisdiction]],Places[Jurisdiction],0))</f>
        <v>Santa Ana</v>
      </c>
      <c r="E596" s="19">
        <f>INDEX(Places[Majority RB '#],MATCH(Budgets[[#This Row],[Jurisdiction]],Places[Jurisdiction],0))</f>
        <v>8</v>
      </c>
      <c r="F596" s="19" t="str">
        <f>VLOOKUP(Budgets[[#This Row],[Jurisdiction]],Places[#All],8,FALSE)</f>
        <v>Phase I MS4</v>
      </c>
      <c r="G596" s="81"/>
      <c r="H596" s="21" t="s">
        <v>1872</v>
      </c>
      <c r="I596" s="21">
        <f>VALUE(LEFT(Budgets[[#This Row],[Fiscal Year]],4))</f>
        <v>2002</v>
      </c>
      <c r="J596" s="20">
        <v>686000</v>
      </c>
      <c r="K596" s="27">
        <f>IF(Budgets[[#This Row],[Reference Year]]&gt;2018,Budgets[[#This Row],[Value]],Budgets[[#This Row],[Value]]*(1+VLOOKUP(Budgets[[#This Row],[Reference Year]],Inflation[#All],3,FALSE)))</f>
        <v>959526.7704280155</v>
      </c>
      <c r="L596" s="27">
        <f>Budgets[[#This Row],[2018 $ Value]]/VLOOKUP(Budgets[[#This Row],[Jurisdiction]],Places[],6,FALSE)</f>
        <v>10.551439117068943</v>
      </c>
      <c r="M596" s="27">
        <f>Budgets[[#This Row],[2018 $ Value]]/VLOOKUP(Budgets[[#This Row],[Jurisdiction]],Places[],7,FALSE)</f>
        <v>95952.677042801544</v>
      </c>
      <c r="N596" s="27"/>
      <c r="O596" s="27" t="s">
        <v>1853</v>
      </c>
      <c r="P596" s="4"/>
      <c r="Q596"/>
    </row>
    <row r="597" spans="1:17" x14ac:dyDescent="0.25">
      <c r="A597" s="19" t="s">
        <v>171</v>
      </c>
      <c r="B597" s="19" t="str">
        <f>INDEX(Places[Type],MATCH(Budgets[[#This Row],[Jurisdiction]],Places[Jurisdiction],0))</f>
        <v>City</v>
      </c>
      <c r="C597" s="19" t="str">
        <f>INDEX(Places[County],MATCH(Budgets[[#This Row],[Jurisdiction]],Places[Jurisdiction],0))</f>
        <v>Los Angeles</v>
      </c>
      <c r="D597" s="21" t="str">
        <f>INDEX(Places[Majority RB],MATCH(Budgets[[#This Row],[Jurisdiction]],Places[Jurisdiction],0))</f>
        <v>Los Angeles</v>
      </c>
      <c r="E597" s="19">
        <f>INDEX(Places[Majority RB '#],MATCH(Budgets[[#This Row],[Jurisdiction]],Places[Jurisdiction],0))</f>
        <v>4</v>
      </c>
      <c r="F597" s="19" t="str">
        <f>VLOOKUP(Budgets[[#This Row],[Jurisdiction]],Places[#All],8,FALSE)</f>
        <v>Phase I MS4</v>
      </c>
      <c r="G597" s="81"/>
      <c r="H597" s="100" t="s">
        <v>1869</v>
      </c>
      <c r="I597" s="21">
        <f>VALUE(LEFT(Budgets[[#This Row],[Fiscal Year]],4))</f>
        <v>2016</v>
      </c>
      <c r="J597" s="20">
        <v>535000</v>
      </c>
      <c r="K597" s="27">
        <f>IF(Budgets[[#This Row],[Reference Year]]&gt;2018,Budgets[[#This Row],[Value]],Budgets[[#This Row],[Value]]*(1+VLOOKUP(Budgets[[#This Row],[Reference Year]],Inflation[#All],3,FALSE)))</f>
        <v>560927.4375</v>
      </c>
      <c r="L597" s="27">
        <f>Budgets[[#This Row],[2018 $ Value]]/VLOOKUP(Budgets[[#This Row],[Jurisdiction]],Places[],6,FALSE)</f>
        <v>6.5175617854155048</v>
      </c>
      <c r="M597" s="27">
        <f>Budgets[[#This Row],[2018 $ Value]]/VLOOKUP(Budgets[[#This Row],[Jurisdiction]],Places[],7,FALSE)</f>
        <v>38419.6875</v>
      </c>
      <c r="N597" s="27"/>
      <c r="O597" s="27" t="s">
        <v>1853</v>
      </c>
      <c r="P597" s="4"/>
      <c r="Q597"/>
    </row>
    <row r="598" spans="1:17" x14ac:dyDescent="0.25">
      <c r="A598" s="19" t="s">
        <v>296</v>
      </c>
      <c r="B598" s="19" t="str">
        <f>INDEX(Places[Type],MATCH(Budgets[[#This Row],[Jurisdiction]],Places[Jurisdiction],0))</f>
        <v>City</v>
      </c>
      <c r="C598" s="19" t="str">
        <f>INDEX(Places[County],MATCH(Budgets[[#This Row],[Jurisdiction]],Places[Jurisdiction],0))</f>
        <v>Orange</v>
      </c>
      <c r="D598" s="21" t="str">
        <f>INDEX(Places[Majority RB],MATCH(Budgets[[#This Row],[Jurisdiction]],Places[Jurisdiction],0))</f>
        <v>Santa Ana</v>
      </c>
      <c r="E598" s="19">
        <f>INDEX(Places[Majority RB '#],MATCH(Budgets[[#This Row],[Jurisdiction]],Places[Jurisdiction],0))</f>
        <v>8</v>
      </c>
      <c r="F598" s="19" t="str">
        <f>VLOOKUP(Budgets[[#This Row],[Jurisdiction]],Places[#All],8,FALSE)</f>
        <v>Phase I MS4</v>
      </c>
      <c r="G598" s="81"/>
      <c r="H598" s="21" t="s">
        <v>1875</v>
      </c>
      <c r="I598" s="21">
        <f>VALUE(LEFT(Budgets[[#This Row],[Fiscal Year]],4))</f>
        <v>2001</v>
      </c>
      <c r="J598" s="20">
        <v>250100</v>
      </c>
      <c r="K598" s="27">
        <f>IF(Budgets[[#This Row],[Reference Year]]&gt;2018,Budgets[[#This Row],[Value]],Budgets[[#This Row],[Value]]*(1+VLOOKUP(Budgets[[#This Row],[Reference Year]],Inflation[#All],3,FALSE)))</f>
        <v>355352.41727837379</v>
      </c>
      <c r="L598" s="27">
        <f>Budgets[[#This Row],[2018 $ Value]]/VLOOKUP(Budgets[[#This Row],[Jurisdiction]],Places[],6,FALSE)</f>
        <v>5.2421912354636406</v>
      </c>
      <c r="M598" s="27">
        <f>Budgets[[#This Row],[2018 $ Value]]/VLOOKUP(Budgets[[#This Row],[Jurisdiction]],Places[],7,FALSE)</f>
        <v>18412.042346029728</v>
      </c>
      <c r="N598" s="27"/>
      <c r="O598" s="27" t="s">
        <v>1460</v>
      </c>
      <c r="P598" s="4"/>
      <c r="Q598"/>
    </row>
    <row r="599" spans="1:17" x14ac:dyDescent="0.25">
      <c r="A599" s="19" t="s">
        <v>296</v>
      </c>
      <c r="B599" s="19" t="str">
        <f>INDEX(Places[Type],MATCH(Budgets[[#This Row],[Jurisdiction]],Places[Jurisdiction],0))</f>
        <v>City</v>
      </c>
      <c r="C599" s="19" t="str">
        <f>INDEX(Places[County],MATCH(Budgets[[#This Row],[Jurisdiction]],Places[Jurisdiction],0))</f>
        <v>Orange</v>
      </c>
      <c r="D599" s="21" t="str">
        <f>INDEX(Places[Majority RB],MATCH(Budgets[[#This Row],[Jurisdiction]],Places[Jurisdiction],0))</f>
        <v>Santa Ana</v>
      </c>
      <c r="E599" s="19">
        <f>INDEX(Places[Majority RB '#],MATCH(Budgets[[#This Row],[Jurisdiction]],Places[Jurisdiction],0))</f>
        <v>8</v>
      </c>
      <c r="F599" s="19" t="str">
        <f>VLOOKUP(Budgets[[#This Row],[Jurisdiction]],Places[#All],8,FALSE)</f>
        <v>Phase I MS4</v>
      </c>
      <c r="G599" s="81"/>
      <c r="H599" s="21" t="s">
        <v>1872</v>
      </c>
      <c r="I599" s="21">
        <f>VALUE(LEFT(Budgets[[#This Row],[Fiscal Year]],4))</f>
        <v>2002</v>
      </c>
      <c r="J599" s="20">
        <v>690500</v>
      </c>
      <c r="K599" s="27">
        <f>IF(Budgets[[#This Row],[Reference Year]]&gt;2018,Budgets[[#This Row],[Value]],Budgets[[#This Row],[Value]]*(1+VLOOKUP(Budgets[[#This Row],[Reference Year]],Inflation[#All],3,FALSE)))</f>
        <v>965821.04224569199</v>
      </c>
      <c r="L599" s="27">
        <f>Budgets[[#This Row],[2018 $ Value]]/VLOOKUP(Budgets[[#This Row],[Jurisdiction]],Places[],6,FALSE)</f>
        <v>14.247880010115392</v>
      </c>
      <c r="M599" s="27">
        <f>Budgets[[#This Row],[2018 $ Value]]/VLOOKUP(Budgets[[#This Row],[Jurisdiction]],Places[],7,FALSE)</f>
        <v>50042.541048999585</v>
      </c>
      <c r="N599" s="27"/>
      <c r="O599" s="27" t="s">
        <v>1853</v>
      </c>
      <c r="P599" s="4"/>
      <c r="Q599"/>
    </row>
    <row r="600" spans="1:17" x14ac:dyDescent="0.25">
      <c r="A600" s="19" t="s">
        <v>251</v>
      </c>
      <c r="B600" s="19" t="str">
        <f>INDEX(Places[Type],MATCH(Budgets[[#This Row],[Jurisdiction]],Places[Jurisdiction],0))</f>
        <v>City</v>
      </c>
      <c r="C600" s="19" t="str">
        <f>INDEX(Places[County],MATCH(Budgets[[#This Row],[Jurisdiction]],Places[Jurisdiction],0))</f>
        <v>San Bernardino</v>
      </c>
      <c r="D600" s="21" t="str">
        <f>INDEX(Places[Majority RB],MATCH(Budgets[[#This Row],[Jurisdiction]],Places[Jurisdiction],0))</f>
        <v>Santa Ana</v>
      </c>
      <c r="E600" s="19">
        <f>INDEX(Places[Majority RB '#],MATCH(Budgets[[#This Row],[Jurisdiction]],Places[Jurisdiction],0))</f>
        <v>8</v>
      </c>
      <c r="F600" s="19" t="str">
        <f>VLOOKUP(Budgets[[#This Row],[Jurisdiction]],Places[#All],8,FALSE)</f>
        <v>Phase I MS4</v>
      </c>
      <c r="G600" s="81"/>
      <c r="H600" s="21" t="s">
        <v>1871</v>
      </c>
      <c r="I600" s="21">
        <f>VALUE(LEFT(Budgets[[#This Row],[Fiscal Year]],4))</f>
        <v>2012</v>
      </c>
      <c r="J600" s="20">
        <v>250000</v>
      </c>
      <c r="K600" s="27">
        <f>IF(Budgets[[#This Row],[Reference Year]]&gt;2018,Budgets[[#This Row],[Value]],Budgets[[#This Row],[Value]]*(1+VLOOKUP(Budgets[[#This Row],[Reference Year]],Inflation[#All],3,FALSE)))</f>
        <v>273988.45818815334</v>
      </c>
      <c r="L600" s="27">
        <f>Budgets[[#This Row],[2018 $ Value]]/VLOOKUP(Budgets[[#This Row],[Jurisdiction]],Places[],6,FALSE)</f>
        <v>5.1039167353703911</v>
      </c>
      <c r="M600" s="27">
        <f>Budgets[[#This Row],[2018 $ Value]]/VLOOKUP(Budgets[[#This Row],[Jurisdiction]],Places[],7,FALSE)</f>
        <v>9647.4809221180749</v>
      </c>
      <c r="N600" s="27"/>
      <c r="O600" s="27" t="s">
        <v>1460</v>
      </c>
      <c r="P600" s="4"/>
      <c r="Q600"/>
    </row>
    <row r="601" spans="1:17" x14ac:dyDescent="0.25">
      <c r="A601" s="19" t="s">
        <v>251</v>
      </c>
      <c r="B601" s="19" t="str">
        <f>INDEX(Places[Type],MATCH(Budgets[[#This Row],[Jurisdiction]],Places[Jurisdiction],0))</f>
        <v>City</v>
      </c>
      <c r="C601" s="19" t="str">
        <f>INDEX(Places[County],MATCH(Budgets[[#This Row],[Jurisdiction]],Places[Jurisdiction],0))</f>
        <v>San Bernardino</v>
      </c>
      <c r="D601" s="21" t="str">
        <f>INDEX(Places[Majority RB],MATCH(Budgets[[#This Row],[Jurisdiction]],Places[Jurisdiction],0))</f>
        <v>Santa Ana</v>
      </c>
      <c r="E601" s="19">
        <f>INDEX(Places[Majority RB '#],MATCH(Budgets[[#This Row],[Jurisdiction]],Places[Jurisdiction],0))</f>
        <v>8</v>
      </c>
      <c r="F601" s="19" t="str">
        <f>VLOOKUP(Budgets[[#This Row],[Jurisdiction]],Places[#All],8,FALSE)</f>
        <v>Phase I MS4</v>
      </c>
      <c r="G601" s="81"/>
      <c r="H601" s="21" t="s">
        <v>1880</v>
      </c>
      <c r="I601" s="21">
        <f>VALUE(LEFT(Budgets[[#This Row],[Fiscal Year]],4))</f>
        <v>2013</v>
      </c>
      <c r="J601" s="20">
        <v>238000</v>
      </c>
      <c r="K601" s="27">
        <f>IF(Budgets[[#This Row],[Reference Year]]&gt;2018,Budgets[[#This Row],[Value]],Budgets[[#This Row],[Value]]*(1+VLOOKUP(Budgets[[#This Row],[Reference Year]],Inflation[#All],3,FALSE)))</f>
        <v>257030.8068669528</v>
      </c>
      <c r="L601" s="27">
        <f>Budgets[[#This Row],[2018 $ Value]]/VLOOKUP(Budgets[[#This Row],[Jurisdiction]],Places[],6,FALSE)</f>
        <v>4.7880259093728403</v>
      </c>
      <c r="M601" s="27">
        <f>Budgets[[#This Row],[2018 $ Value]]/VLOOKUP(Budgets[[#This Row],[Jurisdiction]],Places[],7,FALSE)</f>
        <v>9050.3805234842548</v>
      </c>
      <c r="N601" s="27"/>
      <c r="O601" s="27" t="s">
        <v>1460</v>
      </c>
      <c r="P601" s="4"/>
      <c r="Q601"/>
    </row>
    <row r="602" spans="1:17" x14ac:dyDescent="0.25">
      <c r="A602" s="19" t="s">
        <v>251</v>
      </c>
      <c r="B602" s="19" t="str">
        <f>INDEX(Places[Type],MATCH(Budgets[[#This Row],[Jurisdiction]],Places[Jurisdiction],0))</f>
        <v>City</v>
      </c>
      <c r="C602" s="19" t="str">
        <f>INDEX(Places[County],MATCH(Budgets[[#This Row],[Jurisdiction]],Places[Jurisdiction],0))</f>
        <v>San Bernardino</v>
      </c>
      <c r="D602" s="21" t="str">
        <f>INDEX(Places[Majority RB],MATCH(Budgets[[#This Row],[Jurisdiction]],Places[Jurisdiction],0))</f>
        <v>Santa Ana</v>
      </c>
      <c r="E602" s="19">
        <f>INDEX(Places[Majority RB '#],MATCH(Budgets[[#This Row],[Jurisdiction]],Places[Jurisdiction],0))</f>
        <v>8</v>
      </c>
      <c r="F602" s="19" t="str">
        <f>VLOOKUP(Budgets[[#This Row],[Jurisdiction]],Places[#All],8,FALSE)</f>
        <v>Phase I MS4</v>
      </c>
      <c r="G602" s="81"/>
      <c r="H602" s="21" t="s">
        <v>1881</v>
      </c>
      <c r="I602" s="21">
        <f>VALUE(LEFT(Budgets[[#This Row],[Fiscal Year]],4))</f>
        <v>2014</v>
      </c>
      <c r="J602" s="20">
        <v>250000</v>
      </c>
      <c r="K602" s="27">
        <f>IF(Budgets[[#This Row],[Reference Year]]&gt;2018,Budgets[[#This Row],[Value]],Budgets[[#This Row],[Value]]*(1+VLOOKUP(Budgets[[#This Row],[Reference Year]],Inflation[#All],3,FALSE)))</f>
        <v>265769.96197718632</v>
      </c>
      <c r="L602" s="27">
        <f>Budgets[[#This Row],[2018 $ Value]]/VLOOKUP(Budgets[[#This Row],[Jurisdiction]],Places[],6,FALSE)</f>
        <v>4.9508207961176245</v>
      </c>
      <c r="M602" s="27">
        <f>Budgets[[#This Row],[2018 $ Value]]/VLOOKUP(Budgets[[#This Row],[Jurisdiction]],Places[],7,FALSE)</f>
        <v>9358.0972527178292</v>
      </c>
      <c r="N602" s="27"/>
      <c r="O602" s="27" t="s">
        <v>1460</v>
      </c>
      <c r="P602" s="4"/>
      <c r="Q602"/>
    </row>
    <row r="603" spans="1:17" x14ac:dyDescent="0.25">
      <c r="A603" s="19" t="s">
        <v>251</v>
      </c>
      <c r="B603" s="19" t="str">
        <f>INDEX(Places[Type],MATCH(Budgets[[#This Row],[Jurisdiction]],Places[Jurisdiction],0))</f>
        <v>City</v>
      </c>
      <c r="C603" s="19" t="str">
        <f>INDEX(Places[County],MATCH(Budgets[[#This Row],[Jurisdiction]],Places[Jurisdiction],0))</f>
        <v>San Bernardino</v>
      </c>
      <c r="D603" s="21" t="str">
        <f>INDEX(Places[Majority RB],MATCH(Budgets[[#This Row],[Jurisdiction]],Places[Jurisdiction],0))</f>
        <v>Santa Ana</v>
      </c>
      <c r="E603" s="19">
        <f>INDEX(Places[Majority RB '#],MATCH(Budgets[[#This Row],[Jurisdiction]],Places[Jurisdiction],0))</f>
        <v>8</v>
      </c>
      <c r="F603" s="19" t="str">
        <f>VLOOKUP(Budgets[[#This Row],[Jurisdiction]],Places[#All],8,FALSE)</f>
        <v>Phase I MS4</v>
      </c>
      <c r="G603" s="81"/>
      <c r="H603" s="21" t="s">
        <v>1873</v>
      </c>
      <c r="I603" s="21">
        <f>VALUE(LEFT(Budgets[[#This Row],[Fiscal Year]],4))</f>
        <v>2015</v>
      </c>
      <c r="J603" s="20">
        <v>260000</v>
      </c>
      <c r="K603" s="27">
        <f>IF(Budgets[[#This Row],[Reference Year]]&gt;2018,Budgets[[#This Row],[Value]],Budgets[[#This Row],[Value]]*(1+VLOOKUP(Budgets[[#This Row],[Reference Year]],Inflation[#All],3,FALSE)))</f>
        <v>276050.88607594935</v>
      </c>
      <c r="L603" s="27">
        <f>Budgets[[#This Row],[2018 $ Value]]/VLOOKUP(Budgets[[#This Row],[Jurisdiction]],Places[],6,FALSE)</f>
        <v>5.1423360917244025</v>
      </c>
      <c r="M603" s="27">
        <f>Budgets[[#This Row],[2018 $ Value]]/VLOOKUP(Budgets[[#This Row],[Jurisdiction]],Places[],7,FALSE)</f>
        <v>9720.1016223925835</v>
      </c>
      <c r="N603" s="27"/>
      <c r="O603" s="27" t="s">
        <v>1460</v>
      </c>
      <c r="P603" s="4"/>
      <c r="Q603"/>
    </row>
    <row r="604" spans="1:17" x14ac:dyDescent="0.25">
      <c r="A604" s="19" t="s">
        <v>251</v>
      </c>
      <c r="B604" s="19" t="str">
        <f>INDEX(Places[Type],MATCH(Budgets[[#This Row],[Jurisdiction]],Places[Jurisdiction],0))</f>
        <v>City</v>
      </c>
      <c r="C604" s="19" t="str">
        <f>INDEX(Places[County],MATCH(Budgets[[#This Row],[Jurisdiction]],Places[Jurisdiction],0))</f>
        <v>San Bernardino</v>
      </c>
      <c r="D604" s="21" t="str">
        <f>INDEX(Places[Majority RB],MATCH(Budgets[[#This Row],[Jurisdiction]],Places[Jurisdiction],0))</f>
        <v>Santa Ana</v>
      </c>
      <c r="E604" s="19">
        <f>INDEX(Places[Majority RB '#],MATCH(Budgets[[#This Row],[Jurisdiction]],Places[Jurisdiction],0))</f>
        <v>8</v>
      </c>
      <c r="F604" s="19" t="str">
        <f>VLOOKUP(Budgets[[#This Row],[Jurisdiction]],Places[#All],8,FALSE)</f>
        <v>Phase I MS4</v>
      </c>
      <c r="G604" s="81"/>
      <c r="H604" s="21" t="s">
        <v>1869</v>
      </c>
      <c r="I604" s="21">
        <f>VALUE(LEFT(Budgets[[#This Row],[Fiscal Year]],4))</f>
        <v>2016</v>
      </c>
      <c r="J604" s="20">
        <v>260000</v>
      </c>
      <c r="K604" s="27">
        <f>IF(Budgets[[#This Row],[Reference Year]]&gt;2018,Budgets[[#This Row],[Value]],Budgets[[#This Row],[Value]]*(1+VLOOKUP(Budgets[[#This Row],[Reference Year]],Inflation[#All],3,FALSE)))</f>
        <v>272600.25</v>
      </c>
      <c r="L604" s="27">
        <f>Budgets[[#This Row],[2018 $ Value]]/VLOOKUP(Budgets[[#This Row],[Jurisdiction]],Places[],6,FALSE)</f>
        <v>5.0780568905778471</v>
      </c>
      <c r="M604" s="27">
        <f>Budgets[[#This Row],[2018 $ Value]]/VLOOKUP(Budgets[[#This Row],[Jurisdiction]],Places[],7,FALSE)</f>
        <v>9598.6003521126768</v>
      </c>
      <c r="N604" s="27"/>
      <c r="O604" s="27" t="s">
        <v>1853</v>
      </c>
      <c r="P604" s="4"/>
      <c r="Q604"/>
    </row>
  </sheetData>
  <mergeCells count="1">
    <mergeCell ref="A1:O1"/>
  </mergeCells>
  <pageMargins left="0.7" right="0.7" top="0.75" bottom="0.75" header="0.3" footer="0.3"/>
  <pageSetup orientation="portrait"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C4361-F53C-46A5-9363-08FDD4A5E92D}">
  <sheetPr>
    <tabColor theme="8" tint="0.39997558519241921"/>
  </sheetPr>
  <dimension ref="A1:O552"/>
  <sheetViews>
    <sheetView zoomScale="70" zoomScaleNormal="70" workbookViewId="0">
      <selection activeCell="A2" sqref="A2"/>
    </sheetView>
  </sheetViews>
  <sheetFormatPr defaultRowHeight="15" x14ac:dyDescent="0.25"/>
  <cols>
    <col min="1" max="1" width="43.5703125" style="10" customWidth="1"/>
    <col min="2" max="3" width="19.140625" customWidth="1"/>
    <col min="4" max="4" width="19.140625" style="22" customWidth="1"/>
    <col min="5" max="6" width="19.140625" customWidth="1"/>
    <col min="7" max="7" width="19.140625" style="2" customWidth="1"/>
    <col min="8" max="15" width="19.140625" customWidth="1"/>
    <col min="17" max="17" width="17.28515625" bestFit="1" customWidth="1"/>
  </cols>
  <sheetData>
    <row r="1" spans="1:15" ht="24.75" customHeight="1" x14ac:dyDescent="0.25">
      <c r="A1" s="245" t="s">
        <v>1934</v>
      </c>
      <c r="B1" s="245"/>
      <c r="C1" s="245"/>
      <c r="D1" s="245"/>
      <c r="E1" s="245"/>
      <c r="F1" s="245"/>
      <c r="G1" s="245"/>
      <c r="H1" s="245"/>
      <c r="I1" s="245"/>
      <c r="J1" s="245"/>
      <c r="K1" s="245"/>
      <c r="L1" s="245"/>
      <c r="M1" s="245"/>
      <c r="N1" s="245"/>
      <c r="O1" s="245"/>
    </row>
    <row r="2" spans="1:15" ht="45" x14ac:dyDescent="0.25">
      <c r="A2" s="79" t="s">
        <v>36</v>
      </c>
      <c r="B2" s="79" t="s">
        <v>1</v>
      </c>
      <c r="C2" s="79" t="s">
        <v>5</v>
      </c>
      <c r="D2" s="79" t="s">
        <v>1836</v>
      </c>
      <c r="E2" s="79" t="s">
        <v>1837</v>
      </c>
      <c r="F2" s="79" t="s">
        <v>142</v>
      </c>
      <c r="G2" s="79" t="s">
        <v>456</v>
      </c>
      <c r="H2" s="79" t="s">
        <v>114</v>
      </c>
      <c r="I2" s="88" t="s">
        <v>115</v>
      </c>
      <c r="J2" s="79" t="s">
        <v>2</v>
      </c>
      <c r="K2" s="79" t="s">
        <v>440</v>
      </c>
      <c r="L2" s="79" t="s">
        <v>1432</v>
      </c>
      <c r="M2" s="79" t="s">
        <v>1433</v>
      </c>
      <c r="N2" s="87" t="s">
        <v>1868</v>
      </c>
      <c r="O2" s="87" t="s">
        <v>1852</v>
      </c>
    </row>
    <row r="3" spans="1:15" x14ac:dyDescent="0.25">
      <c r="A3" s="19" t="s">
        <v>145</v>
      </c>
      <c r="B3" s="19" t="str">
        <f>INDEX(Places[Type],MATCH(Expenditures[[#This Row],[Jurisdiction]],Places[Jurisdiction],0))</f>
        <v>City</v>
      </c>
      <c r="C3" s="19" t="str">
        <f>INDEX(Places[County],MATCH(Expenditures[[#This Row],[Jurisdiction]],Places[Jurisdiction],0))</f>
        <v>Los Angeles</v>
      </c>
      <c r="D3" s="19" t="str">
        <f>INDEX(Places[Majority RB],MATCH(Expenditures[[#This Row],[Jurisdiction]],Places[Jurisdiction],0))</f>
        <v>Los Angeles</v>
      </c>
      <c r="E3" s="19">
        <f>INDEX(Places[Majority RB '#],MATCH(Expenditures[[#This Row],[Jurisdiction]],Places[Jurisdiction],0))</f>
        <v>4</v>
      </c>
      <c r="F3" s="19" t="str">
        <f>VLOOKUP(Expenditures[[#This Row],[Jurisdiction]],Places[#All],8,FALSE)</f>
        <v>Phase I MS4</v>
      </c>
      <c r="G3" s="19"/>
      <c r="H3" s="21" t="s">
        <v>1870</v>
      </c>
      <c r="I3" s="21">
        <f>VALUE(LEFT(Expenditures[[#This Row],[Fiscal Year]],4))</f>
        <v>2011</v>
      </c>
      <c r="J3" s="20">
        <v>277629</v>
      </c>
      <c r="K3" s="20">
        <f>IF(Expenditures[[#This Row],[Reference Year]]&gt;2018,Expenditures[[#This Row],[Value]],Expenditures[[#This Row],[Value]]*(1+VLOOKUP(Expenditures[[#This Row],[Reference Year]],Inflation[#All],3,FALSE)))</f>
        <v>310627.22498443752</v>
      </c>
      <c r="L3" s="105">
        <f>VALUE(Expenditures[[#This Row],[2018 $ Value]]/VLOOKUP(Expenditures[[#This Row],[Jurisdiction]],Places[],6,FALSE))</f>
        <v>15.173272029329695</v>
      </c>
      <c r="M3" s="105">
        <f>VALUE(Expenditures[[#This Row],[2018 $ Value]]/VLOOKUP(Expenditures[[#This Row],[Jurisdiction]],Places[],7,FALSE))</f>
        <v>39824.003203133019</v>
      </c>
      <c r="N3" s="20" t="s">
        <v>1460</v>
      </c>
      <c r="O3" s="20" t="s">
        <v>1460</v>
      </c>
    </row>
    <row r="4" spans="1:15" x14ac:dyDescent="0.25">
      <c r="A4" s="19" t="s">
        <v>145</v>
      </c>
      <c r="B4" s="19" t="str">
        <f>INDEX(Places[Type],MATCH(Expenditures[[#This Row],[Jurisdiction]],Places[Jurisdiction],0))</f>
        <v>City</v>
      </c>
      <c r="C4" s="19" t="str">
        <f>INDEX(Places[County],MATCH(Expenditures[[#This Row],[Jurisdiction]],Places[Jurisdiction],0))</f>
        <v>Los Angeles</v>
      </c>
      <c r="D4" s="19" t="str">
        <f>INDEX(Places[Majority RB],MATCH(Expenditures[[#This Row],[Jurisdiction]],Places[Jurisdiction],0))</f>
        <v>Los Angeles</v>
      </c>
      <c r="E4" s="19">
        <f>INDEX(Places[Majority RB '#],MATCH(Expenditures[[#This Row],[Jurisdiction]],Places[Jurisdiction],0))</f>
        <v>4</v>
      </c>
      <c r="F4" s="19" t="str">
        <f>VLOOKUP(Expenditures[[#This Row],[Jurisdiction]],Places[#All],8,FALSE)</f>
        <v>Phase I MS4</v>
      </c>
      <c r="G4" s="19"/>
      <c r="H4" s="21" t="s">
        <v>1873</v>
      </c>
      <c r="I4" s="21">
        <f>VALUE(LEFT(Expenditures[[#This Row],[Fiscal Year]],4))</f>
        <v>2015</v>
      </c>
      <c r="J4" s="20">
        <v>2606122</v>
      </c>
      <c r="K4" s="20">
        <f>IF(Expenditures[[#This Row],[Reference Year]]&gt;2018,Expenditures[[#This Row],[Value]],Expenditures[[#This Row],[Value]]*(1+VLOOKUP(Expenditures[[#This Row],[Reference Year]],Inflation[#All],3,FALSE)))</f>
        <v>2767008.7973924051</v>
      </c>
      <c r="L4" s="105">
        <f>VALUE(Expenditures[[#This Row],[2018 $ Value]]/VLOOKUP(Expenditures[[#This Row],[Jurisdiction]],Places[],6,FALSE))</f>
        <v>135.16064856352116</v>
      </c>
      <c r="M4" s="105">
        <f>VALUE(Expenditures[[#This Row],[2018 $ Value]]/VLOOKUP(Expenditures[[#This Row],[Jurisdiction]],Places[],7,FALSE))</f>
        <v>354744.71761441091</v>
      </c>
      <c r="N4" s="20" t="s">
        <v>1853</v>
      </c>
      <c r="O4" s="20" t="s">
        <v>1853</v>
      </c>
    </row>
    <row r="5" spans="1:15" x14ac:dyDescent="0.25">
      <c r="A5" s="19" t="s">
        <v>187</v>
      </c>
      <c r="B5" s="19" t="str">
        <f>INDEX(Places[Type],MATCH(Expenditures[[#This Row],[Jurisdiction]],Places[Jurisdiction],0))</f>
        <v>City</v>
      </c>
      <c r="C5" s="19" t="str">
        <f>INDEX(Places[County],MATCH(Expenditures[[#This Row],[Jurisdiction]],Places[Jurisdiction],0))</f>
        <v>Los Angeles</v>
      </c>
      <c r="D5" s="19" t="str">
        <f>INDEX(Places[Majority RB],MATCH(Expenditures[[#This Row],[Jurisdiction]],Places[Jurisdiction],0))</f>
        <v>Los Angeles</v>
      </c>
      <c r="E5" s="19">
        <f>INDEX(Places[Majority RB '#],MATCH(Expenditures[[#This Row],[Jurisdiction]],Places[Jurisdiction],0))</f>
        <v>4</v>
      </c>
      <c r="F5" s="19" t="str">
        <f>VLOOKUP(Expenditures[[#This Row],[Jurisdiction]],Places[#All],8,FALSE)</f>
        <v>Phase I MS4</v>
      </c>
      <c r="G5" s="19"/>
      <c r="H5" s="21" t="s">
        <v>1870</v>
      </c>
      <c r="I5" s="21">
        <f>VALUE(LEFT(Expenditures[[#This Row],[Fiscal Year]],4))</f>
        <v>2011</v>
      </c>
      <c r="J5" s="20">
        <v>7397257</v>
      </c>
      <c r="K5" s="20">
        <f>IF(Expenditures[[#This Row],[Reference Year]]&gt;2018,Expenditures[[#This Row],[Value]],Expenditures[[#This Row],[Value]]*(1+VLOOKUP(Expenditures[[#This Row],[Reference Year]],Inflation[#All],3,FALSE)))</f>
        <v>8276474.77175189</v>
      </c>
      <c r="L5" s="105">
        <f>VALUE(Expenditures[[#This Row],[2018 $ Value]]/VLOOKUP(Expenditures[[#This Row],[Jurisdiction]],Places[],6,FALSE))</f>
        <v>97.774040706350817</v>
      </c>
      <c r="M5" s="105">
        <f>VALUE(Expenditures[[#This Row],[2018 $ Value]]/VLOOKUP(Expenditures[[#This Row],[Jurisdiction]],Places[],7,FALSE))</f>
        <v>1089009.8383884067</v>
      </c>
      <c r="N5" s="20" t="s">
        <v>1460</v>
      </c>
      <c r="O5" s="20" t="s">
        <v>1460</v>
      </c>
    </row>
    <row r="6" spans="1:15" x14ac:dyDescent="0.25">
      <c r="A6" s="19" t="s">
        <v>187</v>
      </c>
      <c r="B6" s="19" t="str">
        <f>INDEX(Places[Type],MATCH(Expenditures[[#This Row],[Jurisdiction]],Places[Jurisdiction],0))</f>
        <v>City</v>
      </c>
      <c r="C6" s="19" t="str">
        <f>INDEX(Places[County],MATCH(Expenditures[[#This Row],[Jurisdiction]],Places[Jurisdiction],0))</f>
        <v>Los Angeles</v>
      </c>
      <c r="D6" s="19" t="str">
        <f>INDEX(Places[Majority RB],MATCH(Expenditures[[#This Row],[Jurisdiction]],Places[Jurisdiction],0))</f>
        <v>Los Angeles</v>
      </c>
      <c r="E6" s="19">
        <f>INDEX(Places[Majority RB '#],MATCH(Expenditures[[#This Row],[Jurisdiction]],Places[Jurisdiction],0))</f>
        <v>4</v>
      </c>
      <c r="F6" s="19" t="str">
        <f>VLOOKUP(Expenditures[[#This Row],[Jurisdiction]],Places[#All],8,FALSE)</f>
        <v>Phase I MS4</v>
      </c>
      <c r="G6" s="19"/>
      <c r="H6" s="21" t="s">
        <v>1873</v>
      </c>
      <c r="I6" s="21">
        <f>VALUE(LEFT(Expenditures[[#This Row],[Fiscal Year]],4))</f>
        <v>2015</v>
      </c>
      <c r="J6" s="20">
        <v>721185</v>
      </c>
      <c r="K6" s="20">
        <f>IF(Expenditures[[#This Row],[Reference Year]]&gt;2018,Expenditures[[#This Row],[Value]],Expenditures[[#This Row],[Value]]*(1+VLOOKUP(Expenditures[[#This Row],[Reference Year]],Inflation[#All],3,FALSE)))</f>
        <v>765706.76259493665</v>
      </c>
      <c r="L6" s="105">
        <f>VALUE(Expenditures[[#This Row],[2018 $ Value]]/VLOOKUP(Expenditures[[#This Row],[Jurisdiction]],Places[],6,FALSE))</f>
        <v>9.0456681425053649</v>
      </c>
      <c r="M6" s="105">
        <f>VALUE(Expenditures[[#This Row],[2018 $ Value]]/VLOOKUP(Expenditures[[#This Row],[Jurisdiction]],Places[],7,FALSE))</f>
        <v>100750.88981512324</v>
      </c>
      <c r="N6" s="20" t="s">
        <v>1853</v>
      </c>
      <c r="O6" s="20" t="s">
        <v>1853</v>
      </c>
    </row>
    <row r="7" spans="1:15" x14ac:dyDescent="0.25">
      <c r="A7" s="19" t="s">
        <v>263</v>
      </c>
      <c r="B7" s="19" t="str">
        <f>INDEX(Places[Type],MATCH(Expenditures[[#This Row],[Jurisdiction]],Places[Jurisdiction],0))</f>
        <v>City</v>
      </c>
      <c r="C7" s="19" t="str">
        <f>INDEX(Places[County],MATCH(Expenditures[[#This Row],[Jurisdiction]],Places[Jurisdiction],0))</f>
        <v>Orange</v>
      </c>
      <c r="D7" s="19" t="str">
        <f>INDEX(Places[Majority RB],MATCH(Expenditures[[#This Row],[Jurisdiction]],Places[Jurisdiction],0))</f>
        <v>San Diego</v>
      </c>
      <c r="E7" s="19">
        <f>INDEX(Places[Majority RB '#],MATCH(Expenditures[[#This Row],[Jurisdiction]],Places[Jurisdiction],0))</f>
        <v>9</v>
      </c>
      <c r="F7" s="19" t="str">
        <f>VLOOKUP(Expenditures[[#This Row],[Jurisdiction]],Places[#All],8,FALSE)</f>
        <v>Phase I MS4</v>
      </c>
      <c r="G7" s="19"/>
      <c r="H7" s="21" t="s">
        <v>1875</v>
      </c>
      <c r="I7" s="21">
        <f>VALUE(LEFT(Expenditures[[#This Row],[Fiscal Year]],4))</f>
        <v>2001</v>
      </c>
      <c r="J7" s="20">
        <v>214823</v>
      </c>
      <c r="K7" s="20">
        <f>IF(Expenditures[[#This Row],[Reference Year]]&gt;2018,Expenditures[[#This Row],[Value]],Expenditures[[#This Row],[Value]]*(1+VLOOKUP(Expenditures[[#This Row],[Reference Year]],Inflation[#All],3,FALSE)))</f>
        <v>305229.39758893277</v>
      </c>
      <c r="L7" s="105">
        <f>VALUE(Expenditures[[#This Row],[2018 $ Value]]/VLOOKUP(Expenditures[[#This Row],[Jurisdiction]],Places[],6,FALSE))</f>
        <v>5.894393866499291</v>
      </c>
      <c r="M7" s="105">
        <f>VALUE(Expenditures[[#This Row],[2018 $ Value]]/VLOOKUP(Expenditures[[#This Row],[Jurisdiction]],Places[],7,FALSE))</f>
        <v>44236.144578106199</v>
      </c>
      <c r="N7" s="20" t="s">
        <v>1460</v>
      </c>
      <c r="O7" s="20" t="s">
        <v>1460</v>
      </c>
    </row>
    <row r="8" spans="1:15" x14ac:dyDescent="0.25">
      <c r="A8" s="19" t="s">
        <v>263</v>
      </c>
      <c r="B8" s="19" t="str">
        <f>INDEX(Places[Type],MATCH(Expenditures[[#This Row],[Jurisdiction]],Places[Jurisdiction],0))</f>
        <v>City</v>
      </c>
      <c r="C8" s="19" t="str">
        <f>INDEX(Places[County],MATCH(Expenditures[[#This Row],[Jurisdiction]],Places[Jurisdiction],0))</f>
        <v>Orange</v>
      </c>
      <c r="D8" s="19" t="str">
        <f>INDEX(Places[Majority RB],MATCH(Expenditures[[#This Row],[Jurisdiction]],Places[Jurisdiction],0))</f>
        <v>San Diego</v>
      </c>
      <c r="E8" s="19">
        <f>INDEX(Places[Majority RB '#],MATCH(Expenditures[[#This Row],[Jurisdiction]],Places[Jurisdiction],0))</f>
        <v>9</v>
      </c>
      <c r="F8" s="19" t="str">
        <f>VLOOKUP(Expenditures[[#This Row],[Jurisdiction]],Places[#All],8,FALSE)</f>
        <v>Phase I MS4</v>
      </c>
      <c r="G8" s="19"/>
      <c r="H8" s="21" t="s">
        <v>1881</v>
      </c>
      <c r="I8" s="21">
        <f>VALUE(LEFT(Expenditures[[#This Row],[Fiscal Year]],4))</f>
        <v>2014</v>
      </c>
      <c r="J8" s="20">
        <v>674076</v>
      </c>
      <c r="K8" s="20">
        <f>IF(Expenditures[[#This Row],[Reference Year]]&gt;2018,Expenditures[[#This Row],[Value]],Expenditures[[#This Row],[Value]]*(1+VLOOKUP(Expenditures[[#This Row],[Reference Year]],Inflation[#All],3,FALSE)))</f>
        <v>716596.61155893537</v>
      </c>
      <c r="L8" s="105">
        <f>VALUE(Expenditures[[#This Row],[2018 $ Value]]/VLOOKUP(Expenditures[[#This Row],[Jurisdiction]],Places[],6,FALSE))</f>
        <v>13.838452997295162</v>
      </c>
      <c r="M8" s="105">
        <f>VALUE(Expenditures[[#This Row],[2018 $ Value]]/VLOOKUP(Expenditures[[#This Row],[Jurisdiction]],Places[],7,FALSE))</f>
        <v>103854.58138535295</v>
      </c>
      <c r="N8" s="20" t="s">
        <v>1460</v>
      </c>
      <c r="O8" s="20" t="s">
        <v>1460</v>
      </c>
    </row>
    <row r="9" spans="1:15" x14ac:dyDescent="0.25">
      <c r="A9" s="19" t="s">
        <v>263</v>
      </c>
      <c r="B9" s="19" t="str">
        <f>INDEX(Places[Type],MATCH(Expenditures[[#This Row],[Jurisdiction]],Places[Jurisdiction],0))</f>
        <v>City</v>
      </c>
      <c r="C9" s="19" t="str">
        <f>INDEX(Places[County],MATCH(Expenditures[[#This Row],[Jurisdiction]],Places[Jurisdiction],0))</f>
        <v>Orange</v>
      </c>
      <c r="D9" s="19" t="str">
        <f>INDEX(Places[Majority RB],MATCH(Expenditures[[#This Row],[Jurisdiction]],Places[Jurisdiction],0))</f>
        <v>San Diego</v>
      </c>
      <c r="E9" s="19">
        <f>INDEX(Places[Majority RB '#],MATCH(Expenditures[[#This Row],[Jurisdiction]],Places[Jurisdiction],0))</f>
        <v>9</v>
      </c>
      <c r="F9" s="19" t="str">
        <f>VLOOKUP(Expenditures[[#This Row],[Jurisdiction]],Places[#All],8,FALSE)</f>
        <v>Phase I MS4</v>
      </c>
      <c r="G9" s="19"/>
      <c r="H9" s="21" t="s">
        <v>1873</v>
      </c>
      <c r="I9" s="21">
        <f>VALUE(LEFT(Expenditures[[#This Row],[Fiscal Year]],4))</f>
        <v>2015</v>
      </c>
      <c r="J9" s="20">
        <v>831159</v>
      </c>
      <c r="K9" s="20">
        <f>IF(Expenditures[[#This Row],[Reference Year]]&gt;2018,Expenditures[[#This Row],[Value]],Expenditures[[#This Row],[Value]]*(1+VLOOKUP(Expenditures[[#This Row],[Reference Year]],Inflation[#All],3,FALSE)))</f>
        <v>882469.9169999999</v>
      </c>
      <c r="L9" s="105">
        <f>VALUE(Expenditures[[#This Row],[2018 $ Value]]/VLOOKUP(Expenditures[[#This Row],[Jurisdiction]],Places[],6,FALSE))</f>
        <v>17.041691616939922</v>
      </c>
      <c r="M9" s="105">
        <f>VALUE(Expenditures[[#This Row],[2018 $ Value]]/VLOOKUP(Expenditures[[#This Row],[Jurisdiction]],Places[],7,FALSE))</f>
        <v>127894.19086956519</v>
      </c>
      <c r="N9" s="20" t="s">
        <v>1460</v>
      </c>
      <c r="O9" s="20" t="s">
        <v>1460</v>
      </c>
    </row>
    <row r="10" spans="1:15" x14ac:dyDescent="0.25">
      <c r="A10" s="19" t="s">
        <v>263</v>
      </c>
      <c r="B10" s="19" t="str">
        <f>INDEX(Places[Type],MATCH(Expenditures[[#This Row],[Jurisdiction]],Places[Jurisdiction],0))</f>
        <v>City</v>
      </c>
      <c r="C10" s="19" t="str">
        <f>INDEX(Places[County],MATCH(Expenditures[[#This Row],[Jurisdiction]],Places[Jurisdiction],0))</f>
        <v>Orange</v>
      </c>
      <c r="D10" s="19" t="str">
        <f>INDEX(Places[Majority RB],MATCH(Expenditures[[#This Row],[Jurisdiction]],Places[Jurisdiction],0))</f>
        <v>San Diego</v>
      </c>
      <c r="E10" s="19">
        <f>INDEX(Places[Majority RB '#],MATCH(Expenditures[[#This Row],[Jurisdiction]],Places[Jurisdiction],0))</f>
        <v>9</v>
      </c>
      <c r="F10" s="19" t="str">
        <f>VLOOKUP(Expenditures[[#This Row],[Jurisdiction]],Places[#All],8,FALSE)</f>
        <v>Phase I MS4</v>
      </c>
      <c r="G10" s="19"/>
      <c r="H10" s="21" t="s">
        <v>1869</v>
      </c>
      <c r="I10" s="21">
        <f>VALUE(LEFT(Expenditures[[#This Row],[Fiscal Year]],4))</f>
        <v>2016</v>
      </c>
      <c r="J10" s="20">
        <v>746108.4</v>
      </c>
      <c r="K10" s="20">
        <f>IF(Expenditures[[#This Row],[Reference Year]]&gt;2018,Expenditures[[#This Row],[Value]],Expenditures[[#This Row],[Value]]*(1+VLOOKUP(Expenditures[[#This Row],[Reference Year]],Inflation[#All],3,FALSE)))</f>
        <v>782266.67833500006</v>
      </c>
      <c r="L10" s="105">
        <f>VALUE(Expenditures[[#This Row],[2018 $ Value]]/VLOOKUP(Expenditures[[#This Row],[Jurisdiction]],Places[],6,FALSE))</f>
        <v>15.106631101616362</v>
      </c>
      <c r="M10" s="105">
        <f>VALUE(Expenditures[[#This Row],[2018 $ Value]]/VLOOKUP(Expenditures[[#This Row],[Jurisdiction]],Places[],7,FALSE))</f>
        <v>113371.98236739131</v>
      </c>
      <c r="N10" s="20" t="s">
        <v>1460</v>
      </c>
      <c r="O10" s="20" t="s">
        <v>1853</v>
      </c>
    </row>
    <row r="11" spans="1:15" x14ac:dyDescent="0.25">
      <c r="A11" s="19" t="s">
        <v>263</v>
      </c>
      <c r="B11" s="19" t="str">
        <f>INDEX(Places[Type],MATCH(Expenditures[[#This Row],[Jurisdiction]],Places[Jurisdiction],0))</f>
        <v>City</v>
      </c>
      <c r="C11" s="19" t="str">
        <f>INDEX(Places[County],MATCH(Expenditures[[#This Row],[Jurisdiction]],Places[Jurisdiction],0))</f>
        <v>Orange</v>
      </c>
      <c r="D11" s="19" t="str">
        <f>INDEX(Places[Majority RB],MATCH(Expenditures[[#This Row],[Jurisdiction]],Places[Jurisdiction],0))</f>
        <v>San Diego</v>
      </c>
      <c r="E11" s="19">
        <f>INDEX(Places[Majority RB '#],MATCH(Expenditures[[#This Row],[Jurisdiction]],Places[Jurisdiction],0))</f>
        <v>9</v>
      </c>
      <c r="F11" s="19" t="str">
        <f>VLOOKUP(Expenditures[[#This Row],[Jurisdiction]],Places[#All],8,FALSE)</f>
        <v>Phase I MS4</v>
      </c>
      <c r="G11" s="19"/>
      <c r="H11" s="21" t="s">
        <v>1874</v>
      </c>
      <c r="I11" s="21">
        <f>VALUE(LEFT(Expenditures[[#This Row],[Fiscal Year]],4))</f>
        <v>2017</v>
      </c>
      <c r="J11" s="99">
        <v>38936306</v>
      </c>
      <c r="K11" s="20">
        <f>IF(Expenditures[[#This Row],[Reference Year]]&gt;2018,Expenditures[[#This Row],[Value]],Expenditures[[#This Row],[Value]]*(1+VLOOKUP(Expenditures[[#This Row],[Reference Year]],Inflation[#All],3,FALSE)))</f>
        <v>39973813.199045293</v>
      </c>
      <c r="L11" s="105">
        <f>VALUE(Expenditures[[#This Row],[2018 $ Value]]/VLOOKUP(Expenditures[[#This Row],[Jurisdiction]],Places[],6,FALSE))</f>
        <v>771.94857770011959</v>
      </c>
      <c r="M11" s="105">
        <f>VALUE(Expenditures[[#This Row],[2018 $ Value]]/VLOOKUP(Expenditures[[#This Row],[Jurisdiction]],Places[],7,FALSE))</f>
        <v>5793306.2607312016</v>
      </c>
      <c r="N11" s="20" t="s">
        <v>1853</v>
      </c>
      <c r="O11" s="20"/>
    </row>
    <row r="12" spans="1:15" x14ac:dyDescent="0.25">
      <c r="A12" s="19" t="s">
        <v>265</v>
      </c>
      <c r="B12" s="19" t="str">
        <f>INDEX(Places[Type],MATCH(Expenditures[[#This Row],[Jurisdiction]],Places[Jurisdiction],0))</f>
        <v>City</v>
      </c>
      <c r="C12" s="19" t="str">
        <f>INDEX(Places[County],MATCH(Expenditures[[#This Row],[Jurisdiction]],Places[Jurisdiction],0))</f>
        <v>Orange</v>
      </c>
      <c r="D12" s="19" t="str">
        <f>INDEX(Places[Majority RB],MATCH(Expenditures[[#This Row],[Jurisdiction]],Places[Jurisdiction],0))</f>
        <v>Santa Ana</v>
      </c>
      <c r="E12" s="19">
        <f>INDEX(Places[Majority RB '#],MATCH(Expenditures[[#This Row],[Jurisdiction]],Places[Jurisdiction],0))</f>
        <v>8</v>
      </c>
      <c r="F12" s="19" t="str">
        <f>VLOOKUP(Expenditures[[#This Row],[Jurisdiction]],Places[#All],8,FALSE)</f>
        <v>Phase I MS4</v>
      </c>
      <c r="G12" s="19"/>
      <c r="H12" s="21" t="s">
        <v>1893</v>
      </c>
      <c r="I12" s="21">
        <f>VALUE(LEFT(Expenditures[[#This Row],[Fiscal Year]],4))</f>
        <v>2000</v>
      </c>
      <c r="J12" s="20">
        <v>19278348</v>
      </c>
      <c r="K12" s="20">
        <f>IF(Expenditures[[#This Row],[Reference Year]]&gt;2018,Expenditures[[#This Row],[Value]],Expenditures[[#This Row],[Value]]*(1+VLOOKUP(Expenditures[[#This Row],[Reference Year]],Inflation[#All],3,FALSE)))</f>
        <v>28170905.83965157</v>
      </c>
      <c r="L12" s="105">
        <f>VALUE(Expenditures[[#This Row],[2018 $ Value]]/VLOOKUP(Expenditures[[#This Row],[Jurisdiction]],Places[],6,FALSE))</f>
        <v>80.029845711429019</v>
      </c>
      <c r="M12" s="105">
        <f>VALUE(Expenditures[[#This Row],[2018 $ Value]]/VLOOKUP(Expenditures[[#This Row],[Jurisdiction]],Places[],7,FALSE))</f>
        <v>563418.11679303134</v>
      </c>
      <c r="N12" s="20" t="s">
        <v>1460</v>
      </c>
      <c r="O12" s="20" t="s">
        <v>1460</v>
      </c>
    </row>
    <row r="13" spans="1:15" x14ac:dyDescent="0.25">
      <c r="A13" s="19" t="s">
        <v>265</v>
      </c>
      <c r="B13" s="19" t="str">
        <f>INDEX(Places[Type],MATCH(Expenditures[[#This Row],[Jurisdiction]],Places[Jurisdiction],0))</f>
        <v>City</v>
      </c>
      <c r="C13" s="19" t="str">
        <f>INDEX(Places[County],MATCH(Expenditures[[#This Row],[Jurisdiction]],Places[Jurisdiction],0))</f>
        <v>Orange</v>
      </c>
      <c r="D13" s="19" t="str">
        <f>INDEX(Places[Majority RB],MATCH(Expenditures[[#This Row],[Jurisdiction]],Places[Jurisdiction],0))</f>
        <v>Santa Ana</v>
      </c>
      <c r="E13" s="19">
        <f>INDEX(Places[Majority RB '#],MATCH(Expenditures[[#This Row],[Jurisdiction]],Places[Jurisdiction],0))</f>
        <v>8</v>
      </c>
      <c r="F13" s="19" t="str">
        <f>VLOOKUP(Expenditures[[#This Row],[Jurisdiction]],Places[#All],8,FALSE)</f>
        <v>Phase I MS4</v>
      </c>
      <c r="G13" s="19"/>
      <c r="H13" s="21" t="s">
        <v>1875</v>
      </c>
      <c r="I13" s="21">
        <f>VALUE(LEFT(Expenditures[[#This Row],[Fiscal Year]],4))</f>
        <v>2001</v>
      </c>
      <c r="J13" s="20">
        <v>1760427</v>
      </c>
      <c r="K13" s="20">
        <f>IF(Expenditures[[#This Row],[Reference Year]]&gt;2018,Expenditures[[#This Row],[Value]],Expenditures[[#This Row],[Value]]*(1+VLOOKUP(Expenditures[[#This Row],[Reference Year]],Inflation[#All],3,FALSE)))</f>
        <v>2501287.4445906268</v>
      </c>
      <c r="L13" s="105">
        <f>VALUE(Expenditures[[#This Row],[2018 $ Value]]/VLOOKUP(Expenditures[[#This Row],[Jurisdiction]],Places[],6,FALSE))</f>
        <v>7.1058293052389221</v>
      </c>
      <c r="M13" s="105">
        <f>VALUE(Expenditures[[#This Row],[2018 $ Value]]/VLOOKUP(Expenditures[[#This Row],[Jurisdiction]],Places[],7,FALSE))</f>
        <v>50025.748891812538</v>
      </c>
      <c r="N13" s="20" t="s">
        <v>1853</v>
      </c>
      <c r="O13" s="20" t="s">
        <v>1853</v>
      </c>
    </row>
    <row r="14" spans="1:15" x14ac:dyDescent="0.25">
      <c r="A14" s="19" t="s">
        <v>179</v>
      </c>
      <c r="B14" s="19" t="str">
        <f>INDEX(Places[Type],MATCH(Expenditures[[#This Row],[Jurisdiction]],Places[Jurisdiction],0))</f>
        <v>City</v>
      </c>
      <c r="C14" s="19" t="str">
        <f>INDEX(Places[County],MATCH(Expenditures[[#This Row],[Jurisdiction]],Places[Jurisdiction],0))</f>
        <v>Los Angeles</v>
      </c>
      <c r="D14" s="19" t="str">
        <f>INDEX(Places[Majority RB],MATCH(Expenditures[[#This Row],[Jurisdiction]],Places[Jurisdiction],0))</f>
        <v>Los Angeles</v>
      </c>
      <c r="E14" s="19">
        <f>INDEX(Places[Majority RB '#],MATCH(Expenditures[[#This Row],[Jurisdiction]],Places[Jurisdiction],0))</f>
        <v>4</v>
      </c>
      <c r="F14" s="19" t="str">
        <f>VLOOKUP(Expenditures[[#This Row],[Jurisdiction]],Places[#All],8,FALSE)</f>
        <v>Phase I MS4</v>
      </c>
      <c r="G14" s="19"/>
      <c r="H14" s="21" t="s">
        <v>1870</v>
      </c>
      <c r="I14" s="21">
        <f>VALUE(LEFT(Expenditures[[#This Row],[Fiscal Year]],4))</f>
        <v>2011</v>
      </c>
      <c r="J14" s="104">
        <v>494578</v>
      </c>
      <c r="K14" s="20">
        <f>IF(Expenditures[[#This Row],[Reference Year]]&gt;2018,Expenditures[[#This Row],[Value]],Expenditures[[#This Row],[Value]]*(1+VLOOKUP(Expenditures[[#This Row],[Reference Year]],Inflation[#All],3,FALSE)))</f>
        <v>553362.19083148066</v>
      </c>
      <c r="L14" s="105">
        <f>VALUE(Expenditures[[#This Row],[2018 $ Value]]/VLOOKUP(Expenditures[[#This Row],[Jurisdiction]],Places[],6,FALSE))</f>
        <v>9.441429633705523</v>
      </c>
      <c r="M14" s="105">
        <f>VALUE(Expenditures[[#This Row],[2018 $ Value]]/VLOOKUP(Expenditures[[#This Row],[Jurisdiction]],Places[],7,FALSE))</f>
        <v>50767.173470778042</v>
      </c>
      <c r="N14" s="20" t="s">
        <v>1460</v>
      </c>
      <c r="O14" s="20" t="s">
        <v>1460</v>
      </c>
    </row>
    <row r="15" spans="1:15" x14ac:dyDescent="0.25">
      <c r="A15" s="19" t="s">
        <v>179</v>
      </c>
      <c r="B15" s="19" t="str">
        <f>INDEX(Places[Type],MATCH(Expenditures[[#This Row],[Jurisdiction]],Places[Jurisdiction],0))</f>
        <v>City</v>
      </c>
      <c r="C15" s="19" t="str">
        <f>INDEX(Places[County],MATCH(Expenditures[[#This Row],[Jurisdiction]],Places[Jurisdiction],0))</f>
        <v>Los Angeles</v>
      </c>
      <c r="D15" s="19" t="str">
        <f>INDEX(Places[Majority RB],MATCH(Expenditures[[#This Row],[Jurisdiction]],Places[Jurisdiction],0))</f>
        <v>Los Angeles</v>
      </c>
      <c r="E15" s="19">
        <f>INDEX(Places[Majority RB '#],MATCH(Expenditures[[#This Row],[Jurisdiction]],Places[Jurisdiction],0))</f>
        <v>4</v>
      </c>
      <c r="F15" s="19" t="str">
        <f>VLOOKUP(Expenditures[[#This Row],[Jurisdiction]],Places[#All],8,FALSE)</f>
        <v>Phase I MS4</v>
      </c>
      <c r="G15" s="19"/>
      <c r="H15" s="21" t="s">
        <v>1873</v>
      </c>
      <c r="I15" s="21">
        <f>VALUE(LEFT(Expenditures[[#This Row],[Fiscal Year]],4))</f>
        <v>2015</v>
      </c>
      <c r="J15" s="20">
        <v>687900</v>
      </c>
      <c r="K15" s="20">
        <f>IF(Expenditures[[#This Row],[Reference Year]]&gt;2018,Expenditures[[#This Row],[Value]],Expenditures[[#This Row],[Value]]*(1+VLOOKUP(Expenditures[[#This Row],[Reference Year]],Inflation[#All],3,FALSE)))</f>
        <v>730366.94050632906</v>
      </c>
      <c r="L15" s="105">
        <f>VALUE(Expenditures[[#This Row],[2018 $ Value]]/VLOOKUP(Expenditures[[#This Row],[Jurisdiction]],Places[],6,FALSE))</f>
        <v>12.461473136091607</v>
      </c>
      <c r="M15" s="105">
        <f>VALUE(Expenditures[[#This Row],[2018 $ Value]]/VLOOKUP(Expenditures[[#This Row],[Jurisdiction]],Places[],7,FALSE))</f>
        <v>67006.141330855869</v>
      </c>
      <c r="N15" s="20" t="s">
        <v>1853</v>
      </c>
      <c r="O15" s="20" t="s">
        <v>1853</v>
      </c>
    </row>
    <row r="16" spans="1:15" x14ac:dyDescent="0.25">
      <c r="A16" s="19" t="s">
        <v>166</v>
      </c>
      <c r="B16" s="19" t="str">
        <f>INDEX(Places[Type],MATCH(Expenditures[[#This Row],[Jurisdiction]],Places[Jurisdiction],0))</f>
        <v>City</v>
      </c>
      <c r="C16" s="19" t="str">
        <f>INDEX(Places[County],MATCH(Expenditures[[#This Row],[Jurisdiction]],Places[Jurisdiction],0))</f>
        <v>Los Angeles</v>
      </c>
      <c r="D16" s="19" t="str">
        <f>INDEX(Places[Majority RB],MATCH(Expenditures[[#This Row],[Jurisdiction]],Places[Jurisdiction],0))</f>
        <v>Los Angeles</v>
      </c>
      <c r="E16" s="19">
        <f>INDEX(Places[Majority RB '#],MATCH(Expenditures[[#This Row],[Jurisdiction]],Places[Jurisdiction],0))</f>
        <v>4</v>
      </c>
      <c r="F16" s="19" t="str">
        <f>VLOOKUP(Expenditures[[#This Row],[Jurisdiction]],Places[#All],8,FALSE)</f>
        <v>Phase I MS4</v>
      </c>
      <c r="G16" s="19"/>
      <c r="H16" s="100" t="s">
        <v>1870</v>
      </c>
      <c r="I16" s="21">
        <f>VALUE(LEFT(Expenditures[[#This Row],[Fiscal Year]],4))</f>
        <v>2011</v>
      </c>
      <c r="J16" s="20">
        <v>1009302</v>
      </c>
      <c r="K16" s="20">
        <f>IF(Expenditures[[#This Row],[Reference Year]]&gt;2018,Expenditures[[#This Row],[Value]],Expenditures[[#This Row],[Value]]*(1+VLOOKUP(Expenditures[[#This Row],[Reference Year]],Inflation[#All],3,FALSE)))</f>
        <v>1129264.880222321</v>
      </c>
      <c r="L16" s="105">
        <f>VALUE(Expenditures[[#This Row],[2018 $ Value]]/VLOOKUP(Expenditures[[#This Row],[Jurisdiction]],Places[],6,FALSE))</f>
        <v>67.418798819243051</v>
      </c>
      <c r="M16" s="105">
        <f>VALUE(Expenditures[[#This Row],[2018 $ Value]]/VLOOKUP(Expenditures[[#This Row],[Jurisdiction]],Places[],7,FALSE))</f>
        <v>705790.55013895058</v>
      </c>
      <c r="N16" s="20" t="s">
        <v>1460</v>
      </c>
      <c r="O16" s="20" t="s">
        <v>1460</v>
      </c>
    </row>
    <row r="17" spans="1:15" x14ac:dyDescent="0.25">
      <c r="A17" s="19" t="s">
        <v>166</v>
      </c>
      <c r="B17" s="19" t="str">
        <f>INDEX(Places[Type],MATCH(Expenditures[[#This Row],[Jurisdiction]],Places[Jurisdiction],0))</f>
        <v>City</v>
      </c>
      <c r="C17" s="19" t="str">
        <f>INDEX(Places[County],MATCH(Expenditures[[#This Row],[Jurisdiction]],Places[Jurisdiction],0))</f>
        <v>Los Angeles</v>
      </c>
      <c r="D17" s="19" t="str">
        <f>INDEX(Places[Majority RB],MATCH(Expenditures[[#This Row],[Jurisdiction]],Places[Jurisdiction],0))</f>
        <v>Los Angeles</v>
      </c>
      <c r="E17" s="19">
        <f>INDEX(Places[Majority RB '#],MATCH(Expenditures[[#This Row],[Jurisdiction]],Places[Jurisdiction],0))</f>
        <v>4</v>
      </c>
      <c r="F17" s="19" t="str">
        <f>VLOOKUP(Expenditures[[#This Row],[Jurisdiction]],Places[#All],8,FALSE)</f>
        <v>Phase I MS4</v>
      </c>
      <c r="G17" s="19"/>
      <c r="H17" s="100" t="s">
        <v>1873</v>
      </c>
      <c r="I17" s="21">
        <f>VALUE(LEFT(Expenditures[[#This Row],[Fiscal Year]],4))</f>
        <v>2015</v>
      </c>
      <c r="J17" s="20">
        <v>173444</v>
      </c>
      <c r="K17" s="20">
        <f>IF(Expenditures[[#This Row],[Reference Year]]&gt;2018,Expenditures[[#This Row],[Value]],Expenditures[[#This Row],[Value]]*(1+VLOOKUP(Expenditures[[#This Row],[Reference Year]],Inflation[#All],3,FALSE)))</f>
        <v>184151.42263291139</v>
      </c>
      <c r="L17" s="105">
        <f>VALUE(Expenditures[[#This Row],[2018 $ Value]]/VLOOKUP(Expenditures[[#This Row],[Jurisdiction]],Places[],6,FALSE))</f>
        <v>10.99411478405441</v>
      </c>
      <c r="M17" s="105">
        <f>VALUE(Expenditures[[#This Row],[2018 $ Value]]/VLOOKUP(Expenditures[[#This Row],[Jurisdiction]],Places[],7,FALSE))</f>
        <v>115094.63914556961</v>
      </c>
      <c r="N17" s="20" t="s">
        <v>1853</v>
      </c>
      <c r="O17" s="20" t="s">
        <v>1853</v>
      </c>
    </row>
    <row r="18" spans="1:15" x14ac:dyDescent="0.25">
      <c r="A18" s="19" t="s">
        <v>180</v>
      </c>
      <c r="B18" s="19" t="str">
        <f>INDEX(Places[Type],MATCH(Expenditures[[#This Row],[Jurisdiction]],Places[Jurisdiction],0))</f>
        <v>City</v>
      </c>
      <c r="C18" s="19" t="str">
        <f>INDEX(Places[County],MATCH(Expenditures[[#This Row],[Jurisdiction]],Places[Jurisdiction],0))</f>
        <v>Los Angeles</v>
      </c>
      <c r="D18" s="19" t="str">
        <f>INDEX(Places[Majority RB],MATCH(Expenditures[[#This Row],[Jurisdiction]],Places[Jurisdiction],0))</f>
        <v>Los Angeles</v>
      </c>
      <c r="E18" s="19">
        <f>INDEX(Places[Majority RB '#],MATCH(Expenditures[[#This Row],[Jurisdiction]],Places[Jurisdiction],0))</f>
        <v>4</v>
      </c>
      <c r="F18" s="19" t="str">
        <f>VLOOKUP(Expenditures[[#This Row],[Jurisdiction]],Places[#All],8,FALSE)</f>
        <v>Phase I MS4</v>
      </c>
      <c r="G18" s="19"/>
      <c r="H18" s="21" t="s">
        <v>1870</v>
      </c>
      <c r="I18" s="21">
        <f>VALUE(LEFT(Expenditures[[#This Row],[Fiscal Year]],4))</f>
        <v>2011</v>
      </c>
      <c r="J18" s="20">
        <v>316050</v>
      </c>
      <c r="K18" s="20">
        <f>IF(Expenditures[[#This Row],[Reference Year]]&gt;2018,Expenditures[[#This Row],[Value]],Expenditures[[#This Row],[Value]]*(1+VLOOKUP(Expenditures[[#This Row],[Reference Year]],Inflation[#All],3,FALSE)))</f>
        <v>353614.8401511783</v>
      </c>
      <c r="L18" s="105">
        <f>VALUE(Expenditures[[#This Row],[2018 $ Value]]/VLOOKUP(Expenditures[[#This Row],[Jurisdiction]],Places[],6,FALSE))</f>
        <v>7.0782425267460329</v>
      </c>
      <c r="M18" s="105">
        <f>VALUE(Expenditures[[#This Row],[2018 $ Value]]/VLOOKUP(Expenditures[[#This Row],[Jurisdiction]],Places[],7,FALSE))</f>
        <v>36455.138159915288</v>
      </c>
      <c r="N18" s="20" t="s">
        <v>1460</v>
      </c>
      <c r="O18" s="20" t="s">
        <v>1460</v>
      </c>
    </row>
    <row r="19" spans="1:15" x14ac:dyDescent="0.25">
      <c r="A19" s="19" t="s">
        <v>180</v>
      </c>
      <c r="B19" s="19" t="str">
        <f>INDEX(Places[Type],MATCH(Expenditures[[#This Row],[Jurisdiction]],Places[Jurisdiction],0))</f>
        <v>City</v>
      </c>
      <c r="C19" s="19" t="str">
        <f>INDEX(Places[County],MATCH(Expenditures[[#This Row],[Jurisdiction]],Places[Jurisdiction],0))</f>
        <v>Los Angeles</v>
      </c>
      <c r="D19" s="19" t="str">
        <f>INDEX(Places[Majority RB],MATCH(Expenditures[[#This Row],[Jurisdiction]],Places[Jurisdiction],0))</f>
        <v>Los Angeles</v>
      </c>
      <c r="E19" s="19">
        <f>INDEX(Places[Majority RB '#],MATCH(Expenditures[[#This Row],[Jurisdiction]],Places[Jurisdiction],0))</f>
        <v>4</v>
      </c>
      <c r="F19" s="19" t="str">
        <f>VLOOKUP(Expenditures[[#This Row],[Jurisdiction]],Places[#All],8,FALSE)</f>
        <v>Phase I MS4</v>
      </c>
      <c r="G19" s="19"/>
      <c r="H19" s="21" t="s">
        <v>1873</v>
      </c>
      <c r="I19" s="21">
        <f>VALUE(LEFT(Expenditures[[#This Row],[Fiscal Year]],4))</f>
        <v>2015</v>
      </c>
      <c r="J19" s="20">
        <v>542500</v>
      </c>
      <c r="K19" s="20">
        <f>IF(Expenditures[[#This Row],[Reference Year]]&gt;2018,Expenditures[[#This Row],[Value]],Expenditures[[#This Row],[Value]]*(1+VLOOKUP(Expenditures[[#This Row],[Reference Year]],Inflation[#All],3,FALSE)))</f>
        <v>575990.79113924049</v>
      </c>
      <c r="L19" s="105">
        <f>VALUE(Expenditures[[#This Row],[2018 $ Value]]/VLOOKUP(Expenditures[[#This Row],[Jurisdiction]],Places[],6,FALSE))</f>
        <v>11.529500603291575</v>
      </c>
      <c r="M19" s="105">
        <f>VALUE(Expenditures[[#This Row],[2018 $ Value]]/VLOOKUP(Expenditures[[#This Row],[Jurisdiction]],Places[],7,FALSE))</f>
        <v>59380.493931880468</v>
      </c>
      <c r="N19" s="20" t="s">
        <v>1853</v>
      </c>
      <c r="O19" s="20" t="s">
        <v>1853</v>
      </c>
    </row>
    <row r="20" spans="1:15" x14ac:dyDescent="0.25">
      <c r="A20" s="19" t="s">
        <v>15</v>
      </c>
      <c r="B20" s="19" t="str">
        <f>INDEX(Places[Type],MATCH(Expenditures[[#This Row],[Jurisdiction]],Places[Jurisdiction],0))</f>
        <v>City</v>
      </c>
      <c r="C20" s="19" t="str">
        <f>INDEX(Places[County],MATCH(Expenditures[[#This Row],[Jurisdiction]],Places[Jurisdiction],0))</f>
        <v>Kern</v>
      </c>
      <c r="D20" s="19" t="str">
        <f>INDEX(Places[Majority RB],MATCH(Expenditures[[#This Row],[Jurisdiction]],Places[Jurisdiction],0))</f>
        <v>Central Valley</v>
      </c>
      <c r="E20" s="19">
        <f>INDEX(Places[Majority RB '#],MATCH(Expenditures[[#This Row],[Jurisdiction]],Places[Jurisdiction],0))</f>
        <v>5</v>
      </c>
      <c r="F20" s="19" t="str">
        <f>VLOOKUP(Expenditures[[#This Row],[Jurisdiction]],Places[#All],8,FALSE)</f>
        <v>Phase I MS4</v>
      </c>
      <c r="G20" s="19"/>
      <c r="H20" s="19" t="s">
        <v>1886</v>
      </c>
      <c r="I20" s="21">
        <f>VALUE(LEFT(Expenditures[[#This Row],[Fiscal Year]],4))</f>
        <v>2003</v>
      </c>
      <c r="J20" s="20">
        <v>7510500</v>
      </c>
      <c r="K20" s="20">
        <f>IF(Expenditures[[#This Row],[Reference Year]]&gt;2018,Expenditures[[#This Row],[Value]],Expenditures[[#This Row],[Value]]*(1+VLOOKUP(Expenditures[[#This Row],[Reference Year]],Inflation[#All],3,FALSE)))</f>
        <v>10271057.747282607</v>
      </c>
      <c r="L20" s="105">
        <f>VALUE(Expenditures[[#This Row],[2018 $ Value]]/VLOOKUP(Expenditures[[#This Row],[Jurisdiction]],Places[],6,FALSE))</f>
        <v>26.776903186260476</v>
      </c>
      <c r="M20" s="105">
        <f>VALUE(Expenditures[[#This Row],[2018 $ Value]]/VLOOKUP(Expenditures[[#This Row],[Jurisdiction]],Places[],7,FALSE))</f>
        <v>69025.925720985266</v>
      </c>
      <c r="N20" s="20" t="s">
        <v>1460</v>
      </c>
      <c r="O20" s="20" t="s">
        <v>1460</v>
      </c>
    </row>
    <row r="21" spans="1:15" x14ac:dyDescent="0.25">
      <c r="A21" s="19" t="s">
        <v>15</v>
      </c>
      <c r="B21" s="19" t="str">
        <f>INDEX(Places[Type],MATCH(Expenditures[[#This Row],[Jurisdiction]],Places[Jurisdiction],0))</f>
        <v>City</v>
      </c>
      <c r="C21" s="19" t="str">
        <f>INDEX(Places[County],MATCH(Expenditures[[#This Row],[Jurisdiction]],Places[Jurisdiction],0))</f>
        <v>Kern</v>
      </c>
      <c r="D21" s="19" t="str">
        <f>INDEX(Places[Majority RB],MATCH(Expenditures[[#This Row],[Jurisdiction]],Places[Jurisdiction],0))</f>
        <v>Central Valley</v>
      </c>
      <c r="E21" s="19">
        <f>INDEX(Places[Majority RB '#],MATCH(Expenditures[[#This Row],[Jurisdiction]],Places[Jurisdiction],0))</f>
        <v>5</v>
      </c>
      <c r="F21" s="19" t="str">
        <f>VLOOKUP(Expenditures[[#This Row],[Jurisdiction]],Places[#All],8,FALSE)</f>
        <v>Phase I MS4</v>
      </c>
      <c r="G21" s="19"/>
      <c r="H21" s="19" t="s">
        <v>1887</v>
      </c>
      <c r="I21" s="21">
        <f>VALUE(LEFT(Expenditures[[#This Row],[Fiscal Year]],4))</f>
        <v>2004</v>
      </c>
      <c r="J21" s="20">
        <v>13567100</v>
      </c>
      <c r="K21" s="20">
        <f>IF(Expenditures[[#This Row],[Reference Year]]&gt;2018,Expenditures[[#This Row],[Value]],Expenditures[[#This Row],[Value]]*(1+VLOOKUP(Expenditures[[#This Row],[Reference Year]],Inflation[#All],3,FALSE)))</f>
        <v>18072540.709899418</v>
      </c>
      <c r="L21" s="105">
        <f>VALUE(Expenditures[[#This Row],[2018 $ Value]]/VLOOKUP(Expenditures[[#This Row],[Jurisdiction]],Places[],6,FALSE))</f>
        <v>47.11556344299197</v>
      </c>
      <c r="M21" s="105">
        <f>VALUE(Expenditures[[#This Row],[2018 $ Value]]/VLOOKUP(Expenditures[[#This Row],[Jurisdiction]],Places[],7,FALSE))</f>
        <v>121455.24670631328</v>
      </c>
      <c r="N21" s="20" t="s">
        <v>1460</v>
      </c>
      <c r="O21" s="20" t="s">
        <v>1460</v>
      </c>
    </row>
    <row r="22" spans="1:15" x14ac:dyDescent="0.25">
      <c r="A22" s="19" t="s">
        <v>15</v>
      </c>
      <c r="B22" s="19" t="str">
        <f>INDEX(Places[Type],MATCH(Expenditures[[#This Row],[Jurisdiction]],Places[Jurisdiction],0))</f>
        <v>City</v>
      </c>
      <c r="C22" s="19" t="str">
        <f>INDEX(Places[County],MATCH(Expenditures[[#This Row],[Jurisdiction]],Places[Jurisdiction],0))</f>
        <v>Kern</v>
      </c>
      <c r="D22" s="19" t="str">
        <f>INDEX(Places[Majority RB],MATCH(Expenditures[[#This Row],[Jurisdiction]],Places[Jurisdiction],0))</f>
        <v>Central Valley</v>
      </c>
      <c r="E22" s="19">
        <f>INDEX(Places[Majority RB '#],MATCH(Expenditures[[#This Row],[Jurisdiction]],Places[Jurisdiction],0))</f>
        <v>5</v>
      </c>
      <c r="F22" s="19" t="str">
        <f>VLOOKUP(Expenditures[[#This Row],[Jurisdiction]],Places[#All],8,FALSE)</f>
        <v>Phase I MS4</v>
      </c>
      <c r="G22" s="19"/>
      <c r="H22" s="19" t="s">
        <v>1882</v>
      </c>
      <c r="I22" s="21">
        <f>VALUE(LEFT(Expenditures[[#This Row],[Fiscal Year]],4))</f>
        <v>2005</v>
      </c>
      <c r="J22" s="20">
        <v>11818400</v>
      </c>
      <c r="K22" s="20">
        <f>IF(Expenditures[[#This Row],[Reference Year]]&gt;2018,Expenditures[[#This Row],[Value]],Expenditures[[#This Row],[Value]]*(1+VLOOKUP(Expenditures[[#This Row],[Reference Year]],Inflation[#All],3,FALSE)))</f>
        <v>15227218.691244239</v>
      </c>
      <c r="L22" s="105">
        <f>VALUE(Expenditures[[#This Row],[2018 $ Value]]/VLOOKUP(Expenditures[[#This Row],[Jurisdiction]],Places[],6,FALSE))</f>
        <v>39.697738122379583</v>
      </c>
      <c r="M22" s="105">
        <f>VALUE(Expenditures[[#This Row],[2018 $ Value]]/VLOOKUP(Expenditures[[#This Row],[Jurisdiction]],Places[],7,FALSE))</f>
        <v>102333.45894653385</v>
      </c>
      <c r="N22" s="20" t="s">
        <v>1460</v>
      </c>
      <c r="O22" s="20" t="s">
        <v>1460</v>
      </c>
    </row>
    <row r="23" spans="1:15" x14ac:dyDescent="0.25">
      <c r="A23" s="19" t="s">
        <v>15</v>
      </c>
      <c r="B23" s="19" t="str">
        <f>INDEX(Places[Type],MATCH(Expenditures[[#This Row],[Jurisdiction]],Places[Jurisdiction],0))</f>
        <v>City</v>
      </c>
      <c r="C23" s="19" t="str">
        <f>INDEX(Places[County],MATCH(Expenditures[[#This Row],[Jurisdiction]],Places[Jurisdiction],0))</f>
        <v>Kern</v>
      </c>
      <c r="D23" s="19" t="str">
        <f>INDEX(Places[Majority RB],MATCH(Expenditures[[#This Row],[Jurisdiction]],Places[Jurisdiction],0))</f>
        <v>Central Valley</v>
      </c>
      <c r="E23" s="19">
        <f>INDEX(Places[Majority RB '#],MATCH(Expenditures[[#This Row],[Jurisdiction]],Places[Jurisdiction],0))</f>
        <v>5</v>
      </c>
      <c r="F23" s="19" t="str">
        <f>VLOOKUP(Expenditures[[#This Row],[Jurisdiction]],Places[#All],8,FALSE)</f>
        <v>Phase I MS4</v>
      </c>
      <c r="G23" s="19"/>
      <c r="H23" s="19" t="s">
        <v>1883</v>
      </c>
      <c r="I23" s="21">
        <f>VALUE(LEFT(Expenditures[[#This Row],[Fiscal Year]],4))</f>
        <v>2006</v>
      </c>
      <c r="J23" s="20">
        <v>12227700</v>
      </c>
      <c r="K23" s="20">
        <f>IF(Expenditures[[#This Row],[Reference Year]]&gt;2018,Expenditures[[#This Row],[Value]],Expenditures[[#This Row],[Value]]*(1+VLOOKUP(Expenditures[[#This Row],[Reference Year]],Inflation[#All],3,FALSE)))</f>
        <v>15262243.941964287</v>
      </c>
      <c r="L23" s="105">
        <f>VALUE(Expenditures[[#This Row],[2018 $ Value]]/VLOOKUP(Expenditures[[#This Row],[Jurisdiction]],Places[],6,FALSE))</f>
        <v>39.789049822759551</v>
      </c>
      <c r="M23" s="105">
        <f>VALUE(Expenditures[[#This Row],[2018 $ Value]]/VLOOKUP(Expenditures[[#This Row],[Jurisdiction]],Places[],7,FALSE))</f>
        <v>102568.84369599655</v>
      </c>
      <c r="N23" s="20" t="s">
        <v>1460</v>
      </c>
      <c r="O23" s="20" t="s">
        <v>1460</v>
      </c>
    </row>
    <row r="24" spans="1:15" x14ac:dyDescent="0.25">
      <c r="A24" s="19" t="s">
        <v>15</v>
      </c>
      <c r="B24" s="19" t="str">
        <f>INDEX(Places[Type],MATCH(Expenditures[[#This Row],[Jurisdiction]],Places[Jurisdiction],0))</f>
        <v>City</v>
      </c>
      <c r="C24" s="19" t="str">
        <f>INDEX(Places[County],MATCH(Expenditures[[#This Row],[Jurisdiction]],Places[Jurisdiction],0))</f>
        <v>Kern</v>
      </c>
      <c r="D24" s="19" t="str">
        <f>INDEX(Places[Majority RB],MATCH(Expenditures[[#This Row],[Jurisdiction]],Places[Jurisdiction],0))</f>
        <v>Central Valley</v>
      </c>
      <c r="E24" s="19">
        <f>INDEX(Places[Majority RB '#],MATCH(Expenditures[[#This Row],[Jurisdiction]],Places[Jurisdiction],0))</f>
        <v>5</v>
      </c>
      <c r="F24" s="19" t="str">
        <f>VLOOKUP(Expenditures[[#This Row],[Jurisdiction]],Places[#All],8,FALSE)</f>
        <v>Phase I MS4</v>
      </c>
      <c r="G24" s="19"/>
      <c r="H24" s="19" t="s">
        <v>1888</v>
      </c>
      <c r="I24" s="21">
        <f>VALUE(LEFT(Expenditures[[#This Row],[Fiscal Year]],4))</f>
        <v>2007</v>
      </c>
      <c r="J24" s="20">
        <v>12484300</v>
      </c>
      <c r="K24" s="20">
        <f>IF(Expenditures[[#This Row],[Reference Year]]&gt;2018,Expenditures[[#This Row],[Value]],Expenditures[[#This Row],[Value]]*(1+VLOOKUP(Expenditures[[#This Row],[Reference Year]],Inflation[#All],3,FALSE)))</f>
        <v>15154061.231548479</v>
      </c>
      <c r="L24" s="105">
        <f>VALUE(Expenditures[[#This Row],[2018 $ Value]]/VLOOKUP(Expenditures[[#This Row],[Jurisdiction]],Places[],6,FALSE))</f>
        <v>39.507014804117219</v>
      </c>
      <c r="M24" s="105">
        <f>VALUE(Expenditures[[#This Row],[2018 $ Value]]/VLOOKUP(Expenditures[[#This Row],[Jurisdiction]],Places[],7,FALSE))</f>
        <v>101841.80935180429</v>
      </c>
      <c r="N24" s="20" t="s">
        <v>1460</v>
      </c>
      <c r="O24" s="20" t="s">
        <v>1460</v>
      </c>
    </row>
    <row r="25" spans="1:15" x14ac:dyDescent="0.25">
      <c r="A25" s="19" t="s">
        <v>15</v>
      </c>
      <c r="B25" s="19" t="str">
        <f>INDEX(Places[Type],MATCH(Expenditures[[#This Row],[Jurisdiction]],Places[Jurisdiction],0))</f>
        <v>City</v>
      </c>
      <c r="C25" s="19" t="str">
        <f>INDEX(Places[County],MATCH(Expenditures[[#This Row],[Jurisdiction]],Places[Jurisdiction],0))</f>
        <v>Kern</v>
      </c>
      <c r="D25" s="19" t="str">
        <f>INDEX(Places[Majority RB],MATCH(Expenditures[[#This Row],[Jurisdiction]],Places[Jurisdiction],0))</f>
        <v>Central Valley</v>
      </c>
      <c r="E25" s="19">
        <f>INDEX(Places[Majority RB '#],MATCH(Expenditures[[#This Row],[Jurisdiction]],Places[Jurisdiction],0))</f>
        <v>5</v>
      </c>
      <c r="F25" s="19" t="str">
        <f>VLOOKUP(Expenditures[[#This Row],[Jurisdiction]],Places[#All],8,FALSE)</f>
        <v>Phase I MS4</v>
      </c>
      <c r="G25" s="19"/>
      <c r="H25" s="19" t="s">
        <v>1884</v>
      </c>
      <c r="I25" s="21">
        <f>VALUE(LEFT(Expenditures[[#This Row],[Fiscal Year]],4))</f>
        <v>2008</v>
      </c>
      <c r="J25" s="20">
        <v>12858900</v>
      </c>
      <c r="K25" s="20">
        <f>IF(Expenditures[[#This Row],[Reference Year]]&gt;2018,Expenditures[[#This Row],[Value]],Expenditures[[#This Row],[Value]]*(1+VLOOKUP(Expenditures[[#This Row],[Reference Year]],Inflation[#All],3,FALSE)))</f>
        <v>15028787.115188109</v>
      </c>
      <c r="L25" s="105">
        <f>VALUE(Expenditures[[#This Row],[2018 $ Value]]/VLOOKUP(Expenditures[[#This Row],[Jurisdiction]],Places[],6,FALSE))</f>
        <v>39.18042206478485</v>
      </c>
      <c r="M25" s="105">
        <f>VALUE(Expenditures[[#This Row],[2018 $ Value]]/VLOOKUP(Expenditures[[#This Row],[Jurisdiction]],Places[],7,FALSE))</f>
        <v>100999.91340852223</v>
      </c>
      <c r="N25" s="20" t="s">
        <v>1460</v>
      </c>
      <c r="O25" s="20" t="s">
        <v>1460</v>
      </c>
    </row>
    <row r="26" spans="1:15" x14ac:dyDescent="0.25">
      <c r="A26" s="19" t="s">
        <v>15</v>
      </c>
      <c r="B26" s="19" t="str">
        <f>INDEX(Places[Type],MATCH(Expenditures[[#This Row],[Jurisdiction]],Places[Jurisdiction],0))</f>
        <v>City</v>
      </c>
      <c r="C26" s="19" t="str">
        <f>INDEX(Places[County],MATCH(Expenditures[[#This Row],[Jurisdiction]],Places[Jurisdiction],0))</f>
        <v>Kern</v>
      </c>
      <c r="D26" s="19" t="str">
        <f>INDEX(Places[Majority RB],MATCH(Expenditures[[#This Row],[Jurisdiction]],Places[Jurisdiction],0))</f>
        <v>Central Valley</v>
      </c>
      <c r="E26" s="19">
        <f>INDEX(Places[Majority RB '#],MATCH(Expenditures[[#This Row],[Jurisdiction]],Places[Jurisdiction],0))</f>
        <v>5</v>
      </c>
      <c r="F26" s="19" t="str">
        <f>VLOOKUP(Expenditures[[#This Row],[Jurisdiction]],Places[#All],8,FALSE)</f>
        <v>Phase I MS4</v>
      </c>
      <c r="G26" s="19"/>
      <c r="H26" s="19" t="s">
        <v>1889</v>
      </c>
      <c r="I26" s="21">
        <f>VALUE(LEFT(Expenditures[[#This Row],[Fiscal Year]],4))</f>
        <v>2009</v>
      </c>
      <c r="J26" s="20">
        <v>12858900</v>
      </c>
      <c r="K26" s="20">
        <f>IF(Expenditures[[#This Row],[Reference Year]]&gt;2018,Expenditures[[#This Row],[Value]],Expenditures[[#This Row],[Value]]*(1+VLOOKUP(Expenditures[[#This Row],[Reference Year]],Inflation[#All],3,FALSE)))</f>
        <v>15084838.535664335</v>
      </c>
      <c r="L26" s="105">
        <f>VALUE(Expenditures[[#This Row],[2018 $ Value]]/VLOOKUP(Expenditures[[#This Row],[Jurisdiction]],Places[],6,FALSE))</f>
        <v>39.326549513045123</v>
      </c>
      <c r="M26" s="105">
        <f>VALUE(Expenditures[[#This Row],[2018 $ Value]]/VLOOKUP(Expenditures[[#This Row],[Jurisdiction]],Places[],7,FALSE))</f>
        <v>101376.60306226031</v>
      </c>
      <c r="N26" s="20" t="s">
        <v>1460</v>
      </c>
      <c r="O26" s="20" t="s">
        <v>1460</v>
      </c>
    </row>
    <row r="27" spans="1:15" x14ac:dyDescent="0.25">
      <c r="A27" s="19" t="s">
        <v>15</v>
      </c>
      <c r="B27" s="19" t="str">
        <f>INDEX(Places[Type],MATCH(Expenditures[[#This Row],[Jurisdiction]],Places[Jurisdiction],0))</f>
        <v>City</v>
      </c>
      <c r="C27" s="19" t="str">
        <f>INDEX(Places[County],MATCH(Expenditures[[#This Row],[Jurisdiction]],Places[Jurisdiction],0))</f>
        <v>Kern</v>
      </c>
      <c r="D27" s="19" t="str">
        <f>INDEX(Places[Majority RB],MATCH(Expenditures[[#This Row],[Jurisdiction]],Places[Jurisdiction],0))</f>
        <v>Central Valley</v>
      </c>
      <c r="E27" s="19">
        <f>INDEX(Places[Majority RB '#],MATCH(Expenditures[[#This Row],[Jurisdiction]],Places[Jurisdiction],0))</f>
        <v>5</v>
      </c>
      <c r="F27" s="19" t="str">
        <f>VLOOKUP(Expenditures[[#This Row],[Jurisdiction]],Places[#All],8,FALSE)</f>
        <v>Phase I MS4</v>
      </c>
      <c r="G27" s="19"/>
      <c r="H27" s="19" t="s">
        <v>1885</v>
      </c>
      <c r="I27" s="21">
        <f>VALUE(LEFT(Expenditures[[#This Row],[Fiscal Year]],4))</f>
        <v>2010</v>
      </c>
      <c r="J27" s="20">
        <v>12858900</v>
      </c>
      <c r="K27" s="20">
        <f>IF(Expenditures[[#This Row],[Reference Year]]&gt;2018,Expenditures[[#This Row],[Value]],Expenditures[[#This Row],[Value]]*(1+VLOOKUP(Expenditures[[#This Row],[Reference Year]],Inflation[#All],3,FALSE)))</f>
        <v>14835845.327372765</v>
      </c>
      <c r="L27" s="105">
        <f>VALUE(Expenditures[[#This Row],[2018 $ Value]]/VLOOKUP(Expenditures[[#This Row],[Jurisdiction]],Places[],6,FALSE))</f>
        <v>38.677418021770656</v>
      </c>
      <c r="M27" s="105">
        <f>VALUE(Expenditures[[#This Row],[2018 $ Value]]/VLOOKUP(Expenditures[[#This Row],[Jurisdiction]],Places[],7,FALSE))</f>
        <v>99703.261608687928</v>
      </c>
      <c r="N27" s="20" t="s">
        <v>1460</v>
      </c>
      <c r="O27" s="20" t="s">
        <v>1460</v>
      </c>
    </row>
    <row r="28" spans="1:15" x14ac:dyDescent="0.25">
      <c r="A28" s="19" t="s">
        <v>15</v>
      </c>
      <c r="B28" s="19" t="str">
        <f>INDEX(Places[Type],MATCH(Expenditures[[#This Row],[Jurisdiction]],Places[Jurisdiction],0))</f>
        <v>City</v>
      </c>
      <c r="C28" s="19" t="str">
        <f>INDEX(Places[County],MATCH(Expenditures[[#This Row],[Jurisdiction]],Places[Jurisdiction],0))</f>
        <v>Kern</v>
      </c>
      <c r="D28" s="19" t="str">
        <f>INDEX(Places[Majority RB],MATCH(Expenditures[[#This Row],[Jurisdiction]],Places[Jurisdiction],0))</f>
        <v>Central Valley</v>
      </c>
      <c r="E28" s="19">
        <f>INDEX(Places[Majority RB '#],MATCH(Expenditures[[#This Row],[Jurisdiction]],Places[Jurisdiction],0))</f>
        <v>5</v>
      </c>
      <c r="F28" s="19" t="str">
        <f>VLOOKUP(Expenditures[[#This Row],[Jurisdiction]],Places[#All],8,FALSE)</f>
        <v>Phase I MS4</v>
      </c>
      <c r="G28" s="19"/>
      <c r="H28" s="19" t="s">
        <v>1870</v>
      </c>
      <c r="I28" s="21">
        <f>VALUE(LEFT(Expenditures[[#This Row],[Fiscal Year]],4))</f>
        <v>2011</v>
      </c>
      <c r="J28" s="20">
        <v>12860700</v>
      </c>
      <c r="K28" s="20">
        <f>IF(Expenditures[[#This Row],[Reference Year]]&gt;2018,Expenditures[[#This Row],[Value]],Expenditures[[#This Row],[Value]]*(1+VLOOKUP(Expenditures[[#This Row],[Reference Year]],Inflation[#All],3,FALSE)))</f>
        <v>14389287.690973766</v>
      </c>
      <c r="L28" s="105">
        <f>VALUE(Expenditures[[#This Row],[2018 $ Value]]/VLOOKUP(Expenditures[[#This Row],[Jurisdiction]],Places[],6,FALSE))</f>
        <v>37.513231149186389</v>
      </c>
      <c r="M28" s="105">
        <f>VALUE(Expenditures[[#This Row],[2018 $ Value]]/VLOOKUP(Expenditures[[#This Row],[Jurisdiction]],Places[],7,FALSE))</f>
        <v>96702.202224286055</v>
      </c>
      <c r="N28" s="20" t="s">
        <v>1460</v>
      </c>
      <c r="O28" s="20" t="s">
        <v>1460</v>
      </c>
    </row>
    <row r="29" spans="1:15" x14ac:dyDescent="0.25">
      <c r="A29" s="19" t="s">
        <v>15</v>
      </c>
      <c r="B29" s="19" t="str">
        <f>INDEX(Places[Type],MATCH(Expenditures[[#This Row],[Jurisdiction]],Places[Jurisdiction],0))</f>
        <v>City</v>
      </c>
      <c r="C29" s="19" t="str">
        <f>INDEX(Places[County],MATCH(Expenditures[[#This Row],[Jurisdiction]],Places[Jurisdiction],0))</f>
        <v>Kern</v>
      </c>
      <c r="D29" s="19" t="str">
        <f>INDEX(Places[Majority RB],MATCH(Expenditures[[#This Row],[Jurisdiction]],Places[Jurisdiction],0))</f>
        <v>Central Valley</v>
      </c>
      <c r="E29" s="19">
        <f>INDEX(Places[Majority RB '#],MATCH(Expenditures[[#This Row],[Jurisdiction]],Places[Jurisdiction],0))</f>
        <v>5</v>
      </c>
      <c r="F29" s="19" t="str">
        <f>VLOOKUP(Expenditures[[#This Row],[Jurisdiction]],Places[#All],8,FALSE)</f>
        <v>Phase I MS4</v>
      </c>
      <c r="G29" s="19"/>
      <c r="H29" s="19" t="s">
        <v>1871</v>
      </c>
      <c r="I29" s="21">
        <f>VALUE(LEFT(Expenditures[[#This Row],[Fiscal Year]],4))</f>
        <v>2012</v>
      </c>
      <c r="J29" s="20">
        <v>13433500</v>
      </c>
      <c r="K29" s="20">
        <f>IF(Expenditures[[#This Row],[Reference Year]]&gt;2018,Expenditures[[#This Row],[Value]],Expenditures[[#This Row],[Value]]*(1+VLOOKUP(Expenditures[[#This Row],[Reference Year]],Inflation[#All],3,FALSE)))</f>
        <v>14722495.812282231</v>
      </c>
      <c r="L29" s="105">
        <f>VALUE(Expenditures[[#This Row],[2018 $ Value]]/VLOOKUP(Expenditures[[#This Row],[Jurisdiction]],Places[],6,FALSE))</f>
        <v>38.381913014743326</v>
      </c>
      <c r="M29" s="105">
        <f>VALUE(Expenditures[[#This Row],[2018 $ Value]]/VLOOKUP(Expenditures[[#This Row],[Jurisdiction]],Places[],7,FALSE))</f>
        <v>98941.504114799929</v>
      </c>
      <c r="N29" s="20" t="s">
        <v>1460</v>
      </c>
      <c r="O29" s="20" t="s">
        <v>1460</v>
      </c>
    </row>
    <row r="30" spans="1:15" x14ac:dyDescent="0.25">
      <c r="A30" s="19" t="s">
        <v>15</v>
      </c>
      <c r="B30" s="19" t="str">
        <f>INDEX(Places[Type],MATCH(Expenditures[[#This Row],[Jurisdiction]],Places[Jurisdiction],0))</f>
        <v>City</v>
      </c>
      <c r="C30" s="19" t="str">
        <f>INDEX(Places[County],MATCH(Expenditures[[#This Row],[Jurisdiction]],Places[Jurisdiction],0))</f>
        <v>Kern</v>
      </c>
      <c r="D30" s="19" t="str">
        <f>INDEX(Places[Majority RB],MATCH(Expenditures[[#This Row],[Jurisdiction]],Places[Jurisdiction],0))</f>
        <v>Central Valley</v>
      </c>
      <c r="E30" s="19">
        <f>INDEX(Places[Majority RB '#],MATCH(Expenditures[[#This Row],[Jurisdiction]],Places[Jurisdiction],0))</f>
        <v>5</v>
      </c>
      <c r="F30" s="19" t="str">
        <f>VLOOKUP(Expenditures[[#This Row],[Jurisdiction]],Places[#All],8,FALSE)</f>
        <v>Phase I MS4</v>
      </c>
      <c r="G30" s="19"/>
      <c r="H30" s="19" t="s">
        <v>1880</v>
      </c>
      <c r="I30" s="21">
        <f>VALUE(LEFT(Expenditures[[#This Row],[Fiscal Year]],4))</f>
        <v>2013</v>
      </c>
      <c r="J30" s="20">
        <v>15269000</v>
      </c>
      <c r="K30" s="20">
        <f>IF(Expenditures[[#This Row],[Reference Year]]&gt;2018,Expenditures[[#This Row],[Value]],Expenditures[[#This Row],[Value]]*(1+VLOOKUP(Expenditures[[#This Row],[Reference Year]],Inflation[#All],3,FALSE)))</f>
        <v>16489930.210300431</v>
      </c>
      <c r="L30" s="105">
        <f>VALUE(Expenditures[[#This Row],[2018 $ Value]]/VLOOKUP(Expenditures[[#This Row],[Jurisdiction]],Places[],6,FALSE))</f>
        <v>42.989658480522735</v>
      </c>
      <c r="M30" s="105">
        <f>VALUE(Expenditures[[#This Row],[2018 $ Value]]/VLOOKUP(Expenditures[[#This Row],[Jurisdiction]],Places[],7,FALSE))</f>
        <v>110819.42345632009</v>
      </c>
      <c r="N30" s="20" t="s">
        <v>1460</v>
      </c>
      <c r="O30" s="20" t="s">
        <v>1460</v>
      </c>
    </row>
    <row r="31" spans="1:15" x14ac:dyDescent="0.25">
      <c r="A31" s="19" t="s">
        <v>15</v>
      </c>
      <c r="B31" s="19" t="str">
        <f>INDEX(Places[Type],MATCH(Expenditures[[#This Row],[Jurisdiction]],Places[Jurisdiction],0))</f>
        <v>City</v>
      </c>
      <c r="C31" s="19" t="str">
        <f>INDEX(Places[County],MATCH(Expenditures[[#This Row],[Jurisdiction]],Places[Jurisdiction],0))</f>
        <v>Kern</v>
      </c>
      <c r="D31" s="19" t="str">
        <f>INDEX(Places[Majority RB],MATCH(Expenditures[[#This Row],[Jurisdiction]],Places[Jurisdiction],0))</f>
        <v>Central Valley</v>
      </c>
      <c r="E31" s="19">
        <f>INDEX(Places[Majority RB '#],MATCH(Expenditures[[#This Row],[Jurisdiction]],Places[Jurisdiction],0))</f>
        <v>5</v>
      </c>
      <c r="F31" s="19" t="str">
        <f>VLOOKUP(Expenditures[[#This Row],[Jurisdiction]],Places[#All],8,FALSE)</f>
        <v>Phase I MS4</v>
      </c>
      <c r="G31" s="19"/>
      <c r="H31" s="19" t="s">
        <v>1881</v>
      </c>
      <c r="I31" s="21">
        <f>VALUE(LEFT(Expenditures[[#This Row],[Fiscal Year]],4))</f>
        <v>2014</v>
      </c>
      <c r="J31" s="20">
        <v>26218300</v>
      </c>
      <c r="K31" s="20">
        <f>IF(Expenditures[[#This Row],[Reference Year]]&gt;2018,Expenditures[[#This Row],[Value]],Expenditures[[#This Row],[Value]]*(1+VLOOKUP(Expenditures[[#This Row],[Reference Year]],Inflation[#All],3,FALSE)))</f>
        <v>27872146.376425859</v>
      </c>
      <c r="L31" s="105">
        <f>VALUE(Expenditures[[#This Row],[2018 $ Value]]/VLOOKUP(Expenditures[[#This Row],[Jurisdiction]],Places[],6,FALSE))</f>
        <v>72.663379320624585</v>
      </c>
      <c r="M31" s="105">
        <f>VALUE(Expenditures[[#This Row],[2018 $ Value]]/VLOOKUP(Expenditures[[#This Row],[Jurisdiction]],Places[],7,FALSE))</f>
        <v>187312.8116695286</v>
      </c>
      <c r="N31" s="20" t="s">
        <v>1460</v>
      </c>
      <c r="O31" s="20" t="s">
        <v>1460</v>
      </c>
    </row>
    <row r="32" spans="1:15" x14ac:dyDescent="0.25">
      <c r="A32" s="19" t="s">
        <v>15</v>
      </c>
      <c r="B32" s="19" t="str">
        <f>INDEX(Places[Type],MATCH(Expenditures[[#This Row],[Jurisdiction]],Places[Jurisdiction],0))</f>
        <v>City</v>
      </c>
      <c r="C32" s="19" t="str">
        <f>INDEX(Places[County],MATCH(Expenditures[[#This Row],[Jurisdiction]],Places[Jurisdiction],0))</f>
        <v>Kern</v>
      </c>
      <c r="D32" s="19" t="str">
        <f>INDEX(Places[Majority RB],MATCH(Expenditures[[#This Row],[Jurisdiction]],Places[Jurisdiction],0))</f>
        <v>Central Valley</v>
      </c>
      <c r="E32" s="19">
        <f>INDEX(Places[Majority RB '#],MATCH(Expenditures[[#This Row],[Jurisdiction]],Places[Jurisdiction],0))</f>
        <v>5</v>
      </c>
      <c r="F32" s="19" t="str">
        <f>VLOOKUP(Expenditures[[#This Row],[Jurisdiction]],Places[#All],8,FALSE)</f>
        <v>Phase I MS4</v>
      </c>
      <c r="G32" s="19"/>
      <c r="H32" s="19" t="s">
        <v>1873</v>
      </c>
      <c r="I32" s="21">
        <f>VALUE(LEFT(Expenditures[[#This Row],[Fiscal Year]],4))</f>
        <v>2015</v>
      </c>
      <c r="J32" s="20">
        <v>26243700</v>
      </c>
      <c r="K32" s="20">
        <f>IF(Expenditures[[#This Row],[Reference Year]]&gt;2018,Expenditures[[#This Row],[Value]],Expenditures[[#This Row],[Value]]*(1+VLOOKUP(Expenditures[[#This Row],[Reference Year]],Inflation[#All],3,FALSE)))</f>
        <v>27863833.226582278</v>
      </c>
      <c r="L32" s="105">
        <f>VALUE(Expenditures[[#This Row],[2018 $ Value]]/VLOOKUP(Expenditures[[#This Row],[Jurisdiction]],Places[],6,FALSE))</f>
        <v>72.641706732074169</v>
      </c>
      <c r="M32" s="105">
        <f>VALUE(Expenditures[[#This Row],[2018 $ Value]]/VLOOKUP(Expenditures[[#This Row],[Jurisdiction]],Places[],7,FALSE))</f>
        <v>187256.94372703141</v>
      </c>
      <c r="N32" s="20" t="s">
        <v>1460</v>
      </c>
      <c r="O32" s="20" t="s">
        <v>1460</v>
      </c>
    </row>
    <row r="33" spans="1:15" x14ac:dyDescent="0.25">
      <c r="A33" s="19" t="s">
        <v>15</v>
      </c>
      <c r="B33" s="19" t="str">
        <f>INDEX(Places[Type],MATCH(Expenditures[[#This Row],[Jurisdiction]],Places[Jurisdiction],0))</f>
        <v>City</v>
      </c>
      <c r="C33" s="19" t="str">
        <f>INDEX(Places[County],MATCH(Expenditures[[#This Row],[Jurisdiction]],Places[Jurisdiction],0))</f>
        <v>Kern</v>
      </c>
      <c r="D33" s="19" t="str">
        <f>INDEX(Places[Majority RB],MATCH(Expenditures[[#This Row],[Jurisdiction]],Places[Jurisdiction],0))</f>
        <v>Central Valley</v>
      </c>
      <c r="E33" s="19">
        <f>INDEX(Places[Majority RB '#],MATCH(Expenditures[[#This Row],[Jurisdiction]],Places[Jurisdiction],0))</f>
        <v>5</v>
      </c>
      <c r="F33" s="19" t="str">
        <f>VLOOKUP(Expenditures[[#This Row],[Jurisdiction]],Places[#All],8,FALSE)</f>
        <v>Phase I MS4</v>
      </c>
      <c r="G33" s="19"/>
      <c r="H33" s="19" t="s">
        <v>1869</v>
      </c>
      <c r="I33" s="21">
        <f>VALUE(LEFT(Expenditures[[#This Row],[Fiscal Year]],4))</f>
        <v>2016</v>
      </c>
      <c r="J33" s="20">
        <v>26243700</v>
      </c>
      <c r="K33" s="20">
        <f>IF(Expenditures[[#This Row],[Reference Year]]&gt;2018,Expenditures[[#This Row],[Value]],Expenditures[[#This Row],[Value]]*(1+VLOOKUP(Expenditures[[#This Row],[Reference Year]],Inflation[#All],3,FALSE)))</f>
        <v>27515535.311250001</v>
      </c>
      <c r="L33" s="105">
        <f>VALUE(Expenditures[[#This Row],[2018 $ Value]]/VLOOKUP(Expenditures[[#This Row],[Jurisdiction]],Places[],6,FALSE))</f>
        <v>71.733685397923253</v>
      </c>
      <c r="M33" s="105">
        <f>VALUE(Expenditures[[#This Row],[2018 $ Value]]/VLOOKUP(Expenditures[[#This Row],[Jurisdiction]],Places[],7,FALSE))</f>
        <v>184916.23193044355</v>
      </c>
      <c r="N33" s="20" t="s">
        <v>1460</v>
      </c>
      <c r="O33" s="20" t="s">
        <v>1460</v>
      </c>
    </row>
    <row r="34" spans="1:15" x14ac:dyDescent="0.25">
      <c r="A34" s="19" t="s">
        <v>15</v>
      </c>
      <c r="B34" s="19" t="str">
        <f>INDEX(Places[Type],MATCH(Expenditures[[#This Row],[Jurisdiction]],Places[Jurisdiction],0))</f>
        <v>City</v>
      </c>
      <c r="C34" s="19" t="str">
        <f>INDEX(Places[County],MATCH(Expenditures[[#This Row],[Jurisdiction]],Places[Jurisdiction],0))</f>
        <v>Kern</v>
      </c>
      <c r="D34" s="19" t="str">
        <f>INDEX(Places[Majority RB],MATCH(Expenditures[[#This Row],[Jurisdiction]],Places[Jurisdiction],0))</f>
        <v>Central Valley</v>
      </c>
      <c r="E34" s="19">
        <f>INDEX(Places[Majority RB '#],MATCH(Expenditures[[#This Row],[Jurisdiction]],Places[Jurisdiction],0))</f>
        <v>5</v>
      </c>
      <c r="F34" s="19" t="str">
        <f>VLOOKUP(Expenditures[[#This Row],[Jurisdiction]],Places[#All],8,FALSE)</f>
        <v>Phase I MS4</v>
      </c>
      <c r="G34" s="19"/>
      <c r="H34" s="19" t="s">
        <v>1874</v>
      </c>
      <c r="I34" s="21">
        <f>VALUE(LEFT(Expenditures[[#This Row],[Fiscal Year]],4))</f>
        <v>2017</v>
      </c>
      <c r="J34" s="20">
        <v>26243700</v>
      </c>
      <c r="K34" s="20">
        <f>IF(Expenditures[[#This Row],[Reference Year]]&gt;2018,Expenditures[[#This Row],[Value]],Expenditures[[#This Row],[Value]]*(1+VLOOKUP(Expenditures[[#This Row],[Reference Year]],Inflation[#All],3,FALSE)))</f>
        <v>26942996.632802941</v>
      </c>
      <c r="L34" s="105">
        <f>VALUE(Expenditures[[#This Row],[2018 $ Value]]/VLOOKUP(Expenditures[[#This Row],[Jurisdiction]],Places[],6,FALSE))</f>
        <v>70.241062813143941</v>
      </c>
      <c r="M34" s="105">
        <f>VALUE(Expenditures[[#This Row],[2018 $ Value]]/VLOOKUP(Expenditures[[#This Row],[Jurisdiction]],Places[],7,FALSE))</f>
        <v>181068.52575808426</v>
      </c>
      <c r="N34" s="20" t="s">
        <v>1460</v>
      </c>
      <c r="O34" s="20" t="s">
        <v>1460</v>
      </c>
    </row>
    <row r="35" spans="1:15" x14ac:dyDescent="0.25">
      <c r="A35" s="19" t="s">
        <v>15</v>
      </c>
      <c r="B35" s="19" t="str">
        <f>INDEX(Places[Type],MATCH(Expenditures[[#This Row],[Jurisdiction]],Places[Jurisdiction],0))</f>
        <v>City</v>
      </c>
      <c r="C35" s="19" t="str">
        <f>INDEX(Places[County],MATCH(Expenditures[[#This Row],[Jurisdiction]],Places[Jurisdiction],0))</f>
        <v>Kern</v>
      </c>
      <c r="D35" s="19" t="str">
        <f>INDEX(Places[Majority RB],MATCH(Expenditures[[#This Row],[Jurisdiction]],Places[Jurisdiction],0))</f>
        <v>Central Valley</v>
      </c>
      <c r="E35" s="19">
        <f>INDEX(Places[Majority RB '#],MATCH(Expenditures[[#This Row],[Jurisdiction]],Places[Jurisdiction],0))</f>
        <v>5</v>
      </c>
      <c r="F35" s="19" t="str">
        <f>VLOOKUP(Expenditures[[#This Row],[Jurisdiction]],Places[#All],8,FALSE)</f>
        <v>Phase I MS4</v>
      </c>
      <c r="G35" s="19"/>
      <c r="H35" s="19" t="s">
        <v>1876</v>
      </c>
      <c r="I35" s="21">
        <f>VALUE(LEFT(Expenditures[[#This Row],[Fiscal Year]],4))</f>
        <v>2018</v>
      </c>
      <c r="J35" s="20">
        <v>26033100</v>
      </c>
      <c r="K35" s="20">
        <f>IF(Expenditures[[#This Row],[Reference Year]]&gt;2018,Expenditures[[#This Row],[Value]],Expenditures[[#This Row],[Value]]*(1+VLOOKUP(Expenditures[[#This Row],[Reference Year]],Inflation[#All],3,FALSE)))</f>
        <v>26033100</v>
      </c>
      <c r="L35" s="105">
        <f>VALUE(Expenditures[[#This Row],[2018 $ Value]]/VLOOKUP(Expenditures[[#This Row],[Jurisdiction]],Places[],6,FALSE))</f>
        <v>67.868939644766783</v>
      </c>
      <c r="M35" s="105">
        <f>VALUE(Expenditures[[#This Row],[2018 $ Value]]/VLOOKUP(Expenditures[[#This Row],[Jurisdiction]],Places[],7,FALSE))</f>
        <v>174953.62903225806</v>
      </c>
      <c r="N35" s="20" t="s">
        <v>1853</v>
      </c>
      <c r="O35" s="20" t="s">
        <v>1853</v>
      </c>
    </row>
    <row r="36" spans="1:15" x14ac:dyDescent="0.25">
      <c r="A36" s="19" t="s">
        <v>200</v>
      </c>
      <c r="B36" s="19" t="str">
        <f>INDEX(Places[Type],MATCH(Expenditures[[#This Row],[Jurisdiction]],Places[Jurisdiction],0))</f>
        <v>City</v>
      </c>
      <c r="C36" s="19" t="str">
        <f>INDEX(Places[County],MATCH(Expenditures[[#This Row],[Jurisdiction]],Places[Jurisdiction],0))</f>
        <v>Los Angeles</v>
      </c>
      <c r="D36" s="19" t="str">
        <f>INDEX(Places[Majority RB],MATCH(Expenditures[[#This Row],[Jurisdiction]],Places[Jurisdiction],0))</f>
        <v>Los Angeles</v>
      </c>
      <c r="E36" s="19">
        <f>INDEX(Places[Majority RB '#],MATCH(Expenditures[[#This Row],[Jurisdiction]],Places[Jurisdiction],0))</f>
        <v>4</v>
      </c>
      <c r="F36" s="19" t="str">
        <f>VLOOKUP(Expenditures[[#This Row],[Jurisdiction]],Places[#All],8,FALSE)</f>
        <v>Phase I MS4</v>
      </c>
      <c r="G36" s="19"/>
      <c r="H36" s="21" t="s">
        <v>1870</v>
      </c>
      <c r="I36" s="21">
        <f>VALUE(LEFT(Expenditures[[#This Row],[Fiscal Year]],4))</f>
        <v>2011</v>
      </c>
      <c r="J36" s="20">
        <v>607400</v>
      </c>
      <c r="K36" s="20">
        <f>IF(Expenditures[[#This Row],[Reference Year]]&gt;2018,Expenditures[[#This Row],[Value]],Expenditures[[#This Row],[Value]]*(1+VLOOKUP(Expenditures[[#This Row],[Reference Year]],Inflation[#All],3,FALSE)))</f>
        <v>679593.9057358827</v>
      </c>
      <c r="L36" s="105">
        <f>VALUE(Expenditures[[#This Row],[2018 $ Value]]/VLOOKUP(Expenditures[[#This Row],[Jurisdiction]],Places[],6,FALSE))</f>
        <v>8.9640814337367303</v>
      </c>
      <c r="M36" s="105">
        <f>VALUE(Expenditures[[#This Row],[2018 $ Value]]/VLOOKUP(Expenditures[[#This Row],[Jurisdiction]],Places[],7,FALSE))</f>
        <v>102968.77359634587</v>
      </c>
      <c r="N36" s="20" t="s">
        <v>1460</v>
      </c>
      <c r="O36" s="20" t="s">
        <v>1460</v>
      </c>
    </row>
    <row r="37" spans="1:15" x14ac:dyDescent="0.25">
      <c r="A37" s="19" t="s">
        <v>200</v>
      </c>
      <c r="B37" s="19" t="str">
        <f>INDEX(Places[Type],MATCH(Expenditures[[#This Row],[Jurisdiction]],Places[Jurisdiction],0))</f>
        <v>City</v>
      </c>
      <c r="C37" s="19" t="str">
        <f>INDEX(Places[County],MATCH(Expenditures[[#This Row],[Jurisdiction]],Places[Jurisdiction],0))</f>
        <v>Los Angeles</v>
      </c>
      <c r="D37" s="19" t="str">
        <f>INDEX(Places[Majority RB],MATCH(Expenditures[[#This Row],[Jurisdiction]],Places[Jurisdiction],0))</f>
        <v>Los Angeles</v>
      </c>
      <c r="E37" s="19">
        <f>INDEX(Places[Majority RB '#],MATCH(Expenditures[[#This Row],[Jurisdiction]],Places[Jurisdiction],0))</f>
        <v>4</v>
      </c>
      <c r="F37" s="19" t="str">
        <f>VLOOKUP(Expenditures[[#This Row],[Jurisdiction]],Places[#All],8,FALSE)</f>
        <v>Phase I MS4</v>
      </c>
      <c r="G37" s="19"/>
      <c r="H37" s="21" t="s">
        <v>1873</v>
      </c>
      <c r="I37" s="21">
        <f>VALUE(LEFT(Expenditures[[#This Row],[Fiscal Year]],4))</f>
        <v>2015</v>
      </c>
      <c r="J37" s="20">
        <v>4009000</v>
      </c>
      <c r="K37" s="20">
        <f>IF(Expenditures[[#This Row],[Reference Year]]&gt;2018,Expenditures[[#This Row],[Value]],Expenditures[[#This Row],[Value]]*(1+VLOOKUP(Expenditures[[#This Row],[Reference Year]],Inflation[#All],3,FALSE)))</f>
        <v>4256492.3164556958</v>
      </c>
      <c r="L37" s="105">
        <f>VALUE(Expenditures[[#This Row],[2018 $ Value]]/VLOOKUP(Expenditures[[#This Row],[Jurisdiction]],Places[],6,FALSE))</f>
        <v>56.144623170903351</v>
      </c>
      <c r="M37" s="105">
        <f>VALUE(Expenditures[[#This Row],[2018 $ Value]]/VLOOKUP(Expenditures[[#This Row],[Jurisdiction]],Places[],7,FALSE))</f>
        <v>644923.07825086301</v>
      </c>
      <c r="N37" s="20" t="s">
        <v>1853</v>
      </c>
      <c r="O37" s="20" t="s">
        <v>1853</v>
      </c>
    </row>
    <row r="38" spans="1:15" x14ac:dyDescent="0.25">
      <c r="A38" s="19" t="s">
        <v>227</v>
      </c>
      <c r="B38" s="19" t="str">
        <f>INDEX(Places[Type],MATCH(Expenditures[[#This Row],[Jurisdiction]],Places[Jurisdiction],0))</f>
        <v>City</v>
      </c>
      <c r="C38" s="19" t="str">
        <f>INDEX(Places[County],MATCH(Expenditures[[#This Row],[Jurisdiction]],Places[Jurisdiction],0))</f>
        <v>Riverside</v>
      </c>
      <c r="D38" s="19" t="str">
        <f>INDEX(Places[Majority RB],MATCH(Expenditures[[#This Row],[Jurisdiction]],Places[Jurisdiction],0))</f>
        <v>Santa Ana</v>
      </c>
      <c r="E38" s="19">
        <f>INDEX(Places[Majority RB '#],MATCH(Expenditures[[#This Row],[Jurisdiction]],Places[Jurisdiction],0))</f>
        <v>8</v>
      </c>
      <c r="F38" s="19" t="str">
        <f>VLOOKUP(Expenditures[[#This Row],[Jurisdiction]],Places[#All],8,FALSE)</f>
        <v>Phase I MS4</v>
      </c>
      <c r="G38" s="19"/>
      <c r="H38" s="21" t="s">
        <v>1869</v>
      </c>
      <c r="I38" s="21">
        <f>VALUE(LEFT(Expenditures[[#This Row],[Fiscal Year]],4))</f>
        <v>2016</v>
      </c>
      <c r="J38" s="20">
        <v>149500</v>
      </c>
      <c r="K38" s="20">
        <f>IF(Expenditures[[#This Row],[Reference Year]]&gt;2018,Expenditures[[#This Row],[Value]],Expenditures[[#This Row],[Value]]*(1+VLOOKUP(Expenditures[[#This Row],[Reference Year]],Inflation[#All],3,FALSE)))</f>
        <v>156745.14375000002</v>
      </c>
      <c r="L38" s="105">
        <f>VALUE(Expenditures[[#This Row],[2018 $ Value]]/VLOOKUP(Expenditures[[#This Row],[Jurisdiction]],Places[],6,FALSE))</f>
        <v>3.1832242186389395</v>
      </c>
      <c r="M38" s="105">
        <f>VALUE(Expenditures[[#This Row],[2018 $ Value]]/VLOOKUP(Expenditures[[#This Row],[Jurisdiction]],Places[],7,FALSE))</f>
        <v>5105.7050081433235</v>
      </c>
      <c r="N38" s="20" t="s">
        <v>1460</v>
      </c>
      <c r="O38" s="20" t="s">
        <v>1853</v>
      </c>
    </row>
    <row r="39" spans="1:15" x14ac:dyDescent="0.25">
      <c r="A39" s="19" t="s">
        <v>159</v>
      </c>
      <c r="B39" s="19" t="str">
        <f>INDEX(Places[Type],MATCH(Expenditures[[#This Row],[Jurisdiction]],Places[Jurisdiction],0))</f>
        <v>City</v>
      </c>
      <c r="C39" s="19" t="str">
        <f>INDEX(Places[County],MATCH(Expenditures[[#This Row],[Jurisdiction]],Places[Jurisdiction],0))</f>
        <v>Los Angeles</v>
      </c>
      <c r="D39" s="19" t="str">
        <f>INDEX(Places[Majority RB],MATCH(Expenditures[[#This Row],[Jurisdiction]],Places[Jurisdiction],0))</f>
        <v>Los Angeles</v>
      </c>
      <c r="E39" s="19">
        <f>INDEX(Places[Majority RB '#],MATCH(Expenditures[[#This Row],[Jurisdiction]],Places[Jurisdiction],0))</f>
        <v>4</v>
      </c>
      <c r="F39" s="19" t="str">
        <f>VLOOKUP(Expenditures[[#This Row],[Jurisdiction]],Places[#All],8,FALSE)</f>
        <v>Phase I MS4</v>
      </c>
      <c r="G39" s="19"/>
      <c r="H39" s="100" t="s">
        <v>1870</v>
      </c>
      <c r="I39" s="21">
        <f>VALUE(LEFT(Expenditures[[#This Row],[Fiscal Year]],4))</f>
        <v>2011</v>
      </c>
      <c r="J39" s="20">
        <v>625448</v>
      </c>
      <c r="K39" s="20">
        <f>IF(Expenditures[[#This Row],[Reference Year]]&gt;2018,Expenditures[[#This Row],[Value]],Expenditures[[#This Row],[Value]]*(1+VLOOKUP(Expenditures[[#This Row],[Reference Year]],Inflation[#All],3,FALSE)))</f>
        <v>699787.04174299689</v>
      </c>
      <c r="L39" s="105">
        <f>VALUE(Expenditures[[#This Row],[2018 $ Value]]/VLOOKUP(Expenditures[[#This Row],[Jurisdiction]],Places[],6,FALSE))</f>
        <v>19.58651594668039</v>
      </c>
      <c r="M39" s="105">
        <f>VALUE(Expenditures[[#This Row],[2018 $ Value]]/VLOOKUP(Expenditures[[#This Row],[Jurisdiction]],Places[],7,FALSE))</f>
        <v>279914.81669719878</v>
      </c>
      <c r="N39" s="20" t="s">
        <v>1460</v>
      </c>
      <c r="O39" s="20" t="s">
        <v>1460</v>
      </c>
    </row>
    <row r="40" spans="1:15" x14ac:dyDescent="0.25">
      <c r="A40" s="19" t="s">
        <v>159</v>
      </c>
      <c r="B40" s="19" t="str">
        <f>INDEX(Places[Type],MATCH(Expenditures[[#This Row],[Jurisdiction]],Places[Jurisdiction],0))</f>
        <v>City</v>
      </c>
      <c r="C40" s="19" t="str">
        <f>INDEX(Places[County],MATCH(Expenditures[[#This Row],[Jurisdiction]],Places[Jurisdiction],0))</f>
        <v>Los Angeles</v>
      </c>
      <c r="D40" s="19" t="str">
        <f>INDEX(Places[Majority RB],MATCH(Expenditures[[#This Row],[Jurisdiction]],Places[Jurisdiction],0))</f>
        <v>Los Angeles</v>
      </c>
      <c r="E40" s="19">
        <f>INDEX(Places[Majority RB '#],MATCH(Expenditures[[#This Row],[Jurisdiction]],Places[Jurisdiction],0))</f>
        <v>4</v>
      </c>
      <c r="F40" s="19" t="str">
        <f>VLOOKUP(Expenditures[[#This Row],[Jurisdiction]],Places[#All],8,FALSE)</f>
        <v>Phase I MS4</v>
      </c>
      <c r="G40" s="19"/>
      <c r="H40" s="100" t="s">
        <v>1873</v>
      </c>
      <c r="I40" s="21">
        <f>VALUE(LEFT(Expenditures[[#This Row],[Fiscal Year]],4))</f>
        <v>2015</v>
      </c>
      <c r="J40" s="20">
        <v>273000</v>
      </c>
      <c r="K40" s="20">
        <f>IF(Expenditures[[#This Row],[Reference Year]]&gt;2018,Expenditures[[#This Row],[Value]],Expenditures[[#This Row],[Value]]*(1+VLOOKUP(Expenditures[[#This Row],[Reference Year]],Inflation[#All],3,FALSE)))</f>
        <v>289853.43037974683</v>
      </c>
      <c r="L40" s="105">
        <f>VALUE(Expenditures[[#This Row],[2018 $ Value]]/VLOOKUP(Expenditures[[#This Row],[Jurisdiction]],Places[],6,FALSE))</f>
        <v>8.112780742827665</v>
      </c>
      <c r="M40" s="105">
        <f>VALUE(Expenditures[[#This Row],[2018 $ Value]]/VLOOKUP(Expenditures[[#This Row],[Jurisdiction]],Places[],7,FALSE))</f>
        <v>115941.37215189873</v>
      </c>
      <c r="N40" s="20" t="s">
        <v>1853</v>
      </c>
      <c r="O40" s="20" t="s">
        <v>1853</v>
      </c>
    </row>
    <row r="41" spans="1:15" x14ac:dyDescent="0.25">
      <c r="A41" s="19" t="s">
        <v>160</v>
      </c>
      <c r="B41" s="19" t="str">
        <f>INDEX(Places[Type],MATCH(Expenditures[[#This Row],[Jurisdiction]],Places[Jurisdiction],0))</f>
        <v>City</v>
      </c>
      <c r="C41" s="19" t="str">
        <f>INDEX(Places[County],MATCH(Expenditures[[#This Row],[Jurisdiction]],Places[Jurisdiction],0))</f>
        <v>Los Angeles</v>
      </c>
      <c r="D41" s="19" t="str">
        <f>INDEX(Places[Majority RB],MATCH(Expenditures[[#This Row],[Jurisdiction]],Places[Jurisdiction],0))</f>
        <v>Los Angeles</v>
      </c>
      <c r="E41" s="19">
        <f>INDEX(Places[Majority RB '#],MATCH(Expenditures[[#This Row],[Jurisdiction]],Places[Jurisdiction],0))</f>
        <v>4</v>
      </c>
      <c r="F41" s="19" t="str">
        <f>VLOOKUP(Expenditures[[#This Row],[Jurisdiction]],Places[#All],8,FALSE)</f>
        <v>Phase I MS4</v>
      </c>
      <c r="G41" s="19"/>
      <c r="H41" s="100" t="s">
        <v>1870</v>
      </c>
      <c r="I41" s="21">
        <f>VALUE(LEFT(Expenditures[[#This Row],[Fiscal Year]],4))</f>
        <v>2011</v>
      </c>
      <c r="J41" s="20">
        <v>390300</v>
      </c>
      <c r="K41" s="20">
        <f>IF(Expenditures[[#This Row],[Reference Year]]&gt;2018,Expenditures[[#This Row],[Value]],Expenditures[[#This Row],[Value]]*(1+VLOOKUP(Expenditures[[#This Row],[Reference Year]],Inflation[#All],3,FALSE)))</f>
        <v>436689.99244108493</v>
      </c>
      <c r="L41" s="105">
        <f>VALUE(Expenditures[[#This Row],[2018 $ Value]]/VLOOKUP(Expenditures[[#This Row],[Jurisdiction]],Places[],6,FALSE))</f>
        <v>5.6616664174078508</v>
      </c>
      <c r="M41" s="105">
        <f>VALUE(Expenditures[[#This Row],[2018 $ Value]]/VLOOKUP(Expenditures[[#This Row],[Jurisdiction]],Places[],7,FALSE))</f>
        <v>71588.523350997537</v>
      </c>
      <c r="N41" s="20" t="s">
        <v>1460</v>
      </c>
      <c r="O41" s="20" t="s">
        <v>1460</v>
      </c>
    </row>
    <row r="42" spans="1:15" x14ac:dyDescent="0.25">
      <c r="A42" s="19" t="s">
        <v>160</v>
      </c>
      <c r="B42" s="19" t="str">
        <f>INDEX(Places[Type],MATCH(Expenditures[[#This Row],[Jurisdiction]],Places[Jurisdiction],0))</f>
        <v>City</v>
      </c>
      <c r="C42" s="19" t="str">
        <f>INDEX(Places[County],MATCH(Expenditures[[#This Row],[Jurisdiction]],Places[Jurisdiction],0))</f>
        <v>Los Angeles</v>
      </c>
      <c r="D42" s="19" t="str">
        <f>INDEX(Places[Majority RB],MATCH(Expenditures[[#This Row],[Jurisdiction]],Places[Jurisdiction],0))</f>
        <v>Los Angeles</v>
      </c>
      <c r="E42" s="19">
        <f>INDEX(Places[Majority RB '#],MATCH(Expenditures[[#This Row],[Jurisdiction]],Places[Jurisdiction],0))</f>
        <v>4</v>
      </c>
      <c r="F42" s="19" t="str">
        <f>VLOOKUP(Expenditures[[#This Row],[Jurisdiction]],Places[#All],8,FALSE)</f>
        <v>Phase I MS4</v>
      </c>
      <c r="G42" s="19"/>
      <c r="H42" s="100" t="s">
        <v>1873</v>
      </c>
      <c r="I42" s="21">
        <f>VALUE(LEFT(Expenditures[[#This Row],[Fiscal Year]],4))</f>
        <v>2015</v>
      </c>
      <c r="J42" s="20">
        <v>326959</v>
      </c>
      <c r="K42" s="20">
        <f>IF(Expenditures[[#This Row],[Reference Year]]&gt;2018,Expenditures[[#This Row],[Value]],Expenditures[[#This Row],[Value]]*(1+VLOOKUP(Expenditures[[#This Row],[Reference Year]],Inflation[#All],3,FALSE)))</f>
        <v>347143.54484810127</v>
      </c>
      <c r="L42" s="105">
        <f>VALUE(Expenditures[[#This Row],[2018 $ Value]]/VLOOKUP(Expenditures[[#This Row],[Jurisdiction]],Places[],6,FALSE))</f>
        <v>4.5007006890627794</v>
      </c>
      <c r="M42" s="105">
        <f>VALUE(Expenditures[[#This Row],[2018 $ Value]]/VLOOKUP(Expenditures[[#This Row],[Jurisdiction]],Places[],7,FALSE))</f>
        <v>56908.777843951029</v>
      </c>
      <c r="N42" s="20" t="s">
        <v>1853</v>
      </c>
      <c r="O42" s="20" t="s">
        <v>1853</v>
      </c>
    </row>
    <row r="43" spans="1:15" x14ac:dyDescent="0.25">
      <c r="A43" s="19" t="s">
        <v>428</v>
      </c>
      <c r="B43" s="19" t="str">
        <f>INDEX(Places[Type],MATCH(Expenditures[[#This Row],[Jurisdiction]],Places[Jurisdiction],0))</f>
        <v>City</v>
      </c>
      <c r="C43" s="19" t="str">
        <f>INDEX(Places[County],MATCH(Expenditures[[#This Row],[Jurisdiction]],Places[Jurisdiction],0))</f>
        <v>Alameda</v>
      </c>
      <c r="D43" s="19" t="str">
        <f>INDEX(Places[Majority RB],MATCH(Expenditures[[#This Row],[Jurisdiction]],Places[Jurisdiction],0))</f>
        <v>San Francisco Bay</v>
      </c>
      <c r="E43" s="19">
        <f>INDEX(Places[Majority RB '#],MATCH(Expenditures[[#This Row],[Jurisdiction]],Places[Jurisdiction],0))</f>
        <v>2</v>
      </c>
      <c r="F43" s="19" t="str">
        <f>VLOOKUP(Expenditures[[#This Row],[Jurisdiction]],Places[#All],8,FALSE)</f>
        <v>Phase I MS4</v>
      </c>
      <c r="G43" s="19"/>
      <c r="H43" s="19" t="s">
        <v>1869</v>
      </c>
      <c r="I43" s="21">
        <f>VALUE(LEFT(Expenditures[[#This Row],[Fiscal Year]],4))</f>
        <v>2016</v>
      </c>
      <c r="J43" s="27">
        <v>2614710</v>
      </c>
      <c r="K43" s="20">
        <f>IF(Expenditures[[#This Row],[Reference Year]]&gt;2018,Expenditures[[#This Row],[Value]],Expenditures[[#This Row],[Value]]*(1+VLOOKUP(Expenditures[[#This Row],[Reference Year]],Inflation[#All],3,FALSE)))</f>
        <v>2741425.3833750002</v>
      </c>
      <c r="L43" s="105">
        <f>VALUE(Expenditures[[#This Row],[2018 $ Value]]/VLOOKUP(Expenditures[[#This Row],[Jurisdiction]],Places[],6,FALSE))</f>
        <v>22.536647265975027</v>
      </c>
      <c r="M43" s="105">
        <f>VALUE(Expenditures[[#This Row],[2018 $ Value]]/VLOOKUP(Expenditures[[#This Row],[Jurisdiction]],Places[],7,FALSE))</f>
        <v>261088.13175000003</v>
      </c>
      <c r="N43" s="20" t="s">
        <v>1460</v>
      </c>
      <c r="O43" s="20" t="s">
        <v>1460</v>
      </c>
    </row>
    <row r="44" spans="1:15" x14ac:dyDescent="0.25">
      <c r="A44" s="19" t="s">
        <v>428</v>
      </c>
      <c r="B44" s="19" t="str">
        <f>INDEX(Places[Type],MATCH(Expenditures[[#This Row],[Jurisdiction]],Places[Jurisdiction],0))</f>
        <v>City</v>
      </c>
      <c r="C44" s="19" t="str">
        <f>INDEX(Places[County],MATCH(Expenditures[[#This Row],[Jurisdiction]],Places[Jurisdiction],0))</f>
        <v>Alameda</v>
      </c>
      <c r="D44" s="19" t="str">
        <f>INDEX(Places[Majority RB],MATCH(Expenditures[[#This Row],[Jurisdiction]],Places[Jurisdiction],0))</f>
        <v>San Francisco Bay</v>
      </c>
      <c r="E44" s="19">
        <f>INDEX(Places[Majority RB '#],MATCH(Expenditures[[#This Row],[Jurisdiction]],Places[Jurisdiction],0))</f>
        <v>2</v>
      </c>
      <c r="F44" s="19" t="str">
        <f>VLOOKUP(Expenditures[[#This Row],[Jurisdiction]],Places[#All],8,FALSE)</f>
        <v>Phase I MS4</v>
      </c>
      <c r="G44" s="19"/>
      <c r="H44" s="19" t="s">
        <v>1874</v>
      </c>
      <c r="I44" s="21">
        <f>VALUE(LEFT(Expenditures[[#This Row],[Fiscal Year]],4))</f>
        <v>2017</v>
      </c>
      <c r="J44" s="27">
        <v>6395820</v>
      </c>
      <c r="K44" s="20">
        <f>IF(Expenditures[[#This Row],[Reference Year]]&gt;2018,Expenditures[[#This Row],[Value]],Expenditures[[#This Row],[Value]]*(1+VLOOKUP(Expenditures[[#This Row],[Reference Year]],Inflation[#All],3,FALSE)))</f>
        <v>6566244.7263157899</v>
      </c>
      <c r="L44" s="105">
        <f>VALUE(Expenditures[[#This Row],[2018 $ Value]]/VLOOKUP(Expenditures[[#This Row],[Jurisdiction]],Places[],6,FALSE))</f>
        <v>53.979634884997822</v>
      </c>
      <c r="M44" s="105">
        <f>VALUE(Expenditures[[#This Row],[2018 $ Value]]/VLOOKUP(Expenditures[[#This Row],[Jurisdiction]],Places[],7,FALSE))</f>
        <v>625356.64060150378</v>
      </c>
      <c r="N44" s="20" t="s">
        <v>1853</v>
      </c>
      <c r="O44" s="20" t="s">
        <v>1853</v>
      </c>
    </row>
    <row r="45" spans="1:15" x14ac:dyDescent="0.25">
      <c r="A45" s="19" t="s">
        <v>218</v>
      </c>
      <c r="B45" s="19" t="str">
        <f>INDEX(Places[Type],MATCH(Expenditures[[#This Row],[Jurisdiction]],Places[Jurisdiction],0))</f>
        <v>City</v>
      </c>
      <c r="C45" s="19" t="str">
        <f>INDEX(Places[County],MATCH(Expenditures[[#This Row],[Jurisdiction]],Places[Jurisdiction],0))</f>
        <v>Los Angeles</v>
      </c>
      <c r="D45" s="19" t="str">
        <f>INDEX(Places[Majority RB],MATCH(Expenditures[[#This Row],[Jurisdiction]],Places[Jurisdiction],0))</f>
        <v>Los Angeles</v>
      </c>
      <c r="E45" s="19">
        <f>INDEX(Places[Majority RB '#],MATCH(Expenditures[[#This Row],[Jurisdiction]],Places[Jurisdiction],0))</f>
        <v>4</v>
      </c>
      <c r="F45" s="19" t="str">
        <f>VLOOKUP(Expenditures[[#This Row],[Jurisdiction]],Places[#All],8,FALSE)</f>
        <v>Phase I MS4</v>
      </c>
      <c r="G45" s="19"/>
      <c r="H45" s="100" t="s">
        <v>1870</v>
      </c>
      <c r="I45" s="21">
        <f>VALUE(LEFT(Expenditures[[#This Row],[Fiscal Year]],4))</f>
        <v>2011</v>
      </c>
      <c r="J45" s="20">
        <v>4771732</v>
      </c>
      <c r="K45" s="20">
        <f>IF(Expenditures[[#This Row],[Reference Year]]&gt;2018,Expenditures[[#This Row],[Value]],Expenditures[[#This Row],[Value]]*(1+VLOOKUP(Expenditures[[#This Row],[Reference Year]],Inflation[#All],3,FALSE)))</f>
        <v>5338887.0382036464</v>
      </c>
      <c r="L45" s="105">
        <f>VALUE(Expenditures[[#This Row],[2018 $ Value]]/VLOOKUP(Expenditures[[#This Row],[Jurisdiction]],Places[],6,FALSE))</f>
        <v>156.1854441741113</v>
      </c>
      <c r="M45" s="105">
        <f>VALUE(Expenditures[[#This Row],[2018 $ Value]]/VLOOKUP(Expenditures[[#This Row],[Jurisdiction]],Places[],7,FALSE))</f>
        <v>936646.84880765725</v>
      </c>
      <c r="N45" s="20" t="s">
        <v>1460</v>
      </c>
      <c r="O45" s="20" t="s">
        <v>1460</v>
      </c>
    </row>
    <row r="46" spans="1:15" x14ac:dyDescent="0.25">
      <c r="A46" s="19" t="s">
        <v>218</v>
      </c>
      <c r="B46" s="19" t="str">
        <f>INDEX(Places[Type],MATCH(Expenditures[[#This Row],[Jurisdiction]],Places[Jurisdiction],0))</f>
        <v>City</v>
      </c>
      <c r="C46" s="19" t="str">
        <f>INDEX(Places[County],MATCH(Expenditures[[#This Row],[Jurisdiction]],Places[Jurisdiction],0))</f>
        <v>Los Angeles</v>
      </c>
      <c r="D46" s="19" t="str">
        <f>INDEX(Places[Majority RB],MATCH(Expenditures[[#This Row],[Jurisdiction]],Places[Jurisdiction],0))</f>
        <v>Los Angeles</v>
      </c>
      <c r="E46" s="19">
        <f>INDEX(Places[Majority RB '#],MATCH(Expenditures[[#This Row],[Jurisdiction]],Places[Jurisdiction],0))</f>
        <v>4</v>
      </c>
      <c r="F46" s="19" t="str">
        <f>VLOOKUP(Expenditures[[#This Row],[Jurisdiction]],Places[#All],8,FALSE)</f>
        <v>Phase I MS4</v>
      </c>
      <c r="G46" s="19"/>
      <c r="H46" s="100" t="s">
        <v>1873</v>
      </c>
      <c r="I46" s="21">
        <f>VALUE(LEFT(Expenditures[[#This Row],[Fiscal Year]],4))</f>
        <v>2015</v>
      </c>
      <c r="J46" s="20">
        <v>3728246</v>
      </c>
      <c r="K46" s="20">
        <f>IF(Expenditures[[#This Row],[Reference Year]]&gt;2018,Expenditures[[#This Row],[Value]],Expenditures[[#This Row],[Value]]*(1+VLOOKUP(Expenditures[[#This Row],[Reference Year]],Inflation[#All],3,FALSE)))</f>
        <v>3958406.1992658228</v>
      </c>
      <c r="L46" s="105">
        <f>VALUE(Expenditures[[#This Row],[2018 $ Value]]/VLOOKUP(Expenditures[[#This Row],[Jurisdiction]],Places[],6,FALSE))</f>
        <v>115.80043294227606</v>
      </c>
      <c r="M46" s="105">
        <f>VALUE(Expenditures[[#This Row],[2018 $ Value]]/VLOOKUP(Expenditures[[#This Row],[Jurisdiction]],Places[],7,FALSE))</f>
        <v>694457.22794137243</v>
      </c>
      <c r="N46" s="20" t="s">
        <v>1853</v>
      </c>
      <c r="O46" s="20" t="s">
        <v>1853</v>
      </c>
    </row>
    <row r="47" spans="1:15" x14ac:dyDescent="0.25">
      <c r="A47" s="19" t="s">
        <v>240</v>
      </c>
      <c r="B47" s="19" t="str">
        <f>INDEX(Places[Type],MATCH(Expenditures[[#This Row],[Jurisdiction]],Places[Jurisdiction],0))</f>
        <v>City</v>
      </c>
      <c r="C47" s="19" t="str">
        <f>INDEX(Places[County],MATCH(Expenditures[[#This Row],[Jurisdiction]],Places[Jurisdiction],0))</f>
        <v>San Bernardino</v>
      </c>
      <c r="D47" s="19" t="str">
        <f>INDEX(Places[Majority RB],MATCH(Expenditures[[#This Row],[Jurisdiction]],Places[Jurisdiction],0))</f>
        <v>Santa Ana</v>
      </c>
      <c r="E47" s="19">
        <f>INDEX(Places[Majority RB '#],MATCH(Expenditures[[#This Row],[Jurisdiction]],Places[Jurisdiction],0))</f>
        <v>8</v>
      </c>
      <c r="F47" s="19" t="str">
        <f>VLOOKUP(Expenditures[[#This Row],[Jurisdiction]],Places[#All],8,FALSE)</f>
        <v>Phase I MS4</v>
      </c>
      <c r="G47" s="19"/>
      <c r="H47" s="21" t="s">
        <v>1870</v>
      </c>
      <c r="I47" s="21">
        <f>VALUE(LEFT(Expenditures[[#This Row],[Fiscal Year]],4))</f>
        <v>2011</v>
      </c>
      <c r="J47" s="20">
        <v>1606000</v>
      </c>
      <c r="K47" s="20">
        <f>IF(Expenditures[[#This Row],[Reference Year]]&gt;2018,Expenditures[[#This Row],[Value]],Expenditures[[#This Row],[Value]]*(1+VLOOKUP(Expenditures[[#This Row],[Reference Year]],Inflation[#All],3,FALSE)))</f>
        <v>1796884.7754557582</v>
      </c>
      <c r="L47" s="105">
        <f>VALUE(Expenditures[[#This Row],[2018 $ Value]]/VLOOKUP(Expenditures[[#This Row],[Jurisdiction]],Places[],6,FALSE))</f>
        <v>340.25464409311837</v>
      </c>
      <c r="M47" s="105">
        <f>VALUE(Expenditures[[#This Row],[2018 $ Value]]/VLOOKUP(Expenditures[[#This Row],[Jurisdiction]],Places[],7,FALSE))</f>
        <v>285219.80562789814</v>
      </c>
      <c r="N47" s="20" t="s">
        <v>1460</v>
      </c>
      <c r="O47" s="20" t="s">
        <v>1460</v>
      </c>
    </row>
    <row r="48" spans="1:15" x14ac:dyDescent="0.25">
      <c r="A48" s="19" t="s">
        <v>240</v>
      </c>
      <c r="B48" s="19" t="str">
        <f>INDEX(Places[Type],MATCH(Expenditures[[#This Row],[Jurisdiction]],Places[Jurisdiction],0))</f>
        <v>City</v>
      </c>
      <c r="C48" s="19" t="str">
        <f>INDEX(Places[County],MATCH(Expenditures[[#This Row],[Jurisdiction]],Places[Jurisdiction],0))</f>
        <v>San Bernardino</v>
      </c>
      <c r="D48" s="19" t="str">
        <f>INDEX(Places[Majority RB],MATCH(Expenditures[[#This Row],[Jurisdiction]],Places[Jurisdiction],0))</f>
        <v>Santa Ana</v>
      </c>
      <c r="E48" s="19">
        <f>INDEX(Places[Majority RB '#],MATCH(Expenditures[[#This Row],[Jurisdiction]],Places[Jurisdiction],0))</f>
        <v>8</v>
      </c>
      <c r="F48" s="19" t="str">
        <f>VLOOKUP(Expenditures[[#This Row],[Jurisdiction]],Places[#All],8,FALSE)</f>
        <v>Phase I MS4</v>
      </c>
      <c r="G48" s="19"/>
      <c r="H48" s="21" t="s">
        <v>1871</v>
      </c>
      <c r="I48" s="21">
        <f>VALUE(LEFT(Expenditures[[#This Row],[Fiscal Year]],4))</f>
        <v>2012</v>
      </c>
      <c r="J48" s="20">
        <v>1628000</v>
      </c>
      <c r="K48" s="20">
        <f>IF(Expenditures[[#This Row],[Reference Year]]&gt;2018,Expenditures[[#This Row],[Value]],Expenditures[[#This Row],[Value]]*(1+VLOOKUP(Expenditures[[#This Row],[Reference Year]],Inflation[#All],3,FALSE)))</f>
        <v>1784212.8397212543</v>
      </c>
      <c r="L48" s="105">
        <f>VALUE(Expenditures[[#This Row],[2018 $ Value]]/VLOOKUP(Expenditures[[#This Row],[Jurisdiction]],Places[],6,FALSE))</f>
        <v>337.8551107216918</v>
      </c>
      <c r="M48" s="105">
        <f>VALUE(Expenditures[[#This Row],[2018 $ Value]]/VLOOKUP(Expenditures[[#This Row],[Jurisdiction]],Places[],7,FALSE))</f>
        <v>283208.38725734194</v>
      </c>
      <c r="N48" s="20" t="s">
        <v>1460</v>
      </c>
      <c r="O48" s="20" t="s">
        <v>1460</v>
      </c>
    </row>
    <row r="49" spans="1:15" x14ac:dyDescent="0.25">
      <c r="A49" s="19" t="s">
        <v>240</v>
      </c>
      <c r="B49" s="19" t="str">
        <f>INDEX(Places[Type],MATCH(Expenditures[[#This Row],[Jurisdiction]],Places[Jurisdiction],0))</f>
        <v>City</v>
      </c>
      <c r="C49" s="19" t="str">
        <f>INDEX(Places[County],MATCH(Expenditures[[#This Row],[Jurisdiction]],Places[Jurisdiction],0))</f>
        <v>San Bernardino</v>
      </c>
      <c r="D49" s="19" t="str">
        <f>INDEX(Places[Majority RB],MATCH(Expenditures[[#This Row],[Jurisdiction]],Places[Jurisdiction],0))</f>
        <v>Santa Ana</v>
      </c>
      <c r="E49" s="19">
        <f>INDEX(Places[Majority RB '#],MATCH(Expenditures[[#This Row],[Jurisdiction]],Places[Jurisdiction],0))</f>
        <v>8</v>
      </c>
      <c r="F49" s="19" t="str">
        <f>VLOOKUP(Expenditures[[#This Row],[Jurisdiction]],Places[#All],8,FALSE)</f>
        <v>Phase I MS4</v>
      </c>
      <c r="G49" s="19"/>
      <c r="H49" s="21" t="s">
        <v>1880</v>
      </c>
      <c r="I49" s="21">
        <f>VALUE(LEFT(Expenditures[[#This Row],[Fiscal Year]],4))</f>
        <v>2013</v>
      </c>
      <c r="J49" s="20">
        <v>1626000</v>
      </c>
      <c r="K49" s="20">
        <f>IF(Expenditures[[#This Row],[Reference Year]]&gt;2018,Expenditures[[#This Row],[Value]],Expenditures[[#This Row],[Value]]*(1+VLOOKUP(Expenditures[[#This Row],[Reference Year]],Inflation[#All],3,FALSE)))</f>
        <v>1756017.1931330473</v>
      </c>
      <c r="L49" s="105">
        <f>VALUE(Expenditures[[#This Row],[2018 $ Value]]/VLOOKUP(Expenditures[[#This Row],[Jurisdiction]],Places[],6,FALSE))</f>
        <v>332.51603732873457</v>
      </c>
      <c r="M49" s="105">
        <f>VALUE(Expenditures[[#This Row],[2018 $ Value]]/VLOOKUP(Expenditures[[#This Row],[Jurisdiction]],Places[],7,FALSE))</f>
        <v>278732.88779889641</v>
      </c>
      <c r="N49" s="20" t="s">
        <v>1460</v>
      </c>
      <c r="O49" s="20" t="s">
        <v>1460</v>
      </c>
    </row>
    <row r="50" spans="1:15" x14ac:dyDescent="0.25">
      <c r="A50" s="19" t="s">
        <v>240</v>
      </c>
      <c r="B50" s="19" t="str">
        <f>INDEX(Places[Type],MATCH(Expenditures[[#This Row],[Jurisdiction]],Places[Jurisdiction],0))</f>
        <v>City</v>
      </c>
      <c r="C50" s="19" t="str">
        <f>INDEX(Places[County],MATCH(Expenditures[[#This Row],[Jurisdiction]],Places[Jurisdiction],0))</f>
        <v>San Bernardino</v>
      </c>
      <c r="D50" s="19" t="str">
        <f>INDEX(Places[Majority RB],MATCH(Expenditures[[#This Row],[Jurisdiction]],Places[Jurisdiction],0))</f>
        <v>Santa Ana</v>
      </c>
      <c r="E50" s="19">
        <f>INDEX(Places[Majority RB '#],MATCH(Expenditures[[#This Row],[Jurisdiction]],Places[Jurisdiction],0))</f>
        <v>8</v>
      </c>
      <c r="F50" s="19" t="str">
        <f>VLOOKUP(Expenditures[[#This Row],[Jurisdiction]],Places[#All],8,FALSE)</f>
        <v>Phase I MS4</v>
      </c>
      <c r="G50" s="19"/>
      <c r="H50" s="21" t="s">
        <v>1881</v>
      </c>
      <c r="I50" s="21">
        <f>VALUE(LEFT(Expenditures[[#This Row],[Fiscal Year]],4))</f>
        <v>2014</v>
      </c>
      <c r="J50" s="20">
        <v>1603000</v>
      </c>
      <c r="K50" s="20">
        <f>IF(Expenditures[[#This Row],[Reference Year]]&gt;2018,Expenditures[[#This Row],[Value]],Expenditures[[#This Row],[Value]]*(1+VLOOKUP(Expenditures[[#This Row],[Reference Year]],Inflation[#All],3,FALSE)))</f>
        <v>1704116.9961977187</v>
      </c>
      <c r="L50" s="105">
        <f>VALUE(Expenditures[[#This Row],[2018 $ Value]]/VLOOKUP(Expenditures[[#This Row],[Jurisdiction]],Places[],6,FALSE))</f>
        <v>322.6883158867106</v>
      </c>
      <c r="M50" s="105">
        <f>VALUE(Expenditures[[#This Row],[2018 $ Value]]/VLOOKUP(Expenditures[[#This Row],[Jurisdiction]],Places[],7,FALSE))</f>
        <v>270494.76130122517</v>
      </c>
      <c r="N50" s="20" t="s">
        <v>1460</v>
      </c>
      <c r="O50" s="20" t="s">
        <v>1853</v>
      </c>
    </row>
    <row r="51" spans="1:15" x14ac:dyDescent="0.25">
      <c r="A51" s="19" t="s">
        <v>181</v>
      </c>
      <c r="B51" s="19" t="str">
        <f>INDEX(Places[Type],MATCH(Expenditures[[#This Row],[Jurisdiction]],Places[Jurisdiction],0))</f>
        <v>City</v>
      </c>
      <c r="C51" s="19" t="str">
        <f>INDEX(Places[County],MATCH(Expenditures[[#This Row],[Jurisdiction]],Places[Jurisdiction],0))</f>
        <v>Los Angeles</v>
      </c>
      <c r="D51" s="19" t="str">
        <f>INDEX(Places[Majority RB],MATCH(Expenditures[[#This Row],[Jurisdiction]],Places[Jurisdiction],0))</f>
        <v>Los Angeles</v>
      </c>
      <c r="E51" s="19">
        <f>INDEX(Places[Majority RB '#],MATCH(Expenditures[[#This Row],[Jurisdiction]],Places[Jurisdiction],0))</f>
        <v>4</v>
      </c>
      <c r="F51" s="19" t="str">
        <f>VLOOKUP(Expenditures[[#This Row],[Jurisdiction]],Places[#All],8,FALSE)</f>
        <v>Phase I MS4</v>
      </c>
      <c r="G51" s="19"/>
      <c r="H51" s="21" t="s">
        <v>1870</v>
      </c>
      <c r="I51" s="21">
        <f>VALUE(LEFT(Expenditures[[#This Row],[Fiscal Year]],4))</f>
        <v>2011</v>
      </c>
      <c r="J51" s="20">
        <v>29927</v>
      </c>
      <c r="K51" s="20">
        <f>IF(Expenditures[[#This Row],[Reference Year]]&gt;2018,Expenditures[[#This Row],[Value]],Expenditures[[#This Row],[Value]]*(1+VLOOKUP(Expenditures[[#This Row],[Reference Year]],Inflation[#All],3,FALSE)))</f>
        <v>33484.041516229438</v>
      </c>
      <c r="L51" s="105">
        <f>VALUE(Expenditures[[#This Row],[2018 $ Value]]/VLOOKUP(Expenditures[[#This Row],[Jurisdiction]],Places[],6,FALSE))</f>
        <v>30.889337192093578</v>
      </c>
      <c r="M51" s="105">
        <f>VALUE(Expenditures[[#This Row],[2018 $ Value]]/VLOOKUP(Expenditures[[#This Row],[Jurisdiction]],Places[],7,FALSE))</f>
        <v>16742.020758114719</v>
      </c>
      <c r="N51" s="20" t="s">
        <v>1460</v>
      </c>
      <c r="O51" s="20" t="s">
        <v>1460</v>
      </c>
    </row>
    <row r="52" spans="1:15" x14ac:dyDescent="0.25">
      <c r="A52" s="19" t="s">
        <v>181</v>
      </c>
      <c r="B52" s="19" t="str">
        <f>INDEX(Places[Type],MATCH(Expenditures[[#This Row],[Jurisdiction]],Places[Jurisdiction],0))</f>
        <v>City</v>
      </c>
      <c r="C52" s="19" t="str">
        <f>INDEX(Places[County],MATCH(Expenditures[[#This Row],[Jurisdiction]],Places[Jurisdiction],0))</f>
        <v>Los Angeles</v>
      </c>
      <c r="D52" s="19" t="str">
        <f>INDEX(Places[Majority RB],MATCH(Expenditures[[#This Row],[Jurisdiction]],Places[Jurisdiction],0))</f>
        <v>Los Angeles</v>
      </c>
      <c r="E52" s="19">
        <f>INDEX(Places[Majority RB '#],MATCH(Expenditures[[#This Row],[Jurisdiction]],Places[Jurisdiction],0))</f>
        <v>4</v>
      </c>
      <c r="F52" s="19" t="str">
        <f>VLOOKUP(Expenditures[[#This Row],[Jurisdiction]],Places[#All],8,FALSE)</f>
        <v>Phase I MS4</v>
      </c>
      <c r="G52" s="19"/>
      <c r="H52" s="21" t="s">
        <v>1873</v>
      </c>
      <c r="I52" s="21">
        <f>VALUE(LEFT(Expenditures[[#This Row],[Fiscal Year]],4))</f>
        <v>2015</v>
      </c>
      <c r="J52" s="20">
        <v>333000</v>
      </c>
      <c r="K52" s="20">
        <f>IF(Expenditures[[#This Row],[Reference Year]]&gt;2018,Expenditures[[#This Row],[Value]],Expenditures[[#This Row],[Value]]*(1+VLOOKUP(Expenditures[[#This Row],[Reference Year]],Inflation[#All],3,FALSE)))</f>
        <v>353557.48101265822</v>
      </c>
      <c r="L52" s="105">
        <f>VALUE(Expenditures[[#This Row],[2018 $ Value]]/VLOOKUP(Expenditures[[#This Row],[Jurisdiction]],Places[],6,FALSE))</f>
        <v>326.16003783455557</v>
      </c>
      <c r="M52" s="105">
        <f>VALUE(Expenditures[[#This Row],[2018 $ Value]]/VLOOKUP(Expenditures[[#This Row],[Jurisdiction]],Places[],7,FALSE))</f>
        <v>176778.74050632911</v>
      </c>
      <c r="N52" s="20" t="s">
        <v>1853</v>
      </c>
      <c r="O52" s="20" t="s">
        <v>1853</v>
      </c>
    </row>
    <row r="53" spans="1:15" x14ac:dyDescent="0.25">
      <c r="A53" s="19" t="s">
        <v>266</v>
      </c>
      <c r="B53" s="19" t="str">
        <f>INDEX(Places[Type],MATCH(Expenditures[[#This Row],[Jurisdiction]],Places[Jurisdiction],0))</f>
        <v>City</v>
      </c>
      <c r="C53" s="19" t="str">
        <f>INDEX(Places[County],MATCH(Expenditures[[#This Row],[Jurisdiction]],Places[Jurisdiction],0))</f>
        <v>Orange</v>
      </c>
      <c r="D53" s="19" t="str">
        <f>INDEX(Places[Majority RB],MATCH(Expenditures[[#This Row],[Jurisdiction]],Places[Jurisdiction],0))</f>
        <v>Santa Ana</v>
      </c>
      <c r="E53" s="19">
        <f>INDEX(Places[Majority RB '#],MATCH(Expenditures[[#This Row],[Jurisdiction]],Places[Jurisdiction],0))</f>
        <v>8</v>
      </c>
      <c r="F53" s="19" t="str">
        <f>VLOOKUP(Expenditures[[#This Row],[Jurisdiction]],Places[#All],8,FALSE)</f>
        <v>Phase I MS4</v>
      </c>
      <c r="G53" s="19"/>
      <c r="H53" s="21" t="s">
        <v>1893</v>
      </c>
      <c r="I53" s="21">
        <f>VALUE(LEFT(Expenditures[[#This Row],[Fiscal Year]],4))</f>
        <v>2000</v>
      </c>
      <c r="J53" s="20">
        <v>594575</v>
      </c>
      <c r="K53" s="20">
        <f>IF(Expenditures[[#This Row],[Reference Year]]&gt;2018,Expenditures[[#This Row],[Value]],Expenditures[[#This Row],[Value]]*(1+VLOOKUP(Expenditures[[#This Row],[Reference Year]],Inflation[#All],3,FALSE)))</f>
        <v>868835.66681184678</v>
      </c>
      <c r="L53" s="105">
        <f>VALUE(Expenditures[[#This Row],[2018 $ Value]]/VLOOKUP(Expenditures[[#This Row],[Jurisdiction]],Places[],6,FALSE))</f>
        <v>19.926966510214143</v>
      </c>
      <c r="M53" s="105">
        <f>VALUE(Expenditures[[#This Row],[2018 $ Value]]/VLOOKUP(Expenditures[[#This Row],[Jurisdiction]],Places[],7,FALSE))</f>
        <v>71216.038263266135</v>
      </c>
      <c r="N53" s="20" t="s">
        <v>1460</v>
      </c>
      <c r="O53" s="20" t="s">
        <v>1460</v>
      </c>
    </row>
    <row r="54" spans="1:15" x14ac:dyDescent="0.25">
      <c r="A54" s="19" t="s">
        <v>266</v>
      </c>
      <c r="B54" s="19" t="str">
        <f>INDEX(Places[Type],MATCH(Expenditures[[#This Row],[Jurisdiction]],Places[Jurisdiction],0))</f>
        <v>City</v>
      </c>
      <c r="C54" s="19" t="str">
        <f>INDEX(Places[County],MATCH(Expenditures[[#This Row],[Jurisdiction]],Places[Jurisdiction],0))</f>
        <v>Orange</v>
      </c>
      <c r="D54" s="19" t="str">
        <f>INDEX(Places[Majority RB],MATCH(Expenditures[[#This Row],[Jurisdiction]],Places[Jurisdiction],0))</f>
        <v>Santa Ana</v>
      </c>
      <c r="E54" s="19">
        <f>INDEX(Places[Majority RB '#],MATCH(Expenditures[[#This Row],[Jurisdiction]],Places[Jurisdiction],0))</f>
        <v>8</v>
      </c>
      <c r="F54" s="19" t="str">
        <f>VLOOKUP(Expenditures[[#This Row],[Jurisdiction]],Places[#All],8,FALSE)</f>
        <v>Phase I MS4</v>
      </c>
      <c r="G54" s="19"/>
      <c r="H54" s="21" t="s">
        <v>1875</v>
      </c>
      <c r="I54" s="21">
        <f>VALUE(LEFT(Expenditures[[#This Row],[Fiscal Year]],4))</f>
        <v>2001</v>
      </c>
      <c r="J54" s="20">
        <v>472813</v>
      </c>
      <c r="K54" s="20">
        <f>IF(Expenditures[[#This Row],[Reference Year]]&gt;2018,Expenditures[[#This Row],[Value]],Expenditures[[#This Row],[Value]]*(1+VLOOKUP(Expenditures[[#This Row],[Reference Year]],Inflation[#All],3,FALSE)))</f>
        <v>671792.25298136647</v>
      </c>
      <c r="L54" s="105">
        <f>VALUE(Expenditures[[#This Row],[2018 $ Value]]/VLOOKUP(Expenditures[[#This Row],[Jurisdiction]],Places[],6,FALSE))</f>
        <v>15.407725808613712</v>
      </c>
      <c r="M54" s="105">
        <f>VALUE(Expenditures[[#This Row],[2018 $ Value]]/VLOOKUP(Expenditures[[#This Row],[Jurisdiction]],Places[],7,FALSE))</f>
        <v>55064.938768964472</v>
      </c>
      <c r="N54" s="20" t="s">
        <v>1853</v>
      </c>
      <c r="O54" s="20" t="s">
        <v>1853</v>
      </c>
    </row>
    <row r="55" spans="1:15" x14ac:dyDescent="0.25">
      <c r="A55" s="19" t="s">
        <v>267</v>
      </c>
      <c r="B55" s="19" t="str">
        <f>INDEX(Places[Type],MATCH(Expenditures[[#This Row],[Jurisdiction]],Places[Jurisdiction],0))</f>
        <v>City</v>
      </c>
      <c r="C55" s="19" t="str">
        <f>INDEX(Places[County],MATCH(Expenditures[[#This Row],[Jurisdiction]],Places[Jurisdiction],0))</f>
        <v>Orange</v>
      </c>
      <c r="D55" s="19" t="str">
        <f>INDEX(Places[Majority RB],MATCH(Expenditures[[#This Row],[Jurisdiction]],Places[Jurisdiction],0))</f>
        <v>Santa Ana</v>
      </c>
      <c r="E55" s="19">
        <f>INDEX(Places[Majority RB '#],MATCH(Expenditures[[#This Row],[Jurisdiction]],Places[Jurisdiction],0))</f>
        <v>8</v>
      </c>
      <c r="F55" s="19" t="str">
        <f>VLOOKUP(Expenditures[[#This Row],[Jurisdiction]],Places[#All],8,FALSE)</f>
        <v>Phase I MS4</v>
      </c>
      <c r="G55" s="19"/>
      <c r="H55" s="21" t="s">
        <v>1893</v>
      </c>
      <c r="I55" s="21">
        <f>VALUE(LEFT(Expenditures[[#This Row],[Fiscal Year]],4))</f>
        <v>2000</v>
      </c>
      <c r="J55" s="20">
        <v>229615</v>
      </c>
      <c r="K55" s="20">
        <f>IF(Expenditures[[#This Row],[Reference Year]]&gt;2018,Expenditures[[#This Row],[Value]],Expenditures[[#This Row],[Value]]*(1+VLOOKUP(Expenditures[[#This Row],[Reference Year]],Inflation[#All],3,FALSE)))</f>
        <v>335529.91907665506</v>
      </c>
      <c r="L55" s="105">
        <f>VALUE(Expenditures[[#This Row],[2018 $ Value]]/VLOOKUP(Expenditures[[#This Row],[Jurisdiction]],Places[],6,FALSE))</f>
        <v>4.0709275436679375</v>
      </c>
      <c r="M55" s="105">
        <f>VALUE(Expenditures[[#This Row],[2018 $ Value]]/VLOOKUP(Expenditures[[#This Row],[Jurisdiction]],Places[],7,FALSE))</f>
        <v>31955.230388252861</v>
      </c>
      <c r="N55" s="20" t="s">
        <v>1460</v>
      </c>
      <c r="O55" s="20" t="s">
        <v>1460</v>
      </c>
    </row>
    <row r="56" spans="1:15" x14ac:dyDescent="0.25">
      <c r="A56" s="19" t="s">
        <v>267</v>
      </c>
      <c r="B56" s="19" t="str">
        <f>INDEX(Places[Type],MATCH(Expenditures[[#This Row],[Jurisdiction]],Places[Jurisdiction],0))</f>
        <v>City</v>
      </c>
      <c r="C56" s="19" t="str">
        <f>INDEX(Places[County],MATCH(Expenditures[[#This Row],[Jurisdiction]],Places[Jurisdiction],0))</f>
        <v>Orange</v>
      </c>
      <c r="D56" s="19" t="str">
        <f>INDEX(Places[Majority RB],MATCH(Expenditures[[#This Row],[Jurisdiction]],Places[Jurisdiction],0))</f>
        <v>Santa Ana</v>
      </c>
      <c r="E56" s="19">
        <f>INDEX(Places[Majority RB '#],MATCH(Expenditures[[#This Row],[Jurisdiction]],Places[Jurisdiction],0))</f>
        <v>8</v>
      </c>
      <c r="F56" s="19" t="str">
        <f>VLOOKUP(Expenditures[[#This Row],[Jurisdiction]],Places[#All],8,FALSE)</f>
        <v>Phase I MS4</v>
      </c>
      <c r="G56" s="19"/>
      <c r="H56" s="21" t="s">
        <v>1875</v>
      </c>
      <c r="I56" s="21">
        <f>VALUE(LEFT(Expenditures[[#This Row],[Fiscal Year]],4))</f>
        <v>2001</v>
      </c>
      <c r="J56" s="20">
        <v>259500</v>
      </c>
      <c r="K56" s="20">
        <f>IF(Expenditures[[#This Row],[Reference Year]]&gt;2018,Expenditures[[#This Row],[Value]],Expenditures[[#This Row],[Value]]*(1+VLOOKUP(Expenditures[[#This Row],[Reference Year]],Inflation[#All],3,FALSE)))</f>
        <v>368708.32580463012</v>
      </c>
      <c r="L56" s="105">
        <f>VALUE(Expenditures[[#This Row],[2018 $ Value]]/VLOOKUP(Expenditures[[#This Row],[Jurisdiction]],Places[],6,FALSE))</f>
        <v>4.473475519644631</v>
      </c>
      <c r="M56" s="105">
        <f>VALUE(Expenditures[[#This Row],[2018 $ Value]]/VLOOKUP(Expenditures[[#This Row],[Jurisdiction]],Places[],7,FALSE))</f>
        <v>35115.078648060015</v>
      </c>
      <c r="N56" s="20" t="s">
        <v>1853</v>
      </c>
      <c r="O56" s="20" t="s">
        <v>1853</v>
      </c>
    </row>
    <row r="57" spans="1:15" x14ac:dyDescent="0.25">
      <c r="A57" s="19" t="s">
        <v>188</v>
      </c>
      <c r="B57" s="19" t="str">
        <f>INDEX(Places[Type],MATCH(Expenditures[[#This Row],[Jurisdiction]],Places[Jurisdiction],0))</f>
        <v>City</v>
      </c>
      <c r="C57" s="19" t="str">
        <f>INDEX(Places[County],MATCH(Expenditures[[#This Row],[Jurisdiction]],Places[Jurisdiction],0))</f>
        <v>Los Angeles</v>
      </c>
      <c r="D57" s="19" t="str">
        <f>INDEX(Places[Majority RB],MATCH(Expenditures[[#This Row],[Jurisdiction]],Places[Jurisdiction],0))</f>
        <v>Los Angeles</v>
      </c>
      <c r="E57" s="19">
        <f>INDEX(Places[Majority RB '#],MATCH(Expenditures[[#This Row],[Jurisdiction]],Places[Jurisdiction],0))</f>
        <v>4</v>
      </c>
      <c r="F57" s="19" t="str">
        <f>VLOOKUP(Expenditures[[#This Row],[Jurisdiction]],Places[#All],8,FALSE)</f>
        <v>Phase I MS4</v>
      </c>
      <c r="G57" s="19"/>
      <c r="H57" s="21" t="s">
        <v>1870</v>
      </c>
      <c r="I57" s="21">
        <f>VALUE(LEFT(Expenditures[[#This Row],[Fiscal Year]],4))</f>
        <v>2011</v>
      </c>
      <c r="J57" s="20">
        <v>3728900</v>
      </c>
      <c r="K57" s="20">
        <f>IF(Expenditures[[#This Row],[Reference Year]]&gt;2018,Expenditures[[#This Row],[Value]],Expenditures[[#This Row],[Value]]*(1+VLOOKUP(Expenditures[[#This Row],[Reference Year]],Inflation[#All],3,FALSE)))</f>
        <v>4172106.8737216541</v>
      </c>
      <c r="L57" s="105">
        <f>VALUE(Expenditures[[#This Row],[2018 $ Value]]/VLOOKUP(Expenditures[[#This Row],[Jurisdiction]],Places[],6,FALSE))</f>
        <v>40.234407384364282</v>
      </c>
      <c r="M57" s="105">
        <f>VALUE(Expenditures[[#This Row],[2018 $ Value]]/VLOOKUP(Expenditures[[#This Row],[Jurisdiction]],Places[],7,FALSE))</f>
        <v>239776.25711043991</v>
      </c>
      <c r="N57" s="20" t="s">
        <v>1460</v>
      </c>
      <c r="O57" s="20" t="s">
        <v>1460</v>
      </c>
    </row>
    <row r="58" spans="1:15" x14ac:dyDescent="0.25">
      <c r="A58" s="19" t="s">
        <v>188</v>
      </c>
      <c r="B58" s="19" t="str">
        <f>INDEX(Places[Type],MATCH(Expenditures[[#This Row],[Jurisdiction]],Places[Jurisdiction],0))</f>
        <v>City</v>
      </c>
      <c r="C58" s="19" t="str">
        <f>INDEX(Places[County],MATCH(Expenditures[[#This Row],[Jurisdiction]],Places[Jurisdiction],0))</f>
        <v>Los Angeles</v>
      </c>
      <c r="D58" s="19" t="str">
        <f>INDEX(Places[Majority RB],MATCH(Expenditures[[#This Row],[Jurisdiction]],Places[Jurisdiction],0))</f>
        <v>Los Angeles</v>
      </c>
      <c r="E58" s="19">
        <f>INDEX(Places[Majority RB '#],MATCH(Expenditures[[#This Row],[Jurisdiction]],Places[Jurisdiction],0))</f>
        <v>4</v>
      </c>
      <c r="F58" s="19" t="str">
        <f>VLOOKUP(Expenditures[[#This Row],[Jurisdiction]],Places[#All],8,FALSE)</f>
        <v>Phase I MS4</v>
      </c>
      <c r="G58" s="19"/>
      <c r="H58" s="21" t="s">
        <v>1873</v>
      </c>
      <c r="I58" s="21">
        <f>VALUE(LEFT(Expenditures[[#This Row],[Fiscal Year]],4))</f>
        <v>2015</v>
      </c>
      <c r="J58" s="20">
        <v>3610849</v>
      </c>
      <c r="K58" s="20">
        <f>IF(Expenditures[[#This Row],[Reference Year]]&gt;2018,Expenditures[[#This Row],[Value]],Expenditures[[#This Row],[Value]]*(1+VLOOKUP(Expenditures[[#This Row],[Reference Year]],Inflation[#All],3,FALSE)))</f>
        <v>3833761.7920632907</v>
      </c>
      <c r="L58" s="105">
        <f>VALUE(Expenditures[[#This Row],[2018 $ Value]]/VLOOKUP(Expenditures[[#This Row],[Jurisdiction]],Places[],6,FALSE))</f>
        <v>36.971520247488215</v>
      </c>
      <c r="M58" s="105">
        <f>VALUE(Expenditures[[#This Row],[2018 $ Value]]/VLOOKUP(Expenditures[[#This Row],[Jurisdiction]],Places[],7,FALSE))</f>
        <v>220331.13747490177</v>
      </c>
      <c r="N58" s="20" t="s">
        <v>1853</v>
      </c>
      <c r="O58" s="20" t="s">
        <v>1853</v>
      </c>
    </row>
    <row r="59" spans="1:15" x14ac:dyDescent="0.25">
      <c r="A59" s="19" t="s">
        <v>172</v>
      </c>
      <c r="B59" s="19" t="str">
        <f>INDEX(Places[Type],MATCH(Expenditures[[#This Row],[Jurisdiction]],Places[Jurisdiction],0))</f>
        <v>City</v>
      </c>
      <c r="C59" s="19" t="str">
        <f>INDEX(Places[County],MATCH(Expenditures[[#This Row],[Jurisdiction]],Places[Jurisdiction],0))</f>
        <v>Los Angeles</v>
      </c>
      <c r="D59" s="19" t="str">
        <f>INDEX(Places[Majority RB],MATCH(Expenditures[[#This Row],[Jurisdiction]],Places[Jurisdiction],0))</f>
        <v>Los Angeles</v>
      </c>
      <c r="E59" s="19">
        <f>INDEX(Places[Majority RB '#],MATCH(Expenditures[[#This Row],[Jurisdiction]],Places[Jurisdiction],0))</f>
        <v>4</v>
      </c>
      <c r="F59" s="19" t="str">
        <f>VLOOKUP(Expenditures[[#This Row],[Jurisdiction]],Places[#All],8,FALSE)</f>
        <v>Phase I MS4</v>
      </c>
      <c r="G59" s="19"/>
      <c r="H59" s="100" t="s">
        <v>1870</v>
      </c>
      <c r="I59" s="21">
        <f>VALUE(LEFT(Expenditures[[#This Row],[Fiscal Year]],4))</f>
        <v>2011</v>
      </c>
      <c r="J59" s="20">
        <v>517600</v>
      </c>
      <c r="K59" s="20">
        <f>IF(Expenditures[[#This Row],[Reference Year]]&gt;2018,Expenditures[[#This Row],[Value]],Expenditures[[#This Row],[Value]]*(1+VLOOKUP(Expenditures[[#This Row],[Reference Year]],Inflation[#All],3,FALSE)))</f>
        <v>579120.52289906633</v>
      </c>
      <c r="L59" s="105">
        <f>VALUE(Expenditures[[#This Row],[2018 $ Value]]/VLOOKUP(Expenditures[[#This Row],[Jurisdiction]],Places[],6,FALSE))</f>
        <v>24.176359810431091</v>
      </c>
      <c r="M59" s="105">
        <f>VALUE(Expenditures[[#This Row],[2018 $ Value]]/VLOOKUP(Expenditures[[#This Row],[Jurisdiction]],Places[],7,FALSE))</f>
        <v>42271.571014530389</v>
      </c>
      <c r="N59" s="20" t="s">
        <v>1460</v>
      </c>
      <c r="O59" s="20" t="s">
        <v>1460</v>
      </c>
    </row>
    <row r="60" spans="1:15" x14ac:dyDescent="0.25">
      <c r="A60" s="19" t="s">
        <v>172</v>
      </c>
      <c r="B60" s="19" t="str">
        <f>INDEX(Places[Type],MATCH(Expenditures[[#This Row],[Jurisdiction]],Places[Jurisdiction],0))</f>
        <v>City</v>
      </c>
      <c r="C60" s="19" t="str">
        <f>INDEX(Places[County],MATCH(Expenditures[[#This Row],[Jurisdiction]],Places[Jurisdiction],0))</f>
        <v>Los Angeles</v>
      </c>
      <c r="D60" s="19" t="str">
        <f>INDEX(Places[Majority RB],MATCH(Expenditures[[#This Row],[Jurisdiction]],Places[Jurisdiction],0))</f>
        <v>Los Angeles</v>
      </c>
      <c r="E60" s="19">
        <f>INDEX(Places[Majority RB '#],MATCH(Expenditures[[#This Row],[Jurisdiction]],Places[Jurisdiction],0))</f>
        <v>4</v>
      </c>
      <c r="F60" s="19" t="str">
        <f>VLOOKUP(Expenditures[[#This Row],[Jurisdiction]],Places[#All],8,FALSE)</f>
        <v>Phase I MS4</v>
      </c>
      <c r="G60" s="19"/>
      <c r="H60" s="100" t="s">
        <v>1873</v>
      </c>
      <c r="I60" s="21">
        <f>VALUE(LEFT(Expenditures[[#This Row],[Fiscal Year]],4))</f>
        <v>2015</v>
      </c>
      <c r="J60" s="20">
        <v>1078000</v>
      </c>
      <c r="K60" s="20">
        <f>IF(Expenditures[[#This Row],[Reference Year]]&gt;2018,Expenditures[[#This Row],[Value]],Expenditures[[#This Row],[Value]]*(1+VLOOKUP(Expenditures[[#This Row],[Reference Year]],Inflation[#All],3,FALSE)))</f>
        <v>1144549.4430379746</v>
      </c>
      <c r="L60" s="105">
        <f>VALUE(Expenditures[[#This Row],[2018 $ Value]]/VLOOKUP(Expenditures[[#This Row],[Jurisdiction]],Places[],6,FALSE))</f>
        <v>47.781140646154071</v>
      </c>
      <c r="M60" s="105">
        <f>VALUE(Expenditures[[#This Row],[2018 $ Value]]/VLOOKUP(Expenditures[[#This Row],[Jurisdiction]],Places[],7,FALSE))</f>
        <v>83543.754966275519</v>
      </c>
      <c r="N60" s="20" t="s">
        <v>1853</v>
      </c>
      <c r="O60" s="20" t="s">
        <v>1853</v>
      </c>
    </row>
    <row r="61" spans="1:15" x14ac:dyDescent="0.25">
      <c r="A61" s="19" t="s">
        <v>228</v>
      </c>
      <c r="B61" s="19" t="str">
        <f>INDEX(Places[Type],MATCH(Expenditures[[#This Row],[Jurisdiction]],Places[Jurisdiction],0))</f>
        <v>City</v>
      </c>
      <c r="C61" s="19" t="str">
        <f>INDEX(Places[County],MATCH(Expenditures[[#This Row],[Jurisdiction]],Places[Jurisdiction],0))</f>
        <v>Riverside</v>
      </c>
      <c r="D61" s="19" t="str">
        <f>INDEX(Places[Majority RB],MATCH(Expenditures[[#This Row],[Jurisdiction]],Places[Jurisdiction],0))</f>
        <v>Santa Ana</v>
      </c>
      <c r="E61" s="19">
        <f>INDEX(Places[Majority RB '#],MATCH(Expenditures[[#This Row],[Jurisdiction]],Places[Jurisdiction],0))</f>
        <v>8</v>
      </c>
      <c r="F61" s="19" t="str">
        <f>VLOOKUP(Expenditures[[#This Row],[Jurisdiction]],Places[#All],8,FALSE)</f>
        <v>Phase I MS4</v>
      </c>
      <c r="G61" s="19"/>
      <c r="H61" s="21" t="s">
        <v>1869</v>
      </c>
      <c r="I61" s="21">
        <f>VALUE(LEFT(Expenditures[[#This Row],[Fiscal Year]],4))</f>
        <v>2016</v>
      </c>
      <c r="J61" s="20">
        <v>63015.12</v>
      </c>
      <c r="K61" s="20">
        <f>IF(Expenditures[[#This Row],[Reference Year]]&gt;2018,Expenditures[[#This Row],[Value]],Expenditures[[#This Row],[Value]]*(1+VLOOKUP(Expenditures[[#This Row],[Reference Year]],Inflation[#All],3,FALSE)))</f>
        <v>66068.990253000011</v>
      </c>
      <c r="L61" s="105">
        <f>VALUE(Expenditures[[#This Row],[2018 $ Value]]/VLOOKUP(Expenditures[[#This Row],[Jurisdiction]],Places[],6,FALSE))</f>
        <v>7.3927481540785509</v>
      </c>
      <c r="M61" s="105">
        <f>VALUE(Expenditures[[#This Row],[2018 $ Value]]/VLOOKUP(Expenditures[[#This Row],[Jurisdiction]],Places[],7,FALSE))</f>
        <v>4434.1604196644303</v>
      </c>
      <c r="N61" s="20" t="s">
        <v>1460</v>
      </c>
      <c r="O61" s="20" t="s">
        <v>1853</v>
      </c>
    </row>
    <row r="62" spans="1:15" x14ac:dyDescent="0.25">
      <c r="A62" s="19" t="s">
        <v>229</v>
      </c>
      <c r="B62" s="19" t="str">
        <f>INDEX(Places[Type],MATCH(Expenditures[[#This Row],[Jurisdiction]],Places[Jurisdiction],0))</f>
        <v>City</v>
      </c>
      <c r="C62" s="19" t="str">
        <f>INDEX(Places[County],MATCH(Expenditures[[#This Row],[Jurisdiction]],Places[Jurisdiction],0))</f>
        <v>Riverside</v>
      </c>
      <c r="D62" s="19" t="str">
        <f>INDEX(Places[Majority RB],MATCH(Expenditures[[#This Row],[Jurisdiction]],Places[Jurisdiction],0))</f>
        <v>Santa Ana</v>
      </c>
      <c r="E62" s="19">
        <f>INDEX(Places[Majority RB '#],MATCH(Expenditures[[#This Row],[Jurisdiction]],Places[Jurisdiction],0))</f>
        <v>8</v>
      </c>
      <c r="F62" s="19" t="str">
        <f>VLOOKUP(Expenditures[[#This Row],[Jurisdiction]],Places[#All],8,FALSE)</f>
        <v>Phase I MS4</v>
      </c>
      <c r="G62" s="19"/>
      <c r="H62" s="21" t="s">
        <v>1869</v>
      </c>
      <c r="I62" s="21">
        <f>VALUE(LEFT(Expenditures[[#This Row],[Fiscal Year]],4))</f>
        <v>2016</v>
      </c>
      <c r="J62" s="20">
        <v>136617.45000000001</v>
      </c>
      <c r="K62" s="20">
        <f>IF(Expenditures[[#This Row],[Reference Year]]&gt;2018,Expenditures[[#This Row],[Value]],Expenditures[[#This Row],[Value]]*(1+VLOOKUP(Expenditures[[#This Row],[Reference Year]],Inflation[#All],3,FALSE)))</f>
        <v>143238.27317062503</v>
      </c>
      <c r="L62" s="105">
        <f>VALUE(Expenditures[[#This Row],[2018 $ Value]]/VLOOKUP(Expenditures[[#This Row],[Jurisdiction]],Places[],6,FALSE))</f>
        <v>12.713080071946839</v>
      </c>
      <c r="M62" s="105">
        <f>VALUE(Expenditures[[#This Row],[2018 $ Value]]/VLOOKUP(Expenditures[[#This Row],[Jurisdiction]],Places[],7,FALSE))</f>
        <v>36727.762351442318</v>
      </c>
      <c r="N62" s="20" t="s">
        <v>1460</v>
      </c>
      <c r="O62" s="20" t="s">
        <v>1853</v>
      </c>
    </row>
    <row r="63" spans="1:15" x14ac:dyDescent="0.25">
      <c r="A63" s="19" t="s">
        <v>302</v>
      </c>
      <c r="B63" s="19" t="str">
        <f>INDEX(Places[Type],MATCH(Expenditures[[#This Row],[Jurisdiction]],Places[Jurisdiction],0))</f>
        <v>City</v>
      </c>
      <c r="C63" s="19" t="str">
        <f>INDEX(Places[County],MATCH(Expenditures[[#This Row],[Jurisdiction]],Places[Jurisdiction],0))</f>
        <v>San Diego</v>
      </c>
      <c r="D63" s="19" t="str">
        <f>INDEX(Places[Majority RB],MATCH(Expenditures[[#This Row],[Jurisdiction]],Places[Jurisdiction],0))</f>
        <v>San Diego</v>
      </c>
      <c r="E63" s="19">
        <f>INDEX(Places[Majority RB '#],MATCH(Expenditures[[#This Row],[Jurisdiction]],Places[Jurisdiction],0))</f>
        <v>9</v>
      </c>
      <c r="F63" s="19" t="str">
        <f>VLOOKUP(Expenditures[[#This Row],[Jurisdiction]],Places[#All],8,FALSE)</f>
        <v>Phase I MS4</v>
      </c>
      <c r="G63" s="19"/>
      <c r="H63" s="21" t="s">
        <v>1869</v>
      </c>
      <c r="I63" s="21">
        <f>VALUE(LEFT(Expenditures[[#This Row],[Fiscal Year]],4))</f>
        <v>2016</v>
      </c>
      <c r="J63" s="20">
        <v>3172207</v>
      </c>
      <c r="K63" s="20">
        <f>IF(Expenditures[[#This Row],[Reference Year]]&gt;2018,Expenditures[[#This Row],[Value]],Expenditures[[#This Row],[Value]]*(1+VLOOKUP(Expenditures[[#This Row],[Reference Year]],Inflation[#All],3,FALSE)))</f>
        <v>3325940.0817375001</v>
      </c>
      <c r="L63" s="105">
        <f>VALUE(Expenditures[[#This Row],[2018 $ Value]]/VLOOKUP(Expenditures[[#This Row],[Jurisdiction]],Places[],6,FALSE))</f>
        <v>28.702331625236244</v>
      </c>
      <c r="M63" s="105">
        <f>VALUE(Expenditures[[#This Row],[2018 $ Value]]/VLOOKUP(Expenditures[[#This Row],[Jurisdiction]],Places[],7,FALSE))</f>
        <v>88221.22232725464</v>
      </c>
      <c r="N63" s="20" t="s">
        <v>1460</v>
      </c>
      <c r="O63" s="20" t="s">
        <v>1460</v>
      </c>
    </row>
    <row r="64" spans="1:15" x14ac:dyDescent="0.25">
      <c r="A64" s="19" t="s">
        <v>302</v>
      </c>
      <c r="B64" s="19" t="str">
        <f>INDEX(Places[Type],MATCH(Expenditures[[#This Row],[Jurisdiction]],Places[Jurisdiction],0))</f>
        <v>City</v>
      </c>
      <c r="C64" s="19" t="str">
        <f>INDEX(Places[County],MATCH(Expenditures[[#This Row],[Jurisdiction]],Places[Jurisdiction],0))</f>
        <v>San Diego</v>
      </c>
      <c r="D64" s="19" t="str">
        <f>INDEX(Places[Majority RB],MATCH(Expenditures[[#This Row],[Jurisdiction]],Places[Jurisdiction],0))</f>
        <v>San Diego</v>
      </c>
      <c r="E64" s="19">
        <f>INDEX(Places[Majority RB '#],MATCH(Expenditures[[#This Row],[Jurisdiction]],Places[Jurisdiction],0))</f>
        <v>9</v>
      </c>
      <c r="F64" s="19" t="str">
        <f>VLOOKUP(Expenditures[[#This Row],[Jurisdiction]],Places[#All],8,FALSE)</f>
        <v>Phase I MS4</v>
      </c>
      <c r="G64" s="19"/>
      <c r="H64" s="21" t="s">
        <v>1874</v>
      </c>
      <c r="I64" s="21">
        <f>VALUE(LEFT(Expenditures[[#This Row],[Fiscal Year]],4))</f>
        <v>2017</v>
      </c>
      <c r="J64" s="20">
        <v>3074372</v>
      </c>
      <c r="K64" s="20">
        <f>IF(Expenditures[[#This Row],[Reference Year]]&gt;2018,Expenditures[[#This Row],[Value]],Expenditures[[#This Row],[Value]]*(1+VLOOKUP(Expenditures[[#This Row],[Reference Year]],Inflation[#All],3,FALSE)))</f>
        <v>3156292.5366462674</v>
      </c>
      <c r="L64" s="105">
        <f>VALUE(Expenditures[[#This Row],[2018 $ Value]]/VLOOKUP(Expenditures[[#This Row],[Jurisdiction]],Places[],6,FALSE))</f>
        <v>27.238300410316693</v>
      </c>
      <c r="M64" s="105">
        <f>VALUE(Expenditures[[#This Row],[2018 $ Value]]/VLOOKUP(Expenditures[[#This Row],[Jurisdiction]],Places[],7,FALSE))</f>
        <v>83721.287444198068</v>
      </c>
      <c r="N64" s="20" t="s">
        <v>1853</v>
      </c>
      <c r="O64" s="20" t="s">
        <v>1853</v>
      </c>
    </row>
    <row r="65" spans="1:15" x14ac:dyDescent="0.25">
      <c r="A65" s="19" t="s">
        <v>221</v>
      </c>
      <c r="B65" s="19" t="str">
        <f>INDEX(Places[Type],MATCH(Expenditures[[#This Row],[Jurisdiction]],Places[Jurisdiction],0))</f>
        <v>City</v>
      </c>
      <c r="C65" s="19" t="str">
        <f>INDEX(Places[County],MATCH(Expenditures[[#This Row],[Jurisdiction]],Places[Jurisdiction],0))</f>
        <v>Los Angeles</v>
      </c>
      <c r="D65" s="19" t="str">
        <f>INDEX(Places[Majority RB],MATCH(Expenditures[[#This Row],[Jurisdiction]],Places[Jurisdiction],0))</f>
        <v>Los Angeles</v>
      </c>
      <c r="E65" s="19">
        <f>INDEX(Places[Majority RB '#],MATCH(Expenditures[[#This Row],[Jurisdiction]],Places[Jurisdiction],0))</f>
        <v>4</v>
      </c>
      <c r="F65" s="19" t="str">
        <f>VLOOKUP(Expenditures[[#This Row],[Jurisdiction]],Places[#All],8,FALSE)</f>
        <v>Phase I MS4</v>
      </c>
      <c r="G65" s="19"/>
      <c r="H65" s="21" t="s">
        <v>1870</v>
      </c>
      <c r="I65" s="21">
        <f>VALUE(LEFT(Expenditures[[#This Row],[Fiscal Year]],4))</f>
        <v>2011</v>
      </c>
      <c r="J65" s="20">
        <v>1399990</v>
      </c>
      <c r="K65" s="20">
        <f>IF(Expenditures[[#This Row],[Reference Year]]&gt;2018,Expenditures[[#This Row],[Value]],Expenditures[[#This Row],[Value]]*(1+VLOOKUP(Expenditures[[#This Row],[Reference Year]],Inflation[#All],3,FALSE)))</f>
        <v>1566388.9892841263</v>
      </c>
      <c r="L65" s="105">
        <f>VALUE(Expenditures[[#This Row],[2018 $ Value]]/VLOOKUP(Expenditures[[#This Row],[Jurisdiction]],Places[],6,FALSE))</f>
        <v>17.042824851582829</v>
      </c>
      <c r="M65" s="105">
        <f>VALUE(Expenditures[[#This Row],[2018 $ Value]]/VLOOKUP(Expenditures[[#This Row],[Jurisdiction]],Places[],7,FALSE))</f>
        <v>83764.117074017457</v>
      </c>
      <c r="N65" s="20" t="s">
        <v>1460</v>
      </c>
      <c r="O65" s="20" t="s">
        <v>1460</v>
      </c>
    </row>
    <row r="66" spans="1:15" x14ac:dyDescent="0.25">
      <c r="A66" s="19" t="s">
        <v>221</v>
      </c>
      <c r="B66" s="19" t="str">
        <f>INDEX(Places[Type],MATCH(Expenditures[[#This Row],[Jurisdiction]],Places[Jurisdiction],0))</f>
        <v>City</v>
      </c>
      <c r="C66" s="19" t="str">
        <f>INDEX(Places[County],MATCH(Expenditures[[#This Row],[Jurisdiction]],Places[Jurisdiction],0))</f>
        <v>Los Angeles</v>
      </c>
      <c r="D66" s="19" t="str">
        <f>INDEX(Places[Majority RB],MATCH(Expenditures[[#This Row],[Jurisdiction]],Places[Jurisdiction],0))</f>
        <v>Los Angeles</v>
      </c>
      <c r="E66" s="19">
        <f>INDEX(Places[Majority RB '#],MATCH(Expenditures[[#This Row],[Jurisdiction]],Places[Jurisdiction],0))</f>
        <v>4</v>
      </c>
      <c r="F66" s="19" t="str">
        <f>VLOOKUP(Expenditures[[#This Row],[Jurisdiction]],Places[#All],8,FALSE)</f>
        <v>Phase I MS4</v>
      </c>
      <c r="G66" s="19"/>
      <c r="H66" s="21" t="s">
        <v>1873</v>
      </c>
      <c r="I66" s="21">
        <f>VALUE(LEFT(Expenditures[[#This Row],[Fiscal Year]],4))</f>
        <v>2015</v>
      </c>
      <c r="J66" s="20">
        <v>1242150</v>
      </c>
      <c r="K66" s="20">
        <f>IF(Expenditures[[#This Row],[Reference Year]]&gt;2018,Expenditures[[#This Row],[Value]],Expenditures[[#This Row],[Value]]*(1+VLOOKUP(Expenditures[[#This Row],[Reference Year]],Inflation[#All],3,FALSE)))</f>
        <v>1318833.1082278481</v>
      </c>
      <c r="L66" s="105">
        <f>VALUE(Expenditures[[#This Row],[2018 $ Value]]/VLOOKUP(Expenditures[[#This Row],[Jurisdiction]],Places[],6,FALSE))</f>
        <v>14.349335845541221</v>
      </c>
      <c r="M66" s="105">
        <f>VALUE(Expenditures[[#This Row],[2018 $ Value]]/VLOOKUP(Expenditures[[#This Row],[Jurisdiction]],Places[],7,FALSE))</f>
        <v>70525.834664590802</v>
      </c>
      <c r="N66" s="20" t="s">
        <v>1853</v>
      </c>
      <c r="O66" s="20" t="s">
        <v>1853</v>
      </c>
    </row>
    <row r="67" spans="1:15" x14ac:dyDescent="0.25">
      <c r="A67" s="19" t="s">
        <v>161</v>
      </c>
      <c r="B67" s="19" t="str">
        <f>INDEX(Places[Type],MATCH(Expenditures[[#This Row],[Jurisdiction]],Places[Jurisdiction],0))</f>
        <v>City</v>
      </c>
      <c r="C67" s="19" t="str">
        <f>INDEX(Places[County],MATCH(Expenditures[[#This Row],[Jurisdiction]],Places[Jurisdiction],0))</f>
        <v>Los Angeles</v>
      </c>
      <c r="D67" s="19" t="str">
        <f>INDEX(Places[Majority RB],MATCH(Expenditures[[#This Row],[Jurisdiction]],Places[Jurisdiction],0))</f>
        <v>Los Angeles</v>
      </c>
      <c r="E67" s="19">
        <f>INDEX(Places[Majority RB '#],MATCH(Expenditures[[#This Row],[Jurisdiction]],Places[Jurisdiction],0))</f>
        <v>4</v>
      </c>
      <c r="F67" s="19" t="str">
        <f>VLOOKUP(Expenditures[[#This Row],[Jurisdiction]],Places[#All],8,FALSE)</f>
        <v>Phase I MS4</v>
      </c>
      <c r="G67" s="19"/>
      <c r="H67" s="100" t="s">
        <v>1870</v>
      </c>
      <c r="I67" s="21">
        <f>VALUE(LEFT(Expenditures[[#This Row],[Fiscal Year]],4))</f>
        <v>2011</v>
      </c>
      <c r="J67" s="20">
        <v>866763</v>
      </c>
      <c r="K67" s="20">
        <f>IF(Expenditures[[#This Row],[Reference Year]]&gt;2018,Expenditures[[#This Row],[Value]],Expenditures[[#This Row],[Value]]*(1+VLOOKUP(Expenditures[[#This Row],[Reference Year]],Inflation[#All],3,FALSE)))</f>
        <v>969784.08382836822</v>
      </c>
      <c r="L67" s="105">
        <f>VALUE(Expenditures[[#This Row],[2018 $ Value]]/VLOOKUP(Expenditures[[#This Row],[Jurisdiction]],Places[],6,FALSE))</f>
        <v>19.218106373674612</v>
      </c>
      <c r="M67" s="105">
        <f>VALUE(Expenditures[[#This Row],[2018 $ Value]]/VLOOKUP(Expenditures[[#This Row],[Jurisdiction]],Places[],7,FALSE))</f>
        <v>111469.43492280095</v>
      </c>
      <c r="N67" s="20" t="s">
        <v>1460</v>
      </c>
      <c r="O67" s="20" t="s">
        <v>1460</v>
      </c>
    </row>
    <row r="68" spans="1:15" x14ac:dyDescent="0.25">
      <c r="A68" s="19" t="s">
        <v>161</v>
      </c>
      <c r="B68" s="19" t="str">
        <f>INDEX(Places[Type],MATCH(Expenditures[[#This Row],[Jurisdiction]],Places[Jurisdiction],0))</f>
        <v>City</v>
      </c>
      <c r="C68" s="19" t="str">
        <f>INDEX(Places[County],MATCH(Expenditures[[#This Row],[Jurisdiction]],Places[Jurisdiction],0))</f>
        <v>Los Angeles</v>
      </c>
      <c r="D68" s="19" t="str">
        <f>INDEX(Places[Majority RB],MATCH(Expenditures[[#This Row],[Jurisdiction]],Places[Jurisdiction],0))</f>
        <v>Los Angeles</v>
      </c>
      <c r="E68" s="19">
        <f>INDEX(Places[Majority RB '#],MATCH(Expenditures[[#This Row],[Jurisdiction]],Places[Jurisdiction],0))</f>
        <v>4</v>
      </c>
      <c r="F68" s="19" t="str">
        <f>VLOOKUP(Expenditures[[#This Row],[Jurisdiction]],Places[#All],8,FALSE)</f>
        <v>Phase I MS4</v>
      </c>
      <c r="G68" s="19"/>
      <c r="H68" s="100" t="s">
        <v>1873</v>
      </c>
      <c r="I68" s="21">
        <f>VALUE(LEFT(Expenditures[[#This Row],[Fiscal Year]],4))</f>
        <v>2015</v>
      </c>
      <c r="J68" s="20">
        <v>840385</v>
      </c>
      <c r="K68" s="20">
        <f>IF(Expenditures[[#This Row],[Reference Year]]&gt;2018,Expenditures[[#This Row],[Value]],Expenditures[[#This Row],[Value]]*(1+VLOOKUP(Expenditures[[#This Row],[Reference Year]],Inflation[#All],3,FALSE)))</f>
        <v>892265.47651898733</v>
      </c>
      <c r="L68" s="105">
        <f>VALUE(Expenditures[[#This Row],[2018 $ Value]]/VLOOKUP(Expenditures[[#This Row],[Jurisdiction]],Places[],6,FALSE))</f>
        <v>17.681928510938672</v>
      </c>
      <c r="M68" s="105">
        <f>VALUE(Expenditures[[#This Row],[2018 $ Value]]/VLOOKUP(Expenditures[[#This Row],[Jurisdiction]],Places[],7,FALSE))</f>
        <v>102559.25017459625</v>
      </c>
      <c r="N68" s="20" t="s">
        <v>1853</v>
      </c>
      <c r="O68" s="20" t="s">
        <v>1853</v>
      </c>
    </row>
    <row r="69" spans="1:15" x14ac:dyDescent="0.25">
      <c r="A69" s="19" t="s">
        <v>241</v>
      </c>
      <c r="B69" s="19" t="str">
        <f>INDEX(Places[Type],MATCH(Expenditures[[#This Row],[Jurisdiction]],Places[Jurisdiction],0))</f>
        <v>City</v>
      </c>
      <c r="C69" s="19" t="str">
        <f>INDEX(Places[County],MATCH(Expenditures[[#This Row],[Jurisdiction]],Places[Jurisdiction],0))</f>
        <v>San Bernardino</v>
      </c>
      <c r="D69" s="19" t="str">
        <f>INDEX(Places[Majority RB],MATCH(Expenditures[[#This Row],[Jurisdiction]],Places[Jurisdiction],0))</f>
        <v>Santa Ana</v>
      </c>
      <c r="E69" s="19">
        <f>INDEX(Places[Majority RB '#],MATCH(Expenditures[[#This Row],[Jurisdiction]],Places[Jurisdiction],0))</f>
        <v>8</v>
      </c>
      <c r="F69" s="19" t="str">
        <f>VLOOKUP(Expenditures[[#This Row],[Jurisdiction]],Places[#All],8,FALSE)</f>
        <v>Phase I MS4</v>
      </c>
      <c r="G69" s="19"/>
      <c r="H69" s="21" t="s">
        <v>1870</v>
      </c>
      <c r="I69" s="21">
        <f>VALUE(LEFT(Expenditures[[#This Row],[Fiscal Year]],4))</f>
        <v>2011</v>
      </c>
      <c r="J69" s="20">
        <v>718921</v>
      </c>
      <c r="K69" s="20">
        <f>IF(Expenditures[[#This Row],[Reference Year]]&gt;2018,Expenditures[[#This Row],[Value]],Expenditures[[#This Row],[Value]]*(1+VLOOKUP(Expenditures[[#This Row],[Reference Year]],Inflation[#All],3,FALSE)))</f>
        <v>804369.98733214766</v>
      </c>
      <c r="L69" s="105">
        <f>VALUE(Expenditures[[#This Row],[2018 $ Value]]/VLOOKUP(Expenditures[[#This Row],[Jurisdiction]],Places[],6,FALSE))</f>
        <v>8.7829617650890199</v>
      </c>
      <c r="M69" s="105">
        <f>VALUE(Expenditures[[#This Row],[2018 $ Value]]/VLOOKUP(Expenditures[[#This Row],[Jurisdiction]],Places[],7,FALSE))</f>
        <v>27083.16455663797</v>
      </c>
      <c r="N69" s="20" t="s">
        <v>1460</v>
      </c>
      <c r="O69" s="20" t="s">
        <v>1460</v>
      </c>
    </row>
    <row r="70" spans="1:15" x14ac:dyDescent="0.25">
      <c r="A70" s="19" t="s">
        <v>241</v>
      </c>
      <c r="B70" s="19" t="str">
        <f>INDEX(Places[Type],MATCH(Expenditures[[#This Row],[Jurisdiction]],Places[Jurisdiction],0))</f>
        <v>City</v>
      </c>
      <c r="C70" s="19" t="str">
        <f>INDEX(Places[County],MATCH(Expenditures[[#This Row],[Jurisdiction]],Places[Jurisdiction],0))</f>
        <v>San Bernardino</v>
      </c>
      <c r="D70" s="19" t="str">
        <f>INDEX(Places[Majority RB],MATCH(Expenditures[[#This Row],[Jurisdiction]],Places[Jurisdiction],0))</f>
        <v>Santa Ana</v>
      </c>
      <c r="E70" s="19">
        <f>INDEX(Places[Majority RB '#],MATCH(Expenditures[[#This Row],[Jurisdiction]],Places[Jurisdiction],0))</f>
        <v>8</v>
      </c>
      <c r="F70" s="19" t="str">
        <f>VLOOKUP(Expenditures[[#This Row],[Jurisdiction]],Places[#All],8,FALSE)</f>
        <v>Phase I MS4</v>
      </c>
      <c r="G70" s="19"/>
      <c r="H70" s="21" t="s">
        <v>1871</v>
      </c>
      <c r="I70" s="21">
        <f>VALUE(LEFT(Expenditures[[#This Row],[Fiscal Year]],4))</f>
        <v>2012</v>
      </c>
      <c r="J70" s="20">
        <v>427368</v>
      </c>
      <c r="K70" s="20">
        <f>IF(Expenditures[[#This Row],[Reference Year]]&gt;2018,Expenditures[[#This Row],[Value]],Expenditures[[#This Row],[Value]]*(1+VLOOKUP(Expenditures[[#This Row],[Reference Year]],Inflation[#All],3,FALSE)))</f>
        <v>468375.59759581881</v>
      </c>
      <c r="L70" s="105">
        <f>VALUE(Expenditures[[#This Row],[2018 $ Value]]/VLOOKUP(Expenditures[[#This Row],[Jurisdiction]],Places[],6,FALSE))</f>
        <v>5.114219861719083</v>
      </c>
      <c r="M70" s="105">
        <f>VALUE(Expenditures[[#This Row],[2018 $ Value]]/VLOOKUP(Expenditures[[#This Row],[Jurisdiction]],Places[],7,FALSE))</f>
        <v>15770.222141273362</v>
      </c>
      <c r="N70" s="20" t="s">
        <v>1460</v>
      </c>
      <c r="O70" s="20" t="s">
        <v>1460</v>
      </c>
    </row>
    <row r="71" spans="1:15" x14ac:dyDescent="0.25">
      <c r="A71" s="19" t="s">
        <v>241</v>
      </c>
      <c r="B71" s="19" t="str">
        <f>INDEX(Places[Type],MATCH(Expenditures[[#This Row],[Jurisdiction]],Places[Jurisdiction],0))</f>
        <v>City</v>
      </c>
      <c r="C71" s="19" t="str">
        <f>INDEX(Places[County],MATCH(Expenditures[[#This Row],[Jurisdiction]],Places[Jurisdiction],0))</f>
        <v>San Bernardino</v>
      </c>
      <c r="D71" s="19" t="str">
        <f>INDEX(Places[Majority RB],MATCH(Expenditures[[#This Row],[Jurisdiction]],Places[Jurisdiction],0))</f>
        <v>Santa Ana</v>
      </c>
      <c r="E71" s="19">
        <f>INDEX(Places[Majority RB '#],MATCH(Expenditures[[#This Row],[Jurisdiction]],Places[Jurisdiction],0))</f>
        <v>8</v>
      </c>
      <c r="F71" s="19" t="str">
        <f>VLOOKUP(Expenditures[[#This Row],[Jurisdiction]],Places[#All],8,FALSE)</f>
        <v>Phase I MS4</v>
      </c>
      <c r="G71" s="19"/>
      <c r="H71" s="21" t="s">
        <v>1880</v>
      </c>
      <c r="I71" s="21">
        <f>VALUE(LEFT(Expenditures[[#This Row],[Fiscal Year]],4))</f>
        <v>2013</v>
      </c>
      <c r="J71" s="20">
        <v>427368</v>
      </c>
      <c r="K71" s="20">
        <f>IF(Expenditures[[#This Row],[Reference Year]]&gt;2018,Expenditures[[#This Row],[Value]],Expenditures[[#This Row],[Value]]*(1+VLOOKUP(Expenditures[[#This Row],[Reference Year]],Inflation[#All],3,FALSE)))</f>
        <v>461540.932223176</v>
      </c>
      <c r="L71" s="105">
        <f>VALUE(Expenditures[[#This Row],[2018 $ Value]]/VLOOKUP(Expenditures[[#This Row],[Jurisdiction]],Places[],6,FALSE))</f>
        <v>5.039591760732625</v>
      </c>
      <c r="M71" s="105">
        <f>VALUE(Expenditures[[#This Row],[2018 $ Value]]/VLOOKUP(Expenditures[[#This Row],[Jurisdiction]],Places[],7,FALSE))</f>
        <v>15540.098728053064</v>
      </c>
      <c r="N71" s="20" t="s">
        <v>1460</v>
      </c>
      <c r="O71" s="20" t="s">
        <v>1460</v>
      </c>
    </row>
    <row r="72" spans="1:15" x14ac:dyDescent="0.25">
      <c r="A72" s="19" t="s">
        <v>241</v>
      </c>
      <c r="B72" s="19" t="str">
        <f>INDEX(Places[Type],MATCH(Expenditures[[#This Row],[Jurisdiction]],Places[Jurisdiction],0))</f>
        <v>City</v>
      </c>
      <c r="C72" s="19" t="str">
        <f>INDEX(Places[County],MATCH(Expenditures[[#This Row],[Jurisdiction]],Places[Jurisdiction],0))</f>
        <v>San Bernardino</v>
      </c>
      <c r="D72" s="19" t="str">
        <f>INDEX(Places[Majority RB],MATCH(Expenditures[[#This Row],[Jurisdiction]],Places[Jurisdiction],0))</f>
        <v>Santa Ana</v>
      </c>
      <c r="E72" s="19">
        <f>INDEX(Places[Majority RB '#],MATCH(Expenditures[[#This Row],[Jurisdiction]],Places[Jurisdiction],0))</f>
        <v>8</v>
      </c>
      <c r="F72" s="19" t="str">
        <f>VLOOKUP(Expenditures[[#This Row],[Jurisdiction]],Places[#All],8,FALSE)</f>
        <v>Phase I MS4</v>
      </c>
      <c r="G72" s="19"/>
      <c r="H72" s="21" t="s">
        <v>1881</v>
      </c>
      <c r="I72" s="21">
        <f>VALUE(LEFT(Expenditures[[#This Row],[Fiscal Year]],4))</f>
        <v>2014</v>
      </c>
      <c r="J72" s="20">
        <v>514296</v>
      </c>
      <c r="K72" s="20">
        <f>IF(Expenditures[[#This Row],[Reference Year]]&gt;2018,Expenditures[[#This Row],[Value]],Expenditures[[#This Row],[Value]]*(1+VLOOKUP(Expenditures[[#This Row],[Reference Year]],Inflation[#All],3,FALSE)))</f>
        <v>546737.71346007613</v>
      </c>
      <c r="L72" s="105">
        <f>VALUE(Expenditures[[#This Row],[2018 $ Value]]/VLOOKUP(Expenditures[[#This Row],[Jurisdiction]],Places[],6,FALSE))</f>
        <v>5.9698602738507818</v>
      </c>
      <c r="M72" s="105">
        <f>VALUE(Expenditures[[#This Row],[2018 $ Value]]/VLOOKUP(Expenditures[[#This Row],[Jurisdiction]],Places[],7,FALSE))</f>
        <v>18408.677220877984</v>
      </c>
      <c r="N72" s="20" t="s">
        <v>1460</v>
      </c>
      <c r="O72" s="20" t="s">
        <v>1853</v>
      </c>
    </row>
    <row r="73" spans="1:15" x14ac:dyDescent="0.25">
      <c r="A73" s="19" t="s">
        <v>242</v>
      </c>
      <c r="B73" s="19" t="str">
        <f>INDEX(Places[Type],MATCH(Expenditures[[#This Row],[Jurisdiction]],Places[Jurisdiction],0))</f>
        <v>City</v>
      </c>
      <c r="C73" s="19" t="str">
        <f>INDEX(Places[County],MATCH(Expenditures[[#This Row],[Jurisdiction]],Places[Jurisdiction],0))</f>
        <v>San Bernardino</v>
      </c>
      <c r="D73" s="19" t="str">
        <f>INDEX(Places[Majority RB],MATCH(Expenditures[[#This Row],[Jurisdiction]],Places[Jurisdiction],0))</f>
        <v>Santa Ana</v>
      </c>
      <c r="E73" s="19">
        <f>INDEX(Places[Majority RB '#],MATCH(Expenditures[[#This Row],[Jurisdiction]],Places[Jurisdiction],0))</f>
        <v>8</v>
      </c>
      <c r="F73" s="19" t="str">
        <f>VLOOKUP(Expenditures[[#This Row],[Jurisdiction]],Places[#All],8,FALSE)</f>
        <v>Phase I MS4</v>
      </c>
      <c r="G73" s="19"/>
      <c r="H73" s="21" t="s">
        <v>1870</v>
      </c>
      <c r="I73" s="21">
        <f>VALUE(LEFT(Expenditures[[#This Row],[Fiscal Year]],4))</f>
        <v>2011</v>
      </c>
      <c r="J73" s="20">
        <v>474600</v>
      </c>
      <c r="K73" s="20">
        <f>IF(Expenditures[[#This Row],[Reference Year]]&gt;2018,Expenditures[[#This Row],[Value]],Expenditures[[#This Row],[Value]]*(1+VLOOKUP(Expenditures[[#This Row],[Reference Year]],Inflation[#All],3,FALSE)))</f>
        <v>531009.66029346373</v>
      </c>
      <c r="L73" s="105">
        <f>VALUE(Expenditures[[#This Row],[2018 $ Value]]/VLOOKUP(Expenditures[[#This Row],[Jurisdiction]],Places[],6,FALSE))</f>
        <v>6.363436196549471</v>
      </c>
      <c r="M73" s="105">
        <f>VALUE(Expenditures[[#This Row],[2018 $ Value]]/VLOOKUP(Expenditures[[#This Row],[Jurisdiction]],Places[],7,FALSE))</f>
        <v>11879.410744820218</v>
      </c>
      <c r="N73" s="20" t="s">
        <v>1460</v>
      </c>
      <c r="O73" s="20" t="s">
        <v>1460</v>
      </c>
    </row>
    <row r="74" spans="1:15" x14ac:dyDescent="0.25">
      <c r="A74" s="19" t="s">
        <v>242</v>
      </c>
      <c r="B74" s="19" t="str">
        <f>INDEX(Places[Type],MATCH(Expenditures[[#This Row],[Jurisdiction]],Places[Jurisdiction],0))</f>
        <v>City</v>
      </c>
      <c r="C74" s="19" t="str">
        <f>INDEX(Places[County],MATCH(Expenditures[[#This Row],[Jurisdiction]],Places[Jurisdiction],0))</f>
        <v>San Bernardino</v>
      </c>
      <c r="D74" s="19" t="str">
        <f>INDEX(Places[Majority RB],MATCH(Expenditures[[#This Row],[Jurisdiction]],Places[Jurisdiction],0))</f>
        <v>Santa Ana</v>
      </c>
      <c r="E74" s="19">
        <f>INDEX(Places[Majority RB '#],MATCH(Expenditures[[#This Row],[Jurisdiction]],Places[Jurisdiction],0))</f>
        <v>8</v>
      </c>
      <c r="F74" s="19" t="str">
        <f>VLOOKUP(Expenditures[[#This Row],[Jurisdiction]],Places[#All],8,FALSE)</f>
        <v>Phase I MS4</v>
      </c>
      <c r="G74" s="19"/>
      <c r="H74" s="21" t="s">
        <v>1871</v>
      </c>
      <c r="I74" s="21">
        <f>VALUE(LEFT(Expenditures[[#This Row],[Fiscal Year]],4))</f>
        <v>2012</v>
      </c>
      <c r="J74" s="20">
        <v>390000</v>
      </c>
      <c r="K74" s="20">
        <f>IF(Expenditures[[#This Row],[Reference Year]]&gt;2018,Expenditures[[#This Row],[Value]],Expenditures[[#This Row],[Value]]*(1+VLOOKUP(Expenditures[[#This Row],[Reference Year]],Inflation[#All],3,FALSE)))</f>
        <v>427421.99477351917</v>
      </c>
      <c r="L74" s="105">
        <f>VALUE(Expenditures[[#This Row],[2018 $ Value]]/VLOOKUP(Expenditures[[#This Row],[Jurisdiction]],Places[],6,FALSE))</f>
        <v>5.1220774236763358</v>
      </c>
      <c r="M74" s="105">
        <f>VALUE(Expenditures[[#This Row],[2018 $ Value]]/VLOOKUP(Expenditures[[#This Row],[Jurisdiction]],Places[],7,FALSE))</f>
        <v>9562.0133058952833</v>
      </c>
      <c r="N74" s="20" t="s">
        <v>1460</v>
      </c>
      <c r="O74" s="20" t="s">
        <v>1853</v>
      </c>
    </row>
    <row r="75" spans="1:15" x14ac:dyDescent="0.25">
      <c r="A75" s="19" t="s">
        <v>310</v>
      </c>
      <c r="B75" s="19" t="str">
        <f>INDEX(Places[Type],MATCH(Expenditures[[#This Row],[Jurisdiction]],Places[Jurisdiction],0))</f>
        <v>City</v>
      </c>
      <c r="C75" s="19" t="str">
        <f>INDEX(Places[County],MATCH(Expenditures[[#This Row],[Jurisdiction]],Places[Jurisdiction],0))</f>
        <v>San Diego</v>
      </c>
      <c r="D75" s="19" t="str">
        <f>INDEX(Places[Majority RB],MATCH(Expenditures[[#This Row],[Jurisdiction]],Places[Jurisdiction],0))</f>
        <v>San Diego</v>
      </c>
      <c r="E75" s="19">
        <f>INDEX(Places[Majority RB '#],MATCH(Expenditures[[#This Row],[Jurisdiction]],Places[Jurisdiction],0))</f>
        <v>9</v>
      </c>
      <c r="F75" s="19" t="str">
        <f>VLOOKUP(Expenditures[[#This Row],[Jurisdiction]],Places[#All],8,FALSE)</f>
        <v>Phase I MS4</v>
      </c>
      <c r="G75" s="19"/>
      <c r="H75" s="19" t="s">
        <v>1873</v>
      </c>
      <c r="I75" s="21">
        <f>VALUE(LEFT(Expenditures[[#This Row],[Fiscal Year]],4))</f>
        <v>2015</v>
      </c>
      <c r="J75" s="20">
        <v>2082466.82</v>
      </c>
      <c r="K75" s="20">
        <f>IF(Expenditures[[#This Row],[Reference Year]]&gt;2018,Expenditures[[#This Row],[Value]],Expenditures[[#This Row],[Value]]*(1+VLOOKUP(Expenditures[[#This Row],[Reference Year]],Inflation[#All],3,FALSE)))</f>
        <v>2211026.195710633</v>
      </c>
      <c r="L75" s="105">
        <f>VALUE(Expenditures[[#This Row],[2018 $ Value]]/VLOOKUP(Expenditures[[#This Row],[Jurisdiction]],Places[],6,FALSE))</f>
        <v>8.1392161107841794</v>
      </c>
      <c r="M75" s="105">
        <f>VALUE(Expenditures[[#This Row],[2018 $ Value]]/VLOOKUP(Expenditures[[#This Row],[Jurisdiction]],Places[],7,FALSE))</f>
        <v>44577.141042553085</v>
      </c>
      <c r="N75" s="20" t="s">
        <v>1460</v>
      </c>
      <c r="O75" s="20" t="s">
        <v>1460</v>
      </c>
    </row>
    <row r="76" spans="1:15" x14ac:dyDescent="0.25">
      <c r="A76" s="19" t="s">
        <v>310</v>
      </c>
      <c r="B76" s="19" t="str">
        <f>INDEX(Places[Type],MATCH(Expenditures[[#This Row],[Jurisdiction]],Places[Jurisdiction],0))</f>
        <v>City</v>
      </c>
      <c r="C76" s="19" t="str">
        <f>INDEX(Places[County],MATCH(Expenditures[[#This Row],[Jurisdiction]],Places[Jurisdiction],0))</f>
        <v>San Diego</v>
      </c>
      <c r="D76" s="19" t="str">
        <f>INDEX(Places[Majority RB],MATCH(Expenditures[[#This Row],[Jurisdiction]],Places[Jurisdiction],0))</f>
        <v>San Diego</v>
      </c>
      <c r="E76" s="19">
        <f>INDEX(Places[Majority RB '#],MATCH(Expenditures[[#This Row],[Jurisdiction]],Places[Jurisdiction],0))</f>
        <v>9</v>
      </c>
      <c r="F76" s="19" t="str">
        <f>VLOOKUP(Expenditures[[#This Row],[Jurisdiction]],Places[#All],8,FALSE)</f>
        <v>Phase I MS4</v>
      </c>
      <c r="G76" s="19"/>
      <c r="H76" s="19" t="s">
        <v>1869</v>
      </c>
      <c r="I76" s="21">
        <f>VALUE(LEFT(Expenditures[[#This Row],[Fiscal Year]],4))</f>
        <v>2016</v>
      </c>
      <c r="J76" s="20">
        <v>2004501.15</v>
      </c>
      <c r="K76" s="20">
        <f>IF(Expenditures[[#This Row],[Reference Year]]&gt;2018,Expenditures[[#This Row],[Value]],Expenditures[[#This Row],[Value]]*(1+VLOOKUP(Expenditures[[#This Row],[Reference Year]],Inflation[#All],3,FALSE)))</f>
        <v>2101644.2869818751</v>
      </c>
      <c r="L76" s="105">
        <f>VALUE(Expenditures[[#This Row],[2018 $ Value]]/VLOOKUP(Expenditures[[#This Row],[Jurisdiction]],Places[],6,FALSE))</f>
        <v>7.7365600972640447</v>
      </c>
      <c r="M76" s="105">
        <f>VALUE(Expenditures[[#This Row],[2018 $ Value]]/VLOOKUP(Expenditures[[#This Row],[Jurisdiction]],Places[],7,FALSE))</f>
        <v>42371.860624634573</v>
      </c>
      <c r="N76" s="20" t="s">
        <v>1460</v>
      </c>
      <c r="O76" s="20" t="s">
        <v>1460</v>
      </c>
    </row>
    <row r="77" spans="1:15" x14ac:dyDescent="0.25">
      <c r="A77" s="19" t="s">
        <v>310</v>
      </c>
      <c r="B77" s="19" t="str">
        <f>INDEX(Places[Type],MATCH(Expenditures[[#This Row],[Jurisdiction]],Places[Jurisdiction],0))</f>
        <v>City</v>
      </c>
      <c r="C77" s="19" t="str">
        <f>INDEX(Places[County],MATCH(Expenditures[[#This Row],[Jurisdiction]],Places[Jurisdiction],0))</f>
        <v>San Diego</v>
      </c>
      <c r="D77" s="19" t="str">
        <f>INDEX(Places[Majority RB],MATCH(Expenditures[[#This Row],[Jurisdiction]],Places[Jurisdiction],0))</f>
        <v>San Diego</v>
      </c>
      <c r="E77" s="19">
        <f>INDEX(Places[Majority RB '#],MATCH(Expenditures[[#This Row],[Jurisdiction]],Places[Jurisdiction],0))</f>
        <v>9</v>
      </c>
      <c r="F77" s="19" t="str">
        <f>VLOOKUP(Expenditures[[#This Row],[Jurisdiction]],Places[#All],8,FALSE)</f>
        <v>Phase I MS4</v>
      </c>
      <c r="G77" s="19"/>
      <c r="H77" s="19" t="s">
        <v>1874</v>
      </c>
      <c r="I77" s="21">
        <f>VALUE(LEFT(Expenditures[[#This Row],[Fiscal Year]],4))</f>
        <v>2017</v>
      </c>
      <c r="J77" s="20">
        <v>2785314</v>
      </c>
      <c r="K77" s="20">
        <f>IF(Expenditures[[#This Row],[Reference Year]]&gt;2018,Expenditures[[#This Row],[Value]],Expenditures[[#This Row],[Value]]*(1+VLOOKUP(Expenditures[[#This Row],[Reference Year]],Inflation[#All],3,FALSE)))</f>
        <v>2859532.2200489598</v>
      </c>
      <c r="L77" s="105">
        <f>VALUE(Expenditures[[#This Row],[2018 $ Value]]/VLOOKUP(Expenditures[[#This Row],[Jurisdiction]],Places[],6,FALSE))</f>
        <v>10.526492521834854</v>
      </c>
      <c r="M77" s="105">
        <f>VALUE(Expenditures[[#This Row],[2018 $ Value]]/VLOOKUP(Expenditures[[#This Row],[Jurisdiction]],Places[],7,FALSE))</f>
        <v>57651.859275180643</v>
      </c>
      <c r="N77" s="20" t="s">
        <v>1853</v>
      </c>
      <c r="O77" s="20" t="s">
        <v>1853</v>
      </c>
    </row>
    <row r="78" spans="1:15" x14ac:dyDescent="0.25">
      <c r="A78" s="19" t="s">
        <v>138</v>
      </c>
      <c r="B78" s="19" t="str">
        <f>INDEX(Places[Type],MATCH(Expenditures[[#This Row],[Jurisdiction]],Places[Jurisdiction],0))</f>
        <v>City</v>
      </c>
      <c r="C78" s="19" t="str">
        <f>INDEX(Places[County],MATCH(Expenditures[[#This Row],[Jurisdiction]],Places[Jurisdiction],0))</f>
        <v>Sacramento</v>
      </c>
      <c r="D78" s="19" t="str">
        <f>INDEX(Places[Majority RB],MATCH(Expenditures[[#This Row],[Jurisdiction]],Places[Jurisdiction],0))</f>
        <v>Central Valley</v>
      </c>
      <c r="E78" s="19">
        <f>INDEX(Places[Majority RB '#],MATCH(Expenditures[[#This Row],[Jurisdiction]],Places[Jurisdiction],0))</f>
        <v>5</v>
      </c>
      <c r="F78" s="19" t="str">
        <f>VLOOKUP(Expenditures[[#This Row],[Jurisdiction]],Places[#All],8,FALSE)</f>
        <v>Phase I MS4</v>
      </c>
      <c r="G78" s="19"/>
      <c r="H78" s="100" t="s">
        <v>1873</v>
      </c>
      <c r="I78" s="21">
        <f>VALUE(LEFT(Expenditures[[#This Row],[Fiscal Year]],4))</f>
        <v>2015</v>
      </c>
      <c r="J78" s="20">
        <v>3972000</v>
      </c>
      <c r="K78" s="20">
        <f>IF(Expenditures[[#This Row],[Reference Year]]&gt;2018,Expenditures[[#This Row],[Value]],Expenditures[[#This Row],[Value]]*(1+VLOOKUP(Expenditures[[#This Row],[Reference Year]],Inflation[#All],3,FALSE)))</f>
        <v>4217208.1518987343</v>
      </c>
      <c r="L78" s="105">
        <f>VALUE(Expenditures[[#This Row],[2018 $ Value]]/VLOOKUP(Expenditures[[#This Row],[Jurisdiction]],Places[],6,FALSE))</f>
        <v>47.971882060047029</v>
      </c>
      <c r="M78" s="105">
        <f>VALUE(Expenditures[[#This Row],[2018 $ Value]]/VLOOKUP(Expenditures[[#This Row],[Jurisdiction]],Places[],7,FALSE))</f>
        <v>296986.48957033339</v>
      </c>
      <c r="N78" s="20" t="s">
        <v>1853</v>
      </c>
      <c r="O78" s="20" t="s">
        <v>1853</v>
      </c>
    </row>
    <row r="79" spans="1:15" x14ac:dyDescent="0.25">
      <c r="A79" s="19" t="s">
        <v>152</v>
      </c>
      <c r="B79" s="19" t="str">
        <f>INDEX(Places[Type],MATCH(Expenditures[[#This Row],[Jurisdiction]],Places[Jurisdiction],0))</f>
        <v>City</v>
      </c>
      <c r="C79" s="19" t="str">
        <f>INDEX(Places[County],MATCH(Expenditures[[#This Row],[Jurisdiction]],Places[Jurisdiction],0))</f>
        <v>Los Angeles</v>
      </c>
      <c r="D79" s="19" t="str">
        <f>INDEX(Places[Majority RB],MATCH(Expenditures[[#This Row],[Jurisdiction]],Places[Jurisdiction],0))</f>
        <v>Los Angeles</v>
      </c>
      <c r="E79" s="19">
        <f>INDEX(Places[Majority RB '#],MATCH(Expenditures[[#This Row],[Jurisdiction]],Places[Jurisdiction],0))</f>
        <v>4</v>
      </c>
      <c r="F79" s="19" t="str">
        <f>VLOOKUP(Expenditures[[#This Row],[Jurisdiction]],Places[#All],8,FALSE)</f>
        <v>Phase I MS4</v>
      </c>
      <c r="G79" s="19"/>
      <c r="H79" s="100" t="s">
        <v>1870</v>
      </c>
      <c r="I79" s="21">
        <f>VALUE(LEFT(Expenditures[[#This Row],[Fiscal Year]],4))</f>
        <v>2011</v>
      </c>
      <c r="J79" s="20">
        <v>316429</v>
      </c>
      <c r="K79" s="20">
        <f>IF(Expenditures[[#This Row],[Reference Year]]&gt;2018,Expenditures[[#This Row],[Value]],Expenditures[[#This Row],[Value]]*(1+VLOOKUP(Expenditures[[#This Row],[Reference Year]],Inflation[#All],3,FALSE)))</f>
        <v>354038.88705646957</v>
      </c>
      <c r="L79" s="105">
        <f>VALUE(Expenditures[[#This Row],[2018 $ Value]]/VLOOKUP(Expenditures[[#This Row],[Jurisdiction]],Places[],6,FALSE))</f>
        <v>9.7055454536013368</v>
      </c>
      <c r="M79" s="105">
        <f>VALUE(Expenditures[[#This Row],[2018 $ Value]]/VLOOKUP(Expenditures[[#This Row],[Jurisdiction]],Places[],7,FALSE))</f>
        <v>26420.812466900712</v>
      </c>
      <c r="N79" s="20" t="s">
        <v>1460</v>
      </c>
      <c r="O79" s="20" t="s">
        <v>1460</v>
      </c>
    </row>
    <row r="80" spans="1:15" x14ac:dyDescent="0.25">
      <c r="A80" s="19" t="s">
        <v>152</v>
      </c>
      <c r="B80" s="19" t="str">
        <f>INDEX(Places[Type],MATCH(Expenditures[[#This Row],[Jurisdiction]],Places[Jurisdiction],0))</f>
        <v>City</v>
      </c>
      <c r="C80" s="19" t="str">
        <f>INDEX(Places[County],MATCH(Expenditures[[#This Row],[Jurisdiction]],Places[Jurisdiction],0))</f>
        <v>Los Angeles</v>
      </c>
      <c r="D80" s="19" t="str">
        <f>INDEX(Places[Majority RB],MATCH(Expenditures[[#This Row],[Jurisdiction]],Places[Jurisdiction],0))</f>
        <v>Los Angeles</v>
      </c>
      <c r="E80" s="19">
        <f>INDEX(Places[Majority RB '#],MATCH(Expenditures[[#This Row],[Jurisdiction]],Places[Jurisdiction],0))</f>
        <v>4</v>
      </c>
      <c r="F80" s="19" t="str">
        <f>VLOOKUP(Expenditures[[#This Row],[Jurisdiction]],Places[#All],8,FALSE)</f>
        <v>Phase I MS4</v>
      </c>
      <c r="G80" s="19"/>
      <c r="H80" s="100" t="s">
        <v>1873</v>
      </c>
      <c r="I80" s="21">
        <f>VALUE(LEFT(Expenditures[[#This Row],[Fiscal Year]],4))</f>
        <v>2015</v>
      </c>
      <c r="J80" s="20">
        <v>6548132</v>
      </c>
      <c r="K80" s="20">
        <f>IF(Expenditures[[#This Row],[Reference Year]]&gt;2018,Expenditures[[#This Row],[Value]],Expenditures[[#This Row],[Value]]*(1+VLOOKUP(Expenditures[[#This Row],[Reference Year]],Inflation[#All],3,FALSE)))</f>
        <v>6952375.5413164552</v>
      </c>
      <c r="L80" s="105">
        <f>VALUE(Expenditures[[#This Row],[2018 $ Value]]/VLOOKUP(Expenditures[[#This Row],[Jurisdiction]],Places[],6,FALSE))</f>
        <v>190.59091894611697</v>
      </c>
      <c r="M80" s="105">
        <f>VALUE(Expenditures[[#This Row],[2018 $ Value]]/VLOOKUP(Expenditures[[#This Row],[Jurisdiction]],Places[],7,FALSE))</f>
        <v>518833.99562063097</v>
      </c>
      <c r="N80" s="20" t="s">
        <v>1853</v>
      </c>
      <c r="O80" s="20" t="s">
        <v>1853</v>
      </c>
    </row>
    <row r="81" spans="1:15" x14ac:dyDescent="0.25">
      <c r="A81" s="19" t="s">
        <v>123</v>
      </c>
      <c r="B81" s="19" t="str">
        <f>INDEX(Places[Type],MATCH(Expenditures[[#This Row],[Jurisdiction]],Places[Jurisdiction],0))</f>
        <v>City</v>
      </c>
      <c r="C81" s="19" t="str">
        <f>INDEX(Places[County],MATCH(Expenditures[[#This Row],[Jurisdiction]],Places[Jurisdiction],0))</f>
        <v>Fresno</v>
      </c>
      <c r="D81" s="19" t="str">
        <f>INDEX(Places[Majority RB],MATCH(Expenditures[[#This Row],[Jurisdiction]],Places[Jurisdiction],0))</f>
        <v>Central Valley</v>
      </c>
      <c r="E81" s="19">
        <f>INDEX(Places[Majority RB '#],MATCH(Expenditures[[#This Row],[Jurisdiction]],Places[Jurisdiction],0))</f>
        <v>5</v>
      </c>
      <c r="F81" s="19" t="str">
        <f>VLOOKUP(Expenditures[[#This Row],[Jurisdiction]],Places[#All],8,FALSE)</f>
        <v>Phase I MS4</v>
      </c>
      <c r="G81" s="19"/>
      <c r="H81" s="21" t="s">
        <v>1880</v>
      </c>
      <c r="I81" s="21">
        <f>VALUE(LEFT(Expenditures[[#This Row],[Fiscal Year]],4))</f>
        <v>2013</v>
      </c>
      <c r="J81" s="20">
        <v>1450700</v>
      </c>
      <c r="K81" s="20">
        <f>IF(Expenditures[[#This Row],[Reference Year]]&gt;2018,Expenditures[[#This Row],[Value]],Expenditures[[#This Row],[Value]]*(1+VLOOKUP(Expenditures[[#This Row],[Reference Year]],Inflation[#All],3,FALSE)))</f>
        <v>1566699.9643776824</v>
      </c>
      <c r="L81" s="105">
        <f>VALUE(Expenditures[[#This Row],[2018 $ Value]]/VLOOKUP(Expenditures[[#This Row],[Jurisdiction]],Places[],6,FALSE))</f>
        <v>13.985645358748124</v>
      </c>
      <c r="M81" s="105">
        <f>VALUE(Expenditures[[#This Row],[2018 $ Value]]/VLOOKUP(Expenditures[[#This Row],[Jurisdiction]],Places[],7,FALSE))</f>
        <v>64739.667949491013</v>
      </c>
      <c r="N81" s="20" t="s">
        <v>1460</v>
      </c>
      <c r="O81" s="20" t="s">
        <v>1460</v>
      </c>
    </row>
    <row r="82" spans="1:15" x14ac:dyDescent="0.25">
      <c r="A82" s="19" t="s">
        <v>123</v>
      </c>
      <c r="B82" s="19" t="str">
        <f>INDEX(Places[Type],MATCH(Expenditures[[#This Row],[Jurisdiction]],Places[Jurisdiction],0))</f>
        <v>City</v>
      </c>
      <c r="C82" s="19" t="str">
        <f>INDEX(Places[County],MATCH(Expenditures[[#This Row],[Jurisdiction]],Places[Jurisdiction],0))</f>
        <v>Fresno</v>
      </c>
      <c r="D82" s="19" t="str">
        <f>INDEX(Places[Majority RB],MATCH(Expenditures[[#This Row],[Jurisdiction]],Places[Jurisdiction],0))</f>
        <v>Central Valley</v>
      </c>
      <c r="E82" s="19">
        <f>INDEX(Places[Majority RB '#],MATCH(Expenditures[[#This Row],[Jurisdiction]],Places[Jurisdiction],0))</f>
        <v>5</v>
      </c>
      <c r="F82" s="19" t="str">
        <f>VLOOKUP(Expenditures[[#This Row],[Jurisdiction]],Places[#All],8,FALSE)</f>
        <v>Phase I MS4</v>
      </c>
      <c r="G82" s="19"/>
      <c r="H82" s="21" t="s">
        <v>1881</v>
      </c>
      <c r="I82" s="21">
        <f>VALUE(LEFT(Expenditures[[#This Row],[Fiscal Year]],4))</f>
        <v>2014</v>
      </c>
      <c r="J82" s="20">
        <v>1564900</v>
      </c>
      <c r="K82" s="20">
        <f>IF(Expenditures[[#This Row],[Reference Year]]&gt;2018,Expenditures[[#This Row],[Value]],Expenditures[[#This Row],[Value]]*(1+VLOOKUP(Expenditures[[#This Row],[Reference Year]],Inflation[#All],3,FALSE)))</f>
        <v>1663613.6539923956</v>
      </c>
      <c r="L82" s="105">
        <f>VALUE(Expenditures[[#This Row],[2018 $ Value]]/VLOOKUP(Expenditures[[#This Row],[Jurisdiction]],Places[],6,FALSE))</f>
        <v>14.850776222459835</v>
      </c>
      <c r="M82" s="105">
        <f>VALUE(Expenditures[[#This Row],[2018 $ Value]]/VLOOKUP(Expenditures[[#This Row],[Jurisdiction]],Places[],7,FALSE))</f>
        <v>68744.365867454369</v>
      </c>
      <c r="N82" s="20" t="s">
        <v>1460</v>
      </c>
      <c r="O82" s="20" t="s">
        <v>1460</v>
      </c>
    </row>
    <row r="83" spans="1:15" x14ac:dyDescent="0.25">
      <c r="A83" s="19" t="s">
        <v>123</v>
      </c>
      <c r="B83" s="19" t="str">
        <f>INDEX(Places[Type],MATCH(Expenditures[[#This Row],[Jurisdiction]],Places[Jurisdiction],0))</f>
        <v>City</v>
      </c>
      <c r="C83" s="19" t="str">
        <f>INDEX(Places[County],MATCH(Expenditures[[#This Row],[Jurisdiction]],Places[Jurisdiction],0))</f>
        <v>Fresno</v>
      </c>
      <c r="D83" s="19" t="str">
        <f>INDEX(Places[Majority RB],MATCH(Expenditures[[#This Row],[Jurisdiction]],Places[Jurisdiction],0))</f>
        <v>Central Valley</v>
      </c>
      <c r="E83" s="19">
        <f>INDEX(Places[Majority RB '#],MATCH(Expenditures[[#This Row],[Jurisdiction]],Places[Jurisdiction],0))</f>
        <v>5</v>
      </c>
      <c r="F83" s="19" t="str">
        <f>VLOOKUP(Expenditures[[#This Row],[Jurisdiction]],Places[#All],8,FALSE)</f>
        <v>Phase I MS4</v>
      </c>
      <c r="G83" s="19"/>
      <c r="H83" s="21" t="s">
        <v>1873</v>
      </c>
      <c r="I83" s="21">
        <f>VALUE(LEFT(Expenditures[[#This Row],[Fiscal Year]],4))</f>
        <v>2015</v>
      </c>
      <c r="J83" s="20">
        <v>2021300</v>
      </c>
      <c r="K83" s="20">
        <f>IF(Expenditures[[#This Row],[Reference Year]]&gt;2018,Expenditures[[#This Row],[Value]],Expenditures[[#This Row],[Value]]*(1+VLOOKUP(Expenditures[[#This Row],[Reference Year]],Inflation[#All],3,FALSE)))</f>
        <v>2146083.2924050633</v>
      </c>
      <c r="L83" s="105">
        <f>VALUE(Expenditures[[#This Row],[2018 $ Value]]/VLOOKUP(Expenditures[[#This Row],[Jurisdiction]],Places[],6,FALSE))</f>
        <v>19.157694849271245</v>
      </c>
      <c r="M83" s="105">
        <f>VALUE(Expenditures[[#This Row],[2018 $ Value]]/VLOOKUP(Expenditures[[#This Row],[Jurisdiction]],Places[],7,FALSE))</f>
        <v>88681.127785333199</v>
      </c>
      <c r="N83" s="20" t="s">
        <v>1853</v>
      </c>
      <c r="O83" s="20" t="s">
        <v>1853</v>
      </c>
    </row>
    <row r="84" spans="1:15" x14ac:dyDescent="0.25">
      <c r="A84" s="19" t="s">
        <v>243</v>
      </c>
      <c r="B84" s="19" t="str">
        <f>INDEX(Places[Type],MATCH(Expenditures[[#This Row],[Jurisdiction]],Places[Jurisdiction],0))</f>
        <v>City</v>
      </c>
      <c r="C84" s="19" t="str">
        <f>INDEX(Places[County],MATCH(Expenditures[[#This Row],[Jurisdiction]],Places[Jurisdiction],0))</f>
        <v>San Bernardino</v>
      </c>
      <c r="D84" s="19" t="str">
        <f>INDEX(Places[Majority RB],MATCH(Expenditures[[#This Row],[Jurisdiction]],Places[Jurisdiction],0))</f>
        <v>Santa Ana</v>
      </c>
      <c r="E84" s="19">
        <f>INDEX(Places[Majority RB '#],MATCH(Expenditures[[#This Row],[Jurisdiction]],Places[Jurisdiction],0))</f>
        <v>8</v>
      </c>
      <c r="F84" s="19" t="str">
        <f>VLOOKUP(Expenditures[[#This Row],[Jurisdiction]],Places[#All],8,FALSE)</f>
        <v>Phase I MS4</v>
      </c>
      <c r="G84" s="19"/>
      <c r="H84" s="21" t="s">
        <v>1870</v>
      </c>
      <c r="I84" s="21">
        <f>VALUE(LEFT(Expenditures[[#This Row],[Fiscal Year]],4))</f>
        <v>2011</v>
      </c>
      <c r="J84" s="20">
        <v>572856</v>
      </c>
      <c r="K84" s="20">
        <f>IF(Expenditures[[#This Row],[Reference Year]]&gt;2018,Expenditures[[#This Row],[Value]],Expenditures[[#This Row],[Value]]*(1+VLOOKUP(Expenditures[[#This Row],[Reference Year]],Inflation[#All],3,FALSE)))</f>
        <v>640944.10020453541</v>
      </c>
      <c r="L84" s="105">
        <f>VALUE(Expenditures[[#This Row],[2018 $ Value]]/VLOOKUP(Expenditures[[#This Row],[Jurisdiction]],Places[],6,FALSE))</f>
        <v>11.708666268510539</v>
      </c>
      <c r="M84" s="105">
        <f>VALUE(Expenditures[[#This Row],[2018 $ Value]]/VLOOKUP(Expenditures[[#This Row],[Jurisdiction]],Places[],7,FALSE))</f>
        <v>41891.771255198393</v>
      </c>
      <c r="N84" s="20" t="s">
        <v>1460</v>
      </c>
      <c r="O84" s="20" t="s">
        <v>1460</v>
      </c>
    </row>
    <row r="85" spans="1:15" x14ac:dyDescent="0.25">
      <c r="A85" s="19" t="s">
        <v>243</v>
      </c>
      <c r="B85" s="19" t="str">
        <f>INDEX(Places[Type],MATCH(Expenditures[[#This Row],[Jurisdiction]],Places[Jurisdiction],0))</f>
        <v>City</v>
      </c>
      <c r="C85" s="19" t="str">
        <f>INDEX(Places[County],MATCH(Expenditures[[#This Row],[Jurisdiction]],Places[Jurisdiction],0))</f>
        <v>San Bernardino</v>
      </c>
      <c r="D85" s="19" t="str">
        <f>INDEX(Places[Majority RB],MATCH(Expenditures[[#This Row],[Jurisdiction]],Places[Jurisdiction],0))</f>
        <v>Santa Ana</v>
      </c>
      <c r="E85" s="19">
        <f>INDEX(Places[Majority RB '#],MATCH(Expenditures[[#This Row],[Jurisdiction]],Places[Jurisdiction],0))</f>
        <v>8</v>
      </c>
      <c r="F85" s="19" t="str">
        <f>VLOOKUP(Expenditures[[#This Row],[Jurisdiction]],Places[#All],8,FALSE)</f>
        <v>Phase I MS4</v>
      </c>
      <c r="G85" s="19"/>
      <c r="H85" s="21" t="s">
        <v>1871</v>
      </c>
      <c r="I85" s="21">
        <f>VALUE(LEFT(Expenditures[[#This Row],[Fiscal Year]],4))</f>
        <v>2012</v>
      </c>
      <c r="J85" s="20">
        <v>572856</v>
      </c>
      <c r="K85" s="20">
        <f>IF(Expenditures[[#This Row],[Reference Year]]&gt;2018,Expenditures[[#This Row],[Value]],Expenditures[[#This Row],[Value]]*(1+VLOOKUP(Expenditures[[#This Row],[Reference Year]],Inflation[#All],3,FALSE)))</f>
        <v>627823.72881533101</v>
      </c>
      <c r="L85" s="105">
        <f>VALUE(Expenditures[[#This Row],[2018 $ Value]]/VLOOKUP(Expenditures[[#This Row],[Jurisdiction]],Places[],6,FALSE))</f>
        <v>11.468985382352002</v>
      </c>
      <c r="M85" s="105">
        <f>VALUE(Expenditures[[#This Row],[2018 $ Value]]/VLOOKUP(Expenditures[[#This Row],[Jurisdiction]],Places[],7,FALSE))</f>
        <v>41034.230641524904</v>
      </c>
      <c r="N85" s="20" t="s">
        <v>1460</v>
      </c>
      <c r="O85" s="20" t="s">
        <v>1853</v>
      </c>
    </row>
    <row r="86" spans="1:15" x14ac:dyDescent="0.25">
      <c r="A86" s="19" t="s">
        <v>150</v>
      </c>
      <c r="B86" s="19" t="str">
        <f>INDEX(Places[Type],MATCH(Expenditures[[#This Row],[Jurisdiction]],Places[Jurisdiction],0))</f>
        <v>City</v>
      </c>
      <c r="C86" s="19" t="str">
        <f>INDEX(Places[County],MATCH(Expenditures[[#This Row],[Jurisdiction]],Places[Jurisdiction],0))</f>
        <v>Los Angeles</v>
      </c>
      <c r="D86" s="19" t="str">
        <f>INDEX(Places[Majority RB],MATCH(Expenditures[[#This Row],[Jurisdiction]],Places[Jurisdiction],0))</f>
        <v>Los Angeles</v>
      </c>
      <c r="E86" s="19">
        <f>INDEX(Places[Majority RB '#],MATCH(Expenditures[[#This Row],[Jurisdiction]],Places[Jurisdiction],0))</f>
        <v>4</v>
      </c>
      <c r="F86" s="19" t="str">
        <f>VLOOKUP(Expenditures[[#This Row],[Jurisdiction]],Places[#All],8,FALSE)</f>
        <v>Phase I MS4</v>
      </c>
      <c r="G86" s="19"/>
      <c r="H86" s="100" t="s">
        <v>1870</v>
      </c>
      <c r="I86" s="21">
        <f>VALUE(LEFT(Expenditures[[#This Row],[Fiscal Year]],4))</f>
        <v>2011</v>
      </c>
      <c r="J86" s="20">
        <v>1317115</v>
      </c>
      <c r="K86" s="20">
        <f>IF(Expenditures[[#This Row],[Reference Year]]&gt;2018,Expenditures[[#This Row],[Value]],Expenditures[[#This Row],[Value]]*(1+VLOOKUP(Expenditures[[#This Row],[Reference Year]],Inflation[#All],3,FALSE)))</f>
        <v>1473663.6930413519</v>
      </c>
      <c r="L86" s="105">
        <f>VALUE(Expenditures[[#This Row],[2018 $ Value]]/VLOOKUP(Expenditures[[#This Row],[Jurisdiction]],Places[],6,FALSE))</f>
        <v>15.252633522478982</v>
      </c>
      <c r="M86" s="105">
        <f>VALUE(Expenditures[[#This Row],[2018 $ Value]]/VLOOKUP(Expenditures[[#This Row],[Jurisdiction]],Places[],7,FALSE))</f>
        <v>147366.36930413518</v>
      </c>
      <c r="N86" s="20" t="s">
        <v>1460</v>
      </c>
      <c r="O86" s="20" t="s">
        <v>1460</v>
      </c>
    </row>
    <row r="87" spans="1:15" x14ac:dyDescent="0.25">
      <c r="A87" s="19" t="s">
        <v>150</v>
      </c>
      <c r="B87" s="19" t="str">
        <f>INDEX(Places[Type],MATCH(Expenditures[[#This Row],[Jurisdiction]],Places[Jurisdiction],0))</f>
        <v>City</v>
      </c>
      <c r="C87" s="19" t="str">
        <f>INDEX(Places[County],MATCH(Expenditures[[#This Row],[Jurisdiction]],Places[Jurisdiction],0))</f>
        <v>Los Angeles</v>
      </c>
      <c r="D87" s="19" t="str">
        <f>INDEX(Places[Majority RB],MATCH(Expenditures[[#This Row],[Jurisdiction]],Places[Jurisdiction],0))</f>
        <v>Los Angeles</v>
      </c>
      <c r="E87" s="19">
        <f>INDEX(Places[Majority RB '#],MATCH(Expenditures[[#This Row],[Jurisdiction]],Places[Jurisdiction],0))</f>
        <v>4</v>
      </c>
      <c r="F87" s="19" t="str">
        <f>VLOOKUP(Expenditures[[#This Row],[Jurisdiction]],Places[#All],8,FALSE)</f>
        <v>Phase I MS4</v>
      </c>
      <c r="G87" s="19"/>
      <c r="H87" s="100" t="s">
        <v>1873</v>
      </c>
      <c r="I87" s="21">
        <f>VALUE(LEFT(Expenditures[[#This Row],[Fiscal Year]],4))</f>
        <v>2015</v>
      </c>
      <c r="J87" s="20">
        <v>463000</v>
      </c>
      <c r="K87" s="20">
        <f>IF(Expenditures[[#This Row],[Reference Year]]&gt;2018,Expenditures[[#This Row],[Value]],Expenditures[[#This Row],[Value]]*(1+VLOOKUP(Expenditures[[#This Row],[Reference Year]],Inflation[#All],3,FALSE)))</f>
        <v>491582.92405063286</v>
      </c>
      <c r="L87" s="105">
        <f>VALUE(Expenditures[[#This Row],[2018 $ Value]]/VLOOKUP(Expenditures[[#This Row],[Jurisdiction]],Places[],6,FALSE))</f>
        <v>5.0879547496882829</v>
      </c>
      <c r="M87" s="105">
        <f>VALUE(Expenditures[[#This Row],[2018 $ Value]]/VLOOKUP(Expenditures[[#This Row],[Jurisdiction]],Places[],7,FALSE))</f>
        <v>49158.292405063286</v>
      </c>
      <c r="N87" s="20" t="s">
        <v>1853</v>
      </c>
      <c r="O87" s="20" t="s">
        <v>1853</v>
      </c>
    </row>
    <row r="88" spans="1:15" x14ac:dyDescent="0.25">
      <c r="A88" s="19" t="s">
        <v>230</v>
      </c>
      <c r="B88" s="19" t="str">
        <f>INDEX(Places[Type],MATCH(Expenditures[[#This Row],[Jurisdiction]],Places[Jurisdiction],0))</f>
        <v>City</v>
      </c>
      <c r="C88" s="19" t="str">
        <f>INDEX(Places[County],MATCH(Expenditures[[#This Row],[Jurisdiction]],Places[Jurisdiction],0))</f>
        <v>Riverside</v>
      </c>
      <c r="D88" s="19" t="str">
        <f>INDEX(Places[Majority RB],MATCH(Expenditures[[#This Row],[Jurisdiction]],Places[Jurisdiction],0))</f>
        <v>Santa Ana</v>
      </c>
      <c r="E88" s="19">
        <f>INDEX(Places[Majority RB '#],MATCH(Expenditures[[#This Row],[Jurisdiction]],Places[Jurisdiction],0))</f>
        <v>8</v>
      </c>
      <c r="F88" s="19" t="str">
        <f>VLOOKUP(Expenditures[[#This Row],[Jurisdiction]],Places[#All],8,FALSE)</f>
        <v>Phase I MS4</v>
      </c>
      <c r="G88" s="19"/>
      <c r="H88" s="21" t="s">
        <v>1869</v>
      </c>
      <c r="I88" s="21">
        <f>VALUE(LEFT(Expenditures[[#This Row],[Fiscal Year]],4))</f>
        <v>2016</v>
      </c>
      <c r="J88" s="20">
        <v>1567499</v>
      </c>
      <c r="K88" s="20">
        <f>IF(Expenditures[[#This Row],[Reference Year]]&gt;2018,Expenditures[[#This Row],[Value]],Expenditures[[#This Row],[Value]]*(1+VLOOKUP(Expenditures[[#This Row],[Reference Year]],Inflation[#All],3,FALSE)))</f>
        <v>1643463.9202875001</v>
      </c>
      <c r="L88" s="105">
        <f>VALUE(Expenditures[[#This Row],[2018 $ Value]]/VLOOKUP(Expenditures[[#This Row],[Jurisdiction]],Places[],6,FALSE))</f>
        <v>9.7350648936879143</v>
      </c>
      <c r="M88" s="105">
        <f>VALUE(Expenditures[[#This Row],[2018 $ Value]]/VLOOKUP(Expenditures[[#This Row],[Jurisdiction]],Places[],7,FALSE))</f>
        <v>41606.681526265827</v>
      </c>
      <c r="N88" s="20" t="s">
        <v>1460</v>
      </c>
      <c r="O88" s="20" t="s">
        <v>1853</v>
      </c>
    </row>
    <row r="89" spans="1:15" x14ac:dyDescent="0.25">
      <c r="A89" s="19" t="s">
        <v>311</v>
      </c>
      <c r="B89" s="19" t="str">
        <f>INDEX(Places[Type],MATCH(Expenditures[[#This Row],[Jurisdiction]],Places[Jurisdiction],0))</f>
        <v>City</v>
      </c>
      <c r="C89" s="19" t="str">
        <f>INDEX(Places[County],MATCH(Expenditures[[#This Row],[Jurisdiction]],Places[Jurisdiction],0))</f>
        <v>San Diego</v>
      </c>
      <c r="D89" s="19" t="str">
        <f>INDEX(Places[Majority RB],MATCH(Expenditures[[#This Row],[Jurisdiction]],Places[Jurisdiction],0))</f>
        <v>San Diego</v>
      </c>
      <c r="E89" s="19">
        <f>INDEX(Places[Majority RB '#],MATCH(Expenditures[[#This Row],[Jurisdiction]],Places[Jurisdiction],0))</f>
        <v>9</v>
      </c>
      <c r="F89" s="19" t="str">
        <f>VLOOKUP(Expenditures[[#This Row],[Jurisdiction]],Places[#All],8,FALSE)</f>
        <v>Phase I MS4</v>
      </c>
      <c r="G89" s="19"/>
      <c r="H89" s="19" t="s">
        <v>1873</v>
      </c>
      <c r="I89" s="21">
        <f>VALUE(LEFT(Expenditures[[#This Row],[Fiscal Year]],4))</f>
        <v>2015</v>
      </c>
      <c r="J89" s="20">
        <v>1079696</v>
      </c>
      <c r="K89" s="20">
        <f>IF(Expenditures[[#This Row],[Reference Year]]&gt;2018,Expenditures[[#This Row],[Value]],Expenditures[[#This Row],[Value]]*(1+VLOOKUP(Expenditures[[#This Row],[Reference Year]],Inflation[#All],3,FALSE)))</f>
        <v>1146350.1442025315</v>
      </c>
      <c r="L89" s="105">
        <f>VALUE(Expenditures[[#This Row],[2018 $ Value]]/VLOOKUP(Expenditures[[#This Row],[Jurisdiction]],Places[],6,FALSE))</f>
        <v>53.592807115592876</v>
      </c>
      <c r="M89" s="105">
        <f>VALUE(Expenditures[[#This Row],[2018 $ Value]]/VLOOKUP(Expenditures[[#This Row],[Jurisdiction]],Places[],7,FALSE))</f>
        <v>145107.61319019386</v>
      </c>
      <c r="N89" s="20" t="s">
        <v>1460</v>
      </c>
      <c r="O89" s="20" t="s">
        <v>1460</v>
      </c>
    </row>
    <row r="90" spans="1:15" x14ac:dyDescent="0.25">
      <c r="A90" s="19" t="s">
        <v>311</v>
      </c>
      <c r="B90" s="19" t="str">
        <f>INDEX(Places[Type],MATCH(Expenditures[[#This Row],[Jurisdiction]],Places[Jurisdiction],0))</f>
        <v>City</v>
      </c>
      <c r="C90" s="19" t="str">
        <f>INDEX(Places[County],MATCH(Expenditures[[#This Row],[Jurisdiction]],Places[Jurisdiction],0))</f>
        <v>San Diego</v>
      </c>
      <c r="D90" s="19" t="str">
        <f>INDEX(Places[Majority RB],MATCH(Expenditures[[#This Row],[Jurisdiction]],Places[Jurisdiction],0))</f>
        <v>San Diego</v>
      </c>
      <c r="E90" s="19">
        <f>INDEX(Places[Majority RB '#],MATCH(Expenditures[[#This Row],[Jurisdiction]],Places[Jurisdiction],0))</f>
        <v>9</v>
      </c>
      <c r="F90" s="19" t="str">
        <f>VLOOKUP(Expenditures[[#This Row],[Jurisdiction]],Places[#All],8,FALSE)</f>
        <v>Phase I MS4</v>
      </c>
      <c r="G90" s="19"/>
      <c r="H90" s="19" t="s">
        <v>1869</v>
      </c>
      <c r="I90" s="21">
        <f>VALUE(LEFT(Expenditures[[#This Row],[Fiscal Year]],4))</f>
        <v>2016</v>
      </c>
      <c r="J90" s="20">
        <v>1733915.05</v>
      </c>
      <c r="K90" s="20">
        <f>IF(Expenditures[[#This Row],[Reference Year]]&gt;2018,Expenditures[[#This Row],[Value]],Expenditures[[#This Row],[Value]]*(1+VLOOKUP(Expenditures[[#This Row],[Reference Year]],Inflation[#All],3,FALSE)))</f>
        <v>1817944.9081106251</v>
      </c>
      <c r="L90" s="105">
        <f>VALUE(Expenditures[[#This Row],[2018 $ Value]]/VLOOKUP(Expenditures[[#This Row],[Jurisdiction]],Places[],6,FALSE))</f>
        <v>84.99041178637799</v>
      </c>
      <c r="M90" s="105">
        <f>VALUE(Expenditures[[#This Row],[2018 $ Value]]/VLOOKUP(Expenditures[[#This Row],[Jurisdiction]],Places[],7,FALSE))</f>
        <v>230119.6086215981</v>
      </c>
      <c r="N90" s="20" t="s">
        <v>1460</v>
      </c>
      <c r="O90" s="20" t="s">
        <v>1460</v>
      </c>
    </row>
    <row r="91" spans="1:15" x14ac:dyDescent="0.25">
      <c r="A91" s="19" t="s">
        <v>311</v>
      </c>
      <c r="B91" s="19" t="str">
        <f>INDEX(Places[Type],MATCH(Expenditures[[#This Row],[Jurisdiction]],Places[Jurisdiction],0))</f>
        <v>City</v>
      </c>
      <c r="C91" s="19" t="str">
        <f>INDEX(Places[County],MATCH(Expenditures[[#This Row],[Jurisdiction]],Places[Jurisdiction],0))</f>
        <v>San Diego</v>
      </c>
      <c r="D91" s="19" t="str">
        <f>INDEX(Places[Majority RB],MATCH(Expenditures[[#This Row],[Jurisdiction]],Places[Jurisdiction],0))</f>
        <v>San Diego</v>
      </c>
      <c r="E91" s="19">
        <f>INDEX(Places[Majority RB '#],MATCH(Expenditures[[#This Row],[Jurisdiction]],Places[Jurisdiction],0))</f>
        <v>9</v>
      </c>
      <c r="F91" s="19" t="str">
        <f>VLOOKUP(Expenditures[[#This Row],[Jurisdiction]],Places[#All],8,FALSE)</f>
        <v>Phase I MS4</v>
      </c>
      <c r="G91" s="19"/>
      <c r="H91" s="19" t="s">
        <v>1874</v>
      </c>
      <c r="I91" s="21">
        <f>VALUE(LEFT(Expenditures[[#This Row],[Fiscal Year]],4))</f>
        <v>2017</v>
      </c>
      <c r="J91" s="20">
        <v>1092964</v>
      </c>
      <c r="K91" s="20">
        <f>IF(Expenditures[[#This Row],[Reference Year]]&gt;2018,Expenditures[[#This Row],[Value]],Expenditures[[#This Row],[Value]]*(1+VLOOKUP(Expenditures[[#This Row],[Reference Year]],Inflation[#All],3,FALSE)))</f>
        <v>1122087.410379437</v>
      </c>
      <c r="L91" s="105">
        <f>VALUE(Expenditures[[#This Row],[2018 $ Value]]/VLOOKUP(Expenditures[[#This Row],[Jurisdiction]],Places[],6,FALSE))</f>
        <v>52.458504459066717</v>
      </c>
      <c r="M91" s="105">
        <f>VALUE(Expenditures[[#This Row],[2018 $ Value]]/VLOOKUP(Expenditures[[#This Row],[Jurisdiction]],Places[],7,FALSE))</f>
        <v>142036.38106068823</v>
      </c>
      <c r="N91" s="20" t="s">
        <v>1853</v>
      </c>
      <c r="O91" s="20" t="s">
        <v>1853</v>
      </c>
    </row>
    <row r="92" spans="1:15" x14ac:dyDescent="0.25">
      <c r="A92" s="19" t="s">
        <v>268</v>
      </c>
      <c r="B92" s="19" t="str">
        <f>INDEX(Places[Type],MATCH(Expenditures[[#This Row],[Jurisdiction]],Places[Jurisdiction],0))</f>
        <v>City</v>
      </c>
      <c r="C92" s="19" t="str">
        <f>INDEX(Places[County],MATCH(Expenditures[[#This Row],[Jurisdiction]],Places[Jurisdiction],0))</f>
        <v>Orange</v>
      </c>
      <c r="D92" s="19" t="str">
        <f>INDEX(Places[Majority RB],MATCH(Expenditures[[#This Row],[Jurisdiction]],Places[Jurisdiction],0))</f>
        <v>Santa Ana</v>
      </c>
      <c r="E92" s="19">
        <f>INDEX(Places[Majority RB '#],MATCH(Expenditures[[#This Row],[Jurisdiction]],Places[Jurisdiction],0))</f>
        <v>8</v>
      </c>
      <c r="F92" s="19" t="str">
        <f>VLOOKUP(Expenditures[[#This Row],[Jurisdiction]],Places[#All],8,FALSE)</f>
        <v>Phase I MS4</v>
      </c>
      <c r="G92" s="19"/>
      <c r="H92" s="21" t="s">
        <v>1893</v>
      </c>
      <c r="I92" s="21">
        <f>VALUE(LEFT(Expenditures[[#This Row],[Fiscal Year]],4))</f>
        <v>2000</v>
      </c>
      <c r="J92" s="20">
        <v>1057340</v>
      </c>
      <c r="K92" s="20">
        <f>IF(Expenditures[[#This Row],[Reference Year]]&gt;2018,Expenditures[[#This Row],[Value]],Expenditures[[#This Row],[Value]]*(1+VLOOKUP(Expenditures[[#This Row],[Reference Year]],Inflation[#All],3,FALSE)))</f>
        <v>1545061.1006968643</v>
      </c>
      <c r="L92" s="105">
        <f>VALUE(Expenditures[[#This Row],[2018 $ Value]]/VLOOKUP(Expenditures[[#This Row],[Jurisdiction]],Places[],6,FALSE))</f>
        <v>13.599094315863788</v>
      </c>
      <c r="M92" s="105">
        <f>VALUE(Expenditures[[#This Row],[2018 $ Value]]/VLOOKUP(Expenditures[[#This Row],[Jurisdiction]],Places[],7,FALSE))</f>
        <v>98411.535076233398</v>
      </c>
      <c r="N92" s="20" t="s">
        <v>1460</v>
      </c>
      <c r="O92" s="20" t="s">
        <v>1853</v>
      </c>
    </row>
    <row r="93" spans="1:15" x14ac:dyDescent="0.25">
      <c r="A93" s="19" t="s">
        <v>201</v>
      </c>
      <c r="B93" s="19" t="str">
        <f>INDEX(Places[Type],MATCH(Expenditures[[#This Row],[Jurisdiction]],Places[Jurisdiction],0))</f>
        <v>City</v>
      </c>
      <c r="C93" s="19" t="str">
        <f>INDEX(Places[County],MATCH(Expenditures[[#This Row],[Jurisdiction]],Places[Jurisdiction],0))</f>
        <v>Los Angeles</v>
      </c>
      <c r="D93" s="19" t="str">
        <f>INDEX(Places[Majority RB],MATCH(Expenditures[[#This Row],[Jurisdiction]],Places[Jurisdiction],0))</f>
        <v>Los Angeles</v>
      </c>
      <c r="E93" s="19">
        <f>INDEX(Places[Majority RB '#],MATCH(Expenditures[[#This Row],[Jurisdiction]],Places[Jurisdiction],0))</f>
        <v>4</v>
      </c>
      <c r="F93" s="19" t="str">
        <f>VLOOKUP(Expenditures[[#This Row],[Jurisdiction]],Places[#All],8,FALSE)</f>
        <v>Phase I MS4</v>
      </c>
      <c r="G93" s="19"/>
      <c r="H93" s="21" t="s">
        <v>1870</v>
      </c>
      <c r="I93" s="21">
        <f>VALUE(LEFT(Expenditures[[#This Row],[Fiscal Year]],4))</f>
        <v>2011</v>
      </c>
      <c r="J93" s="20">
        <v>2584375</v>
      </c>
      <c r="K93" s="20">
        <f>IF(Expenditures[[#This Row],[Reference Year]]&gt;2018,Expenditures[[#This Row],[Value]],Expenditures[[#This Row],[Value]]*(1+VLOOKUP(Expenditures[[#This Row],[Reference Year]],Inflation[#All],3,FALSE)))</f>
        <v>2891546.7568919519</v>
      </c>
      <c r="L93" s="105">
        <f>VALUE(Expenditures[[#This Row],[2018 $ Value]]/VLOOKUP(Expenditures[[#This Row],[Jurisdiction]],Places[],6,FALSE))</f>
        <v>60.287028686528195</v>
      </c>
      <c r="M93" s="105">
        <f>VALUE(Expenditures[[#This Row],[2018 $ Value]]/VLOOKUP(Expenditures[[#This Row],[Jurisdiction]],Places[],7,FALSE))</f>
        <v>413078.1081274217</v>
      </c>
      <c r="N93" s="20" t="s">
        <v>1460</v>
      </c>
      <c r="O93" s="20" t="s">
        <v>1460</v>
      </c>
    </row>
    <row r="94" spans="1:15" x14ac:dyDescent="0.25">
      <c r="A94" s="19" t="s">
        <v>201</v>
      </c>
      <c r="B94" s="19" t="str">
        <f>INDEX(Places[Type],MATCH(Expenditures[[#This Row],[Jurisdiction]],Places[Jurisdiction],0))</f>
        <v>City</v>
      </c>
      <c r="C94" s="19" t="str">
        <f>INDEX(Places[County],MATCH(Expenditures[[#This Row],[Jurisdiction]],Places[Jurisdiction],0))</f>
        <v>Los Angeles</v>
      </c>
      <c r="D94" s="19" t="str">
        <f>INDEX(Places[Majority RB],MATCH(Expenditures[[#This Row],[Jurisdiction]],Places[Jurisdiction],0))</f>
        <v>Los Angeles</v>
      </c>
      <c r="E94" s="19">
        <f>INDEX(Places[Majority RB '#],MATCH(Expenditures[[#This Row],[Jurisdiction]],Places[Jurisdiction],0))</f>
        <v>4</v>
      </c>
      <c r="F94" s="19" t="str">
        <f>VLOOKUP(Expenditures[[#This Row],[Jurisdiction]],Places[#All],8,FALSE)</f>
        <v>Phase I MS4</v>
      </c>
      <c r="G94" s="19"/>
      <c r="H94" s="21" t="s">
        <v>1873</v>
      </c>
      <c r="I94" s="21">
        <f>VALUE(LEFT(Expenditures[[#This Row],[Fiscal Year]],4))</f>
        <v>2015</v>
      </c>
      <c r="J94" s="20">
        <v>741131</v>
      </c>
      <c r="K94" s="20">
        <f>IF(Expenditures[[#This Row],[Reference Year]]&gt;2018,Expenditures[[#This Row],[Value]],Expenditures[[#This Row],[Value]]*(1+VLOOKUP(Expenditures[[#This Row],[Reference Year]],Inflation[#All],3,FALSE)))</f>
        <v>786884.11249367089</v>
      </c>
      <c r="L94" s="105">
        <f>VALUE(Expenditures[[#This Row],[2018 $ Value]]/VLOOKUP(Expenditures[[#This Row],[Jurisdiction]],Places[],6,FALSE))</f>
        <v>16.406065352327229</v>
      </c>
      <c r="M94" s="105">
        <f>VALUE(Expenditures[[#This Row],[2018 $ Value]]/VLOOKUP(Expenditures[[#This Row],[Jurisdiction]],Places[],7,FALSE))</f>
        <v>112412.01607052442</v>
      </c>
      <c r="N94" s="20" t="s">
        <v>1853</v>
      </c>
      <c r="O94" s="20" t="s">
        <v>1853</v>
      </c>
    </row>
    <row r="95" spans="1:15" x14ac:dyDescent="0.25">
      <c r="A95" s="19" t="s">
        <v>430</v>
      </c>
      <c r="B95" s="19" t="str">
        <f>INDEX(Places[Type],MATCH(Expenditures[[#This Row],[Jurisdiction]],Places[Jurisdiction],0))</f>
        <v>City</v>
      </c>
      <c r="C95" s="19" t="str">
        <f>INDEX(Places[County],MATCH(Expenditures[[#This Row],[Jurisdiction]],Places[Jurisdiction],0))</f>
        <v>Los Angeles</v>
      </c>
      <c r="D95" s="19" t="str">
        <f>INDEX(Places[Majority RB],MATCH(Expenditures[[#This Row],[Jurisdiction]],Places[Jurisdiction],0))</f>
        <v>Los Angeles</v>
      </c>
      <c r="E95" s="19">
        <f>INDEX(Places[Majority RB '#],MATCH(Expenditures[[#This Row],[Jurisdiction]],Places[Jurisdiction],0))</f>
        <v>4</v>
      </c>
      <c r="F95" s="19" t="str">
        <f>VLOOKUP(Expenditures[[#This Row],[Jurisdiction]],Places[#All],8,FALSE)</f>
        <v>Phase I MS4</v>
      </c>
      <c r="G95" s="19"/>
      <c r="H95" s="100" t="s">
        <v>1870</v>
      </c>
      <c r="I95" s="21">
        <f>VALUE(LEFT(Expenditures[[#This Row],[Fiscal Year]],4))</f>
        <v>2011</v>
      </c>
      <c r="J95" s="20">
        <v>11809000</v>
      </c>
      <c r="K95" s="20">
        <f>IF(Expenditures[[#This Row],[Reference Year]]&gt;2018,Expenditures[[#This Row],[Value]],Expenditures[[#This Row],[Value]]*(1+VLOOKUP(Expenditures[[#This Row],[Reference Year]],Inflation[#All],3,FALSE)))</f>
        <v>13212585.500222322</v>
      </c>
      <c r="L95" s="105">
        <f>VALUE(Expenditures[[#This Row],[2018 $ Value]]/VLOOKUP(Expenditures[[#This Row],[Jurisdiction]],Places[],6,FALSE))</f>
        <v>336.93541847866379</v>
      </c>
      <c r="M95" s="105">
        <f>VALUE(Expenditures[[#This Row],[2018 $ Value]]/VLOOKUP(Expenditures[[#This Row],[Jurisdiction]],Places[],7,FALSE))</f>
        <v>2590703.0392592791</v>
      </c>
      <c r="N95" s="20" t="s">
        <v>1460</v>
      </c>
      <c r="O95" s="20" t="s">
        <v>1460</v>
      </c>
    </row>
    <row r="96" spans="1:15" x14ac:dyDescent="0.25">
      <c r="A96" s="19" t="s">
        <v>430</v>
      </c>
      <c r="B96" s="19" t="str">
        <f>INDEX(Places[Type],MATCH(Expenditures[[#This Row],[Jurisdiction]],Places[Jurisdiction],0))</f>
        <v>City</v>
      </c>
      <c r="C96" s="19" t="str">
        <f>INDEX(Places[County],MATCH(Expenditures[[#This Row],[Jurisdiction]],Places[Jurisdiction],0))</f>
        <v>Los Angeles</v>
      </c>
      <c r="D96" s="19" t="str">
        <f>INDEX(Places[Majority RB],MATCH(Expenditures[[#This Row],[Jurisdiction]],Places[Jurisdiction],0))</f>
        <v>Los Angeles</v>
      </c>
      <c r="E96" s="19">
        <f>INDEX(Places[Majority RB '#],MATCH(Expenditures[[#This Row],[Jurisdiction]],Places[Jurisdiction],0))</f>
        <v>4</v>
      </c>
      <c r="F96" s="19" t="str">
        <f>VLOOKUP(Expenditures[[#This Row],[Jurisdiction]],Places[#All],8,FALSE)</f>
        <v>Phase I MS4</v>
      </c>
      <c r="G96" s="19"/>
      <c r="H96" s="100" t="s">
        <v>1873</v>
      </c>
      <c r="I96" s="21">
        <f>VALUE(LEFT(Expenditures[[#This Row],[Fiscal Year]],4))</f>
        <v>2015</v>
      </c>
      <c r="J96" s="20">
        <v>915611</v>
      </c>
      <c r="K96" s="20">
        <f>IF(Expenditures[[#This Row],[Reference Year]]&gt;2018,Expenditures[[#This Row],[Value]],Expenditures[[#This Row],[Value]]*(1+VLOOKUP(Expenditures[[#This Row],[Reference Year]],Inflation[#All],3,FALSE)))</f>
        <v>972135.49173417711</v>
      </c>
      <c r="L96" s="105">
        <f>VALUE(Expenditures[[#This Row],[2018 $ Value]]/VLOOKUP(Expenditures[[#This Row],[Jurisdiction]],Places[],6,FALSE))</f>
        <v>24.790521031625875</v>
      </c>
      <c r="M96" s="105">
        <f>VALUE(Expenditures[[#This Row],[2018 $ Value]]/VLOOKUP(Expenditures[[#This Row],[Jurisdiction]],Places[],7,FALSE))</f>
        <v>190614.80230081905</v>
      </c>
      <c r="N96" s="20" t="s">
        <v>1853</v>
      </c>
      <c r="O96" s="20" t="s">
        <v>1853</v>
      </c>
    </row>
    <row r="97" spans="1:15" x14ac:dyDescent="0.25">
      <c r="A97" s="19" t="s">
        <v>269</v>
      </c>
      <c r="B97" s="19" t="str">
        <f>INDEX(Places[Type],MATCH(Expenditures[[#This Row],[Jurisdiction]],Places[Jurisdiction],0))</f>
        <v>City</v>
      </c>
      <c r="C97" s="19" t="str">
        <f>INDEX(Places[County],MATCH(Expenditures[[#This Row],[Jurisdiction]],Places[Jurisdiction],0))</f>
        <v>Orange</v>
      </c>
      <c r="D97" s="19" t="str">
        <f>INDEX(Places[Majority RB],MATCH(Expenditures[[#This Row],[Jurisdiction]],Places[Jurisdiction],0))</f>
        <v>Santa Ana</v>
      </c>
      <c r="E97" s="19">
        <f>INDEX(Places[Majority RB '#],MATCH(Expenditures[[#This Row],[Jurisdiction]],Places[Jurisdiction],0))</f>
        <v>8</v>
      </c>
      <c r="F97" s="19" t="str">
        <f>VLOOKUP(Expenditures[[#This Row],[Jurisdiction]],Places[#All],8,FALSE)</f>
        <v>Phase I MS4</v>
      </c>
      <c r="G97" s="19"/>
      <c r="H97" s="21" t="s">
        <v>1893</v>
      </c>
      <c r="I97" s="21">
        <f>VALUE(LEFT(Expenditures[[#This Row],[Fiscal Year]],4))</f>
        <v>2000</v>
      </c>
      <c r="J97" s="20">
        <v>415397</v>
      </c>
      <c r="K97" s="20">
        <f>IF(Expenditures[[#This Row],[Reference Year]]&gt;2018,Expenditures[[#This Row],[Value]],Expenditures[[#This Row],[Value]]*(1+VLOOKUP(Expenditures[[#This Row],[Reference Year]],Inflation[#All],3,FALSE)))</f>
        <v>607007.91235191643</v>
      </c>
      <c r="L97" s="105">
        <f>VALUE(Expenditures[[#This Row],[2018 $ Value]]/VLOOKUP(Expenditures[[#This Row],[Jurisdiction]],Places[],6,FALSE))</f>
        <v>12.398543901955072</v>
      </c>
      <c r="M97" s="105">
        <f>VALUE(Expenditures[[#This Row],[2018 $ Value]]/VLOOKUP(Expenditures[[#This Row],[Jurisdiction]],Places[],7,FALSE))</f>
        <v>91970.895810896429</v>
      </c>
      <c r="N97" s="20" t="s">
        <v>1460</v>
      </c>
      <c r="O97" s="20" t="s">
        <v>1460</v>
      </c>
    </row>
    <row r="98" spans="1:15" x14ac:dyDescent="0.25">
      <c r="A98" s="19" t="s">
        <v>269</v>
      </c>
      <c r="B98" s="19" t="str">
        <f>INDEX(Places[Type],MATCH(Expenditures[[#This Row],[Jurisdiction]],Places[Jurisdiction],0))</f>
        <v>City</v>
      </c>
      <c r="C98" s="19" t="str">
        <f>INDEX(Places[County],MATCH(Expenditures[[#This Row],[Jurisdiction]],Places[Jurisdiction],0))</f>
        <v>Orange</v>
      </c>
      <c r="D98" s="19" t="str">
        <f>INDEX(Places[Majority RB],MATCH(Expenditures[[#This Row],[Jurisdiction]],Places[Jurisdiction],0))</f>
        <v>Santa Ana</v>
      </c>
      <c r="E98" s="19">
        <f>INDEX(Places[Majority RB '#],MATCH(Expenditures[[#This Row],[Jurisdiction]],Places[Jurisdiction],0))</f>
        <v>8</v>
      </c>
      <c r="F98" s="19" t="str">
        <f>VLOOKUP(Expenditures[[#This Row],[Jurisdiction]],Places[#All],8,FALSE)</f>
        <v>Phase I MS4</v>
      </c>
      <c r="G98" s="19"/>
      <c r="H98" s="21" t="s">
        <v>1875</v>
      </c>
      <c r="I98" s="21">
        <f>VALUE(LEFT(Expenditures[[#This Row],[Fiscal Year]],4))</f>
        <v>2001</v>
      </c>
      <c r="J98" s="20">
        <v>546826</v>
      </c>
      <c r="K98" s="20">
        <f>IF(Expenditures[[#This Row],[Reference Year]]&gt;2018,Expenditures[[#This Row],[Value]],Expenditures[[#This Row],[Value]]*(1+VLOOKUP(Expenditures[[#This Row],[Reference Year]],Inflation[#All],3,FALSE)))</f>
        <v>776952.98252964427</v>
      </c>
      <c r="L98" s="105">
        <f>VALUE(Expenditures[[#This Row],[2018 $ Value]]/VLOOKUP(Expenditures[[#This Row],[Jurisdiction]],Places[],6,FALSE))</f>
        <v>15.869785990637777</v>
      </c>
      <c r="M98" s="105">
        <f>VALUE(Expenditures[[#This Row],[2018 $ Value]]/VLOOKUP(Expenditures[[#This Row],[Jurisdiction]],Places[],7,FALSE))</f>
        <v>117720.14886812793</v>
      </c>
      <c r="N98" s="20" t="s">
        <v>1460</v>
      </c>
      <c r="O98" s="20" t="s">
        <v>1853</v>
      </c>
    </row>
    <row r="99" spans="1:15" x14ac:dyDescent="0.25">
      <c r="A99" s="19" t="s">
        <v>270</v>
      </c>
      <c r="B99" s="19" t="str">
        <f>INDEX(Places[Type],MATCH(Expenditures[[#This Row],[Jurisdiction]],Places[Jurisdiction],0))</f>
        <v>City</v>
      </c>
      <c r="C99" s="19" t="str">
        <f>INDEX(Places[County],MATCH(Expenditures[[#This Row],[Jurisdiction]],Places[Jurisdiction],0))</f>
        <v>Orange</v>
      </c>
      <c r="D99" s="19" t="str">
        <f>INDEX(Places[Majority RB],MATCH(Expenditures[[#This Row],[Jurisdiction]],Places[Jurisdiction],0))</f>
        <v>San Diego</v>
      </c>
      <c r="E99" s="19">
        <f>INDEX(Places[Majority RB '#],MATCH(Expenditures[[#This Row],[Jurisdiction]],Places[Jurisdiction],0))</f>
        <v>9</v>
      </c>
      <c r="F99" s="19" t="str">
        <f>VLOOKUP(Expenditures[[#This Row],[Jurisdiction]],Places[#All],8,FALSE)</f>
        <v>Phase I MS4</v>
      </c>
      <c r="G99" s="19"/>
      <c r="H99" s="21" t="s">
        <v>1893</v>
      </c>
      <c r="I99" s="21">
        <f>VALUE(LEFT(Expenditures[[#This Row],[Fiscal Year]],4))</f>
        <v>2000</v>
      </c>
      <c r="J99" s="20">
        <v>425616</v>
      </c>
      <c r="K99" s="20">
        <f>IF(Expenditures[[#This Row],[Reference Year]]&gt;2018,Expenditures[[#This Row],[Value]],Expenditures[[#This Row],[Value]]*(1+VLOOKUP(Expenditures[[#This Row],[Reference Year]],Inflation[#All],3,FALSE)))</f>
        <v>621940.64864111505</v>
      </c>
      <c r="L99" s="105">
        <f>VALUE(Expenditures[[#This Row],[2018 $ Value]]/VLOOKUP(Expenditures[[#This Row],[Jurisdiction]],Places[],6,FALSE))</f>
        <v>18.43879776582019</v>
      </c>
      <c r="M99" s="105">
        <f>VALUE(Expenditures[[#This Row],[2018 $ Value]]/VLOOKUP(Expenditures[[#This Row],[Jurisdiction]],Places[],7,FALSE))</f>
        <v>95683.176714017696</v>
      </c>
      <c r="N99" s="20" t="s">
        <v>1460</v>
      </c>
      <c r="O99" s="20" t="s">
        <v>1460</v>
      </c>
    </row>
    <row r="100" spans="1:15" x14ac:dyDescent="0.25">
      <c r="A100" s="19" t="s">
        <v>270</v>
      </c>
      <c r="B100" s="19" t="str">
        <f>INDEX(Places[Type],MATCH(Expenditures[[#This Row],[Jurisdiction]],Places[Jurisdiction],0))</f>
        <v>City</v>
      </c>
      <c r="C100" s="19" t="str">
        <f>INDEX(Places[County],MATCH(Expenditures[[#This Row],[Jurisdiction]],Places[Jurisdiction],0))</f>
        <v>Orange</v>
      </c>
      <c r="D100" s="19" t="str">
        <f>INDEX(Places[Majority RB],MATCH(Expenditures[[#This Row],[Jurisdiction]],Places[Jurisdiction],0))</f>
        <v>San Diego</v>
      </c>
      <c r="E100" s="19">
        <f>INDEX(Places[Majority RB '#],MATCH(Expenditures[[#This Row],[Jurisdiction]],Places[Jurisdiction],0))</f>
        <v>9</v>
      </c>
      <c r="F100" s="19" t="str">
        <f>VLOOKUP(Expenditures[[#This Row],[Jurisdiction]],Places[#All],8,FALSE)</f>
        <v>Phase I MS4</v>
      </c>
      <c r="G100" s="19"/>
      <c r="H100" s="21" t="s">
        <v>1875</v>
      </c>
      <c r="I100" s="21">
        <f>VALUE(LEFT(Expenditures[[#This Row],[Fiscal Year]],4))</f>
        <v>2001</v>
      </c>
      <c r="J100" s="20">
        <v>580058</v>
      </c>
      <c r="K100" s="20">
        <f>IF(Expenditures[[#This Row],[Reference Year]]&gt;2018,Expenditures[[#This Row],[Value]],Expenditures[[#This Row],[Value]]*(1+VLOOKUP(Expenditures[[#This Row],[Reference Year]],Inflation[#All],3,FALSE)))</f>
        <v>824170.38169395819</v>
      </c>
      <c r="L100" s="105">
        <f>VALUE(Expenditures[[#This Row],[2018 $ Value]]/VLOOKUP(Expenditures[[#This Row],[Jurisdiction]],Places[],6,FALSE))</f>
        <v>24.434342771833922</v>
      </c>
      <c r="M100" s="105">
        <f>VALUE(Expenditures[[#This Row],[2018 $ Value]]/VLOOKUP(Expenditures[[#This Row],[Jurisdiction]],Places[],7,FALSE))</f>
        <v>126795.44333753202</v>
      </c>
      <c r="N100" s="20" t="s">
        <v>1460</v>
      </c>
      <c r="O100" s="20" t="s">
        <v>1460</v>
      </c>
    </row>
    <row r="101" spans="1:15" x14ac:dyDescent="0.25">
      <c r="A101" s="19" t="s">
        <v>270</v>
      </c>
      <c r="B101" s="19" t="str">
        <f>INDEX(Places[Type],MATCH(Expenditures[[#This Row],[Jurisdiction]],Places[Jurisdiction],0))</f>
        <v>City</v>
      </c>
      <c r="C101" s="19" t="str">
        <f>INDEX(Places[County],MATCH(Expenditures[[#This Row],[Jurisdiction]],Places[Jurisdiction],0))</f>
        <v>Orange</v>
      </c>
      <c r="D101" s="19" t="str">
        <f>INDEX(Places[Majority RB],MATCH(Expenditures[[#This Row],[Jurisdiction]],Places[Jurisdiction],0))</f>
        <v>San Diego</v>
      </c>
      <c r="E101" s="19">
        <f>INDEX(Places[Majority RB '#],MATCH(Expenditures[[#This Row],[Jurisdiction]],Places[Jurisdiction],0))</f>
        <v>9</v>
      </c>
      <c r="F101" s="19" t="str">
        <f>VLOOKUP(Expenditures[[#This Row],[Jurisdiction]],Places[#All],8,FALSE)</f>
        <v>Phase I MS4</v>
      </c>
      <c r="G101" s="19"/>
      <c r="H101" s="21" t="s">
        <v>1880</v>
      </c>
      <c r="I101" s="21">
        <f>VALUE(LEFT(Expenditures[[#This Row],[Fiscal Year]],4))</f>
        <v>2013</v>
      </c>
      <c r="J101" s="20">
        <v>1764049</v>
      </c>
      <c r="K101" s="20">
        <f>IF(Expenditures[[#This Row],[Reference Year]]&gt;2018,Expenditures[[#This Row],[Value]],Expenditures[[#This Row],[Value]]*(1+VLOOKUP(Expenditures[[#This Row],[Reference Year]],Inflation[#All],3,FALSE)))</f>
        <v>1905104.7807682403</v>
      </c>
      <c r="L101" s="105">
        <f>VALUE(Expenditures[[#This Row],[2018 $ Value]]/VLOOKUP(Expenditures[[#This Row],[Jurisdiction]],Places[],6,FALSE))</f>
        <v>56.481019293455091</v>
      </c>
      <c r="M101" s="105">
        <f>VALUE(Expenditures[[#This Row],[2018 $ Value]]/VLOOKUP(Expenditures[[#This Row],[Jurisdiction]],Places[],7,FALSE))</f>
        <v>293093.04319511389</v>
      </c>
      <c r="N101" s="20" t="s">
        <v>1460</v>
      </c>
      <c r="O101" s="20" t="s">
        <v>1460</v>
      </c>
    </row>
    <row r="102" spans="1:15" x14ac:dyDescent="0.25">
      <c r="A102" s="19" t="s">
        <v>270</v>
      </c>
      <c r="B102" s="19" t="str">
        <f>INDEX(Places[Type],MATCH(Expenditures[[#This Row],[Jurisdiction]],Places[Jurisdiction],0))</f>
        <v>City</v>
      </c>
      <c r="C102" s="19" t="str">
        <f>INDEX(Places[County],MATCH(Expenditures[[#This Row],[Jurisdiction]],Places[Jurisdiction],0))</f>
        <v>Orange</v>
      </c>
      <c r="D102" s="19" t="str">
        <f>INDEX(Places[Majority RB],MATCH(Expenditures[[#This Row],[Jurisdiction]],Places[Jurisdiction],0))</f>
        <v>San Diego</v>
      </c>
      <c r="E102" s="19">
        <f>INDEX(Places[Majority RB '#],MATCH(Expenditures[[#This Row],[Jurisdiction]],Places[Jurisdiction],0))</f>
        <v>9</v>
      </c>
      <c r="F102" s="19" t="str">
        <f>VLOOKUP(Expenditures[[#This Row],[Jurisdiction]],Places[#All],8,FALSE)</f>
        <v>Phase I MS4</v>
      </c>
      <c r="G102" s="19"/>
      <c r="H102" s="21" t="s">
        <v>1881</v>
      </c>
      <c r="I102" s="21">
        <f>VALUE(LEFT(Expenditures[[#This Row],[Fiscal Year]],4))</f>
        <v>2014</v>
      </c>
      <c r="J102" s="20">
        <v>2011399</v>
      </c>
      <c r="K102" s="20">
        <f>IF(Expenditures[[#This Row],[Reference Year]]&gt;2018,Expenditures[[#This Row],[Value]],Expenditures[[#This Row],[Value]]*(1+VLOOKUP(Expenditures[[#This Row],[Reference Year]],Inflation[#All],3,FALSE)))</f>
        <v>2138277.7430038024</v>
      </c>
      <c r="L102" s="105">
        <f>VALUE(Expenditures[[#This Row],[2018 $ Value]]/VLOOKUP(Expenditures[[#This Row],[Jurisdiction]],Places[],6,FALSE))</f>
        <v>63.393944352321448</v>
      </c>
      <c r="M102" s="105">
        <f>VALUE(Expenditures[[#This Row],[2018 $ Value]]/VLOOKUP(Expenditures[[#This Row],[Jurisdiction]],Places[],7,FALSE))</f>
        <v>328965.80661596957</v>
      </c>
      <c r="N102" s="20" t="s">
        <v>1460</v>
      </c>
      <c r="O102" s="20" t="s">
        <v>1460</v>
      </c>
    </row>
    <row r="103" spans="1:15" x14ac:dyDescent="0.25">
      <c r="A103" s="19" t="s">
        <v>270</v>
      </c>
      <c r="B103" s="19" t="str">
        <f>INDEX(Places[Type],MATCH(Expenditures[[#This Row],[Jurisdiction]],Places[Jurisdiction],0))</f>
        <v>City</v>
      </c>
      <c r="C103" s="19" t="str">
        <f>INDEX(Places[County],MATCH(Expenditures[[#This Row],[Jurisdiction]],Places[Jurisdiction],0))</f>
        <v>Orange</v>
      </c>
      <c r="D103" s="19" t="str">
        <f>INDEX(Places[Majority RB],MATCH(Expenditures[[#This Row],[Jurisdiction]],Places[Jurisdiction],0))</f>
        <v>San Diego</v>
      </c>
      <c r="E103" s="19">
        <f>INDEX(Places[Majority RB '#],MATCH(Expenditures[[#This Row],[Jurisdiction]],Places[Jurisdiction],0))</f>
        <v>9</v>
      </c>
      <c r="F103" s="19" t="str">
        <f>VLOOKUP(Expenditures[[#This Row],[Jurisdiction]],Places[#All],8,FALSE)</f>
        <v>Phase I MS4</v>
      </c>
      <c r="G103" s="19"/>
      <c r="H103" s="21" t="s">
        <v>1873</v>
      </c>
      <c r="I103" s="21">
        <f>VALUE(LEFT(Expenditures[[#This Row],[Fiscal Year]],4))</f>
        <v>2015</v>
      </c>
      <c r="J103" s="104">
        <v>2009836</v>
      </c>
      <c r="K103" s="20">
        <f>IF(Expenditures[[#This Row],[Reference Year]]&gt;2018,Expenditures[[#This Row],[Value]],Expenditures[[#This Row],[Value]]*(1+VLOOKUP(Expenditures[[#This Row],[Reference Year]],Inflation[#All],3,FALSE)))</f>
        <v>2133911.5717974682</v>
      </c>
      <c r="L103" s="105">
        <f>VALUE(Expenditures[[#This Row],[2018 $ Value]]/VLOOKUP(Expenditures[[#This Row],[Jurisdiction]],Places[],6,FALSE))</f>
        <v>63.264499608581922</v>
      </c>
      <c r="M103" s="105">
        <f>VALUE(Expenditures[[#This Row],[2018 $ Value]]/VLOOKUP(Expenditures[[#This Row],[Jurisdiction]],Places[],7,FALSE))</f>
        <v>328294.08796884125</v>
      </c>
      <c r="N103" s="20" t="s">
        <v>1460</v>
      </c>
      <c r="O103" s="20" t="s">
        <v>1460</v>
      </c>
    </row>
    <row r="104" spans="1:15" x14ac:dyDescent="0.25">
      <c r="A104" s="19" t="s">
        <v>270</v>
      </c>
      <c r="B104" s="19" t="str">
        <f>INDEX(Places[Type],MATCH(Expenditures[[#This Row],[Jurisdiction]],Places[Jurisdiction],0))</f>
        <v>City</v>
      </c>
      <c r="C104" s="19" t="str">
        <f>INDEX(Places[County],MATCH(Expenditures[[#This Row],[Jurisdiction]],Places[Jurisdiction],0))</f>
        <v>Orange</v>
      </c>
      <c r="D104" s="19" t="str">
        <f>INDEX(Places[Majority RB],MATCH(Expenditures[[#This Row],[Jurisdiction]],Places[Jurisdiction],0))</f>
        <v>San Diego</v>
      </c>
      <c r="E104" s="19">
        <f>INDEX(Places[Majority RB '#],MATCH(Expenditures[[#This Row],[Jurisdiction]],Places[Jurisdiction],0))</f>
        <v>9</v>
      </c>
      <c r="F104" s="19" t="str">
        <f>VLOOKUP(Expenditures[[#This Row],[Jurisdiction]],Places[#All],8,FALSE)</f>
        <v>Phase I MS4</v>
      </c>
      <c r="G104" s="19"/>
      <c r="H104" s="21" t="s">
        <v>1869</v>
      </c>
      <c r="I104" s="21">
        <f>VALUE(LEFT(Expenditures[[#This Row],[Fiscal Year]],4))</f>
        <v>2016</v>
      </c>
      <c r="J104" s="20">
        <v>2048250</v>
      </c>
      <c r="K104" s="20">
        <f>IF(Expenditures[[#This Row],[Reference Year]]&gt;2018,Expenditures[[#This Row],[Value]],Expenditures[[#This Row],[Value]]*(1+VLOOKUP(Expenditures[[#This Row],[Reference Year]],Inflation[#All],3,FALSE)))</f>
        <v>2147513.3156250003</v>
      </c>
      <c r="L104" s="105">
        <f>VALUE(Expenditures[[#This Row],[2018 $ Value]]/VLOOKUP(Expenditures[[#This Row],[Jurisdiction]],Places[],6,FALSE))</f>
        <v>63.667753205603326</v>
      </c>
      <c r="M104" s="105">
        <f>VALUE(Expenditures[[#This Row],[2018 $ Value]]/VLOOKUP(Expenditures[[#This Row],[Jurisdiction]],Places[],7,FALSE))</f>
        <v>330386.66394230776</v>
      </c>
      <c r="N104" s="20" t="s">
        <v>1460</v>
      </c>
      <c r="O104" s="20" t="s">
        <v>1460</v>
      </c>
    </row>
    <row r="105" spans="1:15" x14ac:dyDescent="0.25">
      <c r="A105" s="19" t="s">
        <v>270</v>
      </c>
      <c r="B105" s="19" t="str">
        <f>INDEX(Places[Type],MATCH(Expenditures[[#This Row],[Jurisdiction]],Places[Jurisdiction],0))</f>
        <v>City</v>
      </c>
      <c r="C105" s="19" t="str">
        <f>INDEX(Places[County],MATCH(Expenditures[[#This Row],[Jurisdiction]],Places[Jurisdiction],0))</f>
        <v>Orange</v>
      </c>
      <c r="D105" s="19" t="str">
        <f>INDEX(Places[Majority RB],MATCH(Expenditures[[#This Row],[Jurisdiction]],Places[Jurisdiction],0))</f>
        <v>San Diego</v>
      </c>
      <c r="E105" s="19">
        <f>INDEX(Places[Majority RB '#],MATCH(Expenditures[[#This Row],[Jurisdiction]],Places[Jurisdiction],0))</f>
        <v>9</v>
      </c>
      <c r="F105" s="19" t="str">
        <f>VLOOKUP(Expenditures[[#This Row],[Jurisdiction]],Places[#All],8,FALSE)</f>
        <v>Phase I MS4</v>
      </c>
      <c r="G105" s="19"/>
      <c r="H105" s="21" t="s">
        <v>1874</v>
      </c>
      <c r="I105" s="21">
        <f>VALUE(LEFT(Expenditures[[#This Row],[Fiscal Year]],4))</f>
        <v>2017</v>
      </c>
      <c r="J105" s="20">
        <v>2084005</v>
      </c>
      <c r="K105" s="20">
        <f>IF(Expenditures[[#This Row],[Reference Year]]&gt;2018,Expenditures[[#This Row],[Value]],Expenditures[[#This Row],[Value]]*(1+VLOOKUP(Expenditures[[#This Row],[Reference Year]],Inflation[#All],3,FALSE)))</f>
        <v>2139535.9533047737</v>
      </c>
      <c r="L105" s="105">
        <f>VALUE(Expenditures[[#This Row],[2018 $ Value]]/VLOOKUP(Expenditures[[#This Row],[Jurisdiction]],Places[],6,FALSE))</f>
        <v>63.43124676266747</v>
      </c>
      <c r="M105" s="105">
        <f>VALUE(Expenditures[[#This Row],[2018 $ Value]]/VLOOKUP(Expenditures[[#This Row],[Jurisdiction]],Places[],7,FALSE))</f>
        <v>329159.37743150361</v>
      </c>
      <c r="N105" s="20" t="s">
        <v>1853</v>
      </c>
      <c r="O105" s="20" t="s">
        <v>1853</v>
      </c>
    </row>
    <row r="106" spans="1:15" x14ac:dyDescent="0.25">
      <c r="A106" s="19" t="s">
        <v>308</v>
      </c>
      <c r="B106" s="19" t="str">
        <f>INDEX(Places[Type],MATCH(Expenditures[[#This Row],[Jurisdiction]],Places[Jurisdiction],0))</f>
        <v>City</v>
      </c>
      <c r="C106" s="19" t="str">
        <f>INDEX(Places[County],MATCH(Expenditures[[#This Row],[Jurisdiction]],Places[Jurisdiction],0))</f>
        <v>San Diego</v>
      </c>
      <c r="D106" s="19" t="str">
        <f>INDEX(Places[Majority RB],MATCH(Expenditures[[#This Row],[Jurisdiction]],Places[Jurisdiction],0))</f>
        <v>San Diego</v>
      </c>
      <c r="E106" s="19">
        <f>INDEX(Places[Majority RB '#],MATCH(Expenditures[[#This Row],[Jurisdiction]],Places[Jurisdiction],0))</f>
        <v>9</v>
      </c>
      <c r="F106" s="19" t="str">
        <f>VLOOKUP(Expenditures[[#This Row],[Jurisdiction]],Places[#All],8,FALSE)</f>
        <v>Phase I MS4</v>
      </c>
      <c r="G106" s="19"/>
      <c r="H106" s="21" t="s">
        <v>1873</v>
      </c>
      <c r="I106" s="21">
        <f>VALUE(LEFT(Expenditures[[#This Row],[Fiscal Year]],4))</f>
        <v>2015</v>
      </c>
      <c r="J106" s="20">
        <v>550670</v>
      </c>
      <c r="K106" s="20">
        <f>IF(Expenditures[[#This Row],[Reference Year]]&gt;2018,Expenditures[[#This Row],[Value]],Expenditures[[#This Row],[Value]]*(1+VLOOKUP(Expenditures[[#This Row],[Reference Year]],Inflation[#All],3,FALSE)))</f>
        <v>584665.15936708858</v>
      </c>
      <c r="L106" s="105">
        <f>VALUE(Expenditures[[#This Row],[2018 $ Value]]/VLOOKUP(Expenditures[[#This Row],[Jurisdiction]],Places[],6,FALSE))</f>
        <v>134.49854137729207</v>
      </c>
      <c r="M106" s="105">
        <f>VALUE(Expenditures[[#This Row],[2018 $ Value]]/VLOOKUP(Expenditures[[#This Row],[Jurisdiction]],Places[],7,FALSE))</f>
        <v>343920.68198064034</v>
      </c>
      <c r="N106" s="20" t="s">
        <v>1460</v>
      </c>
      <c r="O106" s="20" t="s">
        <v>1460</v>
      </c>
    </row>
    <row r="107" spans="1:15" x14ac:dyDescent="0.25">
      <c r="A107" s="19" t="s">
        <v>308</v>
      </c>
      <c r="B107" s="19" t="str">
        <f>INDEX(Places[Type],MATCH(Expenditures[[#This Row],[Jurisdiction]],Places[Jurisdiction],0))</f>
        <v>City</v>
      </c>
      <c r="C107" s="19" t="str">
        <f>INDEX(Places[County],MATCH(Expenditures[[#This Row],[Jurisdiction]],Places[Jurisdiction],0))</f>
        <v>San Diego</v>
      </c>
      <c r="D107" s="19" t="str">
        <f>INDEX(Places[Majority RB],MATCH(Expenditures[[#This Row],[Jurisdiction]],Places[Jurisdiction],0))</f>
        <v>San Diego</v>
      </c>
      <c r="E107" s="19">
        <f>INDEX(Places[Majority RB '#],MATCH(Expenditures[[#This Row],[Jurisdiction]],Places[Jurisdiction],0))</f>
        <v>9</v>
      </c>
      <c r="F107" s="19" t="str">
        <f>VLOOKUP(Expenditures[[#This Row],[Jurisdiction]],Places[#All],8,FALSE)</f>
        <v>Phase I MS4</v>
      </c>
      <c r="G107" s="19"/>
      <c r="H107" s="21" t="s">
        <v>1869</v>
      </c>
      <c r="I107" s="21">
        <f>VALUE(LEFT(Expenditures[[#This Row],[Fiscal Year]],4))</f>
        <v>2016</v>
      </c>
      <c r="J107" s="20">
        <v>573090</v>
      </c>
      <c r="K107" s="20">
        <f>IF(Expenditures[[#This Row],[Reference Year]]&gt;2018,Expenditures[[#This Row],[Value]],Expenditures[[#This Row],[Value]]*(1+VLOOKUP(Expenditures[[#This Row],[Reference Year]],Inflation[#All],3,FALSE)))</f>
        <v>600863.37412500009</v>
      </c>
      <c r="L107" s="105">
        <f>VALUE(Expenditures[[#This Row],[2018 $ Value]]/VLOOKUP(Expenditures[[#This Row],[Jurisdiction]],Places[],6,FALSE))</f>
        <v>138.22483876811597</v>
      </c>
      <c r="M107" s="105">
        <f>VALUE(Expenditures[[#This Row],[2018 $ Value]]/VLOOKUP(Expenditures[[#This Row],[Jurisdiction]],Places[],7,FALSE))</f>
        <v>353449.04360294127</v>
      </c>
      <c r="N107" s="20" t="s">
        <v>1460</v>
      </c>
      <c r="O107" s="20" t="s">
        <v>1460</v>
      </c>
    </row>
    <row r="108" spans="1:15" x14ac:dyDescent="0.25">
      <c r="A108" s="19" t="s">
        <v>308</v>
      </c>
      <c r="B108" s="19" t="str">
        <f>INDEX(Places[Type],MATCH(Expenditures[[#This Row],[Jurisdiction]],Places[Jurisdiction],0))</f>
        <v>City</v>
      </c>
      <c r="C108" s="19" t="str">
        <f>INDEX(Places[County],MATCH(Expenditures[[#This Row],[Jurisdiction]],Places[Jurisdiction],0))</f>
        <v>San Diego</v>
      </c>
      <c r="D108" s="19" t="str">
        <f>INDEX(Places[Majority RB],MATCH(Expenditures[[#This Row],[Jurisdiction]],Places[Jurisdiction],0))</f>
        <v>San Diego</v>
      </c>
      <c r="E108" s="19">
        <f>INDEX(Places[Majority RB '#],MATCH(Expenditures[[#This Row],[Jurisdiction]],Places[Jurisdiction],0))</f>
        <v>9</v>
      </c>
      <c r="F108" s="19" t="str">
        <f>VLOOKUP(Expenditures[[#This Row],[Jurisdiction]],Places[#All],8,FALSE)</f>
        <v>Phase I MS4</v>
      </c>
      <c r="G108" s="19"/>
      <c r="H108" s="21" t="s">
        <v>1874</v>
      </c>
      <c r="I108" s="21">
        <f>VALUE(LEFT(Expenditures[[#This Row],[Fiscal Year]],4))</f>
        <v>2017</v>
      </c>
      <c r="J108" s="20">
        <v>592211</v>
      </c>
      <c r="K108" s="20">
        <f>IF(Expenditures[[#This Row],[Reference Year]]&gt;2018,Expenditures[[#This Row],[Value]],Expenditures[[#This Row],[Value]]*(1+VLOOKUP(Expenditures[[#This Row],[Reference Year]],Inflation[#All],3,FALSE)))</f>
        <v>607991.21232558147</v>
      </c>
      <c r="L108" s="105">
        <f>VALUE(Expenditures[[#This Row],[2018 $ Value]]/VLOOKUP(Expenditures[[#This Row],[Jurisdiction]],Places[],6,FALSE))</f>
        <v>139.86455309997274</v>
      </c>
      <c r="M108" s="105">
        <f>VALUE(Expenditures[[#This Row],[2018 $ Value]]/VLOOKUP(Expenditures[[#This Row],[Jurisdiction]],Places[],7,FALSE))</f>
        <v>357641.8896032832</v>
      </c>
      <c r="N108" s="20" t="s">
        <v>1853</v>
      </c>
      <c r="O108" s="20" t="s">
        <v>1853</v>
      </c>
    </row>
    <row r="109" spans="1:15" x14ac:dyDescent="0.25">
      <c r="A109" s="19" t="s">
        <v>167</v>
      </c>
      <c r="B109" s="19" t="str">
        <f>INDEX(Places[Type],MATCH(Expenditures[[#This Row],[Jurisdiction]],Places[Jurisdiction],0))</f>
        <v>City</v>
      </c>
      <c r="C109" s="19" t="str">
        <f>INDEX(Places[County],MATCH(Expenditures[[#This Row],[Jurisdiction]],Places[Jurisdiction],0))</f>
        <v>Los Angeles</v>
      </c>
      <c r="D109" s="19" t="str">
        <f>INDEX(Places[Majority RB],MATCH(Expenditures[[#This Row],[Jurisdiction]],Places[Jurisdiction],0))</f>
        <v>Los Angeles</v>
      </c>
      <c r="E109" s="19">
        <f>INDEX(Places[Majority RB '#],MATCH(Expenditures[[#This Row],[Jurisdiction]],Places[Jurisdiction],0))</f>
        <v>4</v>
      </c>
      <c r="F109" s="19" t="str">
        <f>VLOOKUP(Expenditures[[#This Row],[Jurisdiction]],Places[#All],8,FALSE)</f>
        <v>Phase I MS4</v>
      </c>
      <c r="G109" s="19"/>
      <c r="H109" s="100" t="s">
        <v>1870</v>
      </c>
      <c r="I109" s="21">
        <f>VALUE(LEFT(Expenditures[[#This Row],[Fiscal Year]],4))</f>
        <v>2011</v>
      </c>
      <c r="J109" s="20">
        <v>561402</v>
      </c>
      <c r="K109" s="20">
        <f>IF(Expenditures[[#This Row],[Reference Year]]&gt;2018,Expenditures[[#This Row],[Value]],Expenditures[[#This Row],[Value]]*(1+VLOOKUP(Expenditures[[#This Row],[Reference Year]],Inflation[#All],3,FALSE)))</f>
        <v>628128.70903512673</v>
      </c>
      <c r="L109" s="105">
        <f>VALUE(Expenditures[[#This Row],[2018 $ Value]]/VLOOKUP(Expenditures[[#This Row],[Jurisdiction]],Places[],6,FALSE))</f>
        <v>11.161771817594433</v>
      </c>
      <c r="M109" s="105">
        <f>VALUE(Expenditures[[#This Row],[2018 $ Value]]/VLOOKUP(Expenditures[[#This Row],[Jurisdiction]],Places[],7,FALSE))</f>
        <v>42156.289196988371</v>
      </c>
      <c r="N109" s="20" t="s">
        <v>1460</v>
      </c>
      <c r="O109" s="20" t="s">
        <v>1460</v>
      </c>
    </row>
    <row r="110" spans="1:15" x14ac:dyDescent="0.25">
      <c r="A110" s="19" t="s">
        <v>167</v>
      </c>
      <c r="B110" s="19" t="str">
        <f>INDEX(Places[Type],MATCH(Expenditures[[#This Row],[Jurisdiction]],Places[Jurisdiction],0))</f>
        <v>City</v>
      </c>
      <c r="C110" s="19" t="str">
        <f>INDEX(Places[County],MATCH(Expenditures[[#This Row],[Jurisdiction]],Places[Jurisdiction],0))</f>
        <v>Los Angeles</v>
      </c>
      <c r="D110" s="19" t="str">
        <f>INDEX(Places[Majority RB],MATCH(Expenditures[[#This Row],[Jurisdiction]],Places[Jurisdiction],0))</f>
        <v>Los Angeles</v>
      </c>
      <c r="E110" s="19">
        <f>INDEX(Places[Majority RB '#],MATCH(Expenditures[[#This Row],[Jurisdiction]],Places[Jurisdiction],0))</f>
        <v>4</v>
      </c>
      <c r="F110" s="19" t="str">
        <f>VLOOKUP(Expenditures[[#This Row],[Jurisdiction]],Places[#All],8,FALSE)</f>
        <v>Phase I MS4</v>
      </c>
      <c r="G110" s="19"/>
      <c r="H110" s="100" t="s">
        <v>1873</v>
      </c>
      <c r="I110" s="21">
        <f>VALUE(LEFT(Expenditures[[#This Row],[Fiscal Year]],4))</f>
        <v>2015</v>
      </c>
      <c r="J110" s="20">
        <v>394000</v>
      </c>
      <c r="K110" s="20">
        <f>IF(Expenditures[[#This Row],[Reference Year]]&gt;2018,Expenditures[[#This Row],[Value]],Expenditures[[#This Row],[Value]]*(1+VLOOKUP(Expenditures[[#This Row],[Reference Year]],Inflation[#All],3,FALSE)))</f>
        <v>418323.2658227848</v>
      </c>
      <c r="L110" s="105">
        <f>VALUE(Expenditures[[#This Row],[2018 $ Value]]/VLOOKUP(Expenditures[[#This Row],[Jurisdiction]],Places[],6,FALSE))</f>
        <v>7.43355425717965</v>
      </c>
      <c r="M110" s="105">
        <f>VALUE(Expenditures[[#This Row],[2018 $ Value]]/VLOOKUP(Expenditures[[#This Row],[Jurisdiction]],Places[],7,FALSE))</f>
        <v>28075.386967972132</v>
      </c>
      <c r="N110" s="20" t="s">
        <v>1853</v>
      </c>
      <c r="O110" s="20" t="s">
        <v>1853</v>
      </c>
    </row>
    <row r="111" spans="1:15" x14ac:dyDescent="0.25">
      <c r="A111" s="19" t="s">
        <v>162</v>
      </c>
      <c r="B111" s="19" t="str">
        <f>INDEX(Places[Type],MATCH(Expenditures[[#This Row],[Jurisdiction]],Places[Jurisdiction],0))</f>
        <v>City</v>
      </c>
      <c r="C111" s="19" t="str">
        <f>INDEX(Places[County],MATCH(Expenditures[[#This Row],[Jurisdiction]],Places[Jurisdiction],0))</f>
        <v>Los Angeles</v>
      </c>
      <c r="D111" s="19" t="str">
        <f>INDEX(Places[Majority RB],MATCH(Expenditures[[#This Row],[Jurisdiction]],Places[Jurisdiction],0))</f>
        <v>Los Angeles</v>
      </c>
      <c r="E111" s="19">
        <f>INDEX(Places[Majority RB '#],MATCH(Expenditures[[#This Row],[Jurisdiction]],Places[Jurisdiction],0))</f>
        <v>4</v>
      </c>
      <c r="F111" s="19" t="str">
        <f>VLOOKUP(Expenditures[[#This Row],[Jurisdiction]],Places[#All],8,FALSE)</f>
        <v>Phase I MS4</v>
      </c>
      <c r="G111" s="19"/>
      <c r="H111" s="100" t="s">
        <v>1870</v>
      </c>
      <c r="I111" s="21">
        <f>VALUE(LEFT(Expenditures[[#This Row],[Fiscal Year]],4))</f>
        <v>2011</v>
      </c>
      <c r="J111" s="20">
        <v>1065783</v>
      </c>
      <c r="K111" s="20">
        <f>IF(Expenditures[[#This Row],[Reference Year]]&gt;2018,Expenditures[[#This Row],[Value]],Expenditures[[#This Row],[Value]]*(1+VLOOKUP(Expenditures[[#This Row],[Reference Year]],Inflation[#All],3,FALSE)))</f>
        <v>1192459.057683415</v>
      </c>
      <c r="L111" s="105">
        <f>VALUE(Expenditures[[#This Row],[2018 $ Value]]/VLOOKUP(Expenditures[[#This Row],[Jurisdiction]],Places[],6,FALSE))</f>
        <v>10.621445436259474</v>
      </c>
      <c r="M111" s="105">
        <f>VALUE(Expenditures[[#This Row],[2018 $ Value]]/VLOOKUP(Expenditures[[#This Row],[Jurisdiction]],Places[],7,FALSE))</f>
        <v>96166.053038985076</v>
      </c>
      <c r="N111" s="20" t="s">
        <v>1460</v>
      </c>
      <c r="O111" s="20" t="s">
        <v>1460</v>
      </c>
    </row>
    <row r="112" spans="1:15" x14ac:dyDescent="0.25">
      <c r="A112" s="19" t="s">
        <v>162</v>
      </c>
      <c r="B112" s="19" t="str">
        <f>INDEX(Places[Type],MATCH(Expenditures[[#This Row],[Jurisdiction]],Places[Jurisdiction],0))</f>
        <v>City</v>
      </c>
      <c r="C112" s="19" t="str">
        <f>INDEX(Places[County],MATCH(Expenditures[[#This Row],[Jurisdiction]],Places[Jurisdiction],0))</f>
        <v>Los Angeles</v>
      </c>
      <c r="D112" s="19" t="str">
        <f>INDEX(Places[Majority RB],MATCH(Expenditures[[#This Row],[Jurisdiction]],Places[Jurisdiction],0))</f>
        <v>Los Angeles</v>
      </c>
      <c r="E112" s="19">
        <f>INDEX(Places[Majority RB '#],MATCH(Expenditures[[#This Row],[Jurisdiction]],Places[Jurisdiction],0))</f>
        <v>4</v>
      </c>
      <c r="F112" s="19" t="str">
        <f>VLOOKUP(Expenditures[[#This Row],[Jurisdiction]],Places[#All],8,FALSE)</f>
        <v>Phase I MS4</v>
      </c>
      <c r="G112" s="19"/>
      <c r="H112" s="100" t="s">
        <v>1873</v>
      </c>
      <c r="I112" s="21">
        <f>VALUE(LEFT(Expenditures[[#This Row],[Fiscal Year]],4))</f>
        <v>2015</v>
      </c>
      <c r="J112" s="20">
        <v>1272735</v>
      </c>
      <c r="K112" s="20">
        <f>IF(Expenditures[[#This Row],[Reference Year]]&gt;2018,Expenditures[[#This Row],[Value]],Expenditures[[#This Row],[Value]]*(1+VLOOKUP(Expenditures[[#This Row],[Reference Year]],Inflation[#All],3,FALSE)))</f>
        <v>1351306.2480379746</v>
      </c>
      <c r="L112" s="105">
        <f>VALUE(Expenditures[[#This Row],[2018 $ Value]]/VLOOKUP(Expenditures[[#This Row],[Jurisdiction]],Places[],6,FALSE))</f>
        <v>12.036325682405424</v>
      </c>
      <c r="M112" s="105">
        <f>VALUE(Expenditures[[#This Row],[2018 $ Value]]/VLOOKUP(Expenditures[[#This Row],[Jurisdiction]],Places[],7,FALSE))</f>
        <v>108976.31032564311</v>
      </c>
      <c r="N112" s="20" t="s">
        <v>1853</v>
      </c>
      <c r="O112" s="20" t="s">
        <v>1853</v>
      </c>
    </row>
    <row r="113" spans="1:15" x14ac:dyDescent="0.25">
      <c r="A113" s="19" t="s">
        <v>182</v>
      </c>
      <c r="B113" s="19" t="str">
        <f>INDEX(Places[Type],MATCH(Expenditures[[#This Row],[Jurisdiction]],Places[Jurisdiction],0))</f>
        <v>City</v>
      </c>
      <c r="C113" s="19" t="str">
        <f>INDEX(Places[County],MATCH(Expenditures[[#This Row],[Jurisdiction]],Places[Jurisdiction],0))</f>
        <v>Los Angeles</v>
      </c>
      <c r="D113" s="19" t="str">
        <f>INDEX(Places[Majority RB],MATCH(Expenditures[[#This Row],[Jurisdiction]],Places[Jurisdiction],0))</f>
        <v>Los Angeles</v>
      </c>
      <c r="E113" s="19">
        <f>INDEX(Places[Majority RB '#],MATCH(Expenditures[[#This Row],[Jurisdiction]],Places[Jurisdiction],0))</f>
        <v>4</v>
      </c>
      <c r="F113" s="19" t="str">
        <f>VLOOKUP(Expenditures[[#This Row],[Jurisdiction]],Places[#All],8,FALSE)</f>
        <v>Phase I MS4</v>
      </c>
      <c r="G113" s="19"/>
      <c r="H113" s="21" t="s">
        <v>1870</v>
      </c>
      <c r="I113" s="21">
        <f>VALUE(LEFT(Expenditures[[#This Row],[Fiscal Year]],4))</f>
        <v>2011</v>
      </c>
      <c r="J113" s="20">
        <v>561210</v>
      </c>
      <c r="K113" s="20">
        <f>IF(Expenditures[[#This Row],[Reference Year]]&gt;2018,Expenditures[[#This Row],[Value]],Expenditures[[#This Row],[Value]]*(1+VLOOKUP(Expenditures[[#This Row],[Reference Year]],Inflation[#All],3,FALSE)))</f>
        <v>627913.88843930641</v>
      </c>
      <c r="L113" s="105">
        <f>VALUE(Expenditures[[#This Row],[2018 $ Value]]/VLOOKUP(Expenditures[[#This Row],[Jurisdiction]],Places[],6,FALSE))</f>
        <v>29.168666718042758</v>
      </c>
      <c r="M113" s="105">
        <f>VALUE(Expenditures[[#This Row],[2018 $ Value]]/VLOOKUP(Expenditures[[#This Row],[Jurisdiction]],Places[],7,FALSE))</f>
        <v>93718.490811836775</v>
      </c>
      <c r="N113" s="20" t="s">
        <v>1460</v>
      </c>
      <c r="O113" s="20" t="s">
        <v>1460</v>
      </c>
    </row>
    <row r="114" spans="1:15" x14ac:dyDescent="0.25">
      <c r="A114" s="19" t="s">
        <v>182</v>
      </c>
      <c r="B114" s="19" t="str">
        <f>INDEX(Places[Type],MATCH(Expenditures[[#This Row],[Jurisdiction]],Places[Jurisdiction],0))</f>
        <v>City</v>
      </c>
      <c r="C114" s="19" t="str">
        <f>INDEX(Places[County],MATCH(Expenditures[[#This Row],[Jurisdiction]],Places[Jurisdiction],0))</f>
        <v>Los Angeles</v>
      </c>
      <c r="D114" s="19" t="str">
        <f>INDEX(Places[Majority RB],MATCH(Expenditures[[#This Row],[Jurisdiction]],Places[Jurisdiction],0))</f>
        <v>Los Angeles</v>
      </c>
      <c r="E114" s="19">
        <f>INDEX(Places[Majority RB '#],MATCH(Expenditures[[#This Row],[Jurisdiction]],Places[Jurisdiction],0))</f>
        <v>4</v>
      </c>
      <c r="F114" s="19" t="str">
        <f>VLOOKUP(Expenditures[[#This Row],[Jurisdiction]],Places[#All],8,FALSE)</f>
        <v>Phase I MS4</v>
      </c>
      <c r="G114" s="19"/>
      <c r="H114" s="21" t="s">
        <v>1873</v>
      </c>
      <c r="I114" s="21">
        <f>VALUE(LEFT(Expenditures[[#This Row],[Fiscal Year]],4))</f>
        <v>2015</v>
      </c>
      <c r="J114" s="20">
        <v>737900</v>
      </c>
      <c r="K114" s="20">
        <f>IF(Expenditures[[#This Row],[Reference Year]]&gt;2018,Expenditures[[#This Row],[Value]],Expenditures[[#This Row],[Value]]*(1+VLOOKUP(Expenditures[[#This Row],[Reference Year]],Inflation[#All],3,FALSE)))</f>
        <v>783453.64936708857</v>
      </c>
      <c r="L114" s="105">
        <f>VALUE(Expenditures[[#This Row],[2018 $ Value]]/VLOOKUP(Expenditures[[#This Row],[Jurisdiction]],Places[],6,FALSE))</f>
        <v>36.394000528038674</v>
      </c>
      <c r="M114" s="105">
        <f>VALUE(Expenditures[[#This Row],[2018 $ Value]]/VLOOKUP(Expenditures[[#This Row],[Jurisdiction]],Places[],7,FALSE))</f>
        <v>116933.38050255053</v>
      </c>
      <c r="N114" s="20" t="s">
        <v>1853</v>
      </c>
      <c r="O114" s="20" t="s">
        <v>1853</v>
      </c>
    </row>
    <row r="115" spans="1:15" x14ac:dyDescent="0.25">
      <c r="A115" s="19" t="s">
        <v>231</v>
      </c>
      <c r="B115" s="19" t="str">
        <f>INDEX(Places[Type],MATCH(Expenditures[[#This Row],[Jurisdiction]],Places[Jurisdiction],0))</f>
        <v>City</v>
      </c>
      <c r="C115" s="19" t="str">
        <f>INDEX(Places[County],MATCH(Expenditures[[#This Row],[Jurisdiction]],Places[Jurisdiction],0))</f>
        <v>Riverside</v>
      </c>
      <c r="D115" s="19" t="str">
        <f>INDEX(Places[Majority RB],MATCH(Expenditures[[#This Row],[Jurisdiction]],Places[Jurisdiction],0))</f>
        <v>Santa Ana</v>
      </c>
      <c r="E115" s="19">
        <f>INDEX(Places[Majority RB '#],MATCH(Expenditures[[#This Row],[Jurisdiction]],Places[Jurisdiction],0))</f>
        <v>8</v>
      </c>
      <c r="F115" s="19" t="str">
        <f>VLOOKUP(Expenditures[[#This Row],[Jurisdiction]],Places[#All],8,FALSE)</f>
        <v>Phase I MS4</v>
      </c>
      <c r="G115" s="19"/>
      <c r="H115" s="21" t="s">
        <v>1869</v>
      </c>
      <c r="I115" s="21">
        <f>VALUE(LEFT(Expenditures[[#This Row],[Fiscal Year]],4))</f>
        <v>2016</v>
      </c>
      <c r="J115" s="20">
        <v>139145.35</v>
      </c>
      <c r="K115" s="20">
        <f>IF(Expenditures[[#This Row],[Reference Year]]&gt;2018,Expenditures[[#This Row],[Value]],Expenditures[[#This Row],[Value]]*(1+VLOOKUP(Expenditures[[#This Row],[Reference Year]],Inflation[#All],3,FALSE)))</f>
        <v>145888.68152437502</v>
      </c>
      <c r="L115" s="105">
        <f>VALUE(Expenditures[[#This Row],[2018 $ Value]]/VLOOKUP(Expenditures[[#This Row],[Jurisdiction]],Places[],6,FALSE))</f>
        <v>2.2506044479401286</v>
      </c>
      <c r="M115" s="105">
        <f>VALUE(Expenditures[[#This Row],[2018 $ Value]]/VLOOKUP(Expenditures[[#This Row],[Jurisdiction]],Places[],7,FALSE))</f>
        <v>11487.297757824805</v>
      </c>
      <c r="N115" s="20" t="s">
        <v>1460</v>
      </c>
      <c r="O115" s="20" t="s">
        <v>1853</v>
      </c>
    </row>
    <row r="116" spans="1:15" x14ac:dyDescent="0.25">
      <c r="A116" s="19" t="s">
        <v>317</v>
      </c>
      <c r="B116" s="19" t="str">
        <f>INDEX(Places[Type],MATCH(Expenditures[[#This Row],[Jurisdiction]],Places[Jurisdiction],0))</f>
        <v>City</v>
      </c>
      <c r="C116" s="19" t="str">
        <f>INDEX(Places[County],MATCH(Expenditures[[#This Row],[Jurisdiction]],Places[Jurisdiction],0))</f>
        <v>San Diego</v>
      </c>
      <c r="D116" s="19" t="str">
        <f>INDEX(Places[Majority RB],MATCH(Expenditures[[#This Row],[Jurisdiction]],Places[Jurisdiction],0))</f>
        <v>San Diego</v>
      </c>
      <c r="E116" s="19">
        <f>INDEX(Places[Majority RB '#],MATCH(Expenditures[[#This Row],[Jurisdiction]],Places[Jurisdiction],0))</f>
        <v>9</v>
      </c>
      <c r="F116" s="19" t="str">
        <f>VLOOKUP(Expenditures[[#This Row],[Jurisdiction]],Places[#All],8,FALSE)</f>
        <v>Phase I MS4</v>
      </c>
      <c r="G116" s="19"/>
      <c r="H116" s="21" t="s">
        <v>1885</v>
      </c>
      <c r="I116" s="21">
        <f>VALUE(LEFT(Expenditures[[#This Row],[Fiscal Year]],4))</f>
        <v>2010</v>
      </c>
      <c r="J116" s="20">
        <v>1111853</v>
      </c>
      <c r="K116" s="20">
        <f>IF(Expenditures[[#This Row],[Reference Year]]&gt;2018,Expenditures[[#This Row],[Value]],Expenditures[[#This Row],[Value]]*(1+VLOOKUP(Expenditures[[#This Row],[Reference Year]],Inflation[#All],3,FALSE)))</f>
        <v>1282790.840178817</v>
      </c>
      <c r="L116" s="105">
        <f>VALUE(Expenditures[[#This Row],[2018 $ Value]]/VLOOKUP(Expenditures[[#This Row],[Jurisdiction]],Places[],6,FALSE))</f>
        <v>12.425207429013833</v>
      </c>
      <c r="M116" s="105">
        <f>VALUE(Expenditures[[#This Row],[2018 $ Value]]/VLOOKUP(Expenditures[[#This Row],[Jurisdiction]],Places[],7,FALSE))</f>
        <v>88468.333805435657</v>
      </c>
      <c r="N116" s="20" t="s">
        <v>1460</v>
      </c>
      <c r="O116" s="20" t="s">
        <v>1460</v>
      </c>
    </row>
    <row r="117" spans="1:15" x14ac:dyDescent="0.25">
      <c r="A117" s="19" t="s">
        <v>317</v>
      </c>
      <c r="B117" s="19" t="str">
        <f>INDEX(Places[Type],MATCH(Expenditures[[#This Row],[Jurisdiction]],Places[Jurisdiction],0))</f>
        <v>City</v>
      </c>
      <c r="C117" s="19" t="str">
        <f>INDEX(Places[County],MATCH(Expenditures[[#This Row],[Jurisdiction]],Places[Jurisdiction],0))</f>
        <v>San Diego</v>
      </c>
      <c r="D117" s="19" t="str">
        <f>INDEX(Places[Majority RB],MATCH(Expenditures[[#This Row],[Jurisdiction]],Places[Jurisdiction],0))</f>
        <v>San Diego</v>
      </c>
      <c r="E117" s="19">
        <f>INDEX(Places[Majority RB '#],MATCH(Expenditures[[#This Row],[Jurisdiction]],Places[Jurisdiction],0))</f>
        <v>9</v>
      </c>
      <c r="F117" s="19" t="str">
        <f>VLOOKUP(Expenditures[[#This Row],[Jurisdiction]],Places[#All],8,FALSE)</f>
        <v>Phase I MS4</v>
      </c>
      <c r="G117" s="19"/>
      <c r="H117" s="21" t="s">
        <v>1870</v>
      </c>
      <c r="I117" s="21">
        <f>VALUE(LEFT(Expenditures[[#This Row],[Fiscal Year]],4))</f>
        <v>2011</v>
      </c>
      <c r="J117" s="20">
        <v>1110397</v>
      </c>
      <c r="K117" s="20">
        <f>IF(Expenditures[[#This Row],[Reference Year]]&gt;2018,Expenditures[[#This Row],[Value]],Expenditures[[#This Row],[Value]]*(1+VLOOKUP(Expenditures[[#This Row],[Reference Year]],Inflation[#All],3,FALSE)))</f>
        <v>1242375.7559226323</v>
      </c>
      <c r="L117" s="105">
        <f>VALUE(Expenditures[[#This Row],[2018 $ Value]]/VLOOKUP(Expenditures[[#This Row],[Jurisdiction]],Places[],6,FALSE))</f>
        <v>12.03374391881745</v>
      </c>
      <c r="M117" s="105">
        <f>VALUE(Expenditures[[#This Row],[2018 $ Value]]/VLOOKUP(Expenditures[[#This Row],[Jurisdiction]],Places[],7,FALSE))</f>
        <v>85681.086615353954</v>
      </c>
      <c r="N117" s="20" t="s">
        <v>1460</v>
      </c>
      <c r="O117" s="20" t="s">
        <v>1460</v>
      </c>
    </row>
    <row r="118" spans="1:15" x14ac:dyDescent="0.25">
      <c r="A118" s="19" t="s">
        <v>317</v>
      </c>
      <c r="B118" s="19" t="str">
        <f>INDEX(Places[Type],MATCH(Expenditures[[#This Row],[Jurisdiction]],Places[Jurisdiction],0))</f>
        <v>City</v>
      </c>
      <c r="C118" s="19" t="str">
        <f>INDEX(Places[County],MATCH(Expenditures[[#This Row],[Jurisdiction]],Places[Jurisdiction],0))</f>
        <v>San Diego</v>
      </c>
      <c r="D118" s="19" t="str">
        <f>INDEX(Places[Majority RB],MATCH(Expenditures[[#This Row],[Jurisdiction]],Places[Jurisdiction],0))</f>
        <v>San Diego</v>
      </c>
      <c r="E118" s="19">
        <f>INDEX(Places[Majority RB '#],MATCH(Expenditures[[#This Row],[Jurisdiction]],Places[Jurisdiction],0))</f>
        <v>9</v>
      </c>
      <c r="F118" s="19" t="str">
        <f>VLOOKUP(Expenditures[[#This Row],[Jurisdiction]],Places[#All],8,FALSE)</f>
        <v>Phase I MS4</v>
      </c>
      <c r="G118" s="19"/>
      <c r="H118" s="21" t="s">
        <v>1871</v>
      </c>
      <c r="I118" s="21">
        <f>VALUE(LEFT(Expenditures[[#This Row],[Fiscal Year]],4))</f>
        <v>2012</v>
      </c>
      <c r="J118" s="20">
        <v>1096576</v>
      </c>
      <c r="K118" s="20">
        <f>IF(Expenditures[[#This Row],[Reference Year]]&gt;2018,Expenditures[[#This Row],[Value]],Expenditures[[#This Row],[Value]]*(1+VLOOKUP(Expenditures[[#This Row],[Reference Year]],Inflation[#All],3,FALSE)))</f>
        <v>1201796.6701045297</v>
      </c>
      <c r="L118" s="105">
        <f>VALUE(Expenditures[[#This Row],[2018 $ Value]]/VLOOKUP(Expenditures[[#This Row],[Jurisdiction]],Places[],6,FALSE))</f>
        <v>11.640691877301942</v>
      </c>
      <c r="M118" s="105">
        <f>VALUE(Expenditures[[#This Row],[2018 $ Value]]/VLOOKUP(Expenditures[[#This Row],[Jurisdiction]],Places[],7,FALSE))</f>
        <v>82882.528972726184</v>
      </c>
      <c r="N118" s="20" t="s">
        <v>1460</v>
      </c>
      <c r="O118" s="20" t="s">
        <v>1460</v>
      </c>
    </row>
    <row r="119" spans="1:15" x14ac:dyDescent="0.25">
      <c r="A119" s="19" t="s">
        <v>317</v>
      </c>
      <c r="B119" s="19" t="str">
        <f>INDEX(Places[Type],MATCH(Expenditures[[#This Row],[Jurisdiction]],Places[Jurisdiction],0))</f>
        <v>City</v>
      </c>
      <c r="C119" s="19" t="str">
        <f>INDEX(Places[County],MATCH(Expenditures[[#This Row],[Jurisdiction]],Places[Jurisdiction],0))</f>
        <v>San Diego</v>
      </c>
      <c r="D119" s="19" t="str">
        <f>INDEX(Places[Majority RB],MATCH(Expenditures[[#This Row],[Jurisdiction]],Places[Jurisdiction],0))</f>
        <v>San Diego</v>
      </c>
      <c r="E119" s="19">
        <f>INDEX(Places[Majority RB '#],MATCH(Expenditures[[#This Row],[Jurisdiction]],Places[Jurisdiction],0))</f>
        <v>9</v>
      </c>
      <c r="F119" s="19" t="str">
        <f>VLOOKUP(Expenditures[[#This Row],[Jurisdiction]],Places[#All],8,FALSE)</f>
        <v>Phase I MS4</v>
      </c>
      <c r="G119" s="19"/>
      <c r="H119" s="21" t="s">
        <v>1880</v>
      </c>
      <c r="I119" s="21">
        <f>VALUE(LEFT(Expenditures[[#This Row],[Fiscal Year]],4))</f>
        <v>2013</v>
      </c>
      <c r="J119" s="20">
        <v>1115831</v>
      </c>
      <c r="K119" s="20">
        <f>IF(Expenditures[[#This Row],[Reference Year]]&gt;2018,Expenditures[[#This Row],[Value]],Expenditures[[#This Row],[Value]]*(1+VLOOKUP(Expenditures[[#This Row],[Reference Year]],Inflation[#All],3,FALSE)))</f>
        <v>1205054.3792317598</v>
      </c>
      <c r="L119" s="105">
        <f>VALUE(Expenditures[[#This Row],[2018 $ Value]]/VLOOKUP(Expenditures[[#This Row],[Jurisdiction]],Places[],6,FALSE))</f>
        <v>11.672246290056856</v>
      </c>
      <c r="M119" s="105">
        <f>VALUE(Expenditures[[#This Row],[2018 $ Value]]/VLOOKUP(Expenditures[[#This Row],[Jurisdiction]],Places[],7,FALSE))</f>
        <v>83107.198567707572</v>
      </c>
      <c r="N119" s="20" t="s">
        <v>1460</v>
      </c>
      <c r="O119" s="20" t="s">
        <v>1460</v>
      </c>
    </row>
    <row r="120" spans="1:15" x14ac:dyDescent="0.25">
      <c r="A120" s="19" t="s">
        <v>317</v>
      </c>
      <c r="B120" s="19" t="str">
        <f>INDEX(Places[Type],MATCH(Expenditures[[#This Row],[Jurisdiction]],Places[Jurisdiction],0))</f>
        <v>City</v>
      </c>
      <c r="C120" s="19" t="str">
        <f>INDEX(Places[County],MATCH(Expenditures[[#This Row],[Jurisdiction]],Places[Jurisdiction],0))</f>
        <v>San Diego</v>
      </c>
      <c r="D120" s="19" t="str">
        <f>INDEX(Places[Majority RB],MATCH(Expenditures[[#This Row],[Jurisdiction]],Places[Jurisdiction],0))</f>
        <v>San Diego</v>
      </c>
      <c r="E120" s="19">
        <f>INDEX(Places[Majority RB '#],MATCH(Expenditures[[#This Row],[Jurisdiction]],Places[Jurisdiction],0))</f>
        <v>9</v>
      </c>
      <c r="F120" s="19" t="str">
        <f>VLOOKUP(Expenditures[[#This Row],[Jurisdiction]],Places[#All],8,FALSE)</f>
        <v>Phase I MS4</v>
      </c>
      <c r="G120" s="19"/>
      <c r="H120" s="21" t="s">
        <v>1881</v>
      </c>
      <c r="I120" s="21">
        <f>VALUE(LEFT(Expenditures[[#This Row],[Fiscal Year]],4))</f>
        <v>2014</v>
      </c>
      <c r="J120" s="20">
        <v>1067595</v>
      </c>
      <c r="K120" s="20">
        <f>IF(Expenditures[[#This Row],[Reference Year]]&gt;2018,Expenditures[[#This Row],[Value]],Expenditures[[#This Row],[Value]]*(1+VLOOKUP(Expenditures[[#This Row],[Reference Year]],Inflation[#All],3,FALSE)))</f>
        <v>1134938.730228137</v>
      </c>
      <c r="L120" s="105">
        <f>VALUE(Expenditures[[#This Row],[2018 $ Value]]/VLOOKUP(Expenditures[[#This Row],[Jurisdiction]],Places[],6,FALSE))</f>
        <v>10.993100902046057</v>
      </c>
      <c r="M120" s="105">
        <f>VALUE(Expenditures[[#This Row],[2018 $ Value]]/VLOOKUP(Expenditures[[#This Row],[Jurisdiction]],Places[],7,FALSE))</f>
        <v>78271.636567457725</v>
      </c>
      <c r="N120" s="20" t="s">
        <v>1460</v>
      </c>
      <c r="O120" s="20" t="s">
        <v>1460</v>
      </c>
    </row>
    <row r="121" spans="1:15" x14ac:dyDescent="0.25">
      <c r="A121" s="19" t="s">
        <v>317</v>
      </c>
      <c r="B121" s="19" t="str">
        <f>INDEX(Places[Type],MATCH(Expenditures[[#This Row],[Jurisdiction]],Places[Jurisdiction],0))</f>
        <v>City</v>
      </c>
      <c r="C121" s="19" t="str">
        <f>INDEX(Places[County],MATCH(Expenditures[[#This Row],[Jurisdiction]],Places[Jurisdiction],0))</f>
        <v>San Diego</v>
      </c>
      <c r="D121" s="19" t="str">
        <f>INDEX(Places[Majority RB],MATCH(Expenditures[[#This Row],[Jurisdiction]],Places[Jurisdiction],0))</f>
        <v>San Diego</v>
      </c>
      <c r="E121" s="19">
        <f>INDEX(Places[Majority RB '#],MATCH(Expenditures[[#This Row],[Jurisdiction]],Places[Jurisdiction],0))</f>
        <v>9</v>
      </c>
      <c r="F121" s="19" t="str">
        <f>VLOOKUP(Expenditures[[#This Row],[Jurisdiction]],Places[#All],8,FALSE)</f>
        <v>Phase I MS4</v>
      </c>
      <c r="G121" s="19"/>
      <c r="H121" s="21" t="s">
        <v>1873</v>
      </c>
      <c r="I121" s="21">
        <f>VALUE(LEFT(Expenditures[[#This Row],[Fiscal Year]],4))</f>
        <v>2015</v>
      </c>
      <c r="J121" s="20">
        <v>1108438</v>
      </c>
      <c r="K121" s="20">
        <f>IF(Expenditures[[#This Row],[Reference Year]]&gt;2018,Expenditures[[#This Row],[Value]],Expenditures[[#This Row],[Value]]*(1+VLOOKUP(Expenditures[[#This Row],[Reference Year]],Inflation[#All],3,FALSE)))</f>
        <v>1176866.5079240506</v>
      </c>
      <c r="L121" s="105">
        <f>VALUE(Expenditures[[#This Row],[2018 $ Value]]/VLOOKUP(Expenditures[[#This Row],[Jurisdiction]],Places[],6,FALSE))</f>
        <v>11.399216473339569</v>
      </c>
      <c r="M121" s="105">
        <f>VALUE(Expenditures[[#This Row],[2018 $ Value]]/VLOOKUP(Expenditures[[#This Row],[Jurisdiction]],Places[],7,FALSE))</f>
        <v>81163.207443037973</v>
      </c>
      <c r="N121" s="20" t="s">
        <v>1460</v>
      </c>
      <c r="O121" s="20" t="s">
        <v>1460</v>
      </c>
    </row>
    <row r="122" spans="1:15" x14ac:dyDescent="0.25">
      <c r="A122" s="19" t="s">
        <v>317</v>
      </c>
      <c r="B122" s="19" t="str">
        <f>INDEX(Places[Type],MATCH(Expenditures[[#This Row],[Jurisdiction]],Places[Jurisdiction],0))</f>
        <v>City</v>
      </c>
      <c r="C122" s="19" t="str">
        <f>INDEX(Places[County],MATCH(Expenditures[[#This Row],[Jurisdiction]],Places[Jurisdiction],0))</f>
        <v>San Diego</v>
      </c>
      <c r="D122" s="19" t="str">
        <f>INDEX(Places[Majority RB],MATCH(Expenditures[[#This Row],[Jurisdiction]],Places[Jurisdiction],0))</f>
        <v>San Diego</v>
      </c>
      <c r="E122" s="19">
        <f>INDEX(Places[Majority RB '#],MATCH(Expenditures[[#This Row],[Jurisdiction]],Places[Jurisdiction],0))</f>
        <v>9</v>
      </c>
      <c r="F122" s="19" t="str">
        <f>VLOOKUP(Expenditures[[#This Row],[Jurisdiction]],Places[#All],8,FALSE)</f>
        <v>Phase I MS4</v>
      </c>
      <c r="G122" s="19"/>
      <c r="H122" s="21" t="s">
        <v>1869</v>
      </c>
      <c r="I122" s="21">
        <f>VALUE(LEFT(Expenditures[[#This Row],[Fiscal Year]],4))</f>
        <v>2016</v>
      </c>
      <c r="J122" s="20">
        <v>1779885</v>
      </c>
      <c r="K122" s="20">
        <f>IF(Expenditures[[#This Row],[Reference Year]]&gt;2018,Expenditures[[#This Row],[Value]],Expenditures[[#This Row],[Value]]*(1+VLOOKUP(Expenditures[[#This Row],[Reference Year]],Inflation[#All],3,FALSE)))</f>
        <v>1866142.6768125002</v>
      </c>
      <c r="L122" s="105">
        <f>VALUE(Expenditures[[#This Row],[2018 $ Value]]/VLOOKUP(Expenditures[[#This Row],[Jurisdiction]],Places[],6,FALSE))</f>
        <v>18.075596679734797</v>
      </c>
      <c r="M122" s="105">
        <f>VALUE(Expenditures[[#This Row],[2018 $ Value]]/VLOOKUP(Expenditures[[#This Row],[Jurisdiction]],Places[],7,FALSE))</f>
        <v>128699.49495258622</v>
      </c>
      <c r="N122" s="20" t="s">
        <v>1853</v>
      </c>
      <c r="O122" s="20" t="s">
        <v>1460</v>
      </c>
    </row>
    <row r="123" spans="1:15" x14ac:dyDescent="0.25">
      <c r="A123" s="19" t="s">
        <v>317</v>
      </c>
      <c r="B123" s="19" t="str">
        <f>INDEX(Places[Type],MATCH(Expenditures[[#This Row],[Jurisdiction]],Places[Jurisdiction],0))</f>
        <v>City</v>
      </c>
      <c r="C123" s="19" t="str">
        <f>INDEX(Places[County],MATCH(Expenditures[[#This Row],[Jurisdiction]],Places[Jurisdiction],0))</f>
        <v>San Diego</v>
      </c>
      <c r="D123" s="19" t="str">
        <f>INDEX(Places[Majority RB],MATCH(Expenditures[[#This Row],[Jurisdiction]],Places[Jurisdiction],0))</f>
        <v>San Diego</v>
      </c>
      <c r="E123" s="19">
        <f>INDEX(Places[Majority RB '#],MATCH(Expenditures[[#This Row],[Jurisdiction]],Places[Jurisdiction],0))</f>
        <v>9</v>
      </c>
      <c r="F123" s="19" t="str">
        <f>VLOOKUP(Expenditures[[#This Row],[Jurisdiction]],Places[#All],8,FALSE)</f>
        <v>Phase I MS4</v>
      </c>
      <c r="G123" s="19"/>
      <c r="H123" s="21" t="s">
        <v>1874</v>
      </c>
      <c r="I123" s="21">
        <f>VALUE(LEFT(Expenditures[[#This Row],[Fiscal Year]],4))</f>
        <v>2017</v>
      </c>
      <c r="J123" s="20">
        <v>1558149</v>
      </c>
      <c r="K123" s="20">
        <f>IF(Expenditures[[#This Row],[Reference Year]]&gt;2018,Expenditures[[#This Row],[Value]],Expenditures[[#This Row],[Value]]*(1+VLOOKUP(Expenditures[[#This Row],[Reference Year]],Inflation[#All],3,FALSE)))</f>
        <v>1599667.8540146882</v>
      </c>
      <c r="L123" s="105">
        <f>VALUE(Expenditures[[#This Row],[2018 $ Value]]/VLOOKUP(Expenditures[[#This Row],[Jurisdiction]],Places[],6,FALSE))</f>
        <v>15.494501738792612</v>
      </c>
      <c r="M123" s="105">
        <f>VALUE(Expenditures[[#This Row],[2018 $ Value]]/VLOOKUP(Expenditures[[#This Row],[Jurisdiction]],Places[],7,FALSE))</f>
        <v>110321.92096653022</v>
      </c>
      <c r="N123" s="20" t="s">
        <v>1460</v>
      </c>
      <c r="O123" s="20" t="s">
        <v>1853</v>
      </c>
    </row>
    <row r="124" spans="1:15" x14ac:dyDescent="0.25">
      <c r="A124" s="19" t="s">
        <v>16</v>
      </c>
      <c r="B124" s="19" t="str">
        <f>INDEX(Places[Type],MATCH(Expenditures[[#This Row],[Jurisdiction]],Places[Jurisdiction],0))</f>
        <v>City</v>
      </c>
      <c r="C124" s="19" t="str">
        <f>INDEX(Places[County],MATCH(Expenditures[[#This Row],[Jurisdiction]],Places[Jurisdiction],0))</f>
        <v>Imperial</v>
      </c>
      <c r="D124" s="19" t="str">
        <f>INDEX(Places[Majority RB],MATCH(Expenditures[[#This Row],[Jurisdiction]],Places[Jurisdiction],0))</f>
        <v>Colorado River Basin</v>
      </c>
      <c r="E124" s="19">
        <f>INDEX(Places[Majority RB '#],MATCH(Expenditures[[#This Row],[Jurisdiction]],Places[Jurisdiction],0))</f>
        <v>7</v>
      </c>
      <c r="F124" s="19" t="str">
        <f>VLOOKUP(Expenditures[[#This Row],[Jurisdiction]],Places[#All],8,FALSE)</f>
        <v>Phase II MS4</v>
      </c>
      <c r="G124" s="19"/>
      <c r="H124" s="19" t="s">
        <v>1880</v>
      </c>
      <c r="I124" s="21">
        <f>VALUE(LEFT(Expenditures[[#This Row],[Fiscal Year]],4))</f>
        <v>2013</v>
      </c>
      <c r="J124" s="20">
        <v>19897</v>
      </c>
      <c r="K124" s="20">
        <f>IF(Expenditures[[#This Row],[Reference Year]]&gt;2018,Expenditures[[#This Row],[Value]],Expenditures[[#This Row],[Value]]*(1+VLOOKUP(Expenditures[[#This Row],[Reference Year]],Inflation[#All],3,FALSE)))</f>
        <v>21487.991446351931</v>
      </c>
      <c r="L124" s="105">
        <f>VALUE(Expenditures[[#This Row],[2018 $ Value]]/VLOOKUP(Expenditures[[#This Row],[Jurisdiction]],Places[],6,FALSE))</f>
        <v>0.4870351642418842</v>
      </c>
      <c r="M124" s="105">
        <f>VALUE(Expenditures[[#This Row],[2018 $ Value]]/VLOOKUP(Expenditures[[#This Row],[Jurisdiction]],Places[],7,FALSE))</f>
        <v>1918.570664852851</v>
      </c>
      <c r="N124" s="20" t="s">
        <v>1460</v>
      </c>
      <c r="O124" s="20" t="s">
        <v>1460</v>
      </c>
    </row>
    <row r="125" spans="1:15" x14ac:dyDescent="0.25">
      <c r="A125" s="19" t="s">
        <v>16</v>
      </c>
      <c r="B125" s="19" t="str">
        <f>INDEX(Places[Type],MATCH(Expenditures[[#This Row],[Jurisdiction]],Places[Jurisdiction],0))</f>
        <v>City</v>
      </c>
      <c r="C125" s="19" t="str">
        <f>INDEX(Places[County],MATCH(Expenditures[[#This Row],[Jurisdiction]],Places[Jurisdiction],0))</f>
        <v>Imperial</v>
      </c>
      <c r="D125" s="19" t="str">
        <f>INDEX(Places[Majority RB],MATCH(Expenditures[[#This Row],[Jurisdiction]],Places[Jurisdiction],0))</f>
        <v>Colorado River Basin</v>
      </c>
      <c r="E125" s="19">
        <f>INDEX(Places[Majority RB '#],MATCH(Expenditures[[#This Row],[Jurisdiction]],Places[Jurisdiction],0))</f>
        <v>7</v>
      </c>
      <c r="F125" s="19" t="str">
        <f>VLOOKUP(Expenditures[[#This Row],[Jurisdiction]],Places[#All],8,FALSE)</f>
        <v>Phase II MS4</v>
      </c>
      <c r="G125" s="19"/>
      <c r="H125" s="19" t="s">
        <v>1881</v>
      </c>
      <c r="I125" s="21">
        <f>VALUE(LEFT(Expenditures[[#This Row],[Fiscal Year]],4))</f>
        <v>2014</v>
      </c>
      <c r="J125" s="20">
        <v>122649</v>
      </c>
      <c r="K125" s="20">
        <f>IF(Expenditures[[#This Row],[Reference Year]]&gt;2018,Expenditures[[#This Row],[Value]],Expenditures[[#This Row],[Value]]*(1+VLOOKUP(Expenditures[[#This Row],[Reference Year]],Inflation[#All],3,FALSE)))</f>
        <v>130385.6802661597</v>
      </c>
      <c r="L125" s="105">
        <f>VALUE(Expenditures[[#This Row],[2018 $ Value]]/VLOOKUP(Expenditures[[#This Row],[Jurisdiction]],Places[],6,FALSE))</f>
        <v>2.9552511393055236</v>
      </c>
      <c r="M125" s="105">
        <f>VALUE(Expenditures[[#This Row],[2018 $ Value]]/VLOOKUP(Expenditures[[#This Row],[Jurisdiction]],Places[],7,FALSE))</f>
        <v>11641.578595192832</v>
      </c>
      <c r="N125" s="20" t="s">
        <v>1460</v>
      </c>
      <c r="O125" s="20" t="s">
        <v>1460</v>
      </c>
    </row>
    <row r="126" spans="1:15" x14ac:dyDescent="0.25">
      <c r="A126" s="19" t="s">
        <v>16</v>
      </c>
      <c r="B126" s="19" t="str">
        <f>INDEX(Places[Type],MATCH(Expenditures[[#This Row],[Jurisdiction]],Places[Jurisdiction],0))</f>
        <v>City</v>
      </c>
      <c r="C126" s="19" t="str">
        <f>INDEX(Places[County],MATCH(Expenditures[[#This Row],[Jurisdiction]],Places[Jurisdiction],0))</f>
        <v>Imperial</v>
      </c>
      <c r="D126" s="19" t="str">
        <f>INDEX(Places[Majority RB],MATCH(Expenditures[[#This Row],[Jurisdiction]],Places[Jurisdiction],0))</f>
        <v>Colorado River Basin</v>
      </c>
      <c r="E126" s="19">
        <f>INDEX(Places[Majority RB '#],MATCH(Expenditures[[#This Row],[Jurisdiction]],Places[Jurisdiction],0))</f>
        <v>7</v>
      </c>
      <c r="F126" s="19" t="str">
        <f>VLOOKUP(Expenditures[[#This Row],[Jurisdiction]],Places[#All],8,FALSE)</f>
        <v>Phase II MS4</v>
      </c>
      <c r="G126" s="19"/>
      <c r="H126" s="19" t="s">
        <v>1873</v>
      </c>
      <c r="I126" s="21">
        <f>VALUE(LEFT(Expenditures[[#This Row],[Fiscal Year]],4))</f>
        <v>2015</v>
      </c>
      <c r="J126" s="20">
        <v>144820</v>
      </c>
      <c r="K126" s="20">
        <f>IF(Expenditures[[#This Row],[Reference Year]]&gt;2018,Expenditures[[#This Row],[Value]],Expenditures[[#This Row],[Value]]*(1+VLOOKUP(Expenditures[[#This Row],[Reference Year]],Inflation[#All],3,FALSE)))</f>
        <v>153760.34354430379</v>
      </c>
      <c r="L126" s="105">
        <f>VALUE(Expenditures[[#This Row],[2018 $ Value]]/VLOOKUP(Expenditures[[#This Row],[Jurisdiction]],Places[],6,FALSE))</f>
        <v>3.4850485844130503</v>
      </c>
      <c r="M126" s="105">
        <f>VALUE(Expenditures[[#This Row],[2018 $ Value]]/VLOOKUP(Expenditures[[#This Row],[Jurisdiction]],Places[],7,FALSE))</f>
        <v>13728.602102169982</v>
      </c>
      <c r="N126" s="20" t="s">
        <v>1460</v>
      </c>
      <c r="O126" s="20" t="s">
        <v>1853</v>
      </c>
    </row>
    <row r="127" spans="1:15" x14ac:dyDescent="0.25">
      <c r="A127" s="19" t="s">
        <v>9</v>
      </c>
      <c r="B127" s="19" t="str">
        <f>INDEX(Places[Type],MATCH(Expenditures[[#This Row],[Jurisdiction]],Places[Jurisdiction],0))</f>
        <v>City</v>
      </c>
      <c r="C127" s="19" t="str">
        <f>INDEX(Places[County],MATCH(Expenditures[[#This Row],[Jurisdiction]],Places[Jurisdiction],0))</f>
        <v>Los Angeles</v>
      </c>
      <c r="D127" s="19" t="str">
        <f>INDEX(Places[Majority RB],MATCH(Expenditures[[#This Row],[Jurisdiction]],Places[Jurisdiction],0))</f>
        <v>Los Angeles</v>
      </c>
      <c r="E127" s="19">
        <f>INDEX(Places[Majority RB '#],MATCH(Expenditures[[#This Row],[Jurisdiction]],Places[Jurisdiction],0))</f>
        <v>4</v>
      </c>
      <c r="F127" s="19" t="str">
        <f>VLOOKUP(Expenditures[[#This Row],[Jurisdiction]],Places[#All],8,FALSE)</f>
        <v>Phase I MS4</v>
      </c>
      <c r="G127" s="19"/>
      <c r="H127" s="21" t="s">
        <v>1870</v>
      </c>
      <c r="I127" s="21">
        <f>VALUE(LEFT(Expenditures[[#This Row],[Fiscal Year]],4))</f>
        <v>2011</v>
      </c>
      <c r="J127" s="20">
        <v>691143</v>
      </c>
      <c r="K127" s="20">
        <f>IF(Expenditures[[#This Row],[Reference Year]]&gt;2018,Expenditures[[#This Row],[Value]],Expenditures[[#This Row],[Value]]*(1+VLOOKUP(Expenditures[[#This Row],[Reference Year]],Inflation[#All],3,FALSE)))</f>
        <v>773290.3700889285</v>
      </c>
      <c r="L127" s="105">
        <f>VALUE(Expenditures[[#This Row],[2018 $ Value]]/VLOOKUP(Expenditures[[#This Row],[Jurisdiction]],Places[],6,FALSE))</f>
        <v>6.69017329165235</v>
      </c>
      <c r="M127" s="105">
        <f>VALUE(Expenditures[[#This Row],[2018 $ Value]]/VLOOKUP(Expenditures[[#This Row],[Jurisdiction]],Places[],7,FALSE))</f>
        <v>80551.080217596726</v>
      </c>
      <c r="N127" s="20" t="s">
        <v>1460</v>
      </c>
      <c r="O127" s="20" t="s">
        <v>1460</v>
      </c>
    </row>
    <row r="128" spans="1:15" x14ac:dyDescent="0.25">
      <c r="A128" s="19" t="s">
        <v>9</v>
      </c>
      <c r="B128" s="19" t="str">
        <f>INDEX(Places[Type],MATCH(Expenditures[[#This Row],[Jurisdiction]],Places[Jurisdiction],0))</f>
        <v>City</v>
      </c>
      <c r="C128" s="19" t="str">
        <f>INDEX(Places[County],MATCH(Expenditures[[#This Row],[Jurisdiction]],Places[Jurisdiction],0))</f>
        <v>Los Angeles</v>
      </c>
      <c r="D128" s="19" t="str">
        <f>INDEX(Places[Majority RB],MATCH(Expenditures[[#This Row],[Jurisdiction]],Places[Jurisdiction],0))</f>
        <v>Los Angeles</v>
      </c>
      <c r="E128" s="19">
        <f>INDEX(Places[Majority RB '#],MATCH(Expenditures[[#This Row],[Jurisdiction]],Places[Jurisdiction],0))</f>
        <v>4</v>
      </c>
      <c r="F128" s="19" t="str">
        <f>VLOOKUP(Expenditures[[#This Row],[Jurisdiction]],Places[#All],8,FALSE)</f>
        <v>Phase I MS4</v>
      </c>
      <c r="G128" s="19"/>
      <c r="H128" s="19" t="s">
        <v>1873</v>
      </c>
      <c r="I128" s="21">
        <f>VALUE(LEFT(Expenditures[[#This Row],[Fiscal Year]],4))</f>
        <v>2015</v>
      </c>
      <c r="J128" s="27">
        <v>1402076</v>
      </c>
      <c r="K128" s="20">
        <f>IF(Expenditures[[#This Row],[Reference Year]]&gt;2018,Expenditures[[#This Row],[Value]],Expenditures[[#This Row],[Value]]*(1+VLOOKUP(Expenditures[[#This Row],[Reference Year]],Inflation[#All],3,FALSE)))</f>
        <v>1488632.0082531644</v>
      </c>
      <c r="L128" s="105">
        <f>VALUE(Expenditures[[#This Row],[2018 $ Value]]/VLOOKUP(Expenditures[[#This Row],[Jurisdiction]],Places[],6,FALSE))</f>
        <v>12.878999258155524</v>
      </c>
      <c r="M128" s="105">
        <f>VALUE(Expenditures[[#This Row],[2018 $ Value]]/VLOOKUP(Expenditures[[#This Row],[Jurisdiction]],Places[],7,FALSE))</f>
        <v>155065.83419303797</v>
      </c>
      <c r="N128" s="20" t="s">
        <v>1853</v>
      </c>
      <c r="O128" s="20" t="s">
        <v>1853</v>
      </c>
    </row>
    <row r="129" spans="1:15" x14ac:dyDescent="0.25">
      <c r="A129" s="19" t="s">
        <v>10</v>
      </c>
      <c r="B129" s="19" t="str">
        <f>INDEX(Places[Type],MATCH(Expenditures[[#This Row],[Jurisdiction]],Places[Jurisdiction],0))</f>
        <v>City</v>
      </c>
      <c r="C129" s="19" t="str">
        <f>INDEX(Places[County],MATCH(Expenditures[[#This Row],[Jurisdiction]],Places[Jurisdiction],0))</f>
        <v>Los Angeles</v>
      </c>
      <c r="D129" s="19" t="str">
        <f>INDEX(Places[Majority RB],MATCH(Expenditures[[#This Row],[Jurisdiction]],Places[Jurisdiction],0))</f>
        <v>Los Angeles</v>
      </c>
      <c r="E129" s="19">
        <f>INDEX(Places[Majority RB '#],MATCH(Expenditures[[#This Row],[Jurisdiction]],Places[Jurisdiction],0))</f>
        <v>4</v>
      </c>
      <c r="F129" s="19" t="str">
        <f>VLOOKUP(Expenditures[[#This Row],[Jurisdiction]],Places[#All],8,FALSE)</f>
        <v>Phase I MS4</v>
      </c>
      <c r="G129" s="19"/>
      <c r="H129" s="19" t="s">
        <v>1885</v>
      </c>
      <c r="I129" s="21">
        <f>VALUE(LEFT(Expenditures[[#This Row],[Fiscal Year]],4))</f>
        <v>2010</v>
      </c>
      <c r="J129" s="20">
        <v>791300</v>
      </c>
      <c r="K129" s="20">
        <f>IF(Expenditures[[#This Row],[Reference Year]]&gt;2018,Expenditures[[#This Row],[Value]],Expenditures[[#This Row],[Value]]*(1+VLOOKUP(Expenditures[[#This Row],[Reference Year]],Inflation[#All],3,FALSE)))</f>
        <v>912955.57221458049</v>
      </c>
      <c r="L129" s="105">
        <f>VALUE(Expenditures[[#This Row],[2018 $ Value]]/VLOOKUP(Expenditures[[#This Row],[Jurisdiction]],Places[],6,FALSE))</f>
        <v>54.605871895124139</v>
      </c>
      <c r="M129" s="105">
        <f>VALUE(Expenditures[[#This Row],[2018 $ Value]]/VLOOKUP(Expenditures[[#This Row],[Jurisdiction]],Places[],7,FALSE))</f>
        <v>165991.92222083281</v>
      </c>
      <c r="N129" s="20" t="s">
        <v>1460</v>
      </c>
      <c r="O129" s="20" t="s">
        <v>1460</v>
      </c>
    </row>
    <row r="130" spans="1:15" x14ac:dyDescent="0.25">
      <c r="A130" s="19" t="s">
        <v>10</v>
      </c>
      <c r="B130" s="19" t="str">
        <f>INDEX(Places[Type],MATCH(Expenditures[[#This Row],[Jurisdiction]],Places[Jurisdiction],0))</f>
        <v>City</v>
      </c>
      <c r="C130" s="19" t="str">
        <f>INDEX(Places[County],MATCH(Expenditures[[#This Row],[Jurisdiction]],Places[Jurisdiction],0))</f>
        <v>Los Angeles</v>
      </c>
      <c r="D130" s="19" t="str">
        <f>INDEX(Places[Majority RB],MATCH(Expenditures[[#This Row],[Jurisdiction]],Places[Jurisdiction],0))</f>
        <v>Los Angeles</v>
      </c>
      <c r="E130" s="19">
        <f>INDEX(Places[Majority RB '#],MATCH(Expenditures[[#This Row],[Jurisdiction]],Places[Jurisdiction],0))</f>
        <v>4</v>
      </c>
      <c r="F130" s="19" t="str">
        <f>VLOOKUP(Expenditures[[#This Row],[Jurisdiction]],Places[#All],8,FALSE)</f>
        <v>Phase I MS4</v>
      </c>
      <c r="G130" s="19"/>
      <c r="H130" s="21" t="s">
        <v>1870</v>
      </c>
      <c r="I130" s="21">
        <f>VALUE(LEFT(Expenditures[[#This Row],[Fiscal Year]],4))</f>
        <v>2011</v>
      </c>
      <c r="J130" s="20">
        <v>2000900</v>
      </c>
      <c r="K130" s="20">
        <f>IF(Expenditures[[#This Row],[Reference Year]]&gt;2018,Expenditures[[#This Row],[Value]],Expenditures[[#This Row],[Value]]*(1+VLOOKUP(Expenditures[[#This Row],[Reference Year]],Inflation[#All],3,FALSE)))</f>
        <v>2238721.5113383727</v>
      </c>
      <c r="L130" s="105">
        <f>VALUE(Expenditures[[#This Row],[2018 $ Value]]/VLOOKUP(Expenditures[[#This Row],[Jurisdiction]],Places[],6,FALSE))</f>
        <v>133.90283577596583</v>
      </c>
      <c r="M130" s="105">
        <f>VALUE(Expenditures[[#This Row],[2018 $ Value]]/VLOOKUP(Expenditures[[#This Row],[Jurisdiction]],Places[],7,FALSE))</f>
        <v>407040.27478879504</v>
      </c>
      <c r="N130" s="20" t="s">
        <v>1460</v>
      </c>
      <c r="O130" s="20" t="s">
        <v>1460</v>
      </c>
    </row>
    <row r="131" spans="1:15" x14ac:dyDescent="0.25">
      <c r="A131" s="19" t="s">
        <v>10</v>
      </c>
      <c r="B131" s="19" t="str">
        <f>INDEX(Places[Type],MATCH(Expenditures[[#This Row],[Jurisdiction]],Places[Jurisdiction],0))</f>
        <v>City</v>
      </c>
      <c r="C131" s="19" t="str">
        <f>INDEX(Places[County],MATCH(Expenditures[[#This Row],[Jurisdiction]],Places[Jurisdiction],0))</f>
        <v>Los Angeles</v>
      </c>
      <c r="D131" s="19" t="str">
        <f>INDEX(Places[Majority RB],MATCH(Expenditures[[#This Row],[Jurisdiction]],Places[Jurisdiction],0))</f>
        <v>Los Angeles</v>
      </c>
      <c r="E131" s="19">
        <f>INDEX(Places[Majority RB '#],MATCH(Expenditures[[#This Row],[Jurisdiction]],Places[Jurisdiction],0))</f>
        <v>4</v>
      </c>
      <c r="F131" s="19" t="str">
        <f>VLOOKUP(Expenditures[[#This Row],[Jurisdiction]],Places[#All],8,FALSE)</f>
        <v>Phase I MS4</v>
      </c>
      <c r="G131" s="19"/>
      <c r="H131" s="27" t="s">
        <v>1873</v>
      </c>
      <c r="I131" s="21">
        <f>VALUE(LEFT(Expenditures[[#This Row],[Fiscal Year]],4))</f>
        <v>2015</v>
      </c>
      <c r="J131" s="27">
        <v>2284600</v>
      </c>
      <c r="K131" s="20">
        <f>IF(Expenditures[[#This Row],[Reference Year]]&gt;2018,Expenditures[[#This Row],[Value]],Expenditures[[#This Row],[Value]]*(1+VLOOKUP(Expenditures[[#This Row],[Reference Year]],Inflation[#All],3,FALSE)))</f>
        <v>2425637.9012658228</v>
      </c>
      <c r="L131" s="105">
        <f>VALUE(Expenditures[[#This Row],[2018 $ Value]]/VLOOKUP(Expenditures[[#This Row],[Jurisdiction]],Places[],6,FALSE))</f>
        <v>145.08271435288131</v>
      </c>
      <c r="M131" s="105">
        <f>VALUE(Expenditures[[#This Row],[2018 $ Value]]/VLOOKUP(Expenditures[[#This Row],[Jurisdiction]],Places[],7,FALSE))</f>
        <v>441025.07295742235</v>
      </c>
      <c r="N131" s="20" t="s">
        <v>1853</v>
      </c>
      <c r="O131" s="20" t="s">
        <v>1853</v>
      </c>
    </row>
    <row r="132" spans="1:15" x14ac:dyDescent="0.25">
      <c r="A132" s="19" t="s">
        <v>125</v>
      </c>
      <c r="B132" s="19" t="str">
        <f>INDEX(Places[Type],MATCH(Expenditures[[#This Row],[Jurisdiction]],Places[Jurisdiction],0))</f>
        <v>City</v>
      </c>
      <c r="C132" s="19" t="str">
        <f>INDEX(Places[County],MATCH(Expenditures[[#This Row],[Jurisdiction]],Places[Jurisdiction],0))</f>
        <v>Sacramento</v>
      </c>
      <c r="D132" s="19" t="str">
        <f>INDEX(Places[Majority RB],MATCH(Expenditures[[#This Row],[Jurisdiction]],Places[Jurisdiction],0))</f>
        <v>Central Valley</v>
      </c>
      <c r="E132" s="19">
        <f>INDEX(Places[Majority RB '#],MATCH(Expenditures[[#This Row],[Jurisdiction]],Places[Jurisdiction],0))</f>
        <v>5</v>
      </c>
      <c r="F132" s="19" t="str">
        <f>VLOOKUP(Expenditures[[#This Row],[Jurisdiction]],Places[#All],8,FALSE)</f>
        <v>Phase I MS4</v>
      </c>
      <c r="G132" s="19"/>
      <c r="H132" s="21" t="s">
        <v>1870</v>
      </c>
      <c r="I132" s="21">
        <f>VALUE(LEFT(Expenditures[[#This Row],[Fiscal Year]],4))</f>
        <v>2011</v>
      </c>
      <c r="J132" s="20">
        <v>637200</v>
      </c>
      <c r="K132" s="20">
        <f>IF(Expenditures[[#This Row],[Reference Year]]&gt;2018,Expenditures[[#This Row],[Value]],Expenditures[[#This Row],[Value]]*(1+VLOOKUP(Expenditures[[#This Row],[Reference Year]],Inflation[#All],3,FALSE)))</f>
        <v>712935.85237883509</v>
      </c>
      <c r="L132" s="105">
        <f>VALUE(Expenditures[[#This Row],[2018 $ Value]]/VLOOKUP(Expenditures[[#This Row],[Jurisdiction]],Places[],6,FALSE))</f>
        <v>4.1237338614973744</v>
      </c>
      <c r="M132" s="105">
        <f>VALUE(Expenditures[[#This Row],[2018 $ Value]]/VLOOKUP(Expenditures[[#This Row],[Jurisdiction]],Places[],7,FALSE))</f>
        <v>16894.214511346803</v>
      </c>
      <c r="N132" s="20" t="s">
        <v>1460</v>
      </c>
      <c r="O132" s="20" t="s">
        <v>1460</v>
      </c>
    </row>
    <row r="133" spans="1:15" x14ac:dyDescent="0.25">
      <c r="A133" s="19" t="s">
        <v>125</v>
      </c>
      <c r="B133" s="19" t="str">
        <f>INDEX(Places[Type],MATCH(Expenditures[[#This Row],[Jurisdiction]],Places[Jurisdiction],0))</f>
        <v>City</v>
      </c>
      <c r="C133" s="19" t="str">
        <f>INDEX(Places[County],MATCH(Expenditures[[#This Row],[Jurisdiction]],Places[Jurisdiction],0))</f>
        <v>Sacramento</v>
      </c>
      <c r="D133" s="19" t="str">
        <f>INDEX(Places[Majority RB],MATCH(Expenditures[[#This Row],[Jurisdiction]],Places[Jurisdiction],0))</f>
        <v>Central Valley</v>
      </c>
      <c r="E133" s="19">
        <f>INDEX(Places[Majority RB '#],MATCH(Expenditures[[#This Row],[Jurisdiction]],Places[Jurisdiction],0))</f>
        <v>5</v>
      </c>
      <c r="F133" s="19" t="str">
        <f>VLOOKUP(Expenditures[[#This Row],[Jurisdiction]],Places[#All],8,FALSE)</f>
        <v>Phase I MS4</v>
      </c>
      <c r="G133" s="19"/>
      <c r="H133" s="21" t="s">
        <v>1871</v>
      </c>
      <c r="I133" s="21">
        <f>VALUE(LEFT(Expenditures[[#This Row],[Fiscal Year]],4))</f>
        <v>2012</v>
      </c>
      <c r="J133" s="20">
        <v>686100</v>
      </c>
      <c r="K133" s="20">
        <f>IF(Expenditures[[#This Row],[Reference Year]]&gt;2018,Expenditures[[#This Row],[Value]],Expenditures[[#This Row],[Value]]*(1+VLOOKUP(Expenditures[[#This Row],[Reference Year]],Inflation[#All],3,FALSE)))</f>
        <v>751933.92465156794</v>
      </c>
      <c r="L133" s="105">
        <f>VALUE(Expenditures[[#This Row],[2018 $ Value]]/VLOOKUP(Expenditures[[#This Row],[Jurisdiction]],Places[],6,FALSE))</f>
        <v>4.3493048867552488</v>
      </c>
      <c r="M133" s="105">
        <f>VALUE(Expenditures[[#This Row],[2018 $ Value]]/VLOOKUP(Expenditures[[#This Row],[Jurisdiction]],Places[],7,FALSE))</f>
        <v>17818.339446719619</v>
      </c>
      <c r="N133" s="20" t="s">
        <v>1460</v>
      </c>
      <c r="O133" s="20" t="s">
        <v>1460</v>
      </c>
    </row>
    <row r="134" spans="1:15" x14ac:dyDescent="0.25">
      <c r="A134" s="19" t="s">
        <v>125</v>
      </c>
      <c r="B134" s="19" t="str">
        <f>INDEX(Places[Type],MATCH(Expenditures[[#This Row],[Jurisdiction]],Places[Jurisdiction],0))</f>
        <v>City</v>
      </c>
      <c r="C134" s="19" t="str">
        <f>INDEX(Places[County],MATCH(Expenditures[[#This Row],[Jurisdiction]],Places[Jurisdiction],0))</f>
        <v>Sacramento</v>
      </c>
      <c r="D134" s="19" t="str">
        <f>INDEX(Places[Majority RB],MATCH(Expenditures[[#This Row],[Jurisdiction]],Places[Jurisdiction],0))</f>
        <v>Central Valley</v>
      </c>
      <c r="E134" s="19">
        <f>INDEX(Places[Majority RB '#],MATCH(Expenditures[[#This Row],[Jurisdiction]],Places[Jurisdiction],0))</f>
        <v>5</v>
      </c>
      <c r="F134" s="19" t="str">
        <f>VLOOKUP(Expenditures[[#This Row],[Jurisdiction]],Places[#All],8,FALSE)</f>
        <v>Phase I MS4</v>
      </c>
      <c r="G134" s="19"/>
      <c r="H134" s="21" t="s">
        <v>1880</v>
      </c>
      <c r="I134" s="21">
        <f>VALUE(LEFT(Expenditures[[#This Row],[Fiscal Year]],4))</f>
        <v>2013</v>
      </c>
      <c r="J134" s="20">
        <v>769100</v>
      </c>
      <c r="K134" s="20">
        <f>IF(Expenditures[[#This Row],[Reference Year]]&gt;2018,Expenditures[[#This Row],[Value]],Expenditures[[#This Row],[Value]]*(1+VLOOKUP(Expenditures[[#This Row],[Reference Year]],Inflation[#All],3,FALSE)))</f>
        <v>830598.29227467813</v>
      </c>
      <c r="L134" s="105">
        <f>VALUE(Expenditures[[#This Row],[2018 $ Value]]/VLOOKUP(Expenditures[[#This Row],[Jurisdiction]],Places[],6,FALSE))</f>
        <v>4.8043120453632921</v>
      </c>
      <c r="M134" s="105">
        <f>VALUE(Expenditures[[#This Row],[2018 $ Value]]/VLOOKUP(Expenditures[[#This Row],[Jurisdiction]],Places[],7,FALSE))</f>
        <v>19682.423987551614</v>
      </c>
      <c r="N134" s="20" t="s">
        <v>1460</v>
      </c>
      <c r="O134" s="20" t="s">
        <v>1460</v>
      </c>
    </row>
    <row r="135" spans="1:15" x14ac:dyDescent="0.25">
      <c r="A135" s="19" t="s">
        <v>125</v>
      </c>
      <c r="B135" s="19" t="str">
        <f>INDEX(Places[Type],MATCH(Expenditures[[#This Row],[Jurisdiction]],Places[Jurisdiction],0))</f>
        <v>City</v>
      </c>
      <c r="C135" s="19" t="str">
        <f>INDEX(Places[County],MATCH(Expenditures[[#This Row],[Jurisdiction]],Places[Jurisdiction],0))</f>
        <v>Sacramento</v>
      </c>
      <c r="D135" s="19" t="str">
        <f>INDEX(Places[Majority RB],MATCH(Expenditures[[#This Row],[Jurisdiction]],Places[Jurisdiction],0))</f>
        <v>Central Valley</v>
      </c>
      <c r="E135" s="19">
        <f>INDEX(Places[Majority RB '#],MATCH(Expenditures[[#This Row],[Jurisdiction]],Places[Jurisdiction],0))</f>
        <v>5</v>
      </c>
      <c r="F135" s="19" t="str">
        <f>VLOOKUP(Expenditures[[#This Row],[Jurisdiction]],Places[#All],8,FALSE)</f>
        <v>Phase I MS4</v>
      </c>
      <c r="G135" s="19"/>
      <c r="H135" s="21" t="s">
        <v>1881</v>
      </c>
      <c r="I135" s="21">
        <f>VALUE(LEFT(Expenditures[[#This Row],[Fiscal Year]],4))</f>
        <v>2014</v>
      </c>
      <c r="J135" s="20">
        <v>822640</v>
      </c>
      <c r="K135" s="20">
        <f>IF(Expenditures[[#This Row],[Reference Year]]&gt;2018,Expenditures[[#This Row],[Value]],Expenditures[[#This Row],[Value]]*(1+VLOOKUP(Expenditures[[#This Row],[Reference Year]],Inflation[#All],3,FALSE)))</f>
        <v>874532.00608365028</v>
      </c>
      <c r="L135" s="105">
        <f>VALUE(Expenditures[[#This Row],[2018 $ Value]]/VLOOKUP(Expenditures[[#This Row],[Jurisdiction]],Places[],6,FALSE))</f>
        <v>5.0584316028113916</v>
      </c>
      <c r="M135" s="105">
        <f>VALUE(Expenditures[[#This Row],[2018 $ Value]]/VLOOKUP(Expenditures[[#This Row],[Jurisdiction]],Places[],7,FALSE))</f>
        <v>20723.507253167067</v>
      </c>
      <c r="N135" s="20" t="s">
        <v>1460</v>
      </c>
      <c r="O135" s="20" t="s">
        <v>1460</v>
      </c>
    </row>
    <row r="136" spans="1:15" x14ac:dyDescent="0.25">
      <c r="A136" s="19" t="s">
        <v>125</v>
      </c>
      <c r="B136" s="19" t="str">
        <f>INDEX(Places[Type],MATCH(Expenditures[[#This Row],[Jurisdiction]],Places[Jurisdiction],0))</f>
        <v>City</v>
      </c>
      <c r="C136" s="19" t="str">
        <f>INDEX(Places[County],MATCH(Expenditures[[#This Row],[Jurisdiction]],Places[Jurisdiction],0))</f>
        <v>Sacramento</v>
      </c>
      <c r="D136" s="19" t="str">
        <f>INDEX(Places[Majority RB],MATCH(Expenditures[[#This Row],[Jurisdiction]],Places[Jurisdiction],0))</f>
        <v>Central Valley</v>
      </c>
      <c r="E136" s="19">
        <f>INDEX(Places[Majority RB '#],MATCH(Expenditures[[#This Row],[Jurisdiction]],Places[Jurisdiction],0))</f>
        <v>5</v>
      </c>
      <c r="F136" s="19" t="str">
        <f>VLOOKUP(Expenditures[[#This Row],[Jurisdiction]],Places[#All],8,FALSE)</f>
        <v>Phase I MS4</v>
      </c>
      <c r="G136" s="19"/>
      <c r="H136" s="21" t="s">
        <v>1873</v>
      </c>
      <c r="I136" s="21">
        <f>VALUE(LEFT(Expenditures[[#This Row],[Fiscal Year]],4))</f>
        <v>2015</v>
      </c>
      <c r="J136" s="20">
        <v>909989</v>
      </c>
      <c r="K136" s="20">
        <f>IF(Expenditures[[#This Row],[Reference Year]]&gt;2018,Expenditures[[#This Row],[Value]],Expenditures[[#This Row],[Value]]*(1+VLOOKUP(Expenditures[[#This Row],[Reference Year]],Inflation[#All],3,FALSE)))</f>
        <v>966166.42218987341</v>
      </c>
      <c r="L136" s="105">
        <f>VALUE(Expenditures[[#This Row],[2018 $ Value]]/VLOOKUP(Expenditures[[#This Row],[Jurisdiction]],Places[],6,FALSE))</f>
        <v>5.5884595756155697</v>
      </c>
      <c r="M136" s="105">
        <f>VALUE(Expenditures[[#This Row],[2018 $ Value]]/VLOOKUP(Expenditures[[#This Row],[Jurisdiction]],Places[],7,FALSE))</f>
        <v>22894.938914451974</v>
      </c>
      <c r="N136" s="20" t="s">
        <v>1853</v>
      </c>
      <c r="O136" s="20" t="s">
        <v>1853</v>
      </c>
    </row>
    <row r="137" spans="1:15" x14ac:dyDescent="0.25">
      <c r="A137" s="19" t="s">
        <v>303</v>
      </c>
      <c r="B137" s="19" t="str">
        <f>INDEX(Places[Type],MATCH(Expenditures[[#This Row],[Jurisdiction]],Places[Jurisdiction],0))</f>
        <v>City</v>
      </c>
      <c r="C137" s="19" t="str">
        <f>INDEX(Places[County],MATCH(Expenditures[[#This Row],[Jurisdiction]],Places[Jurisdiction],0))</f>
        <v>San Diego</v>
      </c>
      <c r="D137" s="19" t="str">
        <f>INDEX(Places[Majority RB],MATCH(Expenditures[[#This Row],[Jurisdiction]],Places[Jurisdiction],0))</f>
        <v>San Diego</v>
      </c>
      <c r="E137" s="19">
        <f>INDEX(Places[Majority RB '#],MATCH(Expenditures[[#This Row],[Jurisdiction]],Places[Jurisdiction],0))</f>
        <v>9</v>
      </c>
      <c r="F137" s="19" t="str">
        <f>VLOOKUP(Expenditures[[#This Row],[Jurisdiction]],Places[#All],8,FALSE)</f>
        <v>Phase I MS4</v>
      </c>
      <c r="G137" s="19"/>
      <c r="H137" s="19" t="s">
        <v>1869</v>
      </c>
      <c r="I137" s="21">
        <f>VALUE(LEFT(Expenditures[[#This Row],[Fiscal Year]],4))</f>
        <v>2016</v>
      </c>
      <c r="J137" s="20">
        <v>2861435</v>
      </c>
      <c r="K137" s="20">
        <f>IF(Expenditures[[#This Row],[Reference Year]]&gt;2018,Expenditures[[#This Row],[Value]],Expenditures[[#This Row],[Value]]*(1+VLOOKUP(Expenditures[[#This Row],[Reference Year]],Inflation[#All],3,FALSE)))</f>
        <v>3000107.2936875001</v>
      </c>
      <c r="L137" s="105">
        <f>VALUE(Expenditures[[#This Row],[2018 $ Value]]/VLOOKUP(Expenditures[[#This Row],[Jurisdiction]],Places[],6,FALSE))</f>
        <v>47.693426390809805</v>
      </c>
      <c r="M137" s="105">
        <f>VALUE(Expenditures[[#This Row],[2018 $ Value]]/VLOOKUP(Expenditures[[#This Row],[Jurisdiction]],Places[],7,FALSE))</f>
        <v>159580.17519614362</v>
      </c>
      <c r="N137" s="20" t="s">
        <v>1460</v>
      </c>
      <c r="O137" s="20" t="s">
        <v>1460</v>
      </c>
    </row>
    <row r="138" spans="1:15" x14ac:dyDescent="0.25">
      <c r="A138" s="19" t="s">
        <v>303</v>
      </c>
      <c r="B138" s="19" t="str">
        <f>INDEX(Places[Type],MATCH(Expenditures[[#This Row],[Jurisdiction]],Places[Jurisdiction],0))</f>
        <v>City</v>
      </c>
      <c r="C138" s="19" t="str">
        <f>INDEX(Places[County],MATCH(Expenditures[[#This Row],[Jurisdiction]],Places[Jurisdiction],0))</f>
        <v>San Diego</v>
      </c>
      <c r="D138" s="19" t="str">
        <f>INDEX(Places[Majority RB],MATCH(Expenditures[[#This Row],[Jurisdiction]],Places[Jurisdiction],0))</f>
        <v>San Diego</v>
      </c>
      <c r="E138" s="19">
        <f>INDEX(Places[Majority RB '#],MATCH(Expenditures[[#This Row],[Jurisdiction]],Places[Jurisdiction],0))</f>
        <v>9</v>
      </c>
      <c r="F138" s="19" t="str">
        <f>VLOOKUP(Expenditures[[#This Row],[Jurisdiction]],Places[#All],8,FALSE)</f>
        <v>Phase I MS4</v>
      </c>
      <c r="G138" s="19"/>
      <c r="H138" s="19" t="s">
        <v>1874</v>
      </c>
      <c r="I138" s="21">
        <f>VALUE(LEFT(Expenditures[[#This Row],[Fiscal Year]],4))</f>
        <v>2017</v>
      </c>
      <c r="J138" s="20">
        <v>2543707</v>
      </c>
      <c r="K138" s="20">
        <f>IF(Expenditures[[#This Row],[Reference Year]]&gt;2018,Expenditures[[#This Row],[Value]],Expenditures[[#This Row],[Value]]*(1+VLOOKUP(Expenditures[[#This Row],[Reference Year]],Inflation[#All],3,FALSE)))</f>
        <v>2611487.2954589967</v>
      </c>
      <c r="L138" s="105">
        <f>VALUE(Expenditures[[#This Row],[2018 $ Value]]/VLOOKUP(Expenditures[[#This Row],[Jurisdiction]],Places[],6,FALSE))</f>
        <v>41.515440917254814</v>
      </c>
      <c r="M138" s="105">
        <f>VALUE(Expenditures[[#This Row],[2018 $ Value]]/VLOOKUP(Expenditures[[#This Row],[Jurisdiction]],Places[],7,FALSE))</f>
        <v>138908.89869462748</v>
      </c>
      <c r="N138" s="20" t="s">
        <v>1853</v>
      </c>
      <c r="O138" s="20" t="s">
        <v>1853</v>
      </c>
    </row>
    <row r="139" spans="1:15" x14ac:dyDescent="0.25">
      <c r="A139" s="19" t="s">
        <v>304</v>
      </c>
      <c r="B139" s="19" t="str">
        <f>INDEX(Places[Type],MATCH(Expenditures[[#This Row],[Jurisdiction]],Places[Jurisdiction],0))</f>
        <v>City</v>
      </c>
      <c r="C139" s="19" t="str">
        <f>INDEX(Places[County],MATCH(Expenditures[[#This Row],[Jurisdiction]],Places[Jurisdiction],0))</f>
        <v>San Diego</v>
      </c>
      <c r="D139" s="19" t="str">
        <f>INDEX(Places[Majority RB],MATCH(Expenditures[[#This Row],[Jurisdiction]],Places[Jurisdiction],0))</f>
        <v>San Diego</v>
      </c>
      <c r="E139" s="19">
        <f>INDEX(Places[Majority RB '#],MATCH(Expenditures[[#This Row],[Jurisdiction]],Places[Jurisdiction],0))</f>
        <v>9</v>
      </c>
      <c r="F139" s="19" t="str">
        <f>VLOOKUP(Expenditures[[#This Row],[Jurisdiction]],Places[#All],8,FALSE)</f>
        <v>Phase I MS4</v>
      </c>
      <c r="G139" s="19"/>
      <c r="H139" s="19" t="s">
        <v>1869</v>
      </c>
      <c r="I139" s="21">
        <f>VALUE(LEFT(Expenditures[[#This Row],[Fiscal Year]],4))</f>
        <v>2016</v>
      </c>
      <c r="J139" s="20">
        <v>1605539</v>
      </c>
      <c r="K139" s="20">
        <f>IF(Expenditures[[#This Row],[Reference Year]]&gt;2018,Expenditures[[#This Row],[Value]],Expenditures[[#This Row],[Value]]*(1+VLOOKUP(Expenditures[[#This Row],[Reference Year]],Inflation[#All],3,FALSE)))</f>
        <v>1683347.4337875</v>
      </c>
      <c r="L139" s="105">
        <f>VALUE(Expenditures[[#This Row],[2018 $ Value]]/VLOOKUP(Expenditures[[#This Row],[Jurisdiction]],Places[],6,FALSE))</f>
        <v>11.059156798614442</v>
      </c>
      <c r="M139" s="105">
        <f>VALUE(Expenditures[[#This Row],[2018 $ Value]]/VLOOKUP(Expenditures[[#This Row],[Jurisdiction]],Places[],7,FALSE))</f>
        <v>45373.246193733154</v>
      </c>
      <c r="N139" s="20" t="s">
        <v>1460</v>
      </c>
      <c r="O139" s="20" t="s">
        <v>1460</v>
      </c>
    </row>
    <row r="140" spans="1:15" x14ac:dyDescent="0.25">
      <c r="A140" s="19" t="s">
        <v>304</v>
      </c>
      <c r="B140" s="19" t="str">
        <f>INDEX(Places[Type],MATCH(Expenditures[[#This Row],[Jurisdiction]],Places[Jurisdiction],0))</f>
        <v>City</v>
      </c>
      <c r="C140" s="19" t="str">
        <f>INDEX(Places[County],MATCH(Expenditures[[#This Row],[Jurisdiction]],Places[Jurisdiction],0))</f>
        <v>San Diego</v>
      </c>
      <c r="D140" s="19" t="str">
        <f>INDEX(Places[Majority RB],MATCH(Expenditures[[#This Row],[Jurisdiction]],Places[Jurisdiction],0))</f>
        <v>San Diego</v>
      </c>
      <c r="E140" s="19">
        <f>INDEX(Places[Majority RB '#],MATCH(Expenditures[[#This Row],[Jurisdiction]],Places[Jurisdiction],0))</f>
        <v>9</v>
      </c>
      <c r="F140" s="19" t="str">
        <f>VLOOKUP(Expenditures[[#This Row],[Jurisdiction]],Places[#All],8,FALSE)</f>
        <v>Phase I MS4</v>
      </c>
      <c r="G140" s="19"/>
      <c r="H140" s="19" t="s">
        <v>1874</v>
      </c>
      <c r="I140" s="21">
        <f>VALUE(LEFT(Expenditures[[#This Row],[Fiscal Year]],4))</f>
        <v>2017</v>
      </c>
      <c r="J140" s="20">
        <v>1903118</v>
      </c>
      <c r="K140" s="20">
        <f>IF(Expenditures[[#This Row],[Reference Year]]&gt;2018,Expenditures[[#This Row],[Value]],Expenditures[[#This Row],[Value]]*(1+VLOOKUP(Expenditures[[#This Row],[Reference Year]],Inflation[#All],3,FALSE)))</f>
        <v>1953828.9900367199</v>
      </c>
      <c r="L140" s="105">
        <f>VALUE(Expenditures[[#This Row],[2018 $ Value]]/VLOOKUP(Expenditures[[#This Row],[Jurisdiction]],Places[],6,FALSE))</f>
        <v>12.836150591846426</v>
      </c>
      <c r="M140" s="105">
        <f>VALUE(Expenditures[[#This Row],[2018 $ Value]]/VLOOKUP(Expenditures[[#This Row],[Jurisdiction]],Places[],7,FALSE))</f>
        <v>52663.854178887326</v>
      </c>
      <c r="N140" s="20" t="s">
        <v>1853</v>
      </c>
      <c r="O140" s="20" t="s">
        <v>1853</v>
      </c>
    </row>
    <row r="141" spans="1:15" x14ac:dyDescent="0.25">
      <c r="A141" s="19" t="s">
        <v>126</v>
      </c>
      <c r="B141" s="19" t="str">
        <f>INDEX(Places[Type],MATCH(Expenditures[[#This Row],[Jurisdiction]],Places[Jurisdiction],0))</f>
        <v>City</v>
      </c>
      <c r="C141" s="19" t="str">
        <f>INDEX(Places[County],MATCH(Expenditures[[#This Row],[Jurisdiction]],Places[Jurisdiction],0))</f>
        <v>Sacramento</v>
      </c>
      <c r="D141" s="19" t="str">
        <f>INDEX(Places[Majority RB],MATCH(Expenditures[[#This Row],[Jurisdiction]],Places[Jurisdiction],0))</f>
        <v>Central Valley</v>
      </c>
      <c r="E141" s="19">
        <f>INDEX(Places[Majority RB '#],MATCH(Expenditures[[#This Row],[Jurisdiction]],Places[Jurisdiction],0))</f>
        <v>5</v>
      </c>
      <c r="F141" s="19" t="str">
        <f>VLOOKUP(Expenditures[[#This Row],[Jurisdiction]],Places[#All],8,FALSE)</f>
        <v>Phase I MS4</v>
      </c>
      <c r="G141" s="19"/>
      <c r="H141" s="21" t="s">
        <v>1870</v>
      </c>
      <c r="I141" s="21">
        <f>VALUE(LEFT(Expenditures[[#This Row],[Fiscal Year]],4))</f>
        <v>2011</v>
      </c>
      <c r="J141" s="20">
        <v>453718</v>
      </c>
      <c r="K141" s="20">
        <f>IF(Expenditures[[#This Row],[Reference Year]]&gt;2018,Expenditures[[#This Row],[Value]],Expenditures[[#This Row],[Value]]*(1+VLOOKUP(Expenditures[[#This Row],[Reference Year]],Inflation[#All],3,FALSE)))</f>
        <v>507645.68278345931</v>
      </c>
      <c r="L141" s="105">
        <f>VALUE(Expenditures[[#This Row],[2018 $ Value]]/VLOOKUP(Expenditures[[#This Row],[Jurisdiction]],Places[],6,FALSE))</f>
        <v>6.4241057273096009</v>
      </c>
      <c r="M141" s="105">
        <f>VALUE(Expenditures[[#This Row],[2018 $ Value]]/VLOOKUP(Expenditures[[#This Row],[Jurisdiction]],Places[],7,FALSE))</f>
        <v>18326.558945251239</v>
      </c>
      <c r="N141" s="20" t="s">
        <v>1460</v>
      </c>
      <c r="O141" s="20" t="s">
        <v>1460</v>
      </c>
    </row>
    <row r="142" spans="1:15" x14ac:dyDescent="0.25">
      <c r="A142" s="19" t="s">
        <v>126</v>
      </c>
      <c r="B142" s="19" t="str">
        <f>INDEX(Places[Type],MATCH(Expenditures[[#This Row],[Jurisdiction]],Places[Jurisdiction],0))</f>
        <v>City</v>
      </c>
      <c r="C142" s="19" t="str">
        <f>INDEX(Places[County],MATCH(Expenditures[[#This Row],[Jurisdiction]],Places[Jurisdiction],0))</f>
        <v>Sacramento</v>
      </c>
      <c r="D142" s="19" t="str">
        <f>INDEX(Places[Majority RB],MATCH(Expenditures[[#This Row],[Jurisdiction]],Places[Jurisdiction],0))</f>
        <v>Central Valley</v>
      </c>
      <c r="E142" s="19">
        <f>INDEX(Places[Majority RB '#],MATCH(Expenditures[[#This Row],[Jurisdiction]],Places[Jurisdiction],0))</f>
        <v>5</v>
      </c>
      <c r="F142" s="19" t="str">
        <f>VLOOKUP(Expenditures[[#This Row],[Jurisdiction]],Places[#All],8,FALSE)</f>
        <v>Phase I MS4</v>
      </c>
      <c r="G142" s="19"/>
      <c r="H142" s="21" t="s">
        <v>1871</v>
      </c>
      <c r="I142" s="21">
        <f>VALUE(LEFT(Expenditures[[#This Row],[Fiscal Year]],4))</f>
        <v>2012</v>
      </c>
      <c r="J142" s="20">
        <v>843291</v>
      </c>
      <c r="K142" s="20">
        <f>IF(Expenditures[[#This Row],[Reference Year]]&gt;2018,Expenditures[[#This Row],[Value]],Expenditures[[#This Row],[Value]]*(1+VLOOKUP(Expenditures[[#This Row],[Reference Year]],Inflation[#All],3,FALSE)))</f>
        <v>924208.00357578404</v>
      </c>
      <c r="L142" s="105">
        <f>VALUE(Expenditures[[#This Row],[2018 $ Value]]/VLOOKUP(Expenditures[[#This Row],[Jurisdiction]],Places[],6,FALSE))</f>
        <v>11.695578491759054</v>
      </c>
      <c r="M142" s="105">
        <f>VALUE(Expenditures[[#This Row],[2018 $ Value]]/VLOOKUP(Expenditures[[#This Row],[Jurisdiction]],Places[],7,FALSE))</f>
        <v>33364.909876382095</v>
      </c>
      <c r="N142" s="20" t="s">
        <v>1460</v>
      </c>
      <c r="O142" s="20" t="s">
        <v>1460</v>
      </c>
    </row>
    <row r="143" spans="1:15" x14ac:dyDescent="0.25">
      <c r="A143" s="19" t="s">
        <v>126</v>
      </c>
      <c r="B143" s="19" t="str">
        <f>INDEX(Places[Type],MATCH(Expenditures[[#This Row],[Jurisdiction]],Places[Jurisdiction],0))</f>
        <v>City</v>
      </c>
      <c r="C143" s="19" t="str">
        <f>INDEX(Places[County],MATCH(Expenditures[[#This Row],[Jurisdiction]],Places[Jurisdiction],0))</f>
        <v>Sacramento</v>
      </c>
      <c r="D143" s="19" t="str">
        <f>INDEX(Places[Majority RB],MATCH(Expenditures[[#This Row],[Jurisdiction]],Places[Jurisdiction],0))</f>
        <v>Central Valley</v>
      </c>
      <c r="E143" s="19">
        <f>INDEX(Places[Majority RB '#],MATCH(Expenditures[[#This Row],[Jurisdiction]],Places[Jurisdiction],0))</f>
        <v>5</v>
      </c>
      <c r="F143" s="19" t="str">
        <f>VLOOKUP(Expenditures[[#This Row],[Jurisdiction]],Places[#All],8,FALSE)</f>
        <v>Phase I MS4</v>
      </c>
      <c r="G143" s="19"/>
      <c r="H143" s="21" t="s">
        <v>1880</v>
      </c>
      <c r="I143" s="21">
        <f>VALUE(LEFT(Expenditures[[#This Row],[Fiscal Year]],4))</f>
        <v>2013</v>
      </c>
      <c r="J143" s="20">
        <v>725284</v>
      </c>
      <c r="K143" s="20">
        <f>IF(Expenditures[[#This Row],[Reference Year]]&gt;2018,Expenditures[[#This Row],[Value]],Expenditures[[#This Row],[Value]]*(1+VLOOKUP(Expenditures[[#This Row],[Reference Year]],Inflation[#All],3,FALSE)))</f>
        <v>783278.7047381975</v>
      </c>
      <c r="L143" s="105">
        <f>VALUE(Expenditures[[#This Row],[2018 $ Value]]/VLOOKUP(Expenditures[[#This Row],[Jurisdiction]],Places[],6,FALSE))</f>
        <v>9.9121599647971141</v>
      </c>
      <c r="M143" s="105">
        <f>VALUE(Expenditures[[#This Row],[2018 $ Value]]/VLOOKUP(Expenditures[[#This Row],[Jurisdiction]],Places[],7,FALSE))</f>
        <v>28277.209557335649</v>
      </c>
      <c r="N143" s="20" t="s">
        <v>1460</v>
      </c>
      <c r="O143" s="20" t="s">
        <v>1460</v>
      </c>
    </row>
    <row r="144" spans="1:15" x14ac:dyDescent="0.25">
      <c r="A144" s="19" t="s">
        <v>126</v>
      </c>
      <c r="B144" s="19" t="str">
        <f>INDEX(Places[Type],MATCH(Expenditures[[#This Row],[Jurisdiction]],Places[Jurisdiction],0))</f>
        <v>City</v>
      </c>
      <c r="C144" s="19" t="str">
        <f>INDEX(Places[County],MATCH(Expenditures[[#This Row],[Jurisdiction]],Places[Jurisdiction],0))</f>
        <v>Sacramento</v>
      </c>
      <c r="D144" s="19" t="str">
        <f>INDEX(Places[Majority RB],MATCH(Expenditures[[#This Row],[Jurisdiction]],Places[Jurisdiction],0))</f>
        <v>Central Valley</v>
      </c>
      <c r="E144" s="19">
        <f>INDEX(Places[Majority RB '#],MATCH(Expenditures[[#This Row],[Jurisdiction]],Places[Jurisdiction],0))</f>
        <v>5</v>
      </c>
      <c r="F144" s="19" t="str">
        <f>VLOOKUP(Expenditures[[#This Row],[Jurisdiction]],Places[#All],8,FALSE)</f>
        <v>Phase I MS4</v>
      </c>
      <c r="G144" s="19"/>
      <c r="H144" s="21" t="s">
        <v>1881</v>
      </c>
      <c r="I144" s="21">
        <f>VALUE(LEFT(Expenditures[[#This Row],[Fiscal Year]],4))</f>
        <v>2014</v>
      </c>
      <c r="J144" s="20">
        <v>838950</v>
      </c>
      <c r="K144" s="20">
        <f>IF(Expenditures[[#This Row],[Reference Year]]&gt;2018,Expenditures[[#This Row],[Value]],Expenditures[[#This Row],[Value]]*(1+VLOOKUP(Expenditures[[#This Row],[Reference Year]],Inflation[#All],3,FALSE)))</f>
        <v>891870.83840304194</v>
      </c>
      <c r="L144" s="105">
        <f>VALUE(Expenditures[[#This Row],[2018 $ Value]]/VLOOKUP(Expenditures[[#This Row],[Jurisdiction]],Places[],6,FALSE))</f>
        <v>11.286361246273721</v>
      </c>
      <c r="M144" s="105">
        <f>VALUE(Expenditures[[#This Row],[2018 $ Value]]/VLOOKUP(Expenditures[[#This Row],[Jurisdiction]],Places[],7,FALSE))</f>
        <v>32197.503191445558</v>
      </c>
      <c r="N144" s="20" t="s">
        <v>1460</v>
      </c>
      <c r="O144" s="20" t="s">
        <v>1460</v>
      </c>
    </row>
    <row r="145" spans="1:15" x14ac:dyDescent="0.25">
      <c r="A145" s="19" t="s">
        <v>126</v>
      </c>
      <c r="B145" s="19" t="str">
        <f>INDEX(Places[Type],MATCH(Expenditures[[#This Row],[Jurisdiction]],Places[Jurisdiction],0))</f>
        <v>City</v>
      </c>
      <c r="C145" s="19" t="str">
        <f>INDEX(Places[County],MATCH(Expenditures[[#This Row],[Jurisdiction]],Places[Jurisdiction],0))</f>
        <v>Sacramento</v>
      </c>
      <c r="D145" s="19" t="str">
        <f>INDEX(Places[Majority RB],MATCH(Expenditures[[#This Row],[Jurisdiction]],Places[Jurisdiction],0))</f>
        <v>Central Valley</v>
      </c>
      <c r="E145" s="19">
        <f>INDEX(Places[Majority RB '#],MATCH(Expenditures[[#This Row],[Jurisdiction]],Places[Jurisdiction],0))</f>
        <v>5</v>
      </c>
      <c r="F145" s="19" t="str">
        <f>VLOOKUP(Expenditures[[#This Row],[Jurisdiction]],Places[#All],8,FALSE)</f>
        <v>Phase I MS4</v>
      </c>
      <c r="G145" s="19"/>
      <c r="H145" s="21" t="s">
        <v>1873</v>
      </c>
      <c r="I145" s="21">
        <f>VALUE(LEFT(Expenditures[[#This Row],[Fiscal Year]],4))</f>
        <v>2015</v>
      </c>
      <c r="J145" s="20">
        <v>824268</v>
      </c>
      <c r="K145" s="20">
        <f>IF(Expenditures[[#This Row],[Reference Year]]&gt;2018,Expenditures[[#This Row],[Value]],Expenditures[[#This Row],[Value]]*(1+VLOOKUP(Expenditures[[#This Row],[Reference Year]],Inflation[#All],3,FALSE)))</f>
        <v>875153.5067848101</v>
      </c>
      <c r="L145" s="105">
        <f>VALUE(Expenditures[[#This Row],[2018 $ Value]]/VLOOKUP(Expenditures[[#This Row],[Jurisdiction]],Places[],6,FALSE))</f>
        <v>11.074808367097898</v>
      </c>
      <c r="M145" s="105">
        <f>VALUE(Expenditures[[#This Row],[2018 $ Value]]/VLOOKUP(Expenditures[[#This Row],[Jurisdiction]],Places[],7,FALSE))</f>
        <v>31593.989414614083</v>
      </c>
      <c r="N145" s="20" t="s">
        <v>1853</v>
      </c>
      <c r="O145" s="20" t="s">
        <v>1853</v>
      </c>
    </row>
    <row r="146" spans="1:15" x14ac:dyDescent="0.25">
      <c r="A146" s="19" t="s">
        <v>244</v>
      </c>
      <c r="B146" s="19" t="str">
        <f>INDEX(Places[Type],MATCH(Expenditures[[#This Row],[Jurisdiction]],Places[Jurisdiction],0))</f>
        <v>City</v>
      </c>
      <c r="C146" s="19" t="str">
        <f>INDEX(Places[County],MATCH(Expenditures[[#This Row],[Jurisdiction]],Places[Jurisdiction],0))</f>
        <v>San Bernardino</v>
      </c>
      <c r="D146" s="19" t="str">
        <f>INDEX(Places[Majority RB],MATCH(Expenditures[[#This Row],[Jurisdiction]],Places[Jurisdiction],0))</f>
        <v>Santa Ana</v>
      </c>
      <c r="E146" s="19">
        <f>INDEX(Places[Majority RB '#],MATCH(Expenditures[[#This Row],[Jurisdiction]],Places[Jurisdiction],0))</f>
        <v>8</v>
      </c>
      <c r="F146" s="19" t="str">
        <f>VLOOKUP(Expenditures[[#This Row],[Jurisdiction]],Places[#All],8,FALSE)</f>
        <v>Phase I MS4</v>
      </c>
      <c r="G146" s="19"/>
      <c r="H146" s="21" t="s">
        <v>1870</v>
      </c>
      <c r="I146" s="21">
        <f>VALUE(LEFT(Expenditures[[#This Row],[Fiscal Year]],4))</f>
        <v>2011</v>
      </c>
      <c r="J146" s="20">
        <v>1895337</v>
      </c>
      <c r="K146" s="20">
        <f>IF(Expenditures[[#This Row],[Reference Year]]&gt;2018,Expenditures[[#This Row],[Value]],Expenditures[[#This Row],[Value]]*(1+VLOOKUP(Expenditures[[#This Row],[Reference Year]],Inflation[#All],3,FALSE)))</f>
        <v>2120611.5813561585</v>
      </c>
      <c r="L146" s="105">
        <f>VALUE(Expenditures[[#This Row],[2018 $ Value]]/VLOOKUP(Expenditures[[#This Row],[Jurisdiction]],Places[],6,FALSE))</f>
        <v>9.9215004344371334</v>
      </c>
      <c r="M146" s="105">
        <f>VALUE(Expenditures[[#This Row],[2018 $ Value]]/VLOOKUP(Expenditures[[#This Row],[Jurisdiction]],Places[],7,FALSE))</f>
        <v>49316.54840363159</v>
      </c>
      <c r="N146" s="20" t="s">
        <v>1460</v>
      </c>
      <c r="O146" s="20" t="s">
        <v>1460</v>
      </c>
    </row>
    <row r="147" spans="1:15" x14ac:dyDescent="0.25">
      <c r="A147" s="19" t="s">
        <v>244</v>
      </c>
      <c r="B147" s="19" t="str">
        <f>INDEX(Places[Type],MATCH(Expenditures[[#This Row],[Jurisdiction]],Places[Jurisdiction],0))</f>
        <v>City</v>
      </c>
      <c r="C147" s="19" t="str">
        <f>INDEX(Places[County],MATCH(Expenditures[[#This Row],[Jurisdiction]],Places[Jurisdiction],0))</f>
        <v>San Bernardino</v>
      </c>
      <c r="D147" s="19" t="str">
        <f>INDEX(Places[Majority RB],MATCH(Expenditures[[#This Row],[Jurisdiction]],Places[Jurisdiction],0))</f>
        <v>Santa Ana</v>
      </c>
      <c r="E147" s="19">
        <f>INDEX(Places[Majority RB '#],MATCH(Expenditures[[#This Row],[Jurisdiction]],Places[Jurisdiction],0))</f>
        <v>8</v>
      </c>
      <c r="F147" s="19" t="str">
        <f>VLOOKUP(Expenditures[[#This Row],[Jurisdiction]],Places[#All],8,FALSE)</f>
        <v>Phase I MS4</v>
      </c>
      <c r="G147" s="19"/>
      <c r="H147" s="21" t="s">
        <v>1871</v>
      </c>
      <c r="I147" s="21">
        <f>VALUE(LEFT(Expenditures[[#This Row],[Fiscal Year]],4))</f>
        <v>2012</v>
      </c>
      <c r="J147" s="20">
        <v>1978411</v>
      </c>
      <c r="K147" s="20">
        <f>IF(Expenditures[[#This Row],[Reference Year]]&gt;2018,Expenditures[[#This Row],[Value]],Expenditures[[#This Row],[Value]]*(1+VLOOKUP(Expenditures[[#This Row],[Reference Year]],Inflation[#All],3,FALSE)))</f>
        <v>2168247.1182099301</v>
      </c>
      <c r="L147" s="105">
        <f>VALUE(Expenditures[[#This Row],[2018 $ Value]]/VLOOKUP(Expenditures[[#This Row],[Jurisdiction]],Places[],6,FALSE))</f>
        <v>10.144368216422507</v>
      </c>
      <c r="M147" s="105">
        <f>VALUE(Expenditures[[#This Row],[2018 $ Value]]/VLOOKUP(Expenditures[[#This Row],[Jurisdiction]],Places[],7,FALSE))</f>
        <v>50424.351586277444</v>
      </c>
      <c r="N147" s="20" t="s">
        <v>1460</v>
      </c>
      <c r="O147" s="20" t="s">
        <v>1460</v>
      </c>
    </row>
    <row r="148" spans="1:15" x14ac:dyDescent="0.25">
      <c r="A148" s="19" t="s">
        <v>244</v>
      </c>
      <c r="B148" s="19" t="str">
        <f>INDEX(Places[Type],MATCH(Expenditures[[#This Row],[Jurisdiction]],Places[Jurisdiction],0))</f>
        <v>City</v>
      </c>
      <c r="C148" s="19" t="str">
        <f>INDEX(Places[County],MATCH(Expenditures[[#This Row],[Jurisdiction]],Places[Jurisdiction],0))</f>
        <v>San Bernardino</v>
      </c>
      <c r="D148" s="19" t="str">
        <f>INDEX(Places[Majority RB],MATCH(Expenditures[[#This Row],[Jurisdiction]],Places[Jurisdiction],0))</f>
        <v>Santa Ana</v>
      </c>
      <c r="E148" s="19">
        <f>INDEX(Places[Majority RB '#],MATCH(Expenditures[[#This Row],[Jurisdiction]],Places[Jurisdiction],0))</f>
        <v>8</v>
      </c>
      <c r="F148" s="19" t="str">
        <f>VLOOKUP(Expenditures[[#This Row],[Jurisdiction]],Places[#All],8,FALSE)</f>
        <v>Phase I MS4</v>
      </c>
      <c r="G148" s="19"/>
      <c r="H148" s="21" t="s">
        <v>1880</v>
      </c>
      <c r="I148" s="21">
        <f>VALUE(LEFT(Expenditures[[#This Row],[Fiscal Year]],4))</f>
        <v>2013</v>
      </c>
      <c r="J148" s="20">
        <v>1629644</v>
      </c>
      <c r="K148" s="20">
        <f>IF(Expenditures[[#This Row],[Reference Year]]&gt;2018,Expenditures[[#This Row],[Value]],Expenditures[[#This Row],[Value]]*(1+VLOOKUP(Expenditures[[#This Row],[Reference Year]],Inflation[#All],3,FALSE)))</f>
        <v>1759952.5723776824</v>
      </c>
      <c r="L148" s="105">
        <f>VALUE(Expenditures[[#This Row],[2018 $ Value]]/VLOOKUP(Expenditures[[#This Row],[Jurisdiction]],Places[],6,FALSE))</f>
        <v>8.2341199892283701</v>
      </c>
      <c r="M148" s="105">
        <f>VALUE(Expenditures[[#This Row],[2018 $ Value]]/VLOOKUP(Expenditures[[#This Row],[Jurisdiction]],Places[],7,FALSE))</f>
        <v>40929.129590178658</v>
      </c>
      <c r="N148" s="20" t="s">
        <v>1460</v>
      </c>
      <c r="O148" s="20" t="s">
        <v>1460</v>
      </c>
    </row>
    <row r="149" spans="1:15" x14ac:dyDescent="0.25">
      <c r="A149" s="19" t="s">
        <v>244</v>
      </c>
      <c r="B149" s="19" t="str">
        <f>INDEX(Places[Type],MATCH(Expenditures[[#This Row],[Jurisdiction]],Places[Jurisdiction],0))</f>
        <v>City</v>
      </c>
      <c r="C149" s="19" t="str">
        <f>INDEX(Places[County],MATCH(Expenditures[[#This Row],[Jurisdiction]],Places[Jurisdiction],0))</f>
        <v>San Bernardino</v>
      </c>
      <c r="D149" s="19" t="str">
        <f>INDEX(Places[Majority RB],MATCH(Expenditures[[#This Row],[Jurisdiction]],Places[Jurisdiction],0))</f>
        <v>Santa Ana</v>
      </c>
      <c r="E149" s="19">
        <f>INDEX(Places[Majority RB '#],MATCH(Expenditures[[#This Row],[Jurisdiction]],Places[Jurisdiction],0))</f>
        <v>8</v>
      </c>
      <c r="F149" s="19" t="str">
        <f>VLOOKUP(Expenditures[[#This Row],[Jurisdiction]],Places[#All],8,FALSE)</f>
        <v>Phase I MS4</v>
      </c>
      <c r="G149" s="19"/>
      <c r="H149" s="21" t="s">
        <v>1881</v>
      </c>
      <c r="I149" s="21">
        <f>VALUE(LEFT(Expenditures[[#This Row],[Fiscal Year]],4))</f>
        <v>2014</v>
      </c>
      <c r="J149" s="20">
        <v>1783488</v>
      </c>
      <c r="K149" s="20">
        <f>IF(Expenditures[[#This Row],[Reference Year]]&gt;2018,Expenditures[[#This Row],[Value]],Expenditures[[#This Row],[Value]]*(1+VLOOKUP(Expenditures[[#This Row],[Reference Year]],Inflation[#All],3,FALSE)))</f>
        <v>1895990.1517870724</v>
      </c>
      <c r="L149" s="105">
        <f>VALUE(Expenditures[[#This Row],[2018 $ Value]]/VLOOKUP(Expenditures[[#This Row],[Jurisdiction]],Places[],6,FALSE))</f>
        <v>8.8705858630716552</v>
      </c>
      <c r="M149" s="105">
        <f>VALUE(Expenditures[[#This Row],[2018 $ Value]]/VLOOKUP(Expenditures[[#This Row],[Jurisdiction]],Places[],7,FALSE))</f>
        <v>44092.794227606333</v>
      </c>
      <c r="N149" s="20" t="s">
        <v>1460</v>
      </c>
      <c r="O149" s="20" t="s">
        <v>1853</v>
      </c>
    </row>
    <row r="150" spans="1:15" x14ac:dyDescent="0.25">
      <c r="A150" s="19" t="s">
        <v>271</v>
      </c>
      <c r="B150" s="19" t="str">
        <f>INDEX(Places[Type],MATCH(Expenditures[[#This Row],[Jurisdiction]],Places[Jurisdiction],0))</f>
        <v>City</v>
      </c>
      <c r="C150" s="19" t="str">
        <f>INDEX(Places[County],MATCH(Expenditures[[#This Row],[Jurisdiction]],Places[Jurisdiction],0))</f>
        <v>Orange</v>
      </c>
      <c r="D150" s="19" t="str">
        <f>INDEX(Places[Majority RB],MATCH(Expenditures[[#This Row],[Jurisdiction]],Places[Jurisdiction],0))</f>
        <v>Santa Ana</v>
      </c>
      <c r="E150" s="19">
        <f>INDEX(Places[Majority RB '#],MATCH(Expenditures[[#This Row],[Jurisdiction]],Places[Jurisdiction],0))</f>
        <v>8</v>
      </c>
      <c r="F150" s="19" t="str">
        <f>VLOOKUP(Expenditures[[#This Row],[Jurisdiction]],Places[#All],8,FALSE)</f>
        <v>Phase I MS4</v>
      </c>
      <c r="G150" s="19"/>
      <c r="H150" s="21" t="s">
        <v>1893</v>
      </c>
      <c r="I150" s="21">
        <f>VALUE(LEFT(Expenditures[[#This Row],[Fiscal Year]],4))</f>
        <v>2000</v>
      </c>
      <c r="J150" s="20">
        <v>1377121</v>
      </c>
      <c r="K150" s="20">
        <f>IF(Expenditures[[#This Row],[Reference Year]]&gt;2018,Expenditures[[#This Row],[Value]],Expenditures[[#This Row],[Value]]*(1+VLOOKUP(Expenditures[[#This Row],[Reference Year]],Inflation[#All],3,FALSE)))</f>
        <v>2012348.0508188156</v>
      </c>
      <c r="L150" s="105">
        <f>VALUE(Expenditures[[#This Row],[2018 $ Value]]/VLOOKUP(Expenditures[[#This Row],[Jurisdiction]],Places[],6,FALSE))</f>
        <v>36.054539198387779</v>
      </c>
      <c r="M150" s="105">
        <f>VALUE(Expenditures[[#This Row],[2018 $ Value]]/VLOOKUP(Expenditures[[#This Row],[Jurisdiction]],Places[],7,FALSE))</f>
        <v>221137.14844162809</v>
      </c>
      <c r="N150" s="20" t="s">
        <v>1460</v>
      </c>
      <c r="O150" s="20" t="s">
        <v>1460</v>
      </c>
    </row>
    <row r="151" spans="1:15" x14ac:dyDescent="0.25">
      <c r="A151" s="19" t="s">
        <v>271</v>
      </c>
      <c r="B151" s="19" t="str">
        <f>INDEX(Places[Type],MATCH(Expenditures[[#This Row],[Jurisdiction]],Places[Jurisdiction],0))</f>
        <v>City</v>
      </c>
      <c r="C151" s="19" t="str">
        <f>INDEX(Places[County],MATCH(Expenditures[[#This Row],[Jurisdiction]],Places[Jurisdiction],0))</f>
        <v>Orange</v>
      </c>
      <c r="D151" s="19" t="str">
        <f>INDEX(Places[Majority RB],MATCH(Expenditures[[#This Row],[Jurisdiction]],Places[Jurisdiction],0))</f>
        <v>Santa Ana</v>
      </c>
      <c r="E151" s="19">
        <f>INDEX(Places[Majority RB '#],MATCH(Expenditures[[#This Row],[Jurisdiction]],Places[Jurisdiction],0))</f>
        <v>8</v>
      </c>
      <c r="F151" s="19" t="str">
        <f>VLOOKUP(Expenditures[[#This Row],[Jurisdiction]],Places[#All],8,FALSE)</f>
        <v>Phase I MS4</v>
      </c>
      <c r="G151" s="19"/>
      <c r="H151" s="21" t="s">
        <v>1875</v>
      </c>
      <c r="I151" s="21">
        <f>VALUE(LEFT(Expenditures[[#This Row],[Fiscal Year]],4))</f>
        <v>2001</v>
      </c>
      <c r="J151" s="20">
        <v>1836814</v>
      </c>
      <c r="K151" s="20">
        <f>IF(Expenditures[[#This Row],[Reference Year]]&gt;2018,Expenditures[[#This Row],[Value]],Expenditures[[#This Row],[Value]]*(1+VLOOKUP(Expenditures[[#This Row],[Reference Year]],Inflation[#All],3,FALSE)))</f>
        <v>2609821.2514624507</v>
      </c>
      <c r="L151" s="105">
        <f>VALUE(Expenditures[[#This Row],[2018 $ Value]]/VLOOKUP(Expenditures[[#This Row],[Jurisdiction]],Places[],6,FALSE))</f>
        <v>46.75925845598686</v>
      </c>
      <c r="M151" s="105">
        <f>VALUE(Expenditures[[#This Row],[2018 $ Value]]/VLOOKUP(Expenditures[[#This Row],[Jurisdiction]],Places[],7,FALSE))</f>
        <v>286793.54411675286</v>
      </c>
      <c r="N151" s="20" t="s">
        <v>1853</v>
      </c>
      <c r="O151" s="20" t="s">
        <v>1853</v>
      </c>
    </row>
    <row r="152" spans="1:15" x14ac:dyDescent="0.25">
      <c r="A152" s="19" t="s">
        <v>121</v>
      </c>
      <c r="B152" s="19" t="str">
        <f>INDEX(Places[Type],MATCH(Expenditures[[#This Row],[Jurisdiction]],Places[Jurisdiction],0))</f>
        <v>City</v>
      </c>
      <c r="C152" s="19" t="str">
        <f>INDEX(Places[County],MATCH(Expenditures[[#This Row],[Jurisdiction]],Places[Jurisdiction],0))</f>
        <v>Fresno</v>
      </c>
      <c r="D152" s="19" t="str">
        <f>INDEX(Places[Majority RB],MATCH(Expenditures[[#This Row],[Jurisdiction]],Places[Jurisdiction],0))</f>
        <v>Central Valley</v>
      </c>
      <c r="E152" s="19">
        <f>INDEX(Places[Majority RB '#],MATCH(Expenditures[[#This Row],[Jurisdiction]],Places[Jurisdiction],0))</f>
        <v>5</v>
      </c>
      <c r="F152" s="19" t="str">
        <f>VLOOKUP(Expenditures[[#This Row],[Jurisdiction]],Places[#All],8,FALSE)</f>
        <v>Phase I MS4</v>
      </c>
      <c r="G152" s="19"/>
      <c r="H152" s="21" t="s">
        <v>1880</v>
      </c>
      <c r="I152" s="21">
        <f>VALUE(LEFT(Expenditures[[#This Row],[Fiscal Year]],4))</f>
        <v>2013</v>
      </c>
      <c r="J152" s="20">
        <v>4681124</v>
      </c>
      <c r="K152" s="20">
        <f>IF(Expenditures[[#This Row],[Reference Year]]&gt;2018,Expenditures[[#This Row],[Value]],Expenditures[[#This Row],[Value]]*(1+VLOOKUP(Expenditures[[#This Row],[Reference Year]],Inflation[#All],3,FALSE)))</f>
        <v>5055433.1040515024</v>
      </c>
      <c r="L152" s="105">
        <f>VALUE(Expenditures[[#This Row],[2018 $ Value]]/VLOOKUP(Expenditures[[#This Row],[Jurisdiction]],Places[],6,FALSE))</f>
        <v>9.5368795740587071</v>
      </c>
      <c r="M152" s="105">
        <f>VALUE(Expenditures[[#This Row],[2018 $ Value]]/VLOOKUP(Expenditures[[#This Row],[Jurisdiction]],Places[],7,FALSE))</f>
        <v>44190.848811639007</v>
      </c>
      <c r="N152" s="20" t="s">
        <v>1460</v>
      </c>
      <c r="O152" s="20" t="s">
        <v>1460</v>
      </c>
    </row>
    <row r="153" spans="1:15" x14ac:dyDescent="0.25">
      <c r="A153" s="19" t="s">
        <v>121</v>
      </c>
      <c r="B153" s="19" t="str">
        <f>INDEX(Places[Type],MATCH(Expenditures[[#This Row],[Jurisdiction]],Places[Jurisdiction],0))</f>
        <v>City</v>
      </c>
      <c r="C153" s="19" t="str">
        <f>INDEX(Places[County],MATCH(Expenditures[[#This Row],[Jurisdiction]],Places[Jurisdiction],0))</f>
        <v>Fresno</v>
      </c>
      <c r="D153" s="19" t="str">
        <f>INDEX(Places[Majority RB],MATCH(Expenditures[[#This Row],[Jurisdiction]],Places[Jurisdiction],0))</f>
        <v>Central Valley</v>
      </c>
      <c r="E153" s="19">
        <f>INDEX(Places[Majority RB '#],MATCH(Expenditures[[#This Row],[Jurisdiction]],Places[Jurisdiction],0))</f>
        <v>5</v>
      </c>
      <c r="F153" s="19" t="str">
        <f>VLOOKUP(Expenditures[[#This Row],[Jurisdiction]],Places[#All],8,FALSE)</f>
        <v>Phase I MS4</v>
      </c>
      <c r="G153" s="19"/>
      <c r="H153" s="21" t="s">
        <v>1881</v>
      </c>
      <c r="I153" s="21">
        <f>VALUE(LEFT(Expenditures[[#This Row],[Fiscal Year]],4))</f>
        <v>2014</v>
      </c>
      <c r="J153" s="20">
        <v>10085804</v>
      </c>
      <c r="K153" s="20">
        <f>IF(Expenditures[[#This Row],[Reference Year]]&gt;2018,Expenditures[[#This Row],[Value]],Expenditures[[#This Row],[Value]]*(1+VLOOKUP(Expenditures[[#This Row],[Reference Year]],Inflation[#All],3,FALSE)))</f>
        <v>10722014.982357414</v>
      </c>
      <c r="L153" s="105">
        <f>VALUE(Expenditures[[#This Row],[2018 $ Value]]/VLOOKUP(Expenditures[[#This Row],[Jurisdiction]],Places[],6,FALSE))</f>
        <v>20.226667740108649</v>
      </c>
      <c r="M153" s="105">
        <f>VALUE(Expenditures[[#This Row],[2018 $ Value]]/VLOOKUP(Expenditures[[#This Row],[Jurisdiction]],Places[],7,FALSE))</f>
        <v>93723.907188438927</v>
      </c>
      <c r="N153" s="20" t="s">
        <v>1460</v>
      </c>
      <c r="O153" s="20" t="s">
        <v>1460</v>
      </c>
    </row>
    <row r="154" spans="1:15" x14ac:dyDescent="0.25">
      <c r="A154" s="19" t="s">
        <v>121</v>
      </c>
      <c r="B154" s="19" t="str">
        <f>INDEX(Places[Type],MATCH(Expenditures[[#This Row],[Jurisdiction]],Places[Jurisdiction],0))</f>
        <v>City</v>
      </c>
      <c r="C154" s="19" t="str">
        <f>INDEX(Places[County],MATCH(Expenditures[[#This Row],[Jurisdiction]],Places[Jurisdiction],0))</f>
        <v>Fresno</v>
      </c>
      <c r="D154" s="19" t="str">
        <f>INDEX(Places[Majority RB],MATCH(Expenditures[[#This Row],[Jurisdiction]],Places[Jurisdiction],0))</f>
        <v>Central Valley</v>
      </c>
      <c r="E154" s="19">
        <f>INDEX(Places[Majority RB '#],MATCH(Expenditures[[#This Row],[Jurisdiction]],Places[Jurisdiction],0))</f>
        <v>5</v>
      </c>
      <c r="F154" s="19" t="str">
        <f>VLOOKUP(Expenditures[[#This Row],[Jurisdiction]],Places[#All],8,FALSE)</f>
        <v>Phase I MS4</v>
      </c>
      <c r="G154" s="19"/>
      <c r="H154" s="21" t="s">
        <v>1873</v>
      </c>
      <c r="I154" s="21">
        <f>VALUE(LEFT(Expenditures[[#This Row],[Fiscal Year]],4))</f>
        <v>2015</v>
      </c>
      <c r="J154" s="20">
        <v>10253444</v>
      </c>
      <c r="K154" s="20">
        <f>IF(Expenditures[[#This Row],[Reference Year]]&gt;2018,Expenditures[[#This Row],[Value]],Expenditures[[#This Row],[Value]]*(1+VLOOKUP(Expenditures[[#This Row],[Reference Year]],Inflation[#All],3,FALSE)))</f>
        <v>10886431.928962024</v>
      </c>
      <c r="L154" s="105">
        <f>VALUE(Expenditures[[#This Row],[2018 $ Value]]/VLOOKUP(Expenditures[[#This Row],[Jurisdiction]],Places[],6,FALSE))</f>
        <v>20.536833968684785</v>
      </c>
      <c r="M154" s="105">
        <f>VALUE(Expenditures[[#This Row],[2018 $ Value]]/VLOOKUP(Expenditures[[#This Row],[Jurisdiction]],Places[],7,FALSE))</f>
        <v>95161.118260157542</v>
      </c>
      <c r="N154" s="20" t="s">
        <v>1853</v>
      </c>
      <c r="O154" s="20" t="s">
        <v>1853</v>
      </c>
    </row>
    <row r="155" spans="1:15" x14ac:dyDescent="0.25">
      <c r="A155" s="19" t="s">
        <v>1439</v>
      </c>
      <c r="B155" s="19" t="str">
        <f>INDEX(Places[Type],MATCH(Expenditures[[#This Row],[Jurisdiction]],Places[Jurisdiction],0))</f>
        <v>FCD</v>
      </c>
      <c r="C155" s="19" t="str">
        <f>INDEX(Places[County],MATCH(Expenditures[[#This Row],[Jurisdiction]],Places[Jurisdiction],0))</f>
        <v>Fresno</v>
      </c>
      <c r="D155" s="19" t="str">
        <f>INDEX(Places[Majority RB],MATCH(Expenditures[[#This Row],[Jurisdiction]],Places[Jurisdiction],0))</f>
        <v>Central Valley</v>
      </c>
      <c r="E155" s="19">
        <f>INDEX(Places[Majority RB '#],MATCH(Expenditures[[#This Row],[Jurisdiction]],Places[Jurisdiction],0))</f>
        <v>5</v>
      </c>
      <c r="F155" s="19" t="str">
        <f>VLOOKUP(Expenditures[[#This Row],[Jurisdiction]],Places[#All],8,FALSE)</f>
        <v>Phase I MS4</v>
      </c>
      <c r="G155" s="19"/>
      <c r="H155" s="21" t="s">
        <v>1880</v>
      </c>
      <c r="I155" s="21">
        <f>VALUE(LEFT(Expenditures[[#This Row],[Fiscal Year]],4))</f>
        <v>2013</v>
      </c>
      <c r="J155" s="20">
        <v>21668823</v>
      </c>
      <c r="K155" s="20">
        <f>IF(Expenditures[[#This Row],[Reference Year]]&gt;2018,Expenditures[[#This Row],[Value]],Expenditures[[#This Row],[Value]]*(1+VLOOKUP(Expenditures[[#This Row],[Reference Year]],Inflation[#All],3,FALSE)))</f>
        <v>23401491.84683691</v>
      </c>
      <c r="L155" s="105" t="e">
        <f>VALUE(Expenditures[[#This Row],[2018 $ Value]]/VLOOKUP(Expenditures[[#This Row],[Jurisdiction]],Places[],6,FALSE))</f>
        <v>#N/A</v>
      </c>
      <c r="M155" s="105" t="e">
        <f>VALUE(Expenditures[[#This Row],[2018 $ Value]]/VLOOKUP(Expenditures[[#This Row],[Jurisdiction]],Places[],7,FALSE))</f>
        <v>#N/A</v>
      </c>
      <c r="N155" s="20" t="s">
        <v>1460</v>
      </c>
      <c r="O155" s="20" t="s">
        <v>1460</v>
      </c>
    </row>
    <row r="156" spans="1:15" x14ac:dyDescent="0.25">
      <c r="A156" s="19" t="s">
        <v>1439</v>
      </c>
      <c r="B156" s="19" t="str">
        <f>INDEX(Places[Type],MATCH(Expenditures[[#This Row],[Jurisdiction]],Places[Jurisdiction],0))</f>
        <v>FCD</v>
      </c>
      <c r="C156" s="19" t="str">
        <f>INDEX(Places[County],MATCH(Expenditures[[#This Row],[Jurisdiction]],Places[Jurisdiction],0))</f>
        <v>Fresno</v>
      </c>
      <c r="D156" s="19" t="str">
        <f>INDEX(Places[Majority RB],MATCH(Expenditures[[#This Row],[Jurisdiction]],Places[Jurisdiction],0))</f>
        <v>Central Valley</v>
      </c>
      <c r="E156" s="19">
        <f>INDEX(Places[Majority RB '#],MATCH(Expenditures[[#This Row],[Jurisdiction]],Places[Jurisdiction],0))</f>
        <v>5</v>
      </c>
      <c r="F156" s="19" t="str">
        <f>VLOOKUP(Expenditures[[#This Row],[Jurisdiction]],Places[#All],8,FALSE)</f>
        <v>Phase I MS4</v>
      </c>
      <c r="G156" s="19"/>
      <c r="H156" s="21" t="s">
        <v>1881</v>
      </c>
      <c r="I156" s="21">
        <f>VALUE(LEFT(Expenditures[[#This Row],[Fiscal Year]],4))</f>
        <v>2014</v>
      </c>
      <c r="J156" s="20">
        <v>17231265</v>
      </c>
      <c r="K156" s="20">
        <f>IF(Expenditures[[#This Row],[Reference Year]]&gt;2018,Expenditures[[#This Row],[Value]],Expenditures[[#This Row],[Value]]*(1+VLOOKUP(Expenditures[[#This Row],[Reference Year]],Inflation[#All],3,FALSE)))</f>
        <v>18318210.575475287</v>
      </c>
      <c r="L156" s="105" t="e">
        <f>VALUE(Expenditures[[#This Row],[2018 $ Value]]/VLOOKUP(Expenditures[[#This Row],[Jurisdiction]],Places[],6,FALSE))</f>
        <v>#N/A</v>
      </c>
      <c r="M156" s="105" t="e">
        <f>VALUE(Expenditures[[#This Row],[2018 $ Value]]/VLOOKUP(Expenditures[[#This Row],[Jurisdiction]],Places[],7,FALSE))</f>
        <v>#N/A</v>
      </c>
      <c r="N156" s="20" t="s">
        <v>1460</v>
      </c>
      <c r="O156" s="20" t="s">
        <v>1460</v>
      </c>
    </row>
    <row r="157" spans="1:15" x14ac:dyDescent="0.25">
      <c r="A157" s="19" t="s">
        <v>1439</v>
      </c>
      <c r="B157" s="19" t="str">
        <f>INDEX(Places[Type],MATCH(Expenditures[[#This Row],[Jurisdiction]],Places[Jurisdiction],0))</f>
        <v>FCD</v>
      </c>
      <c r="C157" s="19" t="str">
        <f>INDEX(Places[County],MATCH(Expenditures[[#This Row],[Jurisdiction]],Places[Jurisdiction],0))</f>
        <v>Fresno</v>
      </c>
      <c r="D157" s="19" t="str">
        <f>INDEX(Places[Majority RB],MATCH(Expenditures[[#This Row],[Jurisdiction]],Places[Jurisdiction],0))</f>
        <v>Central Valley</v>
      </c>
      <c r="E157" s="19">
        <f>INDEX(Places[Majority RB '#],MATCH(Expenditures[[#This Row],[Jurisdiction]],Places[Jurisdiction],0))</f>
        <v>5</v>
      </c>
      <c r="F157" s="19" t="str">
        <f>VLOOKUP(Expenditures[[#This Row],[Jurisdiction]],Places[#All],8,FALSE)</f>
        <v>Phase I MS4</v>
      </c>
      <c r="G157" s="19"/>
      <c r="H157" s="21" t="s">
        <v>1873</v>
      </c>
      <c r="I157" s="21">
        <f>VALUE(LEFT(Expenditures[[#This Row],[Fiscal Year]],4))</f>
        <v>2015</v>
      </c>
      <c r="J157" s="20">
        <v>25691316</v>
      </c>
      <c r="K157" s="20">
        <f>IF(Expenditures[[#This Row],[Reference Year]]&gt;2018,Expenditures[[#This Row],[Value]],Expenditures[[#This Row],[Value]]*(1+VLOOKUP(Expenditures[[#This Row],[Reference Year]],Inflation[#All],3,FALSE)))</f>
        <v>27277348.254835442</v>
      </c>
      <c r="L157" s="105" t="e">
        <f>VALUE(Expenditures[[#This Row],[2018 $ Value]]/VLOOKUP(Expenditures[[#This Row],[Jurisdiction]],Places[],6,FALSE))</f>
        <v>#N/A</v>
      </c>
      <c r="M157" s="105" t="e">
        <f>VALUE(Expenditures[[#This Row],[2018 $ Value]]/VLOOKUP(Expenditures[[#This Row],[Jurisdiction]],Places[],7,FALSE))</f>
        <v>#N/A</v>
      </c>
      <c r="N157" s="20" t="s">
        <v>1853</v>
      </c>
      <c r="O157" s="20" t="s">
        <v>1853</v>
      </c>
    </row>
    <row r="158" spans="1:15" x14ac:dyDescent="0.25">
      <c r="A158" s="19" t="s">
        <v>272</v>
      </c>
      <c r="B158" s="19" t="str">
        <f>INDEX(Places[Type],MATCH(Expenditures[[#This Row],[Jurisdiction]],Places[Jurisdiction],0))</f>
        <v>City</v>
      </c>
      <c r="C158" s="19" t="str">
        <f>INDEX(Places[County],MATCH(Expenditures[[#This Row],[Jurisdiction]],Places[Jurisdiction],0))</f>
        <v>Orange</v>
      </c>
      <c r="D158" s="19" t="str">
        <f>INDEX(Places[Majority RB],MATCH(Expenditures[[#This Row],[Jurisdiction]],Places[Jurisdiction],0))</f>
        <v>Santa Ana</v>
      </c>
      <c r="E158" s="19">
        <f>INDEX(Places[Majority RB '#],MATCH(Expenditures[[#This Row],[Jurisdiction]],Places[Jurisdiction],0))</f>
        <v>8</v>
      </c>
      <c r="F158" s="19" t="str">
        <f>VLOOKUP(Expenditures[[#This Row],[Jurisdiction]],Places[#All],8,FALSE)</f>
        <v>Phase I MS4</v>
      </c>
      <c r="G158" s="19"/>
      <c r="H158" s="21" t="s">
        <v>1893</v>
      </c>
      <c r="I158" s="21">
        <f>VALUE(LEFT(Expenditures[[#This Row],[Fiscal Year]],4))</f>
        <v>2000</v>
      </c>
      <c r="J158" s="20">
        <v>1180897</v>
      </c>
      <c r="K158" s="20">
        <f>IF(Expenditures[[#This Row],[Reference Year]]&gt;2018,Expenditures[[#This Row],[Value]],Expenditures[[#This Row],[Value]]*(1+VLOOKUP(Expenditures[[#This Row],[Reference Year]],Inflation[#All],3,FALSE)))</f>
        <v>1725611.4576480838</v>
      </c>
      <c r="L158" s="105">
        <f>VALUE(Expenditures[[#This Row],[2018 $ Value]]/VLOOKUP(Expenditures[[#This Row],[Jurisdiction]],Places[],6,FALSE))</f>
        <v>12.357572741679203</v>
      </c>
      <c r="M158" s="105">
        <f>VALUE(Expenditures[[#This Row],[2018 $ Value]]/VLOOKUP(Expenditures[[#This Row],[Jurisdiction]],Places[],7,FALSE))</f>
        <v>77036.225787860894</v>
      </c>
      <c r="N158" s="20" t="s">
        <v>1460</v>
      </c>
      <c r="O158" s="20" t="s">
        <v>1460</v>
      </c>
    </row>
    <row r="159" spans="1:15" x14ac:dyDescent="0.25">
      <c r="A159" s="19" t="s">
        <v>272</v>
      </c>
      <c r="B159" s="19" t="str">
        <f>INDEX(Places[Type],MATCH(Expenditures[[#This Row],[Jurisdiction]],Places[Jurisdiction],0))</f>
        <v>City</v>
      </c>
      <c r="C159" s="19" t="str">
        <f>INDEX(Places[County],MATCH(Expenditures[[#This Row],[Jurisdiction]],Places[Jurisdiction],0))</f>
        <v>Orange</v>
      </c>
      <c r="D159" s="19" t="str">
        <f>INDEX(Places[Majority RB],MATCH(Expenditures[[#This Row],[Jurisdiction]],Places[Jurisdiction],0))</f>
        <v>Santa Ana</v>
      </c>
      <c r="E159" s="19">
        <f>INDEX(Places[Majority RB '#],MATCH(Expenditures[[#This Row],[Jurisdiction]],Places[Jurisdiction],0))</f>
        <v>8</v>
      </c>
      <c r="F159" s="19" t="str">
        <f>VLOOKUP(Expenditures[[#This Row],[Jurisdiction]],Places[#All],8,FALSE)</f>
        <v>Phase I MS4</v>
      </c>
      <c r="G159" s="19"/>
      <c r="H159" s="21" t="s">
        <v>1875</v>
      </c>
      <c r="I159" s="21">
        <f>VALUE(LEFT(Expenditures[[#This Row],[Fiscal Year]],4))</f>
        <v>2001</v>
      </c>
      <c r="J159" s="20">
        <v>1660239</v>
      </c>
      <c r="K159" s="20">
        <f>IF(Expenditures[[#This Row],[Reference Year]]&gt;2018,Expenditures[[#This Row],[Value]],Expenditures[[#This Row],[Value]]*(1+VLOOKUP(Expenditures[[#This Row],[Reference Year]],Inflation[#All],3,FALSE)))</f>
        <v>2358936.1931620552</v>
      </c>
      <c r="L159" s="105">
        <f>VALUE(Expenditures[[#This Row],[2018 $ Value]]/VLOOKUP(Expenditures[[#This Row],[Jurisdiction]],Places[],6,FALSE))</f>
        <v>16.892983336880945</v>
      </c>
      <c r="M159" s="105">
        <f>VALUE(Expenditures[[#This Row],[2018 $ Value]]/VLOOKUP(Expenditures[[#This Row],[Jurisdiction]],Places[],7,FALSE))</f>
        <v>105309.6514804489</v>
      </c>
      <c r="N159" s="20" t="s">
        <v>1853</v>
      </c>
      <c r="O159" s="20" t="s">
        <v>1853</v>
      </c>
    </row>
    <row r="160" spans="1:15" x14ac:dyDescent="0.25">
      <c r="A160" s="19" t="s">
        <v>273</v>
      </c>
      <c r="B160" s="19" t="str">
        <f>INDEX(Places[Type],MATCH(Expenditures[[#This Row],[Jurisdiction]],Places[Jurisdiction],0))</f>
        <v>City</v>
      </c>
      <c r="C160" s="19" t="str">
        <f>INDEX(Places[County],MATCH(Expenditures[[#This Row],[Jurisdiction]],Places[Jurisdiction],0))</f>
        <v>Orange</v>
      </c>
      <c r="D160" s="19" t="str">
        <f>INDEX(Places[Majority RB],MATCH(Expenditures[[#This Row],[Jurisdiction]],Places[Jurisdiction],0))</f>
        <v>Santa Ana</v>
      </c>
      <c r="E160" s="19">
        <f>INDEX(Places[Majority RB '#],MATCH(Expenditures[[#This Row],[Jurisdiction]],Places[Jurisdiction],0))</f>
        <v>8</v>
      </c>
      <c r="F160" s="19" t="str">
        <f>VLOOKUP(Expenditures[[#This Row],[Jurisdiction]],Places[#All],8,FALSE)</f>
        <v>Phase I MS4</v>
      </c>
      <c r="G160" s="19"/>
      <c r="H160" s="21" t="s">
        <v>1893</v>
      </c>
      <c r="I160" s="21">
        <f>VALUE(LEFT(Expenditures[[#This Row],[Fiscal Year]],4))</f>
        <v>2000</v>
      </c>
      <c r="J160" s="20">
        <v>956449</v>
      </c>
      <c r="K160" s="20">
        <f>IF(Expenditures[[#This Row],[Reference Year]]&gt;2018,Expenditures[[#This Row],[Value]],Expenditures[[#This Row],[Value]]*(1+VLOOKUP(Expenditures[[#This Row],[Reference Year]],Inflation[#All],3,FALSE)))</f>
        <v>1397631.9298432057</v>
      </c>
      <c r="L160" s="105">
        <f>VALUE(Expenditures[[#This Row],[2018 $ Value]]/VLOOKUP(Expenditures[[#This Row],[Jurisdiction]],Places[],6,FALSE))</f>
        <v>8.0953623590654047</v>
      </c>
      <c r="M160" s="105">
        <f>VALUE(Expenditures[[#This Row],[2018 $ Value]]/VLOOKUP(Expenditures[[#This Row],[Jurisdiction]],Places[],7,FALSE))</f>
        <v>77646.218324622547</v>
      </c>
      <c r="N160" s="20" t="s">
        <v>1460</v>
      </c>
      <c r="O160" s="20" t="s">
        <v>1460</v>
      </c>
    </row>
    <row r="161" spans="1:15" x14ac:dyDescent="0.25">
      <c r="A161" s="19" t="s">
        <v>273</v>
      </c>
      <c r="B161" s="19" t="str">
        <f>INDEX(Places[Type],MATCH(Expenditures[[#This Row],[Jurisdiction]],Places[Jurisdiction],0))</f>
        <v>City</v>
      </c>
      <c r="C161" s="19" t="str">
        <f>INDEX(Places[County],MATCH(Expenditures[[#This Row],[Jurisdiction]],Places[Jurisdiction],0))</f>
        <v>Orange</v>
      </c>
      <c r="D161" s="19" t="str">
        <f>INDEX(Places[Majority RB],MATCH(Expenditures[[#This Row],[Jurisdiction]],Places[Jurisdiction],0))</f>
        <v>Santa Ana</v>
      </c>
      <c r="E161" s="19">
        <f>INDEX(Places[Majority RB '#],MATCH(Expenditures[[#This Row],[Jurisdiction]],Places[Jurisdiction],0))</f>
        <v>8</v>
      </c>
      <c r="F161" s="19" t="str">
        <f>VLOOKUP(Expenditures[[#This Row],[Jurisdiction]],Places[#All],8,FALSE)</f>
        <v>Phase I MS4</v>
      </c>
      <c r="G161" s="19"/>
      <c r="H161" s="21" t="s">
        <v>1875</v>
      </c>
      <c r="I161" s="21">
        <f>VALUE(LEFT(Expenditures[[#This Row],[Fiscal Year]],4))</f>
        <v>2001</v>
      </c>
      <c r="J161" s="20">
        <v>1184806</v>
      </c>
      <c r="K161" s="20">
        <f>IF(Expenditures[[#This Row],[Reference Year]]&gt;2018,Expenditures[[#This Row],[Value]],Expenditures[[#This Row],[Value]]*(1+VLOOKUP(Expenditures[[#This Row],[Reference Year]],Inflation[#All],3,FALSE)))</f>
        <v>1683421.335889328</v>
      </c>
      <c r="L161" s="105">
        <f>VALUE(Expenditures[[#This Row],[2018 $ Value]]/VLOOKUP(Expenditures[[#This Row],[Jurisdiction]],Places[],6,FALSE))</f>
        <v>9.7507114899234733</v>
      </c>
      <c r="M161" s="105">
        <f>VALUE(Expenditures[[#This Row],[2018 $ Value]]/VLOOKUP(Expenditures[[#This Row],[Jurisdiction]],Places[],7,FALSE))</f>
        <v>93523.407549407115</v>
      </c>
      <c r="N161" s="20" t="s">
        <v>1853</v>
      </c>
      <c r="O161" s="20" t="s">
        <v>1853</v>
      </c>
    </row>
    <row r="162" spans="1:15" x14ac:dyDescent="0.25">
      <c r="A162" s="19" t="s">
        <v>155</v>
      </c>
      <c r="B162" s="19" t="str">
        <f>INDEX(Places[Type],MATCH(Expenditures[[#This Row],[Jurisdiction]],Places[Jurisdiction],0))</f>
        <v>City</v>
      </c>
      <c r="C162" s="19" t="str">
        <f>INDEX(Places[County],MATCH(Expenditures[[#This Row],[Jurisdiction]],Places[Jurisdiction],0))</f>
        <v>Los Angeles</v>
      </c>
      <c r="D162" s="19" t="str">
        <f>INDEX(Places[Majority RB],MATCH(Expenditures[[#This Row],[Jurisdiction]],Places[Jurisdiction],0))</f>
        <v>Los Angeles</v>
      </c>
      <c r="E162" s="19">
        <f>INDEX(Places[Majority RB '#],MATCH(Expenditures[[#This Row],[Jurisdiction]],Places[Jurisdiction],0))</f>
        <v>4</v>
      </c>
      <c r="F162" s="19" t="str">
        <f>VLOOKUP(Expenditures[[#This Row],[Jurisdiction]],Places[#All],8,FALSE)</f>
        <v>Phase I MS4</v>
      </c>
      <c r="G162" s="19"/>
      <c r="H162" s="100" t="s">
        <v>1870</v>
      </c>
      <c r="I162" s="21">
        <f>VALUE(LEFT(Expenditures[[#This Row],[Fiscal Year]],4))</f>
        <v>2011</v>
      </c>
      <c r="J162" s="20">
        <v>737673</v>
      </c>
      <c r="K162" s="20">
        <f>IF(Expenditures[[#This Row],[Reference Year]]&gt;2018,Expenditures[[#This Row],[Value]],Expenditures[[#This Row],[Value]]*(1+VLOOKUP(Expenditures[[#This Row],[Reference Year]],Inflation[#All],3,FALSE)))</f>
        <v>825350.79885726993</v>
      </c>
      <c r="L162" s="105">
        <f>VALUE(Expenditures[[#This Row],[2018 $ Value]]/VLOOKUP(Expenditures[[#This Row],[Jurisdiction]],Places[],6,FALSE))</f>
        <v>13.820110159864536</v>
      </c>
      <c r="M162" s="105">
        <f>VALUE(Expenditures[[#This Row],[2018 $ Value]]/VLOOKUP(Expenditures[[#This Row],[Jurisdiction]],Places[],7,FALSE))</f>
        <v>142301.86187194308</v>
      </c>
      <c r="N162" s="20" t="s">
        <v>1460</v>
      </c>
      <c r="O162" s="20" t="s">
        <v>1460</v>
      </c>
    </row>
    <row r="163" spans="1:15" x14ac:dyDescent="0.25">
      <c r="A163" s="19" t="s">
        <v>155</v>
      </c>
      <c r="B163" s="19" t="str">
        <f>INDEX(Places[Type],MATCH(Expenditures[[#This Row],[Jurisdiction]],Places[Jurisdiction],0))</f>
        <v>City</v>
      </c>
      <c r="C163" s="19" t="str">
        <f>INDEX(Places[County],MATCH(Expenditures[[#This Row],[Jurisdiction]],Places[Jurisdiction],0))</f>
        <v>Los Angeles</v>
      </c>
      <c r="D163" s="19" t="str">
        <f>INDEX(Places[Majority RB],MATCH(Expenditures[[#This Row],[Jurisdiction]],Places[Jurisdiction],0))</f>
        <v>Los Angeles</v>
      </c>
      <c r="E163" s="19">
        <f>INDEX(Places[Majority RB '#],MATCH(Expenditures[[#This Row],[Jurisdiction]],Places[Jurisdiction],0))</f>
        <v>4</v>
      </c>
      <c r="F163" s="19" t="str">
        <f>VLOOKUP(Expenditures[[#This Row],[Jurisdiction]],Places[#All],8,FALSE)</f>
        <v>Phase I MS4</v>
      </c>
      <c r="G163" s="19"/>
      <c r="H163" s="100" t="s">
        <v>1873</v>
      </c>
      <c r="I163" s="21">
        <f>VALUE(LEFT(Expenditures[[#This Row],[Fiscal Year]],4))</f>
        <v>2015</v>
      </c>
      <c r="J163" s="20">
        <v>798442</v>
      </c>
      <c r="K163" s="20">
        <f>IF(Expenditures[[#This Row],[Reference Year]]&gt;2018,Expenditures[[#This Row],[Value]],Expenditures[[#This Row],[Value]]*(1+VLOOKUP(Expenditures[[#This Row],[Reference Year]],Inflation[#All],3,FALSE)))</f>
        <v>847733.15992405056</v>
      </c>
      <c r="L163" s="105">
        <f>VALUE(Expenditures[[#This Row],[2018 $ Value]]/VLOOKUP(Expenditures[[#This Row],[Jurisdiction]],Places[],6,FALSE))</f>
        <v>14.194892247685916</v>
      </c>
      <c r="M163" s="105">
        <f>VALUE(Expenditures[[#This Row],[2018 $ Value]]/VLOOKUP(Expenditures[[#This Row],[Jurisdiction]],Places[],7,FALSE))</f>
        <v>146160.88964207767</v>
      </c>
      <c r="N163" s="20" t="s">
        <v>1853</v>
      </c>
      <c r="O163" s="20" t="s">
        <v>1853</v>
      </c>
    </row>
    <row r="164" spans="1:15" x14ac:dyDescent="0.25">
      <c r="A164" s="19" t="s">
        <v>189</v>
      </c>
      <c r="B164" s="19" t="str">
        <f>INDEX(Places[Type],MATCH(Expenditures[[#This Row],[Jurisdiction]],Places[Jurisdiction],0))</f>
        <v>City</v>
      </c>
      <c r="C164" s="19" t="str">
        <f>INDEX(Places[County],MATCH(Expenditures[[#This Row],[Jurisdiction]],Places[Jurisdiction],0))</f>
        <v>Los Angeles</v>
      </c>
      <c r="D164" s="19" t="str">
        <f>INDEX(Places[Majority RB],MATCH(Expenditures[[#This Row],[Jurisdiction]],Places[Jurisdiction],0))</f>
        <v>Los Angeles</v>
      </c>
      <c r="E164" s="19">
        <f>INDEX(Places[Majority RB '#],MATCH(Expenditures[[#This Row],[Jurisdiction]],Places[Jurisdiction],0))</f>
        <v>4</v>
      </c>
      <c r="F164" s="19" t="str">
        <f>VLOOKUP(Expenditures[[#This Row],[Jurisdiction]],Places[#All],8,FALSE)</f>
        <v>Phase I MS4</v>
      </c>
      <c r="G164" s="19"/>
      <c r="H164" s="21" t="s">
        <v>1870</v>
      </c>
      <c r="I164" s="21">
        <f>VALUE(LEFT(Expenditures[[#This Row],[Fiscal Year]],4))</f>
        <v>2011</v>
      </c>
      <c r="J164" s="20">
        <v>17908618</v>
      </c>
      <c r="K164" s="20">
        <f>IF(Expenditures[[#This Row],[Reference Year]]&gt;2018,Expenditures[[#This Row],[Value]],Expenditures[[#This Row],[Value]]*(1+VLOOKUP(Expenditures[[#This Row],[Reference Year]],Inflation[#All],3,FALSE)))</f>
        <v>20037187.443121389</v>
      </c>
      <c r="L164" s="105">
        <f>VALUE(Expenditures[[#This Row],[2018 $ Value]]/VLOOKUP(Expenditures[[#This Row],[Jurisdiction]],Places[],6,FALSE))</f>
        <v>99.508779967925207</v>
      </c>
      <c r="M164" s="105">
        <f>VALUE(Expenditures[[#This Row],[2018 $ Value]]/VLOOKUP(Expenditures[[#This Row],[Jurisdiction]],Places[],7,FALSE))</f>
        <v>659118.0079974141</v>
      </c>
      <c r="N164" s="20" t="s">
        <v>1460</v>
      </c>
      <c r="O164" s="20" t="s">
        <v>1460</v>
      </c>
    </row>
    <row r="165" spans="1:15" x14ac:dyDescent="0.25">
      <c r="A165" s="19" t="s">
        <v>189</v>
      </c>
      <c r="B165" s="19" t="str">
        <f>INDEX(Places[Type],MATCH(Expenditures[[#This Row],[Jurisdiction]],Places[Jurisdiction],0))</f>
        <v>City</v>
      </c>
      <c r="C165" s="19" t="str">
        <f>INDEX(Places[County],MATCH(Expenditures[[#This Row],[Jurisdiction]],Places[Jurisdiction],0))</f>
        <v>Los Angeles</v>
      </c>
      <c r="D165" s="19" t="str">
        <f>INDEX(Places[Majority RB],MATCH(Expenditures[[#This Row],[Jurisdiction]],Places[Jurisdiction],0))</f>
        <v>Los Angeles</v>
      </c>
      <c r="E165" s="19">
        <f>INDEX(Places[Majority RB '#],MATCH(Expenditures[[#This Row],[Jurisdiction]],Places[Jurisdiction],0))</f>
        <v>4</v>
      </c>
      <c r="F165" s="19" t="str">
        <f>VLOOKUP(Expenditures[[#This Row],[Jurisdiction]],Places[#All],8,FALSE)</f>
        <v>Phase I MS4</v>
      </c>
      <c r="G165" s="19"/>
      <c r="H165" s="21" t="s">
        <v>1873</v>
      </c>
      <c r="I165" s="21">
        <f>VALUE(LEFT(Expenditures[[#This Row],[Fiscal Year]],4))</f>
        <v>2015</v>
      </c>
      <c r="J165" s="20">
        <v>723000</v>
      </c>
      <c r="K165" s="20">
        <f>IF(Expenditures[[#This Row],[Reference Year]]&gt;2018,Expenditures[[#This Row],[Value]],Expenditures[[#This Row],[Value]]*(1+VLOOKUP(Expenditures[[#This Row],[Reference Year]],Inflation[#All],3,FALSE)))</f>
        <v>767633.81012658228</v>
      </c>
      <c r="L165" s="105">
        <f>VALUE(Expenditures[[#This Row],[2018 $ Value]]/VLOOKUP(Expenditures[[#This Row],[Jurisdiction]],Places[],6,FALSE))</f>
        <v>3.8122268469394882</v>
      </c>
      <c r="M165" s="105">
        <f>VALUE(Expenditures[[#This Row],[2018 $ Value]]/VLOOKUP(Expenditures[[#This Row],[Jurisdiction]],Places[],7,FALSE))</f>
        <v>25251.112175216524</v>
      </c>
      <c r="N165" s="20" t="s">
        <v>1853</v>
      </c>
      <c r="O165" s="20" t="s">
        <v>1853</v>
      </c>
    </row>
    <row r="166" spans="1:15" x14ac:dyDescent="0.25">
      <c r="A166" s="19" t="s">
        <v>202</v>
      </c>
      <c r="B166" s="19" t="str">
        <f>INDEX(Places[Type],MATCH(Expenditures[[#This Row],[Jurisdiction]],Places[Jurisdiction],0))</f>
        <v>City</v>
      </c>
      <c r="C166" s="19" t="str">
        <f>INDEX(Places[County],MATCH(Expenditures[[#This Row],[Jurisdiction]],Places[Jurisdiction],0))</f>
        <v>Los Angeles</v>
      </c>
      <c r="D166" s="19" t="str">
        <f>INDEX(Places[Majority RB],MATCH(Expenditures[[#This Row],[Jurisdiction]],Places[Jurisdiction],0))</f>
        <v>Los Angeles</v>
      </c>
      <c r="E166" s="19">
        <f>INDEX(Places[Majority RB '#],MATCH(Expenditures[[#This Row],[Jurisdiction]],Places[Jurisdiction],0))</f>
        <v>4</v>
      </c>
      <c r="F166" s="19" t="str">
        <f>VLOOKUP(Expenditures[[#This Row],[Jurisdiction]],Places[#All],8,FALSE)</f>
        <v>Phase I MS4</v>
      </c>
      <c r="G166" s="19"/>
      <c r="H166" s="21" t="s">
        <v>1870</v>
      </c>
      <c r="I166" s="21">
        <f>VALUE(LEFT(Expenditures[[#This Row],[Fiscal Year]],4))</f>
        <v>2011</v>
      </c>
      <c r="J166" s="20">
        <v>440200</v>
      </c>
      <c r="K166" s="20">
        <f>IF(Expenditures[[#This Row],[Reference Year]]&gt;2018,Expenditures[[#This Row],[Value]],Expenditures[[#This Row],[Value]]*(1+VLOOKUP(Expenditures[[#This Row],[Reference Year]],Inflation[#All],3,FALSE)))</f>
        <v>492520.97020898177</v>
      </c>
      <c r="L166" s="105">
        <f>VALUE(Expenditures[[#This Row],[2018 $ Value]]/VLOOKUP(Expenditures[[#This Row],[Jurisdiction]],Places[],6,FALSE))</f>
        <v>9.4711928427556966</v>
      </c>
      <c r="M166" s="105">
        <f>VALUE(Expenditures[[#This Row],[2018 $ Value]]/VLOOKUP(Expenditures[[#This Row],[Jurisdiction]],Places[],7,FALSE))</f>
        <v>25387.678876751641</v>
      </c>
      <c r="N166" s="20" t="s">
        <v>1460</v>
      </c>
      <c r="O166" s="20" t="s">
        <v>1460</v>
      </c>
    </row>
    <row r="167" spans="1:15" x14ac:dyDescent="0.25">
      <c r="A167" s="19" t="s">
        <v>202</v>
      </c>
      <c r="B167" s="19" t="str">
        <f>INDEX(Places[Type],MATCH(Expenditures[[#This Row],[Jurisdiction]],Places[Jurisdiction],0))</f>
        <v>City</v>
      </c>
      <c r="C167" s="19" t="str">
        <f>INDEX(Places[County],MATCH(Expenditures[[#This Row],[Jurisdiction]],Places[Jurisdiction],0))</f>
        <v>Los Angeles</v>
      </c>
      <c r="D167" s="19" t="str">
        <f>INDEX(Places[Majority RB],MATCH(Expenditures[[#This Row],[Jurisdiction]],Places[Jurisdiction],0))</f>
        <v>Los Angeles</v>
      </c>
      <c r="E167" s="19">
        <f>INDEX(Places[Majority RB '#],MATCH(Expenditures[[#This Row],[Jurisdiction]],Places[Jurisdiction],0))</f>
        <v>4</v>
      </c>
      <c r="F167" s="19" t="str">
        <f>VLOOKUP(Expenditures[[#This Row],[Jurisdiction]],Places[#All],8,FALSE)</f>
        <v>Phase I MS4</v>
      </c>
      <c r="G167" s="19"/>
      <c r="H167" s="21" t="s">
        <v>1873</v>
      </c>
      <c r="I167" s="21">
        <f>VALUE(LEFT(Expenditures[[#This Row],[Fiscal Year]],4))</f>
        <v>2015</v>
      </c>
      <c r="J167" s="20">
        <v>469500</v>
      </c>
      <c r="K167" s="20">
        <f>IF(Expenditures[[#This Row],[Reference Year]]&gt;2018,Expenditures[[#This Row],[Value]],Expenditures[[#This Row],[Value]]*(1+VLOOKUP(Expenditures[[#This Row],[Reference Year]],Inflation[#All],3,FALSE)))</f>
        <v>498484.19620253163</v>
      </c>
      <c r="L167" s="105">
        <f>VALUE(Expenditures[[#This Row],[2018 $ Value]]/VLOOKUP(Expenditures[[#This Row],[Jurisdiction]],Places[],6,FALSE))</f>
        <v>9.5858658552081</v>
      </c>
      <c r="M167" s="105">
        <f>VALUE(Expenditures[[#This Row],[2018 $ Value]]/VLOOKUP(Expenditures[[#This Row],[Jurisdiction]],Places[],7,FALSE))</f>
        <v>25695.061659924311</v>
      </c>
      <c r="N167" s="20" t="s">
        <v>1853</v>
      </c>
      <c r="O167" s="20" t="s">
        <v>1853</v>
      </c>
    </row>
    <row r="168" spans="1:15" x14ac:dyDescent="0.25">
      <c r="A168" s="19" t="s">
        <v>17</v>
      </c>
      <c r="B168" s="19" t="str">
        <f>INDEX(Places[Type],MATCH(Expenditures[[#This Row],[Jurisdiction]],Places[Jurisdiction],0))</f>
        <v>City</v>
      </c>
      <c r="C168" s="19" t="str">
        <f>INDEX(Places[County],MATCH(Expenditures[[#This Row],[Jurisdiction]],Places[Jurisdiction],0))</f>
        <v>San Bernardino</v>
      </c>
      <c r="D168" s="19" t="str">
        <f>INDEX(Places[Majority RB],MATCH(Expenditures[[#This Row],[Jurisdiction]],Places[Jurisdiction],0))</f>
        <v>Santa Ana</v>
      </c>
      <c r="E168" s="19">
        <f>INDEX(Places[Majority RB '#],MATCH(Expenditures[[#This Row],[Jurisdiction]],Places[Jurisdiction],0))</f>
        <v>8</v>
      </c>
      <c r="F168" s="19" t="str">
        <f>VLOOKUP(Expenditures[[#This Row],[Jurisdiction]],Places[#All],8,FALSE)</f>
        <v>Phase I MS4</v>
      </c>
      <c r="G168" s="19"/>
      <c r="H168" s="21" t="s">
        <v>1871</v>
      </c>
      <c r="I168" s="21">
        <f>VALUE(LEFT(Expenditures[[#This Row],[Fiscal Year]],4))</f>
        <v>2012</v>
      </c>
      <c r="J168" s="20">
        <v>119145</v>
      </c>
      <c r="K168" s="20">
        <f>IF(Expenditures[[#This Row],[Reference Year]]&gt;2018,Expenditures[[#This Row],[Value]],Expenditures[[#This Row],[Value]]*(1+VLOOKUP(Expenditures[[#This Row],[Reference Year]],Inflation[#All],3,FALSE)))</f>
        <v>130577.41940331011</v>
      </c>
      <c r="L168" s="105">
        <f>VALUE(Expenditures[[#This Row],[2018 $ Value]]/VLOOKUP(Expenditures[[#This Row],[Jurisdiction]],Places[],6,FALSE))</f>
        <v>10.376463716092665</v>
      </c>
      <c r="M168" s="105">
        <f>VALUE(Expenditures[[#This Row],[2018 $ Value]]/VLOOKUP(Expenditures[[#This Row],[Jurisdiction]],Places[],7,FALSE))</f>
        <v>37307.834115231461</v>
      </c>
      <c r="N168" s="20" t="s">
        <v>1460</v>
      </c>
      <c r="O168" s="20" t="s">
        <v>1460</v>
      </c>
    </row>
    <row r="169" spans="1:15" x14ac:dyDescent="0.25">
      <c r="A169" s="19" t="s">
        <v>17</v>
      </c>
      <c r="B169" s="19" t="str">
        <f>INDEX(Places[Type],MATCH(Expenditures[[#This Row],[Jurisdiction]],Places[Jurisdiction],0))</f>
        <v>City</v>
      </c>
      <c r="C169" s="19" t="str">
        <f>INDEX(Places[County],MATCH(Expenditures[[#This Row],[Jurisdiction]],Places[Jurisdiction],0))</f>
        <v>San Bernardino</v>
      </c>
      <c r="D169" s="19" t="str">
        <f>INDEX(Places[Majority RB],MATCH(Expenditures[[#This Row],[Jurisdiction]],Places[Jurisdiction],0))</f>
        <v>Santa Ana</v>
      </c>
      <c r="E169" s="19">
        <f>INDEX(Places[Majority RB '#],MATCH(Expenditures[[#This Row],[Jurisdiction]],Places[Jurisdiction],0))</f>
        <v>8</v>
      </c>
      <c r="F169" s="19" t="str">
        <f>VLOOKUP(Expenditures[[#This Row],[Jurisdiction]],Places[#All],8,FALSE)</f>
        <v>Phase I MS4</v>
      </c>
      <c r="G169" s="19"/>
      <c r="H169" s="21" t="s">
        <v>1880</v>
      </c>
      <c r="I169" s="21">
        <f>VALUE(LEFT(Expenditures[[#This Row],[Fiscal Year]],4))</f>
        <v>2013</v>
      </c>
      <c r="J169" s="20">
        <v>130059</v>
      </c>
      <c r="K169" s="20">
        <f>IF(Expenditures[[#This Row],[Reference Year]]&gt;2018,Expenditures[[#This Row],[Value]],Expenditures[[#This Row],[Value]]*(1+VLOOKUP(Expenditures[[#This Row],[Reference Year]],Inflation[#All],3,FALSE)))</f>
        <v>140458.69626180257</v>
      </c>
      <c r="L169" s="105">
        <f>VALUE(Expenditures[[#This Row],[2018 $ Value]]/VLOOKUP(Expenditures[[#This Row],[Jurisdiction]],Places[],6,FALSE))</f>
        <v>11.161689149857166</v>
      </c>
      <c r="M169" s="105">
        <f>VALUE(Expenditures[[#This Row],[2018 $ Value]]/VLOOKUP(Expenditures[[#This Row],[Jurisdiction]],Places[],7,FALSE))</f>
        <v>40131.056074800734</v>
      </c>
      <c r="N169" s="20" t="s">
        <v>1460</v>
      </c>
      <c r="O169" s="20" t="s">
        <v>1460</v>
      </c>
    </row>
    <row r="170" spans="1:15" x14ac:dyDescent="0.25">
      <c r="A170" s="19" t="s">
        <v>17</v>
      </c>
      <c r="B170" s="19" t="str">
        <f>INDEX(Places[Type],MATCH(Expenditures[[#This Row],[Jurisdiction]],Places[Jurisdiction],0))</f>
        <v>City</v>
      </c>
      <c r="C170" s="19" t="str">
        <f>INDEX(Places[County],MATCH(Expenditures[[#This Row],[Jurisdiction]],Places[Jurisdiction],0))</f>
        <v>San Bernardino</v>
      </c>
      <c r="D170" s="19" t="str">
        <f>INDEX(Places[Majority RB],MATCH(Expenditures[[#This Row],[Jurisdiction]],Places[Jurisdiction],0))</f>
        <v>Santa Ana</v>
      </c>
      <c r="E170" s="19">
        <f>INDEX(Places[Majority RB '#],MATCH(Expenditures[[#This Row],[Jurisdiction]],Places[Jurisdiction],0))</f>
        <v>8</v>
      </c>
      <c r="F170" s="19" t="str">
        <f>VLOOKUP(Expenditures[[#This Row],[Jurisdiction]],Places[#All],8,FALSE)</f>
        <v>Phase I MS4</v>
      </c>
      <c r="G170" s="19"/>
      <c r="H170" s="21" t="s">
        <v>1881</v>
      </c>
      <c r="I170" s="21">
        <f>VALUE(LEFT(Expenditures[[#This Row],[Fiscal Year]],4))</f>
        <v>2014</v>
      </c>
      <c r="J170" s="20">
        <v>123604</v>
      </c>
      <c r="K170" s="20">
        <f>IF(Expenditures[[#This Row],[Reference Year]]&gt;2018,Expenditures[[#This Row],[Value]],Expenditures[[#This Row],[Value]]*(1+VLOOKUP(Expenditures[[#This Row],[Reference Year]],Inflation[#All],3,FALSE)))</f>
        <v>131400.92152091255</v>
      </c>
      <c r="L170" s="105">
        <f>VALUE(Expenditures[[#This Row],[2018 $ Value]]/VLOOKUP(Expenditures[[#This Row],[Jurisdiction]],Places[],6,FALSE))</f>
        <v>10.441904125946643</v>
      </c>
      <c r="M170" s="105">
        <f>VALUE(Expenditures[[#This Row],[2018 $ Value]]/VLOOKUP(Expenditures[[#This Row],[Jurisdiction]],Places[],7,FALSE))</f>
        <v>37543.120434546443</v>
      </c>
      <c r="N170" s="20" t="s">
        <v>1460</v>
      </c>
      <c r="O170" s="20" t="s">
        <v>1853</v>
      </c>
    </row>
    <row r="171" spans="1:15" x14ac:dyDescent="0.25">
      <c r="A171" s="19" t="s">
        <v>168</v>
      </c>
      <c r="B171" s="19" t="str">
        <f>INDEX(Places[Type],MATCH(Expenditures[[#This Row],[Jurisdiction]],Places[Jurisdiction],0))</f>
        <v>City</v>
      </c>
      <c r="C171" s="19" t="str">
        <f>INDEX(Places[County],MATCH(Expenditures[[#This Row],[Jurisdiction]],Places[Jurisdiction],0))</f>
        <v>Los Angeles</v>
      </c>
      <c r="D171" s="19" t="str">
        <f>INDEX(Places[Majority RB],MATCH(Expenditures[[#This Row],[Jurisdiction]],Places[Jurisdiction],0))</f>
        <v>Los Angeles</v>
      </c>
      <c r="E171" s="19">
        <f>INDEX(Places[Majority RB '#],MATCH(Expenditures[[#This Row],[Jurisdiction]],Places[Jurisdiction],0))</f>
        <v>4</v>
      </c>
      <c r="F171" s="19" t="str">
        <f>VLOOKUP(Expenditures[[#This Row],[Jurisdiction]],Places[#All],8,FALSE)</f>
        <v>Phase I MS4</v>
      </c>
      <c r="G171" s="19"/>
      <c r="H171" s="100" t="s">
        <v>1870</v>
      </c>
      <c r="I171" s="21">
        <f>VALUE(LEFT(Expenditures[[#This Row],[Fiscal Year]],4))</f>
        <v>2011</v>
      </c>
      <c r="J171" s="20">
        <v>116783</v>
      </c>
      <c r="K171" s="20">
        <f>IF(Expenditures[[#This Row],[Reference Year]]&gt;2018,Expenditures[[#This Row],[Value]],Expenditures[[#This Row],[Value]]*(1+VLOOKUP(Expenditures[[#This Row],[Reference Year]],Inflation[#All],3,FALSE)))</f>
        <v>130663.50855046688</v>
      </c>
      <c r="L171" s="105">
        <f>VALUE(Expenditures[[#This Row],[2018 $ Value]]/VLOOKUP(Expenditures[[#This Row],[Jurisdiction]],Places[],6,FALSE))</f>
        <v>9.1277337443567497</v>
      </c>
      <c r="M171" s="105">
        <f>VALUE(Expenditures[[#This Row],[2018 $ Value]]/VLOOKUP(Expenditures[[#This Row],[Jurisdiction]],Places[],7,FALSE))</f>
        <v>145181.67616718542</v>
      </c>
      <c r="N171" s="20" t="s">
        <v>1460</v>
      </c>
      <c r="O171" s="20" t="s">
        <v>1460</v>
      </c>
    </row>
    <row r="172" spans="1:15" x14ac:dyDescent="0.25">
      <c r="A172" s="19" t="s">
        <v>168</v>
      </c>
      <c r="B172" s="19" t="str">
        <f>INDEX(Places[Type],MATCH(Expenditures[[#This Row],[Jurisdiction]],Places[Jurisdiction],0))</f>
        <v>City</v>
      </c>
      <c r="C172" s="19" t="str">
        <f>INDEX(Places[County],MATCH(Expenditures[[#This Row],[Jurisdiction]],Places[Jurisdiction],0))</f>
        <v>Los Angeles</v>
      </c>
      <c r="D172" s="19" t="str">
        <f>INDEX(Places[Majority RB],MATCH(Expenditures[[#This Row],[Jurisdiction]],Places[Jurisdiction],0))</f>
        <v>Los Angeles</v>
      </c>
      <c r="E172" s="19">
        <f>INDEX(Places[Majority RB '#],MATCH(Expenditures[[#This Row],[Jurisdiction]],Places[Jurisdiction],0))</f>
        <v>4</v>
      </c>
      <c r="F172" s="19" t="str">
        <f>VLOOKUP(Expenditures[[#This Row],[Jurisdiction]],Places[#All],8,FALSE)</f>
        <v>Phase I MS4</v>
      </c>
      <c r="G172" s="19"/>
      <c r="H172" s="100" t="s">
        <v>1873</v>
      </c>
      <c r="I172" s="21">
        <f>VALUE(LEFT(Expenditures[[#This Row],[Fiscal Year]],4))</f>
        <v>2015</v>
      </c>
      <c r="J172" s="20">
        <v>112500</v>
      </c>
      <c r="K172" s="20">
        <f>IF(Expenditures[[#This Row],[Reference Year]]&gt;2018,Expenditures[[#This Row],[Value]],Expenditures[[#This Row],[Value]]*(1+VLOOKUP(Expenditures[[#This Row],[Reference Year]],Inflation[#All],3,FALSE)))</f>
        <v>119445.09493670885</v>
      </c>
      <c r="L172" s="105">
        <f>VALUE(Expenditures[[#This Row],[2018 $ Value]]/VLOOKUP(Expenditures[[#This Row],[Jurisdiction]],Places[],6,FALSE))</f>
        <v>8.3440513403219594</v>
      </c>
      <c r="M172" s="105">
        <f>VALUE(Expenditures[[#This Row],[2018 $ Value]]/VLOOKUP(Expenditures[[#This Row],[Jurisdiction]],Places[],7,FALSE))</f>
        <v>132716.77215189871</v>
      </c>
      <c r="N172" s="20" t="s">
        <v>1853</v>
      </c>
      <c r="O172" s="20" t="s">
        <v>1853</v>
      </c>
    </row>
    <row r="173" spans="1:15" x14ac:dyDescent="0.25">
      <c r="A173" s="19" t="s">
        <v>222</v>
      </c>
      <c r="B173" s="19" t="str">
        <f>INDEX(Places[Type],MATCH(Expenditures[[#This Row],[Jurisdiction]],Places[Jurisdiction],0))</f>
        <v>City</v>
      </c>
      <c r="C173" s="19" t="str">
        <f>INDEX(Places[County],MATCH(Expenditures[[#This Row],[Jurisdiction]],Places[Jurisdiction],0))</f>
        <v>Los Angeles</v>
      </c>
      <c r="D173" s="19" t="str">
        <f>INDEX(Places[Majority RB],MATCH(Expenditures[[#This Row],[Jurisdiction]],Places[Jurisdiction],0))</f>
        <v>Los Angeles</v>
      </c>
      <c r="E173" s="19">
        <f>INDEX(Places[Majority RB '#],MATCH(Expenditures[[#This Row],[Jurisdiction]],Places[Jurisdiction],0))</f>
        <v>4</v>
      </c>
      <c r="F173" s="19" t="str">
        <f>VLOOKUP(Expenditures[[#This Row],[Jurisdiction]],Places[#All],8,FALSE)</f>
        <v>Phase I MS4</v>
      </c>
      <c r="G173" s="19"/>
      <c r="H173" s="21" t="s">
        <v>1870</v>
      </c>
      <c r="I173" s="21">
        <f>VALUE(LEFT(Expenditures[[#This Row],[Fiscal Year]],4))</f>
        <v>2011</v>
      </c>
      <c r="J173" s="20">
        <v>471785</v>
      </c>
      <c r="K173" s="20">
        <f>IF(Expenditures[[#This Row],[Reference Year]]&gt;2018,Expenditures[[#This Row],[Value]],Expenditures[[#This Row],[Value]]*(1+VLOOKUP(Expenditures[[#This Row],[Reference Year]],Inflation[#All],3,FALSE)))</f>
        <v>527860.0770787017</v>
      </c>
      <c r="L173" s="105">
        <f>VALUE(Expenditures[[#This Row],[2018 $ Value]]/VLOOKUP(Expenditures[[#This Row],[Jurisdiction]],Places[],6,FALSE))</f>
        <v>6.0697990809946729</v>
      </c>
      <c r="M173" s="105">
        <f>VALUE(Expenditures[[#This Row],[2018 $ Value]]/VLOOKUP(Expenditures[[#This Row],[Jurisdiction]],Places[],7,FALSE))</f>
        <v>86534.438865360935</v>
      </c>
      <c r="N173" s="20" t="s">
        <v>1460</v>
      </c>
      <c r="O173" s="20" t="s">
        <v>1460</v>
      </c>
    </row>
    <row r="174" spans="1:15" x14ac:dyDescent="0.25">
      <c r="A174" s="19" t="s">
        <v>222</v>
      </c>
      <c r="B174" s="19" t="str">
        <f>INDEX(Places[Type],MATCH(Expenditures[[#This Row],[Jurisdiction]],Places[Jurisdiction],0))</f>
        <v>City</v>
      </c>
      <c r="C174" s="19" t="str">
        <f>INDEX(Places[County],MATCH(Expenditures[[#This Row],[Jurisdiction]],Places[Jurisdiction],0))</f>
        <v>Los Angeles</v>
      </c>
      <c r="D174" s="19" t="str">
        <f>INDEX(Places[Majority RB],MATCH(Expenditures[[#This Row],[Jurisdiction]],Places[Jurisdiction],0))</f>
        <v>Los Angeles</v>
      </c>
      <c r="E174" s="19">
        <f>INDEX(Places[Majority RB '#],MATCH(Expenditures[[#This Row],[Jurisdiction]],Places[Jurisdiction],0))</f>
        <v>4</v>
      </c>
      <c r="F174" s="19" t="str">
        <f>VLOOKUP(Expenditures[[#This Row],[Jurisdiction]],Places[#All],8,FALSE)</f>
        <v>Phase I MS4</v>
      </c>
      <c r="G174" s="19"/>
      <c r="H174" s="21" t="s">
        <v>1873</v>
      </c>
      <c r="I174" s="21">
        <f>VALUE(LEFT(Expenditures[[#This Row],[Fiscal Year]],4))</f>
        <v>2015</v>
      </c>
      <c r="J174" s="20">
        <v>1142000</v>
      </c>
      <c r="K174" s="20">
        <f>IF(Expenditures[[#This Row],[Reference Year]]&gt;2018,Expenditures[[#This Row],[Value]],Expenditures[[#This Row],[Value]]*(1+VLOOKUP(Expenditures[[#This Row],[Reference Year]],Inflation[#All],3,FALSE)))</f>
        <v>1212500.4303797467</v>
      </c>
      <c r="L174" s="105">
        <f>VALUE(Expenditures[[#This Row],[2018 $ Value]]/VLOOKUP(Expenditures[[#This Row],[Jurisdiction]],Places[],6,FALSE))</f>
        <v>13.942395565799421</v>
      </c>
      <c r="M174" s="105">
        <f>VALUE(Expenditures[[#This Row],[2018 $ Value]]/VLOOKUP(Expenditures[[#This Row],[Jurisdiction]],Places[],7,FALSE))</f>
        <v>198770.56235733553</v>
      </c>
      <c r="N174" s="20" t="s">
        <v>1853</v>
      </c>
      <c r="O174" s="20" t="s">
        <v>1853</v>
      </c>
    </row>
    <row r="175" spans="1:15" x14ac:dyDescent="0.25">
      <c r="A175" s="19" t="s">
        <v>232</v>
      </c>
      <c r="B175" s="19" t="str">
        <f>INDEX(Places[Type],MATCH(Expenditures[[#This Row],[Jurisdiction]],Places[Jurisdiction],0))</f>
        <v>City</v>
      </c>
      <c r="C175" s="19" t="str">
        <f>INDEX(Places[County],MATCH(Expenditures[[#This Row],[Jurisdiction]],Places[Jurisdiction],0))</f>
        <v>Riverside</v>
      </c>
      <c r="D175" s="19" t="str">
        <f>INDEX(Places[Majority RB],MATCH(Expenditures[[#This Row],[Jurisdiction]],Places[Jurisdiction],0))</f>
        <v>Santa Ana</v>
      </c>
      <c r="E175" s="19">
        <f>INDEX(Places[Majority RB '#],MATCH(Expenditures[[#This Row],[Jurisdiction]],Places[Jurisdiction],0))</f>
        <v>8</v>
      </c>
      <c r="F175" s="19" t="str">
        <f>VLOOKUP(Expenditures[[#This Row],[Jurisdiction]],Places[#All],8,FALSE)</f>
        <v>Phase I MS4</v>
      </c>
      <c r="G175" s="19"/>
      <c r="H175" s="21" t="s">
        <v>1869</v>
      </c>
      <c r="I175" s="21">
        <f>VALUE(LEFT(Expenditures[[#This Row],[Fiscal Year]],4))</f>
        <v>2016</v>
      </c>
      <c r="J175" s="20">
        <v>876258.08</v>
      </c>
      <c r="K175" s="20">
        <f>IF(Expenditures[[#This Row],[Reference Year]]&gt;2018,Expenditures[[#This Row],[Value]],Expenditures[[#This Row],[Value]]*(1+VLOOKUP(Expenditures[[#This Row],[Reference Year]],Inflation[#All],3,FALSE)))</f>
        <v>918723.73720199999</v>
      </c>
      <c r="L175" s="105">
        <f>VALUE(Expenditures[[#This Row],[2018 $ Value]]/VLOOKUP(Expenditures[[#This Row],[Jurisdiction]],Places[],6,FALSE))</f>
        <v>10.773658601020228</v>
      </c>
      <c r="M175" s="105">
        <f>VALUE(Expenditures[[#This Row],[2018 $ Value]]/VLOOKUP(Expenditures[[#This Row],[Jurisdiction]],Places[],7,FALSE))</f>
        <v>33166.921920649816</v>
      </c>
      <c r="N175" s="20" t="s">
        <v>1460</v>
      </c>
      <c r="O175" s="20" t="s">
        <v>1853</v>
      </c>
    </row>
    <row r="176" spans="1:15" x14ac:dyDescent="0.25">
      <c r="A176" s="19" t="s">
        <v>146</v>
      </c>
      <c r="B176" s="19" t="str">
        <f>INDEX(Places[Type],MATCH(Expenditures[[#This Row],[Jurisdiction]],Places[Jurisdiction],0))</f>
        <v>City</v>
      </c>
      <c r="C176" s="19" t="str">
        <f>INDEX(Places[County],MATCH(Expenditures[[#This Row],[Jurisdiction]],Places[Jurisdiction],0))</f>
        <v>Los Angeles</v>
      </c>
      <c r="D176" s="19" t="str">
        <f>INDEX(Places[Majority RB],MATCH(Expenditures[[#This Row],[Jurisdiction]],Places[Jurisdiction],0))</f>
        <v>Los Angeles</v>
      </c>
      <c r="E176" s="19">
        <f>INDEX(Places[Majority RB '#],MATCH(Expenditures[[#This Row],[Jurisdiction]],Places[Jurisdiction],0))</f>
        <v>4</v>
      </c>
      <c r="F176" s="19" t="str">
        <f>VLOOKUP(Expenditures[[#This Row],[Jurisdiction]],Places[#All],8,FALSE)</f>
        <v>Phase I MS4</v>
      </c>
      <c r="G176" s="19"/>
      <c r="H176" s="100" t="s">
        <v>1870</v>
      </c>
      <c r="I176" s="21">
        <f>VALUE(LEFT(Expenditures[[#This Row],[Fiscal Year]],4))</f>
        <v>2011</v>
      </c>
      <c r="J176" s="20">
        <v>741397</v>
      </c>
      <c r="K176" s="20">
        <f>IF(Expenditures[[#This Row],[Reference Year]]&gt;2018,Expenditures[[#This Row],[Value]],Expenditures[[#This Row],[Value]]*(1+VLOOKUP(Expenditures[[#This Row],[Reference Year]],Inflation[#All],3,FALSE)))</f>
        <v>829517.42333036906</v>
      </c>
      <c r="L176" s="105">
        <f>VALUE(Expenditures[[#This Row],[2018 $ Value]]/VLOOKUP(Expenditures[[#This Row],[Jurisdiction]],Places[],6,FALSE))</f>
        <v>42.615845020825539</v>
      </c>
      <c r="M176" s="105">
        <f>VALUE(Expenditures[[#This Row],[2018 $ Value]]/VLOOKUP(Expenditures[[#This Row],[Jurisdiction]],Places[],7,FALSE))</f>
        <v>592512.44523597788</v>
      </c>
      <c r="N176" s="20" t="s">
        <v>1460</v>
      </c>
      <c r="O176" s="20" t="s">
        <v>1460</v>
      </c>
    </row>
    <row r="177" spans="1:15" x14ac:dyDescent="0.25">
      <c r="A177" s="19" t="s">
        <v>146</v>
      </c>
      <c r="B177" s="19" t="str">
        <f>INDEX(Places[Type],MATCH(Expenditures[[#This Row],[Jurisdiction]],Places[Jurisdiction],0))</f>
        <v>City</v>
      </c>
      <c r="C177" s="19" t="str">
        <f>INDEX(Places[County],MATCH(Expenditures[[#This Row],[Jurisdiction]],Places[Jurisdiction],0))</f>
        <v>Los Angeles</v>
      </c>
      <c r="D177" s="19" t="str">
        <f>INDEX(Places[Majority RB],MATCH(Expenditures[[#This Row],[Jurisdiction]],Places[Jurisdiction],0))</f>
        <v>Los Angeles</v>
      </c>
      <c r="E177" s="19">
        <f>INDEX(Places[Majority RB '#],MATCH(Expenditures[[#This Row],[Jurisdiction]],Places[Jurisdiction],0))</f>
        <v>4</v>
      </c>
      <c r="F177" s="19" t="str">
        <f>VLOOKUP(Expenditures[[#This Row],[Jurisdiction]],Places[#All],8,FALSE)</f>
        <v>Phase I MS4</v>
      </c>
      <c r="G177" s="19"/>
      <c r="H177" s="21" t="s">
        <v>1881</v>
      </c>
      <c r="I177" s="21">
        <f>VALUE(LEFT(Expenditures[[#This Row],[Fiscal Year]],4))</f>
        <v>2014</v>
      </c>
      <c r="J177" s="20">
        <v>1732797</v>
      </c>
      <c r="K177" s="20">
        <f>IF(Expenditures[[#This Row],[Reference Year]]&gt;2018,Expenditures[[#This Row],[Value]],Expenditures[[#This Row],[Value]]*(1+VLOOKUP(Expenditures[[#This Row],[Reference Year]],Inflation[#All],3,FALSE)))</f>
        <v>1842101.5712167302</v>
      </c>
      <c r="L177" s="105">
        <f>VALUE(Expenditures[[#This Row],[2018 $ Value]]/VLOOKUP(Expenditures[[#This Row],[Jurisdiction]],Places[],6,FALSE))</f>
        <v>94.636607820022093</v>
      </c>
      <c r="M177" s="105">
        <f>VALUE(Expenditures[[#This Row],[2018 $ Value]]/VLOOKUP(Expenditures[[#This Row],[Jurisdiction]],Places[],7,FALSE))</f>
        <v>1315786.8365833787</v>
      </c>
      <c r="N177" s="20" t="s">
        <v>1460</v>
      </c>
      <c r="O177" s="20" t="s">
        <v>1460</v>
      </c>
    </row>
    <row r="178" spans="1:15" x14ac:dyDescent="0.25">
      <c r="A178" s="19" t="s">
        <v>146</v>
      </c>
      <c r="B178" s="19" t="str">
        <f>INDEX(Places[Type],MATCH(Expenditures[[#This Row],[Jurisdiction]],Places[Jurisdiction],0))</f>
        <v>City</v>
      </c>
      <c r="C178" s="19" t="str">
        <f>INDEX(Places[County],MATCH(Expenditures[[#This Row],[Jurisdiction]],Places[Jurisdiction],0))</f>
        <v>Los Angeles</v>
      </c>
      <c r="D178" s="19" t="str">
        <f>INDEX(Places[Majority RB],MATCH(Expenditures[[#This Row],[Jurisdiction]],Places[Jurisdiction],0))</f>
        <v>Los Angeles</v>
      </c>
      <c r="E178" s="19">
        <f>INDEX(Places[Majority RB '#],MATCH(Expenditures[[#This Row],[Jurisdiction]],Places[Jurisdiction],0))</f>
        <v>4</v>
      </c>
      <c r="F178" s="19" t="str">
        <f>VLOOKUP(Expenditures[[#This Row],[Jurisdiction]],Places[#All],8,FALSE)</f>
        <v>Phase I MS4</v>
      </c>
      <c r="G178" s="19"/>
      <c r="H178" s="100" t="s">
        <v>1873</v>
      </c>
      <c r="I178" s="21">
        <f>VALUE(LEFT(Expenditures[[#This Row],[Fiscal Year]],4))</f>
        <v>2015</v>
      </c>
      <c r="J178" s="104">
        <v>710364</v>
      </c>
      <c r="K178" s="20">
        <f>IF(Expenditures[[#This Row],[Reference Year]]&gt;2018,Expenditures[[#This Row],[Value]],Expenditures[[#This Row],[Value]]*(1+VLOOKUP(Expenditures[[#This Row],[Reference Year]],Inflation[#All],3,FALSE)))</f>
        <v>754217.73706329113</v>
      </c>
      <c r="L178" s="105">
        <f>VALUE(Expenditures[[#This Row],[2018 $ Value]]/VLOOKUP(Expenditures[[#This Row],[Jurisdiction]],Places[],6,FALSE))</f>
        <v>38.747379248049889</v>
      </c>
      <c r="M178" s="105">
        <f>VALUE(Expenditures[[#This Row],[2018 $ Value]]/VLOOKUP(Expenditures[[#This Row],[Jurisdiction]],Places[],7,FALSE))</f>
        <v>538726.95504520799</v>
      </c>
      <c r="N178" s="20" t="s">
        <v>1853</v>
      </c>
      <c r="O178" s="20" t="s">
        <v>1853</v>
      </c>
    </row>
    <row r="179" spans="1:15" x14ac:dyDescent="0.25">
      <c r="A179" s="19" t="s">
        <v>173</v>
      </c>
      <c r="B179" s="19" t="str">
        <f>INDEX(Places[Type],MATCH(Expenditures[[#This Row],[Jurisdiction]],Places[Jurisdiction],0))</f>
        <v>City</v>
      </c>
      <c r="C179" s="19" t="str">
        <f>INDEX(Places[County],MATCH(Expenditures[[#This Row],[Jurisdiction]],Places[Jurisdiction],0))</f>
        <v>Los Angeles</v>
      </c>
      <c r="D179" s="19" t="str">
        <f>INDEX(Places[Majority RB],MATCH(Expenditures[[#This Row],[Jurisdiction]],Places[Jurisdiction],0))</f>
        <v>Los Angeles</v>
      </c>
      <c r="E179" s="19">
        <f>INDEX(Places[Majority RB '#],MATCH(Expenditures[[#This Row],[Jurisdiction]],Places[Jurisdiction],0))</f>
        <v>4</v>
      </c>
      <c r="F179" s="19" t="str">
        <f>VLOOKUP(Expenditures[[#This Row],[Jurisdiction]],Places[#All],8,FALSE)</f>
        <v>Phase I MS4</v>
      </c>
      <c r="G179" s="19"/>
      <c r="H179" s="100" t="s">
        <v>1870</v>
      </c>
      <c r="I179" s="21">
        <f>VALUE(LEFT(Expenditures[[#This Row],[Fiscal Year]],4))</f>
        <v>2011</v>
      </c>
      <c r="J179" s="20">
        <v>167179</v>
      </c>
      <c r="K179" s="20">
        <f>IF(Expenditures[[#This Row],[Reference Year]]&gt;2018,Expenditures[[#This Row],[Value]],Expenditures[[#This Row],[Value]]*(1+VLOOKUP(Expenditures[[#This Row],[Reference Year]],Inflation[#All],3,FALSE)))</f>
        <v>187049.43952423299</v>
      </c>
      <c r="L179" s="105">
        <f>VALUE(Expenditures[[#This Row],[2018 $ Value]]/VLOOKUP(Expenditures[[#This Row],[Jurisdiction]],Places[],6,FALSE))</f>
        <v>98.550811129732878</v>
      </c>
      <c r="M179" s="105">
        <f>VALUE(Expenditures[[#This Row],[2018 $ Value]]/VLOOKUP(Expenditures[[#This Row],[Jurisdiction]],Places[],7,FALSE))</f>
        <v>110029.08207307823</v>
      </c>
      <c r="N179" s="20" t="s">
        <v>1460</v>
      </c>
      <c r="O179" s="20" t="s">
        <v>1460</v>
      </c>
    </row>
    <row r="180" spans="1:15" x14ac:dyDescent="0.25">
      <c r="A180" s="19" t="s">
        <v>173</v>
      </c>
      <c r="B180" s="19" t="str">
        <f>INDEX(Places[Type],MATCH(Expenditures[[#This Row],[Jurisdiction]],Places[Jurisdiction],0))</f>
        <v>City</v>
      </c>
      <c r="C180" s="19" t="str">
        <f>INDEX(Places[County],MATCH(Expenditures[[#This Row],[Jurisdiction]],Places[Jurisdiction],0))</f>
        <v>Los Angeles</v>
      </c>
      <c r="D180" s="19" t="str">
        <f>INDEX(Places[Majority RB],MATCH(Expenditures[[#This Row],[Jurisdiction]],Places[Jurisdiction],0))</f>
        <v>Los Angeles</v>
      </c>
      <c r="E180" s="19">
        <f>INDEX(Places[Majority RB '#],MATCH(Expenditures[[#This Row],[Jurisdiction]],Places[Jurisdiction],0))</f>
        <v>4</v>
      </c>
      <c r="F180" s="19" t="str">
        <f>VLOOKUP(Expenditures[[#This Row],[Jurisdiction]],Places[#All],8,FALSE)</f>
        <v>Phase I MS4</v>
      </c>
      <c r="G180" s="19"/>
      <c r="H180" s="100" t="s">
        <v>1873</v>
      </c>
      <c r="I180" s="21">
        <f>VALUE(LEFT(Expenditures[[#This Row],[Fiscal Year]],4))</f>
        <v>2015</v>
      </c>
      <c r="J180" s="20">
        <v>112581</v>
      </c>
      <c r="K180" s="20">
        <f>IF(Expenditures[[#This Row],[Reference Year]]&gt;2018,Expenditures[[#This Row],[Value]],Expenditures[[#This Row],[Value]]*(1+VLOOKUP(Expenditures[[#This Row],[Reference Year]],Inflation[#All],3,FALSE)))</f>
        <v>119531.09540506329</v>
      </c>
      <c r="L180" s="105">
        <f>VALUE(Expenditures[[#This Row],[2018 $ Value]]/VLOOKUP(Expenditures[[#This Row],[Jurisdiction]],Places[],6,FALSE))</f>
        <v>62.977394839337876</v>
      </c>
      <c r="M180" s="105">
        <f>VALUE(Expenditures[[#This Row],[2018 $ Value]]/VLOOKUP(Expenditures[[#This Row],[Jurisdiction]],Places[],7,FALSE))</f>
        <v>70312.40906180194</v>
      </c>
      <c r="N180" s="20" t="s">
        <v>1853</v>
      </c>
      <c r="O180" s="20" t="s">
        <v>1853</v>
      </c>
    </row>
    <row r="181" spans="1:15" x14ac:dyDescent="0.25">
      <c r="A181" s="19" t="s">
        <v>245</v>
      </c>
      <c r="B181" s="19" t="str">
        <f>INDEX(Places[Type],MATCH(Expenditures[[#This Row],[Jurisdiction]],Places[Jurisdiction],0))</f>
        <v>City</v>
      </c>
      <c r="C181" s="19" t="str">
        <f>INDEX(Places[County],MATCH(Expenditures[[#This Row],[Jurisdiction]],Places[Jurisdiction],0))</f>
        <v>San Bernardino</v>
      </c>
      <c r="D181" s="19" t="str">
        <f>INDEX(Places[Majority RB],MATCH(Expenditures[[#This Row],[Jurisdiction]],Places[Jurisdiction],0))</f>
        <v>Santa Ana</v>
      </c>
      <c r="E181" s="19">
        <f>INDEX(Places[Majority RB '#],MATCH(Expenditures[[#This Row],[Jurisdiction]],Places[Jurisdiction],0))</f>
        <v>8</v>
      </c>
      <c r="F181" s="19" t="str">
        <f>VLOOKUP(Expenditures[[#This Row],[Jurisdiction]],Places[#All],8,FALSE)</f>
        <v>Phase I MS4</v>
      </c>
      <c r="G181" s="19"/>
      <c r="H181" s="21" t="s">
        <v>1870</v>
      </c>
      <c r="I181" s="21">
        <f>VALUE(LEFT(Expenditures[[#This Row],[Fiscal Year]],4))</f>
        <v>2011</v>
      </c>
      <c r="J181" s="20">
        <v>473320</v>
      </c>
      <c r="K181" s="20">
        <f>IF(Expenditures[[#This Row],[Reference Year]]&gt;2018,Expenditures[[#This Row],[Value]],Expenditures[[#This Row],[Value]]*(1+VLOOKUP(Expenditures[[#This Row],[Reference Year]],Inflation[#All],3,FALSE)))</f>
        <v>529577.52298799471</v>
      </c>
      <c r="L181" s="105">
        <f>VALUE(Expenditures[[#This Row],[2018 $ Value]]/VLOOKUP(Expenditures[[#This Row],[Jurisdiction]],Places[],6,FALSE))</f>
        <v>9.558125888676221</v>
      </c>
      <c r="M181" s="105">
        <f>VALUE(Expenditures[[#This Row],[2018 $ Value]]/VLOOKUP(Expenditures[[#This Row],[Jurisdiction]],Places[],7,FALSE))</f>
        <v>28169.017180212482</v>
      </c>
      <c r="N181" s="20" t="s">
        <v>1460</v>
      </c>
      <c r="O181" s="20" t="s">
        <v>1460</v>
      </c>
    </row>
    <row r="182" spans="1:15" x14ac:dyDescent="0.25">
      <c r="A182" s="19" t="s">
        <v>245</v>
      </c>
      <c r="B182" s="19" t="str">
        <f>INDEX(Places[Type],MATCH(Expenditures[[#This Row],[Jurisdiction]],Places[Jurisdiction],0))</f>
        <v>City</v>
      </c>
      <c r="C182" s="19" t="str">
        <f>INDEX(Places[County],MATCH(Expenditures[[#This Row],[Jurisdiction]],Places[Jurisdiction],0))</f>
        <v>San Bernardino</v>
      </c>
      <c r="D182" s="19" t="str">
        <f>INDEX(Places[Majority RB],MATCH(Expenditures[[#This Row],[Jurisdiction]],Places[Jurisdiction],0))</f>
        <v>Santa Ana</v>
      </c>
      <c r="E182" s="19">
        <f>INDEX(Places[Majority RB '#],MATCH(Expenditures[[#This Row],[Jurisdiction]],Places[Jurisdiction],0))</f>
        <v>8</v>
      </c>
      <c r="F182" s="19" t="str">
        <f>VLOOKUP(Expenditures[[#This Row],[Jurisdiction]],Places[#All],8,FALSE)</f>
        <v>Phase I MS4</v>
      </c>
      <c r="G182" s="19"/>
      <c r="H182" s="21" t="s">
        <v>1871</v>
      </c>
      <c r="I182" s="21">
        <f>VALUE(LEFT(Expenditures[[#This Row],[Fiscal Year]],4))</f>
        <v>2012</v>
      </c>
      <c r="J182" s="20">
        <v>495500</v>
      </c>
      <c r="K182" s="20">
        <f>IF(Expenditures[[#This Row],[Reference Year]]&gt;2018,Expenditures[[#This Row],[Value]],Expenditures[[#This Row],[Value]]*(1+VLOOKUP(Expenditures[[#This Row],[Reference Year]],Inflation[#All],3,FALSE)))</f>
        <v>543045.12412891991</v>
      </c>
      <c r="L182" s="105">
        <f>VALUE(Expenditures[[#This Row],[2018 $ Value]]/VLOOKUP(Expenditures[[#This Row],[Jurisdiction]],Places[],6,FALSE))</f>
        <v>9.8011970567974576</v>
      </c>
      <c r="M182" s="105">
        <f>VALUE(Expenditures[[#This Row],[2018 $ Value]]/VLOOKUP(Expenditures[[#This Row],[Jurisdiction]],Places[],7,FALSE))</f>
        <v>28885.378943027652</v>
      </c>
      <c r="N182" s="20" t="s">
        <v>1460</v>
      </c>
      <c r="O182" s="20" t="s">
        <v>1460</v>
      </c>
    </row>
    <row r="183" spans="1:15" x14ac:dyDescent="0.25">
      <c r="A183" s="19" t="s">
        <v>245</v>
      </c>
      <c r="B183" s="19" t="str">
        <f>INDEX(Places[Type],MATCH(Expenditures[[#This Row],[Jurisdiction]],Places[Jurisdiction],0))</f>
        <v>City</v>
      </c>
      <c r="C183" s="19" t="str">
        <f>INDEX(Places[County],MATCH(Expenditures[[#This Row],[Jurisdiction]],Places[Jurisdiction],0))</f>
        <v>San Bernardino</v>
      </c>
      <c r="D183" s="19" t="str">
        <f>INDEX(Places[Majority RB],MATCH(Expenditures[[#This Row],[Jurisdiction]],Places[Jurisdiction],0))</f>
        <v>Santa Ana</v>
      </c>
      <c r="E183" s="19">
        <f>INDEX(Places[Majority RB '#],MATCH(Expenditures[[#This Row],[Jurisdiction]],Places[Jurisdiction],0))</f>
        <v>8</v>
      </c>
      <c r="F183" s="19" t="str">
        <f>VLOOKUP(Expenditures[[#This Row],[Jurisdiction]],Places[#All],8,FALSE)</f>
        <v>Phase I MS4</v>
      </c>
      <c r="G183" s="19"/>
      <c r="H183" s="21" t="s">
        <v>1880</v>
      </c>
      <c r="I183" s="21">
        <f>VALUE(LEFT(Expenditures[[#This Row],[Fiscal Year]],4))</f>
        <v>2013</v>
      </c>
      <c r="J183" s="20">
        <v>516000</v>
      </c>
      <c r="K183" s="20">
        <f>IF(Expenditures[[#This Row],[Reference Year]]&gt;2018,Expenditures[[#This Row],[Value]],Expenditures[[#This Row],[Value]]*(1+VLOOKUP(Expenditures[[#This Row],[Reference Year]],Inflation[#All],3,FALSE)))</f>
        <v>557260.06866952789</v>
      </c>
      <c r="L183" s="105">
        <f>VALUE(Expenditures[[#This Row],[2018 $ Value]]/VLOOKUP(Expenditures[[#This Row],[Jurisdiction]],Places[],6,FALSE))</f>
        <v>10.057756717134026</v>
      </c>
      <c r="M183" s="105">
        <f>VALUE(Expenditures[[#This Row],[2018 $ Value]]/VLOOKUP(Expenditures[[#This Row],[Jurisdiction]],Places[],7,FALSE))</f>
        <v>29641.493014336589</v>
      </c>
      <c r="N183" s="20" t="s">
        <v>1460</v>
      </c>
      <c r="O183" s="20" t="s">
        <v>1460</v>
      </c>
    </row>
    <row r="184" spans="1:15" x14ac:dyDescent="0.25">
      <c r="A184" s="19" t="s">
        <v>245</v>
      </c>
      <c r="B184" s="19" t="str">
        <f>INDEX(Places[Type],MATCH(Expenditures[[#This Row],[Jurisdiction]],Places[Jurisdiction],0))</f>
        <v>City</v>
      </c>
      <c r="C184" s="19" t="str">
        <f>INDEX(Places[County],MATCH(Expenditures[[#This Row],[Jurisdiction]],Places[Jurisdiction],0))</f>
        <v>San Bernardino</v>
      </c>
      <c r="D184" s="19" t="str">
        <f>INDEX(Places[Majority RB],MATCH(Expenditures[[#This Row],[Jurisdiction]],Places[Jurisdiction],0))</f>
        <v>Santa Ana</v>
      </c>
      <c r="E184" s="19">
        <f>INDEX(Places[Majority RB '#],MATCH(Expenditures[[#This Row],[Jurisdiction]],Places[Jurisdiction],0))</f>
        <v>8</v>
      </c>
      <c r="F184" s="19" t="str">
        <f>VLOOKUP(Expenditures[[#This Row],[Jurisdiction]],Places[#All],8,FALSE)</f>
        <v>Phase I MS4</v>
      </c>
      <c r="G184" s="19"/>
      <c r="H184" s="21" t="s">
        <v>1881</v>
      </c>
      <c r="I184" s="21">
        <f>VALUE(LEFT(Expenditures[[#This Row],[Fiscal Year]],4))</f>
        <v>2014</v>
      </c>
      <c r="J184" s="20">
        <v>529500</v>
      </c>
      <c r="K184" s="20">
        <f>IF(Expenditures[[#This Row],[Reference Year]]&gt;2018,Expenditures[[#This Row],[Value]],Expenditures[[#This Row],[Value]]*(1+VLOOKUP(Expenditures[[#This Row],[Reference Year]],Inflation[#All],3,FALSE)))</f>
        <v>562900.77946768061</v>
      </c>
      <c r="L184" s="105">
        <f>VALUE(Expenditures[[#This Row],[2018 $ Value]]/VLOOKUP(Expenditures[[#This Row],[Jurisdiction]],Places[],6,FALSE))</f>
        <v>10.159563575563668</v>
      </c>
      <c r="M184" s="105">
        <f>VALUE(Expenditures[[#This Row],[2018 $ Value]]/VLOOKUP(Expenditures[[#This Row],[Jurisdiction]],Places[],7,FALSE))</f>
        <v>29941.530822748966</v>
      </c>
      <c r="N184" s="20" t="s">
        <v>1460</v>
      </c>
      <c r="O184" s="20" t="s">
        <v>1853</v>
      </c>
    </row>
    <row r="185" spans="1:15" x14ac:dyDescent="0.25">
      <c r="A185" s="19" t="s">
        <v>274</v>
      </c>
      <c r="B185" s="19" t="str">
        <f>INDEX(Places[Type],MATCH(Expenditures[[#This Row],[Jurisdiction]],Places[Jurisdiction],0))</f>
        <v>City</v>
      </c>
      <c r="C185" s="19" t="str">
        <f>INDEX(Places[County],MATCH(Expenditures[[#This Row],[Jurisdiction]],Places[Jurisdiction],0))</f>
        <v>Orange</v>
      </c>
      <c r="D185" s="19" t="str">
        <f>INDEX(Places[Majority RB],MATCH(Expenditures[[#This Row],[Jurisdiction]],Places[Jurisdiction],0))</f>
        <v>Santa Ana</v>
      </c>
      <c r="E185" s="19">
        <f>INDEX(Places[Majority RB '#],MATCH(Expenditures[[#This Row],[Jurisdiction]],Places[Jurisdiction],0))</f>
        <v>8</v>
      </c>
      <c r="F185" s="19" t="str">
        <f>VLOOKUP(Expenditures[[#This Row],[Jurisdiction]],Places[#All],8,FALSE)</f>
        <v>Phase I MS4</v>
      </c>
      <c r="G185" s="19"/>
      <c r="H185" s="21" t="s">
        <v>1893</v>
      </c>
      <c r="I185" s="21">
        <f>VALUE(LEFT(Expenditures[[#This Row],[Fiscal Year]],4))</f>
        <v>2000</v>
      </c>
      <c r="J185" s="20">
        <v>6397000</v>
      </c>
      <c r="K185" s="20">
        <f>IF(Expenditures[[#This Row],[Reference Year]]&gt;2018,Expenditures[[#This Row],[Value]],Expenditures[[#This Row],[Value]]*(1+VLOOKUP(Expenditures[[#This Row],[Reference Year]],Inflation[#All],3,FALSE)))</f>
        <v>9347755.5574912895</v>
      </c>
      <c r="L185" s="105">
        <f>VALUE(Expenditures[[#This Row],[2018 $ Value]]/VLOOKUP(Expenditures[[#This Row],[Jurisdiction]],Places[],6,FALSE))</f>
        <v>46.589458572730848</v>
      </c>
      <c r="M185" s="105">
        <f>VALUE(Expenditures[[#This Row],[2018 $ Value]]/VLOOKUP(Expenditures[[#This Row],[Jurisdiction]],Places[],7,FALSE))</f>
        <v>347500.20659818919</v>
      </c>
      <c r="N185" s="20" t="s">
        <v>1460</v>
      </c>
      <c r="O185" s="20" t="s">
        <v>1460</v>
      </c>
    </row>
    <row r="186" spans="1:15" x14ac:dyDescent="0.25">
      <c r="A186" s="19" t="s">
        <v>274</v>
      </c>
      <c r="B186" s="19" t="str">
        <f>INDEX(Places[Type],MATCH(Expenditures[[#This Row],[Jurisdiction]],Places[Jurisdiction],0))</f>
        <v>City</v>
      </c>
      <c r="C186" s="19" t="str">
        <f>INDEX(Places[County],MATCH(Expenditures[[#This Row],[Jurisdiction]],Places[Jurisdiction],0))</f>
        <v>Orange</v>
      </c>
      <c r="D186" s="19" t="str">
        <f>INDEX(Places[Majority RB],MATCH(Expenditures[[#This Row],[Jurisdiction]],Places[Jurisdiction],0))</f>
        <v>Santa Ana</v>
      </c>
      <c r="E186" s="19">
        <f>INDEX(Places[Majority RB '#],MATCH(Expenditures[[#This Row],[Jurisdiction]],Places[Jurisdiction],0))</f>
        <v>8</v>
      </c>
      <c r="F186" s="19" t="str">
        <f>VLOOKUP(Expenditures[[#This Row],[Jurisdiction]],Places[#All],8,FALSE)</f>
        <v>Phase I MS4</v>
      </c>
      <c r="G186" s="19"/>
      <c r="H186" s="21" t="s">
        <v>1875</v>
      </c>
      <c r="I186" s="21">
        <f>VALUE(LEFT(Expenditures[[#This Row],[Fiscal Year]],4))</f>
        <v>2001</v>
      </c>
      <c r="J186" s="20">
        <v>8814000</v>
      </c>
      <c r="K186" s="20">
        <f>IF(Expenditures[[#This Row],[Reference Year]]&gt;2018,Expenditures[[#This Row],[Value]],Expenditures[[#This Row],[Value]]*(1+VLOOKUP(Expenditures[[#This Row],[Reference Year]],Inflation[#All],3,FALSE)))</f>
        <v>12523295.5053642</v>
      </c>
      <c r="L186" s="105">
        <f>VALUE(Expenditures[[#This Row],[2018 $ Value]]/VLOOKUP(Expenditures[[#This Row],[Jurisdiction]],Places[],6,FALSE))</f>
        <v>62.41643285950628</v>
      </c>
      <c r="M186" s="105">
        <f>VALUE(Expenditures[[#This Row],[2018 $ Value]]/VLOOKUP(Expenditures[[#This Row],[Jurisdiction]],Places[],7,FALSE))</f>
        <v>465550.01878677326</v>
      </c>
      <c r="N186" s="20" t="s">
        <v>1853</v>
      </c>
      <c r="O186" s="20" t="s">
        <v>1853</v>
      </c>
    </row>
    <row r="187" spans="1:15" x14ac:dyDescent="0.25">
      <c r="A187" s="19" t="s">
        <v>312</v>
      </c>
      <c r="B187" s="19" t="str">
        <f>INDEX(Places[Type],MATCH(Expenditures[[#This Row],[Jurisdiction]],Places[Jurisdiction],0))</f>
        <v>City</v>
      </c>
      <c r="C187" s="19" t="str">
        <f>INDEX(Places[County],MATCH(Expenditures[[#This Row],[Jurisdiction]],Places[Jurisdiction],0))</f>
        <v>San Diego</v>
      </c>
      <c r="D187" s="19" t="str">
        <f>INDEX(Places[Majority RB],MATCH(Expenditures[[#This Row],[Jurisdiction]],Places[Jurisdiction],0))</f>
        <v>San Diego</v>
      </c>
      <c r="E187" s="19">
        <f>INDEX(Places[Majority RB '#],MATCH(Expenditures[[#This Row],[Jurisdiction]],Places[Jurisdiction],0))</f>
        <v>9</v>
      </c>
      <c r="F187" s="19" t="str">
        <f>VLOOKUP(Expenditures[[#This Row],[Jurisdiction]],Places[#All],8,FALSE)</f>
        <v>Phase I MS4</v>
      </c>
      <c r="G187" s="19"/>
      <c r="H187" s="19" t="s">
        <v>1869</v>
      </c>
      <c r="I187" s="21">
        <f>VALUE(LEFT(Expenditures[[#This Row],[Fiscal Year]],4))</f>
        <v>2016</v>
      </c>
      <c r="J187" s="20">
        <v>2909325</v>
      </c>
      <c r="K187" s="20">
        <f>IF(Expenditures[[#This Row],[Reference Year]]&gt;2018,Expenditures[[#This Row],[Value]],Expenditures[[#This Row],[Value]]*(1+VLOOKUP(Expenditures[[#This Row],[Reference Year]],Inflation[#All],3,FALSE)))</f>
        <v>3050318.1628125003</v>
      </c>
      <c r="L187" s="105">
        <f>VALUE(Expenditures[[#This Row],[2018 $ Value]]/VLOOKUP(Expenditures[[#This Row],[Jurisdiction]],Places[],6,FALSE))</f>
        <v>111.13484762678982</v>
      </c>
      <c r="M187" s="105">
        <f>VALUE(Expenditures[[#This Row],[2018 $ Value]]/VLOOKUP(Expenditures[[#This Row],[Jurisdiction]],Places[],7,FALSE))</f>
        <v>726266.2292410715</v>
      </c>
      <c r="N187" s="20" t="s">
        <v>1460</v>
      </c>
      <c r="O187" s="20" t="s">
        <v>1460</v>
      </c>
    </row>
    <row r="188" spans="1:15" x14ac:dyDescent="0.25">
      <c r="A188" s="19" t="s">
        <v>312</v>
      </c>
      <c r="B188" s="19" t="str">
        <f>INDEX(Places[Type],MATCH(Expenditures[[#This Row],[Jurisdiction]],Places[Jurisdiction],0))</f>
        <v>City</v>
      </c>
      <c r="C188" s="19" t="str">
        <f>INDEX(Places[County],MATCH(Expenditures[[#This Row],[Jurisdiction]],Places[Jurisdiction],0))</f>
        <v>San Diego</v>
      </c>
      <c r="D188" s="19" t="str">
        <f>INDEX(Places[Majority RB],MATCH(Expenditures[[#This Row],[Jurisdiction]],Places[Jurisdiction],0))</f>
        <v>San Diego</v>
      </c>
      <c r="E188" s="19">
        <f>INDEX(Places[Majority RB '#],MATCH(Expenditures[[#This Row],[Jurisdiction]],Places[Jurisdiction],0))</f>
        <v>9</v>
      </c>
      <c r="F188" s="19" t="str">
        <f>VLOOKUP(Expenditures[[#This Row],[Jurisdiction]],Places[#All],8,FALSE)</f>
        <v>Phase I MS4</v>
      </c>
      <c r="G188" s="19"/>
      <c r="H188" s="19" t="s">
        <v>1874</v>
      </c>
      <c r="I188" s="21">
        <f>VALUE(LEFT(Expenditures[[#This Row],[Fiscal Year]],4))</f>
        <v>2017</v>
      </c>
      <c r="J188" s="20">
        <v>5294091</v>
      </c>
      <c r="K188" s="20">
        <f>IF(Expenditures[[#This Row],[Reference Year]]&gt;2018,Expenditures[[#This Row],[Value]],Expenditures[[#This Row],[Value]]*(1+VLOOKUP(Expenditures[[#This Row],[Reference Year]],Inflation[#All],3,FALSE)))</f>
        <v>5435158.7614075895</v>
      </c>
      <c r="L188" s="105">
        <f>VALUE(Expenditures[[#This Row],[2018 $ Value]]/VLOOKUP(Expenditures[[#This Row],[Jurisdiction]],Places[],6,FALSE))</f>
        <v>198.02378261404124</v>
      </c>
      <c r="M188" s="105">
        <f>VALUE(Expenditures[[#This Row],[2018 $ Value]]/VLOOKUP(Expenditures[[#This Row],[Jurisdiction]],Places[],7,FALSE))</f>
        <v>1294085.4193827594</v>
      </c>
      <c r="N188" s="20" t="s">
        <v>1853</v>
      </c>
      <c r="O188" s="20" t="s">
        <v>1853</v>
      </c>
    </row>
    <row r="189" spans="1:15" x14ac:dyDescent="0.25">
      <c r="A189" s="19" t="s">
        <v>203</v>
      </c>
      <c r="B189" s="19" t="str">
        <f>INDEX(Places[Type],MATCH(Expenditures[[#This Row],[Jurisdiction]],Places[Jurisdiction],0))</f>
        <v>City</v>
      </c>
      <c r="C189" s="19" t="str">
        <f>INDEX(Places[County],MATCH(Expenditures[[#This Row],[Jurisdiction]],Places[Jurisdiction],0))</f>
        <v>Los Angeles</v>
      </c>
      <c r="D189" s="19" t="str">
        <f>INDEX(Places[Majority RB],MATCH(Expenditures[[#This Row],[Jurisdiction]],Places[Jurisdiction],0))</f>
        <v>Los Angeles</v>
      </c>
      <c r="E189" s="19">
        <f>INDEX(Places[Majority RB '#],MATCH(Expenditures[[#This Row],[Jurisdiction]],Places[Jurisdiction],0))</f>
        <v>4</v>
      </c>
      <c r="F189" s="19" t="str">
        <f>VLOOKUP(Expenditures[[#This Row],[Jurisdiction]],Places[#All],8,FALSE)</f>
        <v>Phase I MS4</v>
      </c>
      <c r="G189" s="19"/>
      <c r="H189" s="21" t="s">
        <v>1870</v>
      </c>
      <c r="I189" s="21">
        <f>VALUE(LEFT(Expenditures[[#This Row],[Fiscal Year]],4))</f>
        <v>2011</v>
      </c>
      <c r="J189" s="20">
        <v>983468</v>
      </c>
      <c r="K189" s="20">
        <f>IF(Expenditures[[#This Row],[Reference Year]]&gt;2018,Expenditures[[#This Row],[Value]],Expenditures[[#This Row],[Value]]*(1+VLOOKUP(Expenditures[[#This Row],[Reference Year]],Inflation[#All],3,FALSE)))</f>
        <v>1100360.3215117832</v>
      </c>
      <c r="L189" s="105">
        <f>VALUE(Expenditures[[#This Row],[2018 $ Value]]/VLOOKUP(Expenditures[[#This Row],[Jurisdiction]],Places[],6,FALSE))</f>
        <v>5447.3283243157584</v>
      </c>
      <c r="M189" s="105">
        <f>VALUE(Expenditures[[#This Row],[2018 $ Value]]/VLOOKUP(Expenditures[[#This Row],[Jurisdiction]],Places[],7,FALSE))</f>
        <v>93250.874704388392</v>
      </c>
      <c r="N189" s="20" t="s">
        <v>1460</v>
      </c>
      <c r="O189" s="20" t="s">
        <v>1460</v>
      </c>
    </row>
    <row r="190" spans="1:15" x14ac:dyDescent="0.25">
      <c r="A190" s="19" t="s">
        <v>203</v>
      </c>
      <c r="B190" s="19" t="str">
        <f>INDEX(Places[Type],MATCH(Expenditures[[#This Row],[Jurisdiction]],Places[Jurisdiction],0))</f>
        <v>City</v>
      </c>
      <c r="C190" s="19" t="str">
        <f>INDEX(Places[County],MATCH(Expenditures[[#This Row],[Jurisdiction]],Places[Jurisdiction],0))</f>
        <v>Los Angeles</v>
      </c>
      <c r="D190" s="19" t="str">
        <f>INDEX(Places[Majority RB],MATCH(Expenditures[[#This Row],[Jurisdiction]],Places[Jurisdiction],0))</f>
        <v>Los Angeles</v>
      </c>
      <c r="E190" s="19">
        <f>INDEX(Places[Majority RB '#],MATCH(Expenditures[[#This Row],[Jurisdiction]],Places[Jurisdiction],0))</f>
        <v>4</v>
      </c>
      <c r="F190" s="19" t="str">
        <f>VLOOKUP(Expenditures[[#This Row],[Jurisdiction]],Places[#All],8,FALSE)</f>
        <v>Phase I MS4</v>
      </c>
      <c r="G190" s="19"/>
      <c r="H190" s="21" t="s">
        <v>1873</v>
      </c>
      <c r="I190" s="21">
        <f>VALUE(LEFT(Expenditures[[#This Row],[Fiscal Year]],4))</f>
        <v>2015</v>
      </c>
      <c r="J190" s="20">
        <v>4987515</v>
      </c>
      <c r="K190" s="20">
        <f>IF(Expenditures[[#This Row],[Reference Year]]&gt;2018,Expenditures[[#This Row],[Value]],Expenditures[[#This Row],[Value]]*(1+VLOOKUP(Expenditures[[#This Row],[Reference Year]],Inflation[#All],3,FALSE)))</f>
        <v>5295415.1348734172</v>
      </c>
      <c r="L190" s="105">
        <f>VALUE(Expenditures[[#This Row],[2018 $ Value]]/VLOOKUP(Expenditures[[#This Row],[Jurisdiction]],Places[],6,FALSE))</f>
        <v>26214.926410264441</v>
      </c>
      <c r="M190" s="105">
        <f>VALUE(Expenditures[[#This Row],[2018 $ Value]]/VLOOKUP(Expenditures[[#This Row],[Jurisdiction]],Places[],7,FALSE))</f>
        <v>448763.99448079802</v>
      </c>
      <c r="N190" s="20" t="s">
        <v>1853</v>
      </c>
      <c r="O190" s="20" t="s">
        <v>1853</v>
      </c>
    </row>
    <row r="191" spans="1:15" x14ac:dyDescent="0.25">
      <c r="A191" s="19" t="s">
        <v>223</v>
      </c>
      <c r="B191" s="19" t="str">
        <f>INDEX(Places[Type],MATCH(Expenditures[[#This Row],[Jurisdiction]],Places[Jurisdiction],0))</f>
        <v>City</v>
      </c>
      <c r="C191" s="19" t="str">
        <f>INDEX(Places[County],MATCH(Expenditures[[#This Row],[Jurisdiction]],Places[Jurisdiction],0))</f>
        <v>Los Angeles</v>
      </c>
      <c r="D191" s="19" t="str">
        <f>INDEX(Places[Majority RB],MATCH(Expenditures[[#This Row],[Jurisdiction]],Places[Jurisdiction],0))</f>
        <v>Los Angeles</v>
      </c>
      <c r="E191" s="19">
        <f>INDEX(Places[Majority RB '#],MATCH(Expenditures[[#This Row],[Jurisdiction]],Places[Jurisdiction],0))</f>
        <v>4</v>
      </c>
      <c r="F191" s="19" t="str">
        <f>VLOOKUP(Expenditures[[#This Row],[Jurisdiction]],Places[#All],8,FALSE)</f>
        <v>Phase I MS4</v>
      </c>
      <c r="G191" s="19"/>
      <c r="H191" s="21" t="s">
        <v>1870</v>
      </c>
      <c r="I191" s="21">
        <f>VALUE(LEFT(Expenditures[[#This Row],[Fiscal Year]],4))</f>
        <v>2011</v>
      </c>
      <c r="J191" s="20">
        <v>14124742</v>
      </c>
      <c r="K191" s="20">
        <f>IF(Expenditures[[#This Row],[Reference Year]]&gt;2018,Expenditures[[#This Row],[Value]],Expenditures[[#This Row],[Value]]*(1+VLOOKUP(Expenditures[[#This Row],[Reference Year]],Inflation[#All],3,FALSE)))</f>
        <v>15803570.272129836</v>
      </c>
      <c r="L191" s="105">
        <f>VALUE(Expenditures[[#This Row],[2018 $ Value]]/VLOOKUP(Expenditures[[#This Row],[Jurisdiction]],Places[],6,FALSE))</f>
        <v>144.43168254260993</v>
      </c>
      <c r="M191" s="105">
        <f>VALUE(Expenditures[[#This Row],[2018 $ Value]]/VLOOKUP(Expenditures[[#This Row],[Jurisdiction]],Places[],7,FALSE))</f>
        <v>1736656.0738604215</v>
      </c>
      <c r="N191" s="20" t="s">
        <v>1460</v>
      </c>
      <c r="O191" s="20" t="s">
        <v>1460</v>
      </c>
    </row>
    <row r="192" spans="1:15" x14ac:dyDescent="0.25">
      <c r="A192" s="19" t="s">
        <v>223</v>
      </c>
      <c r="B192" s="19" t="str">
        <f>INDEX(Places[Type],MATCH(Expenditures[[#This Row],[Jurisdiction]],Places[Jurisdiction],0))</f>
        <v>City</v>
      </c>
      <c r="C192" s="19" t="str">
        <f>INDEX(Places[County],MATCH(Expenditures[[#This Row],[Jurisdiction]],Places[Jurisdiction],0))</f>
        <v>Los Angeles</v>
      </c>
      <c r="D192" s="19" t="str">
        <f>INDEX(Places[Majority RB],MATCH(Expenditures[[#This Row],[Jurisdiction]],Places[Jurisdiction],0))</f>
        <v>Los Angeles</v>
      </c>
      <c r="E192" s="19">
        <f>INDEX(Places[Majority RB '#],MATCH(Expenditures[[#This Row],[Jurisdiction]],Places[Jurisdiction],0))</f>
        <v>4</v>
      </c>
      <c r="F192" s="19" t="str">
        <f>VLOOKUP(Expenditures[[#This Row],[Jurisdiction]],Places[#All],8,FALSE)</f>
        <v>Phase I MS4</v>
      </c>
      <c r="G192" s="19"/>
      <c r="H192" s="21" t="s">
        <v>1873</v>
      </c>
      <c r="I192" s="21">
        <f>VALUE(LEFT(Expenditures[[#This Row],[Fiscal Year]],4))</f>
        <v>2015</v>
      </c>
      <c r="J192" s="20">
        <v>2497550</v>
      </c>
      <c r="K192" s="20">
        <f>IF(Expenditures[[#This Row],[Reference Year]]&gt;2018,Expenditures[[#This Row],[Value]],Expenditures[[#This Row],[Value]]*(1+VLOOKUP(Expenditures[[#This Row],[Reference Year]],Inflation[#All],3,FALSE)))</f>
        <v>2651734.1943037971</v>
      </c>
      <c r="L192" s="105">
        <f>VALUE(Expenditures[[#This Row],[2018 $ Value]]/VLOOKUP(Expenditures[[#This Row],[Jurisdiction]],Places[],6,FALSE))</f>
        <v>24.234677654738181</v>
      </c>
      <c r="M192" s="105">
        <f>VALUE(Expenditures[[#This Row],[2018 $ Value]]/VLOOKUP(Expenditures[[#This Row],[Jurisdiction]],Places[],7,FALSE))</f>
        <v>291399.36201140628</v>
      </c>
      <c r="N192" s="20" t="s">
        <v>1853</v>
      </c>
      <c r="O192" s="20" t="s">
        <v>1853</v>
      </c>
    </row>
    <row r="193" spans="1:15" x14ac:dyDescent="0.25">
      <c r="A193" s="19" t="s">
        <v>275</v>
      </c>
      <c r="B193" s="19" t="str">
        <f>INDEX(Places[Type],MATCH(Expenditures[[#This Row],[Jurisdiction]],Places[Jurisdiction],0))</f>
        <v>City</v>
      </c>
      <c r="C193" s="19" t="str">
        <f>INDEX(Places[County],MATCH(Expenditures[[#This Row],[Jurisdiction]],Places[Jurisdiction],0))</f>
        <v>Orange</v>
      </c>
      <c r="D193" s="19" t="str">
        <f>INDEX(Places[Majority RB],MATCH(Expenditures[[#This Row],[Jurisdiction]],Places[Jurisdiction],0))</f>
        <v>Santa Ana</v>
      </c>
      <c r="E193" s="19">
        <f>INDEX(Places[Majority RB '#],MATCH(Expenditures[[#This Row],[Jurisdiction]],Places[Jurisdiction],0))</f>
        <v>8</v>
      </c>
      <c r="F193" s="19" t="str">
        <f>VLOOKUP(Expenditures[[#This Row],[Jurisdiction]],Places[#All],8,FALSE)</f>
        <v>Phase I MS4</v>
      </c>
      <c r="G193" s="19"/>
      <c r="H193" s="21" t="s">
        <v>1893</v>
      </c>
      <c r="I193" s="21">
        <f>VALUE(LEFT(Expenditures[[#This Row],[Fiscal Year]],4))</f>
        <v>2000</v>
      </c>
      <c r="J193" s="20">
        <v>1249217</v>
      </c>
      <c r="K193" s="20">
        <f>IF(Expenditures[[#This Row],[Reference Year]]&gt;2018,Expenditures[[#This Row],[Value]],Expenditures[[#This Row],[Value]]*(1+VLOOKUP(Expenditures[[#This Row],[Reference Year]],Inflation[#All],3,FALSE)))</f>
        <v>1825445.5454529617</v>
      </c>
      <c r="L193" s="105">
        <f>VALUE(Expenditures[[#This Row],[2018 $ Value]]/VLOOKUP(Expenditures[[#This Row],[Jurisdiction]],Places[],6,FALSE))</f>
        <v>6.4601076732760561</v>
      </c>
      <c r="M193" s="105">
        <f>VALUE(Expenditures[[#This Row],[2018 $ Value]]/VLOOKUP(Expenditures[[#This Row],[Jurisdiction]],Places[],7,FALSE))</f>
        <v>27826.913802636613</v>
      </c>
      <c r="N193" s="20" t="s">
        <v>1460</v>
      </c>
      <c r="O193" s="20" t="s">
        <v>1460</v>
      </c>
    </row>
    <row r="194" spans="1:15" x14ac:dyDescent="0.25">
      <c r="A194" s="19" t="s">
        <v>275</v>
      </c>
      <c r="B194" s="19" t="str">
        <f>INDEX(Places[Type],MATCH(Expenditures[[#This Row],[Jurisdiction]],Places[Jurisdiction],0))</f>
        <v>City</v>
      </c>
      <c r="C194" s="19" t="str">
        <f>INDEX(Places[County],MATCH(Expenditures[[#This Row],[Jurisdiction]],Places[Jurisdiction],0))</f>
        <v>Orange</v>
      </c>
      <c r="D194" s="19" t="str">
        <f>INDEX(Places[Majority RB],MATCH(Expenditures[[#This Row],[Jurisdiction]],Places[Jurisdiction],0))</f>
        <v>Santa Ana</v>
      </c>
      <c r="E194" s="19">
        <f>INDEX(Places[Majority RB '#],MATCH(Expenditures[[#This Row],[Jurisdiction]],Places[Jurisdiction],0))</f>
        <v>8</v>
      </c>
      <c r="F194" s="19" t="str">
        <f>VLOOKUP(Expenditures[[#This Row],[Jurisdiction]],Places[#All],8,FALSE)</f>
        <v>Phase I MS4</v>
      </c>
      <c r="G194" s="19"/>
      <c r="H194" s="21" t="s">
        <v>1875</v>
      </c>
      <c r="I194" s="21">
        <f>VALUE(LEFT(Expenditures[[#This Row],[Fiscal Year]],4))</f>
        <v>2001</v>
      </c>
      <c r="J194" s="20">
        <v>2514276</v>
      </c>
      <c r="K194" s="20">
        <f>IF(Expenditures[[#This Row],[Reference Year]]&gt;2018,Expenditures[[#This Row],[Value]],Expenditures[[#This Row],[Value]]*(1+VLOOKUP(Expenditures[[#This Row],[Reference Year]],Inflation[#All],3,FALSE)))</f>
        <v>3572387.2623150763</v>
      </c>
      <c r="L194" s="105">
        <f>VALUE(Expenditures[[#This Row],[2018 $ Value]]/VLOOKUP(Expenditures[[#This Row],[Jurisdiction]],Places[],6,FALSE))</f>
        <v>12.642396494752051</v>
      </c>
      <c r="M194" s="105">
        <f>VALUE(Expenditures[[#This Row],[2018 $ Value]]/VLOOKUP(Expenditures[[#This Row],[Jurisdiction]],Places[],7,FALSE))</f>
        <v>54457.122901144459</v>
      </c>
      <c r="N194" s="20" t="s">
        <v>1853</v>
      </c>
      <c r="O194" s="20" t="s">
        <v>1853</v>
      </c>
    </row>
    <row r="195" spans="1:15" x14ac:dyDescent="0.25">
      <c r="A195" s="19" t="s">
        <v>156</v>
      </c>
      <c r="B195" s="19" t="str">
        <f>INDEX(Places[Type],MATCH(Expenditures[[#This Row],[Jurisdiction]],Places[Jurisdiction],0))</f>
        <v>City</v>
      </c>
      <c r="C195" s="19" t="str">
        <f>INDEX(Places[County],MATCH(Expenditures[[#This Row],[Jurisdiction]],Places[Jurisdiction],0))</f>
        <v>Los Angeles</v>
      </c>
      <c r="D195" s="19" t="str">
        <f>INDEX(Places[Majority RB],MATCH(Expenditures[[#This Row],[Jurisdiction]],Places[Jurisdiction],0))</f>
        <v>Los Angeles</v>
      </c>
      <c r="E195" s="19">
        <f>INDEX(Places[Majority RB '#],MATCH(Expenditures[[#This Row],[Jurisdiction]],Places[Jurisdiction],0))</f>
        <v>4</v>
      </c>
      <c r="F195" s="19" t="str">
        <f>VLOOKUP(Expenditures[[#This Row],[Jurisdiction]],Places[#All],8,FALSE)</f>
        <v>Phase I MS4</v>
      </c>
      <c r="G195" s="19"/>
      <c r="H195" s="100" t="s">
        <v>1870</v>
      </c>
      <c r="I195" s="21">
        <f>VALUE(LEFT(Expenditures[[#This Row],[Fiscal Year]],4))</f>
        <v>2011</v>
      </c>
      <c r="J195" s="20">
        <v>269271</v>
      </c>
      <c r="K195" s="20">
        <f>IF(Expenditures[[#This Row],[Reference Year]]&gt;2018,Expenditures[[#This Row],[Value]],Expenditures[[#This Row],[Value]]*(1+VLOOKUP(Expenditures[[#This Row],[Reference Year]],Inflation[#All],3,FALSE)))</f>
        <v>301275.81592263229</v>
      </c>
      <c r="L195" s="105">
        <f>VALUE(Expenditures[[#This Row],[2018 $ Value]]/VLOOKUP(Expenditures[[#This Row],[Jurisdiction]],Places[],6,FALSE))</f>
        <v>205.93015442421893</v>
      </c>
      <c r="M195" s="105">
        <f>VALUE(Expenditures[[#This Row],[2018 $ Value]]/VLOOKUP(Expenditures[[#This Row],[Jurisdiction]],Places[],7,FALSE))</f>
        <v>34235.888173026397</v>
      </c>
      <c r="N195" s="20" t="s">
        <v>1460</v>
      </c>
      <c r="O195" s="20" t="s">
        <v>1460</v>
      </c>
    </row>
    <row r="196" spans="1:15" x14ac:dyDescent="0.25">
      <c r="A196" s="19" t="s">
        <v>156</v>
      </c>
      <c r="B196" s="19" t="str">
        <f>INDEX(Places[Type],MATCH(Expenditures[[#This Row],[Jurisdiction]],Places[Jurisdiction],0))</f>
        <v>City</v>
      </c>
      <c r="C196" s="19" t="str">
        <f>INDEX(Places[County],MATCH(Expenditures[[#This Row],[Jurisdiction]],Places[Jurisdiction],0))</f>
        <v>Los Angeles</v>
      </c>
      <c r="D196" s="19" t="str">
        <f>INDEX(Places[Majority RB],MATCH(Expenditures[[#This Row],[Jurisdiction]],Places[Jurisdiction],0))</f>
        <v>Los Angeles</v>
      </c>
      <c r="E196" s="19">
        <f>INDEX(Places[Majority RB '#],MATCH(Expenditures[[#This Row],[Jurisdiction]],Places[Jurisdiction],0))</f>
        <v>4</v>
      </c>
      <c r="F196" s="19" t="str">
        <f>VLOOKUP(Expenditures[[#This Row],[Jurisdiction]],Places[#All],8,FALSE)</f>
        <v>Phase I MS4</v>
      </c>
      <c r="G196" s="19"/>
      <c r="H196" s="100" t="s">
        <v>1873</v>
      </c>
      <c r="I196" s="21">
        <f>VALUE(LEFT(Expenditures[[#This Row],[Fiscal Year]],4))</f>
        <v>2015</v>
      </c>
      <c r="J196" s="20">
        <v>500092.65</v>
      </c>
      <c r="K196" s="20">
        <f>IF(Expenditures[[#This Row],[Reference Year]]&gt;2018,Expenditures[[#This Row],[Value]],Expenditures[[#This Row],[Value]]*(1+VLOOKUP(Expenditures[[#This Row],[Reference Year]],Inflation[#All],3,FALSE)))</f>
        <v>530965.45827911387</v>
      </c>
      <c r="L196" s="105">
        <f>VALUE(Expenditures[[#This Row],[2018 $ Value]]/VLOOKUP(Expenditures[[#This Row],[Jurisdiction]],Places[],6,FALSE))</f>
        <v>362.92922643821862</v>
      </c>
      <c r="M196" s="105">
        <f>VALUE(Expenditures[[#This Row],[2018 $ Value]]/VLOOKUP(Expenditures[[#This Row],[Jurisdiction]],Places[],7,FALSE))</f>
        <v>60336.983895353842</v>
      </c>
      <c r="N196" s="20" t="s">
        <v>1853</v>
      </c>
      <c r="O196" s="20" t="s">
        <v>1853</v>
      </c>
    </row>
    <row r="197" spans="1:15" x14ac:dyDescent="0.25">
      <c r="A197" s="19" t="s">
        <v>233</v>
      </c>
      <c r="B197" s="19" t="str">
        <f>INDEX(Places[Type],MATCH(Expenditures[[#This Row],[Jurisdiction]],Places[Jurisdiction],0))</f>
        <v>City</v>
      </c>
      <c r="C197" s="19" t="str">
        <f>INDEX(Places[County],MATCH(Expenditures[[#This Row],[Jurisdiction]],Places[Jurisdiction],0))</f>
        <v>Riverside</v>
      </c>
      <c r="D197" s="19" t="str">
        <f>INDEX(Places[Majority RB],MATCH(Expenditures[[#This Row],[Jurisdiction]],Places[Jurisdiction],0))</f>
        <v>Santa Ana</v>
      </c>
      <c r="E197" s="19">
        <f>INDEX(Places[Majority RB '#],MATCH(Expenditures[[#This Row],[Jurisdiction]],Places[Jurisdiction],0))</f>
        <v>8</v>
      </c>
      <c r="F197" s="19" t="str">
        <f>VLOOKUP(Expenditures[[#This Row],[Jurisdiction]],Places[#All],8,FALSE)</f>
        <v>Phase I MS4</v>
      </c>
      <c r="G197" s="19"/>
      <c r="H197" s="21" t="s">
        <v>1869</v>
      </c>
      <c r="I197" s="21">
        <f>VALUE(LEFT(Expenditures[[#This Row],[Fiscal Year]],4))</f>
        <v>2016</v>
      </c>
      <c r="J197" s="20">
        <v>508500</v>
      </c>
      <c r="K197" s="20">
        <f>IF(Expenditures[[#This Row],[Reference Year]]&gt;2018,Expenditures[[#This Row],[Value]],Expenditures[[#This Row],[Value]]*(1+VLOOKUP(Expenditures[[#This Row],[Reference Year]],Inflation[#All],3,FALSE)))</f>
        <v>533143.18125000002</v>
      </c>
      <c r="L197" s="105">
        <f>VALUE(Expenditures[[#This Row],[2018 $ Value]]/VLOOKUP(Expenditures[[#This Row],[Jurisdiction]],Places[],6,FALSE))</f>
        <v>4.9186126525698155</v>
      </c>
      <c r="M197" s="105">
        <f>VALUE(Expenditures[[#This Row],[2018 $ Value]]/VLOOKUP(Expenditures[[#This Row],[Jurisdiction]],Places[],7,FALSE))</f>
        <v>12427.579982517484</v>
      </c>
      <c r="N197" s="20" t="s">
        <v>1460</v>
      </c>
      <c r="O197" s="20" t="s">
        <v>1853</v>
      </c>
    </row>
    <row r="198" spans="1:15" x14ac:dyDescent="0.25">
      <c r="A198" s="19" t="s">
        <v>1445</v>
      </c>
      <c r="B198" s="19" t="str">
        <f>INDEX(Places[Type],MATCH(Expenditures[[#This Row],[Jurisdiction]],Places[Jurisdiction],0))</f>
        <v>County</v>
      </c>
      <c r="C198" s="19" t="str">
        <f>INDEX(Places[County],MATCH(Expenditures[[#This Row],[Jurisdiction]],Places[Jurisdiction],0))</f>
        <v>Kern</v>
      </c>
      <c r="D198" s="19" t="str">
        <f>INDEX(Places[Majority RB],MATCH(Expenditures[[#This Row],[Jurisdiction]],Places[Jurisdiction],0))</f>
        <v>Central Valley</v>
      </c>
      <c r="E198" s="19">
        <f>INDEX(Places[Majority RB '#],MATCH(Expenditures[[#This Row],[Jurisdiction]],Places[Jurisdiction],0))</f>
        <v>5</v>
      </c>
      <c r="F198" s="19" t="str">
        <f>VLOOKUP(Expenditures[[#This Row],[Jurisdiction]],Places[#All],8,FALSE)</f>
        <v>Phase I MS4</v>
      </c>
      <c r="G198" s="19"/>
      <c r="H198" s="19" t="s">
        <v>1882</v>
      </c>
      <c r="I198" s="21">
        <f>VALUE(LEFT(Expenditures[[#This Row],[Fiscal Year]],4))</f>
        <v>2005</v>
      </c>
      <c r="J198" s="27">
        <v>8763300</v>
      </c>
      <c r="K198" s="20">
        <f>IF(Expenditures[[#This Row],[Reference Year]]&gt;2018,Expenditures[[#This Row],[Value]],Expenditures[[#This Row],[Value]]*(1+VLOOKUP(Expenditures[[#This Row],[Reference Year]],Inflation[#All],3,FALSE)))</f>
        <v>11290926.483870966</v>
      </c>
      <c r="L198" s="105" t="e">
        <f>VALUE(Expenditures[[#This Row],[2018 $ Value]]/VLOOKUP(Expenditures[[#This Row],[Jurisdiction]],Places[],6,FALSE))</f>
        <v>#N/A</v>
      </c>
      <c r="M198" s="105" t="e">
        <f>VALUE(Expenditures[[#This Row],[2018 $ Value]]/VLOOKUP(Expenditures[[#This Row],[Jurisdiction]],Places[],7,FALSE))</f>
        <v>#N/A</v>
      </c>
      <c r="N198" s="20" t="s">
        <v>1460</v>
      </c>
      <c r="O198" s="20" t="s">
        <v>1460</v>
      </c>
    </row>
    <row r="199" spans="1:15" x14ac:dyDescent="0.25">
      <c r="A199" s="19" t="s">
        <v>1445</v>
      </c>
      <c r="B199" s="19" t="str">
        <f>INDEX(Places[Type],MATCH(Expenditures[[#This Row],[Jurisdiction]],Places[Jurisdiction],0))</f>
        <v>County</v>
      </c>
      <c r="C199" s="19" t="str">
        <f>INDEX(Places[County],MATCH(Expenditures[[#This Row],[Jurisdiction]],Places[Jurisdiction],0))</f>
        <v>Kern</v>
      </c>
      <c r="D199" s="19" t="str">
        <f>INDEX(Places[Majority RB],MATCH(Expenditures[[#This Row],[Jurisdiction]],Places[Jurisdiction],0))</f>
        <v>Central Valley</v>
      </c>
      <c r="E199" s="19">
        <f>INDEX(Places[Majority RB '#],MATCH(Expenditures[[#This Row],[Jurisdiction]],Places[Jurisdiction],0))</f>
        <v>5</v>
      </c>
      <c r="F199" s="19" t="str">
        <f>VLOOKUP(Expenditures[[#This Row],[Jurisdiction]],Places[#All],8,FALSE)</f>
        <v>Phase I MS4</v>
      </c>
      <c r="G199" s="19"/>
      <c r="H199" s="19" t="s">
        <v>1883</v>
      </c>
      <c r="I199" s="21">
        <f>VALUE(LEFT(Expenditures[[#This Row],[Fiscal Year]],4))</f>
        <v>2006</v>
      </c>
      <c r="J199" s="27">
        <v>8519100</v>
      </c>
      <c r="K199" s="20">
        <f>IF(Expenditures[[#This Row],[Reference Year]]&gt;2018,Expenditures[[#This Row],[Value]],Expenditures[[#This Row],[Value]]*(1+VLOOKUP(Expenditures[[#This Row],[Reference Year]],Inflation[#All],3,FALSE)))</f>
        <v>10633282.004464287</v>
      </c>
      <c r="L199" s="105" t="e">
        <f>VALUE(Expenditures[[#This Row],[2018 $ Value]]/VLOOKUP(Expenditures[[#This Row],[Jurisdiction]],Places[],6,FALSE))</f>
        <v>#N/A</v>
      </c>
      <c r="M199" s="105" t="e">
        <f>VALUE(Expenditures[[#This Row],[2018 $ Value]]/VLOOKUP(Expenditures[[#This Row],[Jurisdiction]],Places[],7,FALSE))</f>
        <v>#N/A</v>
      </c>
      <c r="N199" s="20" t="s">
        <v>1460</v>
      </c>
      <c r="O199" s="20" t="s">
        <v>1460</v>
      </c>
    </row>
    <row r="200" spans="1:15" x14ac:dyDescent="0.25">
      <c r="A200" s="19" t="s">
        <v>1445</v>
      </c>
      <c r="B200" s="19" t="str">
        <f>INDEX(Places[Type],MATCH(Expenditures[[#This Row],[Jurisdiction]],Places[Jurisdiction],0))</f>
        <v>County</v>
      </c>
      <c r="C200" s="19" t="str">
        <f>INDEX(Places[County],MATCH(Expenditures[[#This Row],[Jurisdiction]],Places[Jurisdiction],0))</f>
        <v>Kern</v>
      </c>
      <c r="D200" s="19" t="str">
        <f>INDEX(Places[Majority RB],MATCH(Expenditures[[#This Row],[Jurisdiction]],Places[Jurisdiction],0))</f>
        <v>Central Valley</v>
      </c>
      <c r="E200" s="19">
        <f>INDEX(Places[Majority RB '#],MATCH(Expenditures[[#This Row],[Jurisdiction]],Places[Jurisdiction],0))</f>
        <v>5</v>
      </c>
      <c r="F200" s="19" t="str">
        <f>VLOOKUP(Expenditures[[#This Row],[Jurisdiction]],Places[#All],8,FALSE)</f>
        <v>Phase I MS4</v>
      </c>
      <c r="G200" s="19"/>
      <c r="H200" s="19" t="s">
        <v>1888</v>
      </c>
      <c r="I200" s="21">
        <f>VALUE(LEFT(Expenditures[[#This Row],[Fiscal Year]],4))</f>
        <v>2007</v>
      </c>
      <c r="J200" s="20">
        <v>8525100</v>
      </c>
      <c r="K200" s="20">
        <f>IF(Expenditures[[#This Row],[Reference Year]]&gt;2018,Expenditures[[#This Row],[Value]],Expenditures[[#This Row],[Value]]*(1+VLOOKUP(Expenditures[[#This Row],[Reference Year]],Inflation[#All],3,FALSE)))</f>
        <v>10348188.316931982</v>
      </c>
      <c r="L200" s="105" t="e">
        <f>VALUE(Expenditures[[#This Row],[2018 $ Value]]/VLOOKUP(Expenditures[[#This Row],[Jurisdiction]],Places[],6,FALSE))</f>
        <v>#N/A</v>
      </c>
      <c r="M200" s="105" t="e">
        <f>VALUE(Expenditures[[#This Row],[2018 $ Value]]/VLOOKUP(Expenditures[[#This Row],[Jurisdiction]],Places[],7,FALSE))</f>
        <v>#N/A</v>
      </c>
      <c r="N200" s="20" t="s">
        <v>1460</v>
      </c>
      <c r="O200" s="20" t="s">
        <v>1460</v>
      </c>
    </row>
    <row r="201" spans="1:15" x14ac:dyDescent="0.25">
      <c r="A201" s="19" t="s">
        <v>1445</v>
      </c>
      <c r="B201" s="19" t="str">
        <f>INDEX(Places[Type],MATCH(Expenditures[[#This Row],[Jurisdiction]],Places[Jurisdiction],0))</f>
        <v>County</v>
      </c>
      <c r="C201" s="19" t="str">
        <f>INDEX(Places[County],MATCH(Expenditures[[#This Row],[Jurisdiction]],Places[Jurisdiction],0))</f>
        <v>Kern</v>
      </c>
      <c r="D201" s="19" t="str">
        <f>INDEX(Places[Majority RB],MATCH(Expenditures[[#This Row],[Jurisdiction]],Places[Jurisdiction],0))</f>
        <v>Central Valley</v>
      </c>
      <c r="E201" s="19">
        <f>INDEX(Places[Majority RB '#],MATCH(Expenditures[[#This Row],[Jurisdiction]],Places[Jurisdiction],0))</f>
        <v>5</v>
      </c>
      <c r="F201" s="19" t="str">
        <f>VLOOKUP(Expenditures[[#This Row],[Jurisdiction]],Places[#All],8,FALSE)</f>
        <v>Phase I MS4</v>
      </c>
      <c r="G201" s="19"/>
      <c r="H201" s="19" t="s">
        <v>1884</v>
      </c>
      <c r="I201" s="21">
        <f>VALUE(LEFT(Expenditures[[#This Row],[Fiscal Year]],4))</f>
        <v>2008</v>
      </c>
      <c r="J201" s="20">
        <v>8951300</v>
      </c>
      <c r="K201" s="20">
        <f>IF(Expenditures[[#This Row],[Reference Year]]&gt;2018,Expenditures[[#This Row],[Value]],Expenditures[[#This Row],[Value]]*(1+VLOOKUP(Expenditures[[#This Row],[Reference Year]],Inflation[#All],3,FALSE)))</f>
        <v>10461795.496052019</v>
      </c>
      <c r="L201" s="105" t="e">
        <f>VALUE(Expenditures[[#This Row],[2018 $ Value]]/VLOOKUP(Expenditures[[#This Row],[Jurisdiction]],Places[],6,FALSE))</f>
        <v>#N/A</v>
      </c>
      <c r="M201" s="105" t="e">
        <f>VALUE(Expenditures[[#This Row],[2018 $ Value]]/VLOOKUP(Expenditures[[#This Row],[Jurisdiction]],Places[],7,FALSE))</f>
        <v>#N/A</v>
      </c>
      <c r="N201" s="20" t="s">
        <v>1460</v>
      </c>
      <c r="O201" s="20" t="s">
        <v>1460</v>
      </c>
    </row>
    <row r="202" spans="1:15" x14ac:dyDescent="0.25">
      <c r="A202" s="19" t="s">
        <v>1445</v>
      </c>
      <c r="B202" s="19" t="str">
        <f>INDEX(Places[Type],MATCH(Expenditures[[#This Row],[Jurisdiction]],Places[Jurisdiction],0))</f>
        <v>County</v>
      </c>
      <c r="C202" s="19" t="str">
        <f>INDEX(Places[County],MATCH(Expenditures[[#This Row],[Jurisdiction]],Places[Jurisdiction],0))</f>
        <v>Kern</v>
      </c>
      <c r="D202" s="19" t="str">
        <f>INDEX(Places[Majority RB],MATCH(Expenditures[[#This Row],[Jurisdiction]],Places[Jurisdiction],0))</f>
        <v>Central Valley</v>
      </c>
      <c r="E202" s="19">
        <f>INDEX(Places[Majority RB '#],MATCH(Expenditures[[#This Row],[Jurisdiction]],Places[Jurisdiction],0))</f>
        <v>5</v>
      </c>
      <c r="F202" s="19" t="str">
        <f>VLOOKUP(Expenditures[[#This Row],[Jurisdiction]],Places[#All],8,FALSE)</f>
        <v>Phase I MS4</v>
      </c>
      <c r="G202" s="19"/>
      <c r="H202" s="19" t="s">
        <v>1889</v>
      </c>
      <c r="I202" s="21">
        <f>VALUE(LEFT(Expenditures[[#This Row],[Fiscal Year]],4))</f>
        <v>2009</v>
      </c>
      <c r="J202" s="20">
        <v>8286800</v>
      </c>
      <c r="K202" s="20">
        <f>IF(Expenditures[[#This Row],[Reference Year]]&gt;2018,Expenditures[[#This Row],[Value]],Expenditures[[#This Row],[Value]]*(1+VLOOKUP(Expenditures[[#This Row],[Reference Year]],Inflation[#All],3,FALSE)))</f>
        <v>9721285.6447552443</v>
      </c>
      <c r="L202" s="105" t="e">
        <f>VALUE(Expenditures[[#This Row],[2018 $ Value]]/VLOOKUP(Expenditures[[#This Row],[Jurisdiction]],Places[],6,FALSE))</f>
        <v>#N/A</v>
      </c>
      <c r="M202" s="105" t="e">
        <f>VALUE(Expenditures[[#This Row],[2018 $ Value]]/VLOOKUP(Expenditures[[#This Row],[Jurisdiction]],Places[],7,FALSE))</f>
        <v>#N/A</v>
      </c>
      <c r="N202" s="20" t="s">
        <v>1460</v>
      </c>
      <c r="O202" s="20" t="s">
        <v>1460</v>
      </c>
    </row>
    <row r="203" spans="1:15" x14ac:dyDescent="0.25">
      <c r="A203" s="19" t="s">
        <v>1445</v>
      </c>
      <c r="B203" s="19" t="str">
        <f>INDEX(Places[Type],MATCH(Expenditures[[#This Row],[Jurisdiction]],Places[Jurisdiction],0))</f>
        <v>County</v>
      </c>
      <c r="C203" s="19" t="str">
        <f>INDEX(Places[County],MATCH(Expenditures[[#This Row],[Jurisdiction]],Places[Jurisdiction],0))</f>
        <v>Kern</v>
      </c>
      <c r="D203" s="19" t="str">
        <f>INDEX(Places[Majority RB],MATCH(Expenditures[[#This Row],[Jurisdiction]],Places[Jurisdiction],0))</f>
        <v>Central Valley</v>
      </c>
      <c r="E203" s="19">
        <f>INDEX(Places[Majority RB '#],MATCH(Expenditures[[#This Row],[Jurisdiction]],Places[Jurisdiction],0))</f>
        <v>5</v>
      </c>
      <c r="F203" s="19" t="str">
        <f>VLOOKUP(Expenditures[[#This Row],[Jurisdiction]],Places[#All],8,FALSE)</f>
        <v>Phase I MS4</v>
      </c>
      <c r="G203" s="19"/>
      <c r="H203" s="19" t="s">
        <v>1885</v>
      </c>
      <c r="I203" s="21">
        <f>VALUE(LEFT(Expenditures[[#This Row],[Fiscal Year]],4))</f>
        <v>2010</v>
      </c>
      <c r="J203" s="20">
        <v>8177000</v>
      </c>
      <c r="K203" s="20">
        <f>IF(Expenditures[[#This Row],[Reference Year]]&gt;2018,Expenditures[[#This Row],[Value]],Expenditures[[#This Row],[Value]]*(1+VLOOKUP(Expenditures[[#This Row],[Reference Year]],Inflation[#All],3,FALSE)))</f>
        <v>9434143.4525447041</v>
      </c>
      <c r="L203" s="105" t="e">
        <f>VALUE(Expenditures[[#This Row],[2018 $ Value]]/VLOOKUP(Expenditures[[#This Row],[Jurisdiction]],Places[],6,FALSE))</f>
        <v>#N/A</v>
      </c>
      <c r="M203" s="105" t="e">
        <f>VALUE(Expenditures[[#This Row],[2018 $ Value]]/VLOOKUP(Expenditures[[#This Row],[Jurisdiction]],Places[],7,FALSE))</f>
        <v>#N/A</v>
      </c>
      <c r="N203" s="20" t="s">
        <v>1460</v>
      </c>
      <c r="O203" s="20" t="s">
        <v>1460</v>
      </c>
    </row>
    <row r="204" spans="1:15" x14ac:dyDescent="0.25">
      <c r="A204" s="19" t="s">
        <v>1445</v>
      </c>
      <c r="B204" s="19" t="str">
        <f>INDEX(Places[Type],MATCH(Expenditures[[#This Row],[Jurisdiction]],Places[Jurisdiction],0))</f>
        <v>County</v>
      </c>
      <c r="C204" s="19" t="str">
        <f>INDEX(Places[County],MATCH(Expenditures[[#This Row],[Jurisdiction]],Places[Jurisdiction],0))</f>
        <v>Kern</v>
      </c>
      <c r="D204" s="19" t="str">
        <f>INDEX(Places[Majority RB],MATCH(Expenditures[[#This Row],[Jurisdiction]],Places[Jurisdiction],0))</f>
        <v>Central Valley</v>
      </c>
      <c r="E204" s="19">
        <f>INDEX(Places[Majority RB '#],MATCH(Expenditures[[#This Row],[Jurisdiction]],Places[Jurisdiction],0))</f>
        <v>5</v>
      </c>
      <c r="F204" s="19" t="str">
        <f>VLOOKUP(Expenditures[[#This Row],[Jurisdiction]],Places[#All],8,FALSE)</f>
        <v>Phase I MS4</v>
      </c>
      <c r="G204" s="19"/>
      <c r="H204" s="19" t="s">
        <v>1870</v>
      </c>
      <c r="I204" s="21">
        <f>VALUE(LEFT(Expenditures[[#This Row],[Fiscal Year]],4))</f>
        <v>2011</v>
      </c>
      <c r="J204" s="20">
        <v>8240000</v>
      </c>
      <c r="K204" s="20">
        <f>IF(Expenditures[[#This Row],[Reference Year]]&gt;2018,Expenditures[[#This Row],[Value]],Expenditures[[#This Row],[Value]]*(1+VLOOKUP(Expenditures[[#This Row],[Reference Year]],Inflation[#All],3,FALSE)))</f>
        <v>9219383.9039573148</v>
      </c>
      <c r="L204" s="105" t="e">
        <f>VALUE(Expenditures[[#This Row],[2018 $ Value]]/VLOOKUP(Expenditures[[#This Row],[Jurisdiction]],Places[],6,FALSE))</f>
        <v>#N/A</v>
      </c>
      <c r="M204" s="105" t="e">
        <f>VALUE(Expenditures[[#This Row],[2018 $ Value]]/VLOOKUP(Expenditures[[#This Row],[Jurisdiction]],Places[],7,FALSE))</f>
        <v>#N/A</v>
      </c>
      <c r="N204" s="20" t="s">
        <v>1460</v>
      </c>
      <c r="O204" s="20" t="s">
        <v>1460</v>
      </c>
    </row>
    <row r="205" spans="1:15" x14ac:dyDescent="0.25">
      <c r="A205" s="19" t="s">
        <v>1445</v>
      </c>
      <c r="B205" s="19" t="str">
        <f>INDEX(Places[Type],MATCH(Expenditures[[#This Row],[Jurisdiction]],Places[Jurisdiction],0))</f>
        <v>County</v>
      </c>
      <c r="C205" s="19" t="str">
        <f>INDEX(Places[County],MATCH(Expenditures[[#This Row],[Jurisdiction]],Places[Jurisdiction],0))</f>
        <v>Kern</v>
      </c>
      <c r="D205" s="19" t="str">
        <f>INDEX(Places[Majority RB],MATCH(Expenditures[[#This Row],[Jurisdiction]],Places[Jurisdiction],0))</f>
        <v>Central Valley</v>
      </c>
      <c r="E205" s="19">
        <f>INDEX(Places[Majority RB '#],MATCH(Expenditures[[#This Row],[Jurisdiction]],Places[Jurisdiction],0))</f>
        <v>5</v>
      </c>
      <c r="F205" s="19" t="str">
        <f>VLOOKUP(Expenditures[[#This Row],[Jurisdiction]],Places[#All],8,FALSE)</f>
        <v>Phase I MS4</v>
      </c>
      <c r="G205" s="19"/>
      <c r="H205" s="19" t="s">
        <v>1871</v>
      </c>
      <c r="I205" s="21">
        <f>VALUE(LEFT(Expenditures[[#This Row],[Fiscal Year]],4))</f>
        <v>2012</v>
      </c>
      <c r="J205" s="20">
        <v>8203000</v>
      </c>
      <c r="K205" s="20">
        <f>IF(Expenditures[[#This Row],[Reference Year]]&gt;2018,Expenditures[[#This Row],[Value]],Expenditures[[#This Row],[Value]]*(1+VLOOKUP(Expenditures[[#This Row],[Reference Year]],Inflation[#All],3,FALSE)))</f>
        <v>8990109.2900696862</v>
      </c>
      <c r="L205" s="105" t="e">
        <f>VALUE(Expenditures[[#This Row],[2018 $ Value]]/VLOOKUP(Expenditures[[#This Row],[Jurisdiction]],Places[],6,FALSE))</f>
        <v>#N/A</v>
      </c>
      <c r="M205" s="105" t="e">
        <f>VALUE(Expenditures[[#This Row],[2018 $ Value]]/VLOOKUP(Expenditures[[#This Row],[Jurisdiction]],Places[],7,FALSE))</f>
        <v>#N/A</v>
      </c>
      <c r="N205" s="20" t="s">
        <v>1460</v>
      </c>
      <c r="O205" s="20" t="s">
        <v>1460</v>
      </c>
    </row>
    <row r="206" spans="1:15" x14ac:dyDescent="0.25">
      <c r="A206" s="19" t="s">
        <v>1445</v>
      </c>
      <c r="B206" s="19" t="str">
        <f>INDEX(Places[Type],MATCH(Expenditures[[#This Row],[Jurisdiction]],Places[Jurisdiction],0))</f>
        <v>County</v>
      </c>
      <c r="C206" s="19" t="str">
        <f>INDEX(Places[County],MATCH(Expenditures[[#This Row],[Jurisdiction]],Places[Jurisdiction],0))</f>
        <v>Kern</v>
      </c>
      <c r="D206" s="19" t="str">
        <f>INDEX(Places[Majority RB],MATCH(Expenditures[[#This Row],[Jurisdiction]],Places[Jurisdiction],0))</f>
        <v>Central Valley</v>
      </c>
      <c r="E206" s="19">
        <f>INDEX(Places[Majority RB '#],MATCH(Expenditures[[#This Row],[Jurisdiction]],Places[Jurisdiction],0))</f>
        <v>5</v>
      </c>
      <c r="F206" s="19" t="str">
        <f>VLOOKUP(Expenditures[[#This Row],[Jurisdiction]],Places[#All],8,FALSE)</f>
        <v>Phase I MS4</v>
      </c>
      <c r="G206" s="19"/>
      <c r="H206" s="19" t="s">
        <v>1880</v>
      </c>
      <c r="I206" s="21">
        <f>VALUE(LEFT(Expenditures[[#This Row],[Fiscal Year]],4))</f>
        <v>2013</v>
      </c>
      <c r="J206" s="20">
        <v>8203000</v>
      </c>
      <c r="K206" s="20">
        <f>IF(Expenditures[[#This Row],[Reference Year]]&gt;2018,Expenditures[[#This Row],[Value]],Expenditures[[#This Row],[Value]]*(1+VLOOKUP(Expenditures[[#This Row],[Reference Year]],Inflation[#All],3,FALSE)))</f>
        <v>8858923.1459227465</v>
      </c>
      <c r="L206" s="105" t="e">
        <f>VALUE(Expenditures[[#This Row],[2018 $ Value]]/VLOOKUP(Expenditures[[#This Row],[Jurisdiction]],Places[],6,FALSE))</f>
        <v>#N/A</v>
      </c>
      <c r="M206" s="105" t="e">
        <f>VALUE(Expenditures[[#This Row],[2018 $ Value]]/VLOOKUP(Expenditures[[#This Row],[Jurisdiction]],Places[],7,FALSE))</f>
        <v>#N/A</v>
      </c>
      <c r="N206" s="20" t="s">
        <v>1460</v>
      </c>
      <c r="O206" s="20" t="s">
        <v>1460</v>
      </c>
    </row>
    <row r="207" spans="1:15" x14ac:dyDescent="0.25">
      <c r="A207" s="19" t="s">
        <v>1445</v>
      </c>
      <c r="B207" s="19" t="str">
        <f>INDEX(Places[Type],MATCH(Expenditures[[#This Row],[Jurisdiction]],Places[Jurisdiction],0))</f>
        <v>County</v>
      </c>
      <c r="C207" s="19" t="str">
        <f>INDEX(Places[County],MATCH(Expenditures[[#This Row],[Jurisdiction]],Places[Jurisdiction],0))</f>
        <v>Kern</v>
      </c>
      <c r="D207" s="19" t="str">
        <f>INDEX(Places[Majority RB],MATCH(Expenditures[[#This Row],[Jurisdiction]],Places[Jurisdiction],0))</f>
        <v>Central Valley</v>
      </c>
      <c r="E207" s="19">
        <f>INDEX(Places[Majority RB '#],MATCH(Expenditures[[#This Row],[Jurisdiction]],Places[Jurisdiction],0))</f>
        <v>5</v>
      </c>
      <c r="F207" s="19" t="str">
        <f>VLOOKUP(Expenditures[[#This Row],[Jurisdiction]],Places[#All],8,FALSE)</f>
        <v>Phase I MS4</v>
      </c>
      <c r="G207" s="19"/>
      <c r="H207" s="19" t="s">
        <v>1881</v>
      </c>
      <c r="I207" s="21">
        <f>VALUE(LEFT(Expenditures[[#This Row],[Fiscal Year]],4))</f>
        <v>2014</v>
      </c>
      <c r="J207" s="20">
        <v>8203000</v>
      </c>
      <c r="K207" s="20">
        <f>IF(Expenditures[[#This Row],[Reference Year]]&gt;2018,Expenditures[[#This Row],[Value]],Expenditures[[#This Row],[Value]]*(1+VLOOKUP(Expenditures[[#This Row],[Reference Year]],Inflation[#All],3,FALSE)))</f>
        <v>8720443.9923954383</v>
      </c>
      <c r="L207" s="105" t="e">
        <f>VALUE(Expenditures[[#This Row],[2018 $ Value]]/VLOOKUP(Expenditures[[#This Row],[Jurisdiction]],Places[],6,FALSE))</f>
        <v>#N/A</v>
      </c>
      <c r="M207" s="105" t="e">
        <f>VALUE(Expenditures[[#This Row],[2018 $ Value]]/VLOOKUP(Expenditures[[#This Row],[Jurisdiction]],Places[],7,FALSE))</f>
        <v>#N/A</v>
      </c>
      <c r="N207" s="20" t="s">
        <v>1460</v>
      </c>
      <c r="O207" s="20" t="s">
        <v>1460</v>
      </c>
    </row>
    <row r="208" spans="1:15" x14ac:dyDescent="0.25">
      <c r="A208" s="19" t="s">
        <v>1445</v>
      </c>
      <c r="B208" s="19" t="str">
        <f>INDEX(Places[Type],MATCH(Expenditures[[#This Row],[Jurisdiction]],Places[Jurisdiction],0))</f>
        <v>County</v>
      </c>
      <c r="C208" s="19" t="str">
        <f>INDEX(Places[County],MATCH(Expenditures[[#This Row],[Jurisdiction]],Places[Jurisdiction],0))</f>
        <v>Kern</v>
      </c>
      <c r="D208" s="19" t="str">
        <f>INDEX(Places[Majority RB],MATCH(Expenditures[[#This Row],[Jurisdiction]],Places[Jurisdiction],0))</f>
        <v>Central Valley</v>
      </c>
      <c r="E208" s="19">
        <f>INDEX(Places[Majority RB '#],MATCH(Expenditures[[#This Row],[Jurisdiction]],Places[Jurisdiction],0))</f>
        <v>5</v>
      </c>
      <c r="F208" s="19" t="str">
        <f>VLOOKUP(Expenditures[[#This Row],[Jurisdiction]],Places[#All],8,FALSE)</f>
        <v>Phase I MS4</v>
      </c>
      <c r="G208" s="19"/>
      <c r="H208" s="19" t="s">
        <v>1873</v>
      </c>
      <c r="I208" s="21">
        <f>VALUE(LEFT(Expenditures[[#This Row],[Fiscal Year]],4))</f>
        <v>2015</v>
      </c>
      <c r="J208" s="20">
        <v>8203000</v>
      </c>
      <c r="K208" s="20">
        <f>IF(Expenditures[[#This Row],[Reference Year]]&gt;2018,Expenditures[[#This Row],[Value]],Expenditures[[#This Row],[Value]]*(1+VLOOKUP(Expenditures[[#This Row],[Reference Year]],Inflation[#All],3,FALSE)))</f>
        <v>8709405.4556962028</v>
      </c>
      <c r="L208" s="105" t="e">
        <f>VALUE(Expenditures[[#This Row],[2018 $ Value]]/VLOOKUP(Expenditures[[#This Row],[Jurisdiction]],Places[],6,FALSE))</f>
        <v>#N/A</v>
      </c>
      <c r="M208" s="105" t="e">
        <f>VALUE(Expenditures[[#This Row],[2018 $ Value]]/VLOOKUP(Expenditures[[#This Row],[Jurisdiction]],Places[],7,FALSE))</f>
        <v>#N/A</v>
      </c>
      <c r="N208" s="20" t="s">
        <v>1460</v>
      </c>
      <c r="O208" s="20" t="s">
        <v>1460</v>
      </c>
    </row>
    <row r="209" spans="1:15" x14ac:dyDescent="0.25">
      <c r="A209" s="19" t="s">
        <v>1445</v>
      </c>
      <c r="B209" s="19" t="str">
        <f>INDEX(Places[Type],MATCH(Expenditures[[#This Row],[Jurisdiction]],Places[Jurisdiction],0))</f>
        <v>County</v>
      </c>
      <c r="C209" s="19" t="str">
        <f>INDEX(Places[County],MATCH(Expenditures[[#This Row],[Jurisdiction]],Places[Jurisdiction],0))</f>
        <v>Kern</v>
      </c>
      <c r="D209" s="19" t="str">
        <f>INDEX(Places[Majority RB],MATCH(Expenditures[[#This Row],[Jurisdiction]],Places[Jurisdiction],0))</f>
        <v>Central Valley</v>
      </c>
      <c r="E209" s="19">
        <f>INDEX(Places[Majority RB '#],MATCH(Expenditures[[#This Row],[Jurisdiction]],Places[Jurisdiction],0))</f>
        <v>5</v>
      </c>
      <c r="F209" s="19" t="str">
        <f>VLOOKUP(Expenditures[[#This Row],[Jurisdiction]],Places[#All],8,FALSE)</f>
        <v>Phase I MS4</v>
      </c>
      <c r="G209" s="19"/>
      <c r="H209" s="19" t="s">
        <v>1869</v>
      </c>
      <c r="I209" s="21">
        <f>VALUE(LEFT(Expenditures[[#This Row],[Fiscal Year]],4))</f>
        <v>2016</v>
      </c>
      <c r="J209" s="20">
        <v>8203000</v>
      </c>
      <c r="K209" s="20">
        <f>IF(Expenditures[[#This Row],[Reference Year]]&gt;2018,Expenditures[[#This Row],[Value]],Expenditures[[#This Row],[Value]]*(1+VLOOKUP(Expenditures[[#This Row],[Reference Year]],Inflation[#All],3,FALSE)))</f>
        <v>8600537.8875000011</v>
      </c>
      <c r="L209" s="105" t="e">
        <f>VALUE(Expenditures[[#This Row],[2018 $ Value]]/VLOOKUP(Expenditures[[#This Row],[Jurisdiction]],Places[],6,FALSE))</f>
        <v>#N/A</v>
      </c>
      <c r="M209" s="105" t="e">
        <f>VALUE(Expenditures[[#This Row],[2018 $ Value]]/VLOOKUP(Expenditures[[#This Row],[Jurisdiction]],Places[],7,FALSE))</f>
        <v>#N/A</v>
      </c>
      <c r="N209" s="20" t="s">
        <v>1460</v>
      </c>
      <c r="O209" s="20" t="s">
        <v>1460</v>
      </c>
    </row>
    <row r="210" spans="1:15" x14ac:dyDescent="0.25">
      <c r="A210" s="19" t="s">
        <v>1445</v>
      </c>
      <c r="B210" s="19" t="str">
        <f>INDEX(Places[Type],MATCH(Expenditures[[#This Row],[Jurisdiction]],Places[Jurisdiction],0))</f>
        <v>County</v>
      </c>
      <c r="C210" s="19" t="str">
        <f>INDEX(Places[County],MATCH(Expenditures[[#This Row],[Jurisdiction]],Places[Jurisdiction],0))</f>
        <v>Kern</v>
      </c>
      <c r="D210" s="19" t="str">
        <f>INDEX(Places[Majority RB],MATCH(Expenditures[[#This Row],[Jurisdiction]],Places[Jurisdiction],0))</f>
        <v>Central Valley</v>
      </c>
      <c r="E210" s="19">
        <f>INDEX(Places[Majority RB '#],MATCH(Expenditures[[#This Row],[Jurisdiction]],Places[Jurisdiction],0))</f>
        <v>5</v>
      </c>
      <c r="F210" s="19" t="str">
        <f>VLOOKUP(Expenditures[[#This Row],[Jurisdiction]],Places[#All],8,FALSE)</f>
        <v>Phase I MS4</v>
      </c>
      <c r="G210" s="19"/>
      <c r="H210" s="19" t="s">
        <v>1874</v>
      </c>
      <c r="I210" s="21">
        <f>VALUE(LEFT(Expenditures[[#This Row],[Fiscal Year]],4))</f>
        <v>2017</v>
      </c>
      <c r="J210" s="20">
        <v>8203000</v>
      </c>
      <c r="K210" s="20">
        <f>IF(Expenditures[[#This Row],[Reference Year]]&gt;2018,Expenditures[[#This Row],[Value]],Expenditures[[#This Row],[Value]]*(1+VLOOKUP(Expenditures[[#This Row],[Reference Year]],Inflation[#All],3,FALSE)))</f>
        <v>8421579.3268053867</v>
      </c>
      <c r="L210" s="105" t="e">
        <f>VALUE(Expenditures[[#This Row],[2018 $ Value]]/VLOOKUP(Expenditures[[#This Row],[Jurisdiction]],Places[],6,FALSE))</f>
        <v>#N/A</v>
      </c>
      <c r="M210" s="105" t="e">
        <f>VALUE(Expenditures[[#This Row],[2018 $ Value]]/VLOOKUP(Expenditures[[#This Row],[Jurisdiction]],Places[],7,FALSE))</f>
        <v>#N/A</v>
      </c>
      <c r="N210" s="20" t="s">
        <v>1460</v>
      </c>
      <c r="O210" s="20" t="s">
        <v>1460</v>
      </c>
    </row>
    <row r="211" spans="1:15" x14ac:dyDescent="0.25">
      <c r="A211" s="19" t="s">
        <v>1445</v>
      </c>
      <c r="B211" s="19" t="str">
        <f>INDEX(Places[Type],MATCH(Expenditures[[#This Row],[Jurisdiction]],Places[Jurisdiction],0))</f>
        <v>County</v>
      </c>
      <c r="C211" s="19" t="str">
        <f>INDEX(Places[County],MATCH(Expenditures[[#This Row],[Jurisdiction]],Places[Jurisdiction],0))</f>
        <v>Kern</v>
      </c>
      <c r="D211" s="19" t="str">
        <f>INDEX(Places[Majority RB],MATCH(Expenditures[[#This Row],[Jurisdiction]],Places[Jurisdiction],0))</f>
        <v>Central Valley</v>
      </c>
      <c r="E211" s="19">
        <f>INDEX(Places[Majority RB '#],MATCH(Expenditures[[#This Row],[Jurisdiction]],Places[Jurisdiction],0))</f>
        <v>5</v>
      </c>
      <c r="F211" s="19" t="str">
        <f>VLOOKUP(Expenditures[[#This Row],[Jurisdiction]],Places[#All],8,FALSE)</f>
        <v>Phase I MS4</v>
      </c>
      <c r="G211" s="19"/>
      <c r="H211" s="19" t="s">
        <v>1876</v>
      </c>
      <c r="I211" s="21">
        <f>VALUE(LEFT(Expenditures[[#This Row],[Fiscal Year]],4))</f>
        <v>2018</v>
      </c>
      <c r="J211" s="20">
        <v>8413600</v>
      </c>
      <c r="K211" s="20">
        <f>IF(Expenditures[[#This Row],[Reference Year]]&gt;2018,Expenditures[[#This Row],[Value]],Expenditures[[#This Row],[Value]]*(1+VLOOKUP(Expenditures[[#This Row],[Reference Year]],Inflation[#All],3,FALSE)))</f>
        <v>8413600</v>
      </c>
      <c r="L211" s="105" t="e">
        <f>VALUE(Expenditures[[#This Row],[2018 $ Value]]/VLOOKUP(Expenditures[[#This Row],[Jurisdiction]],Places[],6,FALSE))</f>
        <v>#N/A</v>
      </c>
      <c r="M211" s="105" t="e">
        <f>VALUE(Expenditures[[#This Row],[2018 $ Value]]/VLOOKUP(Expenditures[[#This Row],[Jurisdiction]],Places[],7,FALSE))</f>
        <v>#N/A</v>
      </c>
      <c r="N211" s="20" t="s">
        <v>1853</v>
      </c>
      <c r="O211" s="20" t="s">
        <v>1853</v>
      </c>
    </row>
    <row r="212" spans="1:15" x14ac:dyDescent="0.25">
      <c r="A212" s="19" t="s">
        <v>190</v>
      </c>
      <c r="B212" s="19" t="str">
        <f>INDEX(Places[Type],MATCH(Expenditures[[#This Row],[Jurisdiction]],Places[Jurisdiction],0))</f>
        <v>City</v>
      </c>
      <c r="C212" s="19" t="str">
        <f>INDEX(Places[County],MATCH(Expenditures[[#This Row],[Jurisdiction]],Places[Jurisdiction],0))</f>
        <v>Los Angeles</v>
      </c>
      <c r="D212" s="19" t="str">
        <f>INDEX(Places[Majority RB],MATCH(Expenditures[[#This Row],[Jurisdiction]],Places[Jurisdiction],0))</f>
        <v>Los Angeles</v>
      </c>
      <c r="E212" s="19">
        <f>INDEX(Places[Majority RB '#],MATCH(Expenditures[[#This Row],[Jurisdiction]],Places[Jurisdiction],0))</f>
        <v>4</v>
      </c>
      <c r="F212" s="19" t="str">
        <f>VLOOKUP(Expenditures[[#This Row],[Jurisdiction]],Places[#All],8,FALSE)</f>
        <v>Phase I MS4</v>
      </c>
      <c r="G212" s="19"/>
      <c r="H212" s="21" t="s">
        <v>1870</v>
      </c>
      <c r="I212" s="21">
        <f>VALUE(LEFT(Expenditures[[#This Row],[Fiscal Year]],4))</f>
        <v>2011</v>
      </c>
      <c r="J212" s="20">
        <v>327832</v>
      </c>
      <c r="K212" s="20">
        <f>IF(Expenditures[[#This Row],[Reference Year]]&gt;2018,Expenditures[[#This Row],[Value]],Expenditures[[#This Row],[Value]]*(1+VLOOKUP(Expenditures[[#This Row],[Reference Year]],Inflation[#All],3,FALSE)))</f>
        <v>366797.21650511341</v>
      </c>
      <c r="L212" s="105">
        <f>VALUE(Expenditures[[#This Row],[2018 $ Value]]/VLOOKUP(Expenditures[[#This Row],[Jurisdiction]],Places[],6,FALSE))</f>
        <v>18.134039477189567</v>
      </c>
      <c r="M212" s="105">
        <f>VALUE(Expenditures[[#This Row],[2018 $ Value]]/VLOOKUP(Expenditures[[#This Row],[Jurisdiction]],Places[],7,FALSE))</f>
        <v>42650.83912850156</v>
      </c>
      <c r="N212" s="20" t="s">
        <v>1460</v>
      </c>
      <c r="O212" s="20" t="s">
        <v>1460</v>
      </c>
    </row>
    <row r="213" spans="1:15" x14ac:dyDescent="0.25">
      <c r="A213" s="19" t="s">
        <v>190</v>
      </c>
      <c r="B213" s="19" t="str">
        <f>INDEX(Places[Type],MATCH(Expenditures[[#This Row],[Jurisdiction]],Places[Jurisdiction],0))</f>
        <v>City</v>
      </c>
      <c r="C213" s="19" t="str">
        <f>INDEX(Places[County],MATCH(Expenditures[[#This Row],[Jurisdiction]],Places[Jurisdiction],0))</f>
        <v>Los Angeles</v>
      </c>
      <c r="D213" s="19" t="str">
        <f>INDEX(Places[Majority RB],MATCH(Expenditures[[#This Row],[Jurisdiction]],Places[Jurisdiction],0))</f>
        <v>Los Angeles</v>
      </c>
      <c r="E213" s="19">
        <f>INDEX(Places[Majority RB '#],MATCH(Expenditures[[#This Row],[Jurisdiction]],Places[Jurisdiction],0))</f>
        <v>4</v>
      </c>
      <c r="F213" s="19" t="str">
        <f>VLOOKUP(Expenditures[[#This Row],[Jurisdiction]],Places[#All],8,FALSE)</f>
        <v>Phase I MS4</v>
      </c>
      <c r="G213" s="19"/>
      <c r="H213" s="21" t="s">
        <v>1873</v>
      </c>
      <c r="I213" s="21">
        <f>VALUE(LEFT(Expenditures[[#This Row],[Fiscal Year]],4))</f>
        <v>2015</v>
      </c>
      <c r="J213" s="20">
        <v>504336</v>
      </c>
      <c r="K213" s="20">
        <f>IF(Expenditures[[#This Row],[Reference Year]]&gt;2018,Expenditures[[#This Row],[Value]],Expenditures[[#This Row],[Value]]*(1+VLOOKUP(Expenditures[[#This Row],[Reference Year]],Inflation[#All],3,FALSE)))</f>
        <v>535470.76799999992</v>
      </c>
      <c r="L213" s="105">
        <f>VALUE(Expenditures[[#This Row],[2018 $ Value]]/VLOOKUP(Expenditures[[#This Row],[Jurisdiction]],Places[],6,FALSE))</f>
        <v>26.473069066099765</v>
      </c>
      <c r="M213" s="105">
        <f>VALUE(Expenditures[[#This Row],[2018 $ Value]]/VLOOKUP(Expenditures[[#This Row],[Jurisdiction]],Places[],7,FALSE))</f>
        <v>62264.042790697669</v>
      </c>
      <c r="N213" s="20" t="s">
        <v>1853</v>
      </c>
      <c r="O213" s="20" t="s">
        <v>1853</v>
      </c>
    </row>
    <row r="214" spans="1:15" x14ac:dyDescent="0.25">
      <c r="A214" s="19" t="s">
        <v>276</v>
      </c>
      <c r="B214" s="19" t="str">
        <f>INDEX(Places[Type],MATCH(Expenditures[[#This Row],[Jurisdiction]],Places[Jurisdiction],0))</f>
        <v>City</v>
      </c>
      <c r="C214" s="19" t="str">
        <f>INDEX(Places[County],MATCH(Expenditures[[#This Row],[Jurisdiction]],Places[Jurisdiction],0))</f>
        <v>Orange</v>
      </c>
      <c r="D214" s="19" t="str">
        <f>INDEX(Places[Majority RB],MATCH(Expenditures[[#This Row],[Jurisdiction]],Places[Jurisdiction],0))</f>
        <v>Santa Ana</v>
      </c>
      <c r="E214" s="19">
        <f>INDEX(Places[Majority RB '#],MATCH(Expenditures[[#This Row],[Jurisdiction]],Places[Jurisdiction],0))</f>
        <v>8</v>
      </c>
      <c r="F214" s="19" t="str">
        <f>VLOOKUP(Expenditures[[#This Row],[Jurisdiction]],Places[#All],8,FALSE)</f>
        <v>Phase I MS4</v>
      </c>
      <c r="G214" s="19"/>
      <c r="H214" s="21" t="s">
        <v>1893</v>
      </c>
      <c r="I214" s="21">
        <f>VALUE(LEFT(Expenditures[[#This Row],[Fiscal Year]],4))</f>
        <v>2000</v>
      </c>
      <c r="J214" s="20">
        <v>481900</v>
      </c>
      <c r="K214" s="20">
        <f>IF(Expenditures[[#This Row],[Reference Year]]&gt;2018,Expenditures[[#This Row],[Value]],Expenditures[[#This Row],[Value]]*(1+VLOOKUP(Expenditures[[#This Row],[Reference Year]],Inflation[#All],3,FALSE)))</f>
        <v>704186.86933797912</v>
      </c>
      <c r="L214" s="105">
        <f>VALUE(Expenditures[[#This Row],[2018 $ Value]]/VLOOKUP(Expenditures[[#This Row],[Jurisdiction]],Places[],6,FALSE))</f>
        <v>11.324427405206876</v>
      </c>
      <c r="M214" s="105">
        <f>VALUE(Expenditures[[#This Row],[2018 $ Value]]/VLOOKUP(Expenditures[[#This Row],[Jurisdiction]],Places[],7,FALSE))</f>
        <v>95160.38774837555</v>
      </c>
      <c r="N214" s="20" t="s">
        <v>1460</v>
      </c>
      <c r="O214" s="20" t="s">
        <v>1460</v>
      </c>
    </row>
    <row r="215" spans="1:15" x14ac:dyDescent="0.25">
      <c r="A215" s="19" t="s">
        <v>276</v>
      </c>
      <c r="B215" s="19" t="str">
        <f>INDEX(Places[Type],MATCH(Expenditures[[#This Row],[Jurisdiction]],Places[Jurisdiction],0))</f>
        <v>City</v>
      </c>
      <c r="C215" s="19" t="str">
        <f>INDEX(Places[County],MATCH(Expenditures[[#This Row],[Jurisdiction]],Places[Jurisdiction],0))</f>
        <v>Orange</v>
      </c>
      <c r="D215" s="19" t="str">
        <f>INDEX(Places[Majority RB],MATCH(Expenditures[[#This Row],[Jurisdiction]],Places[Jurisdiction],0))</f>
        <v>Santa Ana</v>
      </c>
      <c r="E215" s="19">
        <f>INDEX(Places[Majority RB '#],MATCH(Expenditures[[#This Row],[Jurisdiction]],Places[Jurisdiction],0))</f>
        <v>8</v>
      </c>
      <c r="F215" s="19" t="str">
        <f>VLOOKUP(Expenditures[[#This Row],[Jurisdiction]],Places[#All],8,FALSE)</f>
        <v>Phase I MS4</v>
      </c>
      <c r="G215" s="19"/>
      <c r="H215" s="21" t="s">
        <v>1875</v>
      </c>
      <c r="I215" s="21">
        <f>VALUE(LEFT(Expenditures[[#This Row],[Fiscal Year]],4))</f>
        <v>2001</v>
      </c>
      <c r="J215" s="20">
        <v>1787287</v>
      </c>
      <c r="K215" s="20">
        <f>IF(Expenditures[[#This Row],[Reference Year]]&gt;2018,Expenditures[[#This Row],[Value]],Expenditures[[#This Row],[Value]]*(1+VLOOKUP(Expenditures[[#This Row],[Reference Year]],Inflation[#All],3,FALSE)))</f>
        <v>2539451.2427837378</v>
      </c>
      <c r="L215" s="105">
        <f>VALUE(Expenditures[[#This Row],[2018 $ Value]]/VLOOKUP(Expenditures[[#This Row],[Jurisdiction]],Places[],6,FALSE))</f>
        <v>40.838352005913798</v>
      </c>
      <c r="M215" s="105">
        <f>VALUE(Expenditures[[#This Row],[2018 $ Value]]/VLOOKUP(Expenditures[[#This Row],[Jurisdiction]],Places[],7,FALSE))</f>
        <v>343169.08686266723</v>
      </c>
      <c r="N215" s="20" t="s">
        <v>1853</v>
      </c>
      <c r="O215" s="20" t="s">
        <v>1853</v>
      </c>
    </row>
    <row r="216" spans="1:15" x14ac:dyDescent="0.25">
      <c r="A216" s="19" t="s">
        <v>157</v>
      </c>
      <c r="B216" s="19" t="str">
        <f>INDEX(Places[Type],MATCH(Expenditures[[#This Row],[Jurisdiction]],Places[Jurisdiction],0))</f>
        <v>City</v>
      </c>
      <c r="C216" s="19" t="str">
        <f>INDEX(Places[County],MATCH(Expenditures[[#This Row],[Jurisdiction]],Places[Jurisdiction],0))</f>
        <v>Los Angeles</v>
      </c>
      <c r="D216" s="19" t="str">
        <f>INDEX(Places[Majority RB],MATCH(Expenditures[[#This Row],[Jurisdiction]],Places[Jurisdiction],0))</f>
        <v>Los Angeles</v>
      </c>
      <c r="E216" s="19">
        <f>INDEX(Places[Majority RB '#],MATCH(Expenditures[[#This Row],[Jurisdiction]],Places[Jurisdiction],0))</f>
        <v>4</v>
      </c>
      <c r="F216" s="19" t="str">
        <f>VLOOKUP(Expenditures[[#This Row],[Jurisdiction]],Places[#All],8,FALSE)</f>
        <v>Phase I MS4</v>
      </c>
      <c r="G216" s="19"/>
      <c r="H216" s="100" t="s">
        <v>1870</v>
      </c>
      <c r="I216" s="21">
        <f>VALUE(LEFT(Expenditures[[#This Row],[Fiscal Year]],4))</f>
        <v>2011</v>
      </c>
      <c r="J216" s="20">
        <v>1550</v>
      </c>
      <c r="K216" s="20">
        <f>IF(Expenditures[[#This Row],[Reference Year]]&gt;2018,Expenditures[[#This Row],[Value]],Expenditures[[#This Row],[Value]]*(1+VLOOKUP(Expenditures[[#This Row],[Reference Year]],Inflation[#All],3,FALSE)))</f>
        <v>1734.2287683414852</v>
      </c>
      <c r="L216" s="105">
        <f>VALUE(Expenditures[[#This Row],[2018 $ Value]]/VLOOKUP(Expenditures[[#This Row],[Jurisdiction]],Places[],6,FALSE))</f>
        <v>0.32397324273145622</v>
      </c>
      <c r="M216" s="105">
        <f>VALUE(Expenditures[[#This Row],[2018 $ Value]]/VLOOKUP(Expenditures[[#This Row],[Jurisdiction]],Places[],7,FALSE))</f>
        <v>279.71431747443307</v>
      </c>
      <c r="N216" s="20" t="s">
        <v>1460</v>
      </c>
      <c r="O216" s="20" t="s">
        <v>1460</v>
      </c>
    </row>
    <row r="217" spans="1:15" x14ac:dyDescent="0.25">
      <c r="A217" s="19" t="s">
        <v>157</v>
      </c>
      <c r="B217" s="19" t="str">
        <f>INDEX(Places[Type],MATCH(Expenditures[[#This Row],[Jurisdiction]],Places[Jurisdiction],0))</f>
        <v>City</v>
      </c>
      <c r="C217" s="19" t="str">
        <f>INDEX(Places[County],MATCH(Expenditures[[#This Row],[Jurisdiction]],Places[Jurisdiction],0))</f>
        <v>Los Angeles</v>
      </c>
      <c r="D217" s="19" t="str">
        <f>INDEX(Places[Majority RB],MATCH(Expenditures[[#This Row],[Jurisdiction]],Places[Jurisdiction],0))</f>
        <v>Los Angeles</v>
      </c>
      <c r="E217" s="19">
        <f>INDEX(Places[Majority RB '#],MATCH(Expenditures[[#This Row],[Jurisdiction]],Places[Jurisdiction],0))</f>
        <v>4</v>
      </c>
      <c r="F217" s="19" t="str">
        <f>VLOOKUP(Expenditures[[#This Row],[Jurisdiction]],Places[#All],8,FALSE)</f>
        <v>Phase I MS4</v>
      </c>
      <c r="G217" s="19"/>
      <c r="H217" s="100" t="s">
        <v>1873</v>
      </c>
      <c r="I217" s="21">
        <f>VALUE(LEFT(Expenditures[[#This Row],[Fiscal Year]],4))</f>
        <v>2015</v>
      </c>
      <c r="J217" s="20">
        <v>44894</v>
      </c>
      <c r="K217" s="20">
        <f>IF(Expenditures[[#This Row],[Reference Year]]&gt;2018,Expenditures[[#This Row],[Value]],Expenditures[[#This Row],[Value]]*(1+VLOOKUP(Expenditures[[#This Row],[Reference Year]],Inflation[#All],3,FALSE)))</f>
        <v>47665.494151898733</v>
      </c>
      <c r="L217" s="105">
        <f>VALUE(Expenditures[[#This Row],[2018 $ Value]]/VLOOKUP(Expenditures[[#This Row],[Jurisdiction]],Places[],6,FALSE))</f>
        <v>8.9044450124974279</v>
      </c>
      <c r="M217" s="105">
        <f>VALUE(Expenditures[[#This Row],[2018 $ Value]]/VLOOKUP(Expenditures[[#This Row],[Jurisdiction]],Places[],7,FALSE))</f>
        <v>7687.9829277256022</v>
      </c>
      <c r="N217" s="20" t="s">
        <v>1853</v>
      </c>
      <c r="O217" s="20" t="s">
        <v>1853</v>
      </c>
    </row>
    <row r="218" spans="1:15" x14ac:dyDescent="0.25">
      <c r="A218" s="19" t="s">
        <v>313</v>
      </c>
      <c r="B218" s="19" t="str">
        <f>INDEX(Places[Type],MATCH(Expenditures[[#This Row],[Jurisdiction]],Places[Jurisdiction],0))</f>
        <v>City</v>
      </c>
      <c r="C218" s="19" t="str">
        <f>INDEX(Places[County],MATCH(Expenditures[[#This Row],[Jurisdiction]],Places[Jurisdiction],0))</f>
        <v>San Diego</v>
      </c>
      <c r="D218" s="19" t="str">
        <f>INDEX(Places[Majority RB],MATCH(Expenditures[[#This Row],[Jurisdiction]],Places[Jurisdiction],0))</f>
        <v>San Diego</v>
      </c>
      <c r="E218" s="19">
        <f>INDEX(Places[Majority RB '#],MATCH(Expenditures[[#This Row],[Jurisdiction]],Places[Jurisdiction],0))</f>
        <v>9</v>
      </c>
      <c r="F218" s="19" t="str">
        <f>VLOOKUP(Expenditures[[#This Row],[Jurisdiction]],Places[#All],8,FALSE)</f>
        <v>Phase I MS4</v>
      </c>
      <c r="G218" s="19"/>
      <c r="H218" s="19" t="s">
        <v>1873</v>
      </c>
      <c r="I218" s="21">
        <f>VALUE(LEFT(Expenditures[[#This Row],[Fiscal Year]],4))</f>
        <v>2015</v>
      </c>
      <c r="J218" s="20">
        <v>340438</v>
      </c>
      <c r="K218" s="20">
        <f>IF(Expenditures[[#This Row],[Reference Year]]&gt;2018,Expenditures[[#This Row],[Value]],Expenditures[[#This Row],[Value]]*(1+VLOOKUP(Expenditures[[#This Row],[Reference Year]],Inflation[#All],3,FALSE)))</f>
        <v>361454.65982278477</v>
      </c>
      <c r="L218" s="105">
        <f>VALUE(Expenditures[[#This Row],[2018 $ Value]]/VLOOKUP(Expenditures[[#This Row],[Jurisdiction]],Places[],6,FALSE))</f>
        <v>6.0691560854117936</v>
      </c>
      <c r="M218" s="105">
        <f>VALUE(Expenditures[[#This Row],[2018 $ Value]]/VLOOKUP(Expenditures[[#This Row],[Jurisdiction]],Places[],7,FALSE))</f>
        <v>39720.292288218108</v>
      </c>
      <c r="N218" s="20" t="s">
        <v>1460</v>
      </c>
      <c r="O218" s="20" t="s">
        <v>1460</v>
      </c>
    </row>
    <row r="219" spans="1:15" x14ac:dyDescent="0.25">
      <c r="A219" s="19" t="s">
        <v>313</v>
      </c>
      <c r="B219" s="19" t="str">
        <f>INDEX(Places[Type],MATCH(Expenditures[[#This Row],[Jurisdiction]],Places[Jurisdiction],0))</f>
        <v>City</v>
      </c>
      <c r="C219" s="19" t="str">
        <f>INDEX(Places[County],MATCH(Expenditures[[#This Row],[Jurisdiction]],Places[Jurisdiction],0))</f>
        <v>San Diego</v>
      </c>
      <c r="D219" s="19" t="str">
        <f>INDEX(Places[Majority RB],MATCH(Expenditures[[#This Row],[Jurisdiction]],Places[Jurisdiction],0))</f>
        <v>San Diego</v>
      </c>
      <c r="E219" s="19">
        <f>INDEX(Places[Majority RB '#],MATCH(Expenditures[[#This Row],[Jurisdiction]],Places[Jurisdiction],0))</f>
        <v>9</v>
      </c>
      <c r="F219" s="19" t="str">
        <f>VLOOKUP(Expenditures[[#This Row],[Jurisdiction]],Places[#All],8,FALSE)</f>
        <v>Phase I MS4</v>
      </c>
      <c r="G219" s="19"/>
      <c r="H219" s="19" t="s">
        <v>1869</v>
      </c>
      <c r="I219" s="21">
        <f>VALUE(LEFT(Expenditures[[#This Row],[Fiscal Year]],4))</f>
        <v>2016</v>
      </c>
      <c r="J219" s="20">
        <v>371597</v>
      </c>
      <c r="K219" s="20">
        <f>IF(Expenditures[[#This Row],[Reference Year]]&gt;2018,Expenditures[[#This Row],[Value]],Expenditures[[#This Row],[Value]]*(1+VLOOKUP(Expenditures[[#This Row],[Reference Year]],Inflation[#All],3,FALSE)))</f>
        <v>389605.51961250004</v>
      </c>
      <c r="L219" s="105">
        <f>VALUE(Expenditures[[#This Row],[2018 $ Value]]/VLOOKUP(Expenditures[[#This Row],[Jurisdiction]],Places[],6,FALSE))</f>
        <v>6.5418349051732827</v>
      </c>
      <c r="M219" s="105">
        <f>VALUE(Expenditures[[#This Row],[2018 $ Value]]/VLOOKUP(Expenditures[[#This Row],[Jurisdiction]],Places[],7,FALSE))</f>
        <v>42813.793364010991</v>
      </c>
      <c r="N219" s="20" t="s">
        <v>1460</v>
      </c>
      <c r="O219" s="20" t="s">
        <v>1460</v>
      </c>
    </row>
    <row r="220" spans="1:15" x14ac:dyDescent="0.25">
      <c r="A220" s="19" t="s">
        <v>313</v>
      </c>
      <c r="B220" s="19" t="str">
        <f>INDEX(Places[Type],MATCH(Expenditures[[#This Row],[Jurisdiction]],Places[Jurisdiction],0))</f>
        <v>City</v>
      </c>
      <c r="C220" s="19" t="str">
        <f>INDEX(Places[County],MATCH(Expenditures[[#This Row],[Jurisdiction]],Places[Jurisdiction],0))</f>
        <v>San Diego</v>
      </c>
      <c r="D220" s="19" t="str">
        <f>INDEX(Places[Majority RB],MATCH(Expenditures[[#This Row],[Jurisdiction]],Places[Jurisdiction],0))</f>
        <v>San Diego</v>
      </c>
      <c r="E220" s="19">
        <f>INDEX(Places[Majority RB '#],MATCH(Expenditures[[#This Row],[Jurisdiction]],Places[Jurisdiction],0))</f>
        <v>9</v>
      </c>
      <c r="F220" s="19" t="str">
        <f>VLOOKUP(Expenditures[[#This Row],[Jurisdiction]],Places[#All],8,FALSE)</f>
        <v>Phase I MS4</v>
      </c>
      <c r="G220" s="19"/>
      <c r="H220" s="19" t="s">
        <v>1874</v>
      </c>
      <c r="I220" s="21">
        <f>VALUE(LEFT(Expenditures[[#This Row],[Fiscal Year]],4))</f>
        <v>2017</v>
      </c>
      <c r="J220" s="20">
        <v>534684</v>
      </c>
      <c r="K220" s="20">
        <f>IF(Expenditures[[#This Row],[Reference Year]]&gt;2018,Expenditures[[#This Row],[Value]],Expenditures[[#This Row],[Value]]*(1+VLOOKUP(Expenditures[[#This Row],[Reference Year]],Inflation[#All],3,FALSE)))</f>
        <v>548931.33253365976</v>
      </c>
      <c r="L220" s="105">
        <f>VALUE(Expenditures[[#This Row],[2018 $ Value]]/VLOOKUP(Expenditures[[#This Row],[Jurisdiction]],Places[],6,FALSE))</f>
        <v>9.2170617995442896</v>
      </c>
      <c r="M220" s="105">
        <f>VALUE(Expenditures[[#This Row],[2018 $ Value]]/VLOOKUP(Expenditures[[#This Row],[Jurisdiction]],Places[],7,FALSE))</f>
        <v>60322.124454248325</v>
      </c>
      <c r="N220" s="20" t="s">
        <v>1853</v>
      </c>
      <c r="O220" s="20" t="s">
        <v>1853</v>
      </c>
    </row>
    <row r="221" spans="1:15" x14ac:dyDescent="0.25">
      <c r="A221" s="19" t="s">
        <v>165</v>
      </c>
      <c r="B221" s="19" t="str">
        <f>INDEX(Places[Type],MATCH(Expenditures[[#This Row],[Jurisdiction]],Places[Jurisdiction],0))</f>
        <v>City</v>
      </c>
      <c r="C221" s="19" t="str">
        <f>INDEX(Places[County],MATCH(Expenditures[[#This Row],[Jurisdiction]],Places[Jurisdiction],0))</f>
        <v>Los Angeles</v>
      </c>
      <c r="D221" s="19" t="str">
        <f>INDEX(Places[Majority RB],MATCH(Expenditures[[#This Row],[Jurisdiction]],Places[Jurisdiction],0))</f>
        <v>Los Angeles</v>
      </c>
      <c r="E221" s="19">
        <f>INDEX(Places[Majority RB '#],MATCH(Expenditures[[#This Row],[Jurisdiction]],Places[Jurisdiction],0))</f>
        <v>4</v>
      </c>
      <c r="F221" s="19" t="str">
        <f>VLOOKUP(Expenditures[[#This Row],[Jurisdiction]],Places[#All],8,FALSE)</f>
        <v>Phase I MS4</v>
      </c>
      <c r="G221" s="19"/>
      <c r="H221" s="100" t="s">
        <v>1870</v>
      </c>
      <c r="I221" s="21">
        <f>VALUE(LEFT(Expenditures[[#This Row],[Fiscal Year]],4))</f>
        <v>2011</v>
      </c>
      <c r="J221" s="20">
        <v>1111595</v>
      </c>
      <c r="K221" s="20">
        <f>IF(Expenditures[[#This Row],[Reference Year]]&gt;2018,Expenditures[[#This Row],[Value]],Expenditures[[#This Row],[Value]]*(1+VLOOKUP(Expenditures[[#This Row],[Reference Year]],Inflation[#All],3,FALSE)))</f>
        <v>1243716.1469319698</v>
      </c>
      <c r="L221" s="105">
        <f>VALUE(Expenditures[[#This Row],[2018 $ Value]]/VLOOKUP(Expenditures[[#This Row],[Jurisdiction]],Places[],6,FALSE))</f>
        <v>25.547237165580793</v>
      </c>
      <c r="M221" s="105">
        <f>VALUE(Expenditures[[#This Row],[2018 $ Value]]/VLOOKUP(Expenditures[[#This Row],[Jurisdiction]],Places[],7,FALSE))</f>
        <v>159450.78806820125</v>
      </c>
      <c r="N221" s="20" t="s">
        <v>1460</v>
      </c>
      <c r="O221" s="20" t="s">
        <v>1460</v>
      </c>
    </row>
    <row r="222" spans="1:15" x14ac:dyDescent="0.25">
      <c r="A222" s="19" t="s">
        <v>165</v>
      </c>
      <c r="B222" s="19" t="str">
        <f>INDEX(Places[Type],MATCH(Expenditures[[#This Row],[Jurisdiction]],Places[Jurisdiction],0))</f>
        <v>City</v>
      </c>
      <c r="C222" s="19" t="str">
        <f>INDEX(Places[County],MATCH(Expenditures[[#This Row],[Jurisdiction]],Places[Jurisdiction],0))</f>
        <v>Los Angeles</v>
      </c>
      <c r="D222" s="19" t="str">
        <f>INDEX(Places[Majority RB],MATCH(Expenditures[[#This Row],[Jurisdiction]],Places[Jurisdiction],0))</f>
        <v>Los Angeles</v>
      </c>
      <c r="E222" s="19">
        <f>INDEX(Places[Majority RB '#],MATCH(Expenditures[[#This Row],[Jurisdiction]],Places[Jurisdiction],0))</f>
        <v>4</v>
      </c>
      <c r="F222" s="19" t="str">
        <f>VLOOKUP(Expenditures[[#This Row],[Jurisdiction]],Places[#All],8,FALSE)</f>
        <v>Phase I MS4</v>
      </c>
      <c r="G222" s="19"/>
      <c r="H222" s="100" t="s">
        <v>1873</v>
      </c>
      <c r="I222" s="21">
        <f>VALUE(LEFT(Expenditures[[#This Row],[Fiscal Year]],4))</f>
        <v>2015</v>
      </c>
      <c r="J222" s="20">
        <v>1254208</v>
      </c>
      <c r="K222" s="20">
        <f>IF(Expenditures[[#This Row],[Reference Year]]&gt;2018,Expenditures[[#This Row],[Value]],Expenditures[[#This Row],[Value]]*(1+VLOOKUP(Expenditures[[#This Row],[Reference Year]],Inflation[#All],3,FALSE)))</f>
        <v>1331635.4989367088</v>
      </c>
      <c r="L222" s="105">
        <f>VALUE(Expenditures[[#This Row],[2018 $ Value]]/VLOOKUP(Expenditures[[#This Row],[Jurisdiction]],Places[],6,FALSE))</f>
        <v>27.353193084582067</v>
      </c>
      <c r="M222" s="105">
        <f>VALUE(Expenditures[[#This Row],[2018 $ Value]]/VLOOKUP(Expenditures[[#This Row],[Jurisdiction]],Places[],7,FALSE))</f>
        <v>170722.49986368063</v>
      </c>
      <c r="N222" s="20" t="s">
        <v>1853</v>
      </c>
      <c r="O222" s="20" t="s">
        <v>1853</v>
      </c>
    </row>
    <row r="223" spans="1:15" x14ac:dyDescent="0.25">
      <c r="A223" s="19" t="s">
        <v>277</v>
      </c>
      <c r="B223" s="19" t="str">
        <f>INDEX(Places[Type],MATCH(Expenditures[[#This Row],[Jurisdiction]],Places[Jurisdiction],0))</f>
        <v>City</v>
      </c>
      <c r="C223" s="19" t="str">
        <f>INDEX(Places[County],MATCH(Expenditures[[#This Row],[Jurisdiction]],Places[Jurisdiction],0))</f>
        <v>Orange</v>
      </c>
      <c r="D223" s="19" t="str">
        <f>INDEX(Places[Majority RB],MATCH(Expenditures[[#This Row],[Jurisdiction]],Places[Jurisdiction],0))</f>
        <v>Santa Ana</v>
      </c>
      <c r="E223" s="19">
        <f>INDEX(Places[Majority RB '#],MATCH(Expenditures[[#This Row],[Jurisdiction]],Places[Jurisdiction],0))</f>
        <v>8</v>
      </c>
      <c r="F223" s="19" t="str">
        <f>VLOOKUP(Expenditures[[#This Row],[Jurisdiction]],Places[#All],8,FALSE)</f>
        <v>Phase I MS4</v>
      </c>
      <c r="G223" s="19"/>
      <c r="H223" s="21" t="s">
        <v>1893</v>
      </c>
      <c r="I223" s="21">
        <f>VALUE(LEFT(Expenditures[[#This Row],[Fiscal Year]],4))</f>
        <v>2000</v>
      </c>
      <c r="J223" s="20">
        <v>144600</v>
      </c>
      <c r="K223" s="20">
        <f>IF(Expenditures[[#This Row],[Reference Year]]&gt;2018,Expenditures[[#This Row],[Value]],Expenditures[[#This Row],[Value]]*(1+VLOOKUP(Expenditures[[#This Row],[Reference Year]],Inflation[#All],3,FALSE)))</f>
        <v>211299.89895470385</v>
      </c>
      <c r="L223" s="105">
        <f>VALUE(Expenditures[[#This Row],[2018 $ Value]]/VLOOKUP(Expenditures[[#This Row],[Jurisdiction]],Places[],6,FALSE))</f>
        <v>13.57270676738848</v>
      </c>
      <c r="M223" s="105">
        <f>VALUE(Expenditures[[#This Row],[2018 $ Value]]/VLOOKUP(Expenditures[[#This Row],[Jurisdiction]],Places[],7,FALSE))</f>
        <v>117388.83275261325</v>
      </c>
      <c r="N223" s="20" t="s">
        <v>1460</v>
      </c>
      <c r="O223" s="20" t="s">
        <v>1460</v>
      </c>
    </row>
    <row r="224" spans="1:15" x14ac:dyDescent="0.25">
      <c r="A224" s="19" t="s">
        <v>277</v>
      </c>
      <c r="B224" s="19" t="str">
        <f>INDEX(Places[Type],MATCH(Expenditures[[#This Row],[Jurisdiction]],Places[Jurisdiction],0))</f>
        <v>City</v>
      </c>
      <c r="C224" s="19" t="str">
        <f>INDEX(Places[County],MATCH(Expenditures[[#This Row],[Jurisdiction]],Places[Jurisdiction],0))</f>
        <v>Orange</v>
      </c>
      <c r="D224" s="19" t="str">
        <f>INDEX(Places[Majority RB],MATCH(Expenditures[[#This Row],[Jurisdiction]],Places[Jurisdiction],0))</f>
        <v>Santa Ana</v>
      </c>
      <c r="E224" s="19">
        <f>INDEX(Places[Majority RB '#],MATCH(Expenditures[[#This Row],[Jurisdiction]],Places[Jurisdiction],0))</f>
        <v>8</v>
      </c>
      <c r="F224" s="19" t="str">
        <f>VLOOKUP(Expenditures[[#This Row],[Jurisdiction]],Places[#All],8,FALSE)</f>
        <v>Phase I MS4</v>
      </c>
      <c r="G224" s="19"/>
      <c r="H224" s="21" t="s">
        <v>1875</v>
      </c>
      <c r="I224" s="21">
        <f>VALUE(LEFT(Expenditures[[#This Row],[Fiscal Year]],4))</f>
        <v>2001</v>
      </c>
      <c r="J224" s="20">
        <v>142900</v>
      </c>
      <c r="K224" s="20">
        <f>IF(Expenditures[[#This Row],[Reference Year]]&gt;2018,Expenditures[[#This Row],[Value]],Expenditures[[#This Row],[Value]]*(1+VLOOKUP(Expenditures[[#This Row],[Reference Year]],Inflation[#All],3,FALSE)))</f>
        <v>203038.22642574814</v>
      </c>
      <c r="L224" s="105">
        <f>VALUE(Expenditures[[#This Row],[2018 $ Value]]/VLOOKUP(Expenditures[[#This Row],[Jurisdiction]],Places[],6,FALSE))</f>
        <v>13.042023794048571</v>
      </c>
      <c r="M224" s="105">
        <f>VALUE(Expenditures[[#This Row],[2018 $ Value]]/VLOOKUP(Expenditures[[#This Row],[Jurisdiction]],Places[],7,FALSE))</f>
        <v>112799.01468097119</v>
      </c>
      <c r="N224" s="20" t="s">
        <v>1853</v>
      </c>
      <c r="O224" s="20" t="s">
        <v>1853</v>
      </c>
    </row>
    <row r="225" spans="1:15" x14ac:dyDescent="0.25">
      <c r="A225" s="19" t="s">
        <v>204</v>
      </c>
      <c r="B225" s="19" t="str">
        <f>INDEX(Places[Type],MATCH(Expenditures[[#This Row],[Jurisdiction]],Places[Jurisdiction],0))</f>
        <v>City</v>
      </c>
      <c r="C225" s="19" t="str">
        <f>INDEX(Places[County],MATCH(Expenditures[[#This Row],[Jurisdiction]],Places[Jurisdiction],0))</f>
        <v>Los Angeles</v>
      </c>
      <c r="D225" s="19" t="str">
        <f>INDEX(Places[Majority RB],MATCH(Expenditures[[#This Row],[Jurisdiction]],Places[Jurisdiction],0))</f>
        <v>Los Angeles</v>
      </c>
      <c r="E225" s="19">
        <f>INDEX(Places[Majority RB '#],MATCH(Expenditures[[#This Row],[Jurisdiction]],Places[Jurisdiction],0))</f>
        <v>4</v>
      </c>
      <c r="F225" s="19" t="str">
        <f>VLOOKUP(Expenditures[[#This Row],[Jurisdiction]],Places[#All],8,FALSE)</f>
        <v>Phase I MS4</v>
      </c>
      <c r="G225" s="19"/>
      <c r="H225" s="21" t="s">
        <v>1870</v>
      </c>
      <c r="I225" s="21">
        <f>VALUE(LEFT(Expenditures[[#This Row],[Fiscal Year]],4))</f>
        <v>2011</v>
      </c>
      <c r="J225" s="20">
        <v>308491</v>
      </c>
      <c r="K225" s="20">
        <f>IF(Expenditures[[#This Row],[Reference Year]]&gt;2018,Expenditures[[#This Row],[Value]],Expenditures[[#This Row],[Value]]*(1+VLOOKUP(Expenditures[[#This Row],[Reference Year]],Inflation[#All],3,FALSE)))</f>
        <v>345157.39804802136</v>
      </c>
      <c r="L225" s="105">
        <f>VALUE(Expenditures[[#This Row],[2018 $ Value]]/VLOOKUP(Expenditures[[#This Row],[Jurisdiction]],Places[],6,FALSE))</f>
        <v>8.6488272538844679</v>
      </c>
      <c r="M225" s="105">
        <f>VALUE(Expenditures[[#This Row],[2018 $ Value]]/VLOOKUP(Expenditures[[#This Row],[Jurisdiction]],Places[],7,FALSE))</f>
        <v>98616.399442291819</v>
      </c>
      <c r="N225" s="20" t="s">
        <v>1460</v>
      </c>
      <c r="O225" s="20" t="s">
        <v>1460</v>
      </c>
    </row>
    <row r="226" spans="1:15" x14ac:dyDescent="0.25">
      <c r="A226" s="19" t="s">
        <v>204</v>
      </c>
      <c r="B226" s="19" t="str">
        <f>INDEX(Places[Type],MATCH(Expenditures[[#This Row],[Jurisdiction]],Places[Jurisdiction],0))</f>
        <v>City</v>
      </c>
      <c r="C226" s="19" t="str">
        <f>INDEX(Places[County],MATCH(Expenditures[[#This Row],[Jurisdiction]],Places[Jurisdiction],0))</f>
        <v>Los Angeles</v>
      </c>
      <c r="D226" s="19" t="str">
        <f>INDEX(Places[Majority RB],MATCH(Expenditures[[#This Row],[Jurisdiction]],Places[Jurisdiction],0))</f>
        <v>Los Angeles</v>
      </c>
      <c r="E226" s="19">
        <f>INDEX(Places[Majority RB '#],MATCH(Expenditures[[#This Row],[Jurisdiction]],Places[Jurisdiction],0))</f>
        <v>4</v>
      </c>
      <c r="F226" s="19" t="str">
        <f>VLOOKUP(Expenditures[[#This Row],[Jurisdiction]],Places[#All],8,FALSE)</f>
        <v>Phase I MS4</v>
      </c>
      <c r="G226" s="19"/>
      <c r="H226" s="21" t="s">
        <v>1873</v>
      </c>
      <c r="I226" s="21">
        <f>VALUE(LEFT(Expenditures[[#This Row],[Fiscal Year]],4))</f>
        <v>2015</v>
      </c>
      <c r="J226" s="20">
        <v>50086</v>
      </c>
      <c r="K226" s="20">
        <f>IF(Expenditures[[#This Row],[Reference Year]]&gt;2018,Expenditures[[#This Row],[Value]],Expenditures[[#This Row],[Value]]*(1+VLOOKUP(Expenditures[[#This Row],[Reference Year]],Inflation[#All],3,FALSE)))</f>
        <v>53178.017999999996</v>
      </c>
      <c r="L226" s="105">
        <f>VALUE(Expenditures[[#This Row],[2018 $ Value]]/VLOOKUP(Expenditures[[#This Row],[Jurisdiction]],Places[],6,FALSE))</f>
        <v>1.3325152350405933</v>
      </c>
      <c r="M226" s="105">
        <f>VALUE(Expenditures[[#This Row],[2018 $ Value]]/VLOOKUP(Expenditures[[#This Row],[Jurisdiction]],Places[],7,FALSE))</f>
        <v>15193.719428571427</v>
      </c>
      <c r="N226" s="20" t="s">
        <v>1853</v>
      </c>
      <c r="O226" s="20" t="s">
        <v>1853</v>
      </c>
    </row>
    <row r="227" spans="1:15" x14ac:dyDescent="0.25">
      <c r="A227" s="19" t="s">
        <v>151</v>
      </c>
      <c r="B227" s="19" t="str">
        <f>INDEX(Places[Type],MATCH(Expenditures[[#This Row],[Jurisdiction]],Places[Jurisdiction],0))</f>
        <v>City</v>
      </c>
      <c r="C227" s="19" t="str">
        <f>INDEX(Places[County],MATCH(Expenditures[[#This Row],[Jurisdiction]],Places[Jurisdiction],0))</f>
        <v>Los Angeles</v>
      </c>
      <c r="D227" s="19" t="str">
        <f>INDEX(Places[Majority RB],MATCH(Expenditures[[#This Row],[Jurisdiction]],Places[Jurisdiction],0))</f>
        <v>Los Angeles</v>
      </c>
      <c r="E227" s="19">
        <f>INDEX(Places[Majority RB '#],MATCH(Expenditures[[#This Row],[Jurisdiction]],Places[Jurisdiction],0))</f>
        <v>4</v>
      </c>
      <c r="F227" s="19" t="str">
        <f>VLOOKUP(Expenditures[[#This Row],[Jurisdiction]],Places[#All],8,FALSE)</f>
        <v>Phase I MS4</v>
      </c>
      <c r="G227" s="19"/>
      <c r="H227" s="100" t="s">
        <v>1870</v>
      </c>
      <c r="I227" s="21">
        <f>VALUE(LEFT(Expenditures[[#This Row],[Fiscal Year]],4))</f>
        <v>2011</v>
      </c>
      <c r="J227" s="20">
        <v>3035000</v>
      </c>
      <c r="K227" s="20">
        <f>IF(Expenditures[[#This Row],[Reference Year]]&gt;2018,Expenditures[[#This Row],[Value]],Expenditures[[#This Row],[Value]]*(1+VLOOKUP(Expenditures[[#This Row],[Reference Year]],Inflation[#All],3,FALSE)))</f>
        <v>3395731.8141396176</v>
      </c>
      <c r="L227" s="105">
        <f>VALUE(Expenditures[[#This Row],[2018 $ Value]]/VLOOKUP(Expenditures[[#This Row],[Jurisdiction]],Places[],6,FALSE))</f>
        <v>105.43786294912803</v>
      </c>
      <c r="M227" s="105">
        <f>VALUE(Expenditures[[#This Row],[2018 $ Value]]/VLOOKUP(Expenditures[[#This Row],[Jurisdiction]],Places[],7,FALSE))</f>
        <v>404253.78739757353</v>
      </c>
      <c r="N227" s="20" t="s">
        <v>1460</v>
      </c>
      <c r="O227" s="20" t="s">
        <v>1460</v>
      </c>
    </row>
    <row r="228" spans="1:15" x14ac:dyDescent="0.25">
      <c r="A228" s="19" t="s">
        <v>151</v>
      </c>
      <c r="B228" s="19" t="str">
        <f>INDEX(Places[Type],MATCH(Expenditures[[#This Row],[Jurisdiction]],Places[Jurisdiction],0))</f>
        <v>City</v>
      </c>
      <c r="C228" s="19" t="str">
        <f>INDEX(Places[County],MATCH(Expenditures[[#This Row],[Jurisdiction]],Places[Jurisdiction],0))</f>
        <v>Los Angeles</v>
      </c>
      <c r="D228" s="19" t="str">
        <f>INDEX(Places[Majority RB],MATCH(Expenditures[[#This Row],[Jurisdiction]],Places[Jurisdiction],0))</f>
        <v>Los Angeles</v>
      </c>
      <c r="E228" s="19">
        <f>INDEX(Places[Majority RB '#],MATCH(Expenditures[[#This Row],[Jurisdiction]],Places[Jurisdiction],0))</f>
        <v>4</v>
      </c>
      <c r="F228" s="19" t="str">
        <f>VLOOKUP(Expenditures[[#This Row],[Jurisdiction]],Places[#All],8,FALSE)</f>
        <v>Phase I MS4</v>
      </c>
      <c r="G228" s="19"/>
      <c r="H228" s="100" t="s">
        <v>1873</v>
      </c>
      <c r="I228" s="21">
        <f>VALUE(LEFT(Expenditures[[#This Row],[Fiscal Year]],4))</f>
        <v>2015</v>
      </c>
      <c r="J228" s="20">
        <v>4773607.2</v>
      </c>
      <c r="K228" s="20">
        <f>IF(Expenditures[[#This Row],[Reference Year]]&gt;2018,Expenditures[[#This Row],[Value]],Expenditures[[#This Row],[Value]]*(1+VLOOKUP(Expenditures[[#This Row],[Reference Year]],Inflation[#All],3,FALSE)))</f>
        <v>5068301.9128405061</v>
      </c>
      <c r="L228" s="105">
        <f>VALUE(Expenditures[[#This Row],[2018 $ Value]]/VLOOKUP(Expenditures[[#This Row],[Jurisdiction]],Places[],6,FALSE))</f>
        <v>157.37135666771738</v>
      </c>
      <c r="M228" s="105">
        <f>VALUE(Expenditures[[#This Row],[2018 $ Value]]/VLOOKUP(Expenditures[[#This Row],[Jurisdiction]],Places[],7,FALSE))</f>
        <v>603369.27533815545</v>
      </c>
      <c r="N228" s="20" t="s">
        <v>1853</v>
      </c>
      <c r="O228" s="20" t="s">
        <v>1853</v>
      </c>
    </row>
    <row r="229" spans="1:15" x14ac:dyDescent="0.25">
      <c r="A229" s="19" t="s">
        <v>278</v>
      </c>
      <c r="B229" s="19" t="str">
        <f>INDEX(Places[Type],MATCH(Expenditures[[#This Row],[Jurisdiction]],Places[Jurisdiction],0))</f>
        <v>City</v>
      </c>
      <c r="C229" s="19" t="str">
        <f>INDEX(Places[County],MATCH(Expenditures[[#This Row],[Jurisdiction]],Places[Jurisdiction],0))</f>
        <v>Orange</v>
      </c>
      <c r="D229" s="19" t="str">
        <f>INDEX(Places[Majority RB],MATCH(Expenditures[[#This Row],[Jurisdiction]],Places[Jurisdiction],0))</f>
        <v>San Diego</v>
      </c>
      <c r="E229" s="19">
        <f>INDEX(Places[Majority RB '#],MATCH(Expenditures[[#This Row],[Jurisdiction]],Places[Jurisdiction],0))</f>
        <v>9</v>
      </c>
      <c r="F229" s="19" t="str">
        <f>VLOOKUP(Expenditures[[#This Row],[Jurisdiction]],Places[#All],8,FALSE)</f>
        <v>Phase I MS4</v>
      </c>
      <c r="G229" s="19"/>
      <c r="H229" s="21" t="s">
        <v>1893</v>
      </c>
      <c r="I229" s="21">
        <f>VALUE(LEFT(Expenditures[[#This Row],[Fiscal Year]],4))</f>
        <v>2000</v>
      </c>
      <c r="J229" s="20">
        <v>898487</v>
      </c>
      <c r="K229" s="20">
        <f>IF(Expenditures[[#This Row],[Reference Year]]&gt;2018,Expenditures[[#This Row],[Value]],Expenditures[[#This Row],[Value]]*(1+VLOOKUP(Expenditures[[#This Row],[Reference Year]],Inflation[#All],3,FALSE)))</f>
        <v>1312933.6951045296</v>
      </c>
      <c r="L229" s="105">
        <f>VALUE(Expenditures[[#This Row],[2018 $ Value]]/VLOOKUP(Expenditures[[#This Row],[Jurisdiction]],Places[],6,FALSE))</f>
        <v>57.10641969051062</v>
      </c>
      <c r="M229" s="105">
        <f>VALUE(Expenditures[[#This Row],[2018 $ Value]]/VLOOKUP(Expenditures[[#This Row],[Jurisdiction]],Places[],7,FALSE))</f>
        <v>147520.63989938534</v>
      </c>
      <c r="N229" s="20" t="s">
        <v>1460</v>
      </c>
      <c r="O229" s="20" t="s">
        <v>1460</v>
      </c>
    </row>
    <row r="230" spans="1:15" x14ac:dyDescent="0.25">
      <c r="A230" s="19" t="s">
        <v>278</v>
      </c>
      <c r="B230" s="19" t="str">
        <f>INDEX(Places[Type],MATCH(Expenditures[[#This Row],[Jurisdiction]],Places[Jurisdiction],0))</f>
        <v>City</v>
      </c>
      <c r="C230" s="19" t="str">
        <f>INDEX(Places[County],MATCH(Expenditures[[#This Row],[Jurisdiction]],Places[Jurisdiction],0))</f>
        <v>Orange</v>
      </c>
      <c r="D230" s="19" t="str">
        <f>INDEX(Places[Majority RB],MATCH(Expenditures[[#This Row],[Jurisdiction]],Places[Jurisdiction],0))</f>
        <v>San Diego</v>
      </c>
      <c r="E230" s="19">
        <f>INDEX(Places[Majority RB '#],MATCH(Expenditures[[#This Row],[Jurisdiction]],Places[Jurisdiction],0))</f>
        <v>9</v>
      </c>
      <c r="F230" s="19" t="str">
        <f>VLOOKUP(Expenditures[[#This Row],[Jurisdiction]],Places[#All],8,FALSE)</f>
        <v>Phase I MS4</v>
      </c>
      <c r="G230" s="19"/>
      <c r="H230" s="21" t="s">
        <v>1875</v>
      </c>
      <c r="I230" s="21">
        <f>VALUE(LEFT(Expenditures[[#This Row],[Fiscal Year]],4))</f>
        <v>2001</v>
      </c>
      <c r="J230" s="20">
        <v>1879460</v>
      </c>
      <c r="K230" s="20">
        <f>IF(Expenditures[[#This Row],[Reference Year]]&gt;2018,Expenditures[[#This Row],[Value]],Expenditures[[#This Row],[Value]]*(1+VLOOKUP(Expenditures[[#This Row],[Reference Year]],Inflation[#All],3,FALSE)))</f>
        <v>2670414.4509316771</v>
      </c>
      <c r="L230" s="105">
        <f>VALUE(Expenditures[[#This Row],[2018 $ Value]]/VLOOKUP(Expenditures[[#This Row],[Jurisdiction]],Places[],6,FALSE))</f>
        <v>116.15042629427502</v>
      </c>
      <c r="M230" s="105">
        <f>VALUE(Expenditures[[#This Row],[2018 $ Value]]/VLOOKUP(Expenditures[[#This Row],[Jurisdiction]],Places[],7,FALSE))</f>
        <v>300046.56752041314</v>
      </c>
      <c r="N230" s="20" t="s">
        <v>1460</v>
      </c>
      <c r="O230" s="20" t="s">
        <v>1460</v>
      </c>
    </row>
    <row r="231" spans="1:15" x14ac:dyDescent="0.25">
      <c r="A231" s="19" t="s">
        <v>278</v>
      </c>
      <c r="B231" s="19" t="str">
        <f>INDEX(Places[Type],MATCH(Expenditures[[#This Row],[Jurisdiction]],Places[Jurisdiction],0))</f>
        <v>City</v>
      </c>
      <c r="C231" s="19" t="str">
        <f>INDEX(Places[County],MATCH(Expenditures[[#This Row],[Jurisdiction]],Places[Jurisdiction],0))</f>
        <v>Orange</v>
      </c>
      <c r="D231" s="19" t="str">
        <f>INDEX(Places[Majority RB],MATCH(Expenditures[[#This Row],[Jurisdiction]],Places[Jurisdiction],0))</f>
        <v>San Diego</v>
      </c>
      <c r="E231" s="19">
        <f>INDEX(Places[Majority RB '#],MATCH(Expenditures[[#This Row],[Jurisdiction]],Places[Jurisdiction],0))</f>
        <v>9</v>
      </c>
      <c r="F231" s="19" t="str">
        <f>VLOOKUP(Expenditures[[#This Row],[Jurisdiction]],Places[#All],8,FALSE)</f>
        <v>Phase I MS4</v>
      </c>
      <c r="G231" s="19"/>
      <c r="H231" s="21" t="s">
        <v>1880</v>
      </c>
      <c r="I231" s="21">
        <f>VALUE(LEFT(Expenditures[[#This Row],[Fiscal Year]],4))</f>
        <v>2013</v>
      </c>
      <c r="J231" s="20">
        <v>762259</v>
      </c>
      <c r="K231" s="20">
        <f>IF(Expenditures[[#This Row],[Reference Year]]&gt;2018,Expenditures[[#This Row],[Value]],Expenditures[[#This Row],[Value]]*(1+VLOOKUP(Expenditures[[#This Row],[Reference Year]],Inflation[#All],3,FALSE)))</f>
        <v>823210.27651931334</v>
      </c>
      <c r="L231" s="105">
        <f>VALUE(Expenditures[[#This Row],[2018 $ Value]]/VLOOKUP(Expenditures[[#This Row],[Jurisdiction]],Places[],6,FALSE))</f>
        <v>35.805762103401911</v>
      </c>
      <c r="M231" s="105">
        <f>VALUE(Expenditures[[#This Row],[2018 $ Value]]/VLOOKUP(Expenditures[[#This Row],[Jurisdiction]],Places[],7,FALSE))</f>
        <v>92495.53668756329</v>
      </c>
      <c r="N231" s="20" t="s">
        <v>1460</v>
      </c>
      <c r="O231" s="20" t="s">
        <v>1460</v>
      </c>
    </row>
    <row r="232" spans="1:15" x14ac:dyDescent="0.25">
      <c r="A232" s="19" t="s">
        <v>278</v>
      </c>
      <c r="B232" s="19" t="str">
        <f>INDEX(Places[Type],MATCH(Expenditures[[#This Row],[Jurisdiction]],Places[Jurisdiction],0))</f>
        <v>City</v>
      </c>
      <c r="C232" s="19" t="str">
        <f>INDEX(Places[County],MATCH(Expenditures[[#This Row],[Jurisdiction]],Places[Jurisdiction],0))</f>
        <v>Orange</v>
      </c>
      <c r="D232" s="19" t="str">
        <f>INDEX(Places[Majority RB],MATCH(Expenditures[[#This Row],[Jurisdiction]],Places[Jurisdiction],0))</f>
        <v>San Diego</v>
      </c>
      <c r="E232" s="19">
        <f>INDEX(Places[Majority RB '#],MATCH(Expenditures[[#This Row],[Jurisdiction]],Places[Jurisdiction],0))</f>
        <v>9</v>
      </c>
      <c r="F232" s="19" t="str">
        <f>VLOOKUP(Expenditures[[#This Row],[Jurisdiction]],Places[#All],8,FALSE)</f>
        <v>Phase I MS4</v>
      </c>
      <c r="G232" s="19"/>
      <c r="H232" s="21" t="s">
        <v>1881</v>
      </c>
      <c r="I232" s="21">
        <f>VALUE(LEFT(Expenditures[[#This Row],[Fiscal Year]],4))</f>
        <v>2014</v>
      </c>
      <c r="J232" s="20">
        <v>1007555</v>
      </c>
      <c r="K232" s="20">
        <f>IF(Expenditures[[#This Row],[Reference Year]]&gt;2018,Expenditures[[#This Row],[Value]],Expenditures[[#This Row],[Value]]*(1+VLOOKUP(Expenditures[[#This Row],[Reference Year]],Inflation[#All],3,FALSE)))</f>
        <v>1071111.4161596959</v>
      </c>
      <c r="L232" s="105">
        <f>VALUE(Expenditures[[#This Row],[2018 $ Value]]/VLOOKUP(Expenditures[[#This Row],[Jurisdiction]],Places[],6,FALSE))</f>
        <v>46.58829177328937</v>
      </c>
      <c r="M232" s="105">
        <f>VALUE(Expenditures[[#This Row],[2018 $ Value]]/VLOOKUP(Expenditures[[#This Row],[Jurisdiction]],Places[],7,FALSE))</f>
        <v>120349.59732131414</v>
      </c>
      <c r="N232" s="20" t="s">
        <v>1460</v>
      </c>
      <c r="O232" s="20" t="s">
        <v>1460</v>
      </c>
    </row>
    <row r="233" spans="1:15" x14ac:dyDescent="0.25">
      <c r="A233" s="19" t="s">
        <v>278</v>
      </c>
      <c r="B233" s="19" t="str">
        <f>INDEX(Places[Type],MATCH(Expenditures[[#This Row],[Jurisdiction]],Places[Jurisdiction],0))</f>
        <v>City</v>
      </c>
      <c r="C233" s="19" t="str">
        <f>INDEX(Places[County],MATCH(Expenditures[[#This Row],[Jurisdiction]],Places[Jurisdiction],0))</f>
        <v>Orange</v>
      </c>
      <c r="D233" s="19" t="str">
        <f>INDEX(Places[Majority RB],MATCH(Expenditures[[#This Row],[Jurisdiction]],Places[Jurisdiction],0))</f>
        <v>San Diego</v>
      </c>
      <c r="E233" s="19">
        <f>INDEX(Places[Majority RB '#],MATCH(Expenditures[[#This Row],[Jurisdiction]],Places[Jurisdiction],0))</f>
        <v>9</v>
      </c>
      <c r="F233" s="19" t="str">
        <f>VLOOKUP(Expenditures[[#This Row],[Jurisdiction]],Places[#All],8,FALSE)</f>
        <v>Phase I MS4</v>
      </c>
      <c r="G233" s="19"/>
      <c r="H233" s="21" t="s">
        <v>1873</v>
      </c>
      <c r="I233" s="21">
        <f>VALUE(LEFT(Expenditures[[#This Row],[Fiscal Year]],4))</f>
        <v>2015</v>
      </c>
      <c r="J233" s="20">
        <v>1141980</v>
      </c>
      <c r="K233" s="20">
        <f>IF(Expenditures[[#This Row],[Reference Year]]&gt;2018,Expenditures[[#This Row],[Value]],Expenditures[[#This Row],[Value]]*(1+VLOOKUP(Expenditures[[#This Row],[Reference Year]],Inflation[#All],3,FALSE)))</f>
        <v>1212479.1956962026</v>
      </c>
      <c r="L233" s="105">
        <f>VALUE(Expenditures[[#This Row],[2018 $ Value]]/VLOOKUP(Expenditures[[#This Row],[Jurisdiction]],Places[],6,FALSE))</f>
        <v>52.737123034935522</v>
      </c>
      <c r="M233" s="105">
        <f>VALUE(Expenditures[[#This Row],[2018 $ Value]]/VLOOKUP(Expenditures[[#This Row],[Jurisdiction]],Places[],7,FALSE))</f>
        <v>136233.61749395533</v>
      </c>
      <c r="N233" s="20" t="s">
        <v>1460</v>
      </c>
      <c r="O233" s="20" t="s">
        <v>1460</v>
      </c>
    </row>
    <row r="234" spans="1:15" x14ac:dyDescent="0.25">
      <c r="A234" s="19" t="s">
        <v>278</v>
      </c>
      <c r="B234" s="19" t="str">
        <f>INDEX(Places[Type],MATCH(Expenditures[[#This Row],[Jurisdiction]],Places[Jurisdiction],0))</f>
        <v>City</v>
      </c>
      <c r="C234" s="19" t="str">
        <f>INDEX(Places[County],MATCH(Expenditures[[#This Row],[Jurisdiction]],Places[Jurisdiction],0))</f>
        <v>Orange</v>
      </c>
      <c r="D234" s="19" t="str">
        <f>INDEX(Places[Majority RB],MATCH(Expenditures[[#This Row],[Jurisdiction]],Places[Jurisdiction],0))</f>
        <v>San Diego</v>
      </c>
      <c r="E234" s="19">
        <f>INDEX(Places[Majority RB '#],MATCH(Expenditures[[#This Row],[Jurisdiction]],Places[Jurisdiction],0))</f>
        <v>9</v>
      </c>
      <c r="F234" s="19" t="str">
        <f>VLOOKUP(Expenditures[[#This Row],[Jurisdiction]],Places[#All],8,FALSE)</f>
        <v>Phase I MS4</v>
      </c>
      <c r="G234" s="19"/>
      <c r="H234" s="21" t="s">
        <v>1869</v>
      </c>
      <c r="I234" s="21">
        <f>VALUE(LEFT(Expenditures[[#This Row],[Fiscal Year]],4))</f>
        <v>2016</v>
      </c>
      <c r="J234" s="20">
        <v>1267546.07</v>
      </c>
      <c r="K234" s="20">
        <f>IF(Expenditures[[#This Row],[Reference Year]]&gt;2018,Expenditures[[#This Row],[Value]],Expenditures[[#This Row],[Value]]*(1+VLOOKUP(Expenditures[[#This Row],[Reference Year]],Inflation[#All],3,FALSE)))</f>
        <v>1328974.5214173752</v>
      </c>
      <c r="L234" s="105">
        <f>VALUE(Expenditures[[#This Row],[2018 $ Value]]/VLOOKUP(Expenditures[[#This Row],[Jurisdiction]],Places[],6,FALSE))</f>
        <v>57.804119934642912</v>
      </c>
      <c r="M234" s="105">
        <f>VALUE(Expenditures[[#This Row],[2018 $ Value]]/VLOOKUP(Expenditures[[#This Row],[Jurisdiction]],Places[],7,FALSE))</f>
        <v>149322.97993453653</v>
      </c>
      <c r="N234" s="20" t="s">
        <v>1853</v>
      </c>
      <c r="O234" s="20" t="s">
        <v>1460</v>
      </c>
    </row>
    <row r="235" spans="1:15" x14ac:dyDescent="0.25">
      <c r="A235" s="19" t="s">
        <v>278</v>
      </c>
      <c r="B235" s="19" t="str">
        <f>INDEX(Places[Type],MATCH(Expenditures[[#This Row],[Jurisdiction]],Places[Jurisdiction],0))</f>
        <v>City</v>
      </c>
      <c r="C235" s="19" t="str">
        <f>INDEX(Places[County],MATCH(Expenditures[[#This Row],[Jurisdiction]],Places[Jurisdiction],0))</f>
        <v>Orange</v>
      </c>
      <c r="D235" s="19" t="str">
        <f>INDEX(Places[Majority RB],MATCH(Expenditures[[#This Row],[Jurisdiction]],Places[Jurisdiction],0))</f>
        <v>San Diego</v>
      </c>
      <c r="E235" s="19">
        <f>INDEX(Places[Majority RB '#],MATCH(Expenditures[[#This Row],[Jurisdiction]],Places[Jurisdiction],0))</f>
        <v>9</v>
      </c>
      <c r="F235" s="19" t="str">
        <f>VLOOKUP(Expenditures[[#This Row],[Jurisdiction]],Places[#All],8,FALSE)</f>
        <v>Phase I MS4</v>
      </c>
      <c r="G235" s="19"/>
      <c r="H235" s="21" t="s">
        <v>1874</v>
      </c>
      <c r="I235" s="21">
        <f>VALUE(LEFT(Expenditures[[#This Row],[Fiscal Year]],4))</f>
        <v>2017</v>
      </c>
      <c r="J235" s="20">
        <v>1848928</v>
      </c>
      <c r="K235" s="20">
        <f>IF(Expenditures[[#This Row],[Reference Year]]&gt;2018,Expenditures[[#This Row],[Value]],Expenditures[[#This Row],[Value]]*(1+VLOOKUP(Expenditures[[#This Row],[Reference Year]],Inflation[#All],3,FALSE)))</f>
        <v>1898195.0288372096</v>
      </c>
      <c r="L235" s="105">
        <f>VALUE(Expenditures[[#This Row],[2018 $ Value]]/VLOOKUP(Expenditures[[#This Row],[Jurisdiction]],Places[],6,FALSE))</f>
        <v>82.562525720377948</v>
      </c>
      <c r="M235" s="105">
        <f>VALUE(Expenditures[[#This Row],[2018 $ Value]]/VLOOKUP(Expenditures[[#This Row],[Jurisdiction]],Places[],7,FALSE))</f>
        <v>213280.34031878758</v>
      </c>
      <c r="N235" s="20" t="s">
        <v>1460</v>
      </c>
      <c r="O235" s="20" t="s">
        <v>1853</v>
      </c>
    </row>
    <row r="236" spans="1:15" x14ac:dyDescent="0.25">
      <c r="A236" s="19" t="s">
        <v>279</v>
      </c>
      <c r="B236" s="19" t="str">
        <f>INDEX(Places[Type],MATCH(Expenditures[[#This Row],[Jurisdiction]],Places[Jurisdiction],0))</f>
        <v>City</v>
      </c>
      <c r="C236" s="19" t="str">
        <f>INDEX(Places[County],MATCH(Expenditures[[#This Row],[Jurisdiction]],Places[Jurisdiction],0))</f>
        <v>Orange</v>
      </c>
      <c r="D236" s="19" t="str">
        <f>INDEX(Places[Majority RB],MATCH(Expenditures[[#This Row],[Jurisdiction]],Places[Jurisdiction],0))</f>
        <v>San Diego</v>
      </c>
      <c r="E236" s="19">
        <f>INDEX(Places[Majority RB '#],MATCH(Expenditures[[#This Row],[Jurisdiction]],Places[Jurisdiction],0))</f>
        <v>9</v>
      </c>
      <c r="F236" s="19" t="str">
        <f>VLOOKUP(Expenditures[[#This Row],[Jurisdiction]],Places[#All],8,FALSE)</f>
        <v>Phase I MS4</v>
      </c>
      <c r="G236" s="19"/>
      <c r="H236" s="21" t="s">
        <v>1893</v>
      </c>
      <c r="I236" s="21">
        <f>VALUE(LEFT(Expenditures[[#This Row],[Fiscal Year]],4))</f>
        <v>2000</v>
      </c>
      <c r="J236" s="20">
        <v>243334</v>
      </c>
      <c r="K236" s="20">
        <f>IF(Expenditures[[#This Row],[Reference Year]]&gt;2018,Expenditures[[#This Row],[Value]],Expenditures[[#This Row],[Value]]*(1+VLOOKUP(Expenditures[[#This Row],[Reference Year]],Inflation[#All],3,FALSE)))</f>
        <v>355577.10658536589</v>
      </c>
      <c r="L236" s="105">
        <f>VALUE(Expenditures[[#This Row],[2018 $ Value]]/VLOOKUP(Expenditures[[#This Row],[Jurisdiction]],Places[],6,FALSE))</f>
        <v>11.461355936867132</v>
      </c>
      <c r="M236" s="105">
        <f>VALUE(Expenditures[[#This Row],[2018 $ Value]]/VLOOKUP(Expenditures[[#This Row],[Jurisdiction]],Places[],7,FALSE))</f>
        <v>53875.319179600898</v>
      </c>
      <c r="N236" s="20" t="s">
        <v>1460</v>
      </c>
      <c r="O236" s="20" t="s">
        <v>1460</v>
      </c>
    </row>
    <row r="237" spans="1:15" x14ac:dyDescent="0.25">
      <c r="A237" s="19" t="s">
        <v>279</v>
      </c>
      <c r="B237" s="19" t="str">
        <f>INDEX(Places[Type],MATCH(Expenditures[[#This Row],[Jurisdiction]],Places[Jurisdiction],0))</f>
        <v>City</v>
      </c>
      <c r="C237" s="19" t="str">
        <f>INDEX(Places[County],MATCH(Expenditures[[#This Row],[Jurisdiction]],Places[Jurisdiction],0))</f>
        <v>Orange</v>
      </c>
      <c r="D237" s="19" t="str">
        <f>INDEX(Places[Majority RB],MATCH(Expenditures[[#This Row],[Jurisdiction]],Places[Jurisdiction],0))</f>
        <v>San Diego</v>
      </c>
      <c r="E237" s="19">
        <f>INDEX(Places[Majority RB '#],MATCH(Expenditures[[#This Row],[Jurisdiction]],Places[Jurisdiction],0))</f>
        <v>9</v>
      </c>
      <c r="F237" s="19" t="str">
        <f>VLOOKUP(Expenditures[[#This Row],[Jurisdiction]],Places[#All],8,FALSE)</f>
        <v>Phase I MS4</v>
      </c>
      <c r="G237" s="19"/>
      <c r="H237" s="21" t="s">
        <v>1875</v>
      </c>
      <c r="I237" s="21">
        <f>VALUE(LEFT(Expenditures[[#This Row],[Fiscal Year]],4))</f>
        <v>2001</v>
      </c>
      <c r="J237" s="20">
        <v>138817</v>
      </c>
      <c r="K237" s="20">
        <f>IF(Expenditures[[#This Row],[Reference Year]]&gt;2018,Expenditures[[#This Row],[Value]],Expenditures[[#This Row],[Value]]*(1+VLOOKUP(Expenditures[[#This Row],[Reference Year]],Inflation[#All],3,FALSE)))</f>
        <v>197236.93126482214</v>
      </c>
      <c r="L237" s="105">
        <f>VALUE(Expenditures[[#This Row],[2018 $ Value]]/VLOOKUP(Expenditures[[#This Row],[Jurisdiction]],Places[],6,FALSE))</f>
        <v>6.3575596720223739</v>
      </c>
      <c r="M237" s="105">
        <f>VALUE(Expenditures[[#This Row],[2018 $ Value]]/VLOOKUP(Expenditures[[#This Row],[Jurisdiction]],Places[],7,FALSE))</f>
        <v>29884.383524973055</v>
      </c>
      <c r="N237" s="20" t="s">
        <v>1460</v>
      </c>
      <c r="O237" s="20" t="s">
        <v>1460</v>
      </c>
    </row>
    <row r="238" spans="1:15" x14ac:dyDescent="0.25">
      <c r="A238" s="19" t="s">
        <v>279</v>
      </c>
      <c r="B238" s="19" t="str">
        <f>INDEX(Places[Type],MATCH(Expenditures[[#This Row],[Jurisdiction]],Places[Jurisdiction],0))</f>
        <v>City</v>
      </c>
      <c r="C238" s="19" t="str">
        <f>INDEX(Places[County],MATCH(Expenditures[[#This Row],[Jurisdiction]],Places[Jurisdiction],0))</f>
        <v>Orange</v>
      </c>
      <c r="D238" s="19" t="str">
        <f>INDEX(Places[Majority RB],MATCH(Expenditures[[#This Row],[Jurisdiction]],Places[Jurisdiction],0))</f>
        <v>San Diego</v>
      </c>
      <c r="E238" s="19">
        <f>INDEX(Places[Majority RB '#],MATCH(Expenditures[[#This Row],[Jurisdiction]],Places[Jurisdiction],0))</f>
        <v>9</v>
      </c>
      <c r="F238" s="19" t="str">
        <f>VLOOKUP(Expenditures[[#This Row],[Jurisdiction]],Places[#All],8,FALSE)</f>
        <v>Phase I MS4</v>
      </c>
      <c r="G238" s="19"/>
      <c r="H238" s="20" t="s">
        <v>1880</v>
      </c>
      <c r="I238" s="21">
        <f>VALUE(LEFT(Expenditures[[#This Row],[Fiscal Year]],4))</f>
        <v>2013</v>
      </c>
      <c r="J238" s="20">
        <v>804618.18</v>
      </c>
      <c r="K238" s="20">
        <f>IF(Expenditures[[#This Row],[Reference Year]]&gt;2018,Expenditures[[#This Row],[Value]],Expenditures[[#This Row],[Value]]*(1+VLOOKUP(Expenditures[[#This Row],[Reference Year]],Inflation[#All],3,FALSE)))</f>
        <v>868956.55472781125</v>
      </c>
      <c r="L238" s="105">
        <f>VALUE(Expenditures[[#This Row],[2018 $ Value]]/VLOOKUP(Expenditures[[#This Row],[Jurisdiction]],Places[],6,FALSE))</f>
        <v>28.009172083800003</v>
      </c>
      <c r="M238" s="105">
        <f>VALUE(Expenditures[[#This Row],[2018 $ Value]]/VLOOKUP(Expenditures[[#This Row],[Jurisdiction]],Places[],7,FALSE))</f>
        <v>131660.08404966837</v>
      </c>
      <c r="N238" s="20" t="s">
        <v>1460</v>
      </c>
      <c r="O238" s="20" t="s">
        <v>1460</v>
      </c>
    </row>
    <row r="239" spans="1:15" x14ac:dyDescent="0.25">
      <c r="A239" s="19" t="s">
        <v>279</v>
      </c>
      <c r="B239" s="19" t="str">
        <f>INDEX(Places[Type],MATCH(Expenditures[[#This Row],[Jurisdiction]],Places[Jurisdiction],0))</f>
        <v>City</v>
      </c>
      <c r="C239" s="19" t="str">
        <f>INDEX(Places[County],MATCH(Expenditures[[#This Row],[Jurisdiction]],Places[Jurisdiction],0))</f>
        <v>Orange</v>
      </c>
      <c r="D239" s="19" t="str">
        <f>INDEX(Places[Majority RB],MATCH(Expenditures[[#This Row],[Jurisdiction]],Places[Jurisdiction],0))</f>
        <v>San Diego</v>
      </c>
      <c r="E239" s="19">
        <f>INDEX(Places[Majority RB '#],MATCH(Expenditures[[#This Row],[Jurisdiction]],Places[Jurisdiction],0))</f>
        <v>9</v>
      </c>
      <c r="F239" s="19" t="str">
        <f>VLOOKUP(Expenditures[[#This Row],[Jurisdiction]],Places[#All],8,FALSE)</f>
        <v>Phase I MS4</v>
      </c>
      <c r="G239" s="19"/>
      <c r="H239" s="20" t="s">
        <v>1881</v>
      </c>
      <c r="I239" s="21">
        <f>VALUE(LEFT(Expenditures[[#This Row],[Fiscal Year]],4))</f>
        <v>2014</v>
      </c>
      <c r="J239" s="20">
        <v>692348.41</v>
      </c>
      <c r="K239" s="20">
        <f>IF(Expenditures[[#This Row],[Reference Year]]&gt;2018,Expenditures[[#This Row],[Value]],Expenditures[[#This Row],[Value]]*(1+VLOOKUP(Expenditures[[#This Row],[Reference Year]],Inflation[#All],3,FALSE)))</f>
        <v>736021.64240266173</v>
      </c>
      <c r="L239" s="105">
        <f>VALUE(Expenditures[[#This Row],[2018 $ Value]]/VLOOKUP(Expenditures[[#This Row],[Jurisdiction]],Places[],6,FALSE))</f>
        <v>23.724266451865063</v>
      </c>
      <c r="M239" s="105">
        <f>VALUE(Expenditures[[#This Row],[2018 $ Value]]/VLOOKUP(Expenditures[[#This Row],[Jurisdiction]],Places[],7,FALSE))</f>
        <v>111518.43066706996</v>
      </c>
      <c r="N239" s="20" t="s">
        <v>1460</v>
      </c>
      <c r="O239" s="20" t="s">
        <v>1460</v>
      </c>
    </row>
    <row r="240" spans="1:15" x14ac:dyDescent="0.25">
      <c r="A240" s="19" t="s">
        <v>279</v>
      </c>
      <c r="B240" s="19" t="str">
        <f>INDEX(Places[Type],MATCH(Expenditures[[#This Row],[Jurisdiction]],Places[Jurisdiction],0))</f>
        <v>City</v>
      </c>
      <c r="C240" s="19" t="str">
        <f>INDEX(Places[County],MATCH(Expenditures[[#This Row],[Jurisdiction]],Places[Jurisdiction],0))</f>
        <v>Orange</v>
      </c>
      <c r="D240" s="19" t="str">
        <f>INDEX(Places[Majority RB],MATCH(Expenditures[[#This Row],[Jurisdiction]],Places[Jurisdiction],0))</f>
        <v>San Diego</v>
      </c>
      <c r="E240" s="19">
        <f>INDEX(Places[Majority RB '#],MATCH(Expenditures[[#This Row],[Jurisdiction]],Places[Jurisdiction],0))</f>
        <v>9</v>
      </c>
      <c r="F240" s="19" t="str">
        <f>VLOOKUP(Expenditures[[#This Row],[Jurisdiction]],Places[#All],8,FALSE)</f>
        <v>Phase I MS4</v>
      </c>
      <c r="G240" s="19"/>
      <c r="H240" s="20" t="s">
        <v>1873</v>
      </c>
      <c r="I240" s="21">
        <f>VALUE(LEFT(Expenditures[[#This Row],[Fiscal Year]],4))</f>
        <v>2015</v>
      </c>
      <c r="J240" s="20">
        <v>697294.4</v>
      </c>
      <c r="K240" s="20">
        <f>IF(Expenditures[[#This Row],[Reference Year]]&gt;2018,Expenditures[[#This Row],[Value]],Expenditures[[#This Row],[Value]]*(1+VLOOKUP(Expenditures[[#This Row],[Reference Year]],Inflation[#All],3,FALSE)))</f>
        <v>740341.29606075946</v>
      </c>
      <c r="L240" s="105">
        <f>VALUE(Expenditures[[#This Row],[2018 $ Value]]/VLOOKUP(Expenditures[[#This Row],[Jurisdiction]],Places[],6,FALSE))</f>
        <v>23.863502322742377</v>
      </c>
      <c r="M240" s="105">
        <f>VALUE(Expenditures[[#This Row],[2018 $ Value]]/VLOOKUP(Expenditures[[#This Row],[Jurisdiction]],Places[],7,FALSE))</f>
        <v>112172.92364556962</v>
      </c>
      <c r="N240" s="20" t="s">
        <v>1460</v>
      </c>
      <c r="O240" s="20" t="s">
        <v>1460</v>
      </c>
    </row>
    <row r="241" spans="1:15" x14ac:dyDescent="0.25">
      <c r="A241" s="19" t="s">
        <v>279</v>
      </c>
      <c r="B241" s="19" t="str">
        <f>INDEX(Places[Type],MATCH(Expenditures[[#This Row],[Jurisdiction]],Places[Jurisdiction],0))</f>
        <v>City</v>
      </c>
      <c r="C241" s="19" t="str">
        <f>INDEX(Places[County],MATCH(Expenditures[[#This Row],[Jurisdiction]],Places[Jurisdiction],0))</f>
        <v>Orange</v>
      </c>
      <c r="D241" s="19" t="str">
        <f>INDEX(Places[Majority RB],MATCH(Expenditures[[#This Row],[Jurisdiction]],Places[Jurisdiction],0))</f>
        <v>San Diego</v>
      </c>
      <c r="E241" s="19">
        <f>INDEX(Places[Majority RB '#],MATCH(Expenditures[[#This Row],[Jurisdiction]],Places[Jurisdiction],0))</f>
        <v>9</v>
      </c>
      <c r="F241" s="19" t="str">
        <f>VLOOKUP(Expenditures[[#This Row],[Jurisdiction]],Places[#All],8,FALSE)</f>
        <v>Phase I MS4</v>
      </c>
      <c r="G241" s="19"/>
      <c r="H241" s="20" t="s">
        <v>1869</v>
      </c>
      <c r="I241" s="21">
        <f>VALUE(LEFT(Expenditures[[#This Row],[Fiscal Year]],4))</f>
        <v>2016</v>
      </c>
      <c r="J241" s="20">
        <v>1005240</v>
      </c>
      <c r="K241" s="20">
        <f>IF(Expenditures[[#This Row],[Reference Year]]&gt;2018,Expenditures[[#This Row],[Value]],Expenditures[[#This Row],[Value]]*(1+VLOOKUP(Expenditures[[#This Row],[Reference Year]],Inflation[#All],3,FALSE)))</f>
        <v>1053956.4435000001</v>
      </c>
      <c r="L241" s="105">
        <f>VALUE(Expenditures[[#This Row],[2018 $ Value]]/VLOOKUP(Expenditures[[#This Row],[Jurisdiction]],Places[],6,FALSE))</f>
        <v>33.972293820912846</v>
      </c>
      <c r="M241" s="105">
        <f>VALUE(Expenditures[[#This Row],[2018 $ Value]]/VLOOKUP(Expenditures[[#This Row],[Jurisdiction]],Places[],7,FALSE))</f>
        <v>159690.37022727274</v>
      </c>
      <c r="N241" s="20" t="s">
        <v>1460</v>
      </c>
      <c r="O241" s="20" t="s">
        <v>1460</v>
      </c>
    </row>
    <row r="242" spans="1:15" x14ac:dyDescent="0.25">
      <c r="A242" s="19" t="s">
        <v>279</v>
      </c>
      <c r="B242" s="19" t="str">
        <f>INDEX(Places[Type],MATCH(Expenditures[[#This Row],[Jurisdiction]],Places[Jurisdiction],0))</f>
        <v>City</v>
      </c>
      <c r="C242" s="19" t="str">
        <f>INDEX(Places[County],MATCH(Expenditures[[#This Row],[Jurisdiction]],Places[Jurisdiction],0))</f>
        <v>Orange</v>
      </c>
      <c r="D242" s="19" t="str">
        <f>INDEX(Places[Majority RB],MATCH(Expenditures[[#This Row],[Jurisdiction]],Places[Jurisdiction],0))</f>
        <v>San Diego</v>
      </c>
      <c r="E242" s="19">
        <f>INDEX(Places[Majority RB '#],MATCH(Expenditures[[#This Row],[Jurisdiction]],Places[Jurisdiction],0))</f>
        <v>9</v>
      </c>
      <c r="F242" s="19" t="str">
        <f>VLOOKUP(Expenditures[[#This Row],[Jurisdiction]],Places[#All],8,FALSE)</f>
        <v>Phase I MS4</v>
      </c>
      <c r="G242" s="19"/>
      <c r="H242" s="20" t="s">
        <v>1874</v>
      </c>
      <c r="I242" s="21">
        <f>VALUE(LEFT(Expenditures[[#This Row],[Fiscal Year]],4))</f>
        <v>2017</v>
      </c>
      <c r="J242" s="20">
        <v>681643</v>
      </c>
      <c r="K242" s="20">
        <f>IF(Expenditures[[#This Row],[Reference Year]]&gt;2018,Expenditures[[#This Row],[Value]],Expenditures[[#This Row],[Value]]*(1+VLOOKUP(Expenditures[[#This Row],[Reference Year]],Inflation[#All],3,FALSE)))</f>
        <v>699806.24126071006</v>
      </c>
      <c r="L242" s="105">
        <f>VALUE(Expenditures[[#This Row],[2018 $ Value]]/VLOOKUP(Expenditures[[#This Row],[Jurisdiction]],Places[],6,FALSE))</f>
        <v>22.556931448578844</v>
      </c>
      <c r="M242" s="105">
        <f>VALUE(Expenditures[[#This Row],[2018 $ Value]]/VLOOKUP(Expenditures[[#This Row],[Jurisdiction]],Places[],7,FALSE))</f>
        <v>106031.24867586516</v>
      </c>
      <c r="N242" s="20" t="s">
        <v>1853</v>
      </c>
      <c r="O242" s="20" t="s">
        <v>1853</v>
      </c>
    </row>
    <row r="243" spans="1:15" x14ac:dyDescent="0.25">
      <c r="A243" s="19" t="s">
        <v>280</v>
      </c>
      <c r="B243" s="19" t="str">
        <f>INDEX(Places[Type],MATCH(Expenditures[[#This Row],[Jurisdiction]],Places[Jurisdiction],0))</f>
        <v>City</v>
      </c>
      <c r="C243" s="19" t="str">
        <f>INDEX(Places[County],MATCH(Expenditures[[#This Row],[Jurisdiction]],Places[Jurisdiction],0))</f>
        <v>Orange</v>
      </c>
      <c r="D243" s="19" t="str">
        <f>INDEX(Places[Majority RB],MATCH(Expenditures[[#This Row],[Jurisdiction]],Places[Jurisdiction],0))</f>
        <v>San Diego</v>
      </c>
      <c r="E243" s="19">
        <f>INDEX(Places[Majority RB '#],MATCH(Expenditures[[#This Row],[Jurisdiction]],Places[Jurisdiction],0))</f>
        <v>9</v>
      </c>
      <c r="F243" s="19" t="str">
        <f>VLOOKUP(Expenditures[[#This Row],[Jurisdiction]],Places[#All],8,FALSE)</f>
        <v>Phase I MS4</v>
      </c>
      <c r="G243" s="19"/>
      <c r="H243" s="21" t="s">
        <v>1893</v>
      </c>
      <c r="I243" s="21">
        <f>VALUE(LEFT(Expenditures[[#This Row],[Fiscal Year]],4))</f>
        <v>2000</v>
      </c>
      <c r="J243" s="20">
        <v>353655</v>
      </c>
      <c r="K243" s="20">
        <f>IF(Expenditures[[#This Row],[Reference Year]]&gt;2018,Expenditures[[#This Row],[Value]],Expenditures[[#This Row],[Value]]*(1+VLOOKUP(Expenditures[[#This Row],[Reference Year]],Inflation[#All],3,FALSE)))</f>
        <v>516786.07029616728</v>
      </c>
      <c r="L243" s="105">
        <f>VALUE(Expenditures[[#This Row],[2018 $ Value]]/VLOOKUP(Expenditures[[#This Row],[Jurisdiction]],Places[],6,FALSE))</f>
        <v>7.7986610070951512</v>
      </c>
      <c r="M243" s="105">
        <f>VALUE(Expenditures[[#This Row],[2018 $ Value]]/VLOOKUP(Expenditures[[#This Row],[Jurisdiction]],Places[],7,FALSE))</f>
        <v>35155.514986133829</v>
      </c>
      <c r="N243" s="20" t="s">
        <v>1460</v>
      </c>
      <c r="O243" s="20" t="s">
        <v>1460</v>
      </c>
    </row>
    <row r="244" spans="1:15" x14ac:dyDescent="0.25">
      <c r="A244" s="19" t="s">
        <v>280</v>
      </c>
      <c r="B244" s="19" t="str">
        <f>INDEX(Places[Type],MATCH(Expenditures[[#This Row],[Jurisdiction]],Places[Jurisdiction],0))</f>
        <v>City</v>
      </c>
      <c r="C244" s="19" t="str">
        <f>INDEX(Places[County],MATCH(Expenditures[[#This Row],[Jurisdiction]],Places[Jurisdiction],0))</f>
        <v>Orange</v>
      </c>
      <c r="D244" s="19" t="str">
        <f>INDEX(Places[Majority RB],MATCH(Expenditures[[#This Row],[Jurisdiction]],Places[Jurisdiction],0))</f>
        <v>San Diego</v>
      </c>
      <c r="E244" s="19">
        <f>INDEX(Places[Majority RB '#],MATCH(Expenditures[[#This Row],[Jurisdiction]],Places[Jurisdiction],0))</f>
        <v>9</v>
      </c>
      <c r="F244" s="19" t="str">
        <f>VLOOKUP(Expenditures[[#This Row],[Jurisdiction]],Places[#All],8,FALSE)</f>
        <v>Phase I MS4</v>
      </c>
      <c r="G244" s="19"/>
      <c r="H244" s="21" t="s">
        <v>1875</v>
      </c>
      <c r="I244" s="21">
        <f>VALUE(LEFT(Expenditures[[#This Row],[Fiscal Year]],4))</f>
        <v>2001</v>
      </c>
      <c r="J244" s="20">
        <v>327336</v>
      </c>
      <c r="K244" s="20">
        <f>IF(Expenditures[[#This Row],[Reference Year]]&gt;2018,Expenditures[[#This Row],[Value]],Expenditures[[#This Row],[Value]]*(1+VLOOKUP(Expenditures[[#This Row],[Reference Year]],Inflation[#All],3,FALSE)))</f>
        <v>465092.51844155841</v>
      </c>
      <c r="L244" s="105">
        <f>VALUE(Expenditures[[#This Row],[2018 $ Value]]/VLOOKUP(Expenditures[[#This Row],[Jurisdiction]],Places[],6,FALSE))</f>
        <v>7.018569378588694</v>
      </c>
      <c r="M244" s="105">
        <f>VALUE(Expenditures[[#This Row],[2018 $ Value]]/VLOOKUP(Expenditures[[#This Row],[Jurisdiction]],Places[],7,FALSE))</f>
        <v>31638.946832759077</v>
      </c>
      <c r="N244" s="20" t="s">
        <v>1460</v>
      </c>
      <c r="O244" s="20" t="s">
        <v>1460</v>
      </c>
    </row>
    <row r="245" spans="1:15" x14ac:dyDescent="0.25">
      <c r="A245" s="19" t="s">
        <v>280</v>
      </c>
      <c r="B245" s="19" t="str">
        <f>INDEX(Places[Type],MATCH(Expenditures[[#This Row],[Jurisdiction]],Places[Jurisdiction],0))</f>
        <v>City</v>
      </c>
      <c r="C245" s="19" t="str">
        <f>INDEX(Places[County],MATCH(Expenditures[[#This Row],[Jurisdiction]],Places[Jurisdiction],0))</f>
        <v>Orange</v>
      </c>
      <c r="D245" s="19" t="str">
        <f>INDEX(Places[Majority RB],MATCH(Expenditures[[#This Row],[Jurisdiction]],Places[Jurisdiction],0))</f>
        <v>San Diego</v>
      </c>
      <c r="E245" s="19">
        <f>INDEX(Places[Majority RB '#],MATCH(Expenditures[[#This Row],[Jurisdiction]],Places[Jurisdiction],0))</f>
        <v>9</v>
      </c>
      <c r="F245" s="19" t="str">
        <f>VLOOKUP(Expenditures[[#This Row],[Jurisdiction]],Places[#All],8,FALSE)</f>
        <v>Phase I MS4</v>
      </c>
      <c r="G245" s="19"/>
      <c r="H245" s="21" t="s">
        <v>1880</v>
      </c>
      <c r="I245" s="21">
        <f>VALUE(LEFT(Expenditures[[#This Row],[Fiscal Year]],4))</f>
        <v>2013</v>
      </c>
      <c r="J245" s="20">
        <v>1742456</v>
      </c>
      <c r="K245" s="20">
        <f>IF(Expenditures[[#This Row],[Reference Year]]&gt;2018,Expenditures[[#This Row],[Value]],Expenditures[[#This Row],[Value]]*(1+VLOOKUP(Expenditures[[#This Row],[Reference Year]],Inflation[#All],3,FALSE)))</f>
        <v>1881785.1748326181</v>
      </c>
      <c r="L245" s="105">
        <f>VALUE(Expenditures[[#This Row],[2018 $ Value]]/VLOOKUP(Expenditures[[#This Row],[Jurisdiction]],Places[],6,FALSE))</f>
        <v>28.397446274599616</v>
      </c>
      <c r="M245" s="105">
        <f>VALUE(Expenditures[[#This Row],[2018 $ Value]]/VLOOKUP(Expenditures[[#This Row],[Jurisdiction]],Places[],7,FALSE))</f>
        <v>128012.59692738899</v>
      </c>
      <c r="N245" s="20" t="s">
        <v>1460</v>
      </c>
      <c r="O245" s="20" t="s">
        <v>1460</v>
      </c>
    </row>
    <row r="246" spans="1:15" x14ac:dyDescent="0.25">
      <c r="A246" s="19" t="s">
        <v>280</v>
      </c>
      <c r="B246" s="19" t="str">
        <f>INDEX(Places[Type],MATCH(Expenditures[[#This Row],[Jurisdiction]],Places[Jurisdiction],0))</f>
        <v>City</v>
      </c>
      <c r="C246" s="19" t="str">
        <f>INDEX(Places[County],MATCH(Expenditures[[#This Row],[Jurisdiction]],Places[Jurisdiction],0))</f>
        <v>Orange</v>
      </c>
      <c r="D246" s="19" t="str">
        <f>INDEX(Places[Majority RB],MATCH(Expenditures[[#This Row],[Jurisdiction]],Places[Jurisdiction],0))</f>
        <v>San Diego</v>
      </c>
      <c r="E246" s="19">
        <f>INDEX(Places[Majority RB '#],MATCH(Expenditures[[#This Row],[Jurisdiction]],Places[Jurisdiction],0))</f>
        <v>9</v>
      </c>
      <c r="F246" s="19" t="str">
        <f>VLOOKUP(Expenditures[[#This Row],[Jurisdiction]],Places[#All],8,FALSE)</f>
        <v>Phase I MS4</v>
      </c>
      <c r="G246" s="19"/>
      <c r="H246" s="21" t="s">
        <v>1881</v>
      </c>
      <c r="I246" s="21">
        <f>VALUE(LEFT(Expenditures[[#This Row],[Fiscal Year]],4))</f>
        <v>2014</v>
      </c>
      <c r="J246" s="20">
        <v>4801078</v>
      </c>
      <c r="K246" s="20">
        <f>IF(Expenditures[[#This Row],[Reference Year]]&gt;2018,Expenditures[[#This Row],[Value]],Expenditures[[#This Row],[Value]]*(1+VLOOKUP(Expenditures[[#This Row],[Reference Year]],Inflation[#All],3,FALSE)))</f>
        <v>5103929.2700380236</v>
      </c>
      <c r="L246" s="105">
        <f>VALUE(Expenditures[[#This Row],[2018 $ Value]]/VLOOKUP(Expenditures[[#This Row],[Jurisdiction]],Places[],6,FALSE))</f>
        <v>77.021840310838499</v>
      </c>
      <c r="M246" s="105">
        <f>VALUE(Expenditures[[#This Row],[2018 $ Value]]/VLOOKUP(Expenditures[[#This Row],[Jurisdiction]],Places[],7,FALSE))</f>
        <v>347206.07279170229</v>
      </c>
      <c r="N246" s="20" t="s">
        <v>1460</v>
      </c>
      <c r="O246" s="20" t="s">
        <v>1460</v>
      </c>
    </row>
    <row r="247" spans="1:15" x14ac:dyDescent="0.25">
      <c r="A247" s="19" t="s">
        <v>280</v>
      </c>
      <c r="B247" s="19" t="str">
        <f>INDEX(Places[Type],MATCH(Expenditures[[#This Row],[Jurisdiction]],Places[Jurisdiction],0))</f>
        <v>City</v>
      </c>
      <c r="C247" s="19" t="str">
        <f>INDEX(Places[County],MATCH(Expenditures[[#This Row],[Jurisdiction]],Places[Jurisdiction],0))</f>
        <v>Orange</v>
      </c>
      <c r="D247" s="19" t="str">
        <f>INDEX(Places[Majority RB],MATCH(Expenditures[[#This Row],[Jurisdiction]],Places[Jurisdiction],0))</f>
        <v>San Diego</v>
      </c>
      <c r="E247" s="19">
        <f>INDEX(Places[Majority RB '#],MATCH(Expenditures[[#This Row],[Jurisdiction]],Places[Jurisdiction],0))</f>
        <v>9</v>
      </c>
      <c r="F247" s="19" t="str">
        <f>VLOOKUP(Expenditures[[#This Row],[Jurisdiction]],Places[#All],8,FALSE)</f>
        <v>Phase I MS4</v>
      </c>
      <c r="G247" s="19"/>
      <c r="H247" s="21" t="s">
        <v>1873</v>
      </c>
      <c r="I247" s="21">
        <f>VALUE(LEFT(Expenditures[[#This Row],[Fiscal Year]],4))</f>
        <v>2015</v>
      </c>
      <c r="J247" s="20">
        <v>6218072</v>
      </c>
      <c r="K247" s="20">
        <f>IF(Expenditures[[#This Row],[Reference Year]]&gt;2018,Expenditures[[#This Row],[Value]],Expenditures[[#This Row],[Value]]*(1+VLOOKUP(Expenditures[[#This Row],[Reference Year]],Inflation[#All],3,FALSE)))</f>
        <v>6601939.5587848099</v>
      </c>
      <c r="L247" s="105">
        <f>VALUE(Expenditures[[#This Row],[2018 $ Value]]/VLOOKUP(Expenditures[[#This Row],[Jurisdiction]],Places[],6,FALSE))</f>
        <v>99.627856801147047</v>
      </c>
      <c r="M247" s="105">
        <f>VALUE(Expenditures[[#This Row],[2018 $ Value]]/VLOOKUP(Expenditures[[#This Row],[Jurisdiction]],Places[],7,FALSE))</f>
        <v>449111.53461121157</v>
      </c>
      <c r="N247" s="20" t="s">
        <v>1460</v>
      </c>
      <c r="O247" s="20" t="s">
        <v>1460</v>
      </c>
    </row>
    <row r="248" spans="1:15" x14ac:dyDescent="0.25">
      <c r="A248" s="19" t="s">
        <v>280</v>
      </c>
      <c r="B248" s="19" t="str">
        <f>INDEX(Places[Type],MATCH(Expenditures[[#This Row],[Jurisdiction]],Places[Jurisdiction],0))</f>
        <v>City</v>
      </c>
      <c r="C248" s="19" t="str">
        <f>INDEX(Places[County],MATCH(Expenditures[[#This Row],[Jurisdiction]],Places[Jurisdiction],0))</f>
        <v>Orange</v>
      </c>
      <c r="D248" s="19" t="str">
        <f>INDEX(Places[Majority RB],MATCH(Expenditures[[#This Row],[Jurisdiction]],Places[Jurisdiction],0))</f>
        <v>San Diego</v>
      </c>
      <c r="E248" s="19">
        <f>INDEX(Places[Majority RB '#],MATCH(Expenditures[[#This Row],[Jurisdiction]],Places[Jurisdiction],0))</f>
        <v>9</v>
      </c>
      <c r="F248" s="19" t="str">
        <f>VLOOKUP(Expenditures[[#This Row],[Jurisdiction]],Places[#All],8,FALSE)</f>
        <v>Phase I MS4</v>
      </c>
      <c r="G248" s="19"/>
      <c r="H248" s="21" t="s">
        <v>1869</v>
      </c>
      <c r="I248" s="21">
        <f>VALUE(LEFT(Expenditures[[#This Row],[Fiscal Year]],4))</f>
        <v>2016</v>
      </c>
      <c r="J248" s="20">
        <v>6516332</v>
      </c>
      <c r="K248" s="20">
        <f>IF(Expenditures[[#This Row],[Reference Year]]&gt;2018,Expenditures[[#This Row],[Value]],Expenditures[[#This Row],[Value]]*(1+VLOOKUP(Expenditures[[#This Row],[Reference Year]],Inflation[#All],3,FALSE)))</f>
        <v>6832129.7395500001</v>
      </c>
      <c r="L248" s="105">
        <f>VALUE(Expenditures[[#This Row],[2018 $ Value]]/VLOOKUP(Expenditures[[#This Row],[Jurisdiction]],Places[],6,FALSE))</f>
        <v>103.10158662888962</v>
      </c>
      <c r="M248" s="105">
        <f>VALUE(Expenditures[[#This Row],[2018 $ Value]]/VLOOKUP(Expenditures[[#This Row],[Jurisdiction]],Places[],7,FALSE))</f>
        <v>464770.7305816327</v>
      </c>
      <c r="N248" s="20" t="s">
        <v>1460</v>
      </c>
      <c r="O248" s="20" t="s">
        <v>1460</v>
      </c>
    </row>
    <row r="249" spans="1:15" x14ac:dyDescent="0.25">
      <c r="A249" s="19" t="s">
        <v>280</v>
      </c>
      <c r="B249" s="19" t="str">
        <f>INDEX(Places[Type],MATCH(Expenditures[[#This Row],[Jurisdiction]],Places[Jurisdiction],0))</f>
        <v>City</v>
      </c>
      <c r="C249" s="19" t="str">
        <f>INDEX(Places[County],MATCH(Expenditures[[#This Row],[Jurisdiction]],Places[Jurisdiction],0))</f>
        <v>Orange</v>
      </c>
      <c r="D249" s="19" t="str">
        <f>INDEX(Places[Majority RB],MATCH(Expenditures[[#This Row],[Jurisdiction]],Places[Jurisdiction],0))</f>
        <v>San Diego</v>
      </c>
      <c r="E249" s="19">
        <f>INDEX(Places[Majority RB '#],MATCH(Expenditures[[#This Row],[Jurisdiction]],Places[Jurisdiction],0))</f>
        <v>9</v>
      </c>
      <c r="F249" s="19" t="str">
        <f>VLOOKUP(Expenditures[[#This Row],[Jurisdiction]],Places[#All],8,FALSE)</f>
        <v>Phase I MS4</v>
      </c>
      <c r="G249" s="19"/>
      <c r="H249" s="21" t="s">
        <v>1874</v>
      </c>
      <c r="I249" s="21">
        <f>VALUE(LEFT(Expenditures[[#This Row],[Fiscal Year]],4))</f>
        <v>2017</v>
      </c>
      <c r="J249" s="20">
        <v>1667278</v>
      </c>
      <c r="K249" s="20">
        <f>IF(Expenditures[[#This Row],[Reference Year]]&gt;2018,Expenditures[[#This Row],[Value]],Expenditures[[#This Row],[Value]]*(1+VLOOKUP(Expenditures[[#This Row],[Reference Year]],Inflation[#All],3,FALSE)))</f>
        <v>1711704.7344675644</v>
      </c>
      <c r="L249" s="105">
        <f>VALUE(Expenditures[[#This Row],[2018 $ Value]]/VLOOKUP(Expenditures[[#This Row],[Jurisdiction]],Places[],6,FALSE))</f>
        <v>25.83081421041808</v>
      </c>
      <c r="M249" s="105">
        <f>VALUE(Expenditures[[#This Row],[2018 $ Value]]/VLOOKUP(Expenditures[[#This Row],[Jurisdiction]],Places[],7,FALSE))</f>
        <v>116442.49894337173</v>
      </c>
      <c r="N249" s="20" t="s">
        <v>1853</v>
      </c>
      <c r="O249" s="20" t="s">
        <v>1853</v>
      </c>
    </row>
    <row r="250" spans="1:15" x14ac:dyDescent="0.25">
      <c r="A250" s="19" t="s">
        <v>281</v>
      </c>
      <c r="B250" s="19" t="str">
        <f>INDEX(Places[Type],MATCH(Expenditures[[#This Row],[Jurisdiction]],Places[Jurisdiction],0))</f>
        <v>City</v>
      </c>
      <c r="C250" s="19" t="str">
        <f>INDEX(Places[County],MATCH(Expenditures[[#This Row],[Jurisdiction]],Places[Jurisdiction],0))</f>
        <v>Orange</v>
      </c>
      <c r="D250" s="19" t="str">
        <f>INDEX(Places[Majority RB],MATCH(Expenditures[[#This Row],[Jurisdiction]],Places[Jurisdiction],0))</f>
        <v>Santa Ana</v>
      </c>
      <c r="E250" s="19">
        <f>INDEX(Places[Majority RB '#],MATCH(Expenditures[[#This Row],[Jurisdiction]],Places[Jurisdiction],0))</f>
        <v>8</v>
      </c>
      <c r="F250" s="19" t="str">
        <f>VLOOKUP(Expenditures[[#This Row],[Jurisdiction]],Places[#All],8,FALSE)</f>
        <v>Phase I MS4</v>
      </c>
      <c r="G250" s="19"/>
      <c r="H250" s="21" t="s">
        <v>1893</v>
      </c>
      <c r="I250" s="21">
        <f>VALUE(LEFT(Expenditures[[#This Row],[Fiscal Year]],4))</f>
        <v>2000</v>
      </c>
      <c r="J250" s="20">
        <v>32178</v>
      </c>
      <c r="K250" s="20">
        <f>IF(Expenditures[[#This Row],[Reference Year]]&gt;2018,Expenditures[[#This Row],[Value]],Expenditures[[#This Row],[Value]]*(1+VLOOKUP(Expenditures[[#This Row],[Reference Year]],Inflation[#All],3,FALSE)))</f>
        <v>47020.803240418121</v>
      </c>
      <c r="L250" s="105">
        <f>VALUE(Expenditures[[#This Row],[2018 $ Value]]/VLOOKUP(Expenditures[[#This Row],[Jurisdiction]],Places[],6,FALSE))</f>
        <v>2.9303753733278151</v>
      </c>
      <c r="M250" s="105">
        <f>VALUE(Expenditures[[#This Row],[2018 $ Value]]/VLOOKUP(Expenditures[[#This Row],[Jurisdiction]],Places[],7,FALSE))</f>
        <v>14248.728254672158</v>
      </c>
      <c r="N250" s="20" t="s">
        <v>1460</v>
      </c>
      <c r="O250" s="20" t="s">
        <v>1460</v>
      </c>
    </row>
    <row r="251" spans="1:15" x14ac:dyDescent="0.25">
      <c r="A251" s="19" t="s">
        <v>281</v>
      </c>
      <c r="B251" s="19" t="str">
        <f>INDEX(Places[Type],MATCH(Expenditures[[#This Row],[Jurisdiction]],Places[Jurisdiction],0))</f>
        <v>City</v>
      </c>
      <c r="C251" s="19" t="str">
        <f>INDEX(Places[County],MATCH(Expenditures[[#This Row],[Jurisdiction]],Places[Jurisdiction],0))</f>
        <v>Orange</v>
      </c>
      <c r="D251" s="19" t="str">
        <f>INDEX(Places[Majority RB],MATCH(Expenditures[[#This Row],[Jurisdiction]],Places[Jurisdiction],0))</f>
        <v>Santa Ana</v>
      </c>
      <c r="E251" s="19">
        <f>INDEX(Places[Majority RB '#],MATCH(Expenditures[[#This Row],[Jurisdiction]],Places[Jurisdiction],0))</f>
        <v>8</v>
      </c>
      <c r="F251" s="19" t="str">
        <f>VLOOKUP(Expenditures[[#This Row],[Jurisdiction]],Places[#All],8,FALSE)</f>
        <v>Phase I MS4</v>
      </c>
      <c r="G251" s="19"/>
      <c r="H251" s="21" t="s">
        <v>1875</v>
      </c>
      <c r="I251" s="21">
        <f>VALUE(LEFT(Expenditures[[#This Row],[Fiscal Year]],4))</f>
        <v>2001</v>
      </c>
      <c r="J251" s="20">
        <v>83155</v>
      </c>
      <c r="K251" s="20">
        <f>IF(Expenditures[[#This Row],[Reference Year]]&gt;2018,Expenditures[[#This Row],[Value]],Expenditures[[#This Row],[Value]]*(1+VLOOKUP(Expenditures[[#This Row],[Reference Year]],Inflation[#All],3,FALSE)))</f>
        <v>118150.0610107284</v>
      </c>
      <c r="L251" s="105">
        <f>VALUE(Expenditures[[#This Row],[2018 $ Value]]/VLOOKUP(Expenditures[[#This Row],[Jurisdiction]],Places[],6,FALSE))</f>
        <v>7.3632095856118909</v>
      </c>
      <c r="M251" s="105">
        <f>VALUE(Expenditures[[#This Row],[2018 $ Value]]/VLOOKUP(Expenditures[[#This Row],[Jurisdiction]],Places[],7,FALSE))</f>
        <v>35803.048791129819</v>
      </c>
      <c r="N251" s="20" t="s">
        <v>1460</v>
      </c>
      <c r="O251" s="20" t="s">
        <v>1460</v>
      </c>
    </row>
    <row r="252" spans="1:15" x14ac:dyDescent="0.25">
      <c r="A252" s="19" t="s">
        <v>281</v>
      </c>
      <c r="B252" s="19" t="str">
        <f>INDEX(Places[Type],MATCH(Expenditures[[#This Row],[Jurisdiction]],Places[Jurisdiction],0))</f>
        <v>City</v>
      </c>
      <c r="C252" s="19" t="str">
        <f>INDEX(Places[County],MATCH(Expenditures[[#This Row],[Jurisdiction]],Places[Jurisdiction],0))</f>
        <v>Orange</v>
      </c>
      <c r="D252" s="19" t="str">
        <f>INDEX(Places[Majority RB],MATCH(Expenditures[[#This Row],[Jurisdiction]],Places[Jurisdiction],0))</f>
        <v>Santa Ana</v>
      </c>
      <c r="E252" s="19">
        <f>INDEX(Places[Majority RB '#],MATCH(Expenditures[[#This Row],[Jurisdiction]],Places[Jurisdiction],0))</f>
        <v>8</v>
      </c>
      <c r="F252" s="19" t="str">
        <f>VLOOKUP(Expenditures[[#This Row],[Jurisdiction]],Places[#All],8,FALSE)</f>
        <v>Phase I MS4</v>
      </c>
      <c r="G252" s="19"/>
      <c r="H252" s="21" t="s">
        <v>1881</v>
      </c>
      <c r="I252" s="21">
        <f>VALUE(LEFT(Expenditures[[#This Row],[Fiscal Year]],4))</f>
        <v>2014</v>
      </c>
      <c r="J252" s="20">
        <v>664455</v>
      </c>
      <c r="K252" s="20">
        <f>IF(Expenditures[[#This Row],[Reference Year]]&gt;2018,Expenditures[[#This Row],[Value]],Expenditures[[#This Row],[Value]]*(1+VLOOKUP(Expenditures[[#This Row],[Reference Year]],Inflation[#All],3,FALSE)))</f>
        <v>706368.72034220537</v>
      </c>
      <c r="L252" s="105">
        <f>VALUE(Expenditures[[#This Row],[2018 $ Value]]/VLOOKUP(Expenditures[[#This Row],[Jurisdiction]],Places[],6,FALSE))</f>
        <v>44.021483257023895</v>
      </c>
      <c r="M252" s="105">
        <f>VALUE(Expenditures[[#This Row],[2018 $ Value]]/VLOOKUP(Expenditures[[#This Row],[Jurisdiction]],Places[],7,FALSE))</f>
        <v>214051.12737642589</v>
      </c>
      <c r="N252" s="20" t="s">
        <v>1460</v>
      </c>
      <c r="O252" s="20" t="s">
        <v>1460</v>
      </c>
    </row>
    <row r="253" spans="1:15" x14ac:dyDescent="0.25">
      <c r="A253" s="19" t="s">
        <v>281</v>
      </c>
      <c r="B253" s="19" t="str">
        <f>INDEX(Places[Type],MATCH(Expenditures[[#This Row],[Jurisdiction]],Places[Jurisdiction],0))</f>
        <v>City</v>
      </c>
      <c r="C253" s="19" t="str">
        <f>INDEX(Places[County],MATCH(Expenditures[[#This Row],[Jurisdiction]],Places[Jurisdiction],0))</f>
        <v>Orange</v>
      </c>
      <c r="D253" s="19" t="str">
        <f>INDEX(Places[Majority RB],MATCH(Expenditures[[#This Row],[Jurisdiction]],Places[Jurisdiction],0))</f>
        <v>Santa Ana</v>
      </c>
      <c r="E253" s="19">
        <f>INDEX(Places[Majority RB '#],MATCH(Expenditures[[#This Row],[Jurisdiction]],Places[Jurisdiction],0))</f>
        <v>8</v>
      </c>
      <c r="F253" s="19" t="str">
        <f>VLOOKUP(Expenditures[[#This Row],[Jurisdiction]],Places[#All],8,FALSE)</f>
        <v>Phase I MS4</v>
      </c>
      <c r="G253" s="19"/>
      <c r="H253" s="21" t="s">
        <v>1873</v>
      </c>
      <c r="I253" s="21">
        <f>VALUE(LEFT(Expenditures[[#This Row],[Fiscal Year]],4))</f>
        <v>2015</v>
      </c>
      <c r="J253" s="20">
        <v>520931</v>
      </c>
      <c r="K253" s="20">
        <f>IF(Expenditures[[#This Row],[Reference Year]]&gt;2018,Expenditures[[#This Row],[Value]],Expenditures[[#This Row],[Value]]*(1+VLOOKUP(Expenditures[[#This Row],[Reference Year]],Inflation[#All],3,FALSE)))</f>
        <v>553090.24667088606</v>
      </c>
      <c r="L253" s="105">
        <f>VALUE(Expenditures[[#This Row],[2018 $ Value]]/VLOOKUP(Expenditures[[#This Row],[Jurisdiction]],Places[],6,FALSE))</f>
        <v>34.469041921406337</v>
      </c>
      <c r="M253" s="105">
        <f>VALUE(Expenditures[[#This Row],[2018 $ Value]]/VLOOKUP(Expenditures[[#This Row],[Jurisdiction]],Places[],7,FALSE))</f>
        <v>167603.10505178367</v>
      </c>
      <c r="N253" s="20" t="s">
        <v>1460</v>
      </c>
      <c r="O253" s="20" t="s">
        <v>1460</v>
      </c>
    </row>
    <row r="254" spans="1:15" x14ac:dyDescent="0.25">
      <c r="A254" s="19" t="s">
        <v>281</v>
      </c>
      <c r="B254" s="19" t="str">
        <f>INDEX(Places[Type],MATCH(Expenditures[[#This Row],[Jurisdiction]],Places[Jurisdiction],0))</f>
        <v>City</v>
      </c>
      <c r="C254" s="19" t="str">
        <f>INDEX(Places[County],MATCH(Expenditures[[#This Row],[Jurisdiction]],Places[Jurisdiction],0))</f>
        <v>Orange</v>
      </c>
      <c r="D254" s="19" t="str">
        <f>INDEX(Places[Majority RB],MATCH(Expenditures[[#This Row],[Jurisdiction]],Places[Jurisdiction],0))</f>
        <v>Santa Ana</v>
      </c>
      <c r="E254" s="19">
        <f>INDEX(Places[Majority RB '#],MATCH(Expenditures[[#This Row],[Jurisdiction]],Places[Jurisdiction],0))</f>
        <v>8</v>
      </c>
      <c r="F254" s="19" t="str">
        <f>VLOOKUP(Expenditures[[#This Row],[Jurisdiction]],Places[#All],8,FALSE)</f>
        <v>Phase I MS4</v>
      </c>
      <c r="G254" s="19"/>
      <c r="H254" s="21" t="s">
        <v>1869</v>
      </c>
      <c r="I254" s="21">
        <f>VALUE(LEFT(Expenditures[[#This Row],[Fiscal Year]],4))</f>
        <v>2016</v>
      </c>
      <c r="J254" s="20">
        <v>426852</v>
      </c>
      <c r="K254" s="20">
        <f>IF(Expenditures[[#This Row],[Reference Year]]&gt;2018,Expenditures[[#This Row],[Value]],Expenditures[[#This Row],[Value]]*(1+VLOOKUP(Expenditures[[#This Row],[Reference Year]],Inflation[#All],3,FALSE)))</f>
        <v>447538.31505000003</v>
      </c>
      <c r="L254" s="105">
        <f>VALUE(Expenditures[[#This Row],[2018 $ Value]]/VLOOKUP(Expenditures[[#This Row],[Jurisdiction]],Places[],6,FALSE))</f>
        <v>27.890958185840709</v>
      </c>
      <c r="M254" s="105">
        <f>VALUE(Expenditures[[#This Row],[2018 $ Value]]/VLOOKUP(Expenditures[[#This Row],[Jurisdiction]],Places[],7,FALSE))</f>
        <v>135617.67122727275</v>
      </c>
      <c r="N254" s="20" t="s">
        <v>1460</v>
      </c>
      <c r="O254" s="20" t="s">
        <v>1460</v>
      </c>
    </row>
    <row r="255" spans="1:15" x14ac:dyDescent="0.25">
      <c r="A255" s="19" t="s">
        <v>281</v>
      </c>
      <c r="B255" s="19" t="str">
        <f>INDEX(Places[Type],MATCH(Expenditures[[#This Row],[Jurisdiction]],Places[Jurisdiction],0))</f>
        <v>City</v>
      </c>
      <c r="C255" s="19" t="str">
        <f>INDEX(Places[County],MATCH(Expenditures[[#This Row],[Jurisdiction]],Places[Jurisdiction],0))</f>
        <v>Orange</v>
      </c>
      <c r="D255" s="19" t="str">
        <f>INDEX(Places[Majority RB],MATCH(Expenditures[[#This Row],[Jurisdiction]],Places[Jurisdiction],0))</f>
        <v>Santa Ana</v>
      </c>
      <c r="E255" s="19">
        <f>INDEX(Places[Majority RB '#],MATCH(Expenditures[[#This Row],[Jurisdiction]],Places[Jurisdiction],0))</f>
        <v>8</v>
      </c>
      <c r="F255" s="19" t="str">
        <f>VLOOKUP(Expenditures[[#This Row],[Jurisdiction]],Places[#All],8,FALSE)</f>
        <v>Phase I MS4</v>
      </c>
      <c r="G255" s="19"/>
      <c r="H255" s="21" t="s">
        <v>1874</v>
      </c>
      <c r="I255" s="21">
        <f>VALUE(LEFT(Expenditures[[#This Row],[Fiscal Year]],4))</f>
        <v>2017</v>
      </c>
      <c r="J255" s="20">
        <v>717567</v>
      </c>
      <c r="K255" s="20">
        <f>IF(Expenditures[[#This Row],[Reference Year]]&gt;2018,Expenditures[[#This Row],[Value]],Expenditures[[#This Row],[Value]]*(1+VLOOKUP(Expenditures[[#This Row],[Reference Year]],Inflation[#All],3,FALSE)))</f>
        <v>736687.48175030609</v>
      </c>
      <c r="L255" s="105">
        <f>VALUE(Expenditures[[#This Row],[2018 $ Value]]/VLOOKUP(Expenditures[[#This Row],[Jurisdiction]],Places[],6,FALSE))</f>
        <v>45.91097356040796</v>
      </c>
      <c r="M255" s="105">
        <f>VALUE(Expenditures[[#This Row],[2018 $ Value]]/VLOOKUP(Expenditures[[#This Row],[Jurisdiction]],Places[],7,FALSE))</f>
        <v>223238.63083342611</v>
      </c>
      <c r="N255" s="20" t="s">
        <v>1853</v>
      </c>
      <c r="O255" s="20" t="s">
        <v>1853</v>
      </c>
    </row>
    <row r="256" spans="1:15" x14ac:dyDescent="0.25">
      <c r="A256" s="19" t="s">
        <v>234</v>
      </c>
      <c r="B256" s="19" t="str">
        <f>INDEX(Places[Type],MATCH(Expenditures[[#This Row],[Jurisdiction]],Places[Jurisdiction],0))</f>
        <v>City</v>
      </c>
      <c r="C256" s="19" t="str">
        <f>INDEX(Places[County],MATCH(Expenditures[[#This Row],[Jurisdiction]],Places[Jurisdiction],0))</f>
        <v>Riverside</v>
      </c>
      <c r="D256" s="19" t="str">
        <f>INDEX(Places[Majority RB],MATCH(Expenditures[[#This Row],[Jurisdiction]],Places[Jurisdiction],0))</f>
        <v>Santa Ana</v>
      </c>
      <c r="E256" s="19">
        <f>INDEX(Places[Majority RB '#],MATCH(Expenditures[[#This Row],[Jurisdiction]],Places[Jurisdiction],0))</f>
        <v>8</v>
      </c>
      <c r="F256" s="19" t="str">
        <f>VLOOKUP(Expenditures[[#This Row],[Jurisdiction]],Places[#All],8,FALSE)</f>
        <v>Phase I MS4</v>
      </c>
      <c r="G256" s="19"/>
      <c r="H256" s="21" t="s">
        <v>1869</v>
      </c>
      <c r="I256" s="21">
        <f>VALUE(LEFT(Expenditures[[#This Row],[Fiscal Year]],4))</f>
        <v>2016</v>
      </c>
      <c r="J256" s="20">
        <v>142393.81</v>
      </c>
      <c r="K256" s="20">
        <f>IF(Expenditures[[#This Row],[Reference Year]]&gt;2018,Expenditures[[#This Row],[Value]],Expenditures[[#This Row],[Value]]*(1+VLOOKUP(Expenditures[[#This Row],[Reference Year]],Inflation[#All],3,FALSE)))</f>
        <v>149294.57001712502</v>
      </c>
      <c r="L256" s="105">
        <f>VALUE(Expenditures[[#This Row],[2018 $ Value]]/VLOOKUP(Expenditures[[#This Row],[Jurisdiction]],Places[],6,FALSE))</f>
        <v>2.1896157402450029</v>
      </c>
      <c r="M256" s="105">
        <f>VALUE(Expenditures[[#This Row],[2018 $ Value]]/VLOOKUP(Expenditures[[#This Row],[Jurisdiction]],Places[],7,FALSE))</f>
        <v>3928.804474134869</v>
      </c>
      <c r="N256" s="20" t="s">
        <v>1460</v>
      </c>
      <c r="O256" s="20" t="s">
        <v>1853</v>
      </c>
    </row>
    <row r="257" spans="1:15" x14ac:dyDescent="0.25">
      <c r="A257" s="19" t="s">
        <v>282</v>
      </c>
      <c r="B257" s="19" t="str">
        <f>INDEX(Places[Type],MATCH(Expenditures[[#This Row],[Jurisdiction]],Places[Jurisdiction],0))</f>
        <v>City</v>
      </c>
      <c r="C257" s="19" t="str">
        <f>INDEX(Places[County],MATCH(Expenditures[[#This Row],[Jurisdiction]],Places[Jurisdiction],0))</f>
        <v>Orange</v>
      </c>
      <c r="D257" s="19" t="str">
        <f>INDEX(Places[Majority RB],MATCH(Expenditures[[#This Row],[Jurisdiction]],Places[Jurisdiction],0))</f>
        <v>Santa Ana</v>
      </c>
      <c r="E257" s="19">
        <f>INDEX(Places[Majority RB '#],MATCH(Expenditures[[#This Row],[Jurisdiction]],Places[Jurisdiction],0))</f>
        <v>8</v>
      </c>
      <c r="F257" s="19" t="str">
        <f>VLOOKUP(Expenditures[[#This Row],[Jurisdiction]],Places[#All],8,FALSE)</f>
        <v>Phase I MS4</v>
      </c>
      <c r="G257" s="19"/>
      <c r="H257" s="21" t="s">
        <v>1893</v>
      </c>
      <c r="I257" s="21">
        <f>VALUE(LEFT(Expenditures[[#This Row],[Fiscal Year]],4))</f>
        <v>2000</v>
      </c>
      <c r="J257" s="20">
        <v>485400</v>
      </c>
      <c r="K257" s="20">
        <f>IF(Expenditures[[#This Row],[Reference Year]]&gt;2018,Expenditures[[#This Row],[Value]],Expenditures[[#This Row],[Value]]*(1+VLOOKUP(Expenditures[[#This Row],[Reference Year]],Inflation[#All],3,FALSE)))</f>
        <v>709301.32055749139</v>
      </c>
      <c r="L257" s="105">
        <f>VALUE(Expenditures[[#This Row],[2018 $ Value]]/VLOOKUP(Expenditures[[#This Row],[Jurisdiction]],Places[],6,FALSE))</f>
        <v>8.2840045380037068</v>
      </c>
      <c r="M257" s="105">
        <f>VALUE(Expenditures[[#This Row],[2018 $ Value]]/VLOOKUP(Expenditures[[#This Row],[Jurisdiction]],Places[],7,FALSE))</f>
        <v>42728.995214306706</v>
      </c>
      <c r="N257" s="20" t="s">
        <v>1460</v>
      </c>
      <c r="O257" s="20" t="s">
        <v>1460</v>
      </c>
    </row>
    <row r="258" spans="1:15" x14ac:dyDescent="0.25">
      <c r="A258" s="19" t="s">
        <v>282</v>
      </c>
      <c r="B258" s="19" t="str">
        <f>INDEX(Places[Type],MATCH(Expenditures[[#This Row],[Jurisdiction]],Places[Jurisdiction],0))</f>
        <v>City</v>
      </c>
      <c r="C258" s="19" t="str">
        <f>INDEX(Places[County],MATCH(Expenditures[[#This Row],[Jurisdiction]],Places[Jurisdiction],0))</f>
        <v>Orange</v>
      </c>
      <c r="D258" s="19" t="str">
        <f>INDEX(Places[Majority RB],MATCH(Expenditures[[#This Row],[Jurisdiction]],Places[Jurisdiction],0))</f>
        <v>Santa Ana</v>
      </c>
      <c r="E258" s="19">
        <f>INDEX(Places[Majority RB '#],MATCH(Expenditures[[#This Row],[Jurisdiction]],Places[Jurisdiction],0))</f>
        <v>8</v>
      </c>
      <c r="F258" s="19" t="str">
        <f>VLOOKUP(Expenditures[[#This Row],[Jurisdiction]],Places[#All],8,FALSE)</f>
        <v>Phase I MS4</v>
      </c>
      <c r="G258" s="19"/>
      <c r="H258" s="21" t="s">
        <v>1875</v>
      </c>
      <c r="I258" s="21">
        <f>VALUE(LEFT(Expenditures[[#This Row],[Fiscal Year]],4))</f>
        <v>2001</v>
      </c>
      <c r="J258" s="20">
        <v>445000</v>
      </c>
      <c r="K258" s="20">
        <f>IF(Expenditures[[#This Row],[Reference Year]]&gt;2018,Expenditures[[#This Row],[Value]],Expenditures[[#This Row],[Value]]*(1+VLOOKUP(Expenditures[[#This Row],[Reference Year]],Inflation[#All],3,FALSE)))</f>
        <v>632274.39299830596</v>
      </c>
      <c r="L258" s="105">
        <f>VALUE(Expenditures[[#This Row],[2018 $ Value]]/VLOOKUP(Expenditures[[#This Row],[Jurisdiction]],Places[],6,FALSE))</f>
        <v>7.3843989698831622</v>
      </c>
      <c r="M258" s="105">
        <f>VALUE(Expenditures[[#This Row],[2018 $ Value]]/VLOOKUP(Expenditures[[#This Row],[Jurisdiction]],Places[],7,FALSE))</f>
        <v>38088.818855319631</v>
      </c>
      <c r="N258" s="20" t="s">
        <v>1460</v>
      </c>
      <c r="O258" s="20" t="s">
        <v>1460</v>
      </c>
    </row>
    <row r="259" spans="1:15" x14ac:dyDescent="0.25">
      <c r="A259" s="19" t="s">
        <v>282</v>
      </c>
      <c r="B259" s="19" t="str">
        <f>INDEX(Places[Type],MATCH(Expenditures[[#This Row],[Jurisdiction]],Places[Jurisdiction],0))</f>
        <v>City</v>
      </c>
      <c r="C259" s="19" t="str">
        <f>INDEX(Places[County],MATCH(Expenditures[[#This Row],[Jurisdiction]],Places[Jurisdiction],0))</f>
        <v>Orange</v>
      </c>
      <c r="D259" s="19" t="str">
        <f>INDEX(Places[Majority RB],MATCH(Expenditures[[#This Row],[Jurisdiction]],Places[Jurisdiction],0))</f>
        <v>Santa Ana</v>
      </c>
      <c r="E259" s="19">
        <f>INDEX(Places[Majority RB '#],MATCH(Expenditures[[#This Row],[Jurisdiction]],Places[Jurisdiction],0))</f>
        <v>8</v>
      </c>
      <c r="F259" s="19" t="str">
        <f>VLOOKUP(Expenditures[[#This Row],[Jurisdiction]],Places[#All],8,FALSE)</f>
        <v>Phase I MS4</v>
      </c>
      <c r="G259" s="19"/>
      <c r="H259" s="21" t="s">
        <v>1880</v>
      </c>
      <c r="I259" s="21">
        <f>VALUE(LEFT(Expenditures[[#This Row],[Fiscal Year]],4))</f>
        <v>2013</v>
      </c>
      <c r="J259" s="20">
        <v>1381029</v>
      </c>
      <c r="K259" s="20">
        <f>IF(Expenditures[[#This Row],[Reference Year]]&gt;2018,Expenditures[[#This Row],[Value]],Expenditures[[#This Row],[Value]]*(1+VLOOKUP(Expenditures[[#This Row],[Reference Year]],Inflation[#All],3,FALSE)))</f>
        <v>1491457.9755321888</v>
      </c>
      <c r="L259" s="105">
        <f>VALUE(Expenditures[[#This Row],[2018 $ Value]]/VLOOKUP(Expenditures[[#This Row],[Jurisdiction]],Places[],6,FALSE))</f>
        <v>17.418894170166762</v>
      </c>
      <c r="M259" s="105">
        <f>VALUE(Expenditures[[#This Row],[2018 $ Value]]/VLOOKUP(Expenditures[[#This Row],[Jurisdiction]],Places[],7,FALSE))</f>
        <v>89846.865995914981</v>
      </c>
      <c r="N259" s="20" t="s">
        <v>1460</v>
      </c>
      <c r="O259" s="20" t="s">
        <v>1460</v>
      </c>
    </row>
    <row r="260" spans="1:15" x14ac:dyDescent="0.25">
      <c r="A260" s="19" t="s">
        <v>282</v>
      </c>
      <c r="B260" s="19" t="str">
        <f>INDEX(Places[Type],MATCH(Expenditures[[#This Row],[Jurisdiction]],Places[Jurisdiction],0))</f>
        <v>City</v>
      </c>
      <c r="C260" s="19" t="str">
        <f>INDEX(Places[County],MATCH(Expenditures[[#This Row],[Jurisdiction]],Places[Jurisdiction],0))</f>
        <v>Orange</v>
      </c>
      <c r="D260" s="19" t="str">
        <f>INDEX(Places[Majority RB],MATCH(Expenditures[[#This Row],[Jurisdiction]],Places[Jurisdiction],0))</f>
        <v>Santa Ana</v>
      </c>
      <c r="E260" s="19">
        <f>INDEX(Places[Majority RB '#],MATCH(Expenditures[[#This Row],[Jurisdiction]],Places[Jurisdiction],0))</f>
        <v>8</v>
      </c>
      <c r="F260" s="19" t="str">
        <f>VLOOKUP(Expenditures[[#This Row],[Jurisdiction]],Places[#All],8,FALSE)</f>
        <v>Phase I MS4</v>
      </c>
      <c r="G260" s="19"/>
      <c r="H260" s="21" t="s">
        <v>1881</v>
      </c>
      <c r="I260" s="21">
        <f>VALUE(LEFT(Expenditures[[#This Row],[Fiscal Year]],4))</f>
        <v>2014</v>
      </c>
      <c r="J260" s="20">
        <v>1359888</v>
      </c>
      <c r="K260" s="20">
        <f>IF(Expenditures[[#This Row],[Reference Year]]&gt;2018,Expenditures[[#This Row],[Value]],Expenditures[[#This Row],[Value]]*(1+VLOOKUP(Expenditures[[#This Row],[Reference Year]],Inflation[#All],3,FALSE)))</f>
        <v>1445669.5282129277</v>
      </c>
      <c r="L260" s="105">
        <f>VALUE(Expenditures[[#This Row],[2018 $ Value]]/VLOOKUP(Expenditures[[#This Row],[Jurisdiction]],Places[],6,FALSE))</f>
        <v>16.88412609010345</v>
      </c>
      <c r="M260" s="105">
        <f>VALUE(Expenditures[[#This Row],[2018 $ Value]]/VLOOKUP(Expenditures[[#This Row],[Jurisdiction]],Places[],7,FALSE))</f>
        <v>87088.525795959489</v>
      </c>
      <c r="N260" s="20" t="s">
        <v>1460</v>
      </c>
      <c r="O260" s="20" t="s">
        <v>1460</v>
      </c>
    </row>
    <row r="261" spans="1:15" x14ac:dyDescent="0.25">
      <c r="A261" s="19" t="s">
        <v>282</v>
      </c>
      <c r="B261" s="19" t="str">
        <f>INDEX(Places[Type],MATCH(Expenditures[[#This Row],[Jurisdiction]],Places[Jurisdiction],0))</f>
        <v>City</v>
      </c>
      <c r="C261" s="19" t="str">
        <f>INDEX(Places[County],MATCH(Expenditures[[#This Row],[Jurisdiction]],Places[Jurisdiction],0))</f>
        <v>Orange</v>
      </c>
      <c r="D261" s="19" t="str">
        <f>INDEX(Places[Majority RB],MATCH(Expenditures[[#This Row],[Jurisdiction]],Places[Jurisdiction],0))</f>
        <v>Santa Ana</v>
      </c>
      <c r="E261" s="19">
        <f>INDEX(Places[Majority RB '#],MATCH(Expenditures[[#This Row],[Jurisdiction]],Places[Jurisdiction],0))</f>
        <v>8</v>
      </c>
      <c r="F261" s="19" t="str">
        <f>VLOOKUP(Expenditures[[#This Row],[Jurisdiction]],Places[#All],8,FALSE)</f>
        <v>Phase I MS4</v>
      </c>
      <c r="G261" s="19"/>
      <c r="H261" s="19" t="s">
        <v>1873</v>
      </c>
      <c r="I261" s="21">
        <f>VALUE(LEFT(Expenditures[[#This Row],[Fiscal Year]],4))</f>
        <v>2015</v>
      </c>
      <c r="J261" s="20">
        <v>1479554</v>
      </c>
      <c r="K261" s="20">
        <f>IF(Expenditures[[#This Row],[Reference Year]]&gt;2018,Expenditures[[#This Row],[Value]],Expenditures[[#This Row],[Value]]*(1+VLOOKUP(Expenditures[[#This Row],[Reference Year]],Inflation[#All],3,FALSE)))</f>
        <v>1570893.0488354429</v>
      </c>
      <c r="L261" s="105">
        <f>VALUE(Expenditures[[#This Row],[2018 $ Value]]/VLOOKUP(Expenditures[[#This Row],[Jurisdiction]],Places[],6,FALSE))</f>
        <v>18.346624725079042</v>
      </c>
      <c r="M261" s="105">
        <f>VALUE(Expenditures[[#This Row],[2018 $ Value]]/VLOOKUP(Expenditures[[#This Row],[Jurisdiction]],Places[],7,FALSE))</f>
        <v>94632.111375629087</v>
      </c>
      <c r="N261" s="20" t="s">
        <v>1460</v>
      </c>
      <c r="O261" s="20" t="s">
        <v>1460</v>
      </c>
    </row>
    <row r="262" spans="1:15" x14ac:dyDescent="0.25">
      <c r="A262" s="19" t="s">
        <v>282</v>
      </c>
      <c r="B262" s="19" t="str">
        <f>INDEX(Places[Type],MATCH(Expenditures[[#This Row],[Jurisdiction]],Places[Jurisdiction],0))</f>
        <v>City</v>
      </c>
      <c r="C262" s="19" t="str">
        <f>INDEX(Places[County],MATCH(Expenditures[[#This Row],[Jurisdiction]],Places[Jurisdiction],0))</f>
        <v>Orange</v>
      </c>
      <c r="D262" s="19" t="str">
        <f>INDEX(Places[Majority RB],MATCH(Expenditures[[#This Row],[Jurisdiction]],Places[Jurisdiction],0))</f>
        <v>Santa Ana</v>
      </c>
      <c r="E262" s="19">
        <f>INDEX(Places[Majority RB '#],MATCH(Expenditures[[#This Row],[Jurisdiction]],Places[Jurisdiction],0))</f>
        <v>8</v>
      </c>
      <c r="F262" s="19" t="str">
        <f>VLOOKUP(Expenditures[[#This Row],[Jurisdiction]],Places[#All],8,FALSE)</f>
        <v>Phase I MS4</v>
      </c>
      <c r="G262" s="19"/>
      <c r="H262" s="21" t="s">
        <v>1869</v>
      </c>
      <c r="I262" s="21">
        <f>VALUE(LEFT(Expenditures[[#This Row],[Fiscal Year]],4))</f>
        <v>2016</v>
      </c>
      <c r="J262" s="20">
        <v>1440400</v>
      </c>
      <c r="K262" s="20">
        <f>IF(Expenditures[[#This Row],[Reference Year]]&gt;2018,Expenditures[[#This Row],[Value]],Expenditures[[#This Row],[Value]]*(1+VLOOKUP(Expenditures[[#This Row],[Reference Year]],Inflation[#All],3,FALSE)))</f>
        <v>1510205.385</v>
      </c>
      <c r="L262" s="105">
        <f>VALUE(Expenditures[[#This Row],[2018 $ Value]]/VLOOKUP(Expenditures[[#This Row],[Jurisdiction]],Places[],6,FALSE))</f>
        <v>17.637847132195787</v>
      </c>
      <c r="M262" s="105">
        <f>VALUE(Expenditures[[#This Row],[2018 $ Value]]/VLOOKUP(Expenditures[[#This Row],[Jurisdiction]],Places[],7,FALSE))</f>
        <v>90976.228012048188</v>
      </c>
      <c r="N262" s="20" t="s">
        <v>1460</v>
      </c>
      <c r="O262" s="20" t="s">
        <v>1853</v>
      </c>
    </row>
    <row r="263" spans="1:15" x14ac:dyDescent="0.25">
      <c r="A263" s="19" t="s">
        <v>282</v>
      </c>
      <c r="B263" s="19" t="str">
        <f>INDEX(Places[Type],MATCH(Expenditures[[#This Row],[Jurisdiction]],Places[Jurisdiction],0))</f>
        <v>City</v>
      </c>
      <c r="C263" s="19" t="str">
        <f>INDEX(Places[County],MATCH(Expenditures[[#This Row],[Jurisdiction]],Places[Jurisdiction],0))</f>
        <v>Orange</v>
      </c>
      <c r="D263" s="19" t="str">
        <f>INDEX(Places[Majority RB],MATCH(Expenditures[[#This Row],[Jurisdiction]],Places[Jurisdiction],0))</f>
        <v>Santa Ana</v>
      </c>
      <c r="E263" s="19">
        <f>INDEX(Places[Majority RB '#],MATCH(Expenditures[[#This Row],[Jurisdiction]],Places[Jurisdiction],0))</f>
        <v>8</v>
      </c>
      <c r="F263" s="19" t="str">
        <f>VLOOKUP(Expenditures[[#This Row],[Jurisdiction]],Places[#All],8,FALSE)</f>
        <v>Phase I MS4</v>
      </c>
      <c r="G263" s="19"/>
      <c r="H263" s="21" t="s">
        <v>1874</v>
      </c>
      <c r="I263" s="21">
        <f>VALUE(LEFT(Expenditures[[#This Row],[Fiscal Year]],4))</f>
        <v>2017</v>
      </c>
      <c r="J263" s="20">
        <v>2109960</v>
      </c>
      <c r="K263" s="20">
        <f>IF(Expenditures[[#This Row],[Reference Year]]&gt;2018,Expenditures[[#This Row],[Value]],Expenditures[[#This Row],[Value]]*(1+VLOOKUP(Expenditures[[#This Row],[Reference Year]],Inflation[#All],3,FALSE)))</f>
        <v>2166182.557160343</v>
      </c>
      <c r="L263" s="105">
        <f>VALUE(Expenditures[[#This Row],[2018 $ Value]]/VLOOKUP(Expenditures[[#This Row],[Jurisdiction]],Places[],6,FALSE))</f>
        <v>25.299073346651518</v>
      </c>
      <c r="M263" s="105">
        <f>VALUE(Expenditures[[#This Row],[2018 $ Value]]/VLOOKUP(Expenditures[[#This Row],[Jurisdiction]],Places[],7,FALSE))</f>
        <v>130492.92513014114</v>
      </c>
      <c r="N263" s="20" t="s">
        <v>1853</v>
      </c>
      <c r="O263" s="20"/>
    </row>
    <row r="264" spans="1:15" x14ac:dyDescent="0.25">
      <c r="A264" s="19" t="s">
        <v>163</v>
      </c>
      <c r="B264" s="19" t="str">
        <f>INDEX(Places[Type],MATCH(Expenditures[[#This Row],[Jurisdiction]],Places[Jurisdiction],0))</f>
        <v>City</v>
      </c>
      <c r="C264" s="19" t="str">
        <f>INDEX(Places[County],MATCH(Expenditures[[#This Row],[Jurisdiction]],Places[Jurisdiction],0))</f>
        <v>Los Angeles</v>
      </c>
      <c r="D264" s="19" t="str">
        <f>INDEX(Places[Majority RB],MATCH(Expenditures[[#This Row],[Jurisdiction]],Places[Jurisdiction],0))</f>
        <v>Los Angeles</v>
      </c>
      <c r="E264" s="19">
        <f>INDEX(Places[Majority RB '#],MATCH(Expenditures[[#This Row],[Jurisdiction]],Places[Jurisdiction],0))</f>
        <v>4</v>
      </c>
      <c r="F264" s="19" t="str">
        <f>VLOOKUP(Expenditures[[#This Row],[Jurisdiction]],Places[#All],8,FALSE)</f>
        <v>Phase I MS4</v>
      </c>
      <c r="G264" s="19"/>
      <c r="H264" s="100" t="s">
        <v>1870</v>
      </c>
      <c r="I264" s="21">
        <f>VALUE(LEFT(Expenditures[[#This Row],[Fiscal Year]],4))</f>
        <v>2011</v>
      </c>
      <c r="J264" s="20">
        <v>6724501</v>
      </c>
      <c r="K264" s="20">
        <f>IF(Expenditures[[#This Row],[Reference Year]]&gt;2018,Expenditures[[#This Row],[Value]],Expenditures[[#This Row],[Value]]*(1+VLOOKUP(Expenditures[[#This Row],[Reference Year]],Inflation[#All],3,FALSE)))</f>
        <v>7523756.8302845713</v>
      </c>
      <c r="L264" s="105">
        <f>VALUE(Expenditures[[#This Row],[2018 $ Value]]/VLOOKUP(Expenditures[[#This Row],[Jurisdiction]],Places[],6,FALSE))</f>
        <v>93.88266571355841</v>
      </c>
      <c r="M264" s="105">
        <f>VALUE(Expenditures[[#This Row],[2018 $ Value]]/VLOOKUP(Expenditures[[#This Row],[Jurisdiction]],Places[],7,FALSE))</f>
        <v>800399.66279623099</v>
      </c>
      <c r="N264" s="20" t="s">
        <v>1460</v>
      </c>
      <c r="O264" s="20" t="s">
        <v>1460</v>
      </c>
    </row>
    <row r="265" spans="1:15" x14ac:dyDescent="0.25">
      <c r="A265" s="19" t="s">
        <v>163</v>
      </c>
      <c r="B265" s="19" t="str">
        <f>INDEX(Places[Type],MATCH(Expenditures[[#This Row],[Jurisdiction]],Places[Jurisdiction],0))</f>
        <v>City</v>
      </c>
      <c r="C265" s="19" t="str">
        <f>INDEX(Places[County],MATCH(Expenditures[[#This Row],[Jurisdiction]],Places[Jurisdiction],0))</f>
        <v>Los Angeles</v>
      </c>
      <c r="D265" s="19" t="str">
        <f>INDEX(Places[Majority RB],MATCH(Expenditures[[#This Row],[Jurisdiction]],Places[Jurisdiction],0))</f>
        <v>Los Angeles</v>
      </c>
      <c r="E265" s="19">
        <f>INDEX(Places[Majority RB '#],MATCH(Expenditures[[#This Row],[Jurisdiction]],Places[Jurisdiction],0))</f>
        <v>4</v>
      </c>
      <c r="F265" s="19" t="str">
        <f>VLOOKUP(Expenditures[[#This Row],[Jurisdiction]],Places[#All],8,FALSE)</f>
        <v>Phase I MS4</v>
      </c>
      <c r="G265" s="19"/>
      <c r="H265" s="100" t="s">
        <v>1873</v>
      </c>
      <c r="I265" s="21">
        <f>VALUE(LEFT(Expenditures[[#This Row],[Fiscal Year]],4))</f>
        <v>2015</v>
      </c>
      <c r="J265" s="20">
        <v>6852818</v>
      </c>
      <c r="K265" s="20">
        <f>IF(Expenditures[[#This Row],[Reference Year]]&gt;2018,Expenditures[[#This Row],[Value]],Expenditures[[#This Row],[Value]]*(1+VLOOKUP(Expenditures[[#This Row],[Reference Year]],Inflation[#All],3,FALSE)))</f>
        <v>7275871.080835443</v>
      </c>
      <c r="L265" s="105">
        <f>VALUE(Expenditures[[#This Row],[2018 $ Value]]/VLOOKUP(Expenditures[[#This Row],[Jurisdiction]],Places[],6,FALSE))</f>
        <v>90.789506873414567</v>
      </c>
      <c r="M265" s="105">
        <f>VALUE(Expenditures[[#This Row],[2018 $ Value]]/VLOOKUP(Expenditures[[#This Row],[Jurisdiction]],Places[],7,FALSE))</f>
        <v>774028.83838674927</v>
      </c>
      <c r="N265" s="20" t="s">
        <v>1853</v>
      </c>
      <c r="O265" s="20" t="s">
        <v>1853</v>
      </c>
    </row>
    <row r="266" spans="1:15" x14ac:dyDescent="0.25">
      <c r="A266" s="19" t="s">
        <v>224</v>
      </c>
      <c r="B266" s="19" t="str">
        <f>INDEX(Places[Type],MATCH(Expenditures[[#This Row],[Jurisdiction]],Places[Jurisdiction],0))</f>
        <v>City</v>
      </c>
      <c r="C266" s="19" t="str">
        <f>INDEX(Places[County],MATCH(Expenditures[[#This Row],[Jurisdiction]],Places[Jurisdiction],0))</f>
        <v>Los Angeles</v>
      </c>
      <c r="D266" s="19" t="str">
        <f>INDEX(Places[Majority RB],MATCH(Expenditures[[#This Row],[Jurisdiction]],Places[Jurisdiction],0))</f>
        <v>Los Angeles</v>
      </c>
      <c r="E266" s="19">
        <f>INDEX(Places[Majority RB '#],MATCH(Expenditures[[#This Row],[Jurisdiction]],Places[Jurisdiction],0))</f>
        <v>4</v>
      </c>
      <c r="F266" s="19" t="str">
        <f>VLOOKUP(Expenditures[[#This Row],[Jurisdiction]],Places[#All],8,FALSE)</f>
        <v>Phase I MS4</v>
      </c>
      <c r="G266" s="19"/>
      <c r="H266" s="21" t="s">
        <v>1870</v>
      </c>
      <c r="I266" s="21">
        <f>VALUE(LEFT(Expenditures[[#This Row],[Fiscal Year]],4))</f>
        <v>2011</v>
      </c>
      <c r="J266" s="20">
        <v>564000</v>
      </c>
      <c r="K266" s="20">
        <f>IF(Expenditures[[#This Row],[Reference Year]]&gt;2018,Expenditures[[#This Row],[Value]],Expenditures[[#This Row],[Value]]*(1+VLOOKUP(Expenditures[[#This Row],[Reference Year]],Inflation[#All],3,FALSE)))</f>
        <v>631035.50022232102</v>
      </c>
      <c r="L266" s="105">
        <f>VALUE(Expenditures[[#This Row],[2018 $ Value]]/VLOOKUP(Expenditures[[#This Row],[Jurisdiction]],Places[],6,FALSE))</f>
        <v>19.265906460961133</v>
      </c>
      <c r="M266" s="105">
        <f>VALUE(Expenditures[[#This Row],[2018 $ Value]]/VLOOKUP(Expenditures[[#This Row],[Jurisdiction]],Places[],7,FALSE))</f>
        <v>315517.75011116051</v>
      </c>
      <c r="N266" s="20" t="s">
        <v>1460</v>
      </c>
      <c r="O266" s="20" t="s">
        <v>1460</v>
      </c>
    </row>
    <row r="267" spans="1:15" x14ac:dyDescent="0.25">
      <c r="A267" s="19" t="s">
        <v>224</v>
      </c>
      <c r="B267" s="19" t="str">
        <f>INDEX(Places[Type],MATCH(Expenditures[[#This Row],[Jurisdiction]],Places[Jurisdiction],0))</f>
        <v>City</v>
      </c>
      <c r="C267" s="19" t="str">
        <f>INDEX(Places[County],MATCH(Expenditures[[#This Row],[Jurisdiction]],Places[Jurisdiction],0))</f>
        <v>Los Angeles</v>
      </c>
      <c r="D267" s="19" t="str">
        <f>INDEX(Places[Majority RB],MATCH(Expenditures[[#This Row],[Jurisdiction]],Places[Jurisdiction],0))</f>
        <v>Los Angeles</v>
      </c>
      <c r="E267" s="19">
        <f>INDEX(Places[Majority RB '#],MATCH(Expenditures[[#This Row],[Jurisdiction]],Places[Jurisdiction],0))</f>
        <v>4</v>
      </c>
      <c r="F267" s="19" t="str">
        <f>VLOOKUP(Expenditures[[#This Row],[Jurisdiction]],Places[#All],8,FALSE)</f>
        <v>Phase I MS4</v>
      </c>
      <c r="G267" s="19"/>
      <c r="H267" s="21" t="s">
        <v>1873</v>
      </c>
      <c r="I267" s="21">
        <f>VALUE(LEFT(Expenditures[[#This Row],[Fiscal Year]],4))</f>
        <v>2015</v>
      </c>
      <c r="J267" s="20">
        <v>85316</v>
      </c>
      <c r="K267" s="20">
        <f>IF(Expenditures[[#This Row],[Reference Year]]&gt;2018,Expenditures[[#This Row],[Value]],Expenditures[[#This Row],[Value]]*(1+VLOOKUP(Expenditures[[#This Row],[Reference Year]],Inflation[#All],3,FALSE)))</f>
        <v>90582.91306329114</v>
      </c>
      <c r="L267" s="105">
        <f>VALUE(Expenditures[[#This Row],[2018 $ Value]]/VLOOKUP(Expenditures[[#This Row],[Jurisdiction]],Places[],6,FALSE))</f>
        <v>2.7655526977862595</v>
      </c>
      <c r="M267" s="105">
        <f>VALUE(Expenditures[[#This Row],[2018 $ Value]]/VLOOKUP(Expenditures[[#This Row],[Jurisdiction]],Places[],7,FALSE))</f>
        <v>45291.45653164557</v>
      </c>
      <c r="N267" s="20" t="s">
        <v>1853</v>
      </c>
      <c r="O267" s="20" t="s">
        <v>1853</v>
      </c>
    </row>
    <row r="268" spans="1:15" x14ac:dyDescent="0.25">
      <c r="A268" s="19" t="s">
        <v>314</v>
      </c>
      <c r="B268" s="19" t="str">
        <f>INDEX(Places[Type],MATCH(Expenditures[[#This Row],[Jurisdiction]],Places[Jurisdiction],0))</f>
        <v>City</v>
      </c>
      <c r="C268" s="19" t="str">
        <f>INDEX(Places[County],MATCH(Expenditures[[#This Row],[Jurisdiction]],Places[Jurisdiction],0))</f>
        <v>San Diego</v>
      </c>
      <c r="D268" s="19" t="str">
        <f>INDEX(Places[Majority RB],MATCH(Expenditures[[#This Row],[Jurisdiction]],Places[Jurisdiction],0))</f>
        <v>San Diego</v>
      </c>
      <c r="E268" s="19">
        <f>INDEX(Places[Majority RB '#],MATCH(Expenditures[[#This Row],[Jurisdiction]],Places[Jurisdiction],0))</f>
        <v>9</v>
      </c>
      <c r="F268" s="19" t="str">
        <f>VLOOKUP(Expenditures[[#This Row],[Jurisdiction]],Places[#All],8,FALSE)</f>
        <v>Phase I MS4</v>
      </c>
      <c r="G268" s="19"/>
      <c r="H268" s="21" t="s">
        <v>1873</v>
      </c>
      <c r="I268" s="21">
        <f>VALUE(LEFT(Expenditures[[#This Row],[Fiscal Year]],4))</f>
        <v>2015</v>
      </c>
      <c r="J268" s="20">
        <v>445401</v>
      </c>
      <c r="K268" s="20">
        <f>IF(Expenditures[[#This Row],[Reference Year]]&gt;2018,Expenditures[[#This Row],[Value]],Expenditures[[#This Row],[Value]]*(1+VLOOKUP(Expenditures[[#This Row],[Reference Year]],Inflation[#All],3,FALSE)))</f>
        <v>472897.46426582278</v>
      </c>
      <c r="L268" s="105">
        <f>VALUE(Expenditures[[#This Row],[2018 $ Value]]/VLOOKUP(Expenditures[[#This Row],[Jurisdiction]],Places[],6,FALSE))</f>
        <v>17.534853508317802</v>
      </c>
      <c r="M268" s="105">
        <f>VALUE(Expenditures[[#This Row],[2018 $ Value]]/VLOOKUP(Expenditures[[#This Row],[Jurisdiction]],Places[],7,FALSE))</f>
        <v>121255.7600681597</v>
      </c>
      <c r="N268" s="20" t="s">
        <v>1460</v>
      </c>
      <c r="O268" s="20" t="s">
        <v>1460</v>
      </c>
    </row>
    <row r="269" spans="1:15" x14ac:dyDescent="0.25">
      <c r="A269" s="19" t="s">
        <v>314</v>
      </c>
      <c r="B269" s="19" t="str">
        <f>INDEX(Places[Type],MATCH(Expenditures[[#This Row],[Jurisdiction]],Places[Jurisdiction],0))</f>
        <v>City</v>
      </c>
      <c r="C269" s="19" t="str">
        <f>INDEX(Places[County],MATCH(Expenditures[[#This Row],[Jurisdiction]],Places[Jurisdiction],0))</f>
        <v>San Diego</v>
      </c>
      <c r="D269" s="19" t="str">
        <f>INDEX(Places[Majority RB],MATCH(Expenditures[[#This Row],[Jurisdiction]],Places[Jurisdiction],0))</f>
        <v>San Diego</v>
      </c>
      <c r="E269" s="19">
        <f>INDEX(Places[Majority RB '#],MATCH(Expenditures[[#This Row],[Jurisdiction]],Places[Jurisdiction],0))</f>
        <v>9</v>
      </c>
      <c r="F269" s="19" t="str">
        <f>VLOOKUP(Expenditures[[#This Row],[Jurisdiction]],Places[#All],8,FALSE)</f>
        <v>Phase I MS4</v>
      </c>
      <c r="G269" s="19"/>
      <c r="H269" s="21" t="s">
        <v>1869</v>
      </c>
      <c r="I269" s="21">
        <f>VALUE(LEFT(Expenditures[[#This Row],[Fiscal Year]],4))</f>
        <v>2016</v>
      </c>
      <c r="J269" s="20">
        <v>356887.21</v>
      </c>
      <c r="K269" s="20">
        <f>IF(Expenditures[[#This Row],[Reference Year]]&gt;2018,Expenditures[[#This Row],[Value]],Expenditures[[#This Row],[Value]]*(1+VLOOKUP(Expenditures[[#This Row],[Reference Year]],Inflation[#All],3,FALSE)))</f>
        <v>374182.85641462507</v>
      </c>
      <c r="L269" s="105">
        <f>VALUE(Expenditures[[#This Row],[2018 $ Value]]/VLOOKUP(Expenditures[[#This Row],[Jurisdiction]],Places[],6,FALSE))</f>
        <v>13.874554355542477</v>
      </c>
      <c r="M269" s="105">
        <f>VALUE(Expenditures[[#This Row],[2018 $ Value]]/VLOOKUP(Expenditures[[#This Row],[Jurisdiction]],Places[],7,FALSE))</f>
        <v>95944.32215759618</v>
      </c>
      <c r="N269" s="20" t="s">
        <v>1460</v>
      </c>
      <c r="O269" s="20" t="s">
        <v>1460</v>
      </c>
    </row>
    <row r="270" spans="1:15" x14ac:dyDescent="0.25">
      <c r="A270" s="19" t="s">
        <v>314</v>
      </c>
      <c r="B270" s="19" t="str">
        <f>INDEX(Places[Type],MATCH(Expenditures[[#This Row],[Jurisdiction]],Places[Jurisdiction],0))</f>
        <v>City</v>
      </c>
      <c r="C270" s="19" t="str">
        <f>INDEX(Places[County],MATCH(Expenditures[[#This Row],[Jurisdiction]],Places[Jurisdiction],0))</f>
        <v>San Diego</v>
      </c>
      <c r="D270" s="19" t="str">
        <f>INDEX(Places[Majority RB],MATCH(Expenditures[[#This Row],[Jurisdiction]],Places[Jurisdiction],0))</f>
        <v>San Diego</v>
      </c>
      <c r="E270" s="19">
        <f>INDEX(Places[Majority RB '#],MATCH(Expenditures[[#This Row],[Jurisdiction]],Places[Jurisdiction],0))</f>
        <v>9</v>
      </c>
      <c r="F270" s="19" t="str">
        <f>VLOOKUP(Expenditures[[#This Row],[Jurisdiction]],Places[#All],8,FALSE)</f>
        <v>Phase I MS4</v>
      </c>
      <c r="G270" s="19"/>
      <c r="H270" s="21" t="s">
        <v>1874</v>
      </c>
      <c r="I270" s="21">
        <f>VALUE(LEFT(Expenditures[[#This Row],[Fiscal Year]],4))</f>
        <v>2017</v>
      </c>
      <c r="J270" s="20">
        <v>245975.15</v>
      </c>
      <c r="K270" s="20">
        <f>IF(Expenditures[[#This Row],[Reference Year]]&gt;2018,Expenditures[[#This Row],[Value]],Expenditures[[#This Row],[Value]]*(1+VLOOKUP(Expenditures[[#This Row],[Reference Year]],Inflation[#All],3,FALSE)))</f>
        <v>252529.46948041618</v>
      </c>
      <c r="L270" s="105">
        <f>VALUE(Expenditures[[#This Row],[2018 $ Value]]/VLOOKUP(Expenditures[[#This Row],[Jurisdiction]],Places[],6,FALSE))</f>
        <v>9.3636942222706132</v>
      </c>
      <c r="M270" s="105">
        <f>VALUE(Expenditures[[#This Row],[2018 $ Value]]/VLOOKUP(Expenditures[[#This Row],[Jurisdiction]],Places[],7,FALSE))</f>
        <v>64751.146020619533</v>
      </c>
      <c r="N270" s="20" t="s">
        <v>1853</v>
      </c>
      <c r="O270" s="20" t="s">
        <v>1853</v>
      </c>
    </row>
    <row r="271" spans="1:15" x14ac:dyDescent="0.25">
      <c r="A271" s="19" t="s">
        <v>246</v>
      </c>
      <c r="B271" s="19" t="str">
        <f>INDEX(Places[Type],MATCH(Expenditures[[#This Row],[Jurisdiction]],Places[Jurisdiction],0))</f>
        <v>City</v>
      </c>
      <c r="C271" s="19" t="str">
        <f>INDEX(Places[County],MATCH(Expenditures[[#This Row],[Jurisdiction]],Places[Jurisdiction],0))</f>
        <v>San Bernardino</v>
      </c>
      <c r="D271" s="19" t="str">
        <f>INDEX(Places[Majority RB],MATCH(Expenditures[[#This Row],[Jurisdiction]],Places[Jurisdiction],0))</f>
        <v>Santa Ana</v>
      </c>
      <c r="E271" s="19">
        <f>INDEX(Places[Majority RB '#],MATCH(Expenditures[[#This Row],[Jurisdiction]],Places[Jurisdiction],0))</f>
        <v>8</v>
      </c>
      <c r="F271" s="19" t="str">
        <f>VLOOKUP(Expenditures[[#This Row],[Jurisdiction]],Places[#All],8,FALSE)</f>
        <v>Phase I MS4</v>
      </c>
      <c r="G271" s="19"/>
      <c r="H271" s="21" t="s">
        <v>1870</v>
      </c>
      <c r="I271" s="21">
        <f>VALUE(LEFT(Expenditures[[#This Row],[Fiscal Year]],4))</f>
        <v>2011</v>
      </c>
      <c r="J271" s="20">
        <v>211000</v>
      </c>
      <c r="K271" s="20">
        <f>IF(Expenditures[[#This Row],[Reference Year]]&gt;2018,Expenditures[[#This Row],[Value]],Expenditures[[#This Row],[Value]]*(1+VLOOKUP(Expenditures[[#This Row],[Reference Year]],Inflation[#All],3,FALSE)))</f>
        <v>236078.88394842154</v>
      </c>
      <c r="L271" s="105">
        <f>VALUE(Expenditures[[#This Row],[2018 $ Value]]/VLOOKUP(Expenditures[[#This Row],[Jurisdiction]],Places[],6,FALSE))</f>
        <v>9.6825069292273618</v>
      </c>
      <c r="M271" s="105">
        <f>VALUE(Expenditures[[#This Row],[2018 $ Value]]/VLOOKUP(Expenditures[[#This Row],[Jurisdiction]],Places[],7,FALSE))</f>
        <v>31477.184526456207</v>
      </c>
      <c r="N271" s="20" t="s">
        <v>1460</v>
      </c>
      <c r="O271" s="20" t="s">
        <v>1460</v>
      </c>
    </row>
    <row r="272" spans="1:15" x14ac:dyDescent="0.25">
      <c r="A272" s="19" t="s">
        <v>246</v>
      </c>
      <c r="B272" s="19" t="str">
        <f>INDEX(Places[Type],MATCH(Expenditures[[#This Row],[Jurisdiction]],Places[Jurisdiction],0))</f>
        <v>City</v>
      </c>
      <c r="C272" s="19" t="str">
        <f>INDEX(Places[County],MATCH(Expenditures[[#This Row],[Jurisdiction]],Places[Jurisdiction],0))</f>
        <v>San Bernardino</v>
      </c>
      <c r="D272" s="19" t="str">
        <f>INDEX(Places[Majority RB],MATCH(Expenditures[[#This Row],[Jurisdiction]],Places[Jurisdiction],0))</f>
        <v>Santa Ana</v>
      </c>
      <c r="E272" s="19">
        <f>INDEX(Places[Majority RB '#],MATCH(Expenditures[[#This Row],[Jurisdiction]],Places[Jurisdiction],0))</f>
        <v>8</v>
      </c>
      <c r="F272" s="19" t="str">
        <f>VLOOKUP(Expenditures[[#This Row],[Jurisdiction]],Places[#All],8,FALSE)</f>
        <v>Phase I MS4</v>
      </c>
      <c r="G272" s="19"/>
      <c r="H272" s="21" t="s">
        <v>1871</v>
      </c>
      <c r="I272" s="21">
        <f>VALUE(LEFT(Expenditures[[#This Row],[Fiscal Year]],4))</f>
        <v>2012</v>
      </c>
      <c r="J272" s="20">
        <v>219000</v>
      </c>
      <c r="K272" s="20">
        <f>IF(Expenditures[[#This Row],[Reference Year]]&gt;2018,Expenditures[[#This Row],[Value]],Expenditures[[#This Row],[Value]]*(1+VLOOKUP(Expenditures[[#This Row],[Reference Year]],Inflation[#All],3,FALSE)))</f>
        <v>240013.8893728223</v>
      </c>
      <c r="L272" s="105">
        <f>VALUE(Expenditures[[#This Row],[2018 $ Value]]/VLOOKUP(Expenditures[[#This Row],[Jurisdiction]],Places[],6,FALSE))</f>
        <v>9.8438967013707774</v>
      </c>
      <c r="M272" s="105">
        <f>VALUE(Expenditures[[#This Row],[2018 $ Value]]/VLOOKUP(Expenditures[[#This Row],[Jurisdiction]],Places[],7,FALSE))</f>
        <v>32001.851916376309</v>
      </c>
      <c r="N272" s="20" t="s">
        <v>1460</v>
      </c>
      <c r="O272" s="20" t="s">
        <v>1460</v>
      </c>
    </row>
    <row r="273" spans="1:15" x14ac:dyDescent="0.25">
      <c r="A273" s="19" t="s">
        <v>246</v>
      </c>
      <c r="B273" s="19" t="str">
        <f>INDEX(Places[Type],MATCH(Expenditures[[#This Row],[Jurisdiction]],Places[Jurisdiction],0))</f>
        <v>City</v>
      </c>
      <c r="C273" s="19" t="str">
        <f>INDEX(Places[County],MATCH(Expenditures[[#This Row],[Jurisdiction]],Places[Jurisdiction],0))</f>
        <v>San Bernardino</v>
      </c>
      <c r="D273" s="19" t="str">
        <f>INDEX(Places[Majority RB],MATCH(Expenditures[[#This Row],[Jurisdiction]],Places[Jurisdiction],0))</f>
        <v>Santa Ana</v>
      </c>
      <c r="E273" s="19">
        <f>INDEX(Places[Majority RB '#],MATCH(Expenditures[[#This Row],[Jurisdiction]],Places[Jurisdiction],0))</f>
        <v>8</v>
      </c>
      <c r="F273" s="19" t="str">
        <f>VLOOKUP(Expenditures[[#This Row],[Jurisdiction]],Places[#All],8,FALSE)</f>
        <v>Phase I MS4</v>
      </c>
      <c r="G273" s="19"/>
      <c r="H273" s="21" t="s">
        <v>1881</v>
      </c>
      <c r="I273" s="21">
        <f>VALUE(LEFT(Expenditures[[#This Row],[Fiscal Year]],4))</f>
        <v>2014</v>
      </c>
      <c r="J273" s="20">
        <v>227200</v>
      </c>
      <c r="K273" s="20">
        <f>IF(Expenditures[[#This Row],[Reference Year]]&gt;2018,Expenditures[[#This Row],[Value]],Expenditures[[#This Row],[Value]]*(1+VLOOKUP(Expenditures[[#This Row],[Reference Year]],Inflation[#All],3,FALSE)))</f>
        <v>241531.74144486693</v>
      </c>
      <c r="L273" s="105">
        <f>VALUE(Expenditures[[#This Row],[2018 $ Value]]/VLOOKUP(Expenditures[[#This Row],[Jurisdiction]],Places[],6,FALSE))</f>
        <v>9.9061496778306513</v>
      </c>
      <c r="M273" s="105">
        <f>VALUE(Expenditures[[#This Row],[2018 $ Value]]/VLOOKUP(Expenditures[[#This Row],[Jurisdiction]],Places[],7,FALSE))</f>
        <v>32204.232192648924</v>
      </c>
      <c r="N273" s="20" t="s">
        <v>1460</v>
      </c>
      <c r="O273" s="20" t="s">
        <v>1853</v>
      </c>
    </row>
    <row r="274" spans="1:15" x14ac:dyDescent="0.25">
      <c r="A274" s="19" t="s">
        <v>225</v>
      </c>
      <c r="B274" s="19" t="str">
        <f>INDEX(Places[Type],MATCH(Expenditures[[#This Row],[Jurisdiction]],Places[Jurisdiction],0))</f>
        <v>City</v>
      </c>
      <c r="C274" s="19" t="str">
        <f>INDEX(Places[County],MATCH(Expenditures[[#This Row],[Jurisdiction]],Places[Jurisdiction],0))</f>
        <v>Los Angeles</v>
      </c>
      <c r="D274" s="19" t="str">
        <f>INDEX(Places[Majority RB],MATCH(Expenditures[[#This Row],[Jurisdiction]],Places[Jurisdiction],0))</f>
        <v>Los Angeles</v>
      </c>
      <c r="E274" s="19">
        <f>INDEX(Places[Majority RB '#],MATCH(Expenditures[[#This Row],[Jurisdiction]],Places[Jurisdiction],0))</f>
        <v>4</v>
      </c>
      <c r="F274" s="19" t="str">
        <f>VLOOKUP(Expenditures[[#This Row],[Jurisdiction]],Places[#All],8,FALSE)</f>
        <v>Phase I MS4</v>
      </c>
      <c r="G274" s="19"/>
      <c r="H274" s="21" t="s">
        <v>1870</v>
      </c>
      <c r="I274" s="21">
        <f>VALUE(LEFT(Expenditures[[#This Row],[Fiscal Year]],4))</f>
        <v>2011</v>
      </c>
      <c r="J274" s="20">
        <v>399787</v>
      </c>
      <c r="K274" s="20">
        <f>IF(Expenditures[[#This Row],[Reference Year]]&gt;2018,Expenditures[[#This Row],[Value]],Expenditures[[#This Row],[Value]]*(1+VLOOKUP(Expenditures[[#This Row],[Reference Year]],Inflation[#All],3,FALSE)))</f>
        <v>447304.59136060474</v>
      </c>
      <c r="L274" s="105">
        <f>VALUE(Expenditures[[#This Row],[2018 $ Value]]/VLOOKUP(Expenditures[[#This Row],[Jurisdiction]],Places[],6,FALSE))</f>
        <v>21.797407112743276</v>
      </c>
      <c r="M274" s="105">
        <f>VALUE(Expenditures[[#This Row],[2018 $ Value]]/VLOOKUP(Expenditures[[#This Row],[Jurisdiction]],Places[],7,FALSE))</f>
        <v>235423.4691371604</v>
      </c>
      <c r="N274" s="20" t="s">
        <v>1460</v>
      </c>
      <c r="O274" s="20" t="s">
        <v>1460</v>
      </c>
    </row>
    <row r="275" spans="1:15" x14ac:dyDescent="0.25">
      <c r="A275" s="19" t="s">
        <v>225</v>
      </c>
      <c r="B275" s="19" t="str">
        <f>INDEX(Places[Type],MATCH(Expenditures[[#This Row],[Jurisdiction]],Places[Jurisdiction],0))</f>
        <v>City</v>
      </c>
      <c r="C275" s="19" t="str">
        <f>INDEX(Places[County],MATCH(Expenditures[[#This Row],[Jurisdiction]],Places[Jurisdiction],0))</f>
        <v>Los Angeles</v>
      </c>
      <c r="D275" s="19" t="str">
        <f>INDEX(Places[Majority RB],MATCH(Expenditures[[#This Row],[Jurisdiction]],Places[Jurisdiction],0))</f>
        <v>Los Angeles</v>
      </c>
      <c r="E275" s="19">
        <f>INDEX(Places[Majority RB '#],MATCH(Expenditures[[#This Row],[Jurisdiction]],Places[Jurisdiction],0))</f>
        <v>4</v>
      </c>
      <c r="F275" s="19" t="str">
        <f>VLOOKUP(Expenditures[[#This Row],[Jurisdiction]],Places[#All],8,FALSE)</f>
        <v>Phase I MS4</v>
      </c>
      <c r="G275" s="19"/>
      <c r="H275" s="21" t="s">
        <v>1873</v>
      </c>
      <c r="I275" s="21">
        <f>VALUE(LEFT(Expenditures[[#This Row],[Fiscal Year]],4))</f>
        <v>2015</v>
      </c>
      <c r="J275" s="20">
        <v>201000</v>
      </c>
      <c r="K275" s="20">
        <f>IF(Expenditures[[#This Row],[Reference Year]]&gt;2018,Expenditures[[#This Row],[Value]],Expenditures[[#This Row],[Value]]*(1+VLOOKUP(Expenditures[[#This Row],[Reference Year]],Inflation[#All],3,FALSE)))</f>
        <v>213408.56962025314</v>
      </c>
      <c r="L275" s="105">
        <f>VALUE(Expenditures[[#This Row],[2018 $ Value]]/VLOOKUP(Expenditures[[#This Row],[Jurisdiction]],Places[],6,FALSE))</f>
        <v>10.399520960004539</v>
      </c>
      <c r="M275" s="105">
        <f>VALUE(Expenditures[[#This Row],[2018 $ Value]]/VLOOKUP(Expenditures[[#This Row],[Jurisdiction]],Places[],7,FALSE))</f>
        <v>112320.29980013323</v>
      </c>
      <c r="N275" s="20" t="s">
        <v>1853</v>
      </c>
      <c r="O275" s="20" t="s">
        <v>1853</v>
      </c>
    </row>
    <row r="276" spans="1:15" x14ac:dyDescent="0.25">
      <c r="A276" s="19" t="s">
        <v>158</v>
      </c>
      <c r="B276" s="19" t="str">
        <f>INDEX(Places[Type],MATCH(Expenditures[[#This Row],[Jurisdiction]],Places[Jurisdiction],0))</f>
        <v>City</v>
      </c>
      <c r="C276" s="19" t="str">
        <f>INDEX(Places[County],MATCH(Expenditures[[#This Row],[Jurisdiction]],Places[Jurisdiction],0))</f>
        <v>Los Angeles</v>
      </c>
      <c r="D276" s="19" t="str">
        <f>INDEX(Places[Majority RB],MATCH(Expenditures[[#This Row],[Jurisdiction]],Places[Jurisdiction],0))</f>
        <v>Los Angeles</v>
      </c>
      <c r="E276" s="19">
        <f>INDEX(Places[Majority RB '#],MATCH(Expenditures[[#This Row],[Jurisdiction]],Places[Jurisdiction],0))</f>
        <v>4</v>
      </c>
      <c r="F276" s="19" t="str">
        <f>VLOOKUP(Expenditures[[#This Row],[Jurisdiction]],Places[#All],8,FALSE)</f>
        <v>Phase I MS4</v>
      </c>
      <c r="G276" s="19"/>
      <c r="H276" s="100" t="s">
        <v>1873</v>
      </c>
      <c r="I276" s="21">
        <f>VALUE(LEFT(Expenditures[[#This Row],[Fiscal Year]],4))</f>
        <v>2015</v>
      </c>
      <c r="J276" s="20">
        <v>2128136</v>
      </c>
      <c r="K276" s="20">
        <f>IF(Expenditures[[#This Row],[Reference Year]]&gt;2018,Expenditures[[#This Row],[Value]],Expenditures[[#This Row],[Value]]*(1+VLOOKUP(Expenditures[[#This Row],[Reference Year]],Inflation[#All],3,FALSE)))</f>
        <v>2259514.7249620254</v>
      </c>
      <c r="L276" s="105">
        <f>VALUE(Expenditures[[#This Row],[2018 $ Value]]/VLOOKUP(Expenditures[[#This Row],[Jurisdiction]],Places[],6,FALSE))</f>
        <v>4.8346964505749934</v>
      </c>
      <c r="M276" s="105">
        <f>VALUE(Expenditures[[#This Row],[2018 $ Value]]/VLOOKUP(Expenditures[[#This Row],[Jurisdiction]],Places[],7,FALSE))</f>
        <v>44920.769879960746</v>
      </c>
      <c r="N276" s="20" t="s">
        <v>1853</v>
      </c>
      <c r="O276" s="20" t="s">
        <v>1853</v>
      </c>
    </row>
    <row r="277" spans="1:15" x14ac:dyDescent="0.25">
      <c r="A277" s="19" t="s">
        <v>283</v>
      </c>
      <c r="B277" s="19" t="str">
        <f>INDEX(Places[Type],MATCH(Expenditures[[#This Row],[Jurisdiction]],Places[Jurisdiction],0))</f>
        <v>City</v>
      </c>
      <c r="C277" s="19" t="str">
        <f>INDEX(Places[County],MATCH(Expenditures[[#This Row],[Jurisdiction]],Places[Jurisdiction],0))</f>
        <v>Orange</v>
      </c>
      <c r="D277" s="19" t="str">
        <f>INDEX(Places[Majority RB],MATCH(Expenditures[[#This Row],[Jurisdiction]],Places[Jurisdiction],0))</f>
        <v>Santa Ana</v>
      </c>
      <c r="E277" s="19">
        <f>INDEX(Places[Majority RB '#],MATCH(Expenditures[[#This Row],[Jurisdiction]],Places[Jurisdiction],0))</f>
        <v>8</v>
      </c>
      <c r="F277" s="19" t="str">
        <f>VLOOKUP(Expenditures[[#This Row],[Jurisdiction]],Places[#All],8,FALSE)</f>
        <v>Phase I MS4</v>
      </c>
      <c r="G277" s="19"/>
      <c r="H277" s="21" t="s">
        <v>1893</v>
      </c>
      <c r="I277" s="21">
        <f>VALUE(LEFT(Expenditures[[#This Row],[Fiscal Year]],4))</f>
        <v>2000</v>
      </c>
      <c r="J277" s="20">
        <v>62500</v>
      </c>
      <c r="K277" s="20">
        <f>IF(Expenditures[[#This Row],[Reference Year]]&gt;2018,Expenditures[[#This Row],[Value]],Expenditures[[#This Row],[Value]]*(1+VLOOKUP(Expenditures[[#This Row],[Reference Year]],Inflation[#All],3,FALSE)))</f>
        <v>91329.48606271777</v>
      </c>
      <c r="L277" s="105">
        <f>VALUE(Expenditures[[#This Row],[2018 $ Value]]/VLOOKUP(Expenditures[[#This Row],[Jurisdiction]],Places[],6,FALSE))</f>
        <v>7.9217179341415358</v>
      </c>
      <c r="M277" s="105">
        <f>VALUE(Expenditures[[#This Row],[2018 $ Value]]/VLOOKUP(Expenditures[[#This Row],[Jurisdiction]],Places[],7,FALSE))</f>
        <v>22832.371515679442</v>
      </c>
      <c r="N277" s="20" t="s">
        <v>1460</v>
      </c>
      <c r="O277" s="20" t="s">
        <v>1853</v>
      </c>
    </row>
    <row r="278" spans="1:15" x14ac:dyDescent="0.25">
      <c r="A278" s="19" t="s">
        <v>12</v>
      </c>
      <c r="B278" s="19" t="str">
        <f>INDEX(Places[Type],MATCH(Expenditures[[#This Row],[Jurisdiction]],Places[Jurisdiction],0))</f>
        <v>City</v>
      </c>
      <c r="C278" s="19" t="str">
        <f>INDEX(Places[County],MATCH(Expenditures[[#This Row],[Jurisdiction]],Places[Jurisdiction],0))</f>
        <v>Los Angeles</v>
      </c>
      <c r="D278" s="19" t="str">
        <f>INDEX(Places[Majority RB],MATCH(Expenditures[[#This Row],[Jurisdiction]],Places[Jurisdiction],0))</f>
        <v>Los Angeles</v>
      </c>
      <c r="E278" s="19">
        <f>INDEX(Places[Majority RB '#],MATCH(Expenditures[[#This Row],[Jurisdiction]],Places[Jurisdiction],0))</f>
        <v>4</v>
      </c>
      <c r="F278" s="19" t="str">
        <f>VLOOKUP(Expenditures[[#This Row],[Jurisdiction]],Places[#All],8,FALSE)</f>
        <v>Phase I MS4</v>
      </c>
      <c r="G278" s="19"/>
      <c r="H278" s="100" t="s">
        <v>1870</v>
      </c>
      <c r="I278" s="21">
        <f>VALUE(LEFT(Expenditures[[#This Row],[Fiscal Year]],4))</f>
        <v>2011</v>
      </c>
      <c r="J278" s="20">
        <v>63528083</v>
      </c>
      <c r="K278" s="20">
        <f>IF(Expenditures[[#This Row],[Reference Year]]&gt;2018,Expenditures[[#This Row],[Value]],Expenditures[[#This Row],[Value]]*(1+VLOOKUP(Expenditures[[#This Row],[Reference Year]],Inflation[#All],3,FALSE)))</f>
        <v>71078857.507216543</v>
      </c>
      <c r="L278" s="105">
        <f>VALUE(Expenditures[[#This Row],[2018 $ Value]]/VLOOKUP(Expenditures[[#This Row],[Jurisdiction]],Places[],6,FALSE))</f>
        <v>17.812214320172068</v>
      </c>
      <c r="M278" s="105">
        <f>VALUE(Expenditures[[#This Row],[2018 $ Value]]/VLOOKUP(Expenditures[[#This Row],[Jurisdiction]],Places[],7,FALSE))</f>
        <v>151651.0721297558</v>
      </c>
      <c r="N278" s="20" t="s">
        <v>1460</v>
      </c>
      <c r="O278" s="20" t="s">
        <v>1460</v>
      </c>
    </row>
    <row r="279" spans="1:15" x14ac:dyDescent="0.25">
      <c r="A279" s="19" t="s">
        <v>12</v>
      </c>
      <c r="B279" s="19" t="str">
        <f>INDEX(Places[Type],MATCH(Expenditures[[#This Row],[Jurisdiction]],Places[Jurisdiction],0))</f>
        <v>City</v>
      </c>
      <c r="C279" s="19" t="str">
        <f>INDEX(Places[County],MATCH(Expenditures[[#This Row],[Jurisdiction]],Places[Jurisdiction],0))</f>
        <v>Los Angeles</v>
      </c>
      <c r="D279" s="19" t="str">
        <f>INDEX(Places[Majority RB],MATCH(Expenditures[[#This Row],[Jurisdiction]],Places[Jurisdiction],0))</f>
        <v>Los Angeles</v>
      </c>
      <c r="E279" s="19">
        <f>INDEX(Places[Majority RB '#],MATCH(Expenditures[[#This Row],[Jurisdiction]],Places[Jurisdiction],0))</f>
        <v>4</v>
      </c>
      <c r="F279" s="19" t="str">
        <f>VLOOKUP(Expenditures[[#This Row],[Jurisdiction]],Places[#All],8,FALSE)</f>
        <v>Phase I MS4</v>
      </c>
      <c r="G279" s="19"/>
      <c r="H279" s="100" t="s">
        <v>1873</v>
      </c>
      <c r="I279" s="21">
        <f>VALUE(LEFT(Expenditures[[#This Row],[Fiscal Year]],4))</f>
        <v>2015</v>
      </c>
      <c r="J279" s="20">
        <v>83264551.590000004</v>
      </c>
      <c r="K279" s="20">
        <f>IF(Expenditures[[#This Row],[Reference Year]]&gt;2018,Expenditures[[#This Row],[Value]],Expenditures[[#This Row],[Value]]*(1+VLOOKUP(Expenditures[[#This Row],[Reference Year]],Inflation[#All],3,FALSE)))</f>
        <v>88404820.173600376</v>
      </c>
      <c r="L279" s="105">
        <f>VALUE(Expenditures[[#This Row],[2018 $ Value]]/VLOOKUP(Expenditures[[#This Row],[Jurisdiction]],Places[],6,FALSE))</f>
        <v>22.154064641635035</v>
      </c>
      <c r="M279" s="105">
        <f>VALUE(Expenditures[[#This Row],[2018 $ Value]]/VLOOKUP(Expenditures[[#This Row],[Jurisdiction]],Places[],7,FALSE))</f>
        <v>188617.0688576923</v>
      </c>
      <c r="N279" s="20" t="s">
        <v>1853</v>
      </c>
      <c r="O279" s="20" t="s">
        <v>1853</v>
      </c>
    </row>
    <row r="280" spans="1:15" x14ac:dyDescent="0.25">
      <c r="A280" s="19" t="s">
        <v>1435</v>
      </c>
      <c r="B280" s="19" t="str">
        <f>INDEX(Places[Type],MATCH(Expenditures[[#This Row],[Jurisdiction]],Places[Jurisdiction],0))</f>
        <v>County</v>
      </c>
      <c r="C280" s="19" t="str">
        <f>INDEX(Places[County],MATCH(Expenditures[[#This Row],[Jurisdiction]],Places[Jurisdiction],0))</f>
        <v>Los Angeles</v>
      </c>
      <c r="D280" s="19" t="str">
        <f>INDEX(Places[Majority RB],MATCH(Expenditures[[#This Row],[Jurisdiction]],Places[Jurisdiction],0))</f>
        <v>Los Angeles</v>
      </c>
      <c r="E280" s="19">
        <f>INDEX(Places[Majority RB '#],MATCH(Expenditures[[#This Row],[Jurisdiction]],Places[Jurisdiction],0))</f>
        <v>4</v>
      </c>
      <c r="F280" s="19" t="str">
        <f>VLOOKUP(Expenditures[[#This Row],[Jurisdiction]],Places[#All],8,FALSE)</f>
        <v>Phase I MS4</v>
      </c>
      <c r="G280" s="19"/>
      <c r="H280" s="19" t="s">
        <v>1885</v>
      </c>
      <c r="I280" s="21">
        <f>VALUE(LEFT(Expenditures[[#This Row],[Fiscal Year]],4))</f>
        <v>2010</v>
      </c>
      <c r="J280" s="20">
        <v>68436969</v>
      </c>
      <c r="K280" s="20">
        <f>IF(Expenditures[[#This Row],[Reference Year]]&gt;2018,Expenditures[[#This Row],[Value]],Expenditures[[#This Row],[Value]]*(1+VLOOKUP(Expenditures[[#This Row],[Reference Year]],Inflation[#All],3,FALSE)))</f>
        <v>78958564.632916093</v>
      </c>
      <c r="L280" s="105" t="e">
        <f>VALUE(Expenditures[[#This Row],[2018 $ Value]]/VLOOKUP(Expenditures[[#This Row],[Jurisdiction]],Places[],6,FALSE))</f>
        <v>#N/A</v>
      </c>
      <c r="M280" s="105" t="e">
        <f>VALUE(Expenditures[[#This Row],[2018 $ Value]]/VLOOKUP(Expenditures[[#This Row],[Jurisdiction]],Places[],7,FALSE))</f>
        <v>#N/A</v>
      </c>
      <c r="N280" s="20" t="s">
        <v>1460</v>
      </c>
      <c r="O280" s="20" t="s">
        <v>1460</v>
      </c>
    </row>
    <row r="281" spans="1:15" x14ac:dyDescent="0.25">
      <c r="A281" s="19" t="s">
        <v>1435</v>
      </c>
      <c r="B281" s="19" t="str">
        <f>INDEX(Places[Type],MATCH(Expenditures[[#This Row],[Jurisdiction]],Places[Jurisdiction],0))</f>
        <v>County</v>
      </c>
      <c r="C281" s="19" t="str">
        <f>INDEX(Places[County],MATCH(Expenditures[[#This Row],[Jurisdiction]],Places[Jurisdiction],0))</f>
        <v>Los Angeles</v>
      </c>
      <c r="D281" s="19" t="str">
        <f>INDEX(Places[Majority RB],MATCH(Expenditures[[#This Row],[Jurisdiction]],Places[Jurisdiction],0))</f>
        <v>Los Angeles</v>
      </c>
      <c r="E281" s="19">
        <f>INDEX(Places[Majority RB '#],MATCH(Expenditures[[#This Row],[Jurisdiction]],Places[Jurisdiction],0))</f>
        <v>4</v>
      </c>
      <c r="F281" s="19" t="str">
        <f>VLOOKUP(Expenditures[[#This Row],[Jurisdiction]],Places[#All],8,FALSE)</f>
        <v>Phase I MS4</v>
      </c>
      <c r="G281" s="19"/>
      <c r="H281" s="21" t="s">
        <v>1870</v>
      </c>
      <c r="I281" s="21">
        <f>VALUE(LEFT(Expenditures[[#This Row],[Fiscal Year]],4))</f>
        <v>2011</v>
      </c>
      <c r="J281" s="20">
        <v>69087546</v>
      </c>
      <c r="K281" s="20">
        <f>IF(Expenditures[[#This Row],[Reference Year]]&gt;2018,Expenditures[[#This Row],[Value]],Expenditures[[#This Row],[Value]]*(1+VLOOKUP(Expenditures[[#This Row],[Reference Year]],Inflation[#All],3,FALSE)))</f>
        <v>77299103.101493999</v>
      </c>
      <c r="L281" s="105" t="e">
        <f>VALUE(Expenditures[[#This Row],[2018 $ Value]]/VLOOKUP(Expenditures[[#This Row],[Jurisdiction]],Places[],6,FALSE))</f>
        <v>#N/A</v>
      </c>
      <c r="M281" s="105" t="e">
        <f>VALUE(Expenditures[[#This Row],[2018 $ Value]]/VLOOKUP(Expenditures[[#This Row],[Jurisdiction]],Places[],7,FALSE))</f>
        <v>#N/A</v>
      </c>
      <c r="N281" s="20" t="s">
        <v>1460</v>
      </c>
      <c r="O281" s="20" t="s">
        <v>1460</v>
      </c>
    </row>
    <row r="282" spans="1:15" x14ac:dyDescent="0.25">
      <c r="A282" s="19" t="s">
        <v>1435</v>
      </c>
      <c r="B282" s="19" t="str">
        <f>INDEX(Places[Type],MATCH(Expenditures[[#This Row],[Jurisdiction]],Places[Jurisdiction],0))</f>
        <v>County</v>
      </c>
      <c r="C282" s="19" t="str">
        <f>INDEX(Places[County],MATCH(Expenditures[[#This Row],[Jurisdiction]],Places[Jurisdiction],0))</f>
        <v>Los Angeles</v>
      </c>
      <c r="D282" s="19" t="str">
        <f>INDEX(Places[Majority RB],MATCH(Expenditures[[#This Row],[Jurisdiction]],Places[Jurisdiction],0))</f>
        <v>Los Angeles</v>
      </c>
      <c r="E282" s="19">
        <f>INDEX(Places[Majority RB '#],MATCH(Expenditures[[#This Row],[Jurisdiction]],Places[Jurisdiction],0))</f>
        <v>4</v>
      </c>
      <c r="F282" s="19" t="str">
        <f>VLOOKUP(Expenditures[[#This Row],[Jurisdiction]],Places[#All],8,FALSE)</f>
        <v>Phase I MS4</v>
      </c>
      <c r="G282" s="19"/>
      <c r="H282" s="21" t="s">
        <v>1871</v>
      </c>
      <c r="I282" s="21">
        <f>VALUE(LEFT(Expenditures[[#This Row],[Fiscal Year]],4))</f>
        <v>2012</v>
      </c>
      <c r="J282" s="20">
        <v>70786922</v>
      </c>
      <c r="K282" s="20">
        <f>IF(Expenditures[[#This Row],[Reference Year]]&gt;2018,Expenditures[[#This Row],[Value]],Expenditures[[#This Row],[Value]]*(1+VLOOKUP(Expenditures[[#This Row],[Reference Year]],Inflation[#All],3,FALSE)))</f>
        <v>77579198.474660277</v>
      </c>
      <c r="L282" s="105" t="e">
        <f>VALUE(Expenditures[[#This Row],[2018 $ Value]]/VLOOKUP(Expenditures[[#This Row],[Jurisdiction]],Places[],6,FALSE))</f>
        <v>#N/A</v>
      </c>
      <c r="M282" s="105" t="e">
        <f>VALUE(Expenditures[[#This Row],[2018 $ Value]]/VLOOKUP(Expenditures[[#This Row],[Jurisdiction]],Places[],7,FALSE))</f>
        <v>#N/A</v>
      </c>
      <c r="N282" s="20" t="s">
        <v>1460</v>
      </c>
      <c r="O282" s="20" t="s">
        <v>1460</v>
      </c>
    </row>
    <row r="283" spans="1:15" x14ac:dyDescent="0.25">
      <c r="A283" s="19" t="s">
        <v>1435</v>
      </c>
      <c r="B283" s="19" t="str">
        <f>INDEX(Places[Type],MATCH(Expenditures[[#This Row],[Jurisdiction]],Places[Jurisdiction],0))</f>
        <v>County</v>
      </c>
      <c r="C283" s="19" t="str">
        <f>INDEX(Places[County],MATCH(Expenditures[[#This Row],[Jurisdiction]],Places[Jurisdiction],0))</f>
        <v>Los Angeles</v>
      </c>
      <c r="D283" s="19" t="str">
        <f>INDEX(Places[Majority RB],MATCH(Expenditures[[#This Row],[Jurisdiction]],Places[Jurisdiction],0))</f>
        <v>Los Angeles</v>
      </c>
      <c r="E283" s="19">
        <f>INDEX(Places[Majority RB '#],MATCH(Expenditures[[#This Row],[Jurisdiction]],Places[Jurisdiction],0))</f>
        <v>4</v>
      </c>
      <c r="F283" s="19" t="str">
        <f>VLOOKUP(Expenditures[[#This Row],[Jurisdiction]],Places[#All],8,FALSE)</f>
        <v>Phase I MS4</v>
      </c>
      <c r="G283" s="19"/>
      <c r="H283" s="21" t="s">
        <v>1880</v>
      </c>
      <c r="I283" s="21">
        <f>VALUE(LEFT(Expenditures[[#This Row],[Fiscal Year]],4))</f>
        <v>2013</v>
      </c>
      <c r="J283" s="20">
        <v>77172000</v>
      </c>
      <c r="K283" s="20">
        <f>IF(Expenditures[[#This Row],[Reference Year]]&gt;2018,Expenditures[[#This Row],[Value]],Expenditures[[#This Row],[Value]]*(1+VLOOKUP(Expenditures[[#This Row],[Reference Year]],Inflation[#All],3,FALSE)))</f>
        <v>83342779.107296139</v>
      </c>
      <c r="L283" s="105" t="e">
        <f>VALUE(Expenditures[[#This Row],[2018 $ Value]]/VLOOKUP(Expenditures[[#This Row],[Jurisdiction]],Places[],6,FALSE))</f>
        <v>#N/A</v>
      </c>
      <c r="M283" s="105" t="e">
        <f>VALUE(Expenditures[[#This Row],[2018 $ Value]]/VLOOKUP(Expenditures[[#This Row],[Jurisdiction]],Places[],7,FALSE))</f>
        <v>#N/A</v>
      </c>
      <c r="N283" s="20" t="s">
        <v>1460</v>
      </c>
      <c r="O283" s="20" t="s">
        <v>1460</v>
      </c>
    </row>
    <row r="284" spans="1:15" x14ac:dyDescent="0.25">
      <c r="A284" s="19" t="s">
        <v>1435</v>
      </c>
      <c r="B284" s="19" t="str">
        <f>INDEX(Places[Type],MATCH(Expenditures[[#This Row],[Jurisdiction]],Places[Jurisdiction],0))</f>
        <v>County</v>
      </c>
      <c r="C284" s="19" t="str">
        <f>INDEX(Places[County],MATCH(Expenditures[[#This Row],[Jurisdiction]],Places[Jurisdiction],0))</f>
        <v>Los Angeles</v>
      </c>
      <c r="D284" s="19" t="str">
        <f>INDEX(Places[Majority RB],MATCH(Expenditures[[#This Row],[Jurisdiction]],Places[Jurisdiction],0))</f>
        <v>Los Angeles</v>
      </c>
      <c r="E284" s="19">
        <f>INDEX(Places[Majority RB '#],MATCH(Expenditures[[#This Row],[Jurisdiction]],Places[Jurisdiction],0))</f>
        <v>4</v>
      </c>
      <c r="F284" s="19" t="str">
        <f>VLOOKUP(Expenditures[[#This Row],[Jurisdiction]],Places[#All],8,FALSE)</f>
        <v>Phase I MS4</v>
      </c>
      <c r="G284" s="19"/>
      <c r="H284" s="21" t="s">
        <v>1881</v>
      </c>
      <c r="I284" s="21">
        <f>VALUE(LEFT(Expenditures[[#This Row],[Fiscal Year]],4))</f>
        <v>2014</v>
      </c>
      <c r="J284" s="20">
        <v>75612000</v>
      </c>
      <c r="K284" s="20">
        <f>IF(Expenditures[[#This Row],[Reference Year]]&gt;2018,Expenditures[[#This Row],[Value]],Expenditures[[#This Row],[Value]]*(1+VLOOKUP(Expenditures[[#This Row],[Reference Year]],Inflation[#All],3,FALSE)))</f>
        <v>80381593.460076049</v>
      </c>
      <c r="L284" s="105" t="e">
        <f>VALUE(Expenditures[[#This Row],[2018 $ Value]]/VLOOKUP(Expenditures[[#This Row],[Jurisdiction]],Places[],6,FALSE))</f>
        <v>#N/A</v>
      </c>
      <c r="M284" s="105" t="e">
        <f>VALUE(Expenditures[[#This Row],[2018 $ Value]]/VLOOKUP(Expenditures[[#This Row],[Jurisdiction]],Places[],7,FALSE))</f>
        <v>#N/A</v>
      </c>
      <c r="N284" s="20" t="s">
        <v>1460</v>
      </c>
      <c r="O284" s="20" t="s">
        <v>1460</v>
      </c>
    </row>
    <row r="285" spans="1:15" x14ac:dyDescent="0.25">
      <c r="A285" s="19" t="s">
        <v>1435</v>
      </c>
      <c r="B285" s="19" t="str">
        <f>INDEX(Places[Type],MATCH(Expenditures[[#This Row],[Jurisdiction]],Places[Jurisdiction],0))</f>
        <v>County</v>
      </c>
      <c r="C285" s="19" t="str">
        <f>INDEX(Places[County],MATCH(Expenditures[[#This Row],[Jurisdiction]],Places[Jurisdiction],0))</f>
        <v>Los Angeles</v>
      </c>
      <c r="D285" s="19" t="str">
        <f>INDEX(Places[Majority RB],MATCH(Expenditures[[#This Row],[Jurisdiction]],Places[Jurisdiction],0))</f>
        <v>Los Angeles</v>
      </c>
      <c r="E285" s="19">
        <f>INDEX(Places[Majority RB '#],MATCH(Expenditures[[#This Row],[Jurisdiction]],Places[Jurisdiction],0))</f>
        <v>4</v>
      </c>
      <c r="F285" s="19" t="str">
        <f>VLOOKUP(Expenditures[[#This Row],[Jurisdiction]],Places[#All],8,FALSE)</f>
        <v>Phase I MS4</v>
      </c>
      <c r="G285" s="19"/>
      <c r="H285" s="21" t="s">
        <v>1873</v>
      </c>
      <c r="I285" s="21">
        <f>VALUE(LEFT(Expenditures[[#This Row],[Fiscal Year]],4))</f>
        <v>2015</v>
      </c>
      <c r="J285" s="20">
        <v>48148000</v>
      </c>
      <c r="K285" s="20">
        <f>IF(Expenditures[[#This Row],[Reference Year]]&gt;2018,Expenditures[[#This Row],[Value]],Expenditures[[#This Row],[Value]]*(1+VLOOKUP(Expenditures[[#This Row],[Reference Year]],Inflation[#All],3,FALSE)))</f>
        <v>51120377.164556958</v>
      </c>
      <c r="L285" s="105" t="e">
        <f>VALUE(Expenditures[[#This Row],[2018 $ Value]]/VLOOKUP(Expenditures[[#This Row],[Jurisdiction]],Places[],6,FALSE))</f>
        <v>#N/A</v>
      </c>
      <c r="M285" s="105" t="e">
        <f>VALUE(Expenditures[[#This Row],[2018 $ Value]]/VLOOKUP(Expenditures[[#This Row],[Jurisdiction]],Places[],7,FALSE))</f>
        <v>#N/A</v>
      </c>
      <c r="N285" s="20" t="s">
        <v>1853</v>
      </c>
      <c r="O285" s="20" t="s">
        <v>1853</v>
      </c>
    </row>
    <row r="286" spans="1:15" x14ac:dyDescent="0.25">
      <c r="A286" s="19" t="s">
        <v>1436</v>
      </c>
      <c r="B286" s="19" t="str">
        <f>INDEX(Places[Type],MATCH(Expenditures[[#This Row],[Jurisdiction]],Places[Jurisdiction],0))</f>
        <v>FCD</v>
      </c>
      <c r="C286" s="19" t="str">
        <f>INDEX(Places[County],MATCH(Expenditures[[#This Row],[Jurisdiction]],Places[Jurisdiction],0))</f>
        <v>Los Angeles</v>
      </c>
      <c r="D286" s="19" t="str">
        <f>INDEX(Places[Majority RB],MATCH(Expenditures[[#This Row],[Jurisdiction]],Places[Jurisdiction],0))</f>
        <v>Los Angeles</v>
      </c>
      <c r="E286" s="19">
        <f>INDEX(Places[Majority RB '#],MATCH(Expenditures[[#This Row],[Jurisdiction]],Places[Jurisdiction],0))</f>
        <v>4</v>
      </c>
      <c r="F286" s="19" t="str">
        <f>VLOOKUP(Expenditures[[#This Row],[Jurisdiction]],Places[#All],8,FALSE)</f>
        <v>Phase I MS4</v>
      </c>
      <c r="G286" s="19"/>
      <c r="H286" s="21" t="s">
        <v>1870</v>
      </c>
      <c r="I286" s="21">
        <f>VALUE(LEFT(Expenditures[[#This Row],[Fiscal Year]],4))</f>
        <v>2011</v>
      </c>
      <c r="J286" s="20">
        <v>39690534</v>
      </c>
      <c r="K286" s="20">
        <f>IF(Expenditures[[#This Row],[Reference Year]]&gt;2018,Expenditures[[#This Row],[Value]],Expenditures[[#This Row],[Value]]*(1+VLOOKUP(Expenditures[[#This Row],[Reference Year]],Inflation[#All],3,FALSE)))</f>
        <v>44408042.512023121</v>
      </c>
      <c r="L286" s="105" t="e">
        <f>VALUE(Expenditures[[#This Row],[2018 $ Value]]/VLOOKUP(Expenditures[[#This Row],[Jurisdiction]],Places[],6,FALSE))</f>
        <v>#N/A</v>
      </c>
      <c r="M286" s="105" t="e">
        <f>VALUE(Expenditures[[#This Row],[2018 $ Value]]/VLOOKUP(Expenditures[[#This Row],[Jurisdiction]],Places[],7,FALSE))</f>
        <v>#N/A</v>
      </c>
      <c r="N286" s="20" t="s">
        <v>1460</v>
      </c>
      <c r="O286" s="20" t="s">
        <v>1460</v>
      </c>
    </row>
    <row r="287" spans="1:15" x14ac:dyDescent="0.25">
      <c r="A287" s="19" t="s">
        <v>1436</v>
      </c>
      <c r="B287" s="19" t="str">
        <f>INDEX(Places[Type],MATCH(Expenditures[[#This Row],[Jurisdiction]],Places[Jurisdiction],0))</f>
        <v>FCD</v>
      </c>
      <c r="C287" s="19" t="str">
        <f>INDEX(Places[County],MATCH(Expenditures[[#This Row],[Jurisdiction]],Places[Jurisdiction],0))</f>
        <v>Los Angeles</v>
      </c>
      <c r="D287" s="19" t="str">
        <f>INDEX(Places[Majority RB],MATCH(Expenditures[[#This Row],[Jurisdiction]],Places[Jurisdiction],0))</f>
        <v>Los Angeles</v>
      </c>
      <c r="E287" s="19">
        <f>INDEX(Places[Majority RB '#],MATCH(Expenditures[[#This Row],[Jurisdiction]],Places[Jurisdiction],0))</f>
        <v>4</v>
      </c>
      <c r="F287" s="19" t="str">
        <f>VLOOKUP(Expenditures[[#This Row],[Jurisdiction]],Places[#All],8,FALSE)</f>
        <v>Phase I MS4</v>
      </c>
      <c r="G287" s="19"/>
      <c r="H287" s="21" t="s">
        <v>1871</v>
      </c>
      <c r="I287" s="21">
        <f>VALUE(LEFT(Expenditures[[#This Row],[Fiscal Year]],4))</f>
        <v>2012</v>
      </c>
      <c r="J287" s="20">
        <v>38953676</v>
      </c>
      <c r="K287" s="20">
        <f>IF(Expenditures[[#This Row],[Reference Year]]&gt;2018,Expenditures[[#This Row],[Value]],Expenditures[[#This Row],[Value]]*(1+VLOOKUP(Expenditures[[#This Row],[Reference Year]],Inflation[#All],3,FALSE)))</f>
        <v>42691430.512003489</v>
      </c>
      <c r="L287" s="105" t="e">
        <f>VALUE(Expenditures[[#This Row],[2018 $ Value]]/VLOOKUP(Expenditures[[#This Row],[Jurisdiction]],Places[],6,FALSE))</f>
        <v>#N/A</v>
      </c>
      <c r="M287" s="105" t="e">
        <f>VALUE(Expenditures[[#This Row],[2018 $ Value]]/VLOOKUP(Expenditures[[#This Row],[Jurisdiction]],Places[],7,FALSE))</f>
        <v>#N/A</v>
      </c>
      <c r="N287" s="20" t="s">
        <v>1460</v>
      </c>
      <c r="O287" s="20" t="s">
        <v>1460</v>
      </c>
    </row>
    <row r="288" spans="1:15" x14ac:dyDescent="0.25">
      <c r="A288" s="19" t="s">
        <v>1436</v>
      </c>
      <c r="B288" s="19" t="str">
        <f>INDEX(Places[Type],MATCH(Expenditures[[#This Row],[Jurisdiction]],Places[Jurisdiction],0))</f>
        <v>FCD</v>
      </c>
      <c r="C288" s="19" t="str">
        <f>INDEX(Places[County],MATCH(Expenditures[[#This Row],[Jurisdiction]],Places[Jurisdiction],0))</f>
        <v>Los Angeles</v>
      </c>
      <c r="D288" s="19" t="str">
        <f>INDEX(Places[Majority RB],MATCH(Expenditures[[#This Row],[Jurisdiction]],Places[Jurisdiction],0))</f>
        <v>Los Angeles</v>
      </c>
      <c r="E288" s="19">
        <f>INDEX(Places[Majority RB '#],MATCH(Expenditures[[#This Row],[Jurisdiction]],Places[Jurisdiction],0))</f>
        <v>4</v>
      </c>
      <c r="F288" s="19" t="str">
        <f>VLOOKUP(Expenditures[[#This Row],[Jurisdiction]],Places[#All],8,FALSE)</f>
        <v>Phase I MS4</v>
      </c>
      <c r="G288" s="19"/>
      <c r="H288" s="21" t="s">
        <v>1880</v>
      </c>
      <c r="I288" s="21">
        <f>VALUE(LEFT(Expenditures[[#This Row],[Fiscal Year]],4))</f>
        <v>2013</v>
      </c>
      <c r="J288" s="20">
        <v>34264000</v>
      </c>
      <c r="K288" s="20">
        <f>IF(Expenditures[[#This Row],[Reference Year]]&gt;2018,Expenditures[[#This Row],[Value]],Expenditures[[#This Row],[Value]]*(1+VLOOKUP(Expenditures[[#This Row],[Reference Year]],Inflation[#All],3,FALSE)))</f>
        <v>37003796.497854076</v>
      </c>
      <c r="L288" s="105" t="e">
        <f>VALUE(Expenditures[[#This Row],[2018 $ Value]]/VLOOKUP(Expenditures[[#This Row],[Jurisdiction]],Places[],6,FALSE))</f>
        <v>#N/A</v>
      </c>
      <c r="M288" s="105" t="e">
        <f>VALUE(Expenditures[[#This Row],[2018 $ Value]]/VLOOKUP(Expenditures[[#This Row],[Jurisdiction]],Places[],7,FALSE))</f>
        <v>#N/A</v>
      </c>
      <c r="N288" s="20" t="s">
        <v>1460</v>
      </c>
      <c r="O288" s="20" t="s">
        <v>1460</v>
      </c>
    </row>
    <row r="289" spans="1:15" x14ac:dyDescent="0.25">
      <c r="A289" s="19" t="s">
        <v>1436</v>
      </c>
      <c r="B289" s="19" t="str">
        <f>INDEX(Places[Type],MATCH(Expenditures[[#This Row],[Jurisdiction]],Places[Jurisdiction],0))</f>
        <v>FCD</v>
      </c>
      <c r="C289" s="19" t="str">
        <f>INDEX(Places[County],MATCH(Expenditures[[#This Row],[Jurisdiction]],Places[Jurisdiction],0))</f>
        <v>Los Angeles</v>
      </c>
      <c r="D289" s="19" t="str">
        <f>INDEX(Places[Majority RB],MATCH(Expenditures[[#This Row],[Jurisdiction]],Places[Jurisdiction],0))</f>
        <v>Los Angeles</v>
      </c>
      <c r="E289" s="19">
        <f>INDEX(Places[Majority RB '#],MATCH(Expenditures[[#This Row],[Jurisdiction]],Places[Jurisdiction],0))</f>
        <v>4</v>
      </c>
      <c r="F289" s="19" t="str">
        <f>VLOOKUP(Expenditures[[#This Row],[Jurisdiction]],Places[#All],8,FALSE)</f>
        <v>Phase I MS4</v>
      </c>
      <c r="G289" s="19"/>
      <c r="H289" s="21" t="s">
        <v>1881</v>
      </c>
      <c r="I289" s="21">
        <f>VALUE(LEFT(Expenditures[[#This Row],[Fiscal Year]],4))</f>
        <v>2014</v>
      </c>
      <c r="J289" s="20">
        <v>31678000</v>
      </c>
      <c r="K289" s="20">
        <f>IF(Expenditures[[#This Row],[Reference Year]]&gt;2018,Expenditures[[#This Row],[Value]],Expenditures[[#This Row],[Value]]*(1+VLOOKUP(Expenditures[[#This Row],[Reference Year]],Inflation[#All],3,FALSE)))</f>
        <v>33676243.422053233</v>
      </c>
      <c r="L289" s="105" t="e">
        <f>VALUE(Expenditures[[#This Row],[2018 $ Value]]/VLOOKUP(Expenditures[[#This Row],[Jurisdiction]],Places[],6,FALSE))</f>
        <v>#N/A</v>
      </c>
      <c r="M289" s="105" t="e">
        <f>VALUE(Expenditures[[#This Row],[2018 $ Value]]/VLOOKUP(Expenditures[[#This Row],[Jurisdiction]],Places[],7,FALSE))</f>
        <v>#N/A</v>
      </c>
      <c r="N289" s="20" t="s">
        <v>1460</v>
      </c>
      <c r="O289" s="20" t="s">
        <v>1460</v>
      </c>
    </row>
    <row r="290" spans="1:15" x14ac:dyDescent="0.25">
      <c r="A290" s="19" t="s">
        <v>1436</v>
      </c>
      <c r="B290" s="19" t="str">
        <f>INDEX(Places[Type],MATCH(Expenditures[[#This Row],[Jurisdiction]],Places[Jurisdiction],0))</f>
        <v>FCD</v>
      </c>
      <c r="C290" s="19" t="str">
        <f>INDEX(Places[County],MATCH(Expenditures[[#This Row],[Jurisdiction]],Places[Jurisdiction],0))</f>
        <v>Los Angeles</v>
      </c>
      <c r="D290" s="19" t="str">
        <f>INDEX(Places[Majority RB],MATCH(Expenditures[[#This Row],[Jurisdiction]],Places[Jurisdiction],0))</f>
        <v>Los Angeles</v>
      </c>
      <c r="E290" s="19">
        <f>INDEX(Places[Majority RB '#],MATCH(Expenditures[[#This Row],[Jurisdiction]],Places[Jurisdiction],0))</f>
        <v>4</v>
      </c>
      <c r="F290" s="19" t="str">
        <f>VLOOKUP(Expenditures[[#This Row],[Jurisdiction]],Places[#All],8,FALSE)</f>
        <v>Phase I MS4</v>
      </c>
      <c r="G290" s="19"/>
      <c r="H290" s="21" t="s">
        <v>1873</v>
      </c>
      <c r="I290" s="21">
        <f>VALUE(LEFT(Expenditures[[#This Row],[Fiscal Year]],4))</f>
        <v>2015</v>
      </c>
      <c r="J290" s="20">
        <v>21725000</v>
      </c>
      <c r="K290" s="20">
        <f>IF(Expenditures[[#This Row],[Reference Year]]&gt;2018,Expenditures[[#This Row],[Value]],Expenditures[[#This Row],[Value]]*(1+VLOOKUP(Expenditures[[#This Row],[Reference Year]],Inflation[#All],3,FALSE)))</f>
        <v>23066175</v>
      </c>
      <c r="L290" s="105" t="e">
        <f>VALUE(Expenditures[[#This Row],[2018 $ Value]]/VLOOKUP(Expenditures[[#This Row],[Jurisdiction]],Places[],6,FALSE))</f>
        <v>#N/A</v>
      </c>
      <c r="M290" s="105" t="e">
        <f>VALUE(Expenditures[[#This Row],[2018 $ Value]]/VLOOKUP(Expenditures[[#This Row],[Jurisdiction]],Places[],7,FALSE))</f>
        <v>#N/A</v>
      </c>
      <c r="N290" s="20" t="s">
        <v>1853</v>
      </c>
      <c r="O290" s="20" t="s">
        <v>1853</v>
      </c>
    </row>
    <row r="291" spans="1:15" x14ac:dyDescent="0.25">
      <c r="A291" s="19" t="s">
        <v>175</v>
      </c>
      <c r="B291" s="19" t="str">
        <f>INDEX(Places[Type],MATCH(Expenditures[[#This Row],[Jurisdiction]],Places[Jurisdiction],0))</f>
        <v>City</v>
      </c>
      <c r="C291" s="19" t="str">
        <f>INDEX(Places[County],MATCH(Expenditures[[#This Row],[Jurisdiction]],Places[Jurisdiction],0))</f>
        <v>Los Angeles</v>
      </c>
      <c r="D291" s="19" t="str">
        <f>INDEX(Places[Majority RB],MATCH(Expenditures[[#This Row],[Jurisdiction]],Places[Jurisdiction],0))</f>
        <v>Los Angeles</v>
      </c>
      <c r="E291" s="19">
        <f>INDEX(Places[Majority RB '#],MATCH(Expenditures[[#This Row],[Jurisdiction]],Places[Jurisdiction],0))</f>
        <v>4</v>
      </c>
      <c r="F291" s="19" t="str">
        <f>VLOOKUP(Expenditures[[#This Row],[Jurisdiction]],Places[#All],8,FALSE)</f>
        <v>Phase I MS4</v>
      </c>
      <c r="G291" s="19"/>
      <c r="H291" s="100" t="s">
        <v>1870</v>
      </c>
      <c r="I291" s="21">
        <f>VALUE(LEFT(Expenditures[[#This Row],[Fiscal Year]],4))</f>
        <v>2011</v>
      </c>
      <c r="J291" s="20">
        <v>1329555</v>
      </c>
      <c r="K291" s="20">
        <f>IF(Expenditures[[#This Row],[Reference Year]]&gt;2018,Expenditures[[#This Row],[Value]],Expenditures[[#This Row],[Value]]*(1+VLOOKUP(Expenditures[[#This Row],[Reference Year]],Inflation[#All],3,FALSE)))</f>
        <v>1487582.2774788796</v>
      </c>
      <c r="L291" s="105">
        <f>VALUE(Expenditures[[#This Row],[2018 $ Value]]/VLOOKUP(Expenditures[[#This Row],[Jurisdiction]],Places[],6,FALSE))</f>
        <v>116.42656941996397</v>
      </c>
      <c r="M291" s="105">
        <f>VALUE(Expenditures[[#This Row],[2018 $ Value]]/VLOOKUP(Expenditures[[#This Row],[Jurisdiction]],Places[],7,FALSE))</f>
        <v>75130.418054488866</v>
      </c>
      <c r="N291" s="20" t="s">
        <v>1460</v>
      </c>
      <c r="O291" s="20" t="s">
        <v>1460</v>
      </c>
    </row>
    <row r="292" spans="1:15" x14ac:dyDescent="0.25">
      <c r="A292" s="19" t="s">
        <v>175</v>
      </c>
      <c r="B292" s="19" t="str">
        <f>INDEX(Places[Type],MATCH(Expenditures[[#This Row],[Jurisdiction]],Places[Jurisdiction],0))</f>
        <v>City</v>
      </c>
      <c r="C292" s="19" t="str">
        <f>INDEX(Places[County],MATCH(Expenditures[[#This Row],[Jurisdiction]],Places[Jurisdiction],0))</f>
        <v>Los Angeles</v>
      </c>
      <c r="D292" s="19" t="str">
        <f>INDEX(Places[Majority RB],MATCH(Expenditures[[#This Row],[Jurisdiction]],Places[Jurisdiction],0))</f>
        <v>Los Angeles</v>
      </c>
      <c r="E292" s="19">
        <f>INDEX(Places[Majority RB '#],MATCH(Expenditures[[#This Row],[Jurisdiction]],Places[Jurisdiction],0))</f>
        <v>4</v>
      </c>
      <c r="F292" s="19" t="str">
        <f>VLOOKUP(Expenditures[[#This Row],[Jurisdiction]],Places[#All],8,FALSE)</f>
        <v>Phase I MS4</v>
      </c>
      <c r="G292" s="19"/>
      <c r="H292" s="100" t="s">
        <v>1873</v>
      </c>
      <c r="I292" s="21">
        <f>VALUE(LEFT(Expenditures[[#This Row],[Fiscal Year]],4))</f>
        <v>2015</v>
      </c>
      <c r="J292" s="20">
        <v>1416439</v>
      </c>
      <c r="K292" s="20">
        <f>IF(Expenditures[[#This Row],[Reference Year]]&gt;2018,Expenditures[[#This Row],[Value]],Expenditures[[#This Row],[Value]]*(1+VLOOKUP(Expenditures[[#This Row],[Reference Year]],Inflation[#All],3,FALSE)))</f>
        <v>1503881.6962405061</v>
      </c>
      <c r="L292" s="105">
        <f>VALUE(Expenditures[[#This Row],[2018 $ Value]]/VLOOKUP(Expenditures[[#This Row],[Jurisdiction]],Places[],6,FALSE))</f>
        <v>117.70225375600737</v>
      </c>
      <c r="M292" s="105">
        <f>VALUE(Expenditures[[#This Row],[2018 $ Value]]/VLOOKUP(Expenditures[[#This Row],[Jurisdiction]],Places[],7,FALSE))</f>
        <v>75953.621022247782</v>
      </c>
      <c r="N292" s="20" t="s">
        <v>1853</v>
      </c>
      <c r="O292" s="20" t="s">
        <v>1853</v>
      </c>
    </row>
    <row r="293" spans="1:15" x14ac:dyDescent="0.25">
      <c r="A293" s="19" t="s">
        <v>147</v>
      </c>
      <c r="B293" s="19" t="str">
        <f>INDEX(Places[Type],MATCH(Expenditures[[#This Row],[Jurisdiction]],Places[Jurisdiction],0))</f>
        <v>City</v>
      </c>
      <c r="C293" s="19" t="str">
        <f>INDEX(Places[County],MATCH(Expenditures[[#This Row],[Jurisdiction]],Places[Jurisdiction],0))</f>
        <v>Los Angeles</v>
      </c>
      <c r="D293" s="19" t="str">
        <f>INDEX(Places[Majority RB],MATCH(Expenditures[[#This Row],[Jurisdiction]],Places[Jurisdiction],0))</f>
        <v>Los Angeles</v>
      </c>
      <c r="E293" s="19">
        <f>INDEX(Places[Majority RB '#],MATCH(Expenditures[[#This Row],[Jurisdiction]],Places[Jurisdiction],0))</f>
        <v>4</v>
      </c>
      <c r="F293" s="19" t="str">
        <f>VLOOKUP(Expenditures[[#This Row],[Jurisdiction]],Places[#All],8,FALSE)</f>
        <v>Phase I MS4</v>
      </c>
      <c r="G293" s="19"/>
      <c r="H293" s="100" t="s">
        <v>1870</v>
      </c>
      <c r="I293" s="21">
        <f>VALUE(LEFT(Expenditures[[#This Row],[Fiscal Year]],4))</f>
        <v>2011</v>
      </c>
      <c r="J293" s="20">
        <v>3923240</v>
      </c>
      <c r="K293" s="20">
        <f>IF(Expenditures[[#This Row],[Reference Year]]&gt;2018,Expenditures[[#This Row],[Value]],Expenditures[[#This Row],[Value]]*(1+VLOOKUP(Expenditures[[#This Row],[Reference Year]],Inflation[#All],3,FALSE)))</f>
        <v>4389545.5955535797</v>
      </c>
      <c r="L293" s="105">
        <f>VALUE(Expenditures[[#This Row],[2018 $ Value]]/VLOOKUP(Expenditures[[#This Row],[Jurisdiction]],Places[],6,FALSE))</f>
        <v>123.53781367650511</v>
      </c>
      <c r="M293" s="105">
        <f>VALUE(Expenditures[[#This Row],[2018 $ Value]]/VLOOKUP(Expenditures[[#This Row],[Jurisdiction]],Places[],7,FALSE))</f>
        <v>1125524.5116804051</v>
      </c>
      <c r="N293" s="20" t="s">
        <v>1460</v>
      </c>
      <c r="O293" s="20" t="s">
        <v>1460</v>
      </c>
    </row>
    <row r="294" spans="1:15" x14ac:dyDescent="0.25">
      <c r="A294" s="19" t="s">
        <v>147</v>
      </c>
      <c r="B294" s="19" t="str">
        <f>INDEX(Places[Type],MATCH(Expenditures[[#This Row],[Jurisdiction]],Places[Jurisdiction],0))</f>
        <v>City</v>
      </c>
      <c r="C294" s="19" t="str">
        <f>INDEX(Places[County],MATCH(Expenditures[[#This Row],[Jurisdiction]],Places[Jurisdiction],0))</f>
        <v>Los Angeles</v>
      </c>
      <c r="D294" s="19" t="str">
        <f>INDEX(Places[Majority RB],MATCH(Expenditures[[#This Row],[Jurisdiction]],Places[Jurisdiction],0))</f>
        <v>Los Angeles</v>
      </c>
      <c r="E294" s="19">
        <f>INDEX(Places[Majority RB '#],MATCH(Expenditures[[#This Row],[Jurisdiction]],Places[Jurisdiction],0))</f>
        <v>4</v>
      </c>
      <c r="F294" s="19" t="str">
        <f>VLOOKUP(Expenditures[[#This Row],[Jurisdiction]],Places[#All],8,FALSE)</f>
        <v>Phase I MS4</v>
      </c>
      <c r="G294" s="19"/>
      <c r="H294" s="100" t="s">
        <v>1873</v>
      </c>
      <c r="I294" s="21">
        <f>VALUE(LEFT(Expenditures[[#This Row],[Fiscal Year]],4))</f>
        <v>2015</v>
      </c>
      <c r="J294" s="20">
        <v>4707109</v>
      </c>
      <c r="K294" s="20">
        <f>IF(Expenditures[[#This Row],[Reference Year]]&gt;2018,Expenditures[[#This Row],[Value]],Expenditures[[#This Row],[Value]]*(1+VLOOKUP(Expenditures[[#This Row],[Reference Year]],Inflation[#All],3,FALSE)))</f>
        <v>4997698.501177215</v>
      </c>
      <c r="L294" s="105">
        <f>VALUE(Expenditures[[#This Row],[2018 $ Value]]/VLOOKUP(Expenditures[[#This Row],[Jurisdiction]],Places[],6,FALSE))</f>
        <v>140.65345325839286</v>
      </c>
      <c r="M294" s="105">
        <f>VALUE(Expenditures[[#This Row],[2018 $ Value]]/VLOOKUP(Expenditures[[#This Row],[Jurisdiction]],Places[],7,FALSE))</f>
        <v>1281461.1541480038</v>
      </c>
      <c r="N294" s="20" t="s">
        <v>1853</v>
      </c>
      <c r="O294" s="20" t="s">
        <v>1853</v>
      </c>
    </row>
    <row r="295" spans="1:15" x14ac:dyDescent="0.25">
      <c r="A295" s="19" t="s">
        <v>235</v>
      </c>
      <c r="B295" s="19" t="str">
        <f>INDEX(Places[Type],MATCH(Expenditures[[#This Row],[Jurisdiction]],Places[Jurisdiction],0))</f>
        <v>City</v>
      </c>
      <c r="C295" s="19" t="str">
        <f>INDEX(Places[County],MATCH(Expenditures[[#This Row],[Jurisdiction]],Places[Jurisdiction],0))</f>
        <v>Riverside</v>
      </c>
      <c r="D295" s="19" t="str">
        <f>INDEX(Places[Majority RB],MATCH(Expenditures[[#This Row],[Jurisdiction]],Places[Jurisdiction],0))</f>
        <v>Santa Ana</v>
      </c>
      <c r="E295" s="19">
        <f>INDEX(Places[Majority RB '#],MATCH(Expenditures[[#This Row],[Jurisdiction]],Places[Jurisdiction],0))</f>
        <v>8</v>
      </c>
      <c r="F295" s="19" t="str">
        <f>VLOOKUP(Expenditures[[#This Row],[Jurisdiction]],Places[#All],8,FALSE)</f>
        <v>Phase I MS4</v>
      </c>
      <c r="G295" s="19"/>
      <c r="H295" s="21" t="s">
        <v>1869</v>
      </c>
      <c r="I295" s="21">
        <f>VALUE(LEFT(Expenditures[[#This Row],[Fiscal Year]],4))</f>
        <v>2016</v>
      </c>
      <c r="J295" s="20">
        <v>331585</v>
      </c>
      <c r="K295" s="20">
        <f>IF(Expenditures[[#This Row],[Reference Year]]&gt;2018,Expenditures[[#This Row],[Value]],Expenditures[[#This Row],[Value]]*(1+VLOOKUP(Expenditures[[#This Row],[Reference Year]],Inflation[#All],3,FALSE)))</f>
        <v>347654.43806250003</v>
      </c>
      <c r="L295" s="105">
        <f>VALUE(Expenditures[[#This Row],[2018 $ Value]]/VLOOKUP(Expenditures[[#This Row],[Jurisdiction]],Places[],6,FALSE))</f>
        <v>3.7545703122468819</v>
      </c>
      <c r="M295" s="105">
        <f>VALUE(Expenditures[[#This Row],[2018 $ Value]]/VLOOKUP(Expenditures[[#This Row],[Jurisdiction]],Places[],7,FALSE))</f>
        <v>7476.4395282258074</v>
      </c>
      <c r="N295" s="20" t="s">
        <v>1460</v>
      </c>
      <c r="O295" s="20" t="s">
        <v>1853</v>
      </c>
    </row>
    <row r="296" spans="1:15" x14ac:dyDescent="0.25">
      <c r="A296" s="19" t="s">
        <v>284</v>
      </c>
      <c r="B296" s="19" t="str">
        <f>INDEX(Places[Type],MATCH(Expenditures[[#This Row],[Jurisdiction]],Places[Jurisdiction],0))</f>
        <v>City</v>
      </c>
      <c r="C296" s="19" t="str">
        <f>INDEX(Places[County],MATCH(Expenditures[[#This Row],[Jurisdiction]],Places[Jurisdiction],0))</f>
        <v>Orange</v>
      </c>
      <c r="D296" s="19" t="str">
        <f>INDEX(Places[Majority RB],MATCH(Expenditures[[#This Row],[Jurisdiction]],Places[Jurisdiction],0))</f>
        <v>San Diego</v>
      </c>
      <c r="E296" s="19">
        <f>INDEX(Places[Majority RB '#],MATCH(Expenditures[[#This Row],[Jurisdiction]],Places[Jurisdiction],0))</f>
        <v>9</v>
      </c>
      <c r="F296" s="19" t="str">
        <f>VLOOKUP(Expenditures[[#This Row],[Jurisdiction]],Places[#All],8,FALSE)</f>
        <v>Phase I MS4</v>
      </c>
      <c r="G296" s="19"/>
      <c r="H296" s="21" t="s">
        <v>1893</v>
      </c>
      <c r="I296" s="21">
        <f>VALUE(LEFT(Expenditures[[#This Row],[Fiscal Year]],4))</f>
        <v>2000</v>
      </c>
      <c r="J296" s="20">
        <v>948793</v>
      </c>
      <c r="K296" s="20">
        <f>IF(Expenditures[[#This Row],[Reference Year]]&gt;2018,Expenditures[[#This Row],[Value]],Expenditures[[#This Row],[Value]]*(1+VLOOKUP(Expenditures[[#This Row],[Reference Year]],Inflation[#All],3,FALSE)))</f>
        <v>1386444.433118467</v>
      </c>
      <c r="L296" s="105">
        <f>VALUE(Expenditures[[#This Row],[2018 $ Value]]/VLOOKUP(Expenditures[[#This Row],[Jurisdiction]],Places[],6,FALSE))</f>
        <v>14.563185995236099</v>
      </c>
      <c r="M296" s="105">
        <f>VALUE(Expenditures[[#This Row],[2018 $ Value]]/VLOOKUP(Expenditures[[#This Row],[Jurisdiction]],Places[],7,FALSE))</f>
        <v>78330.193961495315</v>
      </c>
      <c r="N296" s="20" t="s">
        <v>1460</v>
      </c>
      <c r="O296" s="20" t="s">
        <v>1460</v>
      </c>
    </row>
    <row r="297" spans="1:15" x14ac:dyDescent="0.25">
      <c r="A297" s="19" t="s">
        <v>284</v>
      </c>
      <c r="B297" s="19" t="str">
        <f>INDEX(Places[Type],MATCH(Expenditures[[#This Row],[Jurisdiction]],Places[Jurisdiction],0))</f>
        <v>City</v>
      </c>
      <c r="C297" s="19" t="str">
        <f>INDEX(Places[County],MATCH(Expenditures[[#This Row],[Jurisdiction]],Places[Jurisdiction],0))</f>
        <v>Orange</v>
      </c>
      <c r="D297" s="19" t="str">
        <f>INDEX(Places[Majority RB],MATCH(Expenditures[[#This Row],[Jurisdiction]],Places[Jurisdiction],0))</f>
        <v>San Diego</v>
      </c>
      <c r="E297" s="19">
        <f>INDEX(Places[Majority RB '#],MATCH(Expenditures[[#This Row],[Jurisdiction]],Places[Jurisdiction],0))</f>
        <v>9</v>
      </c>
      <c r="F297" s="19" t="str">
        <f>VLOOKUP(Expenditures[[#This Row],[Jurisdiction]],Places[#All],8,FALSE)</f>
        <v>Phase I MS4</v>
      </c>
      <c r="G297" s="19"/>
      <c r="H297" s="21" t="s">
        <v>1875</v>
      </c>
      <c r="I297" s="21">
        <f>VALUE(LEFT(Expenditures[[#This Row],[Fiscal Year]],4))</f>
        <v>2001</v>
      </c>
      <c r="J297" s="20">
        <v>1412635</v>
      </c>
      <c r="K297" s="20">
        <f>IF(Expenditures[[#This Row],[Reference Year]]&gt;2018,Expenditures[[#This Row],[Value]],Expenditures[[#This Row],[Value]]*(1+VLOOKUP(Expenditures[[#This Row],[Reference Year]],Inflation[#All],3,FALSE)))</f>
        <v>2007130.1958498023</v>
      </c>
      <c r="L297" s="105">
        <f>VALUE(Expenditures[[#This Row],[2018 $ Value]]/VLOOKUP(Expenditures[[#This Row],[Jurisdiction]],Places[],6,FALSE))</f>
        <v>21.082857459400039</v>
      </c>
      <c r="M297" s="105">
        <f>VALUE(Expenditures[[#This Row],[2018 $ Value]]/VLOOKUP(Expenditures[[#This Row],[Jurisdiction]],Places[],7,FALSE))</f>
        <v>113397.18620620352</v>
      </c>
      <c r="N297" s="20" t="s">
        <v>1460</v>
      </c>
      <c r="O297" s="20" t="s">
        <v>1460</v>
      </c>
    </row>
    <row r="298" spans="1:15" x14ac:dyDescent="0.25">
      <c r="A298" s="19" t="s">
        <v>284</v>
      </c>
      <c r="B298" s="19" t="str">
        <f>INDEX(Places[Type],MATCH(Expenditures[[#This Row],[Jurisdiction]],Places[Jurisdiction],0))</f>
        <v>City</v>
      </c>
      <c r="C298" s="19" t="str">
        <f>INDEX(Places[County],MATCH(Expenditures[[#This Row],[Jurisdiction]],Places[Jurisdiction],0))</f>
        <v>Orange</v>
      </c>
      <c r="D298" s="19" t="str">
        <f>INDEX(Places[Majority RB],MATCH(Expenditures[[#This Row],[Jurisdiction]],Places[Jurisdiction],0))</f>
        <v>San Diego</v>
      </c>
      <c r="E298" s="19">
        <f>INDEX(Places[Majority RB '#],MATCH(Expenditures[[#This Row],[Jurisdiction]],Places[Jurisdiction],0))</f>
        <v>9</v>
      </c>
      <c r="F298" s="19" t="str">
        <f>VLOOKUP(Expenditures[[#This Row],[Jurisdiction]],Places[#All],8,FALSE)</f>
        <v>Phase I MS4</v>
      </c>
      <c r="G298" s="19"/>
      <c r="H298" s="21" t="s">
        <v>1880</v>
      </c>
      <c r="I298" s="21">
        <f>VALUE(LEFT(Expenditures[[#This Row],[Fiscal Year]],4))</f>
        <v>2013</v>
      </c>
      <c r="J298" s="20">
        <v>1750717</v>
      </c>
      <c r="K298" s="20">
        <f>IF(Expenditures[[#This Row],[Reference Year]]&gt;2018,Expenditures[[#This Row],[Value]],Expenditures[[#This Row],[Value]]*(1+VLOOKUP(Expenditures[[#This Row],[Reference Year]],Inflation[#All],3,FALSE)))</f>
        <v>1890706.7357381976</v>
      </c>
      <c r="L298" s="105">
        <f>VALUE(Expenditures[[#This Row],[2018 $ Value]]/VLOOKUP(Expenditures[[#This Row],[Jurisdiction]],Places[],6,FALSE))</f>
        <v>19.859947645408685</v>
      </c>
      <c r="M298" s="105">
        <f>VALUE(Expenditures[[#This Row],[2018 $ Value]]/VLOOKUP(Expenditures[[#This Row],[Jurisdiction]],Places[],7,FALSE))</f>
        <v>106819.58958972868</v>
      </c>
      <c r="N298" s="20" t="s">
        <v>1460</v>
      </c>
      <c r="O298" s="20" t="s">
        <v>1460</v>
      </c>
    </row>
    <row r="299" spans="1:15" x14ac:dyDescent="0.25">
      <c r="A299" s="19" t="s">
        <v>284</v>
      </c>
      <c r="B299" s="19" t="str">
        <f>INDEX(Places[Type],MATCH(Expenditures[[#This Row],[Jurisdiction]],Places[Jurisdiction],0))</f>
        <v>City</v>
      </c>
      <c r="C299" s="19" t="str">
        <f>INDEX(Places[County],MATCH(Expenditures[[#This Row],[Jurisdiction]],Places[Jurisdiction],0))</f>
        <v>Orange</v>
      </c>
      <c r="D299" s="19" t="str">
        <f>INDEX(Places[Majority RB],MATCH(Expenditures[[#This Row],[Jurisdiction]],Places[Jurisdiction],0))</f>
        <v>San Diego</v>
      </c>
      <c r="E299" s="19">
        <f>INDEX(Places[Majority RB '#],MATCH(Expenditures[[#This Row],[Jurisdiction]],Places[Jurisdiction],0))</f>
        <v>9</v>
      </c>
      <c r="F299" s="19" t="str">
        <f>VLOOKUP(Expenditures[[#This Row],[Jurisdiction]],Places[#All],8,FALSE)</f>
        <v>Phase I MS4</v>
      </c>
      <c r="G299" s="19"/>
      <c r="H299" s="21" t="s">
        <v>1881</v>
      </c>
      <c r="I299" s="21">
        <f>VALUE(LEFT(Expenditures[[#This Row],[Fiscal Year]],4))</f>
        <v>2014</v>
      </c>
      <c r="J299" s="20">
        <v>2244967</v>
      </c>
      <c r="K299" s="20">
        <f>IF(Expenditures[[#This Row],[Reference Year]]&gt;2018,Expenditures[[#This Row],[Value]],Expenditures[[#This Row],[Value]]*(1+VLOOKUP(Expenditures[[#This Row],[Reference Year]],Inflation[#All],3,FALSE)))</f>
        <v>2386579.1769201523</v>
      </c>
      <c r="L299" s="105">
        <f>VALUE(Expenditures[[#This Row],[2018 $ Value]]/VLOOKUP(Expenditures[[#This Row],[Jurisdiction]],Places[],6,FALSE))</f>
        <v>25.068582350372392</v>
      </c>
      <c r="M299" s="105">
        <f>VALUE(Expenditures[[#This Row],[2018 $ Value]]/VLOOKUP(Expenditures[[#This Row],[Jurisdiction]],Places[],7,FALSE))</f>
        <v>134834.98174690126</v>
      </c>
      <c r="N299" s="20" t="s">
        <v>1460</v>
      </c>
      <c r="O299" s="20" t="s">
        <v>1460</v>
      </c>
    </row>
    <row r="300" spans="1:15" x14ac:dyDescent="0.25">
      <c r="A300" s="19" t="s">
        <v>284</v>
      </c>
      <c r="B300" s="19" t="str">
        <f>INDEX(Places[Type],MATCH(Expenditures[[#This Row],[Jurisdiction]],Places[Jurisdiction],0))</f>
        <v>City</v>
      </c>
      <c r="C300" s="19" t="str">
        <f>INDEX(Places[County],MATCH(Expenditures[[#This Row],[Jurisdiction]],Places[Jurisdiction],0))</f>
        <v>Orange</v>
      </c>
      <c r="D300" s="19" t="str">
        <f>INDEX(Places[Majority RB],MATCH(Expenditures[[#This Row],[Jurisdiction]],Places[Jurisdiction],0))</f>
        <v>San Diego</v>
      </c>
      <c r="E300" s="19">
        <f>INDEX(Places[Majority RB '#],MATCH(Expenditures[[#This Row],[Jurisdiction]],Places[Jurisdiction],0))</f>
        <v>9</v>
      </c>
      <c r="F300" s="19" t="str">
        <f>VLOOKUP(Expenditures[[#This Row],[Jurisdiction]],Places[#All],8,FALSE)</f>
        <v>Phase I MS4</v>
      </c>
      <c r="G300" s="19"/>
      <c r="H300" s="21" t="s">
        <v>1873</v>
      </c>
      <c r="I300" s="21">
        <f>VALUE(LEFT(Expenditures[[#This Row],[Fiscal Year]],4))</f>
        <v>2015</v>
      </c>
      <c r="J300" s="20">
        <v>2226430</v>
      </c>
      <c r="K300" s="20">
        <f>IF(Expenditures[[#This Row],[Reference Year]]&gt;2018,Expenditures[[#This Row],[Value]],Expenditures[[#This Row],[Value]]*(1+VLOOKUP(Expenditures[[#This Row],[Reference Year]],Inflation[#All],3,FALSE)))</f>
        <v>2363876.8241772149</v>
      </c>
      <c r="L300" s="105">
        <f>VALUE(Expenditures[[#This Row],[2018 $ Value]]/VLOOKUP(Expenditures[[#This Row],[Jurisdiction]],Places[],6,FALSE))</f>
        <v>24.830117268305443</v>
      </c>
      <c r="M300" s="105">
        <f>VALUE(Expenditures[[#This Row],[2018 $ Value]]/VLOOKUP(Expenditures[[#This Row],[Jurisdiction]],Places[],7,FALSE))</f>
        <v>133552.36294786524</v>
      </c>
      <c r="N300" s="20" t="s">
        <v>1460</v>
      </c>
      <c r="O300" s="20" t="s">
        <v>1460</v>
      </c>
    </row>
    <row r="301" spans="1:15" x14ac:dyDescent="0.25">
      <c r="A301" s="19" t="s">
        <v>284</v>
      </c>
      <c r="B301" s="19" t="str">
        <f>INDEX(Places[Type],MATCH(Expenditures[[#This Row],[Jurisdiction]],Places[Jurisdiction],0))</f>
        <v>City</v>
      </c>
      <c r="C301" s="19" t="str">
        <f>INDEX(Places[County],MATCH(Expenditures[[#This Row],[Jurisdiction]],Places[Jurisdiction],0))</f>
        <v>Orange</v>
      </c>
      <c r="D301" s="19" t="str">
        <f>INDEX(Places[Majority RB],MATCH(Expenditures[[#This Row],[Jurisdiction]],Places[Jurisdiction],0))</f>
        <v>San Diego</v>
      </c>
      <c r="E301" s="19">
        <f>INDEX(Places[Majority RB '#],MATCH(Expenditures[[#This Row],[Jurisdiction]],Places[Jurisdiction],0))</f>
        <v>9</v>
      </c>
      <c r="F301" s="19" t="str">
        <f>VLOOKUP(Expenditures[[#This Row],[Jurisdiction]],Places[#All],8,FALSE)</f>
        <v>Phase I MS4</v>
      </c>
      <c r="G301" s="19"/>
      <c r="H301" s="21" t="s">
        <v>1869</v>
      </c>
      <c r="I301" s="21">
        <f>VALUE(LEFT(Expenditures[[#This Row],[Fiscal Year]],4))</f>
        <v>2016</v>
      </c>
      <c r="J301" s="20">
        <v>1509820</v>
      </c>
      <c r="K301" s="20">
        <f>IF(Expenditures[[#This Row],[Reference Year]]&gt;2018,Expenditures[[#This Row],[Value]],Expenditures[[#This Row],[Value]]*(1+VLOOKUP(Expenditures[[#This Row],[Reference Year]],Inflation[#All],3,FALSE)))</f>
        <v>1582989.6517500002</v>
      </c>
      <c r="L301" s="105">
        <f>VALUE(Expenditures[[#This Row],[2018 $ Value]]/VLOOKUP(Expenditures[[#This Row],[Jurisdiction]],Places[],6,FALSE))</f>
        <v>16.627693239112627</v>
      </c>
      <c r="M301" s="105">
        <f>VALUE(Expenditures[[#This Row],[2018 $ Value]]/VLOOKUP(Expenditures[[#This Row],[Jurisdiction]],Places[],7,FALSE))</f>
        <v>89434.443601694933</v>
      </c>
      <c r="N301" s="20" t="s">
        <v>1460</v>
      </c>
      <c r="O301" s="20" t="s">
        <v>1460</v>
      </c>
    </row>
    <row r="302" spans="1:15" x14ac:dyDescent="0.25">
      <c r="A302" s="19" t="s">
        <v>284</v>
      </c>
      <c r="B302" s="19" t="str">
        <f>INDEX(Places[Type],MATCH(Expenditures[[#This Row],[Jurisdiction]],Places[Jurisdiction],0))</f>
        <v>City</v>
      </c>
      <c r="C302" s="19" t="str">
        <f>INDEX(Places[County],MATCH(Expenditures[[#This Row],[Jurisdiction]],Places[Jurisdiction],0))</f>
        <v>Orange</v>
      </c>
      <c r="D302" s="19" t="str">
        <f>INDEX(Places[Majority RB],MATCH(Expenditures[[#This Row],[Jurisdiction]],Places[Jurisdiction],0))</f>
        <v>San Diego</v>
      </c>
      <c r="E302" s="19">
        <f>INDEX(Places[Majority RB '#],MATCH(Expenditures[[#This Row],[Jurisdiction]],Places[Jurisdiction],0))</f>
        <v>9</v>
      </c>
      <c r="F302" s="19" t="str">
        <f>VLOOKUP(Expenditures[[#This Row],[Jurisdiction]],Places[#All],8,FALSE)</f>
        <v>Phase I MS4</v>
      </c>
      <c r="G302" s="19"/>
      <c r="H302" s="21" t="s">
        <v>1874</v>
      </c>
      <c r="I302" s="21">
        <f>VALUE(LEFT(Expenditures[[#This Row],[Fiscal Year]],4))</f>
        <v>2017</v>
      </c>
      <c r="J302" s="104">
        <v>2644876</v>
      </c>
      <c r="K302" s="20">
        <f>IF(Expenditures[[#This Row],[Reference Year]]&gt;2018,Expenditures[[#This Row],[Value]],Expenditures[[#This Row],[Value]]*(1+VLOOKUP(Expenditures[[#This Row],[Reference Year]],Inflation[#All],3,FALSE)))</f>
        <v>2715352.0716279075</v>
      </c>
      <c r="L302" s="105">
        <f>VALUE(Expenditures[[#This Row],[2018 $ Value]]/VLOOKUP(Expenditures[[#This Row],[Jurisdiction]],Places[],6,FALSE))</f>
        <v>28.52200659259162</v>
      </c>
      <c r="M302" s="105">
        <f>VALUE(Expenditures[[#This Row],[2018 $ Value]]/VLOOKUP(Expenditures[[#This Row],[Jurisdiction]],Places[],7,FALSE))</f>
        <v>153409.72156089873</v>
      </c>
      <c r="N302" s="20" t="s">
        <v>1853</v>
      </c>
      <c r="O302" s="20" t="s">
        <v>1853</v>
      </c>
    </row>
    <row r="303" spans="1:15" x14ac:dyDescent="0.25">
      <c r="A303" s="19" t="s">
        <v>183</v>
      </c>
      <c r="B303" s="19" t="str">
        <f>INDEX(Places[Type],MATCH(Expenditures[[#This Row],[Jurisdiction]],Places[Jurisdiction],0))</f>
        <v>City</v>
      </c>
      <c r="C303" s="19" t="str">
        <f>INDEX(Places[County],MATCH(Expenditures[[#This Row],[Jurisdiction]],Places[Jurisdiction],0))</f>
        <v>Los Angeles</v>
      </c>
      <c r="D303" s="19" t="str">
        <f>INDEX(Places[Majority RB],MATCH(Expenditures[[#This Row],[Jurisdiction]],Places[Jurisdiction],0))</f>
        <v>Los Angeles</v>
      </c>
      <c r="E303" s="19">
        <f>INDEX(Places[Majority RB '#],MATCH(Expenditures[[#This Row],[Jurisdiction]],Places[Jurisdiction],0))</f>
        <v>4</v>
      </c>
      <c r="F303" s="19" t="str">
        <f>VLOOKUP(Expenditures[[#This Row],[Jurisdiction]],Places[#All],8,FALSE)</f>
        <v>Phase I MS4</v>
      </c>
      <c r="G303" s="19"/>
      <c r="H303" s="21" t="s">
        <v>1870</v>
      </c>
      <c r="I303" s="21">
        <f>VALUE(LEFT(Expenditures[[#This Row],[Fiscal Year]],4))</f>
        <v>2011</v>
      </c>
      <c r="J303" s="20">
        <v>687783</v>
      </c>
      <c r="K303" s="20">
        <f>IF(Expenditures[[#This Row],[Reference Year]]&gt;2018,Expenditures[[#This Row],[Value]],Expenditures[[#This Row],[Value]]*(1+VLOOKUP(Expenditures[[#This Row],[Reference Year]],Inflation[#All],3,FALSE)))</f>
        <v>769531.00966207206</v>
      </c>
      <c r="L303" s="105">
        <f>VALUE(Expenditures[[#This Row],[2018 $ Value]]/VLOOKUP(Expenditures[[#This Row],[Jurisdiction]],Places[],6,FALSE))</f>
        <v>20.959580816071689</v>
      </c>
      <c r="M303" s="105">
        <f>VALUE(Expenditures[[#This Row],[2018 $ Value]]/VLOOKUP(Expenditures[[#This Row],[Jurisdiction]],Places[],7,FALSE))</f>
        <v>56583.162475152356</v>
      </c>
      <c r="N303" s="20" t="s">
        <v>1460</v>
      </c>
      <c r="O303" s="20" t="s">
        <v>1460</v>
      </c>
    </row>
    <row r="304" spans="1:15" x14ac:dyDescent="0.25">
      <c r="A304" s="19" t="s">
        <v>183</v>
      </c>
      <c r="B304" s="19" t="str">
        <f>INDEX(Places[Type],MATCH(Expenditures[[#This Row],[Jurisdiction]],Places[Jurisdiction],0))</f>
        <v>City</v>
      </c>
      <c r="C304" s="19" t="str">
        <f>INDEX(Places[County],MATCH(Expenditures[[#This Row],[Jurisdiction]],Places[Jurisdiction],0))</f>
        <v>Los Angeles</v>
      </c>
      <c r="D304" s="19" t="str">
        <f>INDEX(Places[Majority RB],MATCH(Expenditures[[#This Row],[Jurisdiction]],Places[Jurisdiction],0))</f>
        <v>Los Angeles</v>
      </c>
      <c r="E304" s="19">
        <f>INDEX(Places[Majority RB '#],MATCH(Expenditures[[#This Row],[Jurisdiction]],Places[Jurisdiction],0))</f>
        <v>4</v>
      </c>
      <c r="F304" s="19" t="str">
        <f>VLOOKUP(Expenditures[[#This Row],[Jurisdiction]],Places[#All],8,FALSE)</f>
        <v>Phase I MS4</v>
      </c>
      <c r="G304" s="19"/>
      <c r="H304" s="21" t="s">
        <v>1873</v>
      </c>
      <c r="I304" s="21">
        <f>VALUE(LEFT(Expenditures[[#This Row],[Fiscal Year]],4))</f>
        <v>2015</v>
      </c>
      <c r="J304" s="20">
        <v>713900</v>
      </c>
      <c r="K304" s="20">
        <f>IF(Expenditures[[#This Row],[Reference Year]]&gt;2018,Expenditures[[#This Row],[Value]],Expenditures[[#This Row],[Value]]*(1+VLOOKUP(Expenditures[[#This Row],[Reference Year]],Inflation[#All],3,FALSE)))</f>
        <v>757972.02911392401</v>
      </c>
      <c r="L304" s="105">
        <f>VALUE(Expenditures[[#This Row],[2018 $ Value]]/VLOOKUP(Expenditures[[#This Row],[Jurisdiction]],Places[],6,FALSE))</f>
        <v>20.64475089510892</v>
      </c>
      <c r="M304" s="105">
        <f>VALUE(Expenditures[[#This Row],[2018 $ Value]]/VLOOKUP(Expenditures[[#This Row],[Jurisdiction]],Places[],7,FALSE))</f>
        <v>55733.237434847353</v>
      </c>
      <c r="N304" s="20" t="s">
        <v>1853</v>
      </c>
      <c r="O304" s="20" t="s">
        <v>1853</v>
      </c>
    </row>
    <row r="305" spans="1:15" x14ac:dyDescent="0.25">
      <c r="A305" s="19" t="s">
        <v>247</v>
      </c>
      <c r="B305" s="19" t="str">
        <f>INDEX(Places[Type],MATCH(Expenditures[[#This Row],[Jurisdiction]],Places[Jurisdiction],0))</f>
        <v>City</v>
      </c>
      <c r="C305" s="19" t="str">
        <f>INDEX(Places[County],MATCH(Expenditures[[#This Row],[Jurisdiction]],Places[Jurisdiction],0))</f>
        <v>San Bernardino</v>
      </c>
      <c r="D305" s="19" t="str">
        <f>INDEX(Places[Majority RB],MATCH(Expenditures[[#This Row],[Jurisdiction]],Places[Jurisdiction],0))</f>
        <v>Santa Ana</v>
      </c>
      <c r="E305" s="19">
        <f>INDEX(Places[Majority RB '#],MATCH(Expenditures[[#This Row],[Jurisdiction]],Places[Jurisdiction],0))</f>
        <v>8</v>
      </c>
      <c r="F305" s="19" t="str">
        <f>VLOOKUP(Expenditures[[#This Row],[Jurisdiction]],Places[#All],8,FALSE)</f>
        <v>Phase I MS4</v>
      </c>
      <c r="G305" s="19"/>
      <c r="H305" s="21" t="s">
        <v>1870</v>
      </c>
      <c r="I305" s="21">
        <f>VALUE(LEFT(Expenditures[[#This Row],[Fiscal Year]],4))</f>
        <v>2011</v>
      </c>
      <c r="J305" s="20">
        <v>453659</v>
      </c>
      <c r="K305" s="20">
        <f>IF(Expenditures[[#This Row],[Reference Year]]&gt;2018,Expenditures[[#This Row],[Value]],Expenditures[[#This Row],[Value]]*(1+VLOOKUP(Expenditures[[#This Row],[Reference Year]],Inflation[#All],3,FALSE)))</f>
        <v>507579.67020453536</v>
      </c>
      <c r="L305" s="105">
        <f>VALUE(Expenditures[[#This Row],[2018 $ Value]]/VLOOKUP(Expenditures[[#This Row],[Jurisdiction]],Places[],6,FALSE))</f>
        <v>12.870646098956193</v>
      </c>
      <c r="M305" s="105">
        <f>VALUE(Expenditures[[#This Row],[2018 $ Value]]/VLOOKUP(Expenditures[[#This Row],[Jurisdiction]],Places[],7,FALSE))</f>
        <v>92287.212764460972</v>
      </c>
      <c r="N305" s="20" t="s">
        <v>1460</v>
      </c>
      <c r="O305" s="20" t="s">
        <v>1460</v>
      </c>
    </row>
    <row r="306" spans="1:15" x14ac:dyDescent="0.25">
      <c r="A306" s="19" t="s">
        <v>247</v>
      </c>
      <c r="B306" s="19" t="str">
        <f>INDEX(Places[Type],MATCH(Expenditures[[#This Row],[Jurisdiction]],Places[Jurisdiction],0))</f>
        <v>City</v>
      </c>
      <c r="C306" s="19" t="str">
        <f>INDEX(Places[County],MATCH(Expenditures[[#This Row],[Jurisdiction]],Places[Jurisdiction],0))</f>
        <v>San Bernardino</v>
      </c>
      <c r="D306" s="19" t="str">
        <f>INDEX(Places[Majority RB],MATCH(Expenditures[[#This Row],[Jurisdiction]],Places[Jurisdiction],0))</f>
        <v>Santa Ana</v>
      </c>
      <c r="E306" s="19">
        <f>INDEX(Places[Majority RB '#],MATCH(Expenditures[[#This Row],[Jurisdiction]],Places[Jurisdiction],0))</f>
        <v>8</v>
      </c>
      <c r="F306" s="19" t="str">
        <f>VLOOKUP(Expenditures[[#This Row],[Jurisdiction]],Places[#All],8,FALSE)</f>
        <v>Phase I MS4</v>
      </c>
      <c r="G306" s="19"/>
      <c r="H306" s="21" t="s">
        <v>1871</v>
      </c>
      <c r="I306" s="21">
        <f>VALUE(LEFT(Expenditures[[#This Row],[Fiscal Year]],4))</f>
        <v>2012</v>
      </c>
      <c r="J306" s="20">
        <v>459473</v>
      </c>
      <c r="K306" s="20">
        <f>IF(Expenditures[[#This Row],[Reference Year]]&gt;2018,Expenditures[[#This Row],[Value]],Expenditures[[#This Row],[Value]]*(1+VLOOKUP(Expenditures[[#This Row],[Reference Year]],Inflation[#All],3,FALSE)))</f>
        <v>503561.1953963415</v>
      </c>
      <c r="L306" s="105">
        <f>VALUE(Expenditures[[#This Row],[2018 $ Value]]/VLOOKUP(Expenditures[[#This Row],[Jurisdiction]],Places[],6,FALSE))</f>
        <v>12.768750041746115</v>
      </c>
      <c r="M306" s="105">
        <f>VALUE(Expenditures[[#This Row],[2018 $ Value]]/VLOOKUP(Expenditures[[#This Row],[Jurisdiction]],Places[],7,FALSE))</f>
        <v>91556.580981153005</v>
      </c>
      <c r="N306" s="20" t="s">
        <v>1460</v>
      </c>
      <c r="O306" s="20" t="s">
        <v>1460</v>
      </c>
    </row>
    <row r="307" spans="1:15" x14ac:dyDescent="0.25">
      <c r="A307" s="19" t="s">
        <v>247</v>
      </c>
      <c r="B307" s="19" t="str">
        <f>INDEX(Places[Type],MATCH(Expenditures[[#This Row],[Jurisdiction]],Places[Jurisdiction],0))</f>
        <v>City</v>
      </c>
      <c r="C307" s="19" t="str">
        <f>INDEX(Places[County],MATCH(Expenditures[[#This Row],[Jurisdiction]],Places[Jurisdiction],0))</f>
        <v>San Bernardino</v>
      </c>
      <c r="D307" s="19" t="str">
        <f>INDEX(Places[Majority RB],MATCH(Expenditures[[#This Row],[Jurisdiction]],Places[Jurisdiction],0))</f>
        <v>Santa Ana</v>
      </c>
      <c r="E307" s="19">
        <f>INDEX(Places[Majority RB '#],MATCH(Expenditures[[#This Row],[Jurisdiction]],Places[Jurisdiction],0))</f>
        <v>8</v>
      </c>
      <c r="F307" s="19" t="str">
        <f>VLOOKUP(Expenditures[[#This Row],[Jurisdiction]],Places[#All],8,FALSE)</f>
        <v>Phase I MS4</v>
      </c>
      <c r="G307" s="19"/>
      <c r="H307" s="21" t="s">
        <v>1880</v>
      </c>
      <c r="I307" s="21">
        <f>VALUE(LEFT(Expenditures[[#This Row],[Fiscal Year]],4))</f>
        <v>2013</v>
      </c>
      <c r="J307" s="20">
        <v>419204</v>
      </c>
      <c r="K307" s="20">
        <f>IF(Expenditures[[#This Row],[Reference Year]]&gt;2018,Expenditures[[#This Row],[Value]],Expenditures[[#This Row],[Value]]*(1+VLOOKUP(Expenditures[[#This Row],[Reference Year]],Inflation[#All],3,FALSE)))</f>
        <v>452724.12757081544</v>
      </c>
      <c r="L307" s="105">
        <f>VALUE(Expenditures[[#This Row],[2018 $ Value]]/VLOOKUP(Expenditures[[#This Row],[Jurisdiction]],Places[],6,FALSE))</f>
        <v>11.479679680777327</v>
      </c>
      <c r="M307" s="105">
        <f>VALUE(Expenditures[[#This Row],[2018 $ Value]]/VLOOKUP(Expenditures[[#This Row],[Jurisdiction]],Places[],7,FALSE))</f>
        <v>82313.477740148257</v>
      </c>
      <c r="N307" s="20" t="s">
        <v>1460</v>
      </c>
      <c r="O307" s="20" t="s">
        <v>1460</v>
      </c>
    </row>
    <row r="308" spans="1:15" x14ac:dyDescent="0.25">
      <c r="A308" s="19" t="s">
        <v>247</v>
      </c>
      <c r="B308" s="19" t="str">
        <f>INDEX(Places[Type],MATCH(Expenditures[[#This Row],[Jurisdiction]],Places[Jurisdiction],0))</f>
        <v>City</v>
      </c>
      <c r="C308" s="19" t="str">
        <f>INDEX(Places[County],MATCH(Expenditures[[#This Row],[Jurisdiction]],Places[Jurisdiction],0))</f>
        <v>San Bernardino</v>
      </c>
      <c r="D308" s="19" t="str">
        <f>INDEX(Places[Majority RB],MATCH(Expenditures[[#This Row],[Jurisdiction]],Places[Jurisdiction],0))</f>
        <v>Santa Ana</v>
      </c>
      <c r="E308" s="19">
        <f>INDEX(Places[Majority RB '#],MATCH(Expenditures[[#This Row],[Jurisdiction]],Places[Jurisdiction],0))</f>
        <v>8</v>
      </c>
      <c r="F308" s="19" t="str">
        <f>VLOOKUP(Expenditures[[#This Row],[Jurisdiction]],Places[#All],8,FALSE)</f>
        <v>Phase I MS4</v>
      </c>
      <c r="G308" s="19"/>
      <c r="H308" s="21" t="s">
        <v>1881</v>
      </c>
      <c r="I308" s="21">
        <f>VALUE(LEFT(Expenditures[[#This Row],[Fiscal Year]],4))</f>
        <v>2014</v>
      </c>
      <c r="J308" s="20">
        <v>429171</v>
      </c>
      <c r="K308" s="20">
        <f>IF(Expenditures[[#This Row],[Reference Year]]&gt;2018,Expenditures[[#This Row],[Value]],Expenditures[[#This Row],[Value]]*(1+VLOOKUP(Expenditures[[#This Row],[Reference Year]],Inflation[#All],3,FALSE)))</f>
        <v>456243.04140684416</v>
      </c>
      <c r="L308" s="105">
        <f>VALUE(Expenditures[[#This Row],[2018 $ Value]]/VLOOKUP(Expenditures[[#This Row],[Jurisdiction]],Places[],6,FALSE))</f>
        <v>11.568908421199486</v>
      </c>
      <c r="M308" s="105">
        <f>VALUE(Expenditures[[#This Row],[2018 $ Value]]/VLOOKUP(Expenditures[[#This Row],[Jurisdiction]],Places[],7,FALSE))</f>
        <v>82953.280255789854</v>
      </c>
      <c r="N308" s="20" t="s">
        <v>1460</v>
      </c>
      <c r="O308" s="20" t="s">
        <v>1853</v>
      </c>
    </row>
    <row r="309" spans="1:15" x14ac:dyDescent="0.25">
      <c r="A309" s="19" t="s">
        <v>191</v>
      </c>
      <c r="B309" s="19" t="str">
        <f>INDEX(Places[Type],MATCH(Expenditures[[#This Row],[Jurisdiction]],Places[Jurisdiction],0))</f>
        <v>City</v>
      </c>
      <c r="C309" s="19" t="str">
        <f>INDEX(Places[County],MATCH(Expenditures[[#This Row],[Jurisdiction]],Places[Jurisdiction],0))</f>
        <v>Los Angeles</v>
      </c>
      <c r="D309" s="19" t="str">
        <f>INDEX(Places[Majority RB],MATCH(Expenditures[[#This Row],[Jurisdiction]],Places[Jurisdiction],0))</f>
        <v>Los Angeles</v>
      </c>
      <c r="E309" s="19">
        <f>INDEX(Places[Majority RB '#],MATCH(Expenditures[[#This Row],[Jurisdiction]],Places[Jurisdiction],0))</f>
        <v>4</v>
      </c>
      <c r="F309" s="19" t="str">
        <f>VLOOKUP(Expenditures[[#This Row],[Jurisdiction]],Places[#All],8,FALSE)</f>
        <v>Phase I MS4</v>
      </c>
      <c r="G309" s="19"/>
      <c r="H309" s="21" t="s">
        <v>1870</v>
      </c>
      <c r="I309" s="21">
        <f>VALUE(LEFT(Expenditures[[#This Row],[Fiscal Year]],4))</f>
        <v>2011</v>
      </c>
      <c r="J309" s="20">
        <v>385345</v>
      </c>
      <c r="K309" s="20">
        <f>IF(Expenditures[[#This Row],[Reference Year]]&gt;2018,Expenditures[[#This Row],[Value]],Expenditures[[#This Row],[Value]]*(1+VLOOKUP(Expenditures[[#This Row],[Reference Year]],Inflation[#All],3,FALSE)))</f>
        <v>431146.05466874171</v>
      </c>
      <c r="L309" s="105">
        <f>VALUE(Expenditures[[#This Row],[2018 $ Value]]/VLOOKUP(Expenditures[[#This Row],[Jurisdiction]],Places[],6,FALSE))</f>
        <v>6.8837982927056727</v>
      </c>
      <c r="M309" s="105">
        <f>VALUE(Expenditures[[#This Row],[2018 $ Value]]/VLOOKUP(Expenditures[[#This Row],[Jurisdiction]],Places[],7,FALSE))</f>
        <v>51945.307791414656</v>
      </c>
      <c r="N309" s="20" t="s">
        <v>1460</v>
      </c>
      <c r="O309" s="20" t="s">
        <v>1460</v>
      </c>
    </row>
    <row r="310" spans="1:15" x14ac:dyDescent="0.25">
      <c r="A310" s="19" t="s">
        <v>191</v>
      </c>
      <c r="B310" s="19" t="str">
        <f>INDEX(Places[Type],MATCH(Expenditures[[#This Row],[Jurisdiction]],Places[Jurisdiction],0))</f>
        <v>City</v>
      </c>
      <c r="C310" s="19" t="str">
        <f>INDEX(Places[County],MATCH(Expenditures[[#This Row],[Jurisdiction]],Places[Jurisdiction],0))</f>
        <v>Los Angeles</v>
      </c>
      <c r="D310" s="19" t="str">
        <f>INDEX(Places[Majority RB],MATCH(Expenditures[[#This Row],[Jurisdiction]],Places[Jurisdiction],0))</f>
        <v>Los Angeles</v>
      </c>
      <c r="E310" s="19">
        <f>INDEX(Places[Majority RB '#],MATCH(Expenditures[[#This Row],[Jurisdiction]],Places[Jurisdiction],0))</f>
        <v>4</v>
      </c>
      <c r="F310" s="19" t="str">
        <f>VLOOKUP(Expenditures[[#This Row],[Jurisdiction]],Places[#All],8,FALSE)</f>
        <v>Phase I MS4</v>
      </c>
      <c r="G310" s="19"/>
      <c r="H310" s="21" t="s">
        <v>1873</v>
      </c>
      <c r="I310" s="21">
        <f>VALUE(LEFT(Expenditures[[#This Row],[Fiscal Year]],4))</f>
        <v>2015</v>
      </c>
      <c r="J310" s="20">
        <v>3977533</v>
      </c>
      <c r="K310" s="20">
        <f>IF(Expenditures[[#This Row],[Reference Year]]&gt;2018,Expenditures[[#This Row],[Value]],Expenditures[[#This Row],[Value]]*(1+VLOOKUP(Expenditures[[#This Row],[Reference Year]],Inflation[#All],3,FALSE)))</f>
        <v>4223082.7271012655</v>
      </c>
      <c r="L310" s="105">
        <f>VALUE(Expenditures[[#This Row],[2018 $ Value]]/VLOOKUP(Expenditures[[#This Row],[Jurisdiction]],Places[],6,FALSE))</f>
        <v>67.426917982840493</v>
      </c>
      <c r="M310" s="105">
        <f>VALUE(Expenditures[[#This Row],[2018 $ Value]]/VLOOKUP(Expenditures[[#This Row],[Jurisdiction]],Places[],7,FALSE))</f>
        <v>508805.14784352592</v>
      </c>
      <c r="N310" s="20" t="s">
        <v>1853</v>
      </c>
      <c r="O310" s="20" t="s">
        <v>1853</v>
      </c>
    </row>
    <row r="311" spans="1:15" x14ac:dyDescent="0.25">
      <c r="A311" s="19" t="s">
        <v>192</v>
      </c>
      <c r="B311" s="19" t="str">
        <f>INDEX(Places[Type],MATCH(Expenditures[[#This Row],[Jurisdiction]],Places[Jurisdiction],0))</f>
        <v>City</v>
      </c>
      <c r="C311" s="19" t="str">
        <f>INDEX(Places[County],MATCH(Expenditures[[#This Row],[Jurisdiction]],Places[Jurisdiction],0))</f>
        <v>Los Angeles</v>
      </c>
      <c r="D311" s="19" t="str">
        <f>INDEX(Places[Majority RB],MATCH(Expenditures[[#This Row],[Jurisdiction]],Places[Jurisdiction],0))</f>
        <v>Los Angeles</v>
      </c>
      <c r="E311" s="19">
        <f>INDEX(Places[Majority RB '#],MATCH(Expenditures[[#This Row],[Jurisdiction]],Places[Jurisdiction],0))</f>
        <v>4</v>
      </c>
      <c r="F311" s="19" t="str">
        <f>VLOOKUP(Expenditures[[#This Row],[Jurisdiction]],Places[#All],8,FALSE)</f>
        <v>Phase I MS4</v>
      </c>
      <c r="G311" s="19"/>
      <c r="H311" s="21" t="s">
        <v>1870</v>
      </c>
      <c r="I311" s="21">
        <f>VALUE(LEFT(Expenditures[[#This Row],[Fiscal Year]],4))</f>
        <v>2011</v>
      </c>
      <c r="J311" s="20">
        <v>4765306</v>
      </c>
      <c r="K311" s="20">
        <f>IF(Expenditures[[#This Row],[Reference Year]]&gt;2018,Expenditures[[#This Row],[Value]],Expenditures[[#This Row],[Value]]*(1+VLOOKUP(Expenditures[[#This Row],[Reference Year]],Inflation[#All],3,FALSE)))</f>
        <v>5331697.2613872839</v>
      </c>
      <c r="L311" s="105">
        <f>VALUE(Expenditures[[#This Row],[2018 $ Value]]/VLOOKUP(Expenditures[[#This Row],[Jurisdiction]],Places[],6,FALSE))</f>
        <v>88.271672015153456</v>
      </c>
      <c r="M311" s="105">
        <f>VALUE(Expenditures[[#This Row],[2018 $ Value]]/VLOOKUP(Expenditures[[#This Row],[Jurisdiction]],Places[],7,FALSE))</f>
        <v>692428.21576458227</v>
      </c>
      <c r="N311" s="20" t="s">
        <v>1460</v>
      </c>
      <c r="O311" s="20" t="s">
        <v>1460</v>
      </c>
    </row>
    <row r="312" spans="1:15" x14ac:dyDescent="0.25">
      <c r="A312" s="19" t="s">
        <v>192</v>
      </c>
      <c r="B312" s="19" t="str">
        <f>INDEX(Places[Type],MATCH(Expenditures[[#This Row],[Jurisdiction]],Places[Jurisdiction],0))</f>
        <v>City</v>
      </c>
      <c r="C312" s="19" t="str">
        <f>INDEX(Places[County],MATCH(Expenditures[[#This Row],[Jurisdiction]],Places[Jurisdiction],0))</f>
        <v>Los Angeles</v>
      </c>
      <c r="D312" s="19" t="str">
        <f>INDEX(Places[Majority RB],MATCH(Expenditures[[#This Row],[Jurisdiction]],Places[Jurisdiction],0))</f>
        <v>Los Angeles</v>
      </c>
      <c r="E312" s="19">
        <f>INDEX(Places[Majority RB '#],MATCH(Expenditures[[#This Row],[Jurisdiction]],Places[Jurisdiction],0))</f>
        <v>4</v>
      </c>
      <c r="F312" s="19" t="str">
        <f>VLOOKUP(Expenditures[[#This Row],[Jurisdiction]],Places[#All],8,FALSE)</f>
        <v>Phase I MS4</v>
      </c>
      <c r="G312" s="19"/>
      <c r="H312" s="21" t="s">
        <v>1873</v>
      </c>
      <c r="I312" s="21">
        <f>VALUE(LEFT(Expenditures[[#This Row],[Fiscal Year]],4))</f>
        <v>2015</v>
      </c>
      <c r="J312" s="20">
        <v>745073</v>
      </c>
      <c r="K312" s="20">
        <f>IF(Expenditures[[#This Row],[Reference Year]]&gt;2018,Expenditures[[#This Row],[Value]],Expenditures[[#This Row],[Value]]*(1+VLOOKUP(Expenditures[[#This Row],[Reference Year]],Inflation[#All],3,FALSE)))</f>
        <v>791069.46862025314</v>
      </c>
      <c r="L312" s="105">
        <f>VALUE(Expenditures[[#This Row],[2018 $ Value]]/VLOOKUP(Expenditures[[#This Row],[Jurisdiction]],Places[],6,FALSE))</f>
        <v>13.096959795702938</v>
      </c>
      <c r="M312" s="105">
        <f>VALUE(Expenditures[[#This Row],[2018 $ Value]]/VLOOKUP(Expenditures[[#This Row],[Jurisdiction]],Places[],7,FALSE))</f>
        <v>102736.2946260069</v>
      </c>
      <c r="N312" s="20" t="s">
        <v>1853</v>
      </c>
      <c r="O312" s="20" t="s">
        <v>1853</v>
      </c>
    </row>
    <row r="313" spans="1:15" x14ac:dyDescent="0.25">
      <c r="A313" s="19" t="s">
        <v>236</v>
      </c>
      <c r="B313" s="19" t="str">
        <f>INDEX(Places[Type],MATCH(Expenditures[[#This Row],[Jurisdiction]],Places[Jurisdiction],0))</f>
        <v>City</v>
      </c>
      <c r="C313" s="19" t="str">
        <f>INDEX(Places[County],MATCH(Expenditures[[#This Row],[Jurisdiction]],Places[Jurisdiction],0))</f>
        <v>Riverside</v>
      </c>
      <c r="D313" s="19" t="str">
        <f>INDEX(Places[Majority RB],MATCH(Expenditures[[#This Row],[Jurisdiction]],Places[Jurisdiction],0))</f>
        <v>Santa Ana</v>
      </c>
      <c r="E313" s="19">
        <f>INDEX(Places[Majority RB '#],MATCH(Expenditures[[#This Row],[Jurisdiction]],Places[Jurisdiction],0))</f>
        <v>8</v>
      </c>
      <c r="F313" s="19" t="str">
        <f>VLOOKUP(Expenditures[[#This Row],[Jurisdiction]],Places[#All],8,FALSE)</f>
        <v>Phase I MS4</v>
      </c>
      <c r="G313" s="19"/>
      <c r="H313" s="21" t="s">
        <v>1869</v>
      </c>
      <c r="I313" s="21">
        <f>VALUE(LEFT(Expenditures[[#This Row],[Fiscal Year]],4))</f>
        <v>2016</v>
      </c>
      <c r="J313" s="20">
        <v>816373</v>
      </c>
      <c r="K313" s="20">
        <f>IF(Expenditures[[#This Row],[Reference Year]]&gt;2018,Expenditures[[#This Row],[Value]],Expenditures[[#This Row],[Value]]*(1+VLOOKUP(Expenditures[[#This Row],[Reference Year]],Inflation[#All],3,FALSE)))</f>
        <v>855936.47651250008</v>
      </c>
      <c r="L313" s="105">
        <f>VALUE(Expenditures[[#This Row],[2018 $ Value]]/VLOOKUP(Expenditures[[#This Row],[Jurisdiction]],Places[],6,FALSE))</f>
        <v>4.0944103157737386</v>
      </c>
      <c r="M313" s="105">
        <f>VALUE(Expenditures[[#This Row],[2018 $ Value]]/VLOOKUP(Expenditures[[#This Row],[Jurisdiction]],Places[],7,FALSE))</f>
        <v>16684.921569444447</v>
      </c>
      <c r="N313" s="20" t="s">
        <v>1460</v>
      </c>
      <c r="O313" s="20" t="s">
        <v>1853</v>
      </c>
    </row>
    <row r="314" spans="1:15" x14ac:dyDescent="0.25">
      <c r="A314" s="19" t="s">
        <v>297</v>
      </c>
      <c r="B314" s="19" t="str">
        <f>INDEX(Places[Type],MATCH(Expenditures[[#This Row],[Jurisdiction]],Places[Jurisdiction],0))</f>
        <v>City</v>
      </c>
      <c r="C314" s="19" t="str">
        <f>INDEX(Places[County],MATCH(Expenditures[[#This Row],[Jurisdiction]],Places[Jurisdiction],0))</f>
        <v>Riverside</v>
      </c>
      <c r="D314" s="19" t="str">
        <f>INDEX(Places[Majority RB],MATCH(Expenditures[[#This Row],[Jurisdiction]],Places[Jurisdiction],0))</f>
        <v>San Diego</v>
      </c>
      <c r="E314" s="19">
        <f>INDEX(Places[Majority RB '#],MATCH(Expenditures[[#This Row],[Jurisdiction]],Places[Jurisdiction],0))</f>
        <v>9</v>
      </c>
      <c r="F314" s="19" t="str">
        <f>VLOOKUP(Expenditures[[#This Row],[Jurisdiction]],Places[#All],8,FALSE)</f>
        <v>Phase I MS4</v>
      </c>
      <c r="G314" s="19"/>
      <c r="H314" s="21" t="s">
        <v>1873</v>
      </c>
      <c r="I314" s="21">
        <f>VALUE(LEFT(Expenditures[[#This Row],[Fiscal Year]],4))</f>
        <v>2015</v>
      </c>
      <c r="J314" s="20">
        <v>968282</v>
      </c>
      <c r="K314" s="20">
        <f>IF(Expenditures[[#This Row],[Reference Year]]&gt;2018,Expenditures[[#This Row],[Value]],Expenditures[[#This Row],[Value]]*(1+VLOOKUP(Expenditures[[#This Row],[Reference Year]],Inflation[#All],3,FALSE)))</f>
        <v>1028058.0925822784</v>
      </c>
      <c r="L314" s="105">
        <f>VALUE(Expenditures[[#This Row],[2018 $ Value]]/VLOOKUP(Expenditures[[#This Row],[Jurisdiction]],Places[],6,FALSE))</f>
        <v>8.9408017792084049</v>
      </c>
      <c r="M314" s="105">
        <f>VALUE(Expenditures[[#This Row],[2018 $ Value]]/VLOOKUP(Expenditures[[#This Row],[Jurisdiction]],Places[],7,FALSE))</f>
        <v>30596.967041139236</v>
      </c>
      <c r="N314" s="20" t="s">
        <v>1460</v>
      </c>
      <c r="O314" s="20" t="s">
        <v>1460</v>
      </c>
    </row>
    <row r="315" spans="1:15" x14ac:dyDescent="0.25">
      <c r="A315" s="19" t="s">
        <v>297</v>
      </c>
      <c r="B315" s="19" t="str">
        <f>INDEX(Places[Type],MATCH(Expenditures[[#This Row],[Jurisdiction]],Places[Jurisdiction],0))</f>
        <v>City</v>
      </c>
      <c r="C315" s="19" t="str">
        <f>INDEX(Places[County],MATCH(Expenditures[[#This Row],[Jurisdiction]],Places[Jurisdiction],0))</f>
        <v>Riverside</v>
      </c>
      <c r="D315" s="19" t="str">
        <f>INDEX(Places[Majority RB],MATCH(Expenditures[[#This Row],[Jurisdiction]],Places[Jurisdiction],0))</f>
        <v>San Diego</v>
      </c>
      <c r="E315" s="19">
        <f>INDEX(Places[Majority RB '#],MATCH(Expenditures[[#This Row],[Jurisdiction]],Places[Jurisdiction],0))</f>
        <v>9</v>
      </c>
      <c r="F315" s="19" t="str">
        <f>VLOOKUP(Expenditures[[#This Row],[Jurisdiction]],Places[#All],8,FALSE)</f>
        <v>Phase I MS4</v>
      </c>
      <c r="G315" s="19"/>
      <c r="H315" s="21" t="s">
        <v>1869</v>
      </c>
      <c r="I315" s="21">
        <f>VALUE(LEFT(Expenditures[[#This Row],[Fiscal Year]],4))</f>
        <v>2016</v>
      </c>
      <c r="J315" s="20">
        <v>685416.5</v>
      </c>
      <c r="K315" s="20">
        <f>IF(Expenditures[[#This Row],[Reference Year]]&gt;2018,Expenditures[[#This Row],[Value]],Expenditures[[#This Row],[Value]]*(1+VLOOKUP(Expenditures[[#This Row],[Reference Year]],Inflation[#All],3,FALSE)))</f>
        <v>718633.4971312501</v>
      </c>
      <c r="L315" s="105">
        <f>VALUE(Expenditures[[#This Row],[2018 $ Value]]/VLOOKUP(Expenditures[[#This Row],[Jurisdiction]],Places[],6,FALSE))</f>
        <v>6.2498021231573695</v>
      </c>
      <c r="M315" s="105">
        <f>VALUE(Expenditures[[#This Row],[2018 $ Value]]/VLOOKUP(Expenditures[[#This Row],[Jurisdiction]],Places[],7,FALSE))</f>
        <v>21387.901700334824</v>
      </c>
      <c r="N315" s="20" t="s">
        <v>1460</v>
      </c>
      <c r="O315" s="20" t="s">
        <v>1460</v>
      </c>
    </row>
    <row r="316" spans="1:15" x14ac:dyDescent="0.25">
      <c r="A316" s="19" t="s">
        <v>297</v>
      </c>
      <c r="B316" s="19" t="str">
        <f>INDEX(Places[Type],MATCH(Expenditures[[#This Row],[Jurisdiction]],Places[Jurisdiction],0))</f>
        <v>City</v>
      </c>
      <c r="C316" s="19" t="str">
        <f>INDEX(Places[County],MATCH(Expenditures[[#This Row],[Jurisdiction]],Places[Jurisdiction],0))</f>
        <v>Riverside</v>
      </c>
      <c r="D316" s="19" t="str">
        <f>INDEX(Places[Majority RB],MATCH(Expenditures[[#This Row],[Jurisdiction]],Places[Jurisdiction],0))</f>
        <v>San Diego</v>
      </c>
      <c r="E316" s="19">
        <f>INDEX(Places[Majority RB '#],MATCH(Expenditures[[#This Row],[Jurisdiction]],Places[Jurisdiction],0))</f>
        <v>9</v>
      </c>
      <c r="F316" s="19" t="str">
        <f>VLOOKUP(Expenditures[[#This Row],[Jurisdiction]],Places[#All],8,FALSE)</f>
        <v>Phase I MS4</v>
      </c>
      <c r="G316" s="19"/>
      <c r="H316" s="21" t="s">
        <v>1874</v>
      </c>
      <c r="I316" s="21">
        <f>VALUE(LEFT(Expenditures[[#This Row],[Fiscal Year]],4))</f>
        <v>2017</v>
      </c>
      <c r="J316" s="20">
        <v>1102480</v>
      </c>
      <c r="K316" s="20">
        <f>IF(Expenditures[[#This Row],[Reference Year]]&gt;2018,Expenditures[[#This Row],[Value]],Expenditures[[#This Row],[Value]]*(1+VLOOKUP(Expenditures[[#This Row],[Reference Year]],Inflation[#All],3,FALSE)))</f>
        <v>1131856.9762545901</v>
      </c>
      <c r="L316" s="105">
        <f>VALUE(Expenditures[[#This Row],[2018 $ Value]]/VLOOKUP(Expenditures[[#This Row],[Jurisdiction]],Places[],6,FALSE))</f>
        <v>9.8435185133242609</v>
      </c>
      <c r="M316" s="105">
        <f>VALUE(Expenditures[[#This Row],[2018 $ Value]]/VLOOKUP(Expenditures[[#This Row],[Jurisdiction]],Places[],7,FALSE))</f>
        <v>33686.21953138661</v>
      </c>
      <c r="N316" s="20" t="s">
        <v>1853</v>
      </c>
      <c r="O316" s="20" t="s">
        <v>1460</v>
      </c>
    </row>
    <row r="317" spans="1:15" x14ac:dyDescent="0.25">
      <c r="A317" s="19" t="s">
        <v>297</v>
      </c>
      <c r="B317" s="19" t="str">
        <f>INDEX(Places[Type],MATCH(Expenditures[[#This Row],[Jurisdiction]],Places[Jurisdiction],0))</f>
        <v>City</v>
      </c>
      <c r="C317" s="19" t="str">
        <f>INDEX(Places[County],MATCH(Expenditures[[#This Row],[Jurisdiction]],Places[Jurisdiction],0))</f>
        <v>Riverside</v>
      </c>
      <c r="D317" s="19" t="str">
        <f>INDEX(Places[Majority RB],MATCH(Expenditures[[#This Row],[Jurisdiction]],Places[Jurisdiction],0))</f>
        <v>San Diego</v>
      </c>
      <c r="E317" s="19">
        <f>INDEX(Places[Majority RB '#],MATCH(Expenditures[[#This Row],[Jurisdiction]],Places[Jurisdiction],0))</f>
        <v>9</v>
      </c>
      <c r="F317" s="19" t="str">
        <f>VLOOKUP(Expenditures[[#This Row],[Jurisdiction]],Places[#All],8,FALSE)</f>
        <v>Phase I MS4</v>
      </c>
      <c r="G317" s="19"/>
      <c r="H317" s="21" t="s">
        <v>1876</v>
      </c>
      <c r="I317" s="21">
        <f>VALUE(LEFT(Expenditures[[#This Row],[Fiscal Year]],4))</f>
        <v>2018</v>
      </c>
      <c r="J317" s="20">
        <v>1051240</v>
      </c>
      <c r="K317" s="20">
        <f>IF(Expenditures[[#This Row],[Reference Year]]&gt;2018,Expenditures[[#This Row],[Value]],Expenditures[[#This Row],[Value]]*(1+VLOOKUP(Expenditures[[#This Row],[Reference Year]],Inflation[#All],3,FALSE)))</f>
        <v>1051240</v>
      </c>
      <c r="L317" s="105">
        <f>VALUE(Expenditures[[#This Row],[2018 $ Value]]/VLOOKUP(Expenditures[[#This Row],[Jurisdiction]],Places[],6,FALSE))</f>
        <v>9.1424098795495059</v>
      </c>
      <c r="M317" s="105">
        <f>VALUE(Expenditures[[#This Row],[2018 $ Value]]/VLOOKUP(Expenditures[[#This Row],[Jurisdiction]],Places[],7,FALSE))</f>
        <v>31286.90476190476</v>
      </c>
      <c r="N317" s="20" t="s">
        <v>1460</v>
      </c>
      <c r="O317" s="20" t="s">
        <v>1853</v>
      </c>
    </row>
    <row r="318" spans="1:15" x14ac:dyDescent="0.25">
      <c r="A318" s="19" t="s">
        <v>315</v>
      </c>
      <c r="B318" s="19" t="str">
        <f>INDEX(Places[Type],MATCH(Expenditures[[#This Row],[Jurisdiction]],Places[Jurisdiction],0))</f>
        <v>City</v>
      </c>
      <c r="C318" s="19" t="str">
        <f>INDEX(Places[County],MATCH(Expenditures[[#This Row],[Jurisdiction]],Places[Jurisdiction],0))</f>
        <v>San Diego</v>
      </c>
      <c r="D318" s="19" t="str">
        <f>INDEX(Places[Majority RB],MATCH(Expenditures[[#This Row],[Jurisdiction]],Places[Jurisdiction],0))</f>
        <v>San Diego</v>
      </c>
      <c r="E318" s="19">
        <f>INDEX(Places[Majority RB '#],MATCH(Expenditures[[#This Row],[Jurisdiction]],Places[Jurisdiction],0))</f>
        <v>9</v>
      </c>
      <c r="F318" s="19" t="str">
        <f>VLOOKUP(Expenditures[[#This Row],[Jurisdiction]],Places[#All],8,FALSE)</f>
        <v>Phase I MS4</v>
      </c>
      <c r="G318" s="19"/>
      <c r="H318" s="21" t="s">
        <v>1873</v>
      </c>
      <c r="I318" s="21">
        <f>VALUE(LEFT(Expenditures[[#This Row],[Fiscal Year]],4))</f>
        <v>2015</v>
      </c>
      <c r="J318" s="20">
        <v>2980557</v>
      </c>
      <c r="K318" s="20">
        <f>IF(Expenditures[[#This Row],[Reference Year]]&gt;2018,Expenditures[[#This Row],[Value]],Expenditures[[#This Row],[Value]]*(1+VLOOKUP(Expenditures[[#This Row],[Reference Year]],Inflation[#All],3,FALSE)))</f>
        <v>3164559.2340379744</v>
      </c>
      <c r="L318" s="105">
        <f>VALUE(Expenditures[[#This Row],[2018 $ Value]]/VLOOKUP(Expenditures[[#This Row],[Jurisdiction]],Places[],6,FALSE))</f>
        <v>51.514043952368908</v>
      </c>
      <c r="M318" s="105">
        <f>VALUE(Expenditures[[#This Row],[2018 $ Value]]/VLOOKUP(Expenditures[[#This Row],[Jurisdiction]],Places[],7,FALSE))</f>
        <v>433501.26493670885</v>
      </c>
      <c r="N318" s="20" t="s">
        <v>1460</v>
      </c>
      <c r="O318" s="20" t="s">
        <v>1460</v>
      </c>
    </row>
    <row r="319" spans="1:15" x14ac:dyDescent="0.25">
      <c r="A319" s="19" t="s">
        <v>315</v>
      </c>
      <c r="B319" s="19" t="str">
        <f>INDEX(Places[Type],MATCH(Expenditures[[#This Row],[Jurisdiction]],Places[Jurisdiction],0))</f>
        <v>City</v>
      </c>
      <c r="C319" s="19" t="str">
        <f>INDEX(Places[County],MATCH(Expenditures[[#This Row],[Jurisdiction]],Places[Jurisdiction],0))</f>
        <v>San Diego</v>
      </c>
      <c r="D319" s="19" t="str">
        <f>INDEX(Places[Majority RB],MATCH(Expenditures[[#This Row],[Jurisdiction]],Places[Jurisdiction],0))</f>
        <v>San Diego</v>
      </c>
      <c r="E319" s="19">
        <f>INDEX(Places[Majority RB '#],MATCH(Expenditures[[#This Row],[Jurisdiction]],Places[Jurisdiction],0))</f>
        <v>9</v>
      </c>
      <c r="F319" s="19" t="str">
        <f>VLOOKUP(Expenditures[[#This Row],[Jurisdiction]],Places[#All],8,FALSE)</f>
        <v>Phase I MS4</v>
      </c>
      <c r="G319" s="19"/>
      <c r="H319" s="21" t="s">
        <v>1869</v>
      </c>
      <c r="I319" s="21">
        <f>VALUE(LEFT(Expenditures[[#This Row],[Fiscal Year]],4))</f>
        <v>2016</v>
      </c>
      <c r="J319" s="20">
        <v>2132428</v>
      </c>
      <c r="K319" s="20">
        <f>IF(Expenditures[[#This Row],[Reference Year]]&gt;2018,Expenditures[[#This Row],[Value]],Expenditures[[#This Row],[Value]]*(1+VLOOKUP(Expenditures[[#This Row],[Reference Year]],Inflation[#All],3,FALSE)))</f>
        <v>2235770.79195</v>
      </c>
      <c r="L319" s="105">
        <f>VALUE(Expenditures[[#This Row],[2018 $ Value]]/VLOOKUP(Expenditures[[#This Row],[Jurisdiction]],Places[],6,FALSE))</f>
        <v>36.394829840796994</v>
      </c>
      <c r="M319" s="105">
        <f>VALUE(Expenditures[[#This Row],[2018 $ Value]]/VLOOKUP(Expenditures[[#This Row],[Jurisdiction]],Places[],7,FALSE))</f>
        <v>306269.97149999999</v>
      </c>
      <c r="N319" s="20" t="s">
        <v>1460</v>
      </c>
      <c r="O319" s="20" t="s">
        <v>1460</v>
      </c>
    </row>
    <row r="320" spans="1:15" x14ac:dyDescent="0.25">
      <c r="A320" s="19" t="s">
        <v>315</v>
      </c>
      <c r="B320" s="19" t="str">
        <f>INDEX(Places[Type],MATCH(Expenditures[[#This Row],[Jurisdiction]],Places[Jurisdiction],0))</f>
        <v>City</v>
      </c>
      <c r="C320" s="19" t="str">
        <f>INDEX(Places[County],MATCH(Expenditures[[#This Row],[Jurisdiction]],Places[Jurisdiction],0))</f>
        <v>San Diego</v>
      </c>
      <c r="D320" s="19" t="str">
        <f>INDEX(Places[Majority RB],MATCH(Expenditures[[#This Row],[Jurisdiction]],Places[Jurisdiction],0))</f>
        <v>San Diego</v>
      </c>
      <c r="E320" s="19">
        <f>INDEX(Places[Majority RB '#],MATCH(Expenditures[[#This Row],[Jurisdiction]],Places[Jurisdiction],0))</f>
        <v>9</v>
      </c>
      <c r="F320" s="19" t="str">
        <f>VLOOKUP(Expenditures[[#This Row],[Jurisdiction]],Places[#All],8,FALSE)</f>
        <v>Phase I MS4</v>
      </c>
      <c r="G320" s="19"/>
      <c r="H320" s="21" t="s">
        <v>1874</v>
      </c>
      <c r="I320" s="21">
        <f>VALUE(LEFT(Expenditures[[#This Row],[Fiscal Year]],4))</f>
        <v>2017</v>
      </c>
      <c r="J320" s="20">
        <v>681096</v>
      </c>
      <c r="K320" s="20">
        <f>IF(Expenditures[[#This Row],[Reference Year]]&gt;2018,Expenditures[[#This Row],[Value]],Expenditures[[#This Row],[Value]]*(1+VLOOKUP(Expenditures[[#This Row],[Reference Year]],Inflation[#All],3,FALSE)))</f>
        <v>699244.66575275408</v>
      </c>
      <c r="L320" s="105">
        <f>VALUE(Expenditures[[#This Row],[2018 $ Value]]/VLOOKUP(Expenditures[[#This Row],[Jurisdiction]],Places[],6,FALSE))</f>
        <v>11.382602688426919</v>
      </c>
      <c r="M320" s="105">
        <f>VALUE(Expenditures[[#This Row],[2018 $ Value]]/VLOOKUP(Expenditures[[#This Row],[Jurisdiction]],Places[],7,FALSE))</f>
        <v>95786.940514075905</v>
      </c>
      <c r="N320" s="20" t="s">
        <v>1853</v>
      </c>
      <c r="O320" s="20" t="s">
        <v>1853</v>
      </c>
    </row>
    <row r="321" spans="1:15" x14ac:dyDescent="0.25">
      <c r="A321" s="19" t="s">
        <v>285</v>
      </c>
      <c r="B321" s="19" t="str">
        <f>INDEX(Places[Type],MATCH(Expenditures[[#This Row],[Jurisdiction]],Places[Jurisdiction],0))</f>
        <v>City</v>
      </c>
      <c r="C321" s="19" t="str">
        <f>INDEX(Places[County],MATCH(Expenditures[[#This Row],[Jurisdiction]],Places[Jurisdiction],0))</f>
        <v>Orange</v>
      </c>
      <c r="D321" s="19" t="str">
        <f>INDEX(Places[Majority RB],MATCH(Expenditures[[#This Row],[Jurisdiction]],Places[Jurisdiction],0))</f>
        <v>Santa Ana</v>
      </c>
      <c r="E321" s="19">
        <f>INDEX(Places[Majority RB '#],MATCH(Expenditures[[#This Row],[Jurisdiction]],Places[Jurisdiction],0))</f>
        <v>8</v>
      </c>
      <c r="F321" s="19" t="str">
        <f>VLOOKUP(Expenditures[[#This Row],[Jurisdiction]],Places[#All],8,FALSE)</f>
        <v>Phase I MS4</v>
      </c>
      <c r="G321" s="19"/>
      <c r="H321" s="21" t="s">
        <v>1875</v>
      </c>
      <c r="I321" s="21">
        <f>VALUE(LEFT(Expenditures[[#This Row],[Fiscal Year]],4))</f>
        <v>2001</v>
      </c>
      <c r="J321" s="20">
        <v>2112200</v>
      </c>
      <c r="K321" s="20">
        <f>IF(Expenditures[[#This Row],[Reference Year]]&gt;2018,Expenditures[[#This Row],[Value]],Expenditures[[#This Row],[Value]]*(1+VLOOKUP(Expenditures[[#This Row],[Reference Year]],Inflation[#All],3,FALSE)))</f>
        <v>3001101.062676454</v>
      </c>
      <c r="L321" s="105">
        <f>VALUE(Expenditures[[#This Row],[2018 $ Value]]/VLOOKUP(Expenditures[[#This Row],[Jurisdiction]],Places[],6,FALSE))</f>
        <v>35.172175687087801</v>
      </c>
      <c r="M321" s="105">
        <f>VALUE(Expenditures[[#This Row],[2018 $ Value]]/VLOOKUP(Expenditures[[#This Row],[Jurisdiction]],Places[],7,FALSE))</f>
        <v>126096.68330573336</v>
      </c>
      <c r="N321" s="20" t="s">
        <v>1853</v>
      </c>
      <c r="O321" s="20" t="s">
        <v>1853</v>
      </c>
    </row>
    <row r="322" spans="1:15" x14ac:dyDescent="0.25">
      <c r="A322" s="19" t="s">
        <v>169</v>
      </c>
      <c r="B322" s="19" t="str">
        <f>INDEX(Places[Type],MATCH(Expenditures[[#This Row],[Jurisdiction]],Places[Jurisdiction],0))</f>
        <v>City</v>
      </c>
      <c r="C322" s="19" t="str">
        <f>INDEX(Places[County],MATCH(Expenditures[[#This Row],[Jurisdiction]],Places[Jurisdiction],0))</f>
        <v>Los Angeles</v>
      </c>
      <c r="D322" s="19" t="str">
        <f>INDEX(Places[Majority RB],MATCH(Expenditures[[#This Row],[Jurisdiction]],Places[Jurisdiction],0))</f>
        <v>Los Angeles</v>
      </c>
      <c r="E322" s="19">
        <f>INDEX(Places[Majority RB '#],MATCH(Expenditures[[#This Row],[Jurisdiction]],Places[Jurisdiction],0))</f>
        <v>4</v>
      </c>
      <c r="F322" s="19" t="str">
        <f>VLOOKUP(Expenditures[[#This Row],[Jurisdiction]],Places[#All],8,FALSE)</f>
        <v>Phase I MS4</v>
      </c>
      <c r="G322" s="19"/>
      <c r="H322" s="100" t="s">
        <v>1870</v>
      </c>
      <c r="I322" s="21">
        <f>VALUE(LEFT(Expenditures[[#This Row],[Fiscal Year]],4))</f>
        <v>2011</v>
      </c>
      <c r="J322" s="20">
        <v>731332</v>
      </c>
      <c r="K322" s="20">
        <f>IF(Expenditures[[#This Row],[Reference Year]]&gt;2018,Expenditures[[#This Row],[Value]],Expenditures[[#This Row],[Value]]*(1+VLOOKUP(Expenditures[[#This Row],[Reference Year]],Inflation[#All],3,FALSE)))</f>
        <v>818256.12490884843</v>
      </c>
      <c r="L322" s="105">
        <f>VALUE(Expenditures[[#This Row],[2018 $ Value]]/VLOOKUP(Expenditures[[#This Row],[Jurisdiction]],Places[],6,FALSE))</f>
        <v>7.7840194530902629</v>
      </c>
      <c r="M322" s="105">
        <f>VALUE(Expenditures[[#This Row],[2018 $ Value]]/VLOOKUP(Expenditures[[#This Row],[Jurisdiction]],Places[],7,FALSE))</f>
        <v>84356.301536994695</v>
      </c>
      <c r="N322" s="20" t="s">
        <v>1460</v>
      </c>
      <c r="O322" s="20" t="s">
        <v>1460</v>
      </c>
    </row>
    <row r="323" spans="1:15" x14ac:dyDescent="0.25">
      <c r="A323" s="19" t="s">
        <v>169</v>
      </c>
      <c r="B323" s="19" t="str">
        <f>INDEX(Places[Type],MATCH(Expenditures[[#This Row],[Jurisdiction]],Places[Jurisdiction],0))</f>
        <v>City</v>
      </c>
      <c r="C323" s="19" t="str">
        <f>INDEX(Places[County],MATCH(Expenditures[[#This Row],[Jurisdiction]],Places[Jurisdiction],0))</f>
        <v>Los Angeles</v>
      </c>
      <c r="D323" s="19" t="str">
        <f>INDEX(Places[Majority RB],MATCH(Expenditures[[#This Row],[Jurisdiction]],Places[Jurisdiction],0))</f>
        <v>Los Angeles</v>
      </c>
      <c r="E323" s="19">
        <f>INDEX(Places[Majority RB '#],MATCH(Expenditures[[#This Row],[Jurisdiction]],Places[Jurisdiction],0))</f>
        <v>4</v>
      </c>
      <c r="F323" s="19" t="str">
        <f>VLOOKUP(Expenditures[[#This Row],[Jurisdiction]],Places[#All],8,FALSE)</f>
        <v>Phase I MS4</v>
      </c>
      <c r="G323" s="19"/>
      <c r="H323" s="100" t="s">
        <v>1873</v>
      </c>
      <c r="I323" s="21">
        <f>VALUE(LEFT(Expenditures[[#This Row],[Fiscal Year]],4))</f>
        <v>2015</v>
      </c>
      <c r="J323" s="20">
        <v>1041184</v>
      </c>
      <c r="K323" s="20">
        <f>IF(Expenditures[[#This Row],[Reference Year]]&gt;2018,Expenditures[[#This Row],[Value]],Expenditures[[#This Row],[Value]]*(1+VLOOKUP(Expenditures[[#This Row],[Reference Year]],Inflation[#All],3,FALSE)))</f>
        <v>1105460.6375696203</v>
      </c>
      <c r="L323" s="105">
        <f>VALUE(Expenditures[[#This Row],[2018 $ Value]]/VLOOKUP(Expenditures[[#This Row],[Jurisdiction]],Places[],6,FALSE))</f>
        <v>10.516178059071731</v>
      </c>
      <c r="M323" s="105">
        <f>VALUE(Expenditures[[#This Row],[2018 $ Value]]/VLOOKUP(Expenditures[[#This Row],[Jurisdiction]],Places[],7,FALSE))</f>
        <v>113965.01418243509</v>
      </c>
      <c r="N323" s="20" t="s">
        <v>1853</v>
      </c>
      <c r="O323" s="20" t="s">
        <v>1853</v>
      </c>
    </row>
    <row r="324" spans="1:15" x14ac:dyDescent="0.25">
      <c r="A324" s="19" t="s">
        <v>305</v>
      </c>
      <c r="B324" s="19" t="str">
        <f>INDEX(Places[Type],MATCH(Expenditures[[#This Row],[Jurisdiction]],Places[Jurisdiction],0))</f>
        <v>City</v>
      </c>
      <c r="C324" s="19" t="str">
        <f>INDEX(Places[County],MATCH(Expenditures[[#This Row],[Jurisdiction]],Places[Jurisdiction],0))</f>
        <v>San Diego</v>
      </c>
      <c r="D324" s="19" t="str">
        <f>INDEX(Places[Majority RB],MATCH(Expenditures[[#This Row],[Jurisdiction]],Places[Jurisdiction],0))</f>
        <v>San Diego</v>
      </c>
      <c r="E324" s="19">
        <f>INDEX(Places[Majority RB '#],MATCH(Expenditures[[#This Row],[Jurisdiction]],Places[Jurisdiction],0))</f>
        <v>9</v>
      </c>
      <c r="F324" s="19" t="str">
        <f>VLOOKUP(Expenditures[[#This Row],[Jurisdiction]],Places[#All],8,FALSE)</f>
        <v>Phase I MS4</v>
      </c>
      <c r="G324" s="19"/>
      <c r="H324" s="19" t="s">
        <v>1873</v>
      </c>
      <c r="I324" s="21">
        <f>VALUE(LEFT(Expenditures[[#This Row],[Fiscal Year]],4))</f>
        <v>2015</v>
      </c>
      <c r="J324" s="20">
        <v>2298842</v>
      </c>
      <c r="K324" s="20">
        <f>IF(Expenditures[[#This Row],[Reference Year]]&gt;2018,Expenditures[[#This Row],[Value]],Expenditures[[#This Row],[Value]]*(1+VLOOKUP(Expenditures[[#This Row],[Reference Year]],Inflation[#All],3,FALSE)))</f>
        <v>2440759.1194177214</v>
      </c>
      <c r="L324" s="105">
        <f>VALUE(Expenditures[[#This Row],[2018 $ Value]]/VLOOKUP(Expenditures[[#This Row],[Jurisdiction]],Places[],6,FALSE))</f>
        <v>13.86164879269492</v>
      </c>
      <c r="M324" s="105">
        <f>VALUE(Expenditures[[#This Row],[2018 $ Value]]/VLOOKUP(Expenditures[[#This Row],[Jurisdiction]],Places[],7,FALSE))</f>
        <v>59098.283763140957</v>
      </c>
      <c r="N324" s="20" t="s">
        <v>1460</v>
      </c>
      <c r="O324" s="20" t="s">
        <v>1460</v>
      </c>
    </row>
    <row r="325" spans="1:15" x14ac:dyDescent="0.25">
      <c r="A325" s="19" t="s">
        <v>305</v>
      </c>
      <c r="B325" s="19" t="str">
        <f>INDEX(Places[Type],MATCH(Expenditures[[#This Row],[Jurisdiction]],Places[Jurisdiction],0))</f>
        <v>City</v>
      </c>
      <c r="C325" s="19" t="str">
        <f>INDEX(Places[County],MATCH(Expenditures[[#This Row],[Jurisdiction]],Places[Jurisdiction],0))</f>
        <v>San Diego</v>
      </c>
      <c r="D325" s="19" t="str">
        <f>INDEX(Places[Majority RB],MATCH(Expenditures[[#This Row],[Jurisdiction]],Places[Jurisdiction],0))</f>
        <v>San Diego</v>
      </c>
      <c r="E325" s="19">
        <f>INDEX(Places[Majority RB '#],MATCH(Expenditures[[#This Row],[Jurisdiction]],Places[Jurisdiction],0))</f>
        <v>9</v>
      </c>
      <c r="F325" s="19" t="str">
        <f>VLOOKUP(Expenditures[[#This Row],[Jurisdiction]],Places[#All],8,FALSE)</f>
        <v>Phase I MS4</v>
      </c>
      <c r="G325" s="19"/>
      <c r="H325" s="19" t="s">
        <v>1869</v>
      </c>
      <c r="I325" s="21">
        <f>VALUE(LEFT(Expenditures[[#This Row],[Fiscal Year]],4))</f>
        <v>2016</v>
      </c>
      <c r="J325" s="20">
        <v>4426225</v>
      </c>
      <c r="K325" s="20">
        <f>IF(Expenditures[[#This Row],[Reference Year]]&gt;2018,Expenditures[[#This Row],[Value]],Expenditures[[#This Row],[Value]]*(1+VLOOKUP(Expenditures[[#This Row],[Reference Year]],Inflation[#All],3,FALSE)))</f>
        <v>4640730.9290625006</v>
      </c>
      <c r="L325" s="105">
        <f>VALUE(Expenditures[[#This Row],[2018 $ Value]]/VLOOKUP(Expenditures[[#This Row],[Jurisdiction]],Places[],6,FALSE))</f>
        <v>26.355809456284078</v>
      </c>
      <c r="M325" s="105">
        <f>VALUE(Expenditures[[#This Row],[2018 $ Value]]/VLOOKUP(Expenditures[[#This Row],[Jurisdiction]],Places[],7,FALSE))</f>
        <v>112366.36632112593</v>
      </c>
      <c r="N325" s="20" t="s">
        <v>1460</v>
      </c>
      <c r="O325" s="20" t="s">
        <v>1460</v>
      </c>
    </row>
    <row r="326" spans="1:15" x14ac:dyDescent="0.25">
      <c r="A326" s="19" t="s">
        <v>305</v>
      </c>
      <c r="B326" s="19" t="str">
        <f>INDEX(Places[Type],MATCH(Expenditures[[#This Row],[Jurisdiction]],Places[Jurisdiction],0))</f>
        <v>City</v>
      </c>
      <c r="C326" s="19" t="str">
        <f>INDEX(Places[County],MATCH(Expenditures[[#This Row],[Jurisdiction]],Places[Jurisdiction],0))</f>
        <v>San Diego</v>
      </c>
      <c r="D326" s="19" t="str">
        <f>INDEX(Places[Majority RB],MATCH(Expenditures[[#This Row],[Jurisdiction]],Places[Jurisdiction],0))</f>
        <v>San Diego</v>
      </c>
      <c r="E326" s="19">
        <f>INDEX(Places[Majority RB '#],MATCH(Expenditures[[#This Row],[Jurisdiction]],Places[Jurisdiction],0))</f>
        <v>9</v>
      </c>
      <c r="F326" s="19" t="str">
        <f>VLOOKUP(Expenditures[[#This Row],[Jurisdiction]],Places[#All],8,FALSE)</f>
        <v>Phase I MS4</v>
      </c>
      <c r="G326" s="19"/>
      <c r="H326" s="19" t="s">
        <v>1874</v>
      </c>
      <c r="I326" s="21">
        <f>VALUE(LEFT(Expenditures[[#This Row],[Fiscal Year]],4))</f>
        <v>2017</v>
      </c>
      <c r="J326" s="20">
        <v>4214770</v>
      </c>
      <c r="K326" s="20">
        <f>IF(Expenditures[[#This Row],[Reference Year]]&gt;2018,Expenditures[[#This Row],[Value]],Expenditures[[#This Row],[Value]]*(1+VLOOKUP(Expenditures[[#This Row],[Reference Year]],Inflation[#All],3,FALSE)))</f>
        <v>4327077.8860465121</v>
      </c>
      <c r="L326" s="105">
        <f>VALUE(Expenditures[[#This Row],[2018 $ Value]]/VLOOKUP(Expenditures[[#This Row],[Jurisdiction]],Places[],6,FALSE))</f>
        <v>24.574499580000637</v>
      </c>
      <c r="M326" s="105">
        <f>VALUE(Expenditures[[#This Row],[2018 $ Value]]/VLOOKUP(Expenditures[[#This Row],[Jurisdiction]],Places[],7,FALSE))</f>
        <v>104771.86164761531</v>
      </c>
      <c r="N326" s="20" t="s">
        <v>1853</v>
      </c>
      <c r="O326" s="20" t="s">
        <v>1853</v>
      </c>
    </row>
    <row r="327" spans="1:15" x14ac:dyDescent="0.25">
      <c r="A327" s="19" t="s">
        <v>18</v>
      </c>
      <c r="B327" s="19" t="str">
        <f>INDEX(Places[Type],MATCH(Expenditures[[#This Row],[Jurisdiction]],Places[Jurisdiction],0))</f>
        <v>City</v>
      </c>
      <c r="C327" s="19" t="str">
        <f>INDEX(Places[County],MATCH(Expenditures[[#This Row],[Jurisdiction]],Places[Jurisdiction],0))</f>
        <v>San Bernardino</v>
      </c>
      <c r="D327" s="19" t="str">
        <f>INDEX(Places[Majority RB],MATCH(Expenditures[[#This Row],[Jurisdiction]],Places[Jurisdiction],0))</f>
        <v>Santa Ana</v>
      </c>
      <c r="E327" s="19">
        <f>INDEX(Places[Majority RB '#],MATCH(Expenditures[[#This Row],[Jurisdiction]],Places[Jurisdiction],0))</f>
        <v>8</v>
      </c>
      <c r="F327" s="19" t="str">
        <f>VLOOKUP(Expenditures[[#This Row],[Jurisdiction]],Places[#All],8,FALSE)</f>
        <v>Phase I MS4</v>
      </c>
      <c r="G327" s="19"/>
      <c r="H327" s="21" t="s">
        <v>1870</v>
      </c>
      <c r="I327" s="21">
        <f>VALUE(LEFT(Expenditures[[#This Row],[Fiscal Year]],4))</f>
        <v>2011</v>
      </c>
      <c r="J327" s="20">
        <v>2149181</v>
      </c>
      <c r="K327" s="20">
        <f>IF(Expenditures[[#This Row],[Reference Year]]&gt;2018,Expenditures[[#This Row],[Value]],Expenditures[[#This Row],[Value]]*(1+VLOOKUP(Expenditures[[#This Row],[Reference Year]],Inflation[#All],3,FALSE)))</f>
        <v>2404626.7861760785</v>
      </c>
      <c r="L327" s="105">
        <f>VALUE(Expenditures[[#This Row],[2018 $ Value]]/VLOOKUP(Expenditures[[#This Row],[Jurisdiction]],Places[],6,FALSE))</f>
        <v>13.277381802890437</v>
      </c>
      <c r="M327" s="105">
        <f>VALUE(Expenditures[[#This Row],[2018 $ Value]]/VLOOKUP(Expenditures[[#This Row],[Jurisdiction]],Places[],7,FALSE))</f>
        <v>48188.913550622819</v>
      </c>
      <c r="N327" s="20" t="s">
        <v>1460</v>
      </c>
      <c r="O327" s="20" t="s">
        <v>1460</v>
      </c>
    </row>
    <row r="328" spans="1:15" x14ac:dyDescent="0.25">
      <c r="A328" s="19" t="s">
        <v>18</v>
      </c>
      <c r="B328" s="19" t="str">
        <f>INDEX(Places[Type],MATCH(Expenditures[[#This Row],[Jurisdiction]],Places[Jurisdiction],0))</f>
        <v>City</v>
      </c>
      <c r="C328" s="19" t="str">
        <f>INDEX(Places[County],MATCH(Expenditures[[#This Row],[Jurisdiction]],Places[Jurisdiction],0))</f>
        <v>San Bernardino</v>
      </c>
      <c r="D328" s="19" t="str">
        <f>INDEX(Places[Majority RB],MATCH(Expenditures[[#This Row],[Jurisdiction]],Places[Jurisdiction],0))</f>
        <v>Santa Ana</v>
      </c>
      <c r="E328" s="19">
        <f>INDEX(Places[Majority RB '#],MATCH(Expenditures[[#This Row],[Jurisdiction]],Places[Jurisdiction],0))</f>
        <v>8</v>
      </c>
      <c r="F328" s="19" t="str">
        <f>VLOOKUP(Expenditures[[#This Row],[Jurisdiction]],Places[#All],8,FALSE)</f>
        <v>Phase I MS4</v>
      </c>
      <c r="G328" s="19"/>
      <c r="H328" s="21" t="s">
        <v>1871</v>
      </c>
      <c r="I328" s="21">
        <f>VALUE(LEFT(Expenditures[[#This Row],[Fiscal Year]],4))</f>
        <v>2012</v>
      </c>
      <c r="J328" s="20">
        <v>2359343</v>
      </c>
      <c r="K328" s="20">
        <f>IF(Expenditures[[#This Row],[Reference Year]]&gt;2018,Expenditures[[#This Row],[Value]],Expenditures[[#This Row],[Value]]*(1+VLOOKUP(Expenditures[[#This Row],[Reference Year]],Inflation[#All],3,FALSE)))</f>
        <v>2585731.003628049</v>
      </c>
      <c r="L328" s="105">
        <f>VALUE(Expenditures[[#This Row],[2018 $ Value]]/VLOOKUP(Expenditures[[#This Row],[Jurisdiction]],Places[],6,FALSE))</f>
        <v>14.277366438779556</v>
      </c>
      <c r="M328" s="105">
        <f>VALUE(Expenditures[[#This Row],[2018 $ Value]]/VLOOKUP(Expenditures[[#This Row],[Jurisdiction]],Places[],7,FALSE))</f>
        <v>51818.256585732444</v>
      </c>
      <c r="N328" s="20" t="s">
        <v>1460</v>
      </c>
      <c r="O328" s="20" t="s">
        <v>1460</v>
      </c>
    </row>
    <row r="329" spans="1:15" x14ac:dyDescent="0.25">
      <c r="A329" s="19" t="s">
        <v>18</v>
      </c>
      <c r="B329" s="19" t="str">
        <f>INDEX(Places[Type],MATCH(Expenditures[[#This Row],[Jurisdiction]],Places[Jurisdiction],0))</f>
        <v>City</v>
      </c>
      <c r="C329" s="19" t="str">
        <f>INDEX(Places[County],MATCH(Expenditures[[#This Row],[Jurisdiction]],Places[Jurisdiction],0))</f>
        <v>San Bernardino</v>
      </c>
      <c r="D329" s="19" t="str">
        <f>INDEX(Places[Majority RB],MATCH(Expenditures[[#This Row],[Jurisdiction]],Places[Jurisdiction],0))</f>
        <v>Santa Ana</v>
      </c>
      <c r="E329" s="19">
        <f>INDEX(Places[Majority RB '#],MATCH(Expenditures[[#This Row],[Jurisdiction]],Places[Jurisdiction],0))</f>
        <v>8</v>
      </c>
      <c r="F329" s="19" t="str">
        <f>VLOOKUP(Expenditures[[#This Row],[Jurisdiction]],Places[#All],8,FALSE)</f>
        <v>Phase I MS4</v>
      </c>
      <c r="G329" s="19"/>
      <c r="H329" s="21" t="s">
        <v>1880</v>
      </c>
      <c r="I329" s="21">
        <f>VALUE(LEFT(Expenditures[[#This Row],[Fiscal Year]],4))</f>
        <v>2013</v>
      </c>
      <c r="J329" s="20">
        <v>2156014</v>
      </c>
      <c r="K329" s="20">
        <f>IF(Expenditures[[#This Row],[Reference Year]]&gt;2018,Expenditures[[#This Row],[Value]],Expenditures[[#This Row],[Value]]*(1+VLOOKUP(Expenditures[[#This Row],[Reference Year]],Inflation[#All],3,FALSE)))</f>
        <v>2328411.8404892706</v>
      </c>
      <c r="L329" s="105">
        <f>VALUE(Expenditures[[#This Row],[2018 $ Value]]/VLOOKUP(Expenditures[[#This Row],[Jurisdiction]],Places[],6,FALSE))</f>
        <v>12.856553531830745</v>
      </c>
      <c r="M329" s="105">
        <f>VALUE(Expenditures[[#This Row],[2018 $ Value]]/VLOOKUP(Expenditures[[#This Row],[Jurisdiction]],Places[],7,FALSE))</f>
        <v>46661.559929644704</v>
      </c>
      <c r="N329" s="20" t="s">
        <v>1460</v>
      </c>
      <c r="O329" s="20" t="s">
        <v>1460</v>
      </c>
    </row>
    <row r="330" spans="1:15" x14ac:dyDescent="0.25">
      <c r="A330" s="19" t="s">
        <v>18</v>
      </c>
      <c r="B330" s="19" t="str">
        <f>INDEX(Places[Type],MATCH(Expenditures[[#This Row],[Jurisdiction]],Places[Jurisdiction],0))</f>
        <v>City</v>
      </c>
      <c r="C330" s="19" t="str">
        <f>INDEX(Places[County],MATCH(Expenditures[[#This Row],[Jurisdiction]],Places[Jurisdiction],0))</f>
        <v>San Bernardino</v>
      </c>
      <c r="D330" s="19" t="str">
        <f>INDEX(Places[Majority RB],MATCH(Expenditures[[#This Row],[Jurisdiction]],Places[Jurisdiction],0))</f>
        <v>Santa Ana</v>
      </c>
      <c r="E330" s="19">
        <f>INDEX(Places[Majority RB '#],MATCH(Expenditures[[#This Row],[Jurisdiction]],Places[Jurisdiction],0))</f>
        <v>8</v>
      </c>
      <c r="F330" s="19" t="str">
        <f>VLOOKUP(Expenditures[[#This Row],[Jurisdiction]],Places[#All],8,FALSE)</f>
        <v>Phase I MS4</v>
      </c>
      <c r="G330" s="19"/>
      <c r="H330" s="21" t="s">
        <v>1881</v>
      </c>
      <c r="I330" s="21">
        <f>VALUE(LEFT(Expenditures[[#This Row],[Fiscal Year]],4))</f>
        <v>2014</v>
      </c>
      <c r="J330" s="20">
        <v>2320641</v>
      </c>
      <c r="K330" s="20">
        <f>IF(Expenditures[[#This Row],[Reference Year]]&gt;2018,Expenditures[[#This Row],[Value]],Expenditures[[#This Row],[Value]]*(1+VLOOKUP(Expenditures[[#This Row],[Reference Year]],Inflation[#All],3,FALSE)))</f>
        <v>2467026.6813307987</v>
      </c>
      <c r="L330" s="105">
        <f>VALUE(Expenditures[[#This Row],[2018 $ Value]]/VLOOKUP(Expenditures[[#This Row],[Jurisdiction]],Places[],6,FALSE))</f>
        <v>13.621928922298965</v>
      </c>
      <c r="M330" s="105">
        <f>VALUE(Expenditures[[#This Row],[2018 $ Value]]/VLOOKUP(Expenditures[[#This Row],[Jurisdiction]],Places[],7,FALSE))</f>
        <v>49439.412451519012</v>
      </c>
      <c r="N330" s="20" t="s">
        <v>1460</v>
      </c>
      <c r="O330" s="20" t="s">
        <v>1853</v>
      </c>
    </row>
    <row r="331" spans="1:15" x14ac:dyDescent="0.25">
      <c r="A331" s="19" t="s">
        <v>262</v>
      </c>
      <c r="B331" s="19" t="str">
        <f>INDEX(Places[Type],MATCH(Expenditures[[#This Row],[Jurisdiction]],Places[Jurisdiction],0))</f>
        <v>City</v>
      </c>
      <c r="C331" s="19" t="str">
        <f>INDEX(Places[County],MATCH(Expenditures[[#This Row],[Jurisdiction]],Places[Jurisdiction],0))</f>
        <v>Orange</v>
      </c>
      <c r="D331" s="19" t="str">
        <f>INDEX(Places[Majority RB],MATCH(Expenditures[[#This Row],[Jurisdiction]],Places[Jurisdiction],0))</f>
        <v>Santa Ana</v>
      </c>
      <c r="E331" s="19">
        <f>INDEX(Places[Majority RB '#],MATCH(Expenditures[[#This Row],[Jurisdiction]],Places[Jurisdiction],0))</f>
        <v>8</v>
      </c>
      <c r="F331" s="19" t="str">
        <f>VLOOKUP(Expenditures[[#This Row],[Jurisdiction]],Places[#All],8,FALSE)</f>
        <v>Phase I MS4</v>
      </c>
      <c r="G331" s="19"/>
      <c r="H331" s="21" t="s">
        <v>1893</v>
      </c>
      <c r="I331" s="21">
        <f>VALUE(LEFT(Expenditures[[#This Row],[Fiscal Year]],4))</f>
        <v>2000</v>
      </c>
      <c r="J331" s="20">
        <v>3875965</v>
      </c>
      <c r="K331" s="20">
        <f>IF(Expenditures[[#This Row],[Reference Year]]&gt;2018,Expenditures[[#This Row],[Value]],Expenditures[[#This Row],[Value]]*(1+VLOOKUP(Expenditures[[#This Row],[Reference Year]],Inflation[#All],3,FALSE)))</f>
        <v>5663838.2631533109</v>
      </c>
      <c r="L331" s="105">
        <f>VALUE(Expenditures[[#This Row],[2018 $ Value]]/VLOOKUP(Expenditures[[#This Row],[Jurisdiction]],Places[],6,FALSE))</f>
        <v>40.605648412386444</v>
      </c>
      <c r="M331" s="105">
        <f>VALUE(Expenditures[[#This Row],[2018 $ Value]]/VLOOKUP(Expenditures[[#This Row],[Jurisdiction]],Places[],7,FALSE))</f>
        <v>222985.75839186265</v>
      </c>
      <c r="N331" s="20" t="s">
        <v>1460</v>
      </c>
      <c r="O331" s="20" t="s">
        <v>1460</v>
      </c>
    </row>
    <row r="332" spans="1:15" x14ac:dyDescent="0.25">
      <c r="A332" s="19" t="s">
        <v>262</v>
      </c>
      <c r="B332" s="19" t="str">
        <f>INDEX(Places[Type],MATCH(Expenditures[[#This Row],[Jurisdiction]],Places[Jurisdiction],0))</f>
        <v>City</v>
      </c>
      <c r="C332" s="19" t="str">
        <f>INDEX(Places[County],MATCH(Expenditures[[#This Row],[Jurisdiction]],Places[Jurisdiction],0))</f>
        <v>Orange</v>
      </c>
      <c r="D332" s="19" t="str">
        <f>INDEX(Places[Majority RB],MATCH(Expenditures[[#This Row],[Jurisdiction]],Places[Jurisdiction],0))</f>
        <v>Santa Ana</v>
      </c>
      <c r="E332" s="19">
        <f>INDEX(Places[Majority RB '#],MATCH(Expenditures[[#This Row],[Jurisdiction]],Places[Jurisdiction],0))</f>
        <v>8</v>
      </c>
      <c r="F332" s="19" t="str">
        <f>VLOOKUP(Expenditures[[#This Row],[Jurisdiction]],Places[#All],8,FALSE)</f>
        <v>Phase I MS4</v>
      </c>
      <c r="G332" s="19"/>
      <c r="H332" s="21" t="s">
        <v>1875</v>
      </c>
      <c r="I332" s="21">
        <f>VALUE(LEFT(Expenditures[[#This Row],[Fiscal Year]],4))</f>
        <v>2001</v>
      </c>
      <c r="J332" s="20">
        <v>1817592</v>
      </c>
      <c r="K332" s="20">
        <f>IF(Expenditures[[#This Row],[Reference Year]]&gt;2018,Expenditures[[#This Row],[Value]],Expenditures[[#This Row],[Value]]*(1+VLOOKUP(Expenditures[[#This Row],[Reference Year]],Inflation[#All],3,FALSE)))</f>
        <v>2582509.839367589</v>
      </c>
      <c r="L332" s="105">
        <f>VALUE(Expenditures[[#This Row],[2018 $ Value]]/VLOOKUP(Expenditures[[#This Row],[Jurisdiction]],Places[],6,FALSE))</f>
        <v>18.514738890249699</v>
      </c>
      <c r="M332" s="105">
        <f>VALUE(Expenditures[[#This Row],[2018 $ Value]]/VLOOKUP(Expenditures[[#This Row],[Jurisdiction]],Places[],7,FALSE))</f>
        <v>101673.61572313344</v>
      </c>
      <c r="N332" s="20" t="s">
        <v>1853</v>
      </c>
      <c r="O332" s="20" t="s">
        <v>1853</v>
      </c>
    </row>
    <row r="333" spans="1:15" x14ac:dyDescent="0.25">
      <c r="A333" s="19" t="s">
        <v>1444</v>
      </c>
      <c r="B333" s="19" t="str">
        <f>INDEX(Places[Type],MATCH(Expenditures[[#This Row],[Jurisdiction]],Places[Jurisdiction],0))</f>
        <v>County</v>
      </c>
      <c r="C333" s="19" t="str">
        <f>INDEX(Places[County],MATCH(Expenditures[[#This Row],[Jurisdiction]],Places[Jurisdiction],0))</f>
        <v>Orange</v>
      </c>
      <c r="D333" s="19" t="str">
        <f>INDEX(Places[Majority RB],MATCH(Expenditures[[#This Row],[Jurisdiction]],Places[Jurisdiction],0))</f>
        <v>Santa Ana</v>
      </c>
      <c r="E333" s="19">
        <f>INDEX(Places[Majority RB '#],MATCH(Expenditures[[#This Row],[Jurisdiction]],Places[Jurisdiction],0))</f>
        <v>8</v>
      </c>
      <c r="F333" s="19" t="str">
        <f>VLOOKUP(Expenditures[[#This Row],[Jurisdiction]],Places[#All],8,FALSE)</f>
        <v>Phase I MS4</v>
      </c>
      <c r="G333" s="19"/>
      <c r="H333" s="21" t="s">
        <v>1872</v>
      </c>
      <c r="I333" s="21">
        <f>VALUE(LEFT(Expenditures[[#This Row],[Fiscal Year]],4))</f>
        <v>2002</v>
      </c>
      <c r="J333" s="20">
        <v>5923409</v>
      </c>
      <c r="K333" s="20">
        <f>IF(Expenditures[[#This Row],[Reference Year]]&gt;2018,Expenditures[[#This Row],[Value]],Expenditures[[#This Row],[Value]]*(1+VLOOKUP(Expenditures[[#This Row],[Reference Year]],Inflation[#All],3,FALSE)))</f>
        <v>8285232.5185047239</v>
      </c>
      <c r="L333" s="105" t="e">
        <f>VALUE(Expenditures[[#This Row],[2018 $ Value]]/VLOOKUP(Expenditures[[#This Row],[Jurisdiction]],Places[],6,FALSE))</f>
        <v>#N/A</v>
      </c>
      <c r="M333" s="105" t="e">
        <f>VALUE(Expenditures[[#This Row],[2018 $ Value]]/VLOOKUP(Expenditures[[#This Row],[Jurisdiction]],Places[],7,FALSE))</f>
        <v>#N/A</v>
      </c>
      <c r="N333" s="20" t="s">
        <v>1460</v>
      </c>
      <c r="O333" s="20" t="s">
        <v>1460</v>
      </c>
    </row>
    <row r="334" spans="1:15" x14ac:dyDescent="0.25">
      <c r="A334" s="19" t="s">
        <v>1444</v>
      </c>
      <c r="B334" s="19" t="str">
        <f>INDEX(Places[Type],MATCH(Expenditures[[#This Row],[Jurisdiction]],Places[Jurisdiction],0))</f>
        <v>County</v>
      </c>
      <c r="C334" s="19" t="str">
        <f>INDEX(Places[County],MATCH(Expenditures[[#This Row],[Jurisdiction]],Places[Jurisdiction],0))</f>
        <v>Orange</v>
      </c>
      <c r="D334" s="19" t="str">
        <f>INDEX(Places[Majority RB],MATCH(Expenditures[[#This Row],[Jurisdiction]],Places[Jurisdiction],0))</f>
        <v>Santa Ana</v>
      </c>
      <c r="E334" s="19">
        <f>INDEX(Places[Majority RB '#],MATCH(Expenditures[[#This Row],[Jurisdiction]],Places[Jurisdiction],0))</f>
        <v>8</v>
      </c>
      <c r="F334" s="19" t="str">
        <f>VLOOKUP(Expenditures[[#This Row],[Jurisdiction]],Places[#All],8,FALSE)</f>
        <v>Phase I MS4</v>
      </c>
      <c r="G334" s="19"/>
      <c r="H334" s="21" t="s">
        <v>1886</v>
      </c>
      <c r="I334" s="21">
        <f>VALUE(LEFT(Expenditures[[#This Row],[Fiscal Year]],4))</f>
        <v>2003</v>
      </c>
      <c r="J334" s="20">
        <v>13281617</v>
      </c>
      <c r="K334" s="20">
        <f>IF(Expenditures[[#This Row],[Reference Year]]&gt;2018,Expenditures[[#This Row],[Value]],Expenditures[[#This Row],[Value]]*(1+VLOOKUP(Expenditures[[#This Row],[Reference Year]],Inflation[#All],3,FALSE)))</f>
        <v>18163405.257211957</v>
      </c>
      <c r="L334" s="105" t="e">
        <f>VALUE(Expenditures[[#This Row],[2018 $ Value]]/VLOOKUP(Expenditures[[#This Row],[Jurisdiction]],Places[],6,FALSE))</f>
        <v>#N/A</v>
      </c>
      <c r="M334" s="105" t="e">
        <f>VALUE(Expenditures[[#This Row],[2018 $ Value]]/VLOOKUP(Expenditures[[#This Row],[Jurisdiction]],Places[],7,FALSE))</f>
        <v>#N/A</v>
      </c>
      <c r="N334" s="20" t="s">
        <v>1460</v>
      </c>
      <c r="O334" s="20" t="s">
        <v>1460</v>
      </c>
    </row>
    <row r="335" spans="1:15" x14ac:dyDescent="0.25">
      <c r="A335" s="19" t="s">
        <v>1444</v>
      </c>
      <c r="B335" s="19" t="str">
        <f>INDEX(Places[Type],MATCH(Expenditures[[#This Row],[Jurisdiction]],Places[Jurisdiction],0))</f>
        <v>County</v>
      </c>
      <c r="C335" s="19" t="str">
        <f>INDEX(Places[County],MATCH(Expenditures[[#This Row],[Jurisdiction]],Places[Jurisdiction],0))</f>
        <v>Orange</v>
      </c>
      <c r="D335" s="19" t="str">
        <f>INDEX(Places[Majority RB],MATCH(Expenditures[[#This Row],[Jurisdiction]],Places[Jurisdiction],0))</f>
        <v>Santa Ana</v>
      </c>
      <c r="E335" s="19">
        <f>INDEX(Places[Majority RB '#],MATCH(Expenditures[[#This Row],[Jurisdiction]],Places[Jurisdiction],0))</f>
        <v>8</v>
      </c>
      <c r="F335" s="19" t="str">
        <f>VLOOKUP(Expenditures[[#This Row],[Jurisdiction]],Places[#All],8,FALSE)</f>
        <v>Phase I MS4</v>
      </c>
      <c r="G335" s="19"/>
      <c r="H335" s="21" t="s">
        <v>1887</v>
      </c>
      <c r="I335" s="21">
        <f>VALUE(LEFT(Expenditures[[#This Row],[Fiscal Year]],4))</f>
        <v>2004</v>
      </c>
      <c r="J335" s="20">
        <v>8931869</v>
      </c>
      <c r="K335" s="20">
        <f>IF(Expenditures[[#This Row],[Reference Year]]&gt;2018,Expenditures[[#This Row],[Value]],Expenditures[[#This Row],[Value]]*(1+VLOOKUP(Expenditures[[#This Row],[Reference Year]],Inflation[#All],3,FALSE)))</f>
        <v>11898015.50205929</v>
      </c>
      <c r="L335" s="105" t="e">
        <f>VALUE(Expenditures[[#This Row],[2018 $ Value]]/VLOOKUP(Expenditures[[#This Row],[Jurisdiction]],Places[],6,FALSE))</f>
        <v>#N/A</v>
      </c>
      <c r="M335" s="105" t="e">
        <f>VALUE(Expenditures[[#This Row],[2018 $ Value]]/VLOOKUP(Expenditures[[#This Row],[Jurisdiction]],Places[],7,FALSE))</f>
        <v>#N/A</v>
      </c>
      <c r="N335" s="20" t="s">
        <v>1460</v>
      </c>
      <c r="O335" s="20" t="s">
        <v>1460</v>
      </c>
    </row>
    <row r="336" spans="1:15" x14ac:dyDescent="0.25">
      <c r="A336" s="19" t="s">
        <v>1444</v>
      </c>
      <c r="B336" s="19" t="str">
        <f>INDEX(Places[Type],MATCH(Expenditures[[#This Row],[Jurisdiction]],Places[Jurisdiction],0))</f>
        <v>County</v>
      </c>
      <c r="C336" s="19" t="str">
        <f>INDEX(Places[County],MATCH(Expenditures[[#This Row],[Jurisdiction]],Places[Jurisdiction],0))</f>
        <v>Orange</v>
      </c>
      <c r="D336" s="19" t="str">
        <f>INDEX(Places[Majority RB],MATCH(Expenditures[[#This Row],[Jurisdiction]],Places[Jurisdiction],0))</f>
        <v>Santa Ana</v>
      </c>
      <c r="E336" s="19">
        <f>INDEX(Places[Majority RB '#],MATCH(Expenditures[[#This Row],[Jurisdiction]],Places[Jurisdiction],0))</f>
        <v>8</v>
      </c>
      <c r="F336" s="19" t="str">
        <f>VLOOKUP(Expenditures[[#This Row],[Jurisdiction]],Places[#All],8,FALSE)</f>
        <v>Phase I MS4</v>
      </c>
      <c r="G336" s="19"/>
      <c r="H336" s="21" t="s">
        <v>1882</v>
      </c>
      <c r="I336" s="21">
        <f>VALUE(LEFT(Expenditures[[#This Row],[Fiscal Year]],4))</f>
        <v>2005</v>
      </c>
      <c r="J336" s="20">
        <v>13747891</v>
      </c>
      <c r="K336" s="20">
        <f>IF(Expenditures[[#This Row],[Reference Year]]&gt;2018,Expenditures[[#This Row],[Value]],Expenditures[[#This Row],[Value]]*(1+VLOOKUP(Expenditures[[#This Row],[Reference Year]],Inflation[#All],3,FALSE)))</f>
        <v>17713238.915622119</v>
      </c>
      <c r="L336" s="105" t="e">
        <f>VALUE(Expenditures[[#This Row],[2018 $ Value]]/VLOOKUP(Expenditures[[#This Row],[Jurisdiction]],Places[],6,FALSE))</f>
        <v>#N/A</v>
      </c>
      <c r="M336" s="105" t="e">
        <f>VALUE(Expenditures[[#This Row],[2018 $ Value]]/VLOOKUP(Expenditures[[#This Row],[Jurisdiction]],Places[],7,FALSE))</f>
        <v>#N/A</v>
      </c>
      <c r="N336" s="20" t="s">
        <v>1460</v>
      </c>
      <c r="O336" s="20" t="s">
        <v>1460</v>
      </c>
    </row>
    <row r="337" spans="1:15" x14ac:dyDescent="0.25">
      <c r="A337" s="19" t="s">
        <v>1444</v>
      </c>
      <c r="B337" s="19" t="str">
        <f>INDEX(Places[Type],MATCH(Expenditures[[#This Row],[Jurisdiction]],Places[Jurisdiction],0))</f>
        <v>County</v>
      </c>
      <c r="C337" s="19" t="str">
        <f>INDEX(Places[County],MATCH(Expenditures[[#This Row],[Jurisdiction]],Places[Jurisdiction],0))</f>
        <v>Orange</v>
      </c>
      <c r="D337" s="19" t="str">
        <f>INDEX(Places[Majority RB],MATCH(Expenditures[[#This Row],[Jurisdiction]],Places[Jurisdiction],0))</f>
        <v>Santa Ana</v>
      </c>
      <c r="E337" s="19">
        <f>INDEX(Places[Majority RB '#],MATCH(Expenditures[[#This Row],[Jurisdiction]],Places[Jurisdiction],0))</f>
        <v>8</v>
      </c>
      <c r="F337" s="19" t="str">
        <f>VLOOKUP(Expenditures[[#This Row],[Jurisdiction]],Places[#All],8,FALSE)</f>
        <v>Phase I MS4</v>
      </c>
      <c r="G337" s="19"/>
      <c r="H337" s="21" t="s">
        <v>1883</v>
      </c>
      <c r="I337" s="21">
        <f>VALUE(LEFT(Expenditures[[#This Row],[Fiscal Year]],4))</f>
        <v>2006</v>
      </c>
      <c r="J337" s="20">
        <v>19587565</v>
      </c>
      <c r="K337" s="20">
        <f>IF(Expenditures[[#This Row],[Reference Year]]&gt;2018,Expenditures[[#This Row],[Value]],Expenditures[[#This Row],[Value]]*(1+VLOOKUP(Expenditures[[#This Row],[Reference Year]],Inflation[#All],3,FALSE)))</f>
        <v>24448604.010491073</v>
      </c>
      <c r="L337" s="105" t="e">
        <f>VALUE(Expenditures[[#This Row],[2018 $ Value]]/VLOOKUP(Expenditures[[#This Row],[Jurisdiction]],Places[],6,FALSE))</f>
        <v>#N/A</v>
      </c>
      <c r="M337" s="105" t="e">
        <f>VALUE(Expenditures[[#This Row],[2018 $ Value]]/VLOOKUP(Expenditures[[#This Row],[Jurisdiction]],Places[],7,FALSE))</f>
        <v>#N/A</v>
      </c>
      <c r="N337" s="20" t="s">
        <v>1460</v>
      </c>
      <c r="O337" s="20" t="s">
        <v>1460</v>
      </c>
    </row>
    <row r="338" spans="1:15" x14ac:dyDescent="0.25">
      <c r="A338" s="19" t="s">
        <v>1444</v>
      </c>
      <c r="B338" s="19" t="str">
        <f>INDEX(Places[Type],MATCH(Expenditures[[#This Row],[Jurisdiction]],Places[Jurisdiction],0))</f>
        <v>County</v>
      </c>
      <c r="C338" s="19" t="str">
        <f>INDEX(Places[County],MATCH(Expenditures[[#This Row],[Jurisdiction]],Places[Jurisdiction],0))</f>
        <v>Orange</v>
      </c>
      <c r="D338" s="19" t="str">
        <f>INDEX(Places[Majority RB],MATCH(Expenditures[[#This Row],[Jurisdiction]],Places[Jurisdiction],0))</f>
        <v>Santa Ana</v>
      </c>
      <c r="E338" s="19">
        <f>INDEX(Places[Majority RB '#],MATCH(Expenditures[[#This Row],[Jurisdiction]],Places[Jurisdiction],0))</f>
        <v>8</v>
      </c>
      <c r="F338" s="19" t="str">
        <f>VLOOKUP(Expenditures[[#This Row],[Jurisdiction]],Places[#All],8,FALSE)</f>
        <v>Phase I MS4</v>
      </c>
      <c r="G338" s="19"/>
      <c r="H338" s="21" t="s">
        <v>1888</v>
      </c>
      <c r="I338" s="21">
        <f>VALUE(LEFT(Expenditures[[#This Row],[Fiscal Year]],4))</f>
        <v>2007</v>
      </c>
      <c r="J338" s="20">
        <v>22342626</v>
      </c>
      <c r="K338" s="20">
        <f>IF(Expenditures[[#This Row],[Reference Year]]&gt;2018,Expenditures[[#This Row],[Value]],Expenditures[[#This Row],[Value]]*(1+VLOOKUP(Expenditures[[#This Row],[Reference Year]],Inflation[#All],3,FALSE)))</f>
        <v>27120585.253285091</v>
      </c>
      <c r="L338" s="105" t="e">
        <f>VALUE(Expenditures[[#This Row],[2018 $ Value]]/VLOOKUP(Expenditures[[#This Row],[Jurisdiction]],Places[],6,FALSE))</f>
        <v>#N/A</v>
      </c>
      <c r="M338" s="105" t="e">
        <f>VALUE(Expenditures[[#This Row],[2018 $ Value]]/VLOOKUP(Expenditures[[#This Row],[Jurisdiction]],Places[],7,FALSE))</f>
        <v>#N/A</v>
      </c>
      <c r="N338" s="20" t="s">
        <v>1460</v>
      </c>
      <c r="O338" s="20" t="s">
        <v>1460</v>
      </c>
    </row>
    <row r="339" spans="1:15" x14ac:dyDescent="0.25">
      <c r="A339" s="19" t="s">
        <v>1444</v>
      </c>
      <c r="B339" s="19" t="str">
        <f>INDEX(Places[Type],MATCH(Expenditures[[#This Row],[Jurisdiction]],Places[Jurisdiction],0))</f>
        <v>County</v>
      </c>
      <c r="C339" s="19" t="str">
        <f>INDEX(Places[County],MATCH(Expenditures[[#This Row],[Jurisdiction]],Places[Jurisdiction],0))</f>
        <v>Orange</v>
      </c>
      <c r="D339" s="19" t="str">
        <f>INDEX(Places[Majority RB],MATCH(Expenditures[[#This Row],[Jurisdiction]],Places[Jurisdiction],0))</f>
        <v>Santa Ana</v>
      </c>
      <c r="E339" s="19">
        <f>INDEX(Places[Majority RB '#],MATCH(Expenditures[[#This Row],[Jurisdiction]],Places[Jurisdiction],0))</f>
        <v>8</v>
      </c>
      <c r="F339" s="19" t="str">
        <f>VLOOKUP(Expenditures[[#This Row],[Jurisdiction]],Places[#All],8,FALSE)</f>
        <v>Phase I MS4</v>
      </c>
      <c r="G339" s="19"/>
      <c r="H339" s="21" t="s">
        <v>1884</v>
      </c>
      <c r="I339" s="21">
        <f>VALUE(LEFT(Expenditures[[#This Row],[Fiscal Year]],4))</f>
        <v>2008</v>
      </c>
      <c r="J339" s="20">
        <v>22145712</v>
      </c>
      <c r="K339" s="20">
        <f>IF(Expenditures[[#This Row],[Reference Year]]&gt;2018,Expenditures[[#This Row],[Value]],Expenditures[[#This Row],[Value]]*(1+VLOOKUP(Expenditures[[#This Row],[Reference Year]],Inflation[#All],3,FALSE)))</f>
        <v>25882710.897686947</v>
      </c>
      <c r="L339" s="105" t="e">
        <f>VALUE(Expenditures[[#This Row],[2018 $ Value]]/VLOOKUP(Expenditures[[#This Row],[Jurisdiction]],Places[],6,FALSE))</f>
        <v>#N/A</v>
      </c>
      <c r="M339" s="105" t="e">
        <f>VALUE(Expenditures[[#This Row],[2018 $ Value]]/VLOOKUP(Expenditures[[#This Row],[Jurisdiction]],Places[],7,FALSE))</f>
        <v>#N/A</v>
      </c>
      <c r="N339" s="20" t="s">
        <v>1460</v>
      </c>
      <c r="O339" s="20" t="s">
        <v>1460</v>
      </c>
    </row>
    <row r="340" spans="1:15" x14ac:dyDescent="0.25">
      <c r="A340" s="19" t="s">
        <v>1444</v>
      </c>
      <c r="B340" s="19" t="str">
        <f>INDEX(Places[Type],MATCH(Expenditures[[#This Row],[Jurisdiction]],Places[Jurisdiction],0))</f>
        <v>County</v>
      </c>
      <c r="C340" s="19" t="str">
        <f>INDEX(Places[County],MATCH(Expenditures[[#This Row],[Jurisdiction]],Places[Jurisdiction],0))</f>
        <v>Orange</v>
      </c>
      <c r="D340" s="19" t="str">
        <f>INDEX(Places[Majority RB],MATCH(Expenditures[[#This Row],[Jurisdiction]],Places[Jurisdiction],0))</f>
        <v>Santa Ana</v>
      </c>
      <c r="E340" s="19">
        <f>INDEX(Places[Majority RB '#],MATCH(Expenditures[[#This Row],[Jurisdiction]],Places[Jurisdiction],0))</f>
        <v>8</v>
      </c>
      <c r="F340" s="19" t="str">
        <f>VLOOKUP(Expenditures[[#This Row],[Jurisdiction]],Places[#All],8,FALSE)</f>
        <v>Phase I MS4</v>
      </c>
      <c r="G340" s="19"/>
      <c r="H340" s="21" t="s">
        <v>1889</v>
      </c>
      <c r="I340" s="21">
        <f>VALUE(LEFT(Expenditures[[#This Row],[Fiscal Year]],4))</f>
        <v>2009</v>
      </c>
      <c r="J340" s="20">
        <v>23464440</v>
      </c>
      <c r="K340" s="20">
        <f>IF(Expenditures[[#This Row],[Reference Year]]&gt;2018,Expenditures[[#This Row],[Value]],Expenditures[[#This Row],[Value]]*(1+VLOOKUP(Expenditures[[#This Row],[Reference Year]],Inflation[#All],3,FALSE)))</f>
        <v>27526249.424895104</v>
      </c>
      <c r="L340" s="105" t="e">
        <f>VALUE(Expenditures[[#This Row],[2018 $ Value]]/VLOOKUP(Expenditures[[#This Row],[Jurisdiction]],Places[],6,FALSE))</f>
        <v>#N/A</v>
      </c>
      <c r="M340" s="105" t="e">
        <f>VALUE(Expenditures[[#This Row],[2018 $ Value]]/VLOOKUP(Expenditures[[#This Row],[Jurisdiction]],Places[],7,FALSE))</f>
        <v>#N/A</v>
      </c>
      <c r="N340" s="20" t="s">
        <v>1460</v>
      </c>
      <c r="O340" s="20" t="s">
        <v>1460</v>
      </c>
    </row>
    <row r="341" spans="1:15" x14ac:dyDescent="0.25">
      <c r="A341" s="19" t="s">
        <v>1444</v>
      </c>
      <c r="B341" s="19" t="str">
        <f>INDEX(Places[Type],MATCH(Expenditures[[#This Row],[Jurisdiction]],Places[Jurisdiction],0))</f>
        <v>County</v>
      </c>
      <c r="C341" s="19" t="str">
        <f>INDEX(Places[County],MATCH(Expenditures[[#This Row],[Jurisdiction]],Places[Jurisdiction],0))</f>
        <v>Orange</v>
      </c>
      <c r="D341" s="19" t="str">
        <f>INDEX(Places[Majority RB],MATCH(Expenditures[[#This Row],[Jurisdiction]],Places[Jurisdiction],0))</f>
        <v>Santa Ana</v>
      </c>
      <c r="E341" s="19">
        <f>INDEX(Places[Majority RB '#],MATCH(Expenditures[[#This Row],[Jurisdiction]],Places[Jurisdiction],0))</f>
        <v>8</v>
      </c>
      <c r="F341" s="19" t="str">
        <f>VLOOKUP(Expenditures[[#This Row],[Jurisdiction]],Places[#All],8,FALSE)</f>
        <v>Phase I MS4</v>
      </c>
      <c r="G341" s="19"/>
      <c r="H341" s="21" t="s">
        <v>1885</v>
      </c>
      <c r="I341" s="21">
        <f>VALUE(LEFT(Expenditures[[#This Row],[Fiscal Year]],4))</f>
        <v>2010</v>
      </c>
      <c r="J341" s="20">
        <v>29146920</v>
      </c>
      <c r="K341" s="20">
        <f>IF(Expenditures[[#This Row],[Reference Year]]&gt;2018,Expenditures[[#This Row],[Value]],Expenditures[[#This Row],[Value]]*(1+VLOOKUP(Expenditures[[#This Row],[Reference Year]],Inflation[#All],3,FALSE)))</f>
        <v>33628008.37469051</v>
      </c>
      <c r="L341" s="105" t="e">
        <f>VALUE(Expenditures[[#This Row],[2018 $ Value]]/VLOOKUP(Expenditures[[#This Row],[Jurisdiction]],Places[],6,FALSE))</f>
        <v>#N/A</v>
      </c>
      <c r="M341" s="105" t="e">
        <f>VALUE(Expenditures[[#This Row],[2018 $ Value]]/VLOOKUP(Expenditures[[#This Row],[Jurisdiction]],Places[],7,FALSE))</f>
        <v>#N/A</v>
      </c>
      <c r="N341" s="20" t="s">
        <v>1460</v>
      </c>
      <c r="O341" s="20" t="s">
        <v>1460</v>
      </c>
    </row>
    <row r="342" spans="1:15" x14ac:dyDescent="0.25">
      <c r="A342" s="19" t="s">
        <v>1444</v>
      </c>
      <c r="B342" s="19" t="str">
        <f>INDEX(Places[Type],MATCH(Expenditures[[#This Row],[Jurisdiction]],Places[Jurisdiction],0))</f>
        <v>County</v>
      </c>
      <c r="C342" s="19" t="str">
        <f>INDEX(Places[County],MATCH(Expenditures[[#This Row],[Jurisdiction]],Places[Jurisdiction],0))</f>
        <v>Orange</v>
      </c>
      <c r="D342" s="19" t="str">
        <f>INDEX(Places[Majority RB],MATCH(Expenditures[[#This Row],[Jurisdiction]],Places[Jurisdiction],0))</f>
        <v>Santa Ana</v>
      </c>
      <c r="E342" s="19">
        <f>INDEX(Places[Majority RB '#],MATCH(Expenditures[[#This Row],[Jurisdiction]],Places[Jurisdiction],0))</f>
        <v>8</v>
      </c>
      <c r="F342" s="19" t="str">
        <f>VLOOKUP(Expenditures[[#This Row],[Jurisdiction]],Places[#All],8,FALSE)</f>
        <v>Phase I MS4</v>
      </c>
      <c r="G342" s="19"/>
      <c r="H342" s="21" t="s">
        <v>1870</v>
      </c>
      <c r="I342" s="21">
        <f>VALUE(LEFT(Expenditures[[#This Row],[Fiscal Year]],4))</f>
        <v>2011</v>
      </c>
      <c r="J342" s="20">
        <v>31772770</v>
      </c>
      <c r="K342" s="20">
        <f>IF(Expenditures[[#This Row],[Reference Year]]&gt;2018,Expenditures[[#This Row],[Value]],Expenditures[[#This Row],[Value]]*(1+VLOOKUP(Expenditures[[#This Row],[Reference Year]],Inflation[#All],3,FALSE)))</f>
        <v>35549194.699288577</v>
      </c>
      <c r="L342" s="105" t="e">
        <f>VALUE(Expenditures[[#This Row],[2018 $ Value]]/VLOOKUP(Expenditures[[#This Row],[Jurisdiction]],Places[],6,FALSE))</f>
        <v>#N/A</v>
      </c>
      <c r="M342" s="105" t="e">
        <f>VALUE(Expenditures[[#This Row],[2018 $ Value]]/VLOOKUP(Expenditures[[#This Row],[Jurisdiction]],Places[],7,FALSE))</f>
        <v>#N/A</v>
      </c>
      <c r="N342" s="20" t="s">
        <v>1460</v>
      </c>
      <c r="O342" s="20" t="s">
        <v>1460</v>
      </c>
    </row>
    <row r="343" spans="1:15" x14ac:dyDescent="0.25">
      <c r="A343" s="19" t="s">
        <v>1444</v>
      </c>
      <c r="B343" s="19" t="str">
        <f>INDEX(Places[Type],MATCH(Expenditures[[#This Row],[Jurisdiction]],Places[Jurisdiction],0))</f>
        <v>County</v>
      </c>
      <c r="C343" s="19" t="str">
        <f>INDEX(Places[County],MATCH(Expenditures[[#This Row],[Jurisdiction]],Places[Jurisdiction],0))</f>
        <v>Orange</v>
      </c>
      <c r="D343" s="19" t="str">
        <f>INDEX(Places[Majority RB],MATCH(Expenditures[[#This Row],[Jurisdiction]],Places[Jurisdiction],0))</f>
        <v>Santa Ana</v>
      </c>
      <c r="E343" s="19">
        <f>INDEX(Places[Majority RB '#],MATCH(Expenditures[[#This Row],[Jurisdiction]],Places[Jurisdiction],0))</f>
        <v>8</v>
      </c>
      <c r="F343" s="19" t="str">
        <f>VLOOKUP(Expenditures[[#This Row],[Jurisdiction]],Places[#All],8,FALSE)</f>
        <v>Phase I MS4</v>
      </c>
      <c r="G343" s="19"/>
      <c r="H343" s="21" t="s">
        <v>1871</v>
      </c>
      <c r="I343" s="21">
        <f>VALUE(LEFT(Expenditures[[#This Row],[Fiscal Year]],4))</f>
        <v>2012</v>
      </c>
      <c r="J343" s="20">
        <v>20564212</v>
      </c>
      <c r="K343" s="20">
        <f>IF(Expenditures[[#This Row],[Reference Year]]&gt;2018,Expenditures[[#This Row],[Value]],Expenditures[[#This Row],[Value]]*(1+VLOOKUP(Expenditures[[#This Row],[Reference Year]],Inflation[#All],3,FALSE)))</f>
        <v>22537426.958937284</v>
      </c>
      <c r="L343" s="105" t="e">
        <f>VALUE(Expenditures[[#This Row],[2018 $ Value]]/VLOOKUP(Expenditures[[#This Row],[Jurisdiction]],Places[],6,FALSE))</f>
        <v>#N/A</v>
      </c>
      <c r="M343" s="105" t="e">
        <f>VALUE(Expenditures[[#This Row],[2018 $ Value]]/VLOOKUP(Expenditures[[#This Row],[Jurisdiction]],Places[],7,FALSE))</f>
        <v>#N/A</v>
      </c>
      <c r="N343" s="20" t="s">
        <v>1460</v>
      </c>
      <c r="O343" s="20" t="s">
        <v>1460</v>
      </c>
    </row>
    <row r="344" spans="1:15" x14ac:dyDescent="0.25">
      <c r="A344" s="19" t="s">
        <v>1444</v>
      </c>
      <c r="B344" s="19" t="str">
        <f>INDEX(Places[Type],MATCH(Expenditures[[#This Row],[Jurisdiction]],Places[Jurisdiction],0))</f>
        <v>County</v>
      </c>
      <c r="C344" s="19" t="str">
        <f>INDEX(Places[County],MATCH(Expenditures[[#This Row],[Jurisdiction]],Places[Jurisdiction],0))</f>
        <v>Orange</v>
      </c>
      <c r="D344" s="19" t="str">
        <f>INDEX(Places[Majority RB],MATCH(Expenditures[[#This Row],[Jurisdiction]],Places[Jurisdiction],0))</f>
        <v>Santa Ana</v>
      </c>
      <c r="E344" s="19">
        <f>INDEX(Places[Majority RB '#],MATCH(Expenditures[[#This Row],[Jurisdiction]],Places[Jurisdiction],0))</f>
        <v>8</v>
      </c>
      <c r="F344" s="19" t="str">
        <f>VLOOKUP(Expenditures[[#This Row],[Jurisdiction]],Places[#All],8,FALSE)</f>
        <v>Phase I MS4</v>
      </c>
      <c r="G344" s="19"/>
      <c r="H344" s="21" t="s">
        <v>1880</v>
      </c>
      <c r="I344" s="21">
        <f>VALUE(LEFT(Expenditures[[#This Row],[Fiscal Year]],4))</f>
        <v>2013</v>
      </c>
      <c r="J344" s="20">
        <v>25890615</v>
      </c>
      <c r="K344" s="20">
        <f>IF(Expenditures[[#This Row],[Reference Year]]&gt;2018,Expenditures[[#This Row],[Value]],Expenditures[[#This Row],[Value]]*(1+VLOOKUP(Expenditures[[#This Row],[Reference Year]],Inflation[#All],3,FALSE)))</f>
        <v>27960864.13332618</v>
      </c>
      <c r="L344" s="105" t="e">
        <f>VALUE(Expenditures[[#This Row],[2018 $ Value]]/VLOOKUP(Expenditures[[#This Row],[Jurisdiction]],Places[],6,FALSE))</f>
        <v>#N/A</v>
      </c>
      <c r="M344" s="105" t="e">
        <f>VALUE(Expenditures[[#This Row],[2018 $ Value]]/VLOOKUP(Expenditures[[#This Row],[Jurisdiction]],Places[],7,FALSE))</f>
        <v>#N/A</v>
      </c>
      <c r="N344" s="20" t="s">
        <v>1460</v>
      </c>
      <c r="O344" s="20" t="s">
        <v>1460</v>
      </c>
    </row>
    <row r="345" spans="1:15" x14ac:dyDescent="0.25">
      <c r="A345" s="19" t="s">
        <v>1444</v>
      </c>
      <c r="B345" s="19" t="str">
        <f>INDEX(Places[Type],MATCH(Expenditures[[#This Row],[Jurisdiction]],Places[Jurisdiction],0))</f>
        <v>County</v>
      </c>
      <c r="C345" s="19" t="str">
        <f>INDEX(Places[County],MATCH(Expenditures[[#This Row],[Jurisdiction]],Places[Jurisdiction],0))</f>
        <v>Orange</v>
      </c>
      <c r="D345" s="19" t="str">
        <f>INDEX(Places[Majority RB],MATCH(Expenditures[[#This Row],[Jurisdiction]],Places[Jurisdiction],0))</f>
        <v>Santa Ana</v>
      </c>
      <c r="E345" s="19">
        <f>INDEX(Places[Majority RB '#],MATCH(Expenditures[[#This Row],[Jurisdiction]],Places[Jurisdiction],0))</f>
        <v>8</v>
      </c>
      <c r="F345" s="19" t="str">
        <f>VLOOKUP(Expenditures[[#This Row],[Jurisdiction]],Places[#All],8,FALSE)</f>
        <v>Phase I MS4</v>
      </c>
      <c r="G345" s="19"/>
      <c r="H345" s="21" t="s">
        <v>1881</v>
      </c>
      <c r="I345" s="21">
        <f>VALUE(LEFT(Expenditures[[#This Row],[Fiscal Year]],4))</f>
        <v>2014</v>
      </c>
      <c r="J345" s="20">
        <v>32213141</v>
      </c>
      <c r="K345" s="20">
        <f>IF(Expenditures[[#This Row],[Reference Year]]&gt;2018,Expenditures[[#This Row],[Value]],Expenditures[[#This Row],[Value]]*(1+VLOOKUP(Expenditures[[#This Row],[Reference Year]],Inflation[#All],3,FALSE)))</f>
        <v>34245141.03494297</v>
      </c>
      <c r="L345" s="105" t="e">
        <f>VALUE(Expenditures[[#This Row],[2018 $ Value]]/VLOOKUP(Expenditures[[#This Row],[Jurisdiction]],Places[],6,FALSE))</f>
        <v>#N/A</v>
      </c>
      <c r="M345" s="105" t="e">
        <f>VALUE(Expenditures[[#This Row],[2018 $ Value]]/VLOOKUP(Expenditures[[#This Row],[Jurisdiction]],Places[],7,FALSE))</f>
        <v>#N/A</v>
      </c>
      <c r="N345" s="20" t="s">
        <v>1460</v>
      </c>
      <c r="O345" s="20" t="s">
        <v>1460</v>
      </c>
    </row>
    <row r="346" spans="1:15" x14ac:dyDescent="0.25">
      <c r="A346" s="19" t="s">
        <v>1444</v>
      </c>
      <c r="B346" s="19" t="str">
        <f>INDEX(Places[Type],MATCH(Expenditures[[#This Row],[Jurisdiction]],Places[Jurisdiction],0))</f>
        <v>County</v>
      </c>
      <c r="C346" s="19" t="str">
        <f>INDEX(Places[County],MATCH(Expenditures[[#This Row],[Jurisdiction]],Places[Jurisdiction],0))</f>
        <v>Orange</v>
      </c>
      <c r="D346" s="19" t="str">
        <f>INDEX(Places[Majority RB],MATCH(Expenditures[[#This Row],[Jurisdiction]],Places[Jurisdiction],0))</f>
        <v>Santa Ana</v>
      </c>
      <c r="E346" s="19">
        <f>INDEX(Places[Majority RB '#],MATCH(Expenditures[[#This Row],[Jurisdiction]],Places[Jurisdiction],0))</f>
        <v>8</v>
      </c>
      <c r="F346" s="19" t="str">
        <f>VLOOKUP(Expenditures[[#This Row],[Jurisdiction]],Places[#All],8,FALSE)</f>
        <v>Phase I MS4</v>
      </c>
      <c r="G346" s="19"/>
      <c r="H346" s="21" t="s">
        <v>1873</v>
      </c>
      <c r="I346" s="21">
        <f>VALUE(LEFT(Expenditures[[#This Row],[Fiscal Year]],4))</f>
        <v>2015</v>
      </c>
      <c r="J346" s="20">
        <v>34536779</v>
      </c>
      <c r="K346" s="20">
        <f>IF(Expenditures[[#This Row],[Reference Year]]&gt;2018,Expenditures[[#This Row],[Value]],Expenditures[[#This Row],[Value]]*(1+VLOOKUP(Expenditures[[#This Row],[Reference Year]],Inflation[#All],3,FALSE)))</f>
        <v>36668878.635227844</v>
      </c>
      <c r="L346" s="105" t="e">
        <f>VALUE(Expenditures[[#This Row],[2018 $ Value]]/VLOOKUP(Expenditures[[#This Row],[Jurisdiction]],Places[],6,FALSE))</f>
        <v>#N/A</v>
      </c>
      <c r="M346" s="105" t="e">
        <f>VALUE(Expenditures[[#This Row],[2018 $ Value]]/VLOOKUP(Expenditures[[#This Row],[Jurisdiction]],Places[],7,FALSE))</f>
        <v>#N/A</v>
      </c>
      <c r="N346" s="20" t="s">
        <v>1460</v>
      </c>
      <c r="O346" s="20" t="s">
        <v>1460</v>
      </c>
    </row>
    <row r="347" spans="1:15" x14ac:dyDescent="0.25">
      <c r="A347" s="19" t="s">
        <v>1444</v>
      </c>
      <c r="B347" s="19" t="str">
        <f>INDEX(Places[Type],MATCH(Expenditures[[#This Row],[Jurisdiction]],Places[Jurisdiction],0))</f>
        <v>County</v>
      </c>
      <c r="C347" s="19" t="str">
        <f>INDEX(Places[County],MATCH(Expenditures[[#This Row],[Jurisdiction]],Places[Jurisdiction],0))</f>
        <v>Orange</v>
      </c>
      <c r="D347" s="19" t="str">
        <f>INDEX(Places[Majority RB],MATCH(Expenditures[[#This Row],[Jurisdiction]],Places[Jurisdiction],0))</f>
        <v>Santa Ana</v>
      </c>
      <c r="E347" s="19">
        <f>INDEX(Places[Majority RB '#],MATCH(Expenditures[[#This Row],[Jurisdiction]],Places[Jurisdiction],0))</f>
        <v>8</v>
      </c>
      <c r="F347" s="19" t="str">
        <f>VLOOKUP(Expenditures[[#This Row],[Jurisdiction]],Places[#All],8,FALSE)</f>
        <v>Phase I MS4</v>
      </c>
      <c r="G347" s="19"/>
      <c r="H347" s="21" t="s">
        <v>1869</v>
      </c>
      <c r="I347" s="21">
        <f>VALUE(LEFT(Expenditures[[#This Row],[Fiscal Year]],4))</f>
        <v>2016</v>
      </c>
      <c r="J347" s="20">
        <v>33495584</v>
      </c>
      <c r="K347" s="20">
        <f>IF(Expenditures[[#This Row],[Reference Year]]&gt;2018,Expenditures[[#This Row],[Value]],Expenditures[[#This Row],[Value]]*(1+VLOOKUP(Expenditures[[#This Row],[Reference Year]],Inflation[#All],3,FALSE)))</f>
        <v>35118863.739600003</v>
      </c>
      <c r="L347" s="105" t="e">
        <f>VALUE(Expenditures[[#This Row],[2018 $ Value]]/VLOOKUP(Expenditures[[#This Row],[Jurisdiction]],Places[],6,FALSE))</f>
        <v>#N/A</v>
      </c>
      <c r="M347" s="105" t="e">
        <f>VALUE(Expenditures[[#This Row],[2018 $ Value]]/VLOOKUP(Expenditures[[#This Row],[Jurisdiction]],Places[],7,FALSE))</f>
        <v>#N/A</v>
      </c>
      <c r="N347" s="20" t="s">
        <v>1460</v>
      </c>
      <c r="O347" s="20" t="s">
        <v>1460</v>
      </c>
    </row>
    <row r="348" spans="1:15" x14ac:dyDescent="0.25">
      <c r="A348" s="19" t="s">
        <v>1444</v>
      </c>
      <c r="B348" s="19" t="str">
        <f>INDEX(Places[Type],MATCH(Expenditures[[#This Row],[Jurisdiction]],Places[Jurisdiction],0))</f>
        <v>County</v>
      </c>
      <c r="C348" s="19" t="str">
        <f>INDEX(Places[County],MATCH(Expenditures[[#This Row],[Jurisdiction]],Places[Jurisdiction],0))</f>
        <v>Orange</v>
      </c>
      <c r="D348" s="19" t="str">
        <f>INDEX(Places[Majority RB],MATCH(Expenditures[[#This Row],[Jurisdiction]],Places[Jurisdiction],0))</f>
        <v>Santa Ana</v>
      </c>
      <c r="E348" s="19">
        <f>INDEX(Places[Majority RB '#],MATCH(Expenditures[[#This Row],[Jurisdiction]],Places[Jurisdiction],0))</f>
        <v>8</v>
      </c>
      <c r="F348" s="19" t="str">
        <f>VLOOKUP(Expenditures[[#This Row],[Jurisdiction]],Places[#All],8,FALSE)</f>
        <v>Phase I MS4</v>
      </c>
      <c r="G348" s="19"/>
      <c r="H348" s="21" t="s">
        <v>1874</v>
      </c>
      <c r="I348" s="21">
        <f>VALUE(LEFT(Expenditures[[#This Row],[Fiscal Year]],4))</f>
        <v>2017</v>
      </c>
      <c r="J348" s="20">
        <v>27408136</v>
      </c>
      <c r="K348" s="20">
        <f>IF(Expenditures[[#This Row],[Reference Year]]&gt;2018,Expenditures[[#This Row],[Value]],Expenditures[[#This Row],[Value]]*(1+VLOOKUP(Expenditures[[#This Row],[Reference Year]],Inflation[#All],3,FALSE)))</f>
        <v>28138460.505165242</v>
      </c>
      <c r="L348" s="105" t="e">
        <f>VALUE(Expenditures[[#This Row],[2018 $ Value]]/VLOOKUP(Expenditures[[#This Row],[Jurisdiction]],Places[],6,FALSE))</f>
        <v>#N/A</v>
      </c>
      <c r="M348" s="105" t="e">
        <f>VALUE(Expenditures[[#This Row],[2018 $ Value]]/VLOOKUP(Expenditures[[#This Row],[Jurisdiction]],Places[],7,FALSE))</f>
        <v>#N/A</v>
      </c>
      <c r="N348" s="20" t="s">
        <v>1853</v>
      </c>
      <c r="O348" s="20" t="s">
        <v>1853</v>
      </c>
    </row>
    <row r="349" spans="1:15" x14ac:dyDescent="0.25">
      <c r="A349" s="19" t="s">
        <v>176</v>
      </c>
      <c r="B349" s="19" t="str">
        <f>INDEX(Places[Type],MATCH(Expenditures[[#This Row],[Jurisdiction]],Places[Jurisdiction],0))</f>
        <v>City</v>
      </c>
      <c r="C349" s="19" t="str">
        <f>INDEX(Places[County],MATCH(Expenditures[[#This Row],[Jurisdiction]],Places[Jurisdiction],0))</f>
        <v>Los Angeles</v>
      </c>
      <c r="D349" s="19" t="str">
        <f>INDEX(Places[Majority RB],MATCH(Expenditures[[#This Row],[Jurisdiction]],Places[Jurisdiction],0))</f>
        <v>Los Angeles</v>
      </c>
      <c r="E349" s="19">
        <f>INDEX(Places[Majority RB '#],MATCH(Expenditures[[#This Row],[Jurisdiction]],Places[Jurisdiction],0))</f>
        <v>4</v>
      </c>
      <c r="F349" s="19" t="str">
        <f>VLOOKUP(Expenditures[[#This Row],[Jurisdiction]],Places[#All],8,FALSE)</f>
        <v>Phase I MS4</v>
      </c>
      <c r="G349" s="19"/>
      <c r="H349" s="100" t="s">
        <v>1870</v>
      </c>
      <c r="I349" s="21">
        <f>VALUE(LEFT(Expenditures[[#This Row],[Fiscal Year]],4))</f>
        <v>2011</v>
      </c>
      <c r="J349" s="20">
        <v>195900</v>
      </c>
      <c r="K349" s="20">
        <f>IF(Expenditures[[#This Row],[Reference Year]]&gt;2018,Expenditures[[#This Row],[Value]],Expenditures[[#This Row],[Value]]*(1+VLOOKUP(Expenditures[[#This Row],[Reference Year]],Inflation[#All],3,FALSE)))</f>
        <v>219184.13917296578</v>
      </c>
      <c r="L349" s="105">
        <f>VALUE(Expenditures[[#This Row],[2018 $ Value]]/VLOOKUP(Expenditures[[#This Row],[Jurisdiction]],Places[],6,FALSE))</f>
        <v>16.352144074378227</v>
      </c>
      <c r="M349" s="105">
        <f>VALUE(Expenditures[[#This Row],[2018 $ Value]]/VLOOKUP(Expenditures[[#This Row],[Jurisdiction]],Places[],7,FALSE))</f>
        <v>45663.362327701208</v>
      </c>
      <c r="N349" s="20" t="s">
        <v>1460</v>
      </c>
      <c r="O349" s="20" t="s">
        <v>1460</v>
      </c>
    </row>
    <row r="350" spans="1:15" x14ac:dyDescent="0.25">
      <c r="A350" s="19" t="s">
        <v>176</v>
      </c>
      <c r="B350" s="19" t="str">
        <f>INDEX(Places[Type],MATCH(Expenditures[[#This Row],[Jurisdiction]],Places[Jurisdiction],0))</f>
        <v>City</v>
      </c>
      <c r="C350" s="19" t="str">
        <f>INDEX(Places[County],MATCH(Expenditures[[#This Row],[Jurisdiction]],Places[Jurisdiction],0))</f>
        <v>Los Angeles</v>
      </c>
      <c r="D350" s="19" t="str">
        <f>INDEX(Places[Majority RB],MATCH(Expenditures[[#This Row],[Jurisdiction]],Places[Jurisdiction],0))</f>
        <v>Los Angeles</v>
      </c>
      <c r="E350" s="19">
        <f>INDEX(Places[Majority RB '#],MATCH(Expenditures[[#This Row],[Jurisdiction]],Places[Jurisdiction],0))</f>
        <v>4</v>
      </c>
      <c r="F350" s="19" t="str">
        <f>VLOOKUP(Expenditures[[#This Row],[Jurisdiction]],Places[#All],8,FALSE)</f>
        <v>Phase I MS4</v>
      </c>
      <c r="G350" s="19"/>
      <c r="H350" s="100" t="s">
        <v>1873</v>
      </c>
      <c r="I350" s="21">
        <f>VALUE(LEFT(Expenditures[[#This Row],[Fiscal Year]],4))</f>
        <v>2015</v>
      </c>
      <c r="J350" s="20">
        <v>99929</v>
      </c>
      <c r="K350" s="20">
        <f>IF(Expenditures[[#This Row],[Reference Year]]&gt;2018,Expenditures[[#This Row],[Value]],Expenditures[[#This Row],[Value]]*(1+VLOOKUP(Expenditures[[#This Row],[Reference Year]],Inflation[#All],3,FALSE)))</f>
        <v>106098.0345949367</v>
      </c>
      <c r="L350" s="105">
        <f>VALUE(Expenditures[[#This Row],[2018 $ Value]]/VLOOKUP(Expenditures[[#This Row],[Jurisdiction]],Places[],6,FALSE))</f>
        <v>7.9154009694819978</v>
      </c>
      <c r="M350" s="105">
        <f>VALUE(Expenditures[[#This Row],[2018 $ Value]]/VLOOKUP(Expenditures[[#This Row],[Jurisdiction]],Places[],7,FALSE))</f>
        <v>22103.757207278482</v>
      </c>
      <c r="N350" s="20" t="s">
        <v>1853</v>
      </c>
      <c r="O350" s="20" t="s">
        <v>1853</v>
      </c>
    </row>
    <row r="351" spans="1:15" x14ac:dyDescent="0.25">
      <c r="A351" s="19" t="s">
        <v>212</v>
      </c>
      <c r="B351" s="19" t="str">
        <f>INDEX(Places[Type],MATCH(Expenditures[[#This Row],[Jurisdiction]],Places[Jurisdiction],0))</f>
        <v>City</v>
      </c>
      <c r="C351" s="19" t="str">
        <f>INDEX(Places[County],MATCH(Expenditures[[#This Row],[Jurisdiction]],Places[Jurisdiction],0))</f>
        <v>Los Angeles</v>
      </c>
      <c r="D351" s="19" t="str">
        <f>INDEX(Places[Majority RB],MATCH(Expenditures[[#This Row],[Jurisdiction]],Places[Jurisdiction],0))</f>
        <v>Los Angeles</v>
      </c>
      <c r="E351" s="19">
        <f>INDEX(Places[Majority RB '#],MATCH(Expenditures[[#This Row],[Jurisdiction]],Places[Jurisdiction],0))</f>
        <v>4</v>
      </c>
      <c r="F351" s="19" t="str">
        <f>VLOOKUP(Expenditures[[#This Row],[Jurisdiction]],Places[#All],8,FALSE)</f>
        <v>Phase I MS4</v>
      </c>
      <c r="G351" s="19"/>
      <c r="H351" s="21" t="s">
        <v>1873</v>
      </c>
      <c r="I351" s="21">
        <f>VALUE(LEFT(Expenditures[[#This Row],[Fiscal Year]],4))</f>
        <v>2015</v>
      </c>
      <c r="J351" s="20">
        <v>3520100</v>
      </c>
      <c r="K351" s="20">
        <f>IF(Expenditures[[#This Row],[Reference Year]]&gt;2018,Expenditures[[#This Row],[Value]],Expenditures[[#This Row],[Value]]*(1+VLOOKUP(Expenditures[[#This Row],[Reference Year]],Inflation[#All],3,FALSE)))</f>
        <v>3737410.4772151895</v>
      </c>
      <c r="L351" s="105">
        <f>VALUE(Expenditures[[#This Row],[2018 $ Value]]/VLOOKUP(Expenditures[[#This Row],[Jurisdiction]],Places[],6,FALSE))</f>
        <v>69.62129721722718</v>
      </c>
      <c r="M351" s="105">
        <f>VALUE(Expenditures[[#This Row],[2018 $ Value]]/VLOOKUP(Expenditures[[#This Row],[Jurisdiction]],Places[],7,FALSE))</f>
        <v>795193.71855642332</v>
      </c>
      <c r="N351" s="20" t="s">
        <v>1853</v>
      </c>
      <c r="O351" s="20" t="s">
        <v>1853</v>
      </c>
    </row>
    <row r="352" spans="1:15" x14ac:dyDescent="0.25">
      <c r="A352" s="19" t="s">
        <v>193</v>
      </c>
      <c r="B352" s="19" t="str">
        <f>INDEX(Places[Type],MATCH(Expenditures[[#This Row],[Jurisdiction]],Places[Jurisdiction],0))</f>
        <v>City</v>
      </c>
      <c r="C352" s="19" t="str">
        <f>INDEX(Places[County],MATCH(Expenditures[[#This Row],[Jurisdiction]],Places[Jurisdiction],0))</f>
        <v>Los Angeles</v>
      </c>
      <c r="D352" s="19" t="str">
        <f>INDEX(Places[Majority RB],MATCH(Expenditures[[#This Row],[Jurisdiction]],Places[Jurisdiction],0))</f>
        <v>Los Angeles</v>
      </c>
      <c r="E352" s="19">
        <f>INDEX(Places[Majority RB '#],MATCH(Expenditures[[#This Row],[Jurisdiction]],Places[Jurisdiction],0))</f>
        <v>4</v>
      </c>
      <c r="F352" s="19" t="str">
        <f>VLOOKUP(Expenditures[[#This Row],[Jurisdiction]],Places[#All],8,FALSE)</f>
        <v>Phase I MS4</v>
      </c>
      <c r="G352" s="19"/>
      <c r="H352" s="21" t="s">
        <v>1870</v>
      </c>
      <c r="I352" s="21">
        <f>VALUE(LEFT(Expenditures[[#This Row],[Fiscal Year]],4))</f>
        <v>2011</v>
      </c>
      <c r="J352" s="20">
        <v>22063000</v>
      </c>
      <c r="K352" s="20">
        <f>IF(Expenditures[[#This Row],[Reference Year]]&gt;2018,Expenditures[[#This Row],[Value]],Expenditures[[#This Row],[Value]]*(1+VLOOKUP(Expenditures[[#This Row],[Reference Year]],Inflation[#All],3,FALSE)))</f>
        <v>24685347.945753671</v>
      </c>
      <c r="L352" s="105">
        <f>VALUE(Expenditures[[#This Row],[2018 $ Value]]/VLOOKUP(Expenditures[[#This Row],[Jurisdiction]],Places[],6,FALSE))</f>
        <v>174.61394448475056</v>
      </c>
      <c r="M352" s="105">
        <f>VALUE(Expenditures[[#This Row],[2018 $ Value]]/VLOOKUP(Expenditures[[#This Row],[Jurisdiction]],Places[],7,FALSE))</f>
        <v>1073275.997641464</v>
      </c>
      <c r="N352" s="20" t="s">
        <v>1460</v>
      </c>
      <c r="O352" s="20" t="s">
        <v>1460</v>
      </c>
    </row>
    <row r="353" spans="1:15" x14ac:dyDescent="0.25">
      <c r="A353" s="19" t="s">
        <v>193</v>
      </c>
      <c r="B353" s="19" t="str">
        <f>INDEX(Places[Type],MATCH(Expenditures[[#This Row],[Jurisdiction]],Places[Jurisdiction],0))</f>
        <v>City</v>
      </c>
      <c r="C353" s="19" t="str">
        <f>INDEX(Places[County],MATCH(Expenditures[[#This Row],[Jurisdiction]],Places[Jurisdiction],0))</f>
        <v>Los Angeles</v>
      </c>
      <c r="D353" s="19" t="str">
        <f>INDEX(Places[Majority RB],MATCH(Expenditures[[#This Row],[Jurisdiction]],Places[Jurisdiction],0))</f>
        <v>Los Angeles</v>
      </c>
      <c r="E353" s="19">
        <f>INDEX(Places[Majority RB '#],MATCH(Expenditures[[#This Row],[Jurisdiction]],Places[Jurisdiction],0))</f>
        <v>4</v>
      </c>
      <c r="F353" s="19" t="str">
        <f>VLOOKUP(Expenditures[[#This Row],[Jurisdiction]],Places[#All],8,FALSE)</f>
        <v>Phase I MS4</v>
      </c>
      <c r="G353" s="19"/>
      <c r="H353" s="21" t="s">
        <v>1873</v>
      </c>
      <c r="I353" s="21">
        <f>VALUE(LEFT(Expenditures[[#This Row],[Fiscal Year]],4))</f>
        <v>2015</v>
      </c>
      <c r="J353" s="20">
        <v>16705000</v>
      </c>
      <c r="K353" s="20">
        <f>IF(Expenditures[[#This Row],[Reference Year]]&gt;2018,Expenditures[[#This Row],[Value]],Expenditures[[#This Row],[Value]]*(1+VLOOKUP(Expenditures[[#This Row],[Reference Year]],Inflation[#All],3,FALSE)))</f>
        <v>17736269.430379745</v>
      </c>
      <c r="L353" s="105">
        <f>VALUE(Expenditures[[#This Row],[2018 $ Value]]/VLOOKUP(Expenditures[[#This Row],[Jurisdiction]],Places[],6,FALSE))</f>
        <v>125.45903636799446</v>
      </c>
      <c r="M353" s="105">
        <f>VALUE(Expenditures[[#This Row],[2018 $ Value]]/VLOOKUP(Expenditures[[#This Row],[Jurisdiction]],Places[],7,FALSE))</f>
        <v>771142.14914694545</v>
      </c>
      <c r="N353" s="20" t="s">
        <v>1853</v>
      </c>
      <c r="O353" s="20" t="s">
        <v>1853</v>
      </c>
    </row>
    <row r="354" spans="1:15" x14ac:dyDescent="0.25">
      <c r="A354" s="19" t="s">
        <v>238</v>
      </c>
      <c r="B354" s="19" t="str">
        <f>INDEX(Places[Type],MATCH(Expenditures[[#This Row],[Jurisdiction]],Places[Jurisdiction],0))</f>
        <v>City</v>
      </c>
      <c r="C354" s="19" t="str">
        <f>INDEX(Places[County],MATCH(Expenditures[[#This Row],[Jurisdiction]],Places[Jurisdiction],0))</f>
        <v>Riverside</v>
      </c>
      <c r="D354" s="19" t="str">
        <f>INDEX(Places[Majority RB],MATCH(Expenditures[[#This Row],[Jurisdiction]],Places[Jurisdiction],0))</f>
        <v>Santa Ana</v>
      </c>
      <c r="E354" s="19">
        <f>INDEX(Places[Majority RB '#],MATCH(Expenditures[[#This Row],[Jurisdiction]],Places[Jurisdiction],0))</f>
        <v>8</v>
      </c>
      <c r="F354" s="19" t="str">
        <f>VLOOKUP(Expenditures[[#This Row],[Jurisdiction]],Places[#All],8,FALSE)</f>
        <v>Phase I MS4</v>
      </c>
      <c r="G354" s="19"/>
      <c r="H354" s="21" t="s">
        <v>1869</v>
      </c>
      <c r="I354" s="21">
        <f>VALUE(LEFT(Expenditures[[#This Row],[Fiscal Year]],4))</f>
        <v>2016</v>
      </c>
      <c r="J354" s="20">
        <v>180680</v>
      </c>
      <c r="K354" s="20">
        <f>IF(Expenditures[[#This Row],[Reference Year]]&gt;2018,Expenditures[[#This Row],[Value]],Expenditures[[#This Row],[Value]]*(1+VLOOKUP(Expenditures[[#This Row],[Reference Year]],Inflation[#All],3,FALSE)))</f>
        <v>189436.20450000002</v>
      </c>
      <c r="L354" s="105">
        <f>VALUE(Expenditures[[#This Row],[2018 $ Value]]/VLOOKUP(Expenditures[[#This Row],[Jurisdiction]],Places[],6,FALSE))</f>
        <v>2.3938964085779642</v>
      </c>
      <c r="M354" s="105">
        <f>VALUE(Expenditures[[#This Row],[2018 $ Value]]/VLOOKUP(Expenditures[[#This Row],[Jurisdiction]],Places[],7,FALSE))</f>
        <v>5994.8165981012662</v>
      </c>
      <c r="N354" s="20" t="s">
        <v>1460</v>
      </c>
      <c r="O354" s="20" t="s">
        <v>1853</v>
      </c>
    </row>
    <row r="355" spans="1:15" x14ac:dyDescent="0.25">
      <c r="A355" s="19" t="s">
        <v>170</v>
      </c>
      <c r="B355" s="19" t="str">
        <f>INDEX(Places[Type],MATCH(Expenditures[[#This Row],[Jurisdiction]],Places[Jurisdiction],0))</f>
        <v>City</v>
      </c>
      <c r="C355" s="19" t="str">
        <f>INDEX(Places[County],MATCH(Expenditures[[#This Row],[Jurisdiction]],Places[Jurisdiction],0))</f>
        <v>Los Angeles</v>
      </c>
      <c r="D355" s="19" t="str">
        <f>INDEX(Places[Majority RB],MATCH(Expenditures[[#This Row],[Jurisdiction]],Places[Jurisdiction],0))</f>
        <v>Los Angeles</v>
      </c>
      <c r="E355" s="19">
        <f>INDEX(Places[Majority RB '#],MATCH(Expenditures[[#This Row],[Jurisdiction]],Places[Jurisdiction],0))</f>
        <v>4</v>
      </c>
      <c r="F355" s="19" t="str">
        <f>VLOOKUP(Expenditures[[#This Row],[Jurisdiction]],Places[#All],8,FALSE)</f>
        <v>Phase I MS4</v>
      </c>
      <c r="G355" s="19"/>
      <c r="H355" s="100" t="s">
        <v>1870</v>
      </c>
      <c r="I355" s="21">
        <f>VALUE(LEFT(Expenditures[[#This Row],[Fiscal Year]],4))</f>
        <v>2011</v>
      </c>
      <c r="J355" s="20">
        <v>3904488</v>
      </c>
      <c r="K355" s="20">
        <f>IF(Expenditures[[#This Row],[Reference Year]]&gt;2018,Expenditures[[#This Row],[Value]],Expenditures[[#This Row],[Value]]*(1+VLOOKUP(Expenditures[[#This Row],[Reference Year]],Inflation[#All],3,FALSE)))</f>
        <v>4368564.7840284575</v>
      </c>
      <c r="L355" s="105">
        <f>VALUE(Expenditures[[#This Row],[2018 $ Value]]/VLOOKUP(Expenditures[[#This Row],[Jurisdiction]],Places[],6,FALSE))</f>
        <v>69.465792902118963</v>
      </c>
      <c r="M355" s="105">
        <f>VALUE(Expenditures[[#This Row],[2018 $ Value]]/VLOOKUP(Expenditures[[#This Row],[Jurisdiction]],Places[],7,FALSE))</f>
        <v>526333.10650945269</v>
      </c>
      <c r="N355" s="20" t="s">
        <v>1460</v>
      </c>
      <c r="O355" s="20" t="s">
        <v>1460</v>
      </c>
    </row>
    <row r="356" spans="1:15" x14ac:dyDescent="0.25">
      <c r="A356" s="19" t="s">
        <v>170</v>
      </c>
      <c r="B356" s="19" t="str">
        <f>INDEX(Places[Type],MATCH(Expenditures[[#This Row],[Jurisdiction]],Places[Jurisdiction],0))</f>
        <v>City</v>
      </c>
      <c r="C356" s="19" t="str">
        <f>INDEX(Places[County],MATCH(Expenditures[[#This Row],[Jurisdiction]],Places[Jurisdiction],0))</f>
        <v>Los Angeles</v>
      </c>
      <c r="D356" s="19" t="str">
        <f>INDEX(Places[Majority RB],MATCH(Expenditures[[#This Row],[Jurisdiction]],Places[Jurisdiction],0))</f>
        <v>Los Angeles</v>
      </c>
      <c r="E356" s="19">
        <f>INDEX(Places[Majority RB '#],MATCH(Expenditures[[#This Row],[Jurisdiction]],Places[Jurisdiction],0))</f>
        <v>4</v>
      </c>
      <c r="F356" s="19" t="str">
        <f>VLOOKUP(Expenditures[[#This Row],[Jurisdiction]],Places[#All],8,FALSE)</f>
        <v>Phase I MS4</v>
      </c>
      <c r="G356" s="19"/>
      <c r="H356" s="100" t="s">
        <v>1873</v>
      </c>
      <c r="I356" s="21">
        <f>VALUE(LEFT(Expenditures[[#This Row],[Fiscal Year]],4))</f>
        <v>2015</v>
      </c>
      <c r="J356" s="20">
        <v>975050</v>
      </c>
      <c r="K356" s="20">
        <f>IF(Expenditures[[#This Row],[Reference Year]]&gt;2018,Expenditures[[#This Row],[Value]],Expenditures[[#This Row],[Value]]*(1+VLOOKUP(Expenditures[[#This Row],[Reference Year]],Inflation[#All],3,FALSE)))</f>
        <v>1035243.9094936708</v>
      </c>
      <c r="L356" s="105">
        <f>VALUE(Expenditures[[#This Row],[2018 $ Value]]/VLOOKUP(Expenditures[[#This Row],[Jurisdiction]],Places[],6,FALSE))</f>
        <v>16.461708266977336</v>
      </c>
      <c r="M356" s="105">
        <f>VALUE(Expenditures[[#This Row],[2018 $ Value]]/VLOOKUP(Expenditures[[#This Row],[Jurisdiction]],Places[],7,FALSE))</f>
        <v>124728.18186670731</v>
      </c>
      <c r="N356" s="20" t="s">
        <v>1853</v>
      </c>
      <c r="O356" s="20" t="s">
        <v>1853</v>
      </c>
    </row>
    <row r="357" spans="1:15" x14ac:dyDescent="0.25">
      <c r="A357" s="19" t="s">
        <v>286</v>
      </c>
      <c r="B357" s="19" t="str">
        <f>INDEX(Places[Type],MATCH(Expenditures[[#This Row],[Jurisdiction]],Places[Jurisdiction],0))</f>
        <v>City</v>
      </c>
      <c r="C357" s="19" t="str">
        <f>INDEX(Places[County],MATCH(Expenditures[[#This Row],[Jurisdiction]],Places[Jurisdiction],0))</f>
        <v>Orange</v>
      </c>
      <c r="D357" s="19" t="str">
        <f>INDEX(Places[Majority RB],MATCH(Expenditures[[#This Row],[Jurisdiction]],Places[Jurisdiction],0))</f>
        <v>Santa Ana</v>
      </c>
      <c r="E357" s="19">
        <f>INDEX(Places[Majority RB '#],MATCH(Expenditures[[#This Row],[Jurisdiction]],Places[Jurisdiction],0))</f>
        <v>8</v>
      </c>
      <c r="F357" s="19" t="str">
        <f>VLOOKUP(Expenditures[[#This Row],[Jurisdiction]],Places[#All],8,FALSE)</f>
        <v>Phase I MS4</v>
      </c>
      <c r="G357" s="19"/>
      <c r="H357" s="21" t="s">
        <v>1893</v>
      </c>
      <c r="I357" s="21">
        <f>VALUE(LEFT(Expenditures[[#This Row],[Fiscal Year]],4))</f>
        <v>2000</v>
      </c>
      <c r="J357" s="20">
        <v>305704</v>
      </c>
      <c r="K357" s="20">
        <f>IF(Expenditures[[#This Row],[Reference Year]]&gt;2018,Expenditures[[#This Row],[Value]],Expenditures[[#This Row],[Value]]*(1+VLOOKUP(Expenditures[[#This Row],[Reference Year]],Inflation[#All],3,FALSE)))</f>
        <v>446716.62731707323</v>
      </c>
      <c r="L357" s="105">
        <f>VALUE(Expenditures[[#This Row],[2018 $ Value]]/VLOOKUP(Expenditures[[#This Row],[Jurisdiction]],Places[],6,FALSE))</f>
        <v>8.6454031723224478</v>
      </c>
      <c r="M357" s="105">
        <f>VALUE(Expenditures[[#This Row],[2018 $ Value]]/VLOOKUP(Expenditures[[#This Row],[Jurisdiction]],Places[],7,FALSE))</f>
        <v>67684.33747228382</v>
      </c>
      <c r="N357" s="20" t="s">
        <v>1460</v>
      </c>
      <c r="O357" s="20" t="s">
        <v>1460</v>
      </c>
    </row>
    <row r="358" spans="1:15" x14ac:dyDescent="0.25">
      <c r="A358" s="19" t="s">
        <v>286</v>
      </c>
      <c r="B358" s="19" t="str">
        <f>INDEX(Places[Type],MATCH(Expenditures[[#This Row],[Jurisdiction]],Places[Jurisdiction],0))</f>
        <v>City</v>
      </c>
      <c r="C358" s="19" t="str">
        <f>INDEX(Places[County],MATCH(Expenditures[[#This Row],[Jurisdiction]],Places[Jurisdiction],0))</f>
        <v>Orange</v>
      </c>
      <c r="D358" s="19" t="str">
        <f>INDEX(Places[Majority RB],MATCH(Expenditures[[#This Row],[Jurisdiction]],Places[Jurisdiction],0))</f>
        <v>Santa Ana</v>
      </c>
      <c r="E358" s="19">
        <f>INDEX(Places[Majority RB '#],MATCH(Expenditures[[#This Row],[Jurisdiction]],Places[Jurisdiction],0))</f>
        <v>8</v>
      </c>
      <c r="F358" s="19" t="str">
        <f>VLOOKUP(Expenditures[[#This Row],[Jurisdiction]],Places[#All],8,FALSE)</f>
        <v>Phase I MS4</v>
      </c>
      <c r="G358" s="19"/>
      <c r="H358" s="21" t="s">
        <v>1875</v>
      </c>
      <c r="I358" s="21">
        <f>VALUE(LEFT(Expenditures[[#This Row],[Fiscal Year]],4))</f>
        <v>2001</v>
      </c>
      <c r="J358" s="20">
        <v>314874</v>
      </c>
      <c r="K358" s="20">
        <f>IF(Expenditures[[#This Row],[Reference Year]]&gt;2018,Expenditures[[#This Row],[Value]],Expenditures[[#This Row],[Value]]*(1+VLOOKUP(Expenditures[[#This Row],[Reference Year]],Inflation[#All],3,FALSE)))</f>
        <v>447385.99375494069</v>
      </c>
      <c r="L358" s="105">
        <f>VALUE(Expenditures[[#This Row],[2018 $ Value]]/VLOOKUP(Expenditures[[#This Row],[Jurisdiction]],Places[],6,FALSE))</f>
        <v>8.6583575652675719</v>
      </c>
      <c r="M358" s="105">
        <f>VALUE(Expenditures[[#This Row],[2018 $ Value]]/VLOOKUP(Expenditures[[#This Row],[Jurisdiction]],Places[],7,FALSE))</f>
        <v>67785.756629536467</v>
      </c>
      <c r="N358" s="20" t="s">
        <v>1853</v>
      </c>
      <c r="O358" s="20" t="s">
        <v>1853</v>
      </c>
    </row>
    <row r="359" spans="1:15" x14ac:dyDescent="0.25">
      <c r="A359" s="19" t="s">
        <v>153</v>
      </c>
      <c r="B359" s="19" t="str">
        <f>INDEX(Places[Type],MATCH(Expenditures[[#This Row],[Jurisdiction]],Places[Jurisdiction],0))</f>
        <v>City</v>
      </c>
      <c r="C359" s="19" t="str">
        <f>INDEX(Places[County],MATCH(Expenditures[[#This Row],[Jurisdiction]],Places[Jurisdiction],0))</f>
        <v>Los Angeles</v>
      </c>
      <c r="D359" s="19" t="str">
        <f>INDEX(Places[Majority RB],MATCH(Expenditures[[#This Row],[Jurisdiction]],Places[Jurisdiction],0))</f>
        <v>Los Angeles</v>
      </c>
      <c r="E359" s="19">
        <f>INDEX(Places[Majority RB '#],MATCH(Expenditures[[#This Row],[Jurisdiction]],Places[Jurisdiction],0))</f>
        <v>4</v>
      </c>
      <c r="F359" s="19" t="str">
        <f>VLOOKUP(Expenditures[[#This Row],[Jurisdiction]],Places[#All],8,FALSE)</f>
        <v>Phase I MS4</v>
      </c>
      <c r="G359" s="19"/>
      <c r="H359" s="19" t="s">
        <v>1885</v>
      </c>
      <c r="I359" s="21">
        <f>VALUE(LEFT(Expenditures[[#This Row],[Fiscal Year]],4))</f>
        <v>2010</v>
      </c>
      <c r="J359" s="20">
        <v>3397293</v>
      </c>
      <c r="K359" s="20">
        <f>IF(Expenditures[[#This Row],[Reference Year]]&gt;2018,Expenditures[[#This Row],[Value]],Expenditures[[#This Row],[Value]]*(1+VLOOKUP(Expenditures[[#This Row],[Reference Year]],Inflation[#All],3,FALSE)))</f>
        <v>3919597.5923108668</v>
      </c>
      <c r="L359" s="105">
        <f>VALUE(Expenditures[[#This Row],[2018 $ Value]]/VLOOKUP(Expenditures[[#This Row],[Jurisdiction]],Places[],6,FALSE))</f>
        <v>25.725727662005806</v>
      </c>
      <c r="M359" s="105">
        <f>VALUE(Expenditures[[#This Row],[2018 $ Value]]/VLOOKUP(Expenditures[[#This Row],[Jurisdiction]],Places[],7,FALSE))</f>
        <v>170417.2866222116</v>
      </c>
      <c r="N359" s="20" t="s">
        <v>1460</v>
      </c>
      <c r="O359" s="20" t="s">
        <v>1460</v>
      </c>
    </row>
    <row r="360" spans="1:15" x14ac:dyDescent="0.25">
      <c r="A360" s="19" t="s">
        <v>153</v>
      </c>
      <c r="B360" s="19" t="str">
        <f>INDEX(Places[Type],MATCH(Expenditures[[#This Row],[Jurisdiction]],Places[Jurisdiction],0))</f>
        <v>City</v>
      </c>
      <c r="C360" s="19" t="str">
        <f>INDEX(Places[County],MATCH(Expenditures[[#This Row],[Jurisdiction]],Places[Jurisdiction],0))</f>
        <v>Los Angeles</v>
      </c>
      <c r="D360" s="19" t="str">
        <f>INDEX(Places[Majority RB],MATCH(Expenditures[[#This Row],[Jurisdiction]],Places[Jurisdiction],0))</f>
        <v>Los Angeles</v>
      </c>
      <c r="E360" s="19">
        <f>INDEX(Places[Majority RB '#],MATCH(Expenditures[[#This Row],[Jurisdiction]],Places[Jurisdiction],0))</f>
        <v>4</v>
      </c>
      <c r="F360" s="19" t="str">
        <f>VLOOKUP(Expenditures[[#This Row],[Jurisdiction]],Places[#All],8,FALSE)</f>
        <v>Phase I MS4</v>
      </c>
      <c r="G360" s="19"/>
      <c r="H360" s="100" t="s">
        <v>1870</v>
      </c>
      <c r="I360" s="21">
        <f>VALUE(LEFT(Expenditures[[#This Row],[Fiscal Year]],4))</f>
        <v>2011</v>
      </c>
      <c r="J360" s="20">
        <v>3407918</v>
      </c>
      <c r="K360" s="20">
        <f>IF(Expenditures[[#This Row],[Reference Year]]&gt;2018,Expenditures[[#This Row],[Value]],Expenditures[[#This Row],[Value]]*(1+VLOOKUP(Expenditures[[#This Row],[Reference Year]],Inflation[#All],3,FALSE)))</f>
        <v>3812973.8295153403</v>
      </c>
      <c r="L360" s="105">
        <f>VALUE(Expenditures[[#This Row],[2018 $ Value]]/VLOOKUP(Expenditures[[#This Row],[Jurisdiction]],Places[],6,FALSE))</f>
        <v>25.025917587278506</v>
      </c>
      <c r="M360" s="105">
        <f>VALUE(Expenditures[[#This Row],[2018 $ Value]]/VLOOKUP(Expenditures[[#This Row],[Jurisdiction]],Places[],7,FALSE))</f>
        <v>165781.47084849305</v>
      </c>
      <c r="N360" s="20" t="s">
        <v>1460</v>
      </c>
      <c r="O360" s="20" t="s">
        <v>1460</v>
      </c>
    </row>
    <row r="361" spans="1:15" x14ac:dyDescent="0.25">
      <c r="A361" s="19" t="s">
        <v>153</v>
      </c>
      <c r="B361" s="19" t="str">
        <f>INDEX(Places[Type],MATCH(Expenditures[[#This Row],[Jurisdiction]],Places[Jurisdiction],0))</f>
        <v>City</v>
      </c>
      <c r="C361" s="19" t="str">
        <f>INDEX(Places[County],MATCH(Expenditures[[#This Row],[Jurisdiction]],Places[Jurisdiction],0))</f>
        <v>Los Angeles</v>
      </c>
      <c r="D361" s="19" t="str">
        <f>INDEX(Places[Majority RB],MATCH(Expenditures[[#This Row],[Jurisdiction]],Places[Jurisdiction],0))</f>
        <v>Los Angeles</v>
      </c>
      <c r="E361" s="19">
        <f>INDEX(Places[Majority RB '#],MATCH(Expenditures[[#This Row],[Jurisdiction]],Places[Jurisdiction],0))</f>
        <v>4</v>
      </c>
      <c r="F361" s="19" t="str">
        <f>VLOOKUP(Expenditures[[#This Row],[Jurisdiction]],Places[#All],8,FALSE)</f>
        <v>Phase I MS4</v>
      </c>
      <c r="G361" s="19"/>
      <c r="H361" s="100" t="s">
        <v>1873</v>
      </c>
      <c r="I361" s="21">
        <f>VALUE(LEFT(Expenditures[[#This Row],[Fiscal Year]],4))</f>
        <v>2015</v>
      </c>
      <c r="J361" s="20">
        <v>3425326</v>
      </c>
      <c r="K361" s="20">
        <f>IF(Expenditures[[#This Row],[Reference Year]]&gt;2018,Expenditures[[#This Row],[Value]],Expenditures[[#This Row],[Value]]*(1+VLOOKUP(Expenditures[[#This Row],[Reference Year]],Inflation[#All],3,FALSE)))</f>
        <v>3636785.6823037975</v>
      </c>
      <c r="L361" s="105">
        <f>VALUE(Expenditures[[#This Row],[2018 $ Value]]/VLOOKUP(Expenditures[[#This Row],[Jurisdiction]],Places[],6,FALSE))</f>
        <v>23.869531456893807</v>
      </c>
      <c r="M361" s="105">
        <f>VALUE(Expenditures[[#This Row],[2018 $ Value]]/VLOOKUP(Expenditures[[#This Row],[Jurisdiction]],Places[],7,FALSE))</f>
        <v>158121.11662190425</v>
      </c>
      <c r="N361" s="20" t="s">
        <v>1853</v>
      </c>
      <c r="O361" s="20" t="s">
        <v>1853</v>
      </c>
    </row>
    <row r="362" spans="1:15" x14ac:dyDescent="0.25">
      <c r="A362" s="19" t="s">
        <v>309</v>
      </c>
      <c r="B362" s="19" t="str">
        <f>INDEX(Places[Type],MATCH(Expenditures[[#This Row],[Jurisdiction]],Places[Jurisdiction],0))</f>
        <v>City</v>
      </c>
      <c r="C362" s="19" t="str">
        <f>INDEX(Places[County],MATCH(Expenditures[[#This Row],[Jurisdiction]],Places[Jurisdiction],0))</f>
        <v>San Diego</v>
      </c>
      <c r="D362" s="19" t="str">
        <f>INDEX(Places[Majority RB],MATCH(Expenditures[[#This Row],[Jurisdiction]],Places[Jurisdiction],0))</f>
        <v>San Diego</v>
      </c>
      <c r="E362" s="19">
        <f>INDEX(Places[Majority RB '#],MATCH(Expenditures[[#This Row],[Jurisdiction]],Places[Jurisdiction],0))</f>
        <v>9</v>
      </c>
      <c r="F362" s="19" t="str">
        <f>VLOOKUP(Expenditures[[#This Row],[Jurisdiction]],Places[#All],8,FALSE)</f>
        <v>Phase I MS4</v>
      </c>
      <c r="G362" s="19"/>
      <c r="H362" s="19" t="s">
        <v>1873</v>
      </c>
      <c r="I362" s="21">
        <f>VALUE(LEFT(Expenditures[[#This Row],[Fiscal Year]],4))</f>
        <v>2015</v>
      </c>
      <c r="J362" s="20">
        <v>1810760</v>
      </c>
      <c r="K362" s="20">
        <f>IF(Expenditures[[#This Row],[Reference Year]]&gt;2018,Expenditures[[#This Row],[Value]],Expenditures[[#This Row],[Value]]*(1+VLOOKUP(Expenditures[[#This Row],[Reference Year]],Inflation[#All],3,FALSE)))</f>
        <v>1922545.7787341771</v>
      </c>
      <c r="L362" s="105">
        <f>VALUE(Expenditures[[#This Row],[2018 $ Value]]/VLOOKUP(Expenditures[[#This Row],[Jurisdiction]],Places[],6,FALSE))</f>
        <v>38.679900586153572</v>
      </c>
      <c r="M362" s="105">
        <f>VALUE(Expenditures[[#This Row],[2018 $ Value]]/VLOOKUP(Expenditures[[#This Row],[Jurisdiction]],Places[],7,FALSE))</f>
        <v>49169.968765579979</v>
      </c>
      <c r="N362" s="20" t="s">
        <v>1460</v>
      </c>
      <c r="O362" s="20" t="s">
        <v>1460</v>
      </c>
    </row>
    <row r="363" spans="1:15" x14ac:dyDescent="0.25">
      <c r="A363" s="19" t="s">
        <v>309</v>
      </c>
      <c r="B363" s="19" t="str">
        <f>INDEX(Places[Type],MATCH(Expenditures[[#This Row],[Jurisdiction]],Places[Jurisdiction],0))</f>
        <v>City</v>
      </c>
      <c r="C363" s="19" t="str">
        <f>INDEX(Places[County],MATCH(Expenditures[[#This Row],[Jurisdiction]],Places[Jurisdiction],0))</f>
        <v>San Diego</v>
      </c>
      <c r="D363" s="19" t="str">
        <f>INDEX(Places[Majority RB],MATCH(Expenditures[[#This Row],[Jurisdiction]],Places[Jurisdiction],0))</f>
        <v>San Diego</v>
      </c>
      <c r="E363" s="19">
        <f>INDEX(Places[Majority RB '#],MATCH(Expenditures[[#This Row],[Jurisdiction]],Places[Jurisdiction],0))</f>
        <v>9</v>
      </c>
      <c r="F363" s="19" t="str">
        <f>VLOOKUP(Expenditures[[#This Row],[Jurisdiction]],Places[#All],8,FALSE)</f>
        <v>Phase I MS4</v>
      </c>
      <c r="G363" s="19"/>
      <c r="H363" s="19" t="s">
        <v>1869</v>
      </c>
      <c r="I363" s="21">
        <f>VALUE(LEFT(Expenditures[[#This Row],[Fiscal Year]],4))</f>
        <v>2016</v>
      </c>
      <c r="J363" s="20">
        <v>1899286</v>
      </c>
      <c r="K363" s="20">
        <f>IF(Expenditures[[#This Row],[Reference Year]]&gt;2018,Expenditures[[#This Row],[Value]],Expenditures[[#This Row],[Value]]*(1+VLOOKUP(Expenditures[[#This Row],[Reference Year]],Inflation[#All],3,FALSE)))</f>
        <v>1991330.1477750002</v>
      </c>
      <c r="L363" s="105">
        <f>VALUE(Expenditures[[#This Row],[2018 $ Value]]/VLOOKUP(Expenditures[[#This Row],[Jurisdiction]],Places[],6,FALSE))</f>
        <v>40.063780536274749</v>
      </c>
      <c r="M363" s="105">
        <f>VALUE(Expenditures[[#This Row],[2018 $ Value]]/VLOOKUP(Expenditures[[#This Row],[Jurisdiction]],Places[],7,FALSE))</f>
        <v>50929.159789641948</v>
      </c>
      <c r="N363" s="20" t="s">
        <v>1460</v>
      </c>
      <c r="O363" s="20" t="s">
        <v>1460</v>
      </c>
    </row>
    <row r="364" spans="1:15" x14ac:dyDescent="0.25">
      <c r="A364" s="19" t="s">
        <v>309</v>
      </c>
      <c r="B364" s="19" t="str">
        <f>INDEX(Places[Type],MATCH(Expenditures[[#This Row],[Jurisdiction]],Places[Jurisdiction],0))</f>
        <v>City</v>
      </c>
      <c r="C364" s="19" t="str">
        <f>INDEX(Places[County],MATCH(Expenditures[[#This Row],[Jurisdiction]],Places[Jurisdiction],0))</f>
        <v>San Diego</v>
      </c>
      <c r="D364" s="19" t="str">
        <f>INDEX(Places[Majority RB],MATCH(Expenditures[[#This Row],[Jurisdiction]],Places[Jurisdiction],0))</f>
        <v>San Diego</v>
      </c>
      <c r="E364" s="19">
        <f>INDEX(Places[Majority RB '#],MATCH(Expenditures[[#This Row],[Jurisdiction]],Places[Jurisdiction],0))</f>
        <v>9</v>
      </c>
      <c r="F364" s="19" t="str">
        <f>VLOOKUP(Expenditures[[#This Row],[Jurisdiction]],Places[#All],8,FALSE)</f>
        <v>Phase I MS4</v>
      </c>
      <c r="G364" s="19"/>
      <c r="H364" s="19" t="s">
        <v>1874</v>
      </c>
      <c r="I364" s="21">
        <f>VALUE(LEFT(Expenditures[[#This Row],[Fiscal Year]],4))</f>
        <v>2017</v>
      </c>
      <c r="J364" s="101">
        <v>1943401</v>
      </c>
      <c r="K364" s="20">
        <f>IF(Expenditures[[#This Row],[Reference Year]]&gt;2018,Expenditures[[#This Row],[Value]],Expenditures[[#This Row],[Value]]*(1+VLOOKUP(Expenditures[[#This Row],[Reference Year]],Inflation[#All],3,FALSE)))</f>
        <v>1995185.3816034275</v>
      </c>
      <c r="L364" s="105">
        <f>VALUE(Expenditures[[#This Row],[2018 $ Value]]/VLOOKUP(Expenditures[[#This Row],[Jurisdiction]],Places[],6,FALSE))</f>
        <v>40.141344390862457</v>
      </c>
      <c r="M364" s="105">
        <f>VALUE(Expenditures[[#This Row],[2018 $ Value]]/VLOOKUP(Expenditures[[#This Row],[Jurisdiction]],Places[],7,FALSE))</f>
        <v>51027.759120292263</v>
      </c>
      <c r="N364" s="20" t="s">
        <v>1460</v>
      </c>
      <c r="O364" s="20" t="s">
        <v>1853</v>
      </c>
    </row>
    <row r="365" spans="1:15" x14ac:dyDescent="0.25">
      <c r="A365" s="19" t="s">
        <v>140</v>
      </c>
      <c r="B365" s="19" t="str">
        <f>INDEX(Places[Type],MATCH(Expenditures[[#This Row],[Jurisdiction]],Places[Jurisdiction],0))</f>
        <v>City</v>
      </c>
      <c r="C365" s="19" t="str">
        <f>INDEX(Places[County],MATCH(Expenditures[[#This Row],[Jurisdiction]],Places[Jurisdiction],0))</f>
        <v>Sacramento</v>
      </c>
      <c r="D365" s="19" t="str">
        <f>INDEX(Places[Majority RB],MATCH(Expenditures[[#This Row],[Jurisdiction]],Places[Jurisdiction],0))</f>
        <v>Central Valley</v>
      </c>
      <c r="E365" s="19">
        <f>INDEX(Places[Majority RB '#],MATCH(Expenditures[[#This Row],[Jurisdiction]],Places[Jurisdiction],0))</f>
        <v>5</v>
      </c>
      <c r="F365" s="19" t="str">
        <f>VLOOKUP(Expenditures[[#This Row],[Jurisdiction]],Places[#All],8,FALSE)</f>
        <v>Phase I MS4</v>
      </c>
      <c r="G365" s="19"/>
      <c r="H365" s="21" t="s">
        <v>1885</v>
      </c>
      <c r="I365" s="21">
        <f>VALUE(LEFT(Expenditures[[#This Row],[Fiscal Year]],4))</f>
        <v>2010</v>
      </c>
      <c r="J365" s="20">
        <v>2890693</v>
      </c>
      <c r="K365" s="20">
        <f>IF(Expenditures[[#This Row],[Reference Year]]&gt;2018,Expenditures[[#This Row],[Value]],Expenditures[[#This Row],[Value]]*(1+VLOOKUP(Expenditures[[#This Row],[Reference Year]],Inflation[#All],3,FALSE)))</f>
        <v>3335112.1975378268</v>
      </c>
      <c r="L365" s="105">
        <f>VALUE(Expenditures[[#This Row],[2018 $ Value]]/VLOOKUP(Expenditures[[#This Row],[Jurisdiction]],Places[],6,FALSE))</f>
        <v>44.7155888923755</v>
      </c>
      <c r="M365" s="105">
        <f>VALUE(Expenditures[[#This Row],[2018 $ Value]]/VLOOKUP(Expenditures[[#This Row],[Jurisdiction]],Places[],7,FALSE))</f>
        <v>95561.954084178418</v>
      </c>
      <c r="N365" s="20" t="s">
        <v>1460</v>
      </c>
      <c r="O365" s="20" t="s">
        <v>1460</v>
      </c>
    </row>
    <row r="366" spans="1:15" x14ac:dyDescent="0.25">
      <c r="A366" s="19" t="s">
        <v>140</v>
      </c>
      <c r="B366" s="19" t="str">
        <f>INDEX(Places[Type],MATCH(Expenditures[[#This Row],[Jurisdiction]],Places[Jurisdiction],0))</f>
        <v>City</v>
      </c>
      <c r="C366" s="19" t="str">
        <f>INDEX(Places[County],MATCH(Expenditures[[#This Row],[Jurisdiction]],Places[Jurisdiction],0))</f>
        <v>Sacramento</v>
      </c>
      <c r="D366" s="19" t="str">
        <f>INDEX(Places[Majority RB],MATCH(Expenditures[[#This Row],[Jurisdiction]],Places[Jurisdiction],0))</f>
        <v>Central Valley</v>
      </c>
      <c r="E366" s="19">
        <f>INDEX(Places[Majority RB '#],MATCH(Expenditures[[#This Row],[Jurisdiction]],Places[Jurisdiction],0))</f>
        <v>5</v>
      </c>
      <c r="F366" s="19" t="str">
        <f>VLOOKUP(Expenditures[[#This Row],[Jurisdiction]],Places[#All],8,FALSE)</f>
        <v>Phase I MS4</v>
      </c>
      <c r="G366" s="19"/>
      <c r="H366" s="21" t="s">
        <v>1871</v>
      </c>
      <c r="I366" s="21">
        <f>VALUE(LEFT(Expenditures[[#This Row],[Fiscal Year]],4))</f>
        <v>2012</v>
      </c>
      <c r="J366" s="102">
        <v>2991187</v>
      </c>
      <c r="K366" s="20">
        <f>IF(Expenditures[[#This Row],[Reference Year]]&gt;2018,Expenditures[[#This Row],[Value]],Expenditures[[#This Row],[Value]]*(1+VLOOKUP(Expenditures[[#This Row],[Reference Year]],Inflation[#All],3,FALSE)))</f>
        <v>3278202.8571297908</v>
      </c>
      <c r="L366" s="105">
        <f>VALUE(Expenditures[[#This Row],[2018 $ Value]]/VLOOKUP(Expenditures[[#This Row],[Jurisdiction]],Places[],6,FALSE))</f>
        <v>43.952575680495954</v>
      </c>
      <c r="M366" s="105">
        <f>VALUE(Expenditures[[#This Row],[2018 $ Value]]/VLOOKUP(Expenditures[[#This Row],[Jurisdiction]],Places[],7,FALSE))</f>
        <v>93931.313957873659</v>
      </c>
      <c r="N366" s="20" t="s">
        <v>1460</v>
      </c>
      <c r="O366" s="20" t="s">
        <v>1460</v>
      </c>
    </row>
    <row r="367" spans="1:15" x14ac:dyDescent="0.25">
      <c r="A367" s="19" t="s">
        <v>140</v>
      </c>
      <c r="B367" s="19" t="str">
        <f>INDEX(Places[Type],MATCH(Expenditures[[#This Row],[Jurisdiction]],Places[Jurisdiction],0))</f>
        <v>City</v>
      </c>
      <c r="C367" s="19" t="str">
        <f>INDEX(Places[County],MATCH(Expenditures[[#This Row],[Jurisdiction]],Places[Jurisdiction],0))</f>
        <v>Sacramento</v>
      </c>
      <c r="D367" s="19" t="str">
        <f>INDEX(Places[Majority RB],MATCH(Expenditures[[#This Row],[Jurisdiction]],Places[Jurisdiction],0))</f>
        <v>Central Valley</v>
      </c>
      <c r="E367" s="19">
        <f>INDEX(Places[Majority RB '#],MATCH(Expenditures[[#This Row],[Jurisdiction]],Places[Jurisdiction],0))</f>
        <v>5</v>
      </c>
      <c r="F367" s="19" t="str">
        <f>VLOOKUP(Expenditures[[#This Row],[Jurisdiction]],Places[#All],8,FALSE)</f>
        <v>Phase I MS4</v>
      </c>
      <c r="G367" s="19"/>
      <c r="H367" s="21" t="s">
        <v>1880</v>
      </c>
      <c r="I367" s="21">
        <f>VALUE(LEFT(Expenditures[[#This Row],[Fiscal Year]],4))</f>
        <v>2013</v>
      </c>
      <c r="J367" s="20">
        <v>3126357</v>
      </c>
      <c r="K367" s="20">
        <f>IF(Expenditures[[#This Row],[Reference Year]]&gt;2018,Expenditures[[#This Row],[Value]],Expenditures[[#This Row],[Value]]*(1+VLOOKUP(Expenditures[[#This Row],[Reference Year]],Inflation[#All],3,FALSE)))</f>
        <v>3376344.7994291848</v>
      </c>
      <c r="L367" s="105">
        <f>VALUE(Expenditures[[#This Row],[2018 $ Value]]/VLOOKUP(Expenditures[[#This Row],[Jurisdiction]],Places[],6,FALSE))</f>
        <v>45.268415893667424</v>
      </c>
      <c r="M367" s="105">
        <f>VALUE(Expenditures[[#This Row],[2018 $ Value]]/VLOOKUP(Expenditures[[#This Row],[Jurisdiction]],Places[],7,FALSE))</f>
        <v>96743.403995105589</v>
      </c>
      <c r="N367" s="20" t="s">
        <v>1460</v>
      </c>
      <c r="O367" s="20" t="s">
        <v>1460</v>
      </c>
    </row>
    <row r="368" spans="1:15" x14ac:dyDescent="0.25">
      <c r="A368" s="19" t="s">
        <v>140</v>
      </c>
      <c r="B368" s="19" t="str">
        <f>INDEX(Places[Type],MATCH(Expenditures[[#This Row],[Jurisdiction]],Places[Jurisdiction],0))</f>
        <v>City</v>
      </c>
      <c r="C368" s="19" t="str">
        <f>INDEX(Places[County],MATCH(Expenditures[[#This Row],[Jurisdiction]],Places[Jurisdiction],0))</f>
        <v>Sacramento</v>
      </c>
      <c r="D368" s="19" t="str">
        <f>INDEX(Places[Majority RB],MATCH(Expenditures[[#This Row],[Jurisdiction]],Places[Jurisdiction],0))</f>
        <v>Central Valley</v>
      </c>
      <c r="E368" s="19">
        <f>INDEX(Places[Majority RB '#],MATCH(Expenditures[[#This Row],[Jurisdiction]],Places[Jurisdiction],0))</f>
        <v>5</v>
      </c>
      <c r="F368" s="19" t="str">
        <f>VLOOKUP(Expenditures[[#This Row],[Jurisdiction]],Places[#All],8,FALSE)</f>
        <v>Phase I MS4</v>
      </c>
      <c r="G368" s="19"/>
      <c r="H368" s="21" t="s">
        <v>1881</v>
      </c>
      <c r="I368" s="21">
        <f>VALUE(LEFT(Expenditures[[#This Row],[Fiscal Year]],4))</f>
        <v>2014</v>
      </c>
      <c r="J368" s="20">
        <v>1668876</v>
      </c>
      <c r="K368" s="20">
        <f>IF(Expenditures[[#This Row],[Reference Year]]&gt;2018,Expenditures[[#This Row],[Value]],Expenditures[[#This Row],[Value]]*(1+VLOOKUP(Expenditures[[#This Row],[Reference Year]],Inflation[#All],3,FALSE)))</f>
        <v>1774148.4442585553</v>
      </c>
      <c r="L368" s="105">
        <f>VALUE(Expenditures[[#This Row],[2018 $ Value]]/VLOOKUP(Expenditures[[#This Row],[Jurisdiction]],Places[],6,FALSE))</f>
        <v>23.786933622827046</v>
      </c>
      <c r="M368" s="105">
        <f>VALUE(Expenditures[[#This Row],[2018 $ Value]]/VLOOKUP(Expenditures[[#This Row],[Jurisdiction]],Places[],7,FALSE))</f>
        <v>50835.198975889842</v>
      </c>
      <c r="N368" s="20" t="s">
        <v>1853</v>
      </c>
      <c r="O368" s="20" t="s">
        <v>1460</v>
      </c>
    </row>
    <row r="369" spans="1:15" x14ac:dyDescent="0.25">
      <c r="A369" s="19" t="s">
        <v>140</v>
      </c>
      <c r="B369" s="19" t="str">
        <f>INDEX(Places[Type],MATCH(Expenditures[[#This Row],[Jurisdiction]],Places[Jurisdiction],0))</f>
        <v>City</v>
      </c>
      <c r="C369" s="19" t="str">
        <f>INDEX(Places[County],MATCH(Expenditures[[#This Row],[Jurisdiction]],Places[Jurisdiction],0))</f>
        <v>Sacramento</v>
      </c>
      <c r="D369" s="19" t="str">
        <f>INDEX(Places[Majority RB],MATCH(Expenditures[[#This Row],[Jurisdiction]],Places[Jurisdiction],0))</f>
        <v>Central Valley</v>
      </c>
      <c r="E369" s="19">
        <f>INDEX(Places[Majority RB '#],MATCH(Expenditures[[#This Row],[Jurisdiction]],Places[Jurisdiction],0))</f>
        <v>5</v>
      </c>
      <c r="F369" s="19" t="str">
        <f>VLOOKUP(Expenditures[[#This Row],[Jurisdiction]],Places[#All],8,FALSE)</f>
        <v>Phase I MS4</v>
      </c>
      <c r="G369" s="19" t="s">
        <v>1858</v>
      </c>
      <c r="H369" s="21" t="s">
        <v>1869</v>
      </c>
      <c r="I369" s="21">
        <f>VALUE(LEFT(Expenditures[[#This Row],[Fiscal Year]],4))</f>
        <v>2016</v>
      </c>
      <c r="J369" s="20">
        <v>1849639</v>
      </c>
      <c r="K369" s="20">
        <f>IF(Expenditures[[#This Row],[Reference Year]]&gt;2018,Expenditures[[#This Row],[Value]],Expenditures[[#This Row],[Value]]*(1+VLOOKUP(Expenditures[[#This Row],[Reference Year]],Inflation[#All],3,FALSE)))</f>
        <v>1939277.1300375001</v>
      </c>
      <c r="L369" s="105">
        <f>VALUE(Expenditures[[#This Row],[2018 $ Value]]/VLOOKUP(Expenditures[[#This Row],[Jurisdiction]],Places[],6,FALSE))</f>
        <v>26.000900047429109</v>
      </c>
      <c r="M369" s="105">
        <f>VALUE(Expenditures[[#This Row],[2018 $ Value]]/VLOOKUP(Expenditures[[#This Row],[Jurisdiction]],Places[],7,FALSE))</f>
        <v>55566.679943767915</v>
      </c>
      <c r="N369" s="20" t="s">
        <v>1460</v>
      </c>
      <c r="O369" s="20" t="s">
        <v>1853</v>
      </c>
    </row>
    <row r="370" spans="1:15" x14ac:dyDescent="0.25">
      <c r="A370" s="19" t="s">
        <v>248</v>
      </c>
      <c r="B370" s="19" t="str">
        <f>INDEX(Places[Type],MATCH(Expenditures[[#This Row],[Jurisdiction]],Places[Jurisdiction],0))</f>
        <v>City</v>
      </c>
      <c r="C370" s="19" t="str">
        <f>INDEX(Places[County],MATCH(Expenditures[[#This Row],[Jurisdiction]],Places[Jurisdiction],0))</f>
        <v>San Bernardino</v>
      </c>
      <c r="D370" s="19" t="str">
        <f>INDEX(Places[Majority RB],MATCH(Expenditures[[#This Row],[Jurisdiction]],Places[Jurisdiction],0))</f>
        <v>Santa Ana</v>
      </c>
      <c r="E370" s="19">
        <f>INDEX(Places[Majority RB '#],MATCH(Expenditures[[#This Row],[Jurisdiction]],Places[Jurisdiction],0))</f>
        <v>8</v>
      </c>
      <c r="F370" s="19" t="str">
        <f>VLOOKUP(Expenditures[[#This Row],[Jurisdiction]],Places[#All],8,FALSE)</f>
        <v>Phase I MS4</v>
      </c>
      <c r="G370" s="19"/>
      <c r="H370" s="21" t="s">
        <v>1870</v>
      </c>
      <c r="I370" s="21">
        <f>VALUE(LEFT(Expenditures[[#This Row],[Fiscal Year]],4))</f>
        <v>2011</v>
      </c>
      <c r="J370" s="20">
        <v>1098580</v>
      </c>
      <c r="K370" s="20">
        <f>IF(Expenditures[[#This Row],[Reference Year]]&gt;2018,Expenditures[[#This Row],[Value]],Expenditures[[#This Row],[Value]]*(1+VLOOKUP(Expenditures[[#This Row],[Reference Year]],Inflation[#All],3,FALSE)))</f>
        <v>1229154.2195642509</v>
      </c>
      <c r="L370" s="105">
        <f>VALUE(Expenditures[[#This Row],[2018 $ Value]]/VLOOKUP(Expenditures[[#This Row],[Jurisdiction]],Places[],6,FALSE))</f>
        <v>6.9150340620545085</v>
      </c>
      <c r="M370" s="105">
        <f>VALUE(Expenditures[[#This Row],[2018 $ Value]]/VLOOKUP(Expenditures[[#This Row],[Jurisdiction]],Places[],7,FALSE))</f>
        <v>30728.855489106274</v>
      </c>
      <c r="N370" s="20" t="s">
        <v>1460</v>
      </c>
      <c r="O370" s="20" t="s">
        <v>1460</v>
      </c>
    </row>
    <row r="371" spans="1:15" x14ac:dyDescent="0.25">
      <c r="A371" s="19" t="s">
        <v>248</v>
      </c>
      <c r="B371" s="19" t="str">
        <f>INDEX(Places[Type],MATCH(Expenditures[[#This Row],[Jurisdiction]],Places[Jurisdiction],0))</f>
        <v>City</v>
      </c>
      <c r="C371" s="19" t="str">
        <f>INDEX(Places[County],MATCH(Expenditures[[#This Row],[Jurisdiction]],Places[Jurisdiction],0))</f>
        <v>San Bernardino</v>
      </c>
      <c r="D371" s="19" t="str">
        <f>INDEX(Places[Majority RB],MATCH(Expenditures[[#This Row],[Jurisdiction]],Places[Jurisdiction],0))</f>
        <v>Santa Ana</v>
      </c>
      <c r="E371" s="19">
        <f>INDEX(Places[Majority RB '#],MATCH(Expenditures[[#This Row],[Jurisdiction]],Places[Jurisdiction],0))</f>
        <v>8</v>
      </c>
      <c r="F371" s="19" t="str">
        <f>VLOOKUP(Expenditures[[#This Row],[Jurisdiction]],Places[#All],8,FALSE)</f>
        <v>Phase I MS4</v>
      </c>
      <c r="G371" s="19"/>
      <c r="H371" s="21" t="s">
        <v>1871</v>
      </c>
      <c r="I371" s="21">
        <f>VALUE(LEFT(Expenditures[[#This Row],[Fiscal Year]],4))</f>
        <v>2012</v>
      </c>
      <c r="J371" s="20">
        <v>1160058</v>
      </c>
      <c r="K371" s="20">
        <f>IF(Expenditures[[#This Row],[Reference Year]]&gt;2018,Expenditures[[#This Row],[Value]],Expenditures[[#This Row],[Value]]*(1+VLOOKUP(Expenditures[[#This Row],[Reference Year]],Inflation[#All],3,FALSE)))</f>
        <v>1271370.0113153311</v>
      </c>
      <c r="L371" s="105">
        <f>VALUE(Expenditures[[#This Row],[2018 $ Value]]/VLOOKUP(Expenditures[[#This Row],[Jurisdiction]],Places[],6,FALSE))</f>
        <v>7.152533664031882</v>
      </c>
      <c r="M371" s="105">
        <f>VALUE(Expenditures[[#This Row],[2018 $ Value]]/VLOOKUP(Expenditures[[#This Row],[Jurisdiction]],Places[],7,FALSE))</f>
        <v>31784.250282883277</v>
      </c>
      <c r="N371" s="20" t="s">
        <v>1460</v>
      </c>
      <c r="O371" s="20" t="s">
        <v>1460</v>
      </c>
    </row>
    <row r="372" spans="1:15" x14ac:dyDescent="0.25">
      <c r="A372" s="19" t="s">
        <v>248</v>
      </c>
      <c r="B372" s="19" t="str">
        <f>INDEX(Places[Type],MATCH(Expenditures[[#This Row],[Jurisdiction]],Places[Jurisdiction],0))</f>
        <v>City</v>
      </c>
      <c r="C372" s="19" t="str">
        <f>INDEX(Places[County],MATCH(Expenditures[[#This Row],[Jurisdiction]],Places[Jurisdiction],0))</f>
        <v>San Bernardino</v>
      </c>
      <c r="D372" s="19" t="str">
        <f>INDEX(Places[Majority RB],MATCH(Expenditures[[#This Row],[Jurisdiction]],Places[Jurisdiction],0))</f>
        <v>Santa Ana</v>
      </c>
      <c r="E372" s="19">
        <f>INDEX(Places[Majority RB '#],MATCH(Expenditures[[#This Row],[Jurisdiction]],Places[Jurisdiction],0))</f>
        <v>8</v>
      </c>
      <c r="F372" s="19" t="str">
        <f>VLOOKUP(Expenditures[[#This Row],[Jurisdiction]],Places[#All],8,FALSE)</f>
        <v>Phase I MS4</v>
      </c>
      <c r="G372" s="19"/>
      <c r="H372" s="21" t="s">
        <v>1880</v>
      </c>
      <c r="I372" s="21">
        <f>VALUE(LEFT(Expenditures[[#This Row],[Fiscal Year]],4))</f>
        <v>2013</v>
      </c>
      <c r="J372" s="20">
        <v>1290428</v>
      </c>
      <c r="K372" s="20">
        <f>IF(Expenditures[[#This Row],[Reference Year]]&gt;2018,Expenditures[[#This Row],[Value]],Expenditures[[#This Row],[Value]]*(1+VLOOKUP(Expenditures[[#This Row],[Reference Year]],Inflation[#All],3,FALSE)))</f>
        <v>1393612.3951416309</v>
      </c>
      <c r="L372" s="105">
        <f>VALUE(Expenditures[[#This Row],[2018 $ Value]]/VLOOKUP(Expenditures[[#This Row],[Jurisdiction]],Places[],6,FALSE))</f>
        <v>7.8402506604274009</v>
      </c>
      <c r="M372" s="105">
        <f>VALUE(Expenditures[[#This Row],[2018 $ Value]]/VLOOKUP(Expenditures[[#This Row],[Jurisdiction]],Places[],7,FALSE))</f>
        <v>34840.309878540771</v>
      </c>
      <c r="N372" s="20" t="s">
        <v>1460</v>
      </c>
      <c r="O372" s="20" t="s">
        <v>1460</v>
      </c>
    </row>
    <row r="373" spans="1:15" x14ac:dyDescent="0.25">
      <c r="A373" s="19" t="s">
        <v>248</v>
      </c>
      <c r="B373" s="19" t="str">
        <f>INDEX(Places[Type],MATCH(Expenditures[[#This Row],[Jurisdiction]],Places[Jurisdiction],0))</f>
        <v>City</v>
      </c>
      <c r="C373" s="19" t="str">
        <f>INDEX(Places[County],MATCH(Expenditures[[#This Row],[Jurisdiction]],Places[Jurisdiction],0))</f>
        <v>San Bernardino</v>
      </c>
      <c r="D373" s="19" t="str">
        <f>INDEX(Places[Majority RB],MATCH(Expenditures[[#This Row],[Jurisdiction]],Places[Jurisdiction],0))</f>
        <v>Santa Ana</v>
      </c>
      <c r="E373" s="19">
        <f>INDEX(Places[Majority RB '#],MATCH(Expenditures[[#This Row],[Jurisdiction]],Places[Jurisdiction],0))</f>
        <v>8</v>
      </c>
      <c r="F373" s="19" t="str">
        <f>VLOOKUP(Expenditures[[#This Row],[Jurisdiction]],Places[#All],8,FALSE)</f>
        <v>Phase I MS4</v>
      </c>
      <c r="G373" s="19"/>
      <c r="H373" s="21" t="s">
        <v>1881</v>
      </c>
      <c r="I373" s="21">
        <f>VALUE(LEFT(Expenditures[[#This Row],[Fiscal Year]],4))</f>
        <v>2014</v>
      </c>
      <c r="J373" s="20">
        <v>1331232</v>
      </c>
      <c r="K373" s="20">
        <f>IF(Expenditures[[#This Row],[Reference Year]]&gt;2018,Expenditures[[#This Row],[Value]],Expenditures[[#This Row],[Value]]*(1+VLOOKUP(Expenditures[[#This Row],[Reference Year]],Inflation[#All],3,FALSE)))</f>
        <v>1415205.912091255</v>
      </c>
      <c r="L373" s="105">
        <f>VALUE(Expenditures[[#This Row],[2018 $ Value]]/VLOOKUP(Expenditures[[#This Row],[Jurisdiction]],Places[],6,FALSE))</f>
        <v>7.9617324914698369</v>
      </c>
      <c r="M373" s="105">
        <f>VALUE(Expenditures[[#This Row],[2018 $ Value]]/VLOOKUP(Expenditures[[#This Row],[Jurisdiction]],Places[],7,FALSE))</f>
        <v>35380.147802281375</v>
      </c>
      <c r="N373" s="20" t="s">
        <v>1460</v>
      </c>
      <c r="O373" s="20" t="s">
        <v>1853</v>
      </c>
    </row>
    <row r="374" spans="1:15" x14ac:dyDescent="0.25">
      <c r="A374" s="19" t="s">
        <v>178</v>
      </c>
      <c r="B374" s="19" t="str">
        <f>INDEX(Places[Type],MATCH(Expenditures[[#This Row],[Jurisdiction]],Places[Jurisdiction],0))</f>
        <v>City</v>
      </c>
      <c r="C374" s="19" t="str">
        <f>INDEX(Places[County],MATCH(Expenditures[[#This Row],[Jurisdiction]],Places[Jurisdiction],0))</f>
        <v>Los Angeles</v>
      </c>
      <c r="D374" s="19" t="str">
        <f>INDEX(Places[Majority RB],MATCH(Expenditures[[#This Row],[Jurisdiction]],Places[Jurisdiction],0))</f>
        <v>Los Angeles</v>
      </c>
      <c r="E374" s="19">
        <f>INDEX(Places[Majority RB '#],MATCH(Expenditures[[#This Row],[Jurisdiction]],Places[Jurisdiction],0))</f>
        <v>4</v>
      </c>
      <c r="F374" s="19" t="str">
        <f>VLOOKUP(Expenditures[[#This Row],[Jurisdiction]],Places[#All],8,FALSE)</f>
        <v>Phase I MS4</v>
      </c>
      <c r="G374" s="19"/>
      <c r="H374" s="100" t="s">
        <v>1870</v>
      </c>
      <c r="I374" s="21">
        <f>VALUE(LEFT(Expenditures[[#This Row],[Fiscal Year]],4))</f>
        <v>2011</v>
      </c>
      <c r="J374" s="20">
        <v>361981</v>
      </c>
      <c r="K374" s="20">
        <f>IF(Expenditures[[#This Row],[Reference Year]]&gt;2018,Expenditures[[#This Row],[Value]],Expenditures[[#This Row],[Value]]*(1+VLOOKUP(Expenditures[[#This Row],[Reference Year]],Inflation[#All],3,FALSE)))</f>
        <v>405005.07341485104</v>
      </c>
      <c r="L374" s="105">
        <f>VALUE(Expenditures[[#This Row],[2018 $ Value]]/VLOOKUP(Expenditures[[#This Row],[Jurisdiction]],Places[],6,FALSE))</f>
        <v>9.6595371449830907</v>
      </c>
      <c r="M374" s="105">
        <f>VALUE(Expenditures[[#This Row],[2018 $ Value]]/VLOOKUP(Expenditures[[#This Row],[Jurisdiction]],Places[],7,FALSE))</f>
        <v>30000.375808507484</v>
      </c>
      <c r="N374" s="20" t="s">
        <v>1460</v>
      </c>
      <c r="O374" s="20" t="s">
        <v>1460</v>
      </c>
    </row>
    <row r="375" spans="1:15" x14ac:dyDescent="0.25">
      <c r="A375" s="19" t="s">
        <v>178</v>
      </c>
      <c r="B375" s="19" t="str">
        <f>INDEX(Places[Type],MATCH(Expenditures[[#This Row],[Jurisdiction]],Places[Jurisdiction],0))</f>
        <v>City</v>
      </c>
      <c r="C375" s="19" t="str">
        <f>INDEX(Places[County],MATCH(Expenditures[[#This Row],[Jurisdiction]],Places[Jurisdiction],0))</f>
        <v>Los Angeles</v>
      </c>
      <c r="D375" s="19" t="str">
        <f>INDEX(Places[Majority RB],MATCH(Expenditures[[#This Row],[Jurisdiction]],Places[Jurisdiction],0))</f>
        <v>Los Angeles</v>
      </c>
      <c r="E375" s="19">
        <f>INDEX(Places[Majority RB '#],MATCH(Expenditures[[#This Row],[Jurisdiction]],Places[Jurisdiction],0))</f>
        <v>4</v>
      </c>
      <c r="F375" s="19" t="str">
        <f>VLOOKUP(Expenditures[[#This Row],[Jurisdiction]],Places[#All],8,FALSE)</f>
        <v>Phase I MS4</v>
      </c>
      <c r="G375" s="19"/>
      <c r="H375" s="100" t="s">
        <v>1873</v>
      </c>
      <c r="I375" s="21">
        <f>VALUE(LEFT(Expenditures[[#This Row],[Fiscal Year]],4))</f>
        <v>2015</v>
      </c>
      <c r="J375" s="20">
        <v>419420</v>
      </c>
      <c r="K375" s="20">
        <f>IF(Expenditures[[#This Row],[Reference Year]]&gt;2018,Expenditures[[#This Row],[Value]],Expenditures[[#This Row],[Value]]*(1+VLOOKUP(Expenditures[[#This Row],[Reference Year]],Inflation[#All],3,FALSE)))</f>
        <v>445312.54860759492</v>
      </c>
      <c r="L375" s="105">
        <f>VALUE(Expenditures[[#This Row],[2018 $ Value]]/VLOOKUP(Expenditures[[#This Row],[Jurisdiction]],Places[],6,FALSE))</f>
        <v>10.620886963546912</v>
      </c>
      <c r="M375" s="105">
        <f>VALUE(Expenditures[[#This Row],[2018 $ Value]]/VLOOKUP(Expenditures[[#This Row],[Jurisdiction]],Places[],7,FALSE))</f>
        <v>32986.114711673697</v>
      </c>
      <c r="N375" s="20" t="s">
        <v>1853</v>
      </c>
      <c r="O375" s="20" t="s">
        <v>1853</v>
      </c>
    </row>
    <row r="376" spans="1:15" x14ac:dyDescent="0.25">
      <c r="A376" s="19" t="s">
        <v>287</v>
      </c>
      <c r="B376" s="19" t="str">
        <f>INDEX(Places[Type],MATCH(Expenditures[[#This Row],[Jurisdiction]],Places[Jurisdiction],0))</f>
        <v>City</v>
      </c>
      <c r="C376" s="19" t="str">
        <f>INDEX(Places[County],MATCH(Expenditures[[#This Row],[Jurisdiction]],Places[Jurisdiction],0))</f>
        <v>Orange</v>
      </c>
      <c r="D376" s="19" t="str">
        <f>INDEX(Places[Majority RB],MATCH(Expenditures[[#This Row],[Jurisdiction]],Places[Jurisdiction],0))</f>
        <v>San Diego</v>
      </c>
      <c r="E376" s="19">
        <f>INDEX(Places[Majority RB '#],MATCH(Expenditures[[#This Row],[Jurisdiction]],Places[Jurisdiction],0))</f>
        <v>9</v>
      </c>
      <c r="F376" s="19" t="str">
        <f>VLOOKUP(Expenditures[[#This Row],[Jurisdiction]],Places[#All],8,FALSE)</f>
        <v>Phase I MS4</v>
      </c>
      <c r="G376" s="19"/>
      <c r="H376" s="21" t="s">
        <v>1893</v>
      </c>
      <c r="I376" s="21">
        <f>VALUE(LEFT(Expenditures[[#This Row],[Fiscal Year]],4))</f>
        <v>2000</v>
      </c>
      <c r="J376" s="20">
        <v>121342</v>
      </c>
      <c r="K376" s="20">
        <f>IF(Expenditures[[#This Row],[Reference Year]]&gt;2018,Expenditures[[#This Row],[Value]],Expenditures[[#This Row],[Value]]*(1+VLOOKUP(Expenditures[[#This Row],[Reference Year]],Inflation[#All],3,FALSE)))</f>
        <v>177313.63996515682</v>
      </c>
      <c r="L376" s="105">
        <f>VALUE(Expenditures[[#This Row],[2018 $ Value]]/VLOOKUP(Expenditures[[#This Row],[Jurisdiction]],Places[],6,FALSE))</f>
        <v>3.669190687328646</v>
      </c>
      <c r="M376" s="105">
        <f>VALUE(Expenditures[[#This Row],[2018 $ Value]]/VLOOKUP(Expenditures[[#This Row],[Jurisdiction]],Places[],7,FALSE))</f>
        <v>13745.243408151691</v>
      </c>
      <c r="N376" s="20" t="s">
        <v>1460</v>
      </c>
      <c r="O376" s="20" t="s">
        <v>1460</v>
      </c>
    </row>
    <row r="377" spans="1:15" x14ac:dyDescent="0.25">
      <c r="A377" s="19" t="s">
        <v>287</v>
      </c>
      <c r="B377" s="19" t="str">
        <f>INDEX(Places[Type],MATCH(Expenditures[[#This Row],[Jurisdiction]],Places[Jurisdiction],0))</f>
        <v>City</v>
      </c>
      <c r="C377" s="19" t="str">
        <f>INDEX(Places[County],MATCH(Expenditures[[#This Row],[Jurisdiction]],Places[Jurisdiction],0))</f>
        <v>Orange</v>
      </c>
      <c r="D377" s="19" t="str">
        <f>INDEX(Places[Majority RB],MATCH(Expenditures[[#This Row],[Jurisdiction]],Places[Jurisdiction],0))</f>
        <v>San Diego</v>
      </c>
      <c r="E377" s="19">
        <f>INDEX(Places[Majority RB '#],MATCH(Expenditures[[#This Row],[Jurisdiction]],Places[Jurisdiction],0))</f>
        <v>9</v>
      </c>
      <c r="F377" s="19" t="str">
        <f>VLOOKUP(Expenditures[[#This Row],[Jurisdiction]],Places[#All],8,FALSE)</f>
        <v>Phase I MS4</v>
      </c>
      <c r="G377" s="19"/>
      <c r="H377" s="21" t="s">
        <v>1875</v>
      </c>
      <c r="I377" s="21">
        <f>VALUE(LEFT(Expenditures[[#This Row],[Fiscal Year]],4))</f>
        <v>2001</v>
      </c>
      <c r="J377" s="20">
        <v>62200</v>
      </c>
      <c r="K377" s="20">
        <f>IF(Expenditures[[#This Row],[Reference Year]]&gt;2018,Expenditures[[#This Row],[Value]],Expenditures[[#This Row],[Value]]*(1+VLOOKUP(Expenditures[[#This Row],[Reference Year]],Inflation[#All],3,FALSE)))</f>
        <v>88376.330886504802</v>
      </c>
      <c r="L377" s="105">
        <f>VALUE(Expenditures[[#This Row],[2018 $ Value]]/VLOOKUP(Expenditures[[#This Row],[Jurisdiction]],Places[],6,FALSE))</f>
        <v>1.8287911202587646</v>
      </c>
      <c r="M377" s="105">
        <f>VALUE(Expenditures[[#This Row],[2018 $ Value]]/VLOOKUP(Expenditures[[#This Row],[Jurisdiction]],Places[],7,FALSE))</f>
        <v>6850.8783632949453</v>
      </c>
      <c r="N377" s="20" t="s">
        <v>1460</v>
      </c>
      <c r="O377" s="20" t="s">
        <v>1460</v>
      </c>
    </row>
    <row r="378" spans="1:15" x14ac:dyDescent="0.25">
      <c r="A378" s="19" t="s">
        <v>287</v>
      </c>
      <c r="B378" s="19" t="str">
        <f>INDEX(Places[Type],MATCH(Expenditures[[#This Row],[Jurisdiction]],Places[Jurisdiction],0))</f>
        <v>City</v>
      </c>
      <c r="C378" s="19" t="str">
        <f>INDEX(Places[County],MATCH(Expenditures[[#This Row],[Jurisdiction]],Places[Jurisdiction],0))</f>
        <v>Orange</v>
      </c>
      <c r="D378" s="19" t="str">
        <f>INDEX(Places[Majority RB],MATCH(Expenditures[[#This Row],[Jurisdiction]],Places[Jurisdiction],0))</f>
        <v>San Diego</v>
      </c>
      <c r="E378" s="19">
        <f>INDEX(Places[Majority RB '#],MATCH(Expenditures[[#This Row],[Jurisdiction]],Places[Jurisdiction],0))</f>
        <v>9</v>
      </c>
      <c r="F378" s="19" t="str">
        <f>VLOOKUP(Expenditures[[#This Row],[Jurisdiction]],Places[#All],8,FALSE)</f>
        <v>Phase I MS4</v>
      </c>
      <c r="G378" s="19"/>
      <c r="H378" s="21" t="s">
        <v>1881</v>
      </c>
      <c r="I378" s="21">
        <f>VALUE(LEFT(Expenditures[[#This Row],[Fiscal Year]],4))</f>
        <v>2014</v>
      </c>
      <c r="J378" s="20">
        <v>321288</v>
      </c>
      <c r="K378" s="20">
        <f>IF(Expenditures[[#This Row],[Reference Year]]&gt;2018,Expenditures[[#This Row],[Value]],Expenditures[[#This Row],[Value]]*(1+VLOOKUP(Expenditures[[#This Row],[Reference Year]],Inflation[#All],3,FALSE)))</f>
        <v>341554.79817490495</v>
      </c>
      <c r="L378" s="105">
        <f>VALUE(Expenditures[[#This Row],[2018 $ Value]]/VLOOKUP(Expenditures[[#This Row],[Jurisdiction]],Places[],6,FALSE))</f>
        <v>7.0678695949281938</v>
      </c>
      <c r="M378" s="105">
        <f>VALUE(Expenditures[[#This Row],[2018 $ Value]]/VLOOKUP(Expenditures[[#This Row],[Jurisdiction]],Places[],7,FALSE))</f>
        <v>26477.116137589532</v>
      </c>
      <c r="N378" s="20" t="s">
        <v>1460</v>
      </c>
      <c r="O378" s="20" t="s">
        <v>1460</v>
      </c>
    </row>
    <row r="379" spans="1:15" x14ac:dyDescent="0.25">
      <c r="A379" s="19" t="s">
        <v>287</v>
      </c>
      <c r="B379" s="19" t="str">
        <f>INDEX(Places[Type],MATCH(Expenditures[[#This Row],[Jurisdiction]],Places[Jurisdiction],0))</f>
        <v>City</v>
      </c>
      <c r="C379" s="19" t="str">
        <f>INDEX(Places[County],MATCH(Expenditures[[#This Row],[Jurisdiction]],Places[Jurisdiction],0))</f>
        <v>Orange</v>
      </c>
      <c r="D379" s="19" t="str">
        <f>INDEX(Places[Majority RB],MATCH(Expenditures[[#This Row],[Jurisdiction]],Places[Jurisdiction],0))</f>
        <v>San Diego</v>
      </c>
      <c r="E379" s="19">
        <f>INDEX(Places[Majority RB '#],MATCH(Expenditures[[#This Row],[Jurisdiction]],Places[Jurisdiction],0))</f>
        <v>9</v>
      </c>
      <c r="F379" s="19" t="str">
        <f>VLOOKUP(Expenditures[[#This Row],[Jurisdiction]],Places[#All],8,FALSE)</f>
        <v>Phase I MS4</v>
      </c>
      <c r="G379" s="19"/>
      <c r="H379" s="21" t="s">
        <v>1873</v>
      </c>
      <c r="I379" s="21">
        <f>VALUE(LEFT(Expenditures[[#This Row],[Fiscal Year]],4))</f>
        <v>2015</v>
      </c>
      <c r="J379" s="20">
        <v>381180</v>
      </c>
      <c r="K379" s="20">
        <f>IF(Expenditures[[#This Row],[Reference Year]]&gt;2018,Expenditures[[#This Row],[Value]],Expenditures[[#This Row],[Value]]*(1+VLOOKUP(Expenditures[[#This Row],[Reference Year]],Inflation[#All],3,FALSE)))</f>
        <v>404711.83367088606</v>
      </c>
      <c r="L379" s="105">
        <f>VALUE(Expenditures[[#This Row],[2018 $ Value]]/VLOOKUP(Expenditures[[#This Row],[Jurisdiction]],Places[],6,FALSE))</f>
        <v>8.3747922125377361</v>
      </c>
      <c r="M379" s="105">
        <f>VALUE(Expenditures[[#This Row],[2018 $ Value]]/VLOOKUP(Expenditures[[#This Row],[Jurisdiction]],Places[],7,FALSE))</f>
        <v>31373.010362084191</v>
      </c>
      <c r="N379" s="20" t="s">
        <v>1460</v>
      </c>
      <c r="O379" s="20" t="s">
        <v>1460</v>
      </c>
    </row>
    <row r="380" spans="1:15" x14ac:dyDescent="0.25">
      <c r="A380" s="19" t="s">
        <v>287</v>
      </c>
      <c r="B380" s="19" t="str">
        <f>INDEX(Places[Type],MATCH(Expenditures[[#This Row],[Jurisdiction]],Places[Jurisdiction],0))</f>
        <v>City</v>
      </c>
      <c r="C380" s="19" t="str">
        <f>INDEX(Places[County],MATCH(Expenditures[[#This Row],[Jurisdiction]],Places[Jurisdiction],0))</f>
        <v>Orange</v>
      </c>
      <c r="D380" s="19" t="str">
        <f>INDEX(Places[Majority RB],MATCH(Expenditures[[#This Row],[Jurisdiction]],Places[Jurisdiction],0))</f>
        <v>San Diego</v>
      </c>
      <c r="E380" s="19">
        <f>INDEX(Places[Majority RB '#],MATCH(Expenditures[[#This Row],[Jurisdiction]],Places[Jurisdiction],0))</f>
        <v>9</v>
      </c>
      <c r="F380" s="19" t="str">
        <f>VLOOKUP(Expenditures[[#This Row],[Jurisdiction]],Places[#All],8,FALSE)</f>
        <v>Phase I MS4</v>
      </c>
      <c r="G380" s="19"/>
      <c r="H380" s="21" t="s">
        <v>1869</v>
      </c>
      <c r="I380" s="21">
        <f>VALUE(LEFT(Expenditures[[#This Row],[Fiscal Year]],4))</f>
        <v>2016</v>
      </c>
      <c r="J380" s="20">
        <v>427244.93</v>
      </c>
      <c r="K380" s="20">
        <f>IF(Expenditures[[#This Row],[Reference Year]]&gt;2018,Expenditures[[#This Row],[Value]],Expenditures[[#This Row],[Value]]*(1+VLOOKUP(Expenditures[[#This Row],[Reference Year]],Inflation[#All],3,FALSE)))</f>
        <v>447950.28742012504</v>
      </c>
      <c r="L380" s="105">
        <f>VALUE(Expenditures[[#This Row],[2018 $ Value]]/VLOOKUP(Expenditures[[#This Row],[Jurisdiction]],Places[],6,FALSE))</f>
        <v>9.269535176826178</v>
      </c>
      <c r="M380" s="105">
        <f>VALUE(Expenditures[[#This Row],[2018 $ Value]]/VLOOKUP(Expenditures[[#This Row],[Jurisdiction]],Places[],7,FALSE))</f>
        <v>34724.828482180237</v>
      </c>
      <c r="N380" s="20" t="s">
        <v>1853</v>
      </c>
      <c r="O380" s="20" t="s">
        <v>1460</v>
      </c>
    </row>
    <row r="381" spans="1:15" x14ac:dyDescent="0.25">
      <c r="A381" s="19" t="s">
        <v>287</v>
      </c>
      <c r="B381" s="19" t="str">
        <f>INDEX(Places[Type],MATCH(Expenditures[[#This Row],[Jurisdiction]],Places[Jurisdiction],0))</f>
        <v>City</v>
      </c>
      <c r="C381" s="19" t="str">
        <f>INDEX(Places[County],MATCH(Expenditures[[#This Row],[Jurisdiction]],Places[Jurisdiction],0))</f>
        <v>Orange</v>
      </c>
      <c r="D381" s="19" t="str">
        <f>INDEX(Places[Majority RB],MATCH(Expenditures[[#This Row],[Jurisdiction]],Places[Jurisdiction],0))</f>
        <v>San Diego</v>
      </c>
      <c r="E381" s="19">
        <f>INDEX(Places[Majority RB '#],MATCH(Expenditures[[#This Row],[Jurisdiction]],Places[Jurisdiction],0))</f>
        <v>9</v>
      </c>
      <c r="F381" s="19" t="str">
        <f>VLOOKUP(Expenditures[[#This Row],[Jurisdiction]],Places[#All],8,FALSE)</f>
        <v>Phase I MS4</v>
      </c>
      <c r="G381" s="19"/>
      <c r="H381" s="21" t="s">
        <v>1874</v>
      </c>
      <c r="I381" s="21">
        <f>VALUE(LEFT(Expenditures[[#This Row],[Fiscal Year]],4))</f>
        <v>2017</v>
      </c>
      <c r="J381" s="20">
        <v>363801.62</v>
      </c>
      <c r="K381" s="20">
        <f>IF(Expenditures[[#This Row],[Reference Year]]&gt;2018,Expenditures[[#This Row],[Value]],Expenditures[[#This Row],[Value]]*(1+VLOOKUP(Expenditures[[#This Row],[Reference Year]],Inflation[#All],3,FALSE)))</f>
        <v>373495.5750396573</v>
      </c>
      <c r="L381" s="105">
        <f>VALUE(Expenditures[[#This Row],[2018 $ Value]]/VLOOKUP(Expenditures[[#This Row],[Jurisdiction]],Places[],6,FALSE))</f>
        <v>7.7288272124088424</v>
      </c>
      <c r="M381" s="105">
        <f>VALUE(Expenditures[[#This Row],[2018 $ Value]]/VLOOKUP(Expenditures[[#This Row],[Jurisdiction]],Places[],7,FALSE))</f>
        <v>28953.145351911418</v>
      </c>
      <c r="N381" s="20" t="s">
        <v>1460</v>
      </c>
      <c r="O381" s="20" t="s">
        <v>1853</v>
      </c>
    </row>
    <row r="382" spans="1:15" x14ac:dyDescent="0.25">
      <c r="A382" s="19" t="s">
        <v>249</v>
      </c>
      <c r="B382" s="19" t="str">
        <f>INDEX(Places[Type],MATCH(Expenditures[[#This Row],[Jurisdiction]],Places[Jurisdiction],0))</f>
        <v>City</v>
      </c>
      <c r="C382" s="19" t="str">
        <f>INDEX(Places[County],MATCH(Expenditures[[#This Row],[Jurisdiction]],Places[Jurisdiction],0))</f>
        <v>San Bernardino</v>
      </c>
      <c r="D382" s="19" t="str">
        <f>INDEX(Places[Majority RB],MATCH(Expenditures[[#This Row],[Jurisdiction]],Places[Jurisdiction],0))</f>
        <v>Santa Ana</v>
      </c>
      <c r="E382" s="19">
        <f>INDEX(Places[Majority RB '#],MATCH(Expenditures[[#This Row],[Jurisdiction]],Places[Jurisdiction],0))</f>
        <v>8</v>
      </c>
      <c r="F382" s="19" t="str">
        <f>VLOOKUP(Expenditures[[#This Row],[Jurisdiction]],Places[#All],8,FALSE)</f>
        <v>Phase I MS4</v>
      </c>
      <c r="G382" s="19"/>
      <c r="H382" s="21" t="s">
        <v>1870</v>
      </c>
      <c r="I382" s="21">
        <f>VALUE(LEFT(Expenditures[[#This Row],[Fiscal Year]],4))</f>
        <v>2011</v>
      </c>
      <c r="J382" s="20">
        <v>423500</v>
      </c>
      <c r="K382" s="20">
        <f>IF(Expenditures[[#This Row],[Reference Year]]&gt;2018,Expenditures[[#This Row],[Value]],Expenditures[[#This Row],[Value]]*(1+VLOOKUP(Expenditures[[#This Row],[Reference Year]],Inflation[#All],3,FALSE)))</f>
        <v>473836.05380168965</v>
      </c>
      <c r="L382" s="105">
        <f>VALUE(Expenditures[[#This Row],[2018 $ Value]]/VLOOKUP(Expenditures[[#This Row],[Jurisdiction]],Places[],6,FALSE))</f>
        <v>6.619116221072411</v>
      </c>
      <c r="M382" s="105">
        <f>VALUE(Expenditures[[#This Row],[2018 $ Value]]/VLOOKUP(Expenditures[[#This Row],[Jurisdiction]],Places[],7,FALSE))</f>
        <v>13162.11260560249</v>
      </c>
      <c r="N382" s="20" t="s">
        <v>1460</v>
      </c>
      <c r="O382" s="20" t="s">
        <v>1460</v>
      </c>
    </row>
    <row r="383" spans="1:15" x14ac:dyDescent="0.25">
      <c r="A383" s="19" t="s">
        <v>249</v>
      </c>
      <c r="B383" s="19" t="str">
        <f>INDEX(Places[Type],MATCH(Expenditures[[#This Row],[Jurisdiction]],Places[Jurisdiction],0))</f>
        <v>City</v>
      </c>
      <c r="C383" s="19" t="str">
        <f>INDEX(Places[County],MATCH(Expenditures[[#This Row],[Jurisdiction]],Places[Jurisdiction],0))</f>
        <v>San Bernardino</v>
      </c>
      <c r="D383" s="19" t="str">
        <f>INDEX(Places[Majority RB],MATCH(Expenditures[[#This Row],[Jurisdiction]],Places[Jurisdiction],0))</f>
        <v>Santa Ana</v>
      </c>
      <c r="E383" s="19">
        <f>INDEX(Places[Majority RB '#],MATCH(Expenditures[[#This Row],[Jurisdiction]],Places[Jurisdiction],0))</f>
        <v>8</v>
      </c>
      <c r="F383" s="19" t="str">
        <f>VLOOKUP(Expenditures[[#This Row],[Jurisdiction]],Places[#All],8,FALSE)</f>
        <v>Phase I MS4</v>
      </c>
      <c r="G383" s="19"/>
      <c r="H383" s="21" t="s">
        <v>1871</v>
      </c>
      <c r="I383" s="21">
        <f>VALUE(LEFT(Expenditures[[#This Row],[Fiscal Year]],4))</f>
        <v>2012</v>
      </c>
      <c r="J383" s="20">
        <v>431400</v>
      </c>
      <c r="K383" s="20">
        <f>IF(Expenditures[[#This Row],[Reference Year]]&gt;2018,Expenditures[[#This Row],[Value]],Expenditures[[#This Row],[Value]]*(1+VLOOKUP(Expenditures[[#This Row],[Reference Year]],Inflation[#All],3,FALSE)))</f>
        <v>472794.48344947735</v>
      </c>
      <c r="L383" s="105">
        <f>VALUE(Expenditures[[#This Row],[2018 $ Value]]/VLOOKUP(Expenditures[[#This Row],[Jurisdiction]],Places[],6,FALSE))</f>
        <v>6.6045663041583182</v>
      </c>
      <c r="M383" s="105">
        <f>VALUE(Expenditures[[#This Row],[2018 $ Value]]/VLOOKUP(Expenditures[[#This Row],[Jurisdiction]],Places[],7,FALSE))</f>
        <v>13133.180095818816</v>
      </c>
      <c r="N383" s="20" t="s">
        <v>1460</v>
      </c>
      <c r="O383" s="20" t="s">
        <v>1460</v>
      </c>
    </row>
    <row r="384" spans="1:15" x14ac:dyDescent="0.25">
      <c r="A384" s="19" t="s">
        <v>249</v>
      </c>
      <c r="B384" s="19" t="str">
        <f>INDEX(Places[Type],MATCH(Expenditures[[#This Row],[Jurisdiction]],Places[Jurisdiction],0))</f>
        <v>City</v>
      </c>
      <c r="C384" s="19" t="str">
        <f>INDEX(Places[County],MATCH(Expenditures[[#This Row],[Jurisdiction]],Places[Jurisdiction],0))</f>
        <v>San Bernardino</v>
      </c>
      <c r="D384" s="19" t="str">
        <f>INDEX(Places[Majority RB],MATCH(Expenditures[[#This Row],[Jurisdiction]],Places[Jurisdiction],0))</f>
        <v>Santa Ana</v>
      </c>
      <c r="E384" s="19">
        <f>INDEX(Places[Majority RB '#],MATCH(Expenditures[[#This Row],[Jurisdiction]],Places[Jurisdiction],0))</f>
        <v>8</v>
      </c>
      <c r="F384" s="19" t="str">
        <f>VLOOKUP(Expenditures[[#This Row],[Jurisdiction]],Places[#All],8,FALSE)</f>
        <v>Phase I MS4</v>
      </c>
      <c r="G384" s="19"/>
      <c r="H384" s="21" t="s">
        <v>1880</v>
      </c>
      <c r="I384" s="21">
        <f>VALUE(LEFT(Expenditures[[#This Row],[Fiscal Year]],4))</f>
        <v>2013</v>
      </c>
      <c r="J384" s="20">
        <v>1290000</v>
      </c>
      <c r="K384" s="20">
        <f>IF(Expenditures[[#This Row],[Reference Year]]&gt;2018,Expenditures[[#This Row],[Value]],Expenditures[[#This Row],[Value]]*(1+VLOOKUP(Expenditures[[#This Row],[Reference Year]],Inflation[#All],3,FALSE)))</f>
        <v>1393150.1716738199</v>
      </c>
      <c r="L384" s="105">
        <f>VALUE(Expenditures[[#This Row],[2018 $ Value]]/VLOOKUP(Expenditures[[#This Row],[Jurisdiction]],Places[],6,FALSE))</f>
        <v>19.461209896820886</v>
      </c>
      <c r="M384" s="105">
        <f>VALUE(Expenditures[[#This Row],[2018 $ Value]]/VLOOKUP(Expenditures[[#This Row],[Jurisdiction]],Places[],7,FALSE))</f>
        <v>38698.615879828329</v>
      </c>
      <c r="N384" s="20" t="s">
        <v>1460</v>
      </c>
      <c r="O384" s="20" t="s">
        <v>1460</v>
      </c>
    </row>
    <row r="385" spans="1:15" x14ac:dyDescent="0.25">
      <c r="A385" s="19" t="s">
        <v>249</v>
      </c>
      <c r="B385" s="19" t="str">
        <f>INDEX(Places[Type],MATCH(Expenditures[[#This Row],[Jurisdiction]],Places[Jurisdiction],0))</f>
        <v>City</v>
      </c>
      <c r="C385" s="19" t="str">
        <f>INDEX(Places[County],MATCH(Expenditures[[#This Row],[Jurisdiction]],Places[Jurisdiction],0))</f>
        <v>San Bernardino</v>
      </c>
      <c r="D385" s="19" t="str">
        <f>INDEX(Places[Majority RB],MATCH(Expenditures[[#This Row],[Jurisdiction]],Places[Jurisdiction],0))</f>
        <v>Santa Ana</v>
      </c>
      <c r="E385" s="19">
        <f>INDEX(Places[Majority RB '#],MATCH(Expenditures[[#This Row],[Jurisdiction]],Places[Jurisdiction],0))</f>
        <v>8</v>
      </c>
      <c r="F385" s="19" t="str">
        <f>VLOOKUP(Expenditures[[#This Row],[Jurisdiction]],Places[#All],8,FALSE)</f>
        <v>Phase I MS4</v>
      </c>
      <c r="G385" s="19"/>
      <c r="H385" s="21" t="s">
        <v>1881</v>
      </c>
      <c r="I385" s="21">
        <f>VALUE(LEFT(Expenditures[[#This Row],[Fiscal Year]],4))</f>
        <v>2014</v>
      </c>
      <c r="J385" s="20">
        <v>1156012</v>
      </c>
      <c r="K385" s="20">
        <f>IF(Expenditures[[#This Row],[Reference Year]]&gt;2018,Expenditures[[#This Row],[Value]],Expenditures[[#This Row],[Value]]*(1+VLOOKUP(Expenditures[[#This Row],[Reference Year]],Inflation[#All],3,FALSE)))</f>
        <v>1228933.0611406844</v>
      </c>
      <c r="L385" s="105">
        <f>VALUE(Expenditures[[#This Row],[2018 $ Value]]/VLOOKUP(Expenditures[[#This Row],[Jurisdiction]],Places[],6,FALSE))</f>
        <v>17.167226289228122</v>
      </c>
      <c r="M385" s="105">
        <f>VALUE(Expenditures[[#This Row],[2018 $ Value]]/VLOOKUP(Expenditures[[#This Row],[Jurisdiction]],Places[],7,FALSE))</f>
        <v>34137.029476130119</v>
      </c>
      <c r="N385" s="20" t="s">
        <v>1460</v>
      </c>
      <c r="O385" s="20" t="s">
        <v>1853</v>
      </c>
    </row>
    <row r="386" spans="1:15" x14ac:dyDescent="0.25">
      <c r="A386" s="19" t="s">
        <v>148</v>
      </c>
      <c r="B386" s="19" t="str">
        <f>INDEX(Places[Type],MATCH(Expenditures[[#This Row],[Jurisdiction]],Places[Jurisdiction],0))</f>
        <v>City</v>
      </c>
      <c r="C386" s="19" t="str">
        <f>INDEX(Places[County],MATCH(Expenditures[[#This Row],[Jurisdiction]],Places[Jurisdiction],0))</f>
        <v>Los Angeles</v>
      </c>
      <c r="D386" s="19" t="str">
        <f>INDEX(Places[Majority RB],MATCH(Expenditures[[#This Row],[Jurisdiction]],Places[Jurisdiction],0))</f>
        <v>Los Angeles</v>
      </c>
      <c r="E386" s="19">
        <f>INDEX(Places[Majority RB '#],MATCH(Expenditures[[#This Row],[Jurisdiction]],Places[Jurisdiction],0))</f>
        <v>4</v>
      </c>
      <c r="F386" s="19" t="str">
        <f>VLOOKUP(Expenditures[[#This Row],[Jurisdiction]],Places[#All],8,FALSE)</f>
        <v>Phase I MS4</v>
      </c>
      <c r="G386" s="19"/>
      <c r="H386" s="100" t="s">
        <v>1870</v>
      </c>
      <c r="I386" s="21">
        <f>VALUE(LEFT(Expenditures[[#This Row],[Fiscal Year]],4))</f>
        <v>2011</v>
      </c>
      <c r="J386" s="20">
        <v>1782000</v>
      </c>
      <c r="K386" s="20">
        <f>IF(Expenditures[[#This Row],[Reference Year]]&gt;2018,Expenditures[[#This Row],[Value]],Expenditures[[#This Row],[Value]]*(1+VLOOKUP(Expenditures[[#This Row],[Reference Year]],Inflation[#All],3,FALSE)))</f>
        <v>1993803.6549577592</v>
      </c>
      <c r="L386" s="105">
        <f>VALUE(Expenditures[[#This Row],[2018 $ Value]]/VLOOKUP(Expenditures[[#This Row],[Jurisdiction]],Places[],6,FALSE))</f>
        <v>29.576390775496339</v>
      </c>
      <c r="M386" s="105">
        <f>VALUE(Expenditures[[#This Row],[2018 $ Value]]/VLOOKUP(Expenditures[[#This Row],[Jurisdiction]],Places[],7,FALSE))</f>
        <v>321581.23467060633</v>
      </c>
      <c r="N386" s="20" t="s">
        <v>1460</v>
      </c>
      <c r="O386" s="20" t="s">
        <v>1460</v>
      </c>
    </row>
    <row r="387" spans="1:15" x14ac:dyDescent="0.25">
      <c r="A387" s="19" t="s">
        <v>148</v>
      </c>
      <c r="B387" s="19" t="str">
        <f>INDEX(Places[Type],MATCH(Expenditures[[#This Row],[Jurisdiction]],Places[Jurisdiction],0))</f>
        <v>City</v>
      </c>
      <c r="C387" s="19" t="str">
        <f>INDEX(Places[County],MATCH(Expenditures[[#This Row],[Jurisdiction]],Places[Jurisdiction],0))</f>
        <v>Los Angeles</v>
      </c>
      <c r="D387" s="19" t="str">
        <f>INDEX(Places[Majority RB],MATCH(Expenditures[[#This Row],[Jurisdiction]],Places[Jurisdiction],0))</f>
        <v>Los Angeles</v>
      </c>
      <c r="E387" s="19">
        <f>INDEX(Places[Majority RB '#],MATCH(Expenditures[[#This Row],[Jurisdiction]],Places[Jurisdiction],0))</f>
        <v>4</v>
      </c>
      <c r="F387" s="19" t="str">
        <f>VLOOKUP(Expenditures[[#This Row],[Jurisdiction]],Places[#All],8,FALSE)</f>
        <v>Phase I MS4</v>
      </c>
      <c r="G387" s="19"/>
      <c r="H387" s="100" t="s">
        <v>1873</v>
      </c>
      <c r="I387" s="21">
        <f>VALUE(LEFT(Expenditures[[#This Row],[Fiscal Year]],4))</f>
        <v>2015</v>
      </c>
      <c r="J387" s="20">
        <v>2426000</v>
      </c>
      <c r="K387" s="20">
        <f>IF(Expenditures[[#This Row],[Reference Year]]&gt;2018,Expenditures[[#This Row],[Value]],Expenditures[[#This Row],[Value]]*(1+VLOOKUP(Expenditures[[#This Row],[Reference Year]],Inflation[#All],3,FALSE)))</f>
        <v>2575767.1139240507</v>
      </c>
      <c r="L387" s="105">
        <f>VALUE(Expenditures[[#This Row],[2018 $ Value]]/VLOOKUP(Expenditures[[#This Row],[Jurisdiction]],Places[],6,FALSE))</f>
        <v>38.209326439269724</v>
      </c>
      <c r="M387" s="105">
        <f>VALUE(Expenditures[[#This Row],[2018 $ Value]]/VLOOKUP(Expenditures[[#This Row],[Jurisdiction]],Places[],7,FALSE))</f>
        <v>415446.30869742751</v>
      </c>
      <c r="N387" s="20" t="s">
        <v>1853</v>
      </c>
      <c r="O387" s="20" t="s">
        <v>1853</v>
      </c>
    </row>
    <row r="388" spans="1:15" x14ac:dyDescent="0.25">
      <c r="A388" s="19" t="s">
        <v>250</v>
      </c>
      <c r="B388" s="19" t="str">
        <f>INDEX(Places[Type],MATCH(Expenditures[[#This Row],[Jurisdiction]],Places[Jurisdiction],0))</f>
        <v>City</v>
      </c>
      <c r="C388" s="19" t="str">
        <f>INDEX(Places[County],MATCH(Expenditures[[#This Row],[Jurisdiction]],Places[Jurisdiction],0))</f>
        <v>San Bernardino</v>
      </c>
      <c r="D388" s="19" t="str">
        <f>INDEX(Places[Majority RB],MATCH(Expenditures[[#This Row],[Jurisdiction]],Places[Jurisdiction],0))</f>
        <v>Santa Ana</v>
      </c>
      <c r="E388" s="19">
        <f>INDEX(Places[Majority RB '#],MATCH(Expenditures[[#This Row],[Jurisdiction]],Places[Jurisdiction],0))</f>
        <v>8</v>
      </c>
      <c r="F388" s="19" t="str">
        <f>VLOOKUP(Expenditures[[#This Row],[Jurisdiction]],Places[#All],8,FALSE)</f>
        <v>Phase I MS4</v>
      </c>
      <c r="G388" s="19"/>
      <c r="H388" s="21" t="s">
        <v>1870</v>
      </c>
      <c r="I388" s="21">
        <f>VALUE(LEFT(Expenditures[[#This Row],[Fiscal Year]],4))</f>
        <v>2011</v>
      </c>
      <c r="J388" s="20">
        <v>456495</v>
      </c>
      <c r="K388" s="20">
        <f>IF(Expenditures[[#This Row],[Reference Year]]&gt;2018,Expenditures[[#This Row],[Value]],Expenditures[[#This Row],[Value]]*(1+VLOOKUP(Expenditures[[#This Row],[Reference Year]],Inflation[#All],3,FALSE)))</f>
        <v>510752.74942196533</v>
      </c>
      <c r="L388" s="105">
        <f>VALUE(Expenditures[[#This Row],[2018 $ Value]]/VLOOKUP(Expenditures[[#This Row],[Jurisdiction]],Places[],6,FALSE))</f>
        <v>4.9376715914729825</v>
      </c>
      <c r="M388" s="105">
        <f>VALUE(Expenditures[[#This Row],[2018 $ Value]]/VLOOKUP(Expenditures[[#This Row],[Jurisdiction]],Places[],7,FALSE))</f>
        <v>22903.710736411002</v>
      </c>
      <c r="N388" s="20" t="s">
        <v>1460</v>
      </c>
      <c r="O388" s="20" t="s">
        <v>1460</v>
      </c>
    </row>
    <row r="389" spans="1:15" x14ac:dyDescent="0.25">
      <c r="A389" s="19" t="s">
        <v>250</v>
      </c>
      <c r="B389" s="19" t="str">
        <f>INDEX(Places[Type],MATCH(Expenditures[[#This Row],[Jurisdiction]],Places[Jurisdiction],0))</f>
        <v>City</v>
      </c>
      <c r="C389" s="19" t="str">
        <f>INDEX(Places[County],MATCH(Expenditures[[#This Row],[Jurisdiction]],Places[Jurisdiction],0))</f>
        <v>San Bernardino</v>
      </c>
      <c r="D389" s="19" t="str">
        <f>INDEX(Places[Majority RB],MATCH(Expenditures[[#This Row],[Jurisdiction]],Places[Jurisdiction],0))</f>
        <v>Santa Ana</v>
      </c>
      <c r="E389" s="19">
        <f>INDEX(Places[Majority RB '#],MATCH(Expenditures[[#This Row],[Jurisdiction]],Places[Jurisdiction],0))</f>
        <v>8</v>
      </c>
      <c r="F389" s="19" t="str">
        <f>VLOOKUP(Expenditures[[#This Row],[Jurisdiction]],Places[#All],8,FALSE)</f>
        <v>Phase I MS4</v>
      </c>
      <c r="G389" s="19"/>
      <c r="H389" s="21" t="s">
        <v>1871</v>
      </c>
      <c r="I389" s="21">
        <f>VALUE(LEFT(Expenditures[[#This Row],[Fiscal Year]],4))</f>
        <v>2012</v>
      </c>
      <c r="J389" s="20">
        <v>506863</v>
      </c>
      <c r="K389" s="20">
        <f>IF(Expenditures[[#This Row],[Reference Year]]&gt;2018,Expenditures[[#This Row],[Value]],Expenditures[[#This Row],[Value]]*(1+VLOOKUP(Expenditures[[#This Row],[Reference Year]],Inflation[#All],3,FALSE)))</f>
        <v>555498.44753048779</v>
      </c>
      <c r="L389" s="105">
        <f>VALUE(Expenditures[[#This Row],[2018 $ Value]]/VLOOKUP(Expenditures[[#This Row],[Jurisdiction]],Places[],6,FALSE))</f>
        <v>5.370247945963726</v>
      </c>
      <c r="M389" s="105">
        <f>VALUE(Expenditures[[#This Row],[2018 $ Value]]/VLOOKUP(Expenditures[[#This Row],[Jurisdiction]],Places[],7,FALSE))</f>
        <v>24910.244283878375</v>
      </c>
      <c r="N389" s="20" t="s">
        <v>1460</v>
      </c>
      <c r="O389" s="20" t="s">
        <v>1460</v>
      </c>
    </row>
    <row r="390" spans="1:15" x14ac:dyDescent="0.25">
      <c r="A390" s="19" t="s">
        <v>250</v>
      </c>
      <c r="B390" s="19" t="str">
        <f>INDEX(Places[Type],MATCH(Expenditures[[#This Row],[Jurisdiction]],Places[Jurisdiction],0))</f>
        <v>City</v>
      </c>
      <c r="C390" s="19" t="str">
        <f>INDEX(Places[County],MATCH(Expenditures[[#This Row],[Jurisdiction]],Places[Jurisdiction],0))</f>
        <v>San Bernardino</v>
      </c>
      <c r="D390" s="19" t="str">
        <f>INDEX(Places[Majority RB],MATCH(Expenditures[[#This Row],[Jurisdiction]],Places[Jurisdiction],0))</f>
        <v>Santa Ana</v>
      </c>
      <c r="E390" s="19">
        <f>INDEX(Places[Majority RB '#],MATCH(Expenditures[[#This Row],[Jurisdiction]],Places[Jurisdiction],0))</f>
        <v>8</v>
      </c>
      <c r="F390" s="19" t="str">
        <f>VLOOKUP(Expenditures[[#This Row],[Jurisdiction]],Places[#All],8,FALSE)</f>
        <v>Phase I MS4</v>
      </c>
      <c r="G390" s="19"/>
      <c r="H390" s="21" t="s">
        <v>1880</v>
      </c>
      <c r="I390" s="21">
        <f>VALUE(LEFT(Expenditures[[#This Row],[Fiscal Year]],4))</f>
        <v>2013</v>
      </c>
      <c r="J390" s="20">
        <v>246283</v>
      </c>
      <c r="K390" s="20">
        <f>IF(Expenditures[[#This Row],[Reference Year]]&gt;2018,Expenditures[[#This Row],[Value]],Expenditures[[#This Row],[Value]]*(1+VLOOKUP(Expenditures[[#This Row],[Reference Year]],Inflation[#All],3,FALSE)))</f>
        <v>265976.12692274677</v>
      </c>
      <c r="L390" s="105">
        <f>VALUE(Expenditures[[#This Row],[2018 $ Value]]/VLOOKUP(Expenditures[[#This Row],[Jurisdiction]],Places[],6,FALSE))</f>
        <v>2.5713082649144119</v>
      </c>
      <c r="M390" s="105">
        <f>VALUE(Expenditures[[#This Row],[2018 $ Value]]/VLOOKUP(Expenditures[[#This Row],[Jurisdiction]],Places[],7,FALSE))</f>
        <v>11927.180579495371</v>
      </c>
      <c r="N390" s="20" t="s">
        <v>1460</v>
      </c>
      <c r="O390" s="20" t="s">
        <v>1460</v>
      </c>
    </row>
    <row r="391" spans="1:15" x14ac:dyDescent="0.25">
      <c r="A391" s="19" t="s">
        <v>250</v>
      </c>
      <c r="B391" s="19" t="str">
        <f>INDEX(Places[Type],MATCH(Expenditures[[#This Row],[Jurisdiction]],Places[Jurisdiction],0))</f>
        <v>City</v>
      </c>
      <c r="C391" s="19" t="str">
        <f>INDEX(Places[County],MATCH(Expenditures[[#This Row],[Jurisdiction]],Places[Jurisdiction],0))</f>
        <v>San Bernardino</v>
      </c>
      <c r="D391" s="19" t="str">
        <f>INDEX(Places[Majority RB],MATCH(Expenditures[[#This Row],[Jurisdiction]],Places[Jurisdiction],0))</f>
        <v>Santa Ana</v>
      </c>
      <c r="E391" s="19">
        <f>INDEX(Places[Majority RB '#],MATCH(Expenditures[[#This Row],[Jurisdiction]],Places[Jurisdiction],0))</f>
        <v>8</v>
      </c>
      <c r="F391" s="19" t="str">
        <f>VLOOKUP(Expenditures[[#This Row],[Jurisdiction]],Places[#All],8,FALSE)</f>
        <v>Phase I MS4</v>
      </c>
      <c r="G391" s="19"/>
      <c r="H391" s="21" t="s">
        <v>1881</v>
      </c>
      <c r="I391" s="21">
        <f>VALUE(LEFT(Expenditures[[#This Row],[Fiscal Year]],4))</f>
        <v>2014</v>
      </c>
      <c r="J391" s="20">
        <v>287370</v>
      </c>
      <c r="K391" s="20">
        <f>IF(Expenditures[[#This Row],[Reference Year]]&gt;2018,Expenditures[[#This Row],[Value]],Expenditures[[#This Row],[Value]]*(1+VLOOKUP(Expenditures[[#This Row],[Reference Year]],Inflation[#All],3,FALSE)))</f>
        <v>305497.25589353614</v>
      </c>
      <c r="L391" s="105">
        <f>VALUE(Expenditures[[#This Row],[2018 $ Value]]/VLOOKUP(Expenditures[[#This Row],[Jurisdiction]],Places[],6,FALSE))</f>
        <v>2.9533764104170159</v>
      </c>
      <c r="M391" s="105">
        <f>VALUE(Expenditures[[#This Row],[2018 $ Value]]/VLOOKUP(Expenditures[[#This Row],[Jurisdiction]],Places[],7,FALSE))</f>
        <v>13699.428515405209</v>
      </c>
      <c r="N391" s="20" t="s">
        <v>1460</v>
      </c>
      <c r="O391" s="20" t="s">
        <v>1853</v>
      </c>
    </row>
    <row r="392" spans="1:15" x14ac:dyDescent="0.25">
      <c r="A392" s="19" t="s">
        <v>1446</v>
      </c>
      <c r="B392" s="19" t="str">
        <f>INDEX(Places[Type],MATCH(Expenditures[[#This Row],[Jurisdiction]],Places[Jurisdiction],0))</f>
        <v>County</v>
      </c>
      <c r="C392" s="19" t="str">
        <f>INDEX(Places[County],MATCH(Expenditures[[#This Row],[Jurisdiction]],Places[Jurisdiction],0))</f>
        <v>Riverside</v>
      </c>
      <c r="D392" s="19" t="str">
        <f>INDEX(Places[Majority RB],MATCH(Expenditures[[#This Row],[Jurisdiction]],Places[Jurisdiction],0))</f>
        <v>Santa Ana</v>
      </c>
      <c r="E392" s="19">
        <f>INDEX(Places[Majority RB '#],MATCH(Expenditures[[#This Row],[Jurisdiction]],Places[Jurisdiction],0))</f>
        <v>8</v>
      </c>
      <c r="F392" s="19" t="str">
        <f>VLOOKUP(Expenditures[[#This Row],[Jurisdiction]],Places[#All],8,FALSE)</f>
        <v>Phase I MS4</v>
      </c>
      <c r="G392" s="19"/>
      <c r="H392" s="19" t="s">
        <v>1873</v>
      </c>
      <c r="I392" s="21">
        <f>VALUE(LEFT(Expenditures[[#This Row],[Fiscal Year]],4))</f>
        <v>2015</v>
      </c>
      <c r="J392" s="20">
        <v>7219087</v>
      </c>
      <c r="K392" s="20">
        <f>IF(Expenditures[[#This Row],[Reference Year]]&gt;2018,Expenditures[[#This Row],[Value]],Expenditures[[#This Row],[Value]]*(1+VLOOKUP(Expenditures[[#This Row],[Reference Year]],Inflation[#All],3,FALSE)))</f>
        <v>7664751.3961898731</v>
      </c>
      <c r="L392" s="105" t="e">
        <f>VALUE(Expenditures[[#This Row],[2018 $ Value]]/VLOOKUP(Expenditures[[#This Row],[Jurisdiction]],Places[],6,FALSE))</f>
        <v>#N/A</v>
      </c>
      <c r="M392" s="105" t="e">
        <f>VALUE(Expenditures[[#This Row],[2018 $ Value]]/VLOOKUP(Expenditures[[#This Row],[Jurisdiction]],Places[],7,FALSE))</f>
        <v>#N/A</v>
      </c>
      <c r="N392" s="20" t="s">
        <v>1460</v>
      </c>
      <c r="O392" s="20" t="s">
        <v>1460</v>
      </c>
    </row>
    <row r="393" spans="1:15" x14ac:dyDescent="0.25">
      <c r="A393" s="19" t="s">
        <v>1446</v>
      </c>
      <c r="B393" s="19" t="str">
        <f>INDEX(Places[Type],MATCH(Expenditures[[#This Row],[Jurisdiction]],Places[Jurisdiction],0))</f>
        <v>County</v>
      </c>
      <c r="C393" s="19" t="str">
        <f>INDEX(Places[County],MATCH(Expenditures[[#This Row],[Jurisdiction]],Places[Jurisdiction],0))</f>
        <v>Riverside</v>
      </c>
      <c r="D393" s="19" t="str">
        <f>INDEX(Places[Majority RB],MATCH(Expenditures[[#This Row],[Jurisdiction]],Places[Jurisdiction],0))</f>
        <v>Santa Ana</v>
      </c>
      <c r="E393" s="19">
        <f>INDEX(Places[Majority RB '#],MATCH(Expenditures[[#This Row],[Jurisdiction]],Places[Jurisdiction],0))</f>
        <v>8</v>
      </c>
      <c r="F393" s="19" t="str">
        <f>VLOOKUP(Expenditures[[#This Row],[Jurisdiction]],Places[#All],8,FALSE)</f>
        <v>Phase I MS4</v>
      </c>
      <c r="G393" s="19"/>
      <c r="H393" s="21" t="s">
        <v>1869</v>
      </c>
      <c r="I393" s="21">
        <f>VALUE(LEFT(Expenditures[[#This Row],[Fiscal Year]],4))</f>
        <v>2016</v>
      </c>
      <c r="J393" s="20">
        <v>4513223</v>
      </c>
      <c r="K393" s="20">
        <f>IF(Expenditures[[#This Row],[Reference Year]]&gt;2018,Expenditures[[#This Row],[Value]],Expenditures[[#This Row],[Value]]*(1+VLOOKUP(Expenditures[[#This Row],[Reference Year]],Inflation[#All],3,FALSE)))</f>
        <v>4731945.0696375007</v>
      </c>
      <c r="L393" s="105" t="e">
        <f>VALUE(Expenditures[[#This Row],[2018 $ Value]]/VLOOKUP(Expenditures[[#This Row],[Jurisdiction]],Places[],6,FALSE))</f>
        <v>#N/A</v>
      </c>
      <c r="M393" s="105" t="e">
        <f>VALUE(Expenditures[[#This Row],[2018 $ Value]]/VLOOKUP(Expenditures[[#This Row],[Jurisdiction]],Places[],7,FALSE))</f>
        <v>#N/A</v>
      </c>
      <c r="N393" s="20" t="s">
        <v>1460</v>
      </c>
      <c r="O393" s="20" t="s">
        <v>1460</v>
      </c>
    </row>
    <row r="394" spans="1:15" x14ac:dyDescent="0.25">
      <c r="A394" s="19" t="s">
        <v>1446</v>
      </c>
      <c r="B394" s="19" t="str">
        <f>INDEX(Places[Type],MATCH(Expenditures[[#This Row],[Jurisdiction]],Places[Jurisdiction],0))</f>
        <v>County</v>
      </c>
      <c r="C394" s="19" t="str">
        <f>INDEX(Places[County],MATCH(Expenditures[[#This Row],[Jurisdiction]],Places[Jurisdiction],0))</f>
        <v>Riverside</v>
      </c>
      <c r="D394" s="19" t="str">
        <f>INDEX(Places[Majority RB],MATCH(Expenditures[[#This Row],[Jurisdiction]],Places[Jurisdiction],0))</f>
        <v>Santa Ana</v>
      </c>
      <c r="E394" s="19">
        <f>INDEX(Places[Majority RB '#],MATCH(Expenditures[[#This Row],[Jurisdiction]],Places[Jurisdiction],0))</f>
        <v>8</v>
      </c>
      <c r="F394" s="19" t="str">
        <f>VLOOKUP(Expenditures[[#This Row],[Jurisdiction]],Places[#All],8,FALSE)</f>
        <v>Phase I MS4</v>
      </c>
      <c r="G394" s="19"/>
      <c r="H394" s="21" t="s">
        <v>1869</v>
      </c>
      <c r="I394" s="21">
        <f>VALUE(LEFT(Expenditures[[#This Row],[Fiscal Year]],4))</f>
        <v>2016</v>
      </c>
      <c r="J394" s="20">
        <v>9812043</v>
      </c>
      <c r="K394" s="20">
        <f>IF(Expenditures[[#This Row],[Reference Year]]&gt;2018,Expenditures[[#This Row],[Value]],Expenditures[[#This Row],[Value]]*(1+VLOOKUP(Expenditures[[#This Row],[Reference Year]],Inflation[#All],3,FALSE)))</f>
        <v>10287559.133887501</v>
      </c>
      <c r="L394" s="105" t="e">
        <f>VALUE(Expenditures[[#This Row],[2018 $ Value]]/VLOOKUP(Expenditures[[#This Row],[Jurisdiction]],Places[],6,FALSE))</f>
        <v>#N/A</v>
      </c>
      <c r="M394" s="105" t="e">
        <f>VALUE(Expenditures[[#This Row],[2018 $ Value]]/VLOOKUP(Expenditures[[#This Row],[Jurisdiction]],Places[],7,FALSE))</f>
        <v>#N/A</v>
      </c>
      <c r="N394" s="20" t="s">
        <v>1460</v>
      </c>
      <c r="O394" s="20" t="s">
        <v>1460</v>
      </c>
    </row>
    <row r="395" spans="1:15" x14ac:dyDescent="0.25">
      <c r="A395" s="19" t="s">
        <v>1446</v>
      </c>
      <c r="B395" s="19" t="str">
        <f>INDEX(Places[Type],MATCH(Expenditures[[#This Row],[Jurisdiction]],Places[Jurisdiction],0))</f>
        <v>County</v>
      </c>
      <c r="C395" s="19" t="str">
        <f>INDEX(Places[County],MATCH(Expenditures[[#This Row],[Jurisdiction]],Places[Jurisdiction],0))</f>
        <v>Riverside</v>
      </c>
      <c r="D395" s="19" t="str">
        <f>INDEX(Places[Majority RB],MATCH(Expenditures[[#This Row],[Jurisdiction]],Places[Jurisdiction],0))</f>
        <v>Santa Ana</v>
      </c>
      <c r="E395" s="19">
        <f>INDEX(Places[Majority RB '#],MATCH(Expenditures[[#This Row],[Jurisdiction]],Places[Jurisdiction],0))</f>
        <v>8</v>
      </c>
      <c r="F395" s="19" t="str">
        <f>VLOOKUP(Expenditures[[#This Row],[Jurisdiction]],Places[#All],8,FALSE)</f>
        <v>Phase I MS4</v>
      </c>
      <c r="G395" s="19"/>
      <c r="H395" s="19" t="s">
        <v>1874</v>
      </c>
      <c r="I395" s="21">
        <f>VALUE(LEFT(Expenditures[[#This Row],[Fiscal Year]],4))</f>
        <v>2017</v>
      </c>
      <c r="J395" s="20">
        <v>10662136</v>
      </c>
      <c r="K395" s="20">
        <f>IF(Expenditures[[#This Row],[Reference Year]]&gt;2018,Expenditures[[#This Row],[Value]],Expenditures[[#This Row],[Value]]*(1+VLOOKUP(Expenditures[[#This Row],[Reference Year]],Inflation[#All],3,FALSE)))</f>
        <v>10946242.120832315</v>
      </c>
      <c r="L395" s="105" t="e">
        <f>VALUE(Expenditures[[#This Row],[2018 $ Value]]/VLOOKUP(Expenditures[[#This Row],[Jurisdiction]],Places[],6,FALSE))</f>
        <v>#N/A</v>
      </c>
      <c r="M395" s="105" t="e">
        <f>VALUE(Expenditures[[#This Row],[2018 $ Value]]/VLOOKUP(Expenditures[[#This Row],[Jurisdiction]],Places[],7,FALSE))</f>
        <v>#N/A</v>
      </c>
      <c r="N395" s="20" t="s">
        <v>1853</v>
      </c>
      <c r="O395" s="20" t="s">
        <v>1460</v>
      </c>
    </row>
    <row r="396" spans="1:15" x14ac:dyDescent="0.25">
      <c r="A396" s="19" t="s">
        <v>1446</v>
      </c>
      <c r="B396" s="19" t="str">
        <f>INDEX(Places[Type],MATCH(Expenditures[[#This Row],[Jurisdiction]],Places[Jurisdiction],0))</f>
        <v>County</v>
      </c>
      <c r="C396" s="19" t="str">
        <f>INDEX(Places[County],MATCH(Expenditures[[#This Row],[Jurisdiction]],Places[Jurisdiction],0))</f>
        <v>Riverside</v>
      </c>
      <c r="D396" s="19" t="str">
        <f>INDEX(Places[Majority RB],MATCH(Expenditures[[#This Row],[Jurisdiction]],Places[Jurisdiction],0))</f>
        <v>Santa Ana</v>
      </c>
      <c r="E396" s="19">
        <f>INDEX(Places[Majority RB '#],MATCH(Expenditures[[#This Row],[Jurisdiction]],Places[Jurisdiction],0))</f>
        <v>8</v>
      </c>
      <c r="F396" s="19" t="str">
        <f>VLOOKUP(Expenditures[[#This Row],[Jurisdiction]],Places[#All],8,FALSE)</f>
        <v>Phase I MS4</v>
      </c>
      <c r="G396" s="19"/>
      <c r="H396" s="21" t="s">
        <v>1876</v>
      </c>
      <c r="I396" s="21">
        <f>VALUE(LEFT(Expenditures[[#This Row],[Fiscal Year]],4))</f>
        <v>2018</v>
      </c>
      <c r="J396" s="20">
        <v>12541826</v>
      </c>
      <c r="K396" s="20">
        <f>IF(Expenditures[[#This Row],[Reference Year]]&gt;2018,Expenditures[[#This Row],[Value]],Expenditures[[#This Row],[Value]]*(1+VLOOKUP(Expenditures[[#This Row],[Reference Year]],Inflation[#All],3,FALSE)))</f>
        <v>12541826</v>
      </c>
      <c r="L396" s="105" t="e">
        <f>VALUE(Expenditures[[#This Row],[2018 $ Value]]/VLOOKUP(Expenditures[[#This Row],[Jurisdiction]],Places[],6,FALSE))</f>
        <v>#N/A</v>
      </c>
      <c r="M396" s="105" t="e">
        <f>VALUE(Expenditures[[#This Row],[2018 $ Value]]/VLOOKUP(Expenditures[[#This Row],[Jurisdiction]],Places[],7,FALSE))</f>
        <v>#N/A</v>
      </c>
      <c r="N396" s="20" t="s">
        <v>1460</v>
      </c>
      <c r="O396" s="20" t="s">
        <v>1853</v>
      </c>
    </row>
    <row r="397" spans="1:15" x14ac:dyDescent="0.25">
      <c r="A397" s="19" t="s">
        <v>1438</v>
      </c>
      <c r="B397" s="19" t="str">
        <f>INDEX(Places[Type],MATCH(Expenditures[[#This Row],[Jurisdiction]],Places[Jurisdiction],0))</f>
        <v>FCD</v>
      </c>
      <c r="C397" s="19" t="str">
        <f>INDEX(Places[County],MATCH(Expenditures[[#This Row],[Jurisdiction]],Places[Jurisdiction],0))</f>
        <v>Riverside</v>
      </c>
      <c r="D397" s="19" t="str">
        <f>INDEX(Places[Majority RB],MATCH(Expenditures[[#This Row],[Jurisdiction]],Places[Jurisdiction],0))</f>
        <v>Santa Ana</v>
      </c>
      <c r="E397" s="19">
        <f>INDEX(Places[Majority RB '#],MATCH(Expenditures[[#This Row],[Jurisdiction]],Places[Jurisdiction],0))</f>
        <v>8</v>
      </c>
      <c r="F397" s="19" t="str">
        <f>VLOOKUP(Expenditures[[#This Row],[Jurisdiction]],Places[#All],8,FALSE)</f>
        <v>Phase I MS4</v>
      </c>
      <c r="G397" s="19"/>
      <c r="H397" s="19" t="s">
        <v>1873</v>
      </c>
      <c r="I397" s="21">
        <f>VALUE(LEFT(Expenditures[[#This Row],[Fiscal Year]],4))</f>
        <v>2015</v>
      </c>
      <c r="J397" s="20">
        <v>1732925</v>
      </c>
      <c r="K397" s="20">
        <f>IF(Expenditures[[#This Row],[Reference Year]]&gt;2018,Expenditures[[#This Row],[Value]],Expenditures[[#This Row],[Value]]*(1+VLOOKUP(Expenditures[[#This Row],[Reference Year]],Inflation[#All],3,FALSE)))</f>
        <v>1839905.6990506328</v>
      </c>
      <c r="L397" s="105" t="e">
        <f>VALUE(Expenditures[[#This Row],[2018 $ Value]]/VLOOKUP(Expenditures[[#This Row],[Jurisdiction]],Places[],6,FALSE))</f>
        <v>#N/A</v>
      </c>
      <c r="M397" s="105" t="e">
        <f>VALUE(Expenditures[[#This Row],[2018 $ Value]]/VLOOKUP(Expenditures[[#This Row],[Jurisdiction]],Places[],7,FALSE))</f>
        <v>#N/A</v>
      </c>
      <c r="N397" s="20" t="s">
        <v>1460</v>
      </c>
      <c r="O397" s="20" t="s">
        <v>1460</v>
      </c>
    </row>
    <row r="398" spans="1:15" x14ac:dyDescent="0.25">
      <c r="A398" s="19" t="s">
        <v>1438</v>
      </c>
      <c r="B398" s="19" t="str">
        <f>INDEX(Places[Type],MATCH(Expenditures[[#This Row],[Jurisdiction]],Places[Jurisdiction],0))</f>
        <v>FCD</v>
      </c>
      <c r="C398" s="19" t="str">
        <f>INDEX(Places[County],MATCH(Expenditures[[#This Row],[Jurisdiction]],Places[Jurisdiction],0))</f>
        <v>Riverside</v>
      </c>
      <c r="D398" s="19" t="str">
        <f>INDEX(Places[Majority RB],MATCH(Expenditures[[#This Row],[Jurisdiction]],Places[Jurisdiction],0))</f>
        <v>Santa Ana</v>
      </c>
      <c r="E398" s="19">
        <f>INDEX(Places[Majority RB '#],MATCH(Expenditures[[#This Row],[Jurisdiction]],Places[Jurisdiction],0))</f>
        <v>8</v>
      </c>
      <c r="F398" s="19" t="str">
        <f>VLOOKUP(Expenditures[[#This Row],[Jurisdiction]],Places[#All],8,FALSE)</f>
        <v>Phase I MS4</v>
      </c>
      <c r="G398" s="19"/>
      <c r="H398" s="21" t="s">
        <v>1869</v>
      </c>
      <c r="I398" s="21">
        <f>VALUE(LEFT(Expenditures[[#This Row],[Fiscal Year]],4))</f>
        <v>2016</v>
      </c>
      <c r="J398" s="20">
        <v>2204145</v>
      </c>
      <c r="K398" s="20">
        <f>IF(Expenditures[[#This Row],[Reference Year]]&gt;2018,Expenditures[[#This Row],[Value]],Expenditures[[#This Row],[Value]]*(1+VLOOKUP(Expenditures[[#This Row],[Reference Year]],Inflation[#All],3,FALSE)))</f>
        <v>2310963.3770625</v>
      </c>
      <c r="L398" s="105" t="e">
        <f>VALUE(Expenditures[[#This Row],[2018 $ Value]]/VLOOKUP(Expenditures[[#This Row],[Jurisdiction]],Places[],6,FALSE))</f>
        <v>#N/A</v>
      </c>
      <c r="M398" s="105" t="e">
        <f>VALUE(Expenditures[[#This Row],[2018 $ Value]]/VLOOKUP(Expenditures[[#This Row],[Jurisdiction]],Places[],7,FALSE))</f>
        <v>#N/A</v>
      </c>
      <c r="N398" s="20" t="s">
        <v>1460</v>
      </c>
      <c r="O398" s="20" t="s">
        <v>1460</v>
      </c>
    </row>
    <row r="399" spans="1:15" x14ac:dyDescent="0.25">
      <c r="A399" s="19" t="s">
        <v>1438</v>
      </c>
      <c r="B399" s="19" t="str">
        <f>INDEX(Places[Type],MATCH(Expenditures[[#This Row],[Jurisdiction]],Places[Jurisdiction],0))</f>
        <v>FCD</v>
      </c>
      <c r="C399" s="19" t="str">
        <f>INDEX(Places[County],MATCH(Expenditures[[#This Row],[Jurisdiction]],Places[Jurisdiction],0))</f>
        <v>Riverside</v>
      </c>
      <c r="D399" s="19" t="str">
        <f>INDEX(Places[Majority RB],MATCH(Expenditures[[#This Row],[Jurisdiction]],Places[Jurisdiction],0))</f>
        <v>Santa Ana</v>
      </c>
      <c r="E399" s="19">
        <f>INDEX(Places[Majority RB '#],MATCH(Expenditures[[#This Row],[Jurisdiction]],Places[Jurisdiction],0))</f>
        <v>8</v>
      </c>
      <c r="F399" s="19" t="str">
        <f>VLOOKUP(Expenditures[[#This Row],[Jurisdiction]],Places[#All],8,FALSE)</f>
        <v>Phase I MS4</v>
      </c>
      <c r="G399" s="19"/>
      <c r="H399" s="19" t="s">
        <v>1874</v>
      </c>
      <c r="I399" s="21">
        <f>VALUE(LEFT(Expenditures[[#This Row],[Fiscal Year]],4))</f>
        <v>2017</v>
      </c>
      <c r="J399" s="20">
        <v>1855404</v>
      </c>
      <c r="K399" s="20">
        <f>IF(Expenditures[[#This Row],[Reference Year]]&gt;2018,Expenditures[[#This Row],[Value]],Expenditures[[#This Row],[Value]]*(1+VLOOKUP(Expenditures[[#This Row],[Reference Year]],Inflation[#All],3,FALSE)))</f>
        <v>1904843.5900611999</v>
      </c>
      <c r="L399" s="105" t="e">
        <f>VALUE(Expenditures[[#This Row],[2018 $ Value]]/VLOOKUP(Expenditures[[#This Row],[Jurisdiction]],Places[],6,FALSE))</f>
        <v>#N/A</v>
      </c>
      <c r="M399" s="105" t="e">
        <f>VALUE(Expenditures[[#This Row],[2018 $ Value]]/VLOOKUP(Expenditures[[#This Row],[Jurisdiction]],Places[],7,FALSE))</f>
        <v>#N/A</v>
      </c>
      <c r="N399" s="20" t="s">
        <v>1853</v>
      </c>
      <c r="O399" s="20" t="s">
        <v>1853</v>
      </c>
    </row>
    <row r="400" spans="1:15" x14ac:dyDescent="0.25">
      <c r="A400" s="19" t="s">
        <v>185</v>
      </c>
      <c r="B400" s="19" t="str">
        <f>INDEX(Places[Type],MATCH(Expenditures[[#This Row],[Jurisdiction]],Places[Jurisdiction],0))</f>
        <v>City</v>
      </c>
      <c r="C400" s="19" t="str">
        <f>INDEX(Places[County],MATCH(Expenditures[[#This Row],[Jurisdiction]],Places[Jurisdiction],0))</f>
        <v>Los Angeles</v>
      </c>
      <c r="D400" s="19" t="str">
        <f>INDEX(Places[Majority RB],MATCH(Expenditures[[#This Row],[Jurisdiction]],Places[Jurisdiction],0))</f>
        <v>Los Angeles</v>
      </c>
      <c r="E400" s="19">
        <f>INDEX(Places[Majority RB '#],MATCH(Expenditures[[#This Row],[Jurisdiction]],Places[Jurisdiction],0))</f>
        <v>4</v>
      </c>
      <c r="F400" s="19" t="str">
        <f>VLOOKUP(Expenditures[[#This Row],[Jurisdiction]],Places[#All],8,FALSE)</f>
        <v>Phase I MS4</v>
      </c>
      <c r="G400" s="19"/>
      <c r="H400" s="21" t="s">
        <v>1870</v>
      </c>
      <c r="I400" s="21">
        <f>VALUE(LEFT(Expenditures[[#This Row],[Fiscal Year]],4))</f>
        <v>2011</v>
      </c>
      <c r="J400" s="20">
        <v>55643</v>
      </c>
      <c r="K400" s="20">
        <f>IF(Expenditures[[#This Row],[Reference Year]]&gt;2018,Expenditures[[#This Row],[Value]],Expenditures[[#This Row],[Value]]*(1+VLOOKUP(Expenditures[[#This Row],[Reference Year]],Inflation[#All],3,FALSE)))</f>
        <v>62256.575068919519</v>
      </c>
      <c r="L400" s="105">
        <f>VALUE(Expenditures[[#This Row],[2018 $ Value]]/VLOOKUP(Expenditures[[#This Row],[Jurisdiction]],Places[],6,FALSE))</f>
        <v>33.345782040128292</v>
      </c>
      <c r="M400" s="105">
        <f>VALUE(Expenditures[[#This Row],[2018 $ Value]]/VLOOKUP(Expenditures[[#This Row],[Jurisdiction]],Places[],7,FALSE))</f>
        <v>20752.19168963984</v>
      </c>
      <c r="N400" s="20" t="s">
        <v>1460</v>
      </c>
      <c r="O400" s="20" t="s">
        <v>1460</v>
      </c>
    </row>
    <row r="401" spans="1:15" x14ac:dyDescent="0.25">
      <c r="A401" s="19" t="s">
        <v>185</v>
      </c>
      <c r="B401" s="19" t="str">
        <f>INDEX(Places[Type],MATCH(Expenditures[[#This Row],[Jurisdiction]],Places[Jurisdiction],0))</f>
        <v>City</v>
      </c>
      <c r="C401" s="19" t="str">
        <f>INDEX(Places[County],MATCH(Expenditures[[#This Row],[Jurisdiction]],Places[Jurisdiction],0))</f>
        <v>Los Angeles</v>
      </c>
      <c r="D401" s="19" t="str">
        <f>INDEX(Places[Majority RB],MATCH(Expenditures[[#This Row],[Jurisdiction]],Places[Jurisdiction],0))</f>
        <v>Los Angeles</v>
      </c>
      <c r="E401" s="19">
        <f>INDEX(Places[Majority RB '#],MATCH(Expenditures[[#This Row],[Jurisdiction]],Places[Jurisdiction],0))</f>
        <v>4</v>
      </c>
      <c r="F401" s="19" t="str">
        <f>VLOOKUP(Expenditures[[#This Row],[Jurisdiction]],Places[#All],8,FALSE)</f>
        <v>Phase I MS4</v>
      </c>
      <c r="G401" s="19"/>
      <c r="H401" s="21" t="s">
        <v>1873</v>
      </c>
      <c r="I401" s="21">
        <f>VALUE(LEFT(Expenditures[[#This Row],[Fiscal Year]],4))</f>
        <v>2015</v>
      </c>
      <c r="J401" s="20">
        <v>72893.33</v>
      </c>
      <c r="K401" s="20">
        <f>IF(Expenditures[[#This Row],[Reference Year]]&gt;2018,Expenditures[[#This Row],[Value]],Expenditures[[#This Row],[Value]]*(1+VLOOKUP(Expenditures[[#This Row],[Reference Year]],Inflation[#All],3,FALSE)))</f>
        <v>77393.33975202532</v>
      </c>
      <c r="L401" s="105">
        <f>VALUE(Expenditures[[#This Row],[2018 $ Value]]/VLOOKUP(Expenditures[[#This Row],[Jurisdiction]],Places[],6,FALSE))</f>
        <v>41.453315346558824</v>
      </c>
      <c r="M401" s="105">
        <f>VALUE(Expenditures[[#This Row],[2018 $ Value]]/VLOOKUP(Expenditures[[#This Row],[Jurisdiction]],Places[],7,FALSE))</f>
        <v>25797.779917341773</v>
      </c>
      <c r="N401" s="20" t="s">
        <v>1853</v>
      </c>
      <c r="O401" s="20" t="s">
        <v>1853</v>
      </c>
    </row>
    <row r="402" spans="1:15" x14ac:dyDescent="0.25">
      <c r="A402" s="19" t="s">
        <v>177</v>
      </c>
      <c r="B402" s="19" t="str">
        <f>INDEX(Places[Type],MATCH(Expenditures[[#This Row],[Jurisdiction]],Places[Jurisdiction],0))</f>
        <v>City</v>
      </c>
      <c r="C402" s="19" t="str">
        <f>INDEX(Places[County],MATCH(Expenditures[[#This Row],[Jurisdiction]],Places[Jurisdiction],0))</f>
        <v>Los Angeles</v>
      </c>
      <c r="D402" s="19" t="str">
        <f>INDEX(Places[Majority RB],MATCH(Expenditures[[#This Row],[Jurisdiction]],Places[Jurisdiction],0))</f>
        <v>Los Angeles</v>
      </c>
      <c r="E402" s="19">
        <f>INDEX(Places[Majority RB '#],MATCH(Expenditures[[#This Row],[Jurisdiction]],Places[Jurisdiction],0))</f>
        <v>4</v>
      </c>
      <c r="F402" s="19" t="str">
        <f>VLOOKUP(Expenditures[[#This Row],[Jurisdiction]],Places[#All],8,FALSE)</f>
        <v>Phase I MS4</v>
      </c>
      <c r="G402" s="19"/>
      <c r="H402" s="100" t="s">
        <v>1870</v>
      </c>
      <c r="I402" s="21">
        <f>VALUE(LEFT(Expenditures[[#This Row],[Fiscal Year]],4))</f>
        <v>2011</v>
      </c>
      <c r="J402" s="20">
        <v>303329</v>
      </c>
      <c r="K402" s="20">
        <f>IF(Expenditures[[#This Row],[Reference Year]]&gt;2018,Expenditures[[#This Row],[Value]],Expenditures[[#This Row],[Value]]*(1+VLOOKUP(Expenditures[[#This Row],[Reference Year]],Inflation[#All],3,FALSE)))</f>
        <v>339381.85682080925</v>
      </c>
      <c r="L402" s="105">
        <f>VALUE(Expenditures[[#This Row],[2018 $ Value]]/VLOOKUP(Expenditures[[#This Row],[Jurisdiction]],Places[],6,FALSE))</f>
        <v>41.687981429899182</v>
      </c>
      <c r="M402" s="105">
        <f>VALUE(Expenditures[[#This Row],[2018 $ Value]]/VLOOKUP(Expenditures[[#This Row],[Jurisdiction]],Places[],7,FALSE))</f>
        <v>94272.738005780338</v>
      </c>
      <c r="N402" s="20" t="s">
        <v>1460</v>
      </c>
      <c r="O402" s="20" t="s">
        <v>1460</v>
      </c>
    </row>
    <row r="403" spans="1:15" x14ac:dyDescent="0.25">
      <c r="A403" s="19" t="s">
        <v>177</v>
      </c>
      <c r="B403" s="19" t="str">
        <f>INDEX(Places[Type],MATCH(Expenditures[[#This Row],[Jurisdiction]],Places[Jurisdiction],0))</f>
        <v>City</v>
      </c>
      <c r="C403" s="19" t="str">
        <f>INDEX(Places[County],MATCH(Expenditures[[#This Row],[Jurisdiction]],Places[Jurisdiction],0))</f>
        <v>Los Angeles</v>
      </c>
      <c r="D403" s="19" t="str">
        <f>INDEX(Places[Majority RB],MATCH(Expenditures[[#This Row],[Jurisdiction]],Places[Jurisdiction],0))</f>
        <v>Los Angeles</v>
      </c>
      <c r="E403" s="19">
        <f>INDEX(Places[Majority RB '#],MATCH(Expenditures[[#This Row],[Jurisdiction]],Places[Jurisdiction],0))</f>
        <v>4</v>
      </c>
      <c r="F403" s="19" t="str">
        <f>VLOOKUP(Expenditures[[#This Row],[Jurisdiction]],Places[#All],8,FALSE)</f>
        <v>Phase I MS4</v>
      </c>
      <c r="G403" s="19"/>
      <c r="H403" s="100" t="s">
        <v>1873</v>
      </c>
      <c r="I403" s="21">
        <f>VALUE(LEFT(Expenditures[[#This Row],[Fiscal Year]],4))</f>
        <v>2015</v>
      </c>
      <c r="J403" s="20">
        <v>349356.04</v>
      </c>
      <c r="K403" s="20">
        <f>IF(Expenditures[[#This Row],[Reference Year]]&gt;2018,Expenditures[[#This Row],[Value]],Expenditures[[#This Row],[Value]]*(1+VLOOKUP(Expenditures[[#This Row],[Reference Year]],Inflation[#All],3,FALSE)))</f>
        <v>370923.24768455693</v>
      </c>
      <c r="L403" s="105">
        <f>VALUE(Expenditures[[#This Row],[2018 $ Value]]/VLOOKUP(Expenditures[[#This Row],[Jurisdiction]],Places[],6,FALSE))</f>
        <v>45.56236920336039</v>
      </c>
      <c r="M403" s="105">
        <f>VALUE(Expenditures[[#This Row],[2018 $ Value]]/VLOOKUP(Expenditures[[#This Row],[Jurisdiction]],Places[],7,FALSE))</f>
        <v>103034.23546793248</v>
      </c>
      <c r="N403" s="20" t="s">
        <v>1853</v>
      </c>
      <c r="O403" s="20" t="s">
        <v>1853</v>
      </c>
    </row>
    <row r="404" spans="1:15" x14ac:dyDescent="0.25">
      <c r="A404" s="19" t="s">
        <v>194</v>
      </c>
      <c r="B404" s="19" t="str">
        <f>INDEX(Places[Type],MATCH(Expenditures[[#This Row],[Jurisdiction]],Places[Jurisdiction],0))</f>
        <v>City</v>
      </c>
      <c r="C404" s="19" t="str">
        <f>INDEX(Places[County],MATCH(Expenditures[[#This Row],[Jurisdiction]],Places[Jurisdiction],0))</f>
        <v>Los Angeles</v>
      </c>
      <c r="D404" s="19" t="str">
        <f>INDEX(Places[Majority RB],MATCH(Expenditures[[#This Row],[Jurisdiction]],Places[Jurisdiction],0))</f>
        <v>Los Angeles</v>
      </c>
      <c r="E404" s="19">
        <f>INDEX(Places[Majority RB '#],MATCH(Expenditures[[#This Row],[Jurisdiction]],Places[Jurisdiction],0))</f>
        <v>4</v>
      </c>
      <c r="F404" s="19" t="str">
        <f>VLOOKUP(Expenditures[[#This Row],[Jurisdiction]],Places[#All],8,FALSE)</f>
        <v>Phase I MS4</v>
      </c>
      <c r="G404" s="19"/>
      <c r="H404" s="21" t="s">
        <v>1870</v>
      </c>
      <c r="I404" s="21">
        <f>VALUE(LEFT(Expenditures[[#This Row],[Fiscal Year]],4))</f>
        <v>2011</v>
      </c>
      <c r="J404" s="20">
        <v>258084</v>
      </c>
      <c r="K404" s="20">
        <f>IF(Expenditures[[#This Row],[Reference Year]]&gt;2018,Expenditures[[#This Row],[Value]],Expenditures[[#This Row],[Value]]*(1+VLOOKUP(Expenditures[[#This Row],[Reference Year]],Inflation[#All],3,FALSE)))</f>
        <v>288759.15964428638</v>
      </c>
      <c r="L404" s="105">
        <f>VALUE(Expenditures[[#This Row],[2018 $ Value]]/VLOOKUP(Expenditures[[#This Row],[Jurisdiction]],Places[],6,FALSE))</f>
        <v>5.3069021473992208</v>
      </c>
      <c r="M404" s="105">
        <f>VALUE(Expenditures[[#This Row],[2018 $ Value]]/VLOOKUP(Expenditures[[#This Row],[Jurisdiction]],Places[],7,FALSE))</f>
        <v>55530.607623901225</v>
      </c>
      <c r="N404" s="20" t="s">
        <v>1460</v>
      </c>
      <c r="O404" s="20" t="s">
        <v>1460</v>
      </c>
    </row>
    <row r="405" spans="1:15" x14ac:dyDescent="0.25">
      <c r="A405" s="19" t="s">
        <v>194</v>
      </c>
      <c r="B405" s="19" t="str">
        <f>INDEX(Places[Type],MATCH(Expenditures[[#This Row],[Jurisdiction]],Places[Jurisdiction],0))</f>
        <v>City</v>
      </c>
      <c r="C405" s="19" t="str">
        <f>INDEX(Places[County],MATCH(Expenditures[[#This Row],[Jurisdiction]],Places[Jurisdiction],0))</f>
        <v>Los Angeles</v>
      </c>
      <c r="D405" s="19" t="str">
        <f>INDEX(Places[Majority RB],MATCH(Expenditures[[#This Row],[Jurisdiction]],Places[Jurisdiction],0))</f>
        <v>Los Angeles</v>
      </c>
      <c r="E405" s="19">
        <f>INDEX(Places[Majority RB '#],MATCH(Expenditures[[#This Row],[Jurisdiction]],Places[Jurisdiction],0))</f>
        <v>4</v>
      </c>
      <c r="F405" s="19" t="str">
        <f>VLOOKUP(Expenditures[[#This Row],[Jurisdiction]],Places[#All],8,FALSE)</f>
        <v>Phase I MS4</v>
      </c>
      <c r="G405" s="19"/>
      <c r="H405" s="21" t="s">
        <v>1873</v>
      </c>
      <c r="I405" s="21">
        <f>VALUE(LEFT(Expenditures[[#This Row],[Fiscal Year]],4))</f>
        <v>2015</v>
      </c>
      <c r="J405" s="20">
        <v>394452</v>
      </c>
      <c r="K405" s="20">
        <f>IF(Expenditures[[#This Row],[Reference Year]]&gt;2018,Expenditures[[#This Row],[Value]],Expenditures[[#This Row],[Value]]*(1+VLOOKUP(Expenditures[[#This Row],[Reference Year]],Inflation[#All],3,FALSE)))</f>
        <v>418803.16967088607</v>
      </c>
      <c r="L405" s="105">
        <f>VALUE(Expenditures[[#This Row],[2018 $ Value]]/VLOOKUP(Expenditures[[#This Row],[Jurisdiction]],Places[],6,FALSE))</f>
        <v>7.6968898344278109</v>
      </c>
      <c r="M405" s="105">
        <f>VALUE(Expenditures[[#This Row],[2018 $ Value]]/VLOOKUP(Expenditures[[#This Row],[Jurisdiction]],Places[],7,FALSE))</f>
        <v>80539.071090555008</v>
      </c>
      <c r="N405" s="20" t="s">
        <v>1853</v>
      </c>
      <c r="O405" s="20" t="s">
        <v>1853</v>
      </c>
    </row>
    <row r="406" spans="1:15" x14ac:dyDescent="0.25">
      <c r="A406" s="19" t="s">
        <v>124</v>
      </c>
      <c r="B406" s="19" t="str">
        <f>INDEX(Places[Type],MATCH(Expenditures[[#This Row],[Jurisdiction]],Places[Jurisdiction],0))</f>
        <v>City</v>
      </c>
      <c r="C406" s="19" t="str">
        <f>INDEX(Places[County],MATCH(Expenditures[[#This Row],[Jurisdiction]],Places[Jurisdiction],0))</f>
        <v>Sacramento</v>
      </c>
      <c r="D406" s="19" t="str">
        <f>INDEX(Places[Majority RB],MATCH(Expenditures[[#This Row],[Jurisdiction]],Places[Jurisdiction],0))</f>
        <v>Central Valley</v>
      </c>
      <c r="E406" s="19">
        <f>INDEX(Places[Majority RB '#],MATCH(Expenditures[[#This Row],[Jurisdiction]],Places[Jurisdiction],0))</f>
        <v>5</v>
      </c>
      <c r="F406" s="19" t="str">
        <f>VLOOKUP(Expenditures[[#This Row],[Jurisdiction]],Places[#All],8,FALSE)</f>
        <v>Phase I MS4</v>
      </c>
      <c r="G406" s="19"/>
      <c r="H406" s="21" t="s">
        <v>1870</v>
      </c>
      <c r="I406" s="21">
        <f>VALUE(LEFT(Expenditures[[#This Row],[Fiscal Year]],4))</f>
        <v>2011</v>
      </c>
      <c r="J406" s="20">
        <v>2208965</v>
      </c>
      <c r="K406" s="20">
        <f>IF(Expenditures[[#This Row],[Reference Year]]&gt;2018,Expenditures[[#This Row],[Value]],Expenditures[[#This Row],[Value]]*(1+VLOOKUP(Expenditures[[#This Row],[Reference Year]],Inflation[#All],3,FALSE)))</f>
        <v>2471516.5491996445</v>
      </c>
      <c r="L406" s="105">
        <f>VALUE(Expenditures[[#This Row],[2018 $ Value]]/VLOOKUP(Expenditures[[#This Row],[Jurisdiction]],Places[],6,FALSE))</f>
        <v>4.8601290176167815</v>
      </c>
      <c r="M406" s="105">
        <f>VALUE(Expenditures[[#This Row],[2018 $ Value]]/VLOOKUP(Expenditures[[#This Row],[Jurisdiction]],Places[],7,FALSE))</f>
        <v>25245.317152192485</v>
      </c>
      <c r="N406" s="20" t="s">
        <v>1460</v>
      </c>
      <c r="O406" s="20" t="s">
        <v>1460</v>
      </c>
    </row>
    <row r="407" spans="1:15" x14ac:dyDescent="0.25">
      <c r="A407" s="19" t="s">
        <v>124</v>
      </c>
      <c r="B407" s="19" t="str">
        <f>INDEX(Places[Type],MATCH(Expenditures[[#This Row],[Jurisdiction]],Places[Jurisdiction],0))</f>
        <v>City</v>
      </c>
      <c r="C407" s="19" t="str">
        <f>INDEX(Places[County],MATCH(Expenditures[[#This Row],[Jurisdiction]],Places[Jurisdiction],0))</f>
        <v>Sacramento</v>
      </c>
      <c r="D407" s="19" t="str">
        <f>INDEX(Places[Majority RB],MATCH(Expenditures[[#This Row],[Jurisdiction]],Places[Jurisdiction],0))</f>
        <v>Central Valley</v>
      </c>
      <c r="E407" s="19">
        <f>INDEX(Places[Majority RB '#],MATCH(Expenditures[[#This Row],[Jurisdiction]],Places[Jurisdiction],0))</f>
        <v>5</v>
      </c>
      <c r="F407" s="19" t="str">
        <f>VLOOKUP(Expenditures[[#This Row],[Jurisdiction]],Places[#All],8,FALSE)</f>
        <v>Phase I MS4</v>
      </c>
      <c r="G407" s="19"/>
      <c r="H407" s="21" t="s">
        <v>1871</v>
      </c>
      <c r="I407" s="21">
        <f>VALUE(LEFT(Expenditures[[#This Row],[Fiscal Year]],4))</f>
        <v>2012</v>
      </c>
      <c r="J407" s="20">
        <v>2118312</v>
      </c>
      <c r="K407" s="20">
        <f>IF(Expenditures[[#This Row],[Reference Year]]&gt;2018,Expenditures[[#This Row],[Value]],Expenditures[[#This Row],[Value]]*(1+VLOOKUP(Expenditures[[#This Row],[Reference Year]],Inflation[#All],3,FALSE)))</f>
        <v>2321572.1553658536</v>
      </c>
      <c r="L407" s="105">
        <f>VALUE(Expenditures[[#This Row],[2018 $ Value]]/VLOOKUP(Expenditures[[#This Row],[Jurisdiction]],Places[],6,FALSE))</f>
        <v>4.5652699361606786</v>
      </c>
      <c r="M407" s="105">
        <f>VALUE(Expenditures[[#This Row],[2018 $ Value]]/VLOOKUP(Expenditures[[#This Row],[Jurisdiction]],Places[],7,FALSE))</f>
        <v>23713.709452153762</v>
      </c>
      <c r="N407" s="20" t="s">
        <v>1460</v>
      </c>
      <c r="O407" s="20" t="s">
        <v>1460</v>
      </c>
    </row>
    <row r="408" spans="1:15" x14ac:dyDescent="0.25">
      <c r="A408" s="19" t="s">
        <v>124</v>
      </c>
      <c r="B408" s="19" t="str">
        <f>INDEX(Places[Type],MATCH(Expenditures[[#This Row],[Jurisdiction]],Places[Jurisdiction],0))</f>
        <v>City</v>
      </c>
      <c r="C408" s="19" t="str">
        <f>INDEX(Places[County],MATCH(Expenditures[[#This Row],[Jurisdiction]],Places[Jurisdiction],0))</f>
        <v>Sacramento</v>
      </c>
      <c r="D408" s="19" t="str">
        <f>INDEX(Places[Majority RB],MATCH(Expenditures[[#This Row],[Jurisdiction]],Places[Jurisdiction],0))</f>
        <v>Central Valley</v>
      </c>
      <c r="E408" s="19">
        <f>INDEX(Places[Majority RB '#],MATCH(Expenditures[[#This Row],[Jurisdiction]],Places[Jurisdiction],0))</f>
        <v>5</v>
      </c>
      <c r="F408" s="19" t="str">
        <f>VLOOKUP(Expenditures[[#This Row],[Jurisdiction]],Places[#All],8,FALSE)</f>
        <v>Phase I MS4</v>
      </c>
      <c r="G408" s="19"/>
      <c r="H408" s="21" t="s">
        <v>1880</v>
      </c>
      <c r="I408" s="21">
        <f>VALUE(LEFT(Expenditures[[#This Row],[Fiscal Year]],4))</f>
        <v>2013</v>
      </c>
      <c r="J408" s="20">
        <v>1896229</v>
      </c>
      <c r="K408" s="20">
        <f>IF(Expenditures[[#This Row],[Reference Year]]&gt;2018,Expenditures[[#This Row],[Value]],Expenditures[[#This Row],[Value]]*(1+VLOOKUP(Expenditures[[#This Row],[Reference Year]],Inflation[#All],3,FALSE)))</f>
        <v>2047854.0751030045</v>
      </c>
      <c r="L408" s="105">
        <f>VALUE(Expenditures[[#This Row],[2018 $ Value]]/VLOOKUP(Expenditures[[#This Row],[Jurisdiction]],Places[],6,FALSE))</f>
        <v>4.0270153228291887</v>
      </c>
      <c r="M408" s="105">
        <f>VALUE(Expenditures[[#This Row],[2018 $ Value]]/VLOOKUP(Expenditures[[#This Row],[Jurisdiction]],Places[],7,FALSE))</f>
        <v>20917.814863156327</v>
      </c>
      <c r="N408" s="20" t="s">
        <v>1460</v>
      </c>
      <c r="O408" s="20" t="s">
        <v>1460</v>
      </c>
    </row>
    <row r="409" spans="1:15" x14ac:dyDescent="0.25">
      <c r="A409" s="19" t="s">
        <v>124</v>
      </c>
      <c r="B409" s="19" t="str">
        <f>INDEX(Places[Type],MATCH(Expenditures[[#This Row],[Jurisdiction]],Places[Jurisdiction],0))</f>
        <v>City</v>
      </c>
      <c r="C409" s="19" t="str">
        <f>INDEX(Places[County],MATCH(Expenditures[[#This Row],[Jurisdiction]],Places[Jurisdiction],0))</f>
        <v>Sacramento</v>
      </c>
      <c r="D409" s="19" t="str">
        <f>INDEX(Places[Majority RB],MATCH(Expenditures[[#This Row],[Jurisdiction]],Places[Jurisdiction],0))</f>
        <v>Central Valley</v>
      </c>
      <c r="E409" s="19">
        <f>INDEX(Places[Majority RB '#],MATCH(Expenditures[[#This Row],[Jurisdiction]],Places[Jurisdiction],0))</f>
        <v>5</v>
      </c>
      <c r="F409" s="19" t="str">
        <f>VLOOKUP(Expenditures[[#This Row],[Jurisdiction]],Places[#All],8,FALSE)</f>
        <v>Phase I MS4</v>
      </c>
      <c r="G409" s="19"/>
      <c r="H409" s="21" t="s">
        <v>1881</v>
      </c>
      <c r="I409" s="21">
        <f>VALUE(LEFT(Expenditures[[#This Row],[Fiscal Year]],4))</f>
        <v>2014</v>
      </c>
      <c r="J409" s="20">
        <v>1742565</v>
      </c>
      <c r="K409" s="20">
        <f>IF(Expenditures[[#This Row],[Reference Year]]&gt;2018,Expenditures[[#This Row],[Value]],Expenditures[[#This Row],[Value]]*(1+VLOOKUP(Expenditures[[#This Row],[Reference Year]],Inflation[#All],3,FALSE)))</f>
        <v>1852485.7351711027</v>
      </c>
      <c r="L409" s="105">
        <f>VALUE(Expenditures[[#This Row],[2018 $ Value]]/VLOOKUP(Expenditures[[#This Row],[Jurisdiction]],Places[],6,FALSE))</f>
        <v>3.6428320413803394</v>
      </c>
      <c r="M409" s="105">
        <f>VALUE(Expenditures[[#This Row],[2018 $ Value]]/VLOOKUP(Expenditures[[#This Row],[Jurisdiction]],Places[],7,FALSE))</f>
        <v>18922.224056906052</v>
      </c>
      <c r="N409" s="20" t="s">
        <v>1460</v>
      </c>
      <c r="O409" s="20" t="s">
        <v>1460</v>
      </c>
    </row>
    <row r="410" spans="1:15" x14ac:dyDescent="0.25">
      <c r="A410" s="19" t="s">
        <v>124</v>
      </c>
      <c r="B410" s="19" t="str">
        <f>INDEX(Places[Type],MATCH(Expenditures[[#This Row],[Jurisdiction]],Places[Jurisdiction],0))</f>
        <v>City</v>
      </c>
      <c r="C410" s="19" t="str">
        <f>INDEX(Places[County],MATCH(Expenditures[[#This Row],[Jurisdiction]],Places[Jurisdiction],0))</f>
        <v>Sacramento</v>
      </c>
      <c r="D410" s="19" t="str">
        <f>INDEX(Places[Majority RB],MATCH(Expenditures[[#This Row],[Jurisdiction]],Places[Jurisdiction],0))</f>
        <v>Central Valley</v>
      </c>
      <c r="E410" s="19">
        <f>INDEX(Places[Majority RB '#],MATCH(Expenditures[[#This Row],[Jurisdiction]],Places[Jurisdiction],0))</f>
        <v>5</v>
      </c>
      <c r="F410" s="19" t="str">
        <f>VLOOKUP(Expenditures[[#This Row],[Jurisdiction]],Places[#All],8,FALSE)</f>
        <v>Phase I MS4</v>
      </c>
      <c r="G410" s="19"/>
      <c r="H410" s="21" t="s">
        <v>1873</v>
      </c>
      <c r="I410" s="21">
        <f>VALUE(LEFT(Expenditures[[#This Row],[Fiscal Year]],4))</f>
        <v>2015</v>
      </c>
      <c r="J410" s="20">
        <v>1726809</v>
      </c>
      <c r="K410" s="20">
        <f>IF(Expenditures[[#This Row],[Reference Year]]&gt;2018,Expenditures[[#This Row],[Value]],Expenditures[[#This Row],[Value]]*(1+VLOOKUP(Expenditures[[#This Row],[Reference Year]],Inflation[#All],3,FALSE)))</f>
        <v>1833412.1328227846</v>
      </c>
      <c r="L410" s="105">
        <f>VALUE(Expenditures[[#This Row],[2018 $ Value]]/VLOOKUP(Expenditures[[#This Row],[Jurisdiction]],Places[],6,FALSE))</f>
        <v>3.6053246379710591</v>
      </c>
      <c r="M410" s="105">
        <f>VALUE(Expenditures[[#This Row],[2018 $ Value]]/VLOOKUP(Expenditures[[#This Row],[Jurisdiction]],Places[],7,FALSE))</f>
        <v>18727.39665804683</v>
      </c>
      <c r="N410" s="20" t="s">
        <v>1853</v>
      </c>
      <c r="O410" s="20" t="s">
        <v>1460</v>
      </c>
    </row>
    <row r="411" spans="1:15" x14ac:dyDescent="0.25">
      <c r="A411" s="19" t="s">
        <v>124</v>
      </c>
      <c r="B411" s="19" t="str">
        <f>INDEX(Places[Type],MATCH(Expenditures[[#This Row],[Jurisdiction]],Places[Jurisdiction],0))</f>
        <v>City</v>
      </c>
      <c r="C411" s="19" t="str">
        <f>INDEX(Places[County],MATCH(Expenditures[[#This Row],[Jurisdiction]],Places[Jurisdiction],0))</f>
        <v>Sacramento</v>
      </c>
      <c r="D411" s="19" t="str">
        <f>INDEX(Places[Majority RB],MATCH(Expenditures[[#This Row],[Jurisdiction]],Places[Jurisdiction],0))</f>
        <v>Central Valley</v>
      </c>
      <c r="E411" s="19">
        <f>INDEX(Places[Majority RB '#],MATCH(Expenditures[[#This Row],[Jurisdiction]],Places[Jurisdiction],0))</f>
        <v>5</v>
      </c>
      <c r="F411" s="19" t="str">
        <f>VLOOKUP(Expenditures[[#This Row],[Jurisdiction]],Places[#All],8,FALSE)</f>
        <v>Phase I MS4</v>
      </c>
      <c r="G411" s="19"/>
      <c r="H411" s="21" t="s">
        <v>1874</v>
      </c>
      <c r="I411" s="21">
        <f>VALUE(LEFT(Expenditures[[#This Row],[Fiscal Year]],4))</f>
        <v>2017</v>
      </c>
      <c r="J411" s="20">
        <v>34341650</v>
      </c>
      <c r="K411" s="20">
        <f>IF(Expenditures[[#This Row],[Reference Year]]&gt;2018,Expenditures[[#This Row],[Value]],Expenditures[[#This Row],[Value]]*(1+VLOOKUP(Expenditures[[#This Row],[Reference Year]],Inflation[#All],3,FALSE)))</f>
        <v>35256726.769277848</v>
      </c>
      <c r="L411" s="105">
        <f>VALUE(Expenditures[[#This Row],[2018 $ Value]]/VLOOKUP(Expenditures[[#This Row],[Jurisdiction]],Places[],6,FALSE))</f>
        <v>69.330808605365377</v>
      </c>
      <c r="M411" s="105">
        <f>VALUE(Expenditures[[#This Row],[2018 $ Value]]/VLOOKUP(Expenditures[[#This Row],[Jurisdiction]],Places[],7,FALSE))</f>
        <v>360129.99764328753</v>
      </c>
      <c r="N411" s="20" t="s">
        <v>1460</v>
      </c>
      <c r="O411" s="20" t="s">
        <v>1853</v>
      </c>
    </row>
    <row r="412" spans="1:15" x14ac:dyDescent="0.25">
      <c r="A412" s="19" t="s">
        <v>1443</v>
      </c>
      <c r="B412" s="19" t="str">
        <f>INDEX(Places[Type],MATCH(Expenditures[[#This Row],[Jurisdiction]],Places[Jurisdiction],0))</f>
        <v>County</v>
      </c>
      <c r="C412" s="19" t="str">
        <f>INDEX(Places[County],MATCH(Expenditures[[#This Row],[Jurisdiction]],Places[Jurisdiction],0))</f>
        <v>Sacramento</v>
      </c>
      <c r="D412" s="19" t="str">
        <f>INDEX(Places[Majority RB],MATCH(Expenditures[[#This Row],[Jurisdiction]],Places[Jurisdiction],0))</f>
        <v>Central Valley</v>
      </c>
      <c r="E412" s="19">
        <f>INDEX(Places[Majority RB '#],MATCH(Expenditures[[#This Row],[Jurisdiction]],Places[Jurisdiction],0))</f>
        <v>5</v>
      </c>
      <c r="F412" s="19" t="str">
        <f>VLOOKUP(Expenditures[[#This Row],[Jurisdiction]],Places[#All],8,FALSE)</f>
        <v>Phase I MS4</v>
      </c>
      <c r="G412" s="19"/>
      <c r="H412" s="21" t="s">
        <v>1870</v>
      </c>
      <c r="I412" s="21">
        <f>VALUE(LEFT(Expenditures[[#This Row],[Fiscal Year]],4))</f>
        <v>2011</v>
      </c>
      <c r="J412" s="20">
        <v>23033614</v>
      </c>
      <c r="K412" s="20">
        <f>IF(Expenditures[[#This Row],[Reference Year]]&gt;2018,Expenditures[[#This Row],[Value]],Expenditures[[#This Row],[Value]]*(1+VLOOKUP(Expenditures[[#This Row],[Reference Year]],Inflation[#All],3,FALSE)))</f>
        <v>25771326.475918189</v>
      </c>
      <c r="L412" s="105" t="e">
        <f>VALUE(Expenditures[[#This Row],[2018 $ Value]]/VLOOKUP(Expenditures[[#This Row],[Jurisdiction]],Places[],6,FALSE))</f>
        <v>#N/A</v>
      </c>
      <c r="M412" s="105" t="e">
        <f>VALUE(Expenditures[[#This Row],[2018 $ Value]]/VLOOKUP(Expenditures[[#This Row],[Jurisdiction]],Places[],7,FALSE))</f>
        <v>#N/A</v>
      </c>
      <c r="N412" s="20" t="s">
        <v>1460</v>
      </c>
      <c r="O412" s="20" t="s">
        <v>1460</v>
      </c>
    </row>
    <row r="413" spans="1:15" x14ac:dyDescent="0.25">
      <c r="A413" s="19" t="s">
        <v>1443</v>
      </c>
      <c r="B413" s="19" t="str">
        <f>INDEX(Places[Type],MATCH(Expenditures[[#This Row],[Jurisdiction]],Places[Jurisdiction],0))</f>
        <v>County</v>
      </c>
      <c r="C413" s="19" t="str">
        <f>INDEX(Places[County],MATCH(Expenditures[[#This Row],[Jurisdiction]],Places[Jurisdiction],0))</f>
        <v>Sacramento</v>
      </c>
      <c r="D413" s="19" t="str">
        <f>INDEX(Places[Majority RB],MATCH(Expenditures[[#This Row],[Jurisdiction]],Places[Jurisdiction],0))</f>
        <v>Central Valley</v>
      </c>
      <c r="E413" s="19">
        <f>INDEX(Places[Majority RB '#],MATCH(Expenditures[[#This Row],[Jurisdiction]],Places[Jurisdiction],0))</f>
        <v>5</v>
      </c>
      <c r="F413" s="19" t="str">
        <f>VLOOKUP(Expenditures[[#This Row],[Jurisdiction]],Places[#All],8,FALSE)</f>
        <v>Phase I MS4</v>
      </c>
      <c r="G413" s="19"/>
      <c r="H413" s="21" t="s">
        <v>1871</v>
      </c>
      <c r="I413" s="21">
        <f>VALUE(LEFT(Expenditures[[#This Row],[Fiscal Year]],4))</f>
        <v>2012</v>
      </c>
      <c r="J413" s="20">
        <v>21990610</v>
      </c>
      <c r="K413" s="20">
        <f>IF(Expenditures[[#This Row],[Reference Year]]&gt;2018,Expenditures[[#This Row],[Value]],Expenditures[[#This Row],[Value]]*(1+VLOOKUP(Expenditures[[#This Row],[Reference Year]],Inflation[#All],3,FALSE)))</f>
        <v>24100693.314067945</v>
      </c>
      <c r="L413" s="105" t="e">
        <f>VALUE(Expenditures[[#This Row],[2018 $ Value]]/VLOOKUP(Expenditures[[#This Row],[Jurisdiction]],Places[],6,FALSE))</f>
        <v>#N/A</v>
      </c>
      <c r="M413" s="105" t="e">
        <f>VALUE(Expenditures[[#This Row],[2018 $ Value]]/VLOOKUP(Expenditures[[#This Row],[Jurisdiction]],Places[],7,FALSE))</f>
        <v>#N/A</v>
      </c>
      <c r="N413" s="20" t="s">
        <v>1460</v>
      </c>
      <c r="O413" s="20" t="s">
        <v>1460</v>
      </c>
    </row>
    <row r="414" spans="1:15" x14ac:dyDescent="0.25">
      <c r="A414" s="19" t="s">
        <v>1443</v>
      </c>
      <c r="B414" s="19" t="str">
        <f>INDEX(Places[Type],MATCH(Expenditures[[#This Row],[Jurisdiction]],Places[Jurisdiction],0))</f>
        <v>County</v>
      </c>
      <c r="C414" s="19" t="str">
        <f>INDEX(Places[County],MATCH(Expenditures[[#This Row],[Jurisdiction]],Places[Jurisdiction],0))</f>
        <v>Sacramento</v>
      </c>
      <c r="D414" s="19" t="str">
        <f>INDEX(Places[Majority RB],MATCH(Expenditures[[#This Row],[Jurisdiction]],Places[Jurisdiction],0))</f>
        <v>Central Valley</v>
      </c>
      <c r="E414" s="19">
        <f>INDEX(Places[Majority RB '#],MATCH(Expenditures[[#This Row],[Jurisdiction]],Places[Jurisdiction],0))</f>
        <v>5</v>
      </c>
      <c r="F414" s="19" t="str">
        <f>VLOOKUP(Expenditures[[#This Row],[Jurisdiction]],Places[#All],8,FALSE)</f>
        <v>Phase I MS4</v>
      </c>
      <c r="G414" s="19"/>
      <c r="H414" s="21" t="s">
        <v>1880</v>
      </c>
      <c r="I414" s="21">
        <f>VALUE(LEFT(Expenditures[[#This Row],[Fiscal Year]],4))</f>
        <v>2013</v>
      </c>
      <c r="J414" s="20">
        <v>21507078</v>
      </c>
      <c r="K414" s="20">
        <f>IF(Expenditures[[#This Row],[Reference Year]]&gt;2018,Expenditures[[#This Row],[Value]],Expenditures[[#This Row],[Value]]*(1+VLOOKUP(Expenditures[[#This Row],[Reference Year]],Inflation[#All],3,FALSE)))</f>
        <v>23226813.494497854</v>
      </c>
      <c r="L414" s="105" t="e">
        <f>VALUE(Expenditures[[#This Row],[2018 $ Value]]/VLOOKUP(Expenditures[[#This Row],[Jurisdiction]],Places[],6,FALSE))</f>
        <v>#N/A</v>
      </c>
      <c r="M414" s="105" t="e">
        <f>VALUE(Expenditures[[#This Row],[2018 $ Value]]/VLOOKUP(Expenditures[[#This Row],[Jurisdiction]],Places[],7,FALSE))</f>
        <v>#N/A</v>
      </c>
      <c r="N414" s="20" t="s">
        <v>1460</v>
      </c>
      <c r="O414" s="20" t="s">
        <v>1460</v>
      </c>
    </row>
    <row r="415" spans="1:15" x14ac:dyDescent="0.25">
      <c r="A415" s="19" t="s">
        <v>1443</v>
      </c>
      <c r="B415" s="19" t="str">
        <f>INDEX(Places[Type],MATCH(Expenditures[[#This Row],[Jurisdiction]],Places[Jurisdiction],0))</f>
        <v>County</v>
      </c>
      <c r="C415" s="19" t="str">
        <f>INDEX(Places[County],MATCH(Expenditures[[#This Row],[Jurisdiction]],Places[Jurisdiction],0))</f>
        <v>Sacramento</v>
      </c>
      <c r="D415" s="19" t="str">
        <f>INDEX(Places[Majority RB],MATCH(Expenditures[[#This Row],[Jurisdiction]],Places[Jurisdiction],0))</f>
        <v>Central Valley</v>
      </c>
      <c r="E415" s="19">
        <f>INDEX(Places[Majority RB '#],MATCH(Expenditures[[#This Row],[Jurisdiction]],Places[Jurisdiction],0))</f>
        <v>5</v>
      </c>
      <c r="F415" s="19" t="str">
        <f>VLOOKUP(Expenditures[[#This Row],[Jurisdiction]],Places[#All],8,FALSE)</f>
        <v>Phase I MS4</v>
      </c>
      <c r="G415" s="19"/>
      <c r="H415" s="21" t="s">
        <v>1881</v>
      </c>
      <c r="I415" s="21">
        <f>VALUE(LEFT(Expenditures[[#This Row],[Fiscal Year]],4))</f>
        <v>2014</v>
      </c>
      <c r="J415" s="20">
        <v>17491899</v>
      </c>
      <c r="K415" s="20">
        <f>IF(Expenditures[[#This Row],[Reference Year]]&gt;2018,Expenditures[[#This Row],[Value]],Expenditures[[#This Row],[Value]]*(1+VLOOKUP(Expenditures[[#This Row],[Reference Year]],Inflation[#All],3,FALSE)))</f>
        <v>18595285.328555133</v>
      </c>
      <c r="L415" s="105" t="e">
        <f>VALUE(Expenditures[[#This Row],[2018 $ Value]]/VLOOKUP(Expenditures[[#This Row],[Jurisdiction]],Places[],6,FALSE))</f>
        <v>#N/A</v>
      </c>
      <c r="M415" s="105" t="e">
        <f>VALUE(Expenditures[[#This Row],[2018 $ Value]]/VLOOKUP(Expenditures[[#This Row],[Jurisdiction]],Places[],7,FALSE))</f>
        <v>#N/A</v>
      </c>
      <c r="N415" s="20" t="s">
        <v>1460</v>
      </c>
      <c r="O415" s="20" t="s">
        <v>1460</v>
      </c>
    </row>
    <row r="416" spans="1:15" x14ac:dyDescent="0.25">
      <c r="A416" s="19" t="s">
        <v>1443</v>
      </c>
      <c r="B416" s="19" t="str">
        <f>INDEX(Places[Type],MATCH(Expenditures[[#This Row],[Jurisdiction]],Places[Jurisdiction],0))</f>
        <v>County</v>
      </c>
      <c r="C416" s="19" t="str">
        <f>INDEX(Places[County],MATCH(Expenditures[[#This Row],[Jurisdiction]],Places[Jurisdiction],0))</f>
        <v>Sacramento</v>
      </c>
      <c r="D416" s="19" t="str">
        <f>INDEX(Places[Majority RB],MATCH(Expenditures[[#This Row],[Jurisdiction]],Places[Jurisdiction],0))</f>
        <v>Central Valley</v>
      </c>
      <c r="E416" s="19">
        <f>INDEX(Places[Majority RB '#],MATCH(Expenditures[[#This Row],[Jurisdiction]],Places[Jurisdiction],0))</f>
        <v>5</v>
      </c>
      <c r="F416" s="19" t="str">
        <f>VLOOKUP(Expenditures[[#This Row],[Jurisdiction]],Places[#All],8,FALSE)</f>
        <v>Phase I MS4</v>
      </c>
      <c r="G416" s="19"/>
      <c r="H416" s="21" t="s">
        <v>1873</v>
      </c>
      <c r="I416" s="21">
        <f>VALUE(LEFT(Expenditures[[#This Row],[Fiscal Year]],4))</f>
        <v>2015</v>
      </c>
      <c r="J416" s="20">
        <v>18237879</v>
      </c>
      <c r="K416" s="20">
        <f>IF(Expenditures[[#This Row],[Reference Year]]&gt;2018,Expenditures[[#This Row],[Value]],Expenditures[[#This Row],[Value]]*(1+VLOOKUP(Expenditures[[#This Row],[Reference Year]],Inflation[#All],3,FALSE)))</f>
        <v>19363779.454215188</v>
      </c>
      <c r="L416" s="105" t="e">
        <f>VALUE(Expenditures[[#This Row],[2018 $ Value]]/VLOOKUP(Expenditures[[#This Row],[Jurisdiction]],Places[],6,FALSE))</f>
        <v>#N/A</v>
      </c>
      <c r="M416" s="105" t="e">
        <f>VALUE(Expenditures[[#This Row],[2018 $ Value]]/VLOOKUP(Expenditures[[#This Row],[Jurisdiction]],Places[],7,FALSE))</f>
        <v>#N/A</v>
      </c>
      <c r="N416" s="20" t="s">
        <v>1853</v>
      </c>
      <c r="O416" s="20" t="s">
        <v>1853</v>
      </c>
    </row>
    <row r="417" spans="1:15" x14ac:dyDescent="0.25">
      <c r="A417" s="19" t="s">
        <v>7</v>
      </c>
      <c r="B417" s="19" t="str">
        <f>INDEX(Places[Type],MATCH(Expenditures[[#This Row],[Jurisdiction]],Places[Jurisdiction],0))</f>
        <v>City</v>
      </c>
      <c r="C417" s="19" t="str">
        <f>INDEX(Places[County],MATCH(Expenditures[[#This Row],[Jurisdiction]],Places[Jurisdiction],0))</f>
        <v>Monterey</v>
      </c>
      <c r="D417" s="19" t="str">
        <f>INDEX(Places[Majority RB],MATCH(Expenditures[[#This Row],[Jurisdiction]],Places[Jurisdiction],0))</f>
        <v>Central Coast</v>
      </c>
      <c r="E417" s="19">
        <f>INDEX(Places[Majority RB '#],MATCH(Expenditures[[#This Row],[Jurisdiction]],Places[Jurisdiction],0))</f>
        <v>3</v>
      </c>
      <c r="F417" s="19" t="str">
        <f>VLOOKUP(Expenditures[[#This Row],[Jurisdiction]],Places[#All],8,FALSE)</f>
        <v>Phase I MS4</v>
      </c>
      <c r="G417" s="19"/>
      <c r="H417" s="19" t="s">
        <v>1874</v>
      </c>
      <c r="I417" s="21">
        <f>VALUE(LEFT(Expenditures[[#This Row],[Fiscal Year]],4))</f>
        <v>2017</v>
      </c>
      <c r="J417" s="27">
        <v>4458790</v>
      </c>
      <c r="K417" s="20">
        <f>IF(Expenditures[[#This Row],[Reference Year]]&gt;2018,Expenditures[[#This Row],[Value]],Expenditures[[#This Row],[Value]]*(1+VLOOKUP(Expenditures[[#This Row],[Reference Year]],Inflation[#All],3,FALSE)))</f>
        <v>4577600.1080783363</v>
      </c>
      <c r="L417" s="105">
        <f>VALUE(Expenditures[[#This Row],[2018 $ Value]]/VLOOKUP(Expenditures[[#This Row],[Jurisdiction]],Places[],6,FALSE))</f>
        <v>29.294953302391136</v>
      </c>
      <c r="M417" s="105">
        <f>VALUE(Expenditures[[#This Row],[2018 $ Value]]/VLOOKUP(Expenditures[[#This Row],[Jurisdiction]],Places[],7,FALSE))</f>
        <v>193966.10627450576</v>
      </c>
      <c r="N417" s="20" t="s">
        <v>1853</v>
      </c>
      <c r="O417" s="20" t="s">
        <v>1853</v>
      </c>
    </row>
    <row r="418" spans="1:15" x14ac:dyDescent="0.25">
      <c r="A418" s="19" t="s">
        <v>20</v>
      </c>
      <c r="B418" s="19" t="str">
        <f>INDEX(Places[Type],MATCH(Expenditures[[#This Row],[Jurisdiction]],Places[Jurisdiction],0))</f>
        <v>City</v>
      </c>
      <c r="C418" s="19" t="str">
        <f>INDEX(Places[County],MATCH(Expenditures[[#This Row],[Jurisdiction]],Places[Jurisdiction],0))</f>
        <v>San Bernardino</v>
      </c>
      <c r="D418" s="19" t="str">
        <f>INDEX(Places[Majority RB],MATCH(Expenditures[[#This Row],[Jurisdiction]],Places[Jurisdiction],0))</f>
        <v>Santa Ana</v>
      </c>
      <c r="E418" s="19">
        <f>INDEX(Places[Majority RB '#],MATCH(Expenditures[[#This Row],[Jurisdiction]],Places[Jurisdiction],0))</f>
        <v>8</v>
      </c>
      <c r="F418" s="19" t="str">
        <f>VLOOKUP(Expenditures[[#This Row],[Jurisdiction]],Places[#All],8,FALSE)</f>
        <v>Phase I MS4</v>
      </c>
      <c r="G418" s="19"/>
      <c r="H418" s="21" t="s">
        <v>1870</v>
      </c>
      <c r="I418" s="21">
        <f>VALUE(LEFT(Expenditures[[#This Row],[Fiscal Year]],4))</f>
        <v>2011</v>
      </c>
      <c r="J418" s="20">
        <v>2338260</v>
      </c>
      <c r="K418" s="20">
        <f>IF(Expenditures[[#This Row],[Reference Year]]&gt;2018,Expenditures[[#This Row],[Value]],Expenditures[[#This Row],[Value]]*(1+VLOOKUP(Expenditures[[#This Row],[Reference Year]],Inflation[#All],3,FALSE)))</f>
        <v>2616179.1999110719</v>
      </c>
      <c r="L418" s="105">
        <f>VALUE(Expenditures[[#This Row],[2018 $ Value]]/VLOOKUP(Expenditures[[#This Row],[Jurisdiction]],Places[],6,FALSE))</f>
        <v>12.11524999843046</v>
      </c>
      <c r="M418" s="105">
        <f>VALUE(Expenditures[[#This Row],[2018 $ Value]]/VLOOKUP(Expenditures[[#This Row],[Jurisdiction]],Places[],7,FALSE))</f>
        <v>42539.499185545887</v>
      </c>
      <c r="N418" s="20" t="s">
        <v>1460</v>
      </c>
      <c r="O418" s="20" t="s">
        <v>1460</v>
      </c>
    </row>
    <row r="419" spans="1:15" x14ac:dyDescent="0.25">
      <c r="A419" s="19" t="s">
        <v>20</v>
      </c>
      <c r="B419" s="19" t="str">
        <f>INDEX(Places[Type],MATCH(Expenditures[[#This Row],[Jurisdiction]],Places[Jurisdiction],0))</f>
        <v>City</v>
      </c>
      <c r="C419" s="19" t="str">
        <f>INDEX(Places[County],MATCH(Expenditures[[#This Row],[Jurisdiction]],Places[Jurisdiction],0))</f>
        <v>San Bernardino</v>
      </c>
      <c r="D419" s="19" t="str">
        <f>INDEX(Places[Majority RB],MATCH(Expenditures[[#This Row],[Jurisdiction]],Places[Jurisdiction],0))</f>
        <v>Santa Ana</v>
      </c>
      <c r="E419" s="19">
        <f>INDEX(Places[Majority RB '#],MATCH(Expenditures[[#This Row],[Jurisdiction]],Places[Jurisdiction],0))</f>
        <v>8</v>
      </c>
      <c r="F419" s="19" t="str">
        <f>VLOOKUP(Expenditures[[#This Row],[Jurisdiction]],Places[#All],8,FALSE)</f>
        <v>Phase I MS4</v>
      </c>
      <c r="G419" s="19"/>
      <c r="H419" s="21" t="s">
        <v>1880</v>
      </c>
      <c r="I419" s="21">
        <f>VALUE(LEFT(Expenditures[[#This Row],[Fiscal Year]],4))</f>
        <v>2013</v>
      </c>
      <c r="J419" s="20">
        <v>1921849</v>
      </c>
      <c r="K419" s="20">
        <f>IF(Expenditures[[#This Row],[Reference Year]]&gt;2018,Expenditures[[#This Row],[Value]],Expenditures[[#This Row],[Value]]*(1+VLOOKUP(Expenditures[[#This Row],[Reference Year]],Inflation[#All],3,FALSE)))</f>
        <v>2075522.6854892704</v>
      </c>
      <c r="L419" s="105">
        <f>VALUE(Expenditures[[#This Row],[2018 $ Value]]/VLOOKUP(Expenditures[[#This Row],[Jurisdiction]],Places[],6,FALSE))</f>
        <v>9.6115266924264979</v>
      </c>
      <c r="M419" s="105">
        <f>VALUE(Expenditures[[#This Row],[2018 $ Value]]/VLOOKUP(Expenditures[[#This Row],[Jurisdiction]],Places[],7,FALSE))</f>
        <v>33748.336349419027</v>
      </c>
      <c r="N419" s="20" t="s">
        <v>1460</v>
      </c>
      <c r="O419" s="20" t="s">
        <v>1460</v>
      </c>
    </row>
    <row r="420" spans="1:15" x14ac:dyDescent="0.25">
      <c r="A420" s="19" t="s">
        <v>20</v>
      </c>
      <c r="B420" s="19" t="str">
        <f>INDEX(Places[Type],MATCH(Expenditures[[#This Row],[Jurisdiction]],Places[Jurisdiction],0))</f>
        <v>City</v>
      </c>
      <c r="C420" s="19" t="str">
        <f>INDEX(Places[County],MATCH(Expenditures[[#This Row],[Jurisdiction]],Places[Jurisdiction],0))</f>
        <v>San Bernardino</v>
      </c>
      <c r="D420" s="19" t="str">
        <f>INDEX(Places[Majority RB],MATCH(Expenditures[[#This Row],[Jurisdiction]],Places[Jurisdiction],0))</f>
        <v>Santa Ana</v>
      </c>
      <c r="E420" s="19">
        <f>INDEX(Places[Majority RB '#],MATCH(Expenditures[[#This Row],[Jurisdiction]],Places[Jurisdiction],0))</f>
        <v>8</v>
      </c>
      <c r="F420" s="19" t="str">
        <f>VLOOKUP(Expenditures[[#This Row],[Jurisdiction]],Places[#All],8,FALSE)</f>
        <v>Phase I MS4</v>
      </c>
      <c r="G420" s="19"/>
      <c r="H420" s="21" t="s">
        <v>1881</v>
      </c>
      <c r="I420" s="21">
        <f>VALUE(LEFT(Expenditures[[#This Row],[Fiscal Year]],4))</f>
        <v>2014</v>
      </c>
      <c r="J420" s="20">
        <v>1932280</v>
      </c>
      <c r="K420" s="20">
        <f>IF(Expenditures[[#This Row],[Reference Year]]&gt;2018,Expenditures[[#This Row],[Value]],Expenditures[[#This Row],[Value]]*(1+VLOOKUP(Expenditures[[#This Row],[Reference Year]],Inflation[#All],3,FALSE)))</f>
        <v>2054167.9285171104</v>
      </c>
      <c r="L420" s="105">
        <f>VALUE(Expenditures[[#This Row],[2018 $ Value]]/VLOOKUP(Expenditures[[#This Row],[Jurisdiction]],Places[],6,FALSE))</f>
        <v>9.5126350647496789</v>
      </c>
      <c r="M420" s="105">
        <f>VALUE(Expenditures[[#This Row],[2018 $ Value]]/VLOOKUP(Expenditures[[#This Row],[Jurisdiction]],Places[],7,FALSE))</f>
        <v>33401.1045287335</v>
      </c>
      <c r="N420" s="20" t="s">
        <v>1460</v>
      </c>
      <c r="O420" s="20" t="s">
        <v>1853</v>
      </c>
    </row>
    <row r="421" spans="1:15" x14ac:dyDescent="0.25">
      <c r="A421" s="19" t="s">
        <v>1440</v>
      </c>
      <c r="B421" s="19" t="str">
        <f>INDEX(Places[Type],MATCH(Expenditures[[#This Row],[Jurisdiction]],Places[Jurisdiction],0))</f>
        <v>County</v>
      </c>
      <c r="C421" s="19" t="str">
        <f>INDEX(Places[County],MATCH(Expenditures[[#This Row],[Jurisdiction]],Places[Jurisdiction],0))</f>
        <v>San Bernardino</v>
      </c>
      <c r="D421" s="19" t="str">
        <f>INDEX(Places[Majority RB],MATCH(Expenditures[[#This Row],[Jurisdiction]],Places[Jurisdiction],0))</f>
        <v>Santa Ana</v>
      </c>
      <c r="E421" s="19">
        <f>INDEX(Places[Majority RB '#],MATCH(Expenditures[[#This Row],[Jurisdiction]],Places[Jurisdiction],0))</f>
        <v>8</v>
      </c>
      <c r="F421" s="19" t="str">
        <f>VLOOKUP(Expenditures[[#This Row],[Jurisdiction]],Places[#All],8,FALSE)</f>
        <v>Phase I MS4</v>
      </c>
      <c r="G421" s="19"/>
      <c r="H421" s="21" t="s">
        <v>1870</v>
      </c>
      <c r="I421" s="21">
        <f>VALUE(LEFT(Expenditures[[#This Row],[Fiscal Year]],4))</f>
        <v>2011</v>
      </c>
      <c r="J421" s="20">
        <v>2481243</v>
      </c>
      <c r="K421" s="20">
        <f>IF(Expenditures[[#This Row],[Reference Year]]&gt;2018,Expenditures[[#This Row],[Value]],Expenditures[[#This Row],[Value]]*(1+VLOOKUP(Expenditures[[#This Row],[Reference Year]],Inflation[#All],3,FALSE)))</f>
        <v>2776156.7689328589</v>
      </c>
      <c r="L421" s="105" t="e">
        <f>VALUE(Expenditures[[#This Row],[2018 $ Value]]/VLOOKUP(Expenditures[[#This Row],[Jurisdiction]],Places[],6,FALSE))</f>
        <v>#N/A</v>
      </c>
      <c r="M421" s="105" t="e">
        <f>VALUE(Expenditures[[#This Row],[2018 $ Value]]/VLOOKUP(Expenditures[[#This Row],[Jurisdiction]],Places[],7,FALSE))</f>
        <v>#N/A</v>
      </c>
      <c r="N421" s="20" t="s">
        <v>1460</v>
      </c>
      <c r="O421" s="20" t="s">
        <v>1460</v>
      </c>
    </row>
    <row r="422" spans="1:15" x14ac:dyDescent="0.25">
      <c r="A422" s="19" t="s">
        <v>1440</v>
      </c>
      <c r="B422" s="19" t="str">
        <f>INDEX(Places[Type],MATCH(Expenditures[[#This Row],[Jurisdiction]],Places[Jurisdiction],0))</f>
        <v>County</v>
      </c>
      <c r="C422" s="19" t="str">
        <f>INDEX(Places[County],MATCH(Expenditures[[#This Row],[Jurisdiction]],Places[Jurisdiction],0))</f>
        <v>San Bernardino</v>
      </c>
      <c r="D422" s="19" t="str">
        <f>INDEX(Places[Majority RB],MATCH(Expenditures[[#This Row],[Jurisdiction]],Places[Jurisdiction],0))</f>
        <v>Santa Ana</v>
      </c>
      <c r="E422" s="19">
        <f>INDEX(Places[Majority RB '#],MATCH(Expenditures[[#This Row],[Jurisdiction]],Places[Jurisdiction],0))</f>
        <v>8</v>
      </c>
      <c r="F422" s="19" t="str">
        <f>VLOOKUP(Expenditures[[#This Row],[Jurisdiction]],Places[#All],8,FALSE)</f>
        <v>Phase I MS4</v>
      </c>
      <c r="G422" s="19"/>
      <c r="H422" s="21" t="s">
        <v>1871</v>
      </c>
      <c r="I422" s="21">
        <f>VALUE(LEFT(Expenditures[[#This Row],[Fiscal Year]],4))</f>
        <v>2012</v>
      </c>
      <c r="J422" s="20">
        <v>2671930</v>
      </c>
      <c r="K422" s="20">
        <f>IF(Expenditures[[#This Row],[Reference Year]]&gt;2018,Expenditures[[#This Row],[Value]],Expenditures[[#This Row],[Value]]*(1+VLOOKUP(Expenditures[[#This Row],[Reference Year]],Inflation[#All],3,FALSE)))</f>
        <v>2928311.9243466901</v>
      </c>
      <c r="L422" s="105" t="e">
        <f>VALUE(Expenditures[[#This Row],[2018 $ Value]]/VLOOKUP(Expenditures[[#This Row],[Jurisdiction]],Places[],6,FALSE))</f>
        <v>#N/A</v>
      </c>
      <c r="M422" s="105" t="e">
        <f>VALUE(Expenditures[[#This Row],[2018 $ Value]]/VLOOKUP(Expenditures[[#This Row],[Jurisdiction]],Places[],7,FALSE))</f>
        <v>#N/A</v>
      </c>
      <c r="N422" s="20" t="s">
        <v>1460</v>
      </c>
      <c r="O422" s="20" t="s">
        <v>1460</v>
      </c>
    </row>
    <row r="423" spans="1:15" x14ac:dyDescent="0.25">
      <c r="A423" s="19" t="s">
        <v>1440</v>
      </c>
      <c r="B423" s="19" t="str">
        <f>INDEX(Places[Type],MATCH(Expenditures[[#This Row],[Jurisdiction]],Places[Jurisdiction],0))</f>
        <v>County</v>
      </c>
      <c r="C423" s="19" t="str">
        <f>INDEX(Places[County],MATCH(Expenditures[[#This Row],[Jurisdiction]],Places[Jurisdiction],0))</f>
        <v>San Bernardino</v>
      </c>
      <c r="D423" s="19" t="str">
        <f>INDEX(Places[Majority RB],MATCH(Expenditures[[#This Row],[Jurisdiction]],Places[Jurisdiction],0))</f>
        <v>Santa Ana</v>
      </c>
      <c r="E423" s="19">
        <f>INDEX(Places[Majority RB '#],MATCH(Expenditures[[#This Row],[Jurisdiction]],Places[Jurisdiction],0))</f>
        <v>8</v>
      </c>
      <c r="F423" s="19" t="str">
        <f>VLOOKUP(Expenditures[[#This Row],[Jurisdiction]],Places[#All],8,FALSE)</f>
        <v>Phase I MS4</v>
      </c>
      <c r="G423" s="19"/>
      <c r="H423" s="21" t="s">
        <v>1880</v>
      </c>
      <c r="I423" s="21">
        <f>VALUE(LEFT(Expenditures[[#This Row],[Fiscal Year]],4))</f>
        <v>2013</v>
      </c>
      <c r="J423" s="20">
        <v>2575246</v>
      </c>
      <c r="K423" s="20">
        <f>IF(Expenditures[[#This Row],[Reference Year]]&gt;2018,Expenditures[[#This Row],[Value]],Expenditures[[#This Row],[Value]]*(1+VLOOKUP(Expenditures[[#This Row],[Reference Year]],Inflation[#All],3,FALSE)))</f>
        <v>2781166.2069785409</v>
      </c>
      <c r="L423" s="105" t="e">
        <f>VALUE(Expenditures[[#This Row],[2018 $ Value]]/VLOOKUP(Expenditures[[#This Row],[Jurisdiction]],Places[],6,FALSE))</f>
        <v>#N/A</v>
      </c>
      <c r="M423" s="105" t="e">
        <f>VALUE(Expenditures[[#This Row],[2018 $ Value]]/VLOOKUP(Expenditures[[#This Row],[Jurisdiction]],Places[],7,FALSE))</f>
        <v>#N/A</v>
      </c>
      <c r="N423" s="20" t="s">
        <v>1460</v>
      </c>
      <c r="O423" s="20" t="s">
        <v>1460</v>
      </c>
    </row>
    <row r="424" spans="1:15" x14ac:dyDescent="0.25">
      <c r="A424" s="19" t="s">
        <v>1440</v>
      </c>
      <c r="B424" s="19" t="str">
        <f>INDEX(Places[Type],MATCH(Expenditures[[#This Row],[Jurisdiction]],Places[Jurisdiction],0))</f>
        <v>County</v>
      </c>
      <c r="C424" s="19" t="str">
        <f>INDEX(Places[County],MATCH(Expenditures[[#This Row],[Jurisdiction]],Places[Jurisdiction],0))</f>
        <v>San Bernardino</v>
      </c>
      <c r="D424" s="19" t="str">
        <f>INDEX(Places[Majority RB],MATCH(Expenditures[[#This Row],[Jurisdiction]],Places[Jurisdiction],0))</f>
        <v>Santa Ana</v>
      </c>
      <c r="E424" s="19">
        <f>INDEX(Places[Majority RB '#],MATCH(Expenditures[[#This Row],[Jurisdiction]],Places[Jurisdiction],0))</f>
        <v>8</v>
      </c>
      <c r="F424" s="19" t="str">
        <f>VLOOKUP(Expenditures[[#This Row],[Jurisdiction]],Places[#All],8,FALSE)</f>
        <v>Phase I MS4</v>
      </c>
      <c r="G424" s="19"/>
      <c r="H424" s="21" t="s">
        <v>1881</v>
      </c>
      <c r="I424" s="21">
        <f>VALUE(LEFT(Expenditures[[#This Row],[Fiscal Year]],4))</f>
        <v>2014</v>
      </c>
      <c r="J424" s="20">
        <v>5137001</v>
      </c>
      <c r="K424" s="20">
        <f>IF(Expenditures[[#This Row],[Reference Year]]&gt;2018,Expenditures[[#This Row],[Value]],Expenditures[[#This Row],[Value]]*(1+VLOOKUP(Expenditures[[#This Row],[Reference Year]],Inflation[#All],3,FALSE)))</f>
        <v>5461042.2417870723</v>
      </c>
      <c r="L424" s="105" t="e">
        <f>VALUE(Expenditures[[#This Row],[2018 $ Value]]/VLOOKUP(Expenditures[[#This Row],[Jurisdiction]],Places[],6,FALSE))</f>
        <v>#N/A</v>
      </c>
      <c r="M424" s="105" t="e">
        <f>VALUE(Expenditures[[#This Row],[2018 $ Value]]/VLOOKUP(Expenditures[[#This Row],[Jurisdiction]],Places[],7,FALSE))</f>
        <v>#N/A</v>
      </c>
      <c r="N424" s="20" t="s">
        <v>1460</v>
      </c>
      <c r="O424" s="20" t="s">
        <v>1853</v>
      </c>
    </row>
    <row r="425" spans="1:15" x14ac:dyDescent="0.25">
      <c r="A425" s="19" t="s">
        <v>1441</v>
      </c>
      <c r="B425" s="19" t="str">
        <f>INDEX(Places[Type],MATCH(Expenditures[[#This Row],[Jurisdiction]],Places[Jurisdiction],0))</f>
        <v>FCD</v>
      </c>
      <c r="C425" s="19" t="str">
        <f>INDEX(Places[County],MATCH(Expenditures[[#This Row],[Jurisdiction]],Places[Jurisdiction],0))</f>
        <v>San Bernardino</v>
      </c>
      <c r="D425" s="19" t="str">
        <f>INDEX(Places[Majority RB],MATCH(Expenditures[[#This Row],[Jurisdiction]],Places[Jurisdiction],0))</f>
        <v>Santa Ana</v>
      </c>
      <c r="E425" s="19">
        <f>INDEX(Places[Majority RB '#],MATCH(Expenditures[[#This Row],[Jurisdiction]],Places[Jurisdiction],0))</f>
        <v>8</v>
      </c>
      <c r="F425" s="19" t="str">
        <f>VLOOKUP(Expenditures[[#This Row],[Jurisdiction]],Places[#All],8,FALSE)</f>
        <v>Phase I MS4</v>
      </c>
      <c r="G425" s="19"/>
      <c r="H425" s="21" t="s">
        <v>1870</v>
      </c>
      <c r="I425" s="21">
        <f>VALUE(LEFT(Expenditures[[#This Row],[Fiscal Year]],4))</f>
        <v>2011</v>
      </c>
      <c r="J425" s="20">
        <v>25904104</v>
      </c>
      <c r="K425" s="20">
        <f>IF(Expenditures[[#This Row],[Reference Year]]&gt;2018,Expenditures[[#This Row],[Value]],Expenditures[[#This Row],[Value]]*(1+VLOOKUP(Expenditures[[#This Row],[Reference Year]],Inflation[#All],3,FALSE)))</f>
        <v>28982995.080586929</v>
      </c>
      <c r="L425" s="105" t="e">
        <f>VALUE(Expenditures[[#This Row],[2018 $ Value]]/VLOOKUP(Expenditures[[#This Row],[Jurisdiction]],Places[],6,FALSE))</f>
        <v>#N/A</v>
      </c>
      <c r="M425" s="105" t="e">
        <f>VALUE(Expenditures[[#This Row],[2018 $ Value]]/VLOOKUP(Expenditures[[#This Row],[Jurisdiction]],Places[],7,FALSE))</f>
        <v>#N/A</v>
      </c>
      <c r="N425" s="20" t="s">
        <v>1460</v>
      </c>
      <c r="O425" s="20" t="s">
        <v>1460</v>
      </c>
    </row>
    <row r="426" spans="1:15" x14ac:dyDescent="0.25">
      <c r="A426" s="19" t="s">
        <v>1441</v>
      </c>
      <c r="B426" s="19" t="str">
        <f>INDEX(Places[Type],MATCH(Expenditures[[#This Row],[Jurisdiction]],Places[Jurisdiction],0))</f>
        <v>FCD</v>
      </c>
      <c r="C426" s="19" t="str">
        <f>INDEX(Places[County],MATCH(Expenditures[[#This Row],[Jurisdiction]],Places[Jurisdiction],0))</f>
        <v>San Bernardino</v>
      </c>
      <c r="D426" s="19" t="str">
        <f>INDEX(Places[Majority RB],MATCH(Expenditures[[#This Row],[Jurisdiction]],Places[Jurisdiction],0))</f>
        <v>Santa Ana</v>
      </c>
      <c r="E426" s="19">
        <f>INDEX(Places[Majority RB '#],MATCH(Expenditures[[#This Row],[Jurisdiction]],Places[Jurisdiction],0))</f>
        <v>8</v>
      </c>
      <c r="F426" s="19" t="str">
        <f>VLOOKUP(Expenditures[[#This Row],[Jurisdiction]],Places[#All],8,FALSE)</f>
        <v>Phase I MS4</v>
      </c>
      <c r="G426" s="19"/>
      <c r="H426" s="21" t="s">
        <v>1871</v>
      </c>
      <c r="I426" s="21">
        <f>VALUE(LEFT(Expenditures[[#This Row],[Fiscal Year]],4))</f>
        <v>2012</v>
      </c>
      <c r="J426" s="20">
        <v>13536619</v>
      </c>
      <c r="K426" s="20">
        <f>IF(Expenditures[[#This Row],[Reference Year]]&gt;2018,Expenditures[[#This Row],[Value]],Expenditures[[#This Row],[Value]]*(1+VLOOKUP(Expenditures[[#This Row],[Reference Year]],Inflation[#All],3,FALSE)))</f>
        <v>14835509.475561848</v>
      </c>
      <c r="L426" s="105" t="e">
        <f>VALUE(Expenditures[[#This Row],[2018 $ Value]]/VLOOKUP(Expenditures[[#This Row],[Jurisdiction]],Places[],6,FALSE))</f>
        <v>#N/A</v>
      </c>
      <c r="M426" s="105" t="e">
        <f>VALUE(Expenditures[[#This Row],[2018 $ Value]]/VLOOKUP(Expenditures[[#This Row],[Jurisdiction]],Places[],7,FALSE))</f>
        <v>#N/A</v>
      </c>
      <c r="N426" s="20" t="s">
        <v>1460</v>
      </c>
      <c r="O426" s="20" t="s">
        <v>1460</v>
      </c>
    </row>
    <row r="427" spans="1:15" x14ac:dyDescent="0.25">
      <c r="A427" s="19" t="s">
        <v>1441</v>
      </c>
      <c r="B427" s="19" t="str">
        <f>INDEX(Places[Type],MATCH(Expenditures[[#This Row],[Jurisdiction]],Places[Jurisdiction],0))</f>
        <v>FCD</v>
      </c>
      <c r="C427" s="19" t="str">
        <f>INDEX(Places[County],MATCH(Expenditures[[#This Row],[Jurisdiction]],Places[Jurisdiction],0))</f>
        <v>San Bernardino</v>
      </c>
      <c r="D427" s="19" t="str">
        <f>INDEX(Places[Majority RB],MATCH(Expenditures[[#This Row],[Jurisdiction]],Places[Jurisdiction],0))</f>
        <v>Santa Ana</v>
      </c>
      <c r="E427" s="19">
        <f>INDEX(Places[Majority RB '#],MATCH(Expenditures[[#This Row],[Jurisdiction]],Places[Jurisdiction],0))</f>
        <v>8</v>
      </c>
      <c r="F427" s="19" t="str">
        <f>VLOOKUP(Expenditures[[#This Row],[Jurisdiction]],Places[#All],8,FALSE)</f>
        <v>Phase I MS4</v>
      </c>
      <c r="G427" s="19"/>
      <c r="H427" s="21" t="s">
        <v>1880</v>
      </c>
      <c r="I427" s="21">
        <f>VALUE(LEFT(Expenditures[[#This Row],[Fiscal Year]],4))</f>
        <v>2013</v>
      </c>
      <c r="J427" s="20">
        <v>44552449</v>
      </c>
      <c r="K427" s="20">
        <f>IF(Expenditures[[#This Row],[Reference Year]]&gt;2018,Expenditures[[#This Row],[Value]],Expenditures[[#This Row],[Value]]*(1+VLOOKUP(Expenditures[[#This Row],[Reference Year]],Inflation[#All],3,FALSE)))</f>
        <v>48114924.009952791</v>
      </c>
      <c r="L427" s="105" t="e">
        <f>VALUE(Expenditures[[#This Row],[2018 $ Value]]/VLOOKUP(Expenditures[[#This Row],[Jurisdiction]],Places[],6,FALSE))</f>
        <v>#N/A</v>
      </c>
      <c r="M427" s="105" t="e">
        <f>VALUE(Expenditures[[#This Row],[2018 $ Value]]/VLOOKUP(Expenditures[[#This Row],[Jurisdiction]],Places[],7,FALSE))</f>
        <v>#N/A</v>
      </c>
      <c r="N427" s="20" t="s">
        <v>1460</v>
      </c>
      <c r="O427" s="20" t="s">
        <v>1460</v>
      </c>
    </row>
    <row r="428" spans="1:15" x14ac:dyDescent="0.25">
      <c r="A428" s="19" t="s">
        <v>1441</v>
      </c>
      <c r="B428" s="19" t="str">
        <f>INDEX(Places[Type],MATCH(Expenditures[[#This Row],[Jurisdiction]],Places[Jurisdiction],0))</f>
        <v>FCD</v>
      </c>
      <c r="C428" s="19" t="str">
        <f>INDEX(Places[County],MATCH(Expenditures[[#This Row],[Jurisdiction]],Places[Jurisdiction],0))</f>
        <v>San Bernardino</v>
      </c>
      <c r="D428" s="19" t="str">
        <f>INDEX(Places[Majority RB],MATCH(Expenditures[[#This Row],[Jurisdiction]],Places[Jurisdiction],0))</f>
        <v>Santa Ana</v>
      </c>
      <c r="E428" s="19">
        <f>INDEX(Places[Majority RB '#],MATCH(Expenditures[[#This Row],[Jurisdiction]],Places[Jurisdiction],0))</f>
        <v>8</v>
      </c>
      <c r="F428" s="19" t="str">
        <f>VLOOKUP(Expenditures[[#This Row],[Jurisdiction]],Places[#All],8,FALSE)</f>
        <v>Phase I MS4</v>
      </c>
      <c r="G428" s="19"/>
      <c r="H428" s="21" t="s">
        <v>1881</v>
      </c>
      <c r="I428" s="21">
        <f>VALUE(LEFT(Expenditures[[#This Row],[Fiscal Year]],4))</f>
        <v>2014</v>
      </c>
      <c r="J428" s="20">
        <v>15478324</v>
      </c>
      <c r="K428" s="20">
        <f>IF(Expenditures[[#This Row],[Reference Year]]&gt;2018,Expenditures[[#This Row],[Value]],Expenditures[[#This Row],[Value]]*(1+VLOOKUP(Expenditures[[#This Row],[Reference Year]],Inflation[#All],3,FALSE)))</f>
        <v>16454694.323802283</v>
      </c>
      <c r="L428" s="105" t="e">
        <f>VALUE(Expenditures[[#This Row],[2018 $ Value]]/VLOOKUP(Expenditures[[#This Row],[Jurisdiction]],Places[],6,FALSE))</f>
        <v>#N/A</v>
      </c>
      <c r="M428" s="105" t="e">
        <f>VALUE(Expenditures[[#This Row],[2018 $ Value]]/VLOOKUP(Expenditures[[#This Row],[Jurisdiction]],Places[],7,FALSE))</f>
        <v>#N/A</v>
      </c>
      <c r="N428" s="20" t="s">
        <v>1460</v>
      </c>
      <c r="O428" s="20" t="s">
        <v>1853</v>
      </c>
    </row>
    <row r="429" spans="1:15" x14ac:dyDescent="0.25">
      <c r="A429" s="19" t="s">
        <v>1761</v>
      </c>
      <c r="B429" s="19" t="str">
        <f>INDEX(Places[Type],MATCH(Expenditures[[#This Row],[Jurisdiction]],Places[Jurisdiction],0))</f>
        <v>City</v>
      </c>
      <c r="C429" s="19" t="str">
        <f>INDEX(Places[County],MATCH(Expenditures[[#This Row],[Jurisdiction]],Places[Jurisdiction],0))</f>
        <v>Ventura</v>
      </c>
      <c r="D429" s="19" t="str">
        <f>INDEX(Places[Majority RB],MATCH(Expenditures[[#This Row],[Jurisdiction]],Places[Jurisdiction],0))</f>
        <v>Los Angeles</v>
      </c>
      <c r="E429" s="19">
        <f>INDEX(Places[Majority RB '#],MATCH(Expenditures[[#This Row],[Jurisdiction]],Places[Jurisdiction],0))</f>
        <v>4</v>
      </c>
      <c r="F429" s="19" t="str">
        <f>VLOOKUP(Expenditures[[#This Row],[Jurisdiction]],Places[#All],8,FALSE)</f>
        <v>Phase I MS4</v>
      </c>
      <c r="G429" s="19"/>
      <c r="H429" s="21" t="s">
        <v>1876</v>
      </c>
      <c r="I429" s="21">
        <f>VALUE(LEFT(Expenditures[[#This Row],[Fiscal Year]],4))</f>
        <v>2018</v>
      </c>
      <c r="J429" s="20">
        <v>1468000</v>
      </c>
      <c r="K429" s="20">
        <f>IF(Expenditures[[#This Row],[Reference Year]]&gt;2018,Expenditures[[#This Row],[Value]],Expenditures[[#This Row],[Value]]*(1+VLOOKUP(Expenditures[[#This Row],[Reference Year]],Inflation[#All],3,FALSE)))</f>
        <v>1468000</v>
      </c>
      <c r="L429" s="105">
        <f>VALUE(Expenditures[[#This Row],[2018 $ Value]]/VLOOKUP(Expenditures[[#This Row],[Jurisdiction]],Places[],6,FALSE))</f>
        <v>13.209992081203657</v>
      </c>
      <c r="M429" s="105">
        <f>VALUE(Expenditures[[#This Row],[2018 $ Value]]/VLOOKUP(Expenditures[[#This Row],[Jurisdiction]],Places[],7,FALSE))</f>
        <v>67339.449541284397</v>
      </c>
      <c r="N429" s="20" t="s">
        <v>1853</v>
      </c>
      <c r="O429" s="20" t="s">
        <v>1853</v>
      </c>
    </row>
    <row r="430" spans="1:15" x14ac:dyDescent="0.25">
      <c r="A430" s="19" t="s">
        <v>288</v>
      </c>
      <c r="B430" s="19" t="str">
        <f>INDEX(Places[Type],MATCH(Expenditures[[#This Row],[Jurisdiction]],Places[Jurisdiction],0))</f>
        <v>City</v>
      </c>
      <c r="C430" s="19" t="str">
        <f>INDEX(Places[County],MATCH(Expenditures[[#This Row],[Jurisdiction]],Places[Jurisdiction],0))</f>
        <v>Orange</v>
      </c>
      <c r="D430" s="19" t="str">
        <f>INDEX(Places[Majority RB],MATCH(Expenditures[[#This Row],[Jurisdiction]],Places[Jurisdiction],0))</f>
        <v>San Diego</v>
      </c>
      <c r="E430" s="19">
        <f>INDEX(Places[Majority RB '#],MATCH(Expenditures[[#This Row],[Jurisdiction]],Places[Jurisdiction],0))</f>
        <v>9</v>
      </c>
      <c r="F430" s="19" t="str">
        <f>VLOOKUP(Expenditures[[#This Row],[Jurisdiction]],Places[#All],8,FALSE)</f>
        <v>Phase I MS4</v>
      </c>
      <c r="G430" s="19"/>
      <c r="H430" s="21" t="s">
        <v>1893</v>
      </c>
      <c r="I430" s="21">
        <f>VALUE(LEFT(Expenditures[[#This Row],[Fiscal Year]],4))</f>
        <v>2000</v>
      </c>
      <c r="J430" s="20">
        <v>684728</v>
      </c>
      <c r="K430" s="20">
        <f>IF(Expenditures[[#This Row],[Reference Year]]&gt;2018,Expenditures[[#This Row],[Value]],Expenditures[[#This Row],[Value]]*(1+VLOOKUP(Expenditures[[#This Row],[Reference Year]],Inflation[#All],3,FALSE)))</f>
        <v>1000573.7013240419</v>
      </c>
      <c r="L430" s="105">
        <f>VALUE(Expenditures[[#This Row],[2018 $ Value]]/VLOOKUP(Expenditures[[#This Row],[Jurisdiction]],Places[],6,FALSE))</f>
        <v>15.427381798788749</v>
      </c>
      <c r="M430" s="105">
        <f>VALUE(Expenditures[[#This Row],[2018 $ Value]]/VLOOKUP(Expenditures[[#This Row],[Jurisdiction]],Places[],7,FALSE))</f>
        <v>54379.005506741414</v>
      </c>
      <c r="N430" s="20" t="s">
        <v>1460</v>
      </c>
      <c r="O430" s="20" t="s">
        <v>1460</v>
      </c>
    </row>
    <row r="431" spans="1:15" x14ac:dyDescent="0.25">
      <c r="A431" s="19" t="s">
        <v>288</v>
      </c>
      <c r="B431" s="19" t="str">
        <f>INDEX(Places[Type],MATCH(Expenditures[[#This Row],[Jurisdiction]],Places[Jurisdiction],0))</f>
        <v>City</v>
      </c>
      <c r="C431" s="19" t="str">
        <f>INDEX(Places[County],MATCH(Expenditures[[#This Row],[Jurisdiction]],Places[Jurisdiction],0))</f>
        <v>Orange</v>
      </c>
      <c r="D431" s="19" t="str">
        <f>INDEX(Places[Majority RB],MATCH(Expenditures[[#This Row],[Jurisdiction]],Places[Jurisdiction],0))</f>
        <v>San Diego</v>
      </c>
      <c r="E431" s="19">
        <f>INDEX(Places[Majority RB '#],MATCH(Expenditures[[#This Row],[Jurisdiction]],Places[Jurisdiction],0))</f>
        <v>9</v>
      </c>
      <c r="F431" s="19" t="str">
        <f>VLOOKUP(Expenditures[[#This Row],[Jurisdiction]],Places[#All],8,FALSE)</f>
        <v>Phase I MS4</v>
      </c>
      <c r="G431" s="19"/>
      <c r="H431" s="21" t="s">
        <v>1875</v>
      </c>
      <c r="I431" s="21">
        <f>VALUE(LEFT(Expenditures[[#This Row],[Fiscal Year]],4))</f>
        <v>2001</v>
      </c>
      <c r="J431" s="20">
        <v>612710</v>
      </c>
      <c r="K431" s="20">
        <f>IF(Expenditures[[#This Row],[Reference Year]]&gt;2018,Expenditures[[#This Row],[Value]],Expenditures[[#This Row],[Value]]*(1+VLOOKUP(Expenditures[[#This Row],[Reference Year]],Inflation[#All],3,FALSE)))</f>
        <v>870563.69288537547</v>
      </c>
      <c r="L431" s="105">
        <f>VALUE(Expenditures[[#This Row],[2018 $ Value]]/VLOOKUP(Expenditures[[#This Row],[Jurisdiction]],Places[],6,FALSE))</f>
        <v>13.422817781972268</v>
      </c>
      <c r="M431" s="105">
        <f>VALUE(Expenditures[[#This Row],[2018 $ Value]]/VLOOKUP(Expenditures[[#This Row],[Jurisdiction]],Places[],7,FALSE))</f>
        <v>47313.244178553017</v>
      </c>
      <c r="N431" s="20" t="s">
        <v>1460</v>
      </c>
      <c r="O431" s="20" t="s">
        <v>1460</v>
      </c>
    </row>
    <row r="432" spans="1:15" x14ac:dyDescent="0.25">
      <c r="A432" s="19" t="s">
        <v>288</v>
      </c>
      <c r="B432" s="19" t="str">
        <f>INDEX(Places[Type],MATCH(Expenditures[[#This Row],[Jurisdiction]],Places[Jurisdiction],0))</f>
        <v>City</v>
      </c>
      <c r="C432" s="19" t="str">
        <f>INDEX(Places[County],MATCH(Expenditures[[#This Row],[Jurisdiction]],Places[Jurisdiction],0))</f>
        <v>Orange</v>
      </c>
      <c r="D432" s="19" t="str">
        <f>INDEX(Places[Majority RB],MATCH(Expenditures[[#This Row],[Jurisdiction]],Places[Jurisdiction],0))</f>
        <v>San Diego</v>
      </c>
      <c r="E432" s="19">
        <f>INDEX(Places[Majority RB '#],MATCH(Expenditures[[#This Row],[Jurisdiction]],Places[Jurisdiction],0))</f>
        <v>9</v>
      </c>
      <c r="F432" s="19" t="str">
        <f>VLOOKUP(Expenditures[[#This Row],[Jurisdiction]],Places[#All],8,FALSE)</f>
        <v>Phase I MS4</v>
      </c>
      <c r="G432" s="19"/>
      <c r="H432" s="21" t="s">
        <v>1881</v>
      </c>
      <c r="I432" s="21">
        <f>VALUE(LEFT(Expenditures[[#This Row],[Fiscal Year]],4))</f>
        <v>2014</v>
      </c>
      <c r="J432" s="20">
        <v>2092255.71</v>
      </c>
      <c r="K432" s="20">
        <f>IF(Expenditures[[#This Row],[Reference Year]]&gt;2018,Expenditures[[#This Row],[Value]],Expenditures[[#This Row],[Value]]*(1+VLOOKUP(Expenditures[[#This Row],[Reference Year]],Inflation[#All],3,FALSE)))</f>
        <v>2224234.881973004</v>
      </c>
      <c r="L432" s="105">
        <f>VALUE(Expenditures[[#This Row],[2018 $ Value]]/VLOOKUP(Expenditures[[#This Row],[Jurisdiction]],Places[],6,FALSE))</f>
        <v>34.294445965323774</v>
      </c>
      <c r="M432" s="105">
        <f>VALUE(Expenditures[[#This Row],[2018 $ Value]]/VLOOKUP(Expenditures[[#This Row],[Jurisdiction]],Places[],7,FALSE))</f>
        <v>120882.3305420111</v>
      </c>
      <c r="N432" s="20" t="s">
        <v>1460</v>
      </c>
      <c r="O432" s="20" t="s">
        <v>1460</v>
      </c>
    </row>
    <row r="433" spans="1:15" x14ac:dyDescent="0.25">
      <c r="A433" s="19" t="s">
        <v>288</v>
      </c>
      <c r="B433" s="19" t="str">
        <f>INDEX(Places[Type],MATCH(Expenditures[[#This Row],[Jurisdiction]],Places[Jurisdiction],0))</f>
        <v>City</v>
      </c>
      <c r="C433" s="19" t="str">
        <f>INDEX(Places[County],MATCH(Expenditures[[#This Row],[Jurisdiction]],Places[Jurisdiction],0))</f>
        <v>Orange</v>
      </c>
      <c r="D433" s="19" t="str">
        <f>INDEX(Places[Majority RB],MATCH(Expenditures[[#This Row],[Jurisdiction]],Places[Jurisdiction],0))</f>
        <v>San Diego</v>
      </c>
      <c r="E433" s="19">
        <f>INDEX(Places[Majority RB '#],MATCH(Expenditures[[#This Row],[Jurisdiction]],Places[Jurisdiction],0))</f>
        <v>9</v>
      </c>
      <c r="F433" s="19" t="str">
        <f>VLOOKUP(Expenditures[[#This Row],[Jurisdiction]],Places[#All],8,FALSE)</f>
        <v>Phase I MS4</v>
      </c>
      <c r="G433" s="19"/>
      <c r="H433" s="21" t="s">
        <v>1873</v>
      </c>
      <c r="I433" s="21">
        <f>VALUE(LEFT(Expenditures[[#This Row],[Fiscal Year]],4))</f>
        <v>2015</v>
      </c>
      <c r="J433" s="20">
        <v>2355674.69</v>
      </c>
      <c r="K433" s="20">
        <f>IF(Expenditures[[#This Row],[Reference Year]]&gt;2018,Expenditures[[#This Row],[Value]],Expenditures[[#This Row],[Value]]*(1+VLOOKUP(Expenditures[[#This Row],[Reference Year]],Inflation[#All],3,FALSE)))</f>
        <v>2501100.3287737975</v>
      </c>
      <c r="L433" s="105">
        <f>VALUE(Expenditures[[#This Row],[2018 $ Value]]/VLOOKUP(Expenditures[[#This Row],[Jurisdiction]],Places[],6,FALSE))</f>
        <v>38.56330586943271</v>
      </c>
      <c r="M433" s="105">
        <f>VALUE(Expenditures[[#This Row],[2018 $ Value]]/VLOOKUP(Expenditures[[#This Row],[Jurisdiction]],Places[],7,FALSE))</f>
        <v>135929.36569422812</v>
      </c>
      <c r="N433" s="20" t="s">
        <v>1460</v>
      </c>
      <c r="O433" s="20" t="s">
        <v>1460</v>
      </c>
    </row>
    <row r="434" spans="1:15" x14ac:dyDescent="0.25">
      <c r="A434" s="19" t="s">
        <v>288</v>
      </c>
      <c r="B434" s="19" t="str">
        <f>INDEX(Places[Type],MATCH(Expenditures[[#This Row],[Jurisdiction]],Places[Jurisdiction],0))</f>
        <v>City</v>
      </c>
      <c r="C434" s="19" t="str">
        <f>INDEX(Places[County],MATCH(Expenditures[[#This Row],[Jurisdiction]],Places[Jurisdiction],0))</f>
        <v>Orange</v>
      </c>
      <c r="D434" s="19" t="str">
        <f>INDEX(Places[Majority RB],MATCH(Expenditures[[#This Row],[Jurisdiction]],Places[Jurisdiction],0))</f>
        <v>San Diego</v>
      </c>
      <c r="E434" s="19">
        <f>INDEX(Places[Majority RB '#],MATCH(Expenditures[[#This Row],[Jurisdiction]],Places[Jurisdiction],0))</f>
        <v>9</v>
      </c>
      <c r="F434" s="19" t="str">
        <f>VLOOKUP(Expenditures[[#This Row],[Jurisdiction]],Places[#All],8,FALSE)</f>
        <v>Phase I MS4</v>
      </c>
      <c r="G434" s="19"/>
      <c r="H434" s="21" t="s">
        <v>1869</v>
      </c>
      <c r="I434" s="21">
        <f>VALUE(LEFT(Expenditures[[#This Row],[Fiscal Year]],4))</f>
        <v>2016</v>
      </c>
      <c r="J434" s="20">
        <v>2448033.2599999998</v>
      </c>
      <c r="K434" s="20">
        <f>IF(Expenditures[[#This Row],[Reference Year]]&gt;2018,Expenditures[[#This Row],[Value]],Expenditures[[#This Row],[Value]]*(1+VLOOKUP(Expenditures[[#This Row],[Reference Year]],Inflation[#All],3,FALSE)))</f>
        <v>2566671.0718627498</v>
      </c>
      <c r="L434" s="105">
        <f>VALUE(Expenditures[[#This Row],[2018 $ Value]]/VLOOKUP(Expenditures[[#This Row],[Jurisdiction]],Places[],6,FALSE))</f>
        <v>39.574310743061652</v>
      </c>
      <c r="M434" s="105">
        <f>VALUE(Expenditures[[#This Row],[2018 $ Value]]/VLOOKUP(Expenditures[[#This Row],[Jurisdiction]],Places[],7,FALSE))</f>
        <v>139492.99303601903</v>
      </c>
      <c r="N434" s="20" t="s">
        <v>1460</v>
      </c>
      <c r="O434" s="20" t="s">
        <v>1460</v>
      </c>
    </row>
    <row r="435" spans="1:15" x14ac:dyDescent="0.25">
      <c r="A435" s="19" t="s">
        <v>288</v>
      </c>
      <c r="B435" s="19" t="str">
        <f>INDEX(Places[Type],MATCH(Expenditures[[#This Row],[Jurisdiction]],Places[Jurisdiction],0))</f>
        <v>City</v>
      </c>
      <c r="C435" s="19" t="str">
        <f>INDEX(Places[County],MATCH(Expenditures[[#This Row],[Jurisdiction]],Places[Jurisdiction],0))</f>
        <v>Orange</v>
      </c>
      <c r="D435" s="19" t="str">
        <f>INDEX(Places[Majority RB],MATCH(Expenditures[[#This Row],[Jurisdiction]],Places[Jurisdiction],0))</f>
        <v>San Diego</v>
      </c>
      <c r="E435" s="19">
        <f>INDEX(Places[Majority RB '#],MATCH(Expenditures[[#This Row],[Jurisdiction]],Places[Jurisdiction],0))</f>
        <v>9</v>
      </c>
      <c r="F435" s="19" t="str">
        <f>VLOOKUP(Expenditures[[#This Row],[Jurisdiction]],Places[#All],8,FALSE)</f>
        <v>Phase I MS4</v>
      </c>
      <c r="G435" s="19"/>
      <c r="H435" s="21" t="s">
        <v>1874</v>
      </c>
      <c r="I435" s="21">
        <f>VALUE(LEFT(Expenditures[[#This Row],[Fiscal Year]],4))</f>
        <v>2017</v>
      </c>
      <c r="J435" s="20">
        <v>2263930.41</v>
      </c>
      <c r="K435" s="20">
        <f>IF(Expenditures[[#This Row],[Reference Year]]&gt;2018,Expenditures[[#This Row],[Value]],Expenditures[[#This Row],[Value]]*(1+VLOOKUP(Expenditures[[#This Row],[Reference Year]],Inflation[#All],3,FALSE)))</f>
        <v>2324255.703789107</v>
      </c>
      <c r="L435" s="105">
        <f>VALUE(Expenditures[[#This Row],[2018 $ Value]]/VLOOKUP(Expenditures[[#This Row],[Jurisdiction]],Places[],6,FALSE))</f>
        <v>35.836620623666022</v>
      </c>
      <c r="M435" s="105">
        <f>VALUE(Expenditures[[#This Row],[2018 $ Value]]/VLOOKUP(Expenditures[[#This Row],[Jurisdiction]],Places[],7,FALSE))</f>
        <v>126318.24477114713</v>
      </c>
      <c r="N435" s="20" t="s">
        <v>1460</v>
      </c>
      <c r="O435" s="20" t="s">
        <v>1460</v>
      </c>
    </row>
    <row r="436" spans="1:15" x14ac:dyDescent="0.25">
      <c r="A436" s="19" t="s">
        <v>288</v>
      </c>
      <c r="B436" s="19" t="str">
        <f>INDEX(Places[Type],MATCH(Expenditures[[#This Row],[Jurisdiction]],Places[Jurisdiction],0))</f>
        <v>City</v>
      </c>
      <c r="C436" s="19" t="str">
        <f>INDEX(Places[County],MATCH(Expenditures[[#This Row],[Jurisdiction]],Places[Jurisdiction],0))</f>
        <v>Orange</v>
      </c>
      <c r="D436" s="19" t="str">
        <f>INDEX(Places[Majority RB],MATCH(Expenditures[[#This Row],[Jurisdiction]],Places[Jurisdiction],0))</f>
        <v>San Diego</v>
      </c>
      <c r="E436" s="19">
        <f>INDEX(Places[Majority RB '#],MATCH(Expenditures[[#This Row],[Jurisdiction]],Places[Jurisdiction],0))</f>
        <v>9</v>
      </c>
      <c r="F436" s="19" t="str">
        <f>VLOOKUP(Expenditures[[#This Row],[Jurisdiction]],Places[#All],8,FALSE)</f>
        <v>Phase I MS4</v>
      </c>
      <c r="G436" s="19"/>
      <c r="H436" s="21" t="s">
        <v>1876</v>
      </c>
      <c r="I436" s="21">
        <f>VALUE(LEFT(Expenditures[[#This Row],[Fiscal Year]],4))</f>
        <v>2018</v>
      </c>
      <c r="J436" s="20">
        <v>3321750.21</v>
      </c>
      <c r="K436" s="20">
        <f>IF(Expenditures[[#This Row],[Reference Year]]&gt;2018,Expenditures[[#This Row],[Value]],Expenditures[[#This Row],[Value]]*(1+VLOOKUP(Expenditures[[#This Row],[Reference Year]],Inflation[#All],3,FALSE)))</f>
        <v>3321750.21</v>
      </c>
      <c r="L436" s="105">
        <f>VALUE(Expenditures[[#This Row],[2018 $ Value]]/VLOOKUP(Expenditures[[#This Row],[Jurisdiction]],Places[],6,FALSE))</f>
        <v>51.216525741246123</v>
      </c>
      <c r="M436" s="105">
        <f>VALUE(Expenditures[[#This Row],[2018 $ Value]]/VLOOKUP(Expenditures[[#This Row],[Jurisdiction]],Places[],7,FALSE))</f>
        <v>180529.90271739132</v>
      </c>
      <c r="N436" s="20" t="s">
        <v>1460</v>
      </c>
      <c r="O436" s="20" t="s">
        <v>1853</v>
      </c>
    </row>
    <row r="437" spans="1:15" x14ac:dyDescent="0.25">
      <c r="A437" s="19" t="s">
        <v>21</v>
      </c>
      <c r="B437" s="19" t="str">
        <f>INDEX(Places[Type],MATCH(Expenditures[[#This Row],[Jurisdiction]],Places[Jurisdiction],0))</f>
        <v>City</v>
      </c>
      <c r="C437" s="19" t="str">
        <f>INDEX(Places[County],MATCH(Expenditures[[#This Row],[Jurisdiction]],Places[Jurisdiction],0))</f>
        <v>San Diego</v>
      </c>
      <c r="D437" s="19" t="str">
        <f>INDEX(Places[Majority RB],MATCH(Expenditures[[#This Row],[Jurisdiction]],Places[Jurisdiction],0))</f>
        <v>San Diego</v>
      </c>
      <c r="E437" s="19">
        <f>INDEX(Places[Majority RB '#],MATCH(Expenditures[[#This Row],[Jurisdiction]],Places[Jurisdiction],0))</f>
        <v>9</v>
      </c>
      <c r="F437" s="19" t="str">
        <f>VLOOKUP(Expenditures[[#This Row],[Jurisdiction]],Places[#All],8,FALSE)</f>
        <v>Phase I MS4</v>
      </c>
      <c r="G437" s="19"/>
      <c r="H437" s="21" t="s">
        <v>1873</v>
      </c>
      <c r="I437" s="21">
        <f>VALUE(LEFT(Expenditures[[#This Row],[Fiscal Year]],4))</f>
        <v>2015</v>
      </c>
      <c r="J437" s="20">
        <v>75228179</v>
      </c>
      <c r="K437" s="20">
        <f>IF(Expenditures[[#This Row],[Reference Year]]&gt;2018,Expenditures[[#This Row],[Value]],Expenditures[[#This Row],[Value]]*(1+VLOOKUP(Expenditures[[#This Row],[Reference Year]],Inflation[#All],3,FALSE)))</f>
        <v>79872328.733962014</v>
      </c>
      <c r="L437" s="105">
        <f>VALUE(Expenditures[[#This Row],[2018 $ Value]]/VLOOKUP(Expenditures[[#This Row],[Jurisdiction]],Places[],6,FALSE))</f>
        <v>56.012393430157317</v>
      </c>
      <c r="M437" s="105">
        <f>VALUE(Expenditures[[#This Row],[2018 $ Value]]/VLOOKUP(Expenditures[[#This Row],[Jurisdiction]],Places[],7,FALSE))</f>
        <v>245609.86695560275</v>
      </c>
      <c r="N437" s="20" t="s">
        <v>1460</v>
      </c>
      <c r="O437" s="20" t="s">
        <v>1460</v>
      </c>
    </row>
    <row r="438" spans="1:15" x14ac:dyDescent="0.25">
      <c r="A438" s="19" t="s">
        <v>21</v>
      </c>
      <c r="B438" s="19" t="str">
        <f>INDEX(Places[Type],MATCH(Expenditures[[#This Row],[Jurisdiction]],Places[Jurisdiction],0))</f>
        <v>City</v>
      </c>
      <c r="C438" s="19" t="str">
        <f>INDEX(Places[County],MATCH(Expenditures[[#This Row],[Jurisdiction]],Places[Jurisdiction],0))</f>
        <v>San Diego</v>
      </c>
      <c r="D438" s="19" t="str">
        <f>INDEX(Places[Majority RB],MATCH(Expenditures[[#This Row],[Jurisdiction]],Places[Jurisdiction],0))</f>
        <v>San Diego</v>
      </c>
      <c r="E438" s="19">
        <f>INDEX(Places[Majority RB '#],MATCH(Expenditures[[#This Row],[Jurisdiction]],Places[Jurisdiction],0))</f>
        <v>9</v>
      </c>
      <c r="F438" s="19" t="str">
        <f>VLOOKUP(Expenditures[[#This Row],[Jurisdiction]],Places[#All],8,FALSE)</f>
        <v>Phase I MS4</v>
      </c>
      <c r="G438" s="19"/>
      <c r="H438" s="21" t="s">
        <v>1869</v>
      </c>
      <c r="I438" s="21">
        <f>VALUE(LEFT(Expenditures[[#This Row],[Fiscal Year]],4))</f>
        <v>2016</v>
      </c>
      <c r="J438" s="20">
        <v>80339838</v>
      </c>
      <c r="K438" s="20">
        <f>IF(Expenditures[[#This Row],[Reference Year]]&gt;2018,Expenditures[[#This Row],[Value]],Expenditures[[#This Row],[Value]]*(1+VLOOKUP(Expenditures[[#This Row],[Reference Year]],Inflation[#All],3,FALSE)))</f>
        <v>84233307.399075001</v>
      </c>
      <c r="L438" s="105">
        <f>VALUE(Expenditures[[#This Row],[2018 $ Value]]/VLOOKUP(Expenditures[[#This Row],[Jurisdiction]],Places[],6,FALSE))</f>
        <v>59.070634708490886</v>
      </c>
      <c r="M438" s="105">
        <f>VALUE(Expenditures[[#This Row],[2018 $ Value]]/VLOOKUP(Expenditures[[#This Row],[Jurisdiction]],Places[],7,FALSE))</f>
        <v>259020.01045226015</v>
      </c>
      <c r="N438" s="20" t="s">
        <v>1460</v>
      </c>
      <c r="O438" s="20" t="s">
        <v>1460</v>
      </c>
    </row>
    <row r="439" spans="1:15" x14ac:dyDescent="0.25">
      <c r="A439" s="19" t="s">
        <v>21</v>
      </c>
      <c r="B439" s="19" t="str">
        <f>INDEX(Places[Type],MATCH(Expenditures[[#This Row],[Jurisdiction]],Places[Jurisdiction],0))</f>
        <v>City</v>
      </c>
      <c r="C439" s="19" t="str">
        <f>INDEX(Places[County],MATCH(Expenditures[[#This Row],[Jurisdiction]],Places[Jurisdiction],0))</f>
        <v>San Diego</v>
      </c>
      <c r="D439" s="19" t="str">
        <f>INDEX(Places[Majority RB],MATCH(Expenditures[[#This Row],[Jurisdiction]],Places[Jurisdiction],0))</f>
        <v>San Diego</v>
      </c>
      <c r="E439" s="19">
        <f>INDEX(Places[Majority RB '#],MATCH(Expenditures[[#This Row],[Jurisdiction]],Places[Jurisdiction],0))</f>
        <v>9</v>
      </c>
      <c r="F439" s="19" t="str">
        <f>VLOOKUP(Expenditures[[#This Row],[Jurisdiction]],Places[#All],8,FALSE)</f>
        <v>Phase I MS4</v>
      </c>
      <c r="G439" s="19"/>
      <c r="H439" s="21" t="s">
        <v>1874</v>
      </c>
      <c r="I439" s="21">
        <f>VALUE(LEFT(Expenditures[[#This Row],[Fiscal Year]],4))</f>
        <v>2017</v>
      </c>
      <c r="J439" s="20">
        <v>74414627</v>
      </c>
      <c r="K439" s="20">
        <f>IF(Expenditures[[#This Row],[Reference Year]]&gt;2018,Expenditures[[#This Row],[Value]],Expenditures[[#This Row],[Value]]*(1+VLOOKUP(Expenditures[[#This Row],[Reference Year]],Inflation[#All],3,FALSE)))</f>
        <v>76397499.007086918</v>
      </c>
      <c r="L439" s="105">
        <f>VALUE(Expenditures[[#This Row],[2018 $ Value]]/VLOOKUP(Expenditures[[#This Row],[Jurisdiction]],Places[],6,FALSE))</f>
        <v>53.575585428567464</v>
      </c>
      <c r="M439" s="105">
        <f>VALUE(Expenditures[[#This Row],[2018 $ Value]]/VLOOKUP(Expenditures[[#This Row],[Jurisdiction]],Places[],7,FALSE))</f>
        <v>234924.65869337923</v>
      </c>
      <c r="N439" s="20" t="s">
        <v>1853</v>
      </c>
      <c r="O439" s="20" t="s">
        <v>1853</v>
      </c>
    </row>
    <row r="440" spans="1:15" x14ac:dyDescent="0.25">
      <c r="A440" s="19" t="s">
        <v>1428</v>
      </c>
      <c r="B440" s="19" t="str">
        <f>INDEX(Places[Type],MATCH(Expenditures[[#This Row],[Jurisdiction]],Places[Jurisdiction],0))</f>
        <v>County</v>
      </c>
      <c r="C440" s="19" t="str">
        <f>INDEX(Places[County],MATCH(Expenditures[[#This Row],[Jurisdiction]],Places[Jurisdiction],0))</f>
        <v>San Diego</v>
      </c>
      <c r="D440" s="19" t="str">
        <f>INDEX(Places[Majority RB],MATCH(Expenditures[[#This Row],[Jurisdiction]],Places[Jurisdiction],0))</f>
        <v>San Diego</v>
      </c>
      <c r="E440" s="19">
        <f>INDEX(Places[Majority RB '#],MATCH(Expenditures[[#This Row],[Jurisdiction]],Places[Jurisdiction],0))</f>
        <v>9</v>
      </c>
      <c r="F440" s="19" t="str">
        <f>VLOOKUP(Expenditures[[#This Row],[Jurisdiction]],Places[#All],8,FALSE)</f>
        <v>Phase I MS4</v>
      </c>
      <c r="G440" s="19"/>
      <c r="H440" s="21" t="s">
        <v>1886</v>
      </c>
      <c r="I440" s="21">
        <f>VALUE(LEFT(Expenditures[[#This Row],[Fiscal Year]],4))</f>
        <v>2003</v>
      </c>
      <c r="J440" s="20">
        <v>26879340</v>
      </c>
      <c r="K440" s="20">
        <f>IF(Expenditures[[#This Row],[Reference Year]]&gt;2018,Expenditures[[#This Row],[Value]],Expenditures[[#This Row],[Value]]*(1+VLOOKUP(Expenditures[[#This Row],[Reference Year]],Inflation[#All],3,FALSE)))</f>
        <v>36759104.367065214</v>
      </c>
      <c r="L440" s="105" t="e">
        <f>VALUE(Expenditures[[#This Row],[2018 $ Value]]/VLOOKUP(Expenditures[[#This Row],[Jurisdiction]],Places[],6,FALSE))</f>
        <v>#DIV/0!</v>
      </c>
      <c r="M440" s="105" t="e">
        <f>VALUE(Expenditures[[#This Row],[2018 $ Value]]/VLOOKUP(Expenditures[[#This Row],[Jurisdiction]],Places[],7,FALSE))</f>
        <v>#N/A</v>
      </c>
      <c r="N440" s="20" t="s">
        <v>1460</v>
      </c>
      <c r="O440" s="20" t="s">
        <v>1460</v>
      </c>
    </row>
    <row r="441" spans="1:15" x14ac:dyDescent="0.25">
      <c r="A441" s="19" t="s">
        <v>1428</v>
      </c>
      <c r="B441" s="19" t="str">
        <f>INDEX(Places[Type],MATCH(Expenditures[[#This Row],[Jurisdiction]],Places[Jurisdiction],0))</f>
        <v>County</v>
      </c>
      <c r="C441" s="19" t="str">
        <f>INDEX(Places[County],MATCH(Expenditures[[#This Row],[Jurisdiction]],Places[Jurisdiction],0))</f>
        <v>San Diego</v>
      </c>
      <c r="D441" s="19" t="str">
        <f>INDEX(Places[Majority RB],MATCH(Expenditures[[#This Row],[Jurisdiction]],Places[Jurisdiction],0))</f>
        <v>San Diego</v>
      </c>
      <c r="E441" s="19">
        <f>INDEX(Places[Majority RB '#],MATCH(Expenditures[[#This Row],[Jurisdiction]],Places[Jurisdiction],0))</f>
        <v>9</v>
      </c>
      <c r="F441" s="19" t="str">
        <f>VLOOKUP(Expenditures[[#This Row],[Jurisdiction]],Places[#All],8,FALSE)</f>
        <v>Phase I MS4</v>
      </c>
      <c r="G441" s="19"/>
      <c r="H441" s="21" t="s">
        <v>1887</v>
      </c>
      <c r="I441" s="21">
        <f>VALUE(LEFT(Expenditures[[#This Row],[Fiscal Year]],4))</f>
        <v>2004</v>
      </c>
      <c r="J441" s="20">
        <v>27656709</v>
      </c>
      <c r="K441" s="20">
        <f>IF(Expenditures[[#This Row],[Reference Year]]&gt;2018,Expenditures[[#This Row],[Value]],Expenditures[[#This Row],[Value]]*(1+VLOOKUP(Expenditures[[#This Row],[Reference Year]],Inflation[#All],3,FALSE)))</f>
        <v>36841108.217993647</v>
      </c>
      <c r="L441" s="105" t="e">
        <f>VALUE(Expenditures[[#This Row],[2018 $ Value]]/VLOOKUP(Expenditures[[#This Row],[Jurisdiction]],Places[],6,FALSE))</f>
        <v>#DIV/0!</v>
      </c>
      <c r="M441" s="105" t="e">
        <f>VALUE(Expenditures[[#This Row],[2018 $ Value]]/VLOOKUP(Expenditures[[#This Row],[Jurisdiction]],Places[],7,FALSE))</f>
        <v>#N/A</v>
      </c>
      <c r="N441" s="20" t="s">
        <v>1460</v>
      </c>
      <c r="O441" s="20" t="s">
        <v>1460</v>
      </c>
    </row>
    <row r="442" spans="1:15" x14ac:dyDescent="0.25">
      <c r="A442" s="19" t="s">
        <v>1428</v>
      </c>
      <c r="B442" s="19" t="str">
        <f>INDEX(Places[Type],MATCH(Expenditures[[#This Row],[Jurisdiction]],Places[Jurisdiction],0))</f>
        <v>County</v>
      </c>
      <c r="C442" s="19" t="str">
        <f>INDEX(Places[County],MATCH(Expenditures[[#This Row],[Jurisdiction]],Places[Jurisdiction],0))</f>
        <v>San Diego</v>
      </c>
      <c r="D442" s="19" t="str">
        <f>INDEX(Places[Majority RB],MATCH(Expenditures[[#This Row],[Jurisdiction]],Places[Jurisdiction],0))</f>
        <v>San Diego</v>
      </c>
      <c r="E442" s="19">
        <f>INDEX(Places[Majority RB '#],MATCH(Expenditures[[#This Row],[Jurisdiction]],Places[Jurisdiction],0))</f>
        <v>9</v>
      </c>
      <c r="F442" s="19" t="str">
        <f>VLOOKUP(Expenditures[[#This Row],[Jurisdiction]],Places[#All],8,FALSE)</f>
        <v>Phase I MS4</v>
      </c>
      <c r="G442" s="19"/>
      <c r="H442" s="21" t="s">
        <v>1882</v>
      </c>
      <c r="I442" s="21">
        <f>VALUE(LEFT(Expenditures[[#This Row],[Fiscal Year]],4))</f>
        <v>2005</v>
      </c>
      <c r="J442" s="20">
        <v>28204830</v>
      </c>
      <c r="K442" s="20">
        <f>IF(Expenditures[[#This Row],[Reference Year]]&gt;2018,Expenditures[[#This Row],[Value]],Expenditures[[#This Row],[Value]]*(1+VLOOKUP(Expenditures[[#This Row],[Reference Year]],Inflation[#All],3,FALSE)))</f>
        <v>36340038.80046083</v>
      </c>
      <c r="L442" s="105" t="e">
        <f>VALUE(Expenditures[[#This Row],[2018 $ Value]]/VLOOKUP(Expenditures[[#This Row],[Jurisdiction]],Places[],6,FALSE))</f>
        <v>#DIV/0!</v>
      </c>
      <c r="M442" s="105" t="e">
        <f>VALUE(Expenditures[[#This Row],[2018 $ Value]]/VLOOKUP(Expenditures[[#This Row],[Jurisdiction]],Places[],7,FALSE))</f>
        <v>#N/A</v>
      </c>
      <c r="N442" s="20" t="s">
        <v>1460</v>
      </c>
      <c r="O442" s="20" t="s">
        <v>1460</v>
      </c>
    </row>
    <row r="443" spans="1:15" x14ac:dyDescent="0.25">
      <c r="A443" s="19" t="s">
        <v>1428</v>
      </c>
      <c r="B443" s="19" t="str">
        <f>INDEX(Places[Type],MATCH(Expenditures[[#This Row],[Jurisdiction]],Places[Jurisdiction],0))</f>
        <v>County</v>
      </c>
      <c r="C443" s="19" t="str">
        <f>INDEX(Places[County],MATCH(Expenditures[[#This Row],[Jurisdiction]],Places[Jurisdiction],0))</f>
        <v>San Diego</v>
      </c>
      <c r="D443" s="19" t="str">
        <f>INDEX(Places[Majority RB],MATCH(Expenditures[[#This Row],[Jurisdiction]],Places[Jurisdiction],0))</f>
        <v>San Diego</v>
      </c>
      <c r="E443" s="19">
        <f>INDEX(Places[Majority RB '#],MATCH(Expenditures[[#This Row],[Jurisdiction]],Places[Jurisdiction],0))</f>
        <v>9</v>
      </c>
      <c r="F443" s="19" t="str">
        <f>VLOOKUP(Expenditures[[#This Row],[Jurisdiction]],Places[#All],8,FALSE)</f>
        <v>Phase I MS4</v>
      </c>
      <c r="G443" s="19"/>
      <c r="H443" s="21" t="s">
        <v>1883</v>
      </c>
      <c r="I443" s="21">
        <f>VALUE(LEFT(Expenditures[[#This Row],[Fiscal Year]],4))</f>
        <v>2006</v>
      </c>
      <c r="J443" s="20">
        <v>29536909</v>
      </c>
      <c r="K443" s="20">
        <f>IF(Expenditures[[#This Row],[Reference Year]]&gt;2018,Expenditures[[#This Row],[Value]],Expenditures[[#This Row],[Value]]*(1+VLOOKUP(Expenditures[[#This Row],[Reference Year]],Inflation[#All],3,FALSE)))</f>
        <v>36867073.15763393</v>
      </c>
      <c r="L443" s="105" t="e">
        <f>VALUE(Expenditures[[#This Row],[2018 $ Value]]/VLOOKUP(Expenditures[[#This Row],[Jurisdiction]],Places[],6,FALSE))</f>
        <v>#DIV/0!</v>
      </c>
      <c r="M443" s="105" t="e">
        <f>VALUE(Expenditures[[#This Row],[2018 $ Value]]/VLOOKUP(Expenditures[[#This Row],[Jurisdiction]],Places[],7,FALSE))</f>
        <v>#N/A</v>
      </c>
      <c r="N443" s="20" t="s">
        <v>1460</v>
      </c>
      <c r="O443" s="20" t="s">
        <v>1460</v>
      </c>
    </row>
    <row r="444" spans="1:15" x14ac:dyDescent="0.25">
      <c r="A444" s="19" t="s">
        <v>1428</v>
      </c>
      <c r="B444" s="19" t="str">
        <f>INDEX(Places[Type],MATCH(Expenditures[[#This Row],[Jurisdiction]],Places[Jurisdiction],0))</f>
        <v>County</v>
      </c>
      <c r="C444" s="19" t="str">
        <f>INDEX(Places[County],MATCH(Expenditures[[#This Row],[Jurisdiction]],Places[Jurisdiction],0))</f>
        <v>San Diego</v>
      </c>
      <c r="D444" s="19" t="str">
        <f>INDEX(Places[Majority RB],MATCH(Expenditures[[#This Row],[Jurisdiction]],Places[Jurisdiction],0))</f>
        <v>San Diego</v>
      </c>
      <c r="E444" s="19">
        <f>INDEX(Places[Majority RB '#],MATCH(Expenditures[[#This Row],[Jurisdiction]],Places[Jurisdiction],0))</f>
        <v>9</v>
      </c>
      <c r="F444" s="19" t="str">
        <f>VLOOKUP(Expenditures[[#This Row],[Jurisdiction]],Places[#All],8,FALSE)</f>
        <v>Phase I MS4</v>
      </c>
      <c r="G444" s="19"/>
      <c r="H444" s="21" t="s">
        <v>1888</v>
      </c>
      <c r="I444" s="21">
        <f>VALUE(LEFT(Expenditures[[#This Row],[Fiscal Year]],4))</f>
        <v>2007</v>
      </c>
      <c r="J444" s="20">
        <v>31517738</v>
      </c>
      <c r="K444" s="20">
        <f>IF(Expenditures[[#This Row],[Reference Year]]&gt;2018,Expenditures[[#This Row],[Value]],Expenditures[[#This Row],[Value]]*(1+VLOOKUP(Expenditures[[#This Row],[Reference Year]],Inflation[#All],3,FALSE)))</f>
        <v>38257790.307177998</v>
      </c>
      <c r="L444" s="105" t="e">
        <f>VALUE(Expenditures[[#This Row],[2018 $ Value]]/VLOOKUP(Expenditures[[#This Row],[Jurisdiction]],Places[],6,FALSE))</f>
        <v>#DIV/0!</v>
      </c>
      <c r="M444" s="105" t="e">
        <f>VALUE(Expenditures[[#This Row],[2018 $ Value]]/VLOOKUP(Expenditures[[#This Row],[Jurisdiction]],Places[],7,FALSE))</f>
        <v>#N/A</v>
      </c>
      <c r="N444" s="20" t="s">
        <v>1460</v>
      </c>
      <c r="O444" s="20" t="s">
        <v>1460</v>
      </c>
    </row>
    <row r="445" spans="1:15" x14ac:dyDescent="0.25">
      <c r="A445" s="19" t="s">
        <v>1428</v>
      </c>
      <c r="B445" s="19" t="str">
        <f>INDEX(Places[Type],MATCH(Expenditures[[#This Row],[Jurisdiction]],Places[Jurisdiction],0))</f>
        <v>County</v>
      </c>
      <c r="C445" s="19" t="str">
        <f>INDEX(Places[County],MATCH(Expenditures[[#This Row],[Jurisdiction]],Places[Jurisdiction],0))</f>
        <v>San Diego</v>
      </c>
      <c r="D445" s="19" t="str">
        <f>INDEX(Places[Majority RB],MATCH(Expenditures[[#This Row],[Jurisdiction]],Places[Jurisdiction],0))</f>
        <v>San Diego</v>
      </c>
      <c r="E445" s="19">
        <f>INDEX(Places[Majority RB '#],MATCH(Expenditures[[#This Row],[Jurisdiction]],Places[Jurisdiction],0))</f>
        <v>9</v>
      </c>
      <c r="F445" s="19" t="str">
        <f>VLOOKUP(Expenditures[[#This Row],[Jurisdiction]],Places[#All],8,FALSE)</f>
        <v>Phase I MS4</v>
      </c>
      <c r="G445" s="19"/>
      <c r="H445" s="21" t="s">
        <v>1884</v>
      </c>
      <c r="I445" s="21">
        <f>VALUE(LEFT(Expenditures[[#This Row],[Fiscal Year]],4))</f>
        <v>2008</v>
      </c>
      <c r="J445" s="20">
        <v>34575288</v>
      </c>
      <c r="K445" s="20">
        <f>IF(Expenditures[[#This Row],[Reference Year]]&gt;2018,Expenditures[[#This Row],[Value]],Expenditures[[#This Row],[Value]]*(1+VLOOKUP(Expenditures[[#This Row],[Reference Year]],Inflation[#All],3,FALSE)))</f>
        <v>40409727.332689263</v>
      </c>
      <c r="L445" s="105" t="e">
        <f>VALUE(Expenditures[[#This Row],[2018 $ Value]]/VLOOKUP(Expenditures[[#This Row],[Jurisdiction]],Places[],6,FALSE))</f>
        <v>#DIV/0!</v>
      </c>
      <c r="M445" s="105" t="e">
        <f>VALUE(Expenditures[[#This Row],[2018 $ Value]]/VLOOKUP(Expenditures[[#This Row],[Jurisdiction]],Places[],7,FALSE))</f>
        <v>#N/A</v>
      </c>
      <c r="N445" s="20" t="s">
        <v>1460</v>
      </c>
      <c r="O445" s="20" t="s">
        <v>1460</v>
      </c>
    </row>
    <row r="446" spans="1:15" x14ac:dyDescent="0.25">
      <c r="A446" s="19" t="s">
        <v>1428</v>
      </c>
      <c r="B446" s="19" t="str">
        <f>INDEX(Places[Type],MATCH(Expenditures[[#This Row],[Jurisdiction]],Places[Jurisdiction],0))</f>
        <v>County</v>
      </c>
      <c r="C446" s="19" t="str">
        <f>INDEX(Places[County],MATCH(Expenditures[[#This Row],[Jurisdiction]],Places[Jurisdiction],0))</f>
        <v>San Diego</v>
      </c>
      <c r="D446" s="19" t="str">
        <f>INDEX(Places[Majority RB],MATCH(Expenditures[[#This Row],[Jurisdiction]],Places[Jurisdiction],0))</f>
        <v>San Diego</v>
      </c>
      <c r="E446" s="19">
        <f>INDEX(Places[Majority RB '#],MATCH(Expenditures[[#This Row],[Jurisdiction]],Places[Jurisdiction],0))</f>
        <v>9</v>
      </c>
      <c r="F446" s="19" t="str">
        <f>VLOOKUP(Expenditures[[#This Row],[Jurisdiction]],Places[#All],8,FALSE)</f>
        <v>Phase I MS4</v>
      </c>
      <c r="G446" s="19"/>
      <c r="H446" s="21" t="s">
        <v>1889</v>
      </c>
      <c r="I446" s="21">
        <f>VALUE(LEFT(Expenditures[[#This Row],[Fiscal Year]],4))</f>
        <v>2009</v>
      </c>
      <c r="J446" s="20">
        <v>34605056</v>
      </c>
      <c r="K446" s="20">
        <f>IF(Expenditures[[#This Row],[Reference Year]]&gt;2018,Expenditures[[#This Row],[Value]],Expenditures[[#This Row],[Value]]*(1+VLOOKUP(Expenditures[[#This Row],[Reference Year]],Inflation[#All],3,FALSE)))</f>
        <v>40595360.588979021</v>
      </c>
      <c r="L446" s="105" t="e">
        <f>VALUE(Expenditures[[#This Row],[2018 $ Value]]/VLOOKUP(Expenditures[[#This Row],[Jurisdiction]],Places[],6,FALSE))</f>
        <v>#DIV/0!</v>
      </c>
      <c r="M446" s="105" t="e">
        <f>VALUE(Expenditures[[#This Row],[2018 $ Value]]/VLOOKUP(Expenditures[[#This Row],[Jurisdiction]],Places[],7,FALSE))</f>
        <v>#N/A</v>
      </c>
      <c r="N446" s="20" t="s">
        <v>1460</v>
      </c>
      <c r="O446" s="20" t="s">
        <v>1460</v>
      </c>
    </row>
    <row r="447" spans="1:15" x14ac:dyDescent="0.25">
      <c r="A447" s="19" t="s">
        <v>1428</v>
      </c>
      <c r="B447" s="19" t="str">
        <f>INDEX(Places[Type],MATCH(Expenditures[[#This Row],[Jurisdiction]],Places[Jurisdiction],0))</f>
        <v>County</v>
      </c>
      <c r="C447" s="19" t="str">
        <f>INDEX(Places[County],MATCH(Expenditures[[#This Row],[Jurisdiction]],Places[Jurisdiction],0))</f>
        <v>San Diego</v>
      </c>
      <c r="D447" s="19" t="str">
        <f>INDEX(Places[Majority RB],MATCH(Expenditures[[#This Row],[Jurisdiction]],Places[Jurisdiction],0))</f>
        <v>San Diego</v>
      </c>
      <c r="E447" s="19">
        <f>INDEX(Places[Majority RB '#],MATCH(Expenditures[[#This Row],[Jurisdiction]],Places[Jurisdiction],0))</f>
        <v>9</v>
      </c>
      <c r="F447" s="19" t="str">
        <f>VLOOKUP(Expenditures[[#This Row],[Jurisdiction]],Places[#All],8,FALSE)</f>
        <v>Phase I MS4</v>
      </c>
      <c r="G447" s="19"/>
      <c r="H447" s="21" t="s">
        <v>1885</v>
      </c>
      <c r="I447" s="21">
        <f>VALUE(LEFT(Expenditures[[#This Row],[Fiscal Year]],4))</f>
        <v>2010</v>
      </c>
      <c r="J447" s="20">
        <v>31498284</v>
      </c>
      <c r="K447" s="20">
        <f>IF(Expenditures[[#This Row],[Reference Year]]&gt;2018,Expenditures[[#This Row],[Value]],Expenditures[[#This Row],[Value]]*(1+VLOOKUP(Expenditures[[#This Row],[Reference Year]],Inflation[#All],3,FALSE)))</f>
        <v>36340874.375075653</v>
      </c>
      <c r="L447" s="105" t="e">
        <f>VALUE(Expenditures[[#This Row],[2018 $ Value]]/VLOOKUP(Expenditures[[#This Row],[Jurisdiction]],Places[],6,FALSE))</f>
        <v>#DIV/0!</v>
      </c>
      <c r="M447" s="105" t="e">
        <f>VALUE(Expenditures[[#This Row],[2018 $ Value]]/VLOOKUP(Expenditures[[#This Row],[Jurisdiction]],Places[],7,FALSE))</f>
        <v>#N/A</v>
      </c>
      <c r="N447" s="20" t="s">
        <v>1460</v>
      </c>
      <c r="O447" s="20" t="s">
        <v>1460</v>
      </c>
    </row>
    <row r="448" spans="1:15" x14ac:dyDescent="0.25">
      <c r="A448" s="19" t="s">
        <v>1428</v>
      </c>
      <c r="B448" s="19" t="str">
        <f>INDEX(Places[Type],MATCH(Expenditures[[#This Row],[Jurisdiction]],Places[Jurisdiction],0))</f>
        <v>County</v>
      </c>
      <c r="C448" s="19" t="str">
        <f>INDEX(Places[County],MATCH(Expenditures[[#This Row],[Jurisdiction]],Places[Jurisdiction],0))</f>
        <v>San Diego</v>
      </c>
      <c r="D448" s="19" t="str">
        <f>INDEX(Places[Majority RB],MATCH(Expenditures[[#This Row],[Jurisdiction]],Places[Jurisdiction],0))</f>
        <v>San Diego</v>
      </c>
      <c r="E448" s="19">
        <f>INDEX(Places[Majority RB '#],MATCH(Expenditures[[#This Row],[Jurisdiction]],Places[Jurisdiction],0))</f>
        <v>9</v>
      </c>
      <c r="F448" s="19" t="str">
        <f>VLOOKUP(Expenditures[[#This Row],[Jurisdiction]],Places[#All],8,FALSE)</f>
        <v>Phase I MS4</v>
      </c>
      <c r="G448" s="19"/>
      <c r="H448" s="21" t="s">
        <v>1870</v>
      </c>
      <c r="I448" s="21">
        <f>VALUE(LEFT(Expenditures[[#This Row],[Fiscal Year]],4))</f>
        <v>2011</v>
      </c>
      <c r="J448" s="20">
        <v>32842855</v>
      </c>
      <c r="K448" s="20">
        <f>IF(Expenditures[[#This Row],[Reference Year]]&gt;2018,Expenditures[[#This Row],[Value]],Expenditures[[#This Row],[Value]]*(1+VLOOKUP(Expenditures[[#This Row],[Reference Year]],Inflation[#All],3,FALSE)))</f>
        <v>36746467.080947086</v>
      </c>
      <c r="L448" s="105" t="e">
        <f>VALUE(Expenditures[[#This Row],[2018 $ Value]]/VLOOKUP(Expenditures[[#This Row],[Jurisdiction]],Places[],6,FALSE))</f>
        <v>#DIV/0!</v>
      </c>
      <c r="M448" s="105" t="e">
        <f>VALUE(Expenditures[[#This Row],[2018 $ Value]]/VLOOKUP(Expenditures[[#This Row],[Jurisdiction]],Places[],7,FALSE))</f>
        <v>#N/A</v>
      </c>
      <c r="N448" s="20" t="s">
        <v>1460</v>
      </c>
      <c r="O448" s="20" t="s">
        <v>1460</v>
      </c>
    </row>
    <row r="449" spans="1:15" x14ac:dyDescent="0.25">
      <c r="A449" s="19" t="s">
        <v>1428</v>
      </c>
      <c r="B449" s="19" t="str">
        <f>INDEX(Places[Type],MATCH(Expenditures[[#This Row],[Jurisdiction]],Places[Jurisdiction],0))</f>
        <v>County</v>
      </c>
      <c r="C449" s="19" t="str">
        <f>INDEX(Places[County],MATCH(Expenditures[[#This Row],[Jurisdiction]],Places[Jurisdiction],0))</f>
        <v>San Diego</v>
      </c>
      <c r="D449" s="19" t="str">
        <f>INDEX(Places[Majority RB],MATCH(Expenditures[[#This Row],[Jurisdiction]],Places[Jurisdiction],0))</f>
        <v>San Diego</v>
      </c>
      <c r="E449" s="19">
        <f>INDEX(Places[Majority RB '#],MATCH(Expenditures[[#This Row],[Jurisdiction]],Places[Jurisdiction],0))</f>
        <v>9</v>
      </c>
      <c r="F449" s="19" t="str">
        <f>VLOOKUP(Expenditures[[#This Row],[Jurisdiction]],Places[#All],8,FALSE)</f>
        <v>Phase I MS4</v>
      </c>
      <c r="G449" s="19"/>
      <c r="H449" s="21" t="s">
        <v>1871</v>
      </c>
      <c r="I449" s="21">
        <f>VALUE(LEFT(Expenditures[[#This Row],[Fiscal Year]],4))</f>
        <v>2012</v>
      </c>
      <c r="J449" s="20">
        <v>32221539</v>
      </c>
      <c r="K449" s="20">
        <f>IF(Expenditures[[#This Row],[Reference Year]]&gt;2018,Expenditures[[#This Row],[Value]],Expenditures[[#This Row],[Value]]*(1+VLOOKUP(Expenditures[[#This Row],[Reference Year]],Inflation[#All],3,FALSE)))</f>
        <v>35313319.164237805</v>
      </c>
      <c r="L449" s="105" t="e">
        <f>VALUE(Expenditures[[#This Row],[2018 $ Value]]/VLOOKUP(Expenditures[[#This Row],[Jurisdiction]],Places[],6,FALSE))</f>
        <v>#DIV/0!</v>
      </c>
      <c r="M449" s="105" t="e">
        <f>VALUE(Expenditures[[#This Row],[2018 $ Value]]/VLOOKUP(Expenditures[[#This Row],[Jurisdiction]],Places[],7,FALSE))</f>
        <v>#N/A</v>
      </c>
      <c r="N449" s="20" t="s">
        <v>1460</v>
      </c>
      <c r="O449" s="20" t="s">
        <v>1460</v>
      </c>
    </row>
    <row r="450" spans="1:15" x14ac:dyDescent="0.25">
      <c r="A450" s="19" t="s">
        <v>1428</v>
      </c>
      <c r="B450" s="19" t="str">
        <f>INDEX(Places[Type],MATCH(Expenditures[[#This Row],[Jurisdiction]],Places[Jurisdiction],0))</f>
        <v>County</v>
      </c>
      <c r="C450" s="19" t="str">
        <f>INDEX(Places[County],MATCH(Expenditures[[#This Row],[Jurisdiction]],Places[Jurisdiction],0))</f>
        <v>San Diego</v>
      </c>
      <c r="D450" s="19" t="str">
        <f>INDEX(Places[Majority RB],MATCH(Expenditures[[#This Row],[Jurisdiction]],Places[Jurisdiction],0))</f>
        <v>San Diego</v>
      </c>
      <c r="E450" s="19">
        <f>INDEX(Places[Majority RB '#],MATCH(Expenditures[[#This Row],[Jurisdiction]],Places[Jurisdiction],0))</f>
        <v>9</v>
      </c>
      <c r="F450" s="19" t="str">
        <f>VLOOKUP(Expenditures[[#This Row],[Jurisdiction]],Places[#All],8,FALSE)</f>
        <v>Phase I MS4</v>
      </c>
      <c r="G450" s="19"/>
      <c r="H450" s="21" t="s">
        <v>1881</v>
      </c>
      <c r="I450" s="21">
        <f>VALUE(LEFT(Expenditures[[#This Row],[Fiscal Year]],4))</f>
        <v>2014</v>
      </c>
      <c r="J450" s="20">
        <v>28867398</v>
      </c>
      <c r="K450" s="20">
        <f>IF(Expenditures[[#This Row],[Reference Year]]&gt;2018,Expenditures[[#This Row],[Value]],Expenditures[[#This Row],[Value]]*(1+VLOOKUP(Expenditures[[#This Row],[Reference Year]],Inflation[#All],3,FALSE)))</f>
        <v>30688349.075361218</v>
      </c>
      <c r="L450" s="105" t="e">
        <f>VALUE(Expenditures[[#This Row],[2018 $ Value]]/VLOOKUP(Expenditures[[#This Row],[Jurisdiction]],Places[],6,FALSE))</f>
        <v>#DIV/0!</v>
      </c>
      <c r="M450" s="105" t="e">
        <f>VALUE(Expenditures[[#This Row],[2018 $ Value]]/VLOOKUP(Expenditures[[#This Row],[Jurisdiction]],Places[],7,FALSE))</f>
        <v>#N/A</v>
      </c>
      <c r="N450" s="20" t="s">
        <v>1460</v>
      </c>
      <c r="O450" s="20" t="s">
        <v>1460</v>
      </c>
    </row>
    <row r="451" spans="1:15" x14ac:dyDescent="0.25">
      <c r="A451" s="19" t="s">
        <v>1428</v>
      </c>
      <c r="B451" s="19" t="str">
        <f>INDEX(Places[Type],MATCH(Expenditures[[#This Row],[Jurisdiction]],Places[Jurisdiction],0))</f>
        <v>County</v>
      </c>
      <c r="C451" s="19" t="str">
        <f>INDEX(Places[County],MATCH(Expenditures[[#This Row],[Jurisdiction]],Places[Jurisdiction],0))</f>
        <v>San Diego</v>
      </c>
      <c r="D451" s="19" t="str">
        <f>INDEX(Places[Majority RB],MATCH(Expenditures[[#This Row],[Jurisdiction]],Places[Jurisdiction],0))</f>
        <v>San Diego</v>
      </c>
      <c r="E451" s="19">
        <f>INDEX(Places[Majority RB '#],MATCH(Expenditures[[#This Row],[Jurisdiction]],Places[Jurisdiction],0))</f>
        <v>9</v>
      </c>
      <c r="F451" s="19" t="str">
        <f>VLOOKUP(Expenditures[[#This Row],[Jurisdiction]],Places[#All],8,FALSE)</f>
        <v>Phase I MS4</v>
      </c>
      <c r="G451" s="19"/>
      <c r="H451" s="21" t="s">
        <v>1873</v>
      </c>
      <c r="I451" s="21">
        <f>VALUE(LEFT(Expenditures[[#This Row],[Fiscal Year]],4))</f>
        <v>2015</v>
      </c>
      <c r="J451" s="20">
        <v>27414216</v>
      </c>
      <c r="K451" s="20">
        <f>IF(Expenditures[[#This Row],[Reference Year]]&gt;2018,Expenditures[[#This Row],[Value]],Expenditures[[#This Row],[Value]]*(1+VLOOKUP(Expenditures[[#This Row],[Reference Year]],Inflation[#All],3,FALSE)))</f>
        <v>29106610.068759494</v>
      </c>
      <c r="L451" s="105" t="e">
        <f>VALUE(Expenditures[[#This Row],[2018 $ Value]]/VLOOKUP(Expenditures[[#This Row],[Jurisdiction]],Places[],6,FALSE))</f>
        <v>#DIV/0!</v>
      </c>
      <c r="M451" s="105" t="e">
        <f>VALUE(Expenditures[[#This Row],[2018 $ Value]]/VLOOKUP(Expenditures[[#This Row],[Jurisdiction]],Places[],7,FALSE))</f>
        <v>#N/A</v>
      </c>
      <c r="N451" s="20" t="s">
        <v>1460</v>
      </c>
      <c r="O451" s="20" t="s">
        <v>1460</v>
      </c>
    </row>
    <row r="452" spans="1:15" x14ac:dyDescent="0.25">
      <c r="A452" s="19" t="s">
        <v>1428</v>
      </c>
      <c r="B452" s="19" t="str">
        <f>INDEX(Places[Type],MATCH(Expenditures[[#This Row],[Jurisdiction]],Places[Jurisdiction],0))</f>
        <v>County</v>
      </c>
      <c r="C452" s="19" t="str">
        <f>INDEX(Places[County],MATCH(Expenditures[[#This Row],[Jurisdiction]],Places[Jurisdiction],0))</f>
        <v>San Diego</v>
      </c>
      <c r="D452" s="19" t="str">
        <f>INDEX(Places[Majority RB],MATCH(Expenditures[[#This Row],[Jurisdiction]],Places[Jurisdiction],0))</f>
        <v>San Diego</v>
      </c>
      <c r="E452" s="19">
        <f>INDEX(Places[Majority RB '#],MATCH(Expenditures[[#This Row],[Jurisdiction]],Places[Jurisdiction],0))</f>
        <v>9</v>
      </c>
      <c r="F452" s="19" t="str">
        <f>VLOOKUP(Expenditures[[#This Row],[Jurisdiction]],Places[#All],8,FALSE)</f>
        <v>Phase I MS4</v>
      </c>
      <c r="G452" s="19"/>
      <c r="H452" s="21" t="s">
        <v>1869</v>
      </c>
      <c r="I452" s="21">
        <f>VALUE(LEFT(Expenditures[[#This Row],[Fiscal Year]],4))</f>
        <v>2016</v>
      </c>
      <c r="J452" s="20">
        <v>34398753</v>
      </c>
      <c r="K452" s="20">
        <f>IF(Expenditures[[#This Row],[Reference Year]]&gt;2018,Expenditures[[#This Row],[Value]],Expenditures[[#This Row],[Value]]*(1+VLOOKUP(Expenditures[[#This Row],[Reference Year]],Inflation[#All],3,FALSE)))</f>
        <v>36065802.567262501</v>
      </c>
      <c r="L452" s="105" t="e">
        <f>VALUE(Expenditures[[#This Row],[2018 $ Value]]/VLOOKUP(Expenditures[[#This Row],[Jurisdiction]],Places[],6,FALSE))</f>
        <v>#DIV/0!</v>
      </c>
      <c r="M452" s="105" t="e">
        <f>VALUE(Expenditures[[#This Row],[2018 $ Value]]/VLOOKUP(Expenditures[[#This Row],[Jurisdiction]],Places[],7,FALSE))</f>
        <v>#N/A</v>
      </c>
      <c r="N452" s="20" t="s">
        <v>1460</v>
      </c>
      <c r="O452" s="20" t="s">
        <v>1460</v>
      </c>
    </row>
    <row r="453" spans="1:15" x14ac:dyDescent="0.25">
      <c r="A453" s="19" t="s">
        <v>1428</v>
      </c>
      <c r="B453" s="19" t="str">
        <f>INDEX(Places[Type],MATCH(Expenditures[[#This Row],[Jurisdiction]],Places[Jurisdiction],0))</f>
        <v>County</v>
      </c>
      <c r="C453" s="19" t="str">
        <f>INDEX(Places[County],MATCH(Expenditures[[#This Row],[Jurisdiction]],Places[Jurisdiction],0))</f>
        <v>San Diego</v>
      </c>
      <c r="D453" s="19" t="str">
        <f>INDEX(Places[Majority RB],MATCH(Expenditures[[#This Row],[Jurisdiction]],Places[Jurisdiction],0))</f>
        <v>San Diego</v>
      </c>
      <c r="E453" s="19">
        <f>INDEX(Places[Majority RB '#],MATCH(Expenditures[[#This Row],[Jurisdiction]],Places[Jurisdiction],0))</f>
        <v>9</v>
      </c>
      <c r="F453" s="19" t="str">
        <f>VLOOKUP(Expenditures[[#This Row],[Jurisdiction]],Places[#All],8,FALSE)</f>
        <v>Phase I MS4</v>
      </c>
      <c r="G453" s="19"/>
      <c r="H453" s="21" t="s">
        <v>1874</v>
      </c>
      <c r="I453" s="21">
        <f>VALUE(LEFT(Expenditures[[#This Row],[Fiscal Year]],4))</f>
        <v>2017</v>
      </c>
      <c r="J453" s="20">
        <v>39077562</v>
      </c>
      <c r="K453" s="20">
        <f>IF(Expenditures[[#This Row],[Reference Year]]&gt;2018,Expenditures[[#This Row],[Value]],Expenditures[[#This Row],[Value]]*(1+VLOOKUP(Expenditures[[#This Row],[Reference Year]],Inflation[#All],3,FALSE)))</f>
        <v>40118833.144112609</v>
      </c>
      <c r="L453" s="105" t="e">
        <f>VALUE(Expenditures[[#This Row],[2018 $ Value]]/VLOOKUP(Expenditures[[#This Row],[Jurisdiction]],Places[],6,FALSE))</f>
        <v>#DIV/0!</v>
      </c>
      <c r="M453" s="105" t="e">
        <f>VALUE(Expenditures[[#This Row],[2018 $ Value]]/VLOOKUP(Expenditures[[#This Row],[Jurisdiction]],Places[],7,FALSE))</f>
        <v>#N/A</v>
      </c>
      <c r="N453" s="20" t="s">
        <v>1853</v>
      </c>
      <c r="O453" s="20" t="s">
        <v>1853</v>
      </c>
    </row>
    <row r="454" spans="1:15" x14ac:dyDescent="0.25">
      <c r="A454" s="19" t="s">
        <v>301</v>
      </c>
      <c r="B454" s="19" t="str">
        <f>INDEX(Places[Type],MATCH(Expenditures[[#This Row],[Jurisdiction]],Places[Jurisdiction],0))</f>
        <v>Other</v>
      </c>
      <c r="C454" s="19" t="str">
        <f>INDEX(Places[County],MATCH(Expenditures[[#This Row],[Jurisdiction]],Places[Jurisdiction],0))</f>
        <v>San Diego</v>
      </c>
      <c r="D454" s="19" t="str">
        <f>INDEX(Places[Majority RB],MATCH(Expenditures[[#This Row],[Jurisdiction]],Places[Jurisdiction],0))</f>
        <v>San Diego</v>
      </c>
      <c r="E454" s="19">
        <f>INDEX(Places[Majority RB '#],MATCH(Expenditures[[#This Row],[Jurisdiction]],Places[Jurisdiction],0))</f>
        <v>9</v>
      </c>
      <c r="F454" s="19" t="str">
        <f>VLOOKUP(Expenditures[[#This Row],[Jurisdiction]],Places[#All],8,FALSE)</f>
        <v>Phase I MS4</v>
      </c>
      <c r="G454" s="19"/>
      <c r="H454" s="19" t="s">
        <v>1869</v>
      </c>
      <c r="I454" s="21">
        <f>VALUE(LEFT(Expenditures[[#This Row],[Fiscal Year]],4))</f>
        <v>2016</v>
      </c>
      <c r="J454" s="20">
        <v>2630590</v>
      </c>
      <c r="K454" s="20">
        <f>IF(Expenditures[[#This Row],[Reference Year]]&gt;2018,Expenditures[[#This Row],[Value]],Expenditures[[#This Row],[Value]]*(1+VLOOKUP(Expenditures[[#This Row],[Reference Year]],Inflation[#All],3,FALSE)))</f>
        <v>2758074.9678750001</v>
      </c>
      <c r="L454" s="105" t="e">
        <f>VALUE(Expenditures[[#This Row],[2018 $ Value]]/VLOOKUP(Expenditures[[#This Row],[Jurisdiction]],Places[],6,FALSE))</f>
        <v>#N/A</v>
      </c>
      <c r="M454" s="105" t="e">
        <f>VALUE(Expenditures[[#This Row],[2018 $ Value]]/VLOOKUP(Expenditures[[#This Row],[Jurisdiction]],Places[],7,FALSE))</f>
        <v>#N/A</v>
      </c>
      <c r="N454" s="20" t="s">
        <v>1853</v>
      </c>
      <c r="O454" s="20" t="s">
        <v>1460</v>
      </c>
    </row>
    <row r="455" spans="1:15" x14ac:dyDescent="0.25">
      <c r="A455" s="19" t="s">
        <v>301</v>
      </c>
      <c r="B455" s="19" t="str">
        <f>INDEX(Places[Type],MATCH(Expenditures[[#This Row],[Jurisdiction]],Places[Jurisdiction],0))</f>
        <v>Other</v>
      </c>
      <c r="C455" s="19" t="str">
        <f>INDEX(Places[County],MATCH(Expenditures[[#This Row],[Jurisdiction]],Places[Jurisdiction],0))</f>
        <v>San Diego</v>
      </c>
      <c r="D455" s="19" t="str">
        <f>INDEX(Places[Majority RB],MATCH(Expenditures[[#This Row],[Jurisdiction]],Places[Jurisdiction],0))</f>
        <v>San Diego</v>
      </c>
      <c r="E455" s="19">
        <f>INDEX(Places[Majority RB '#],MATCH(Expenditures[[#This Row],[Jurisdiction]],Places[Jurisdiction],0))</f>
        <v>9</v>
      </c>
      <c r="F455" s="19" t="str">
        <f>VLOOKUP(Expenditures[[#This Row],[Jurisdiction]],Places[#All],8,FALSE)</f>
        <v>Phase I MS4</v>
      </c>
      <c r="G455" s="19"/>
      <c r="H455" s="19" t="s">
        <v>1874</v>
      </c>
      <c r="I455" s="21">
        <f>VALUE(LEFT(Expenditures[[#This Row],[Fiscal Year]],4))</f>
        <v>2017</v>
      </c>
      <c r="J455" s="20">
        <v>2944235</v>
      </c>
      <c r="K455" s="20">
        <f>IF(Expenditures[[#This Row],[Reference Year]]&gt;2018,Expenditures[[#This Row],[Value]],Expenditures[[#This Row],[Value]]*(1+VLOOKUP(Expenditures[[#This Row],[Reference Year]],Inflation[#All],3,FALSE)))</f>
        <v>3022687.8714198289</v>
      </c>
      <c r="L455" s="105" t="e">
        <f>VALUE(Expenditures[[#This Row],[2018 $ Value]]/VLOOKUP(Expenditures[[#This Row],[Jurisdiction]],Places[],6,FALSE))</f>
        <v>#N/A</v>
      </c>
      <c r="M455" s="105" t="e">
        <f>VALUE(Expenditures[[#This Row],[2018 $ Value]]/VLOOKUP(Expenditures[[#This Row],[Jurisdiction]],Places[],7,FALSE))</f>
        <v>#N/A</v>
      </c>
      <c r="N455" s="20" t="s">
        <v>1460</v>
      </c>
      <c r="O455" s="20" t="s">
        <v>1853</v>
      </c>
    </row>
    <row r="456" spans="1:15" x14ac:dyDescent="0.25">
      <c r="A456" s="19" t="s">
        <v>300</v>
      </c>
      <c r="B456" s="19" t="str">
        <f>INDEX(Places[Type],MATCH(Expenditures[[#This Row],[Jurisdiction]],Places[Jurisdiction],0))</f>
        <v>Other</v>
      </c>
      <c r="C456" s="19" t="str">
        <f>INDEX(Places[County],MATCH(Expenditures[[#This Row],[Jurisdiction]],Places[Jurisdiction],0))</f>
        <v>San Diego</v>
      </c>
      <c r="D456" s="19" t="str">
        <f>INDEX(Places[Majority RB],MATCH(Expenditures[[#This Row],[Jurisdiction]],Places[Jurisdiction],0))</f>
        <v>San Diego</v>
      </c>
      <c r="E456" s="19">
        <f>INDEX(Places[Majority RB '#],MATCH(Expenditures[[#This Row],[Jurisdiction]],Places[Jurisdiction],0))</f>
        <v>9</v>
      </c>
      <c r="F456" s="19" t="str">
        <f>VLOOKUP(Expenditures[[#This Row],[Jurisdiction]],Places[#All],8,FALSE)</f>
        <v>Phase I MS4</v>
      </c>
      <c r="G456" s="19"/>
      <c r="H456" s="21" t="s">
        <v>1873</v>
      </c>
      <c r="I456" s="21">
        <f>VALUE(LEFT(Expenditures[[#This Row],[Fiscal Year]],4))</f>
        <v>2015</v>
      </c>
      <c r="J456" s="20">
        <v>2959024</v>
      </c>
      <c r="K456" s="20">
        <f>IF(Expenditures[[#This Row],[Reference Year]]&gt;2018,Expenditures[[#This Row],[Value]],Expenditures[[#This Row],[Value]]*(1+VLOOKUP(Expenditures[[#This Row],[Reference Year]],Inflation[#All],3,FALSE)))</f>
        <v>3141696.912</v>
      </c>
      <c r="L456" s="105" t="e">
        <f>VALUE(Expenditures[[#This Row],[2018 $ Value]]/VLOOKUP(Expenditures[[#This Row],[Jurisdiction]],Places[],6,FALSE))</f>
        <v>#N/A</v>
      </c>
      <c r="M456" s="105" t="e">
        <f>VALUE(Expenditures[[#This Row],[2018 $ Value]]/VLOOKUP(Expenditures[[#This Row],[Jurisdiction]],Places[],7,FALSE))</f>
        <v>#N/A</v>
      </c>
      <c r="N456" s="20" t="s">
        <v>1460</v>
      </c>
      <c r="O456" s="20" t="s">
        <v>1460</v>
      </c>
    </row>
    <row r="457" spans="1:15" x14ac:dyDescent="0.25">
      <c r="A457" s="19" t="s">
        <v>300</v>
      </c>
      <c r="B457" s="19" t="str">
        <f>INDEX(Places[Type],MATCH(Expenditures[[#This Row],[Jurisdiction]],Places[Jurisdiction],0))</f>
        <v>Other</v>
      </c>
      <c r="C457" s="19" t="str">
        <f>INDEX(Places[County],MATCH(Expenditures[[#This Row],[Jurisdiction]],Places[Jurisdiction],0))</f>
        <v>San Diego</v>
      </c>
      <c r="D457" s="19" t="str">
        <f>INDEX(Places[Majority RB],MATCH(Expenditures[[#This Row],[Jurisdiction]],Places[Jurisdiction],0))</f>
        <v>San Diego</v>
      </c>
      <c r="E457" s="19">
        <f>INDEX(Places[Majority RB '#],MATCH(Expenditures[[#This Row],[Jurisdiction]],Places[Jurisdiction],0))</f>
        <v>9</v>
      </c>
      <c r="F457" s="19" t="str">
        <f>VLOOKUP(Expenditures[[#This Row],[Jurisdiction]],Places[#All],8,FALSE)</f>
        <v>Phase I MS4</v>
      </c>
      <c r="G457" s="19"/>
      <c r="H457" s="21" t="s">
        <v>1869</v>
      </c>
      <c r="I457" s="21">
        <f>VALUE(LEFT(Expenditures[[#This Row],[Fiscal Year]],4))</f>
        <v>2016</v>
      </c>
      <c r="J457" s="20">
        <v>2965746</v>
      </c>
      <c r="K457" s="20">
        <f>IF(Expenditures[[#This Row],[Reference Year]]&gt;2018,Expenditures[[#This Row],[Value]],Expenditures[[#This Row],[Value]]*(1+VLOOKUP(Expenditures[[#This Row],[Reference Year]],Inflation[#All],3,FALSE)))</f>
        <v>3109473.4655250004</v>
      </c>
      <c r="L457" s="105" t="e">
        <f>VALUE(Expenditures[[#This Row],[2018 $ Value]]/VLOOKUP(Expenditures[[#This Row],[Jurisdiction]],Places[],6,FALSE))</f>
        <v>#N/A</v>
      </c>
      <c r="M457" s="105" t="e">
        <f>VALUE(Expenditures[[#This Row],[2018 $ Value]]/VLOOKUP(Expenditures[[#This Row],[Jurisdiction]],Places[],7,FALSE))</f>
        <v>#N/A</v>
      </c>
      <c r="N457" s="20" t="s">
        <v>1460</v>
      </c>
      <c r="O457" s="20" t="s">
        <v>1460</v>
      </c>
    </row>
    <row r="458" spans="1:15" x14ac:dyDescent="0.25">
      <c r="A458" s="19" t="s">
        <v>300</v>
      </c>
      <c r="B458" s="19" t="str">
        <f>INDEX(Places[Type],MATCH(Expenditures[[#This Row],[Jurisdiction]],Places[Jurisdiction],0))</f>
        <v>Other</v>
      </c>
      <c r="C458" s="19" t="str">
        <f>INDEX(Places[County],MATCH(Expenditures[[#This Row],[Jurisdiction]],Places[Jurisdiction],0))</f>
        <v>San Diego</v>
      </c>
      <c r="D458" s="19" t="str">
        <f>INDEX(Places[Majority RB],MATCH(Expenditures[[#This Row],[Jurisdiction]],Places[Jurisdiction],0))</f>
        <v>San Diego</v>
      </c>
      <c r="E458" s="19">
        <f>INDEX(Places[Majority RB '#],MATCH(Expenditures[[#This Row],[Jurisdiction]],Places[Jurisdiction],0))</f>
        <v>9</v>
      </c>
      <c r="F458" s="19" t="str">
        <f>VLOOKUP(Expenditures[[#This Row],[Jurisdiction]],Places[#All],8,FALSE)</f>
        <v>Phase I MS4</v>
      </c>
      <c r="G458" s="19"/>
      <c r="H458" s="21" t="s">
        <v>1874</v>
      </c>
      <c r="I458" s="21">
        <f>VALUE(LEFT(Expenditures[[#This Row],[Fiscal Year]],4))</f>
        <v>2017</v>
      </c>
      <c r="J458" s="20">
        <v>5094852</v>
      </c>
      <c r="K458" s="20">
        <f>IF(Expenditures[[#This Row],[Reference Year]]&gt;2018,Expenditures[[#This Row],[Value]],Expenditures[[#This Row],[Value]]*(1+VLOOKUP(Expenditures[[#This Row],[Reference Year]],Inflation[#All],3,FALSE)))</f>
        <v>5230610.7858506739</v>
      </c>
      <c r="L458" s="105" t="e">
        <f>VALUE(Expenditures[[#This Row],[2018 $ Value]]/VLOOKUP(Expenditures[[#This Row],[Jurisdiction]],Places[],6,FALSE))</f>
        <v>#N/A</v>
      </c>
      <c r="M458" s="105" t="e">
        <f>VALUE(Expenditures[[#This Row],[2018 $ Value]]/VLOOKUP(Expenditures[[#This Row],[Jurisdiction]],Places[],7,FALSE))</f>
        <v>#N/A</v>
      </c>
      <c r="N458" s="20" t="s">
        <v>1853</v>
      </c>
      <c r="O458" s="20" t="s">
        <v>1853</v>
      </c>
    </row>
    <row r="459" spans="1:15" x14ac:dyDescent="0.25">
      <c r="A459" s="19" t="s">
        <v>154</v>
      </c>
      <c r="B459" s="19" t="str">
        <f>INDEX(Places[Type],MATCH(Expenditures[[#This Row],[Jurisdiction]],Places[Jurisdiction],0))</f>
        <v>City</v>
      </c>
      <c r="C459" s="19" t="str">
        <f>INDEX(Places[County],MATCH(Expenditures[[#This Row],[Jurisdiction]],Places[Jurisdiction],0))</f>
        <v>Los Angeles</v>
      </c>
      <c r="D459" s="19" t="str">
        <f>INDEX(Places[Majority RB],MATCH(Expenditures[[#This Row],[Jurisdiction]],Places[Jurisdiction],0))</f>
        <v>Los Angeles</v>
      </c>
      <c r="E459" s="19">
        <f>INDEX(Places[Majority RB '#],MATCH(Expenditures[[#This Row],[Jurisdiction]],Places[Jurisdiction],0))</f>
        <v>4</v>
      </c>
      <c r="F459" s="19" t="str">
        <f>VLOOKUP(Expenditures[[#This Row],[Jurisdiction]],Places[#All],8,FALSE)</f>
        <v>Phase I MS4</v>
      </c>
      <c r="G459" s="19"/>
      <c r="H459" s="100" t="s">
        <v>1870</v>
      </c>
      <c r="I459" s="21">
        <f>VALUE(LEFT(Expenditures[[#This Row],[Fiscal Year]],4))</f>
        <v>2011</v>
      </c>
      <c r="J459" s="20">
        <v>474314</v>
      </c>
      <c r="K459" s="20">
        <f>IF(Expenditures[[#This Row],[Reference Year]]&gt;2018,Expenditures[[#This Row],[Value]],Expenditures[[#This Row],[Value]]*(1+VLOOKUP(Expenditures[[#This Row],[Reference Year]],Inflation[#All],3,FALSE)))</f>
        <v>530689.66711427306</v>
      </c>
      <c r="L459" s="105">
        <f>VALUE(Expenditures[[#This Row],[2018 $ Value]]/VLOOKUP(Expenditures[[#This Row],[Jurisdiction]],Places[],6,FALSE))</f>
        <v>15.616787331948474</v>
      </c>
      <c r="M459" s="105">
        <f>VALUE(Expenditures[[#This Row],[2018 $ Value]]/VLOOKUP(Expenditures[[#This Row],[Jurisdiction]],Places[],7,FALSE))</f>
        <v>35379.31114095154</v>
      </c>
      <c r="N459" s="20" t="s">
        <v>1460</v>
      </c>
      <c r="O459" s="20" t="s">
        <v>1460</v>
      </c>
    </row>
    <row r="460" spans="1:15" x14ac:dyDescent="0.25">
      <c r="A460" s="19" t="s">
        <v>154</v>
      </c>
      <c r="B460" s="19" t="str">
        <f>INDEX(Places[Type],MATCH(Expenditures[[#This Row],[Jurisdiction]],Places[Jurisdiction],0))</f>
        <v>City</v>
      </c>
      <c r="C460" s="19" t="str">
        <f>INDEX(Places[County],MATCH(Expenditures[[#This Row],[Jurisdiction]],Places[Jurisdiction],0))</f>
        <v>Los Angeles</v>
      </c>
      <c r="D460" s="19" t="str">
        <f>INDEX(Places[Majority RB],MATCH(Expenditures[[#This Row],[Jurisdiction]],Places[Jurisdiction],0))</f>
        <v>Los Angeles</v>
      </c>
      <c r="E460" s="19">
        <f>INDEX(Places[Majority RB '#],MATCH(Expenditures[[#This Row],[Jurisdiction]],Places[Jurisdiction],0))</f>
        <v>4</v>
      </c>
      <c r="F460" s="19" t="str">
        <f>VLOOKUP(Expenditures[[#This Row],[Jurisdiction]],Places[#All],8,FALSE)</f>
        <v>Phase I MS4</v>
      </c>
      <c r="G460" s="19"/>
      <c r="H460" s="100" t="s">
        <v>1873</v>
      </c>
      <c r="I460" s="21">
        <f>VALUE(LEFT(Expenditures[[#This Row],[Fiscal Year]],4))</f>
        <v>2015</v>
      </c>
      <c r="J460" s="20">
        <v>580000</v>
      </c>
      <c r="K460" s="20">
        <f>IF(Expenditures[[#This Row],[Reference Year]]&gt;2018,Expenditures[[#This Row],[Value]],Expenditures[[#This Row],[Value]]*(1+VLOOKUP(Expenditures[[#This Row],[Reference Year]],Inflation[#All],3,FALSE)))</f>
        <v>615805.82278481009</v>
      </c>
      <c r="L460" s="105">
        <f>VALUE(Expenditures[[#This Row],[2018 $ Value]]/VLOOKUP(Expenditures[[#This Row],[Jurisdiction]],Places[],6,FALSE))</f>
        <v>18.121529715284858</v>
      </c>
      <c r="M460" s="105">
        <f>VALUE(Expenditures[[#This Row],[2018 $ Value]]/VLOOKUP(Expenditures[[#This Row],[Jurisdiction]],Places[],7,FALSE))</f>
        <v>41053.721518987339</v>
      </c>
      <c r="N460" s="20" t="s">
        <v>1853</v>
      </c>
      <c r="O460" s="20" t="s">
        <v>1853</v>
      </c>
    </row>
    <row r="461" spans="1:15" x14ac:dyDescent="0.25">
      <c r="A461" s="19" t="s">
        <v>195</v>
      </c>
      <c r="B461" s="19" t="str">
        <f>INDEX(Places[Type],MATCH(Expenditures[[#This Row],[Jurisdiction]],Places[Jurisdiction],0))</f>
        <v>City</v>
      </c>
      <c r="C461" s="19" t="str">
        <f>INDEX(Places[County],MATCH(Expenditures[[#This Row],[Jurisdiction]],Places[Jurisdiction],0))</f>
        <v>Los Angeles</v>
      </c>
      <c r="D461" s="19" t="str">
        <f>INDEX(Places[Majority RB],MATCH(Expenditures[[#This Row],[Jurisdiction]],Places[Jurisdiction],0))</f>
        <v>Los Angeles</v>
      </c>
      <c r="E461" s="19">
        <f>INDEX(Places[Majority RB '#],MATCH(Expenditures[[#This Row],[Jurisdiction]],Places[Jurisdiction],0))</f>
        <v>4</v>
      </c>
      <c r="F461" s="19" t="str">
        <f>VLOOKUP(Expenditures[[#This Row],[Jurisdiction]],Places[#All],8,FALSE)</f>
        <v>Phase I MS4</v>
      </c>
      <c r="G461" s="19"/>
      <c r="H461" s="21" t="s">
        <v>1870</v>
      </c>
      <c r="I461" s="21">
        <f>VALUE(LEFT(Expenditures[[#This Row],[Fiscal Year]],4))</f>
        <v>2011</v>
      </c>
      <c r="J461" s="20">
        <v>1253519</v>
      </c>
      <c r="K461" s="20">
        <f>IF(Expenditures[[#This Row],[Reference Year]]&gt;2018,Expenditures[[#This Row],[Value]],Expenditures[[#This Row],[Value]]*(1+VLOOKUP(Expenditures[[#This Row],[Reference Year]],Inflation[#All],3,FALSE)))</f>
        <v>1402508.8461049355</v>
      </c>
      <c r="L461" s="105">
        <f>VALUE(Expenditures[[#This Row],[2018 $ Value]]/VLOOKUP(Expenditures[[#This Row],[Jurisdiction]],Places[],6,FALSE))</f>
        <v>57.221903145856203</v>
      </c>
      <c r="M461" s="105">
        <f>VALUE(Expenditures[[#This Row],[2018 $ Value]]/VLOOKUP(Expenditures[[#This Row],[Jurisdiction]],Places[],7,FALSE))</f>
        <v>584378.68587705644</v>
      </c>
      <c r="N461" s="20" t="s">
        <v>1460</v>
      </c>
      <c r="O461" s="20" t="s">
        <v>1460</v>
      </c>
    </row>
    <row r="462" spans="1:15" x14ac:dyDescent="0.25">
      <c r="A462" s="19" t="s">
        <v>195</v>
      </c>
      <c r="B462" s="19" t="str">
        <f>INDEX(Places[Type],MATCH(Expenditures[[#This Row],[Jurisdiction]],Places[Jurisdiction],0))</f>
        <v>City</v>
      </c>
      <c r="C462" s="19" t="str">
        <f>INDEX(Places[County],MATCH(Expenditures[[#This Row],[Jurisdiction]],Places[Jurisdiction],0))</f>
        <v>Los Angeles</v>
      </c>
      <c r="D462" s="19" t="str">
        <f>INDEX(Places[Majority RB],MATCH(Expenditures[[#This Row],[Jurisdiction]],Places[Jurisdiction],0))</f>
        <v>Los Angeles</v>
      </c>
      <c r="E462" s="19">
        <f>INDEX(Places[Majority RB '#],MATCH(Expenditures[[#This Row],[Jurisdiction]],Places[Jurisdiction],0))</f>
        <v>4</v>
      </c>
      <c r="F462" s="19" t="str">
        <f>VLOOKUP(Expenditures[[#This Row],[Jurisdiction]],Places[#All],8,FALSE)</f>
        <v>Phase I MS4</v>
      </c>
      <c r="G462" s="19"/>
      <c r="H462" s="21" t="s">
        <v>1873</v>
      </c>
      <c r="I462" s="21">
        <f>VALUE(LEFT(Expenditures[[#This Row],[Fiscal Year]],4))</f>
        <v>2015</v>
      </c>
      <c r="J462" s="20">
        <v>384500</v>
      </c>
      <c r="K462" s="20">
        <f>IF(Expenditures[[#This Row],[Reference Year]]&gt;2018,Expenditures[[#This Row],[Value]],Expenditures[[#This Row],[Value]]*(1+VLOOKUP(Expenditures[[#This Row],[Reference Year]],Inflation[#All],3,FALSE)))</f>
        <v>408236.79113924049</v>
      </c>
      <c r="L462" s="105">
        <f>VALUE(Expenditures[[#This Row],[2018 $ Value]]/VLOOKUP(Expenditures[[#This Row],[Jurisdiction]],Places[],6,FALSE))</f>
        <v>16.655927831058364</v>
      </c>
      <c r="M462" s="105">
        <f>VALUE(Expenditures[[#This Row],[2018 $ Value]]/VLOOKUP(Expenditures[[#This Row],[Jurisdiction]],Places[],7,FALSE))</f>
        <v>170098.66297468354</v>
      </c>
      <c r="N462" s="20" t="s">
        <v>1853</v>
      </c>
      <c r="O462" s="20" t="s">
        <v>1853</v>
      </c>
    </row>
    <row r="463" spans="1:15" x14ac:dyDescent="0.25">
      <c r="A463" s="19" t="s">
        <v>196</v>
      </c>
      <c r="B463" s="19" t="str">
        <f>INDEX(Places[Type],MATCH(Expenditures[[#This Row],[Jurisdiction]],Places[Jurisdiction],0))</f>
        <v>City</v>
      </c>
      <c r="C463" s="19" t="str">
        <f>INDEX(Places[County],MATCH(Expenditures[[#This Row],[Jurisdiction]],Places[Jurisdiction],0))</f>
        <v>Los Angeles</v>
      </c>
      <c r="D463" s="19" t="str">
        <f>INDEX(Places[Majority RB],MATCH(Expenditures[[#This Row],[Jurisdiction]],Places[Jurisdiction],0))</f>
        <v>Los Angeles</v>
      </c>
      <c r="E463" s="19">
        <f>INDEX(Places[Majority RB '#],MATCH(Expenditures[[#This Row],[Jurisdiction]],Places[Jurisdiction],0))</f>
        <v>4</v>
      </c>
      <c r="F463" s="19" t="str">
        <f>VLOOKUP(Expenditures[[#This Row],[Jurisdiction]],Places[#All],8,FALSE)</f>
        <v>Phase I MS4</v>
      </c>
      <c r="G463" s="19"/>
      <c r="H463" s="21" t="s">
        <v>1870</v>
      </c>
      <c r="I463" s="21">
        <f>VALUE(LEFT(Expenditures[[#This Row],[Fiscal Year]],4))</f>
        <v>2011</v>
      </c>
      <c r="J463" s="20">
        <v>184265</v>
      </c>
      <c r="K463" s="20">
        <f>IF(Expenditures[[#This Row],[Reference Year]]&gt;2018,Expenditures[[#This Row],[Value]],Expenditures[[#This Row],[Value]]*(1+VLOOKUP(Expenditures[[#This Row],[Reference Year]],Inflation[#All],3,FALSE)))</f>
        <v>206166.23483770565</v>
      </c>
      <c r="L463" s="105">
        <f>VALUE(Expenditures[[#This Row],[2018 $ Value]]/VLOOKUP(Expenditures[[#This Row],[Jurisdiction]],Places[],6,FALSE))</f>
        <v>5.1113483286898633</v>
      </c>
      <c r="M463" s="105">
        <f>VALUE(Expenditures[[#This Row],[2018 $ Value]]/VLOOKUP(Expenditures[[#This Row],[Jurisdiction]],Places[],7,FALSE))</f>
        <v>50284.447521391623</v>
      </c>
      <c r="N463" s="20" t="s">
        <v>1460</v>
      </c>
      <c r="O463" s="20" t="s">
        <v>1460</v>
      </c>
    </row>
    <row r="464" spans="1:15" x14ac:dyDescent="0.25">
      <c r="A464" s="19" t="s">
        <v>196</v>
      </c>
      <c r="B464" s="19" t="str">
        <f>INDEX(Places[Type],MATCH(Expenditures[[#This Row],[Jurisdiction]],Places[Jurisdiction],0))</f>
        <v>City</v>
      </c>
      <c r="C464" s="19" t="str">
        <f>INDEX(Places[County],MATCH(Expenditures[[#This Row],[Jurisdiction]],Places[Jurisdiction],0))</f>
        <v>Los Angeles</v>
      </c>
      <c r="D464" s="19" t="str">
        <f>INDEX(Places[Majority RB],MATCH(Expenditures[[#This Row],[Jurisdiction]],Places[Jurisdiction],0))</f>
        <v>Los Angeles</v>
      </c>
      <c r="E464" s="19">
        <f>INDEX(Places[Majority RB '#],MATCH(Expenditures[[#This Row],[Jurisdiction]],Places[Jurisdiction],0))</f>
        <v>4</v>
      </c>
      <c r="F464" s="19" t="str">
        <f>VLOOKUP(Expenditures[[#This Row],[Jurisdiction]],Places[#All],8,FALSE)</f>
        <v>Phase I MS4</v>
      </c>
      <c r="G464" s="19"/>
      <c r="H464" s="21" t="s">
        <v>1873</v>
      </c>
      <c r="I464" s="21">
        <f>VALUE(LEFT(Expenditures[[#This Row],[Fiscal Year]],4))</f>
        <v>2015</v>
      </c>
      <c r="J464" s="20">
        <v>408832.3</v>
      </c>
      <c r="K464" s="20">
        <f>IF(Expenditures[[#This Row],[Reference Year]]&gt;2018,Expenditures[[#This Row],[Value]],Expenditures[[#This Row],[Value]]*(1+VLOOKUP(Expenditures[[#This Row],[Reference Year]],Inflation[#All],3,FALSE)))</f>
        <v>434071.22565949365</v>
      </c>
      <c r="L464" s="105">
        <f>VALUE(Expenditures[[#This Row],[2018 $ Value]]/VLOOKUP(Expenditures[[#This Row],[Jurisdiction]],Places[],6,FALSE))</f>
        <v>10.761651807598701</v>
      </c>
      <c r="M464" s="105">
        <f>VALUE(Expenditures[[#This Row],[2018 $ Value]]/VLOOKUP(Expenditures[[#This Row],[Jurisdiction]],Places[],7,FALSE))</f>
        <v>105871.03064865699</v>
      </c>
      <c r="N464" s="20" t="s">
        <v>1853</v>
      </c>
      <c r="O464" s="20" t="s">
        <v>1853</v>
      </c>
    </row>
    <row r="465" spans="1:15" x14ac:dyDescent="0.25">
      <c r="A465" s="19" t="s">
        <v>239</v>
      </c>
      <c r="B465" s="19" t="str">
        <f>INDEX(Places[Type],MATCH(Expenditures[[#This Row],[Jurisdiction]],Places[Jurisdiction],0))</f>
        <v>City</v>
      </c>
      <c r="C465" s="19" t="str">
        <f>INDEX(Places[County],MATCH(Expenditures[[#This Row],[Jurisdiction]],Places[Jurisdiction],0))</f>
        <v>Riverside</v>
      </c>
      <c r="D465" s="19" t="str">
        <f>INDEX(Places[Majority RB],MATCH(Expenditures[[#This Row],[Jurisdiction]],Places[Jurisdiction],0))</f>
        <v>Santa Ana</v>
      </c>
      <c r="E465" s="19">
        <f>INDEX(Places[Majority RB '#],MATCH(Expenditures[[#This Row],[Jurisdiction]],Places[Jurisdiction],0))</f>
        <v>8</v>
      </c>
      <c r="F465" s="19" t="str">
        <f>VLOOKUP(Expenditures[[#This Row],[Jurisdiction]],Places[#All],8,FALSE)</f>
        <v>Phase I MS4</v>
      </c>
      <c r="G465" s="19"/>
      <c r="H465" s="21" t="s">
        <v>1869</v>
      </c>
      <c r="I465" s="21">
        <f>VALUE(LEFT(Expenditures[[#This Row],[Fiscal Year]],4))</f>
        <v>2016</v>
      </c>
      <c r="J465" s="20">
        <v>1403257.71</v>
      </c>
      <c r="K465" s="20">
        <f>IF(Expenditures[[#This Row],[Reference Year]]&gt;2018,Expenditures[[#This Row],[Value]],Expenditures[[#This Row],[Value]]*(1+VLOOKUP(Expenditures[[#This Row],[Reference Year]],Inflation[#All],3,FALSE)))</f>
        <v>1471263.0867708751</v>
      </c>
      <c r="L465" s="105">
        <f>VALUE(Expenditures[[#This Row],[2018 $ Value]]/VLOOKUP(Expenditures[[#This Row],[Jurisdiction]],Places[],6,FALSE))</f>
        <v>30.107497631753027</v>
      </c>
      <c r="M465" s="105">
        <f>VALUE(Expenditures[[#This Row],[2018 $ Value]]/VLOOKUP(Expenditures[[#This Row],[Jurisdiction]],Places[],7,FALSE))</f>
        <v>57247.590924936776</v>
      </c>
      <c r="N465" s="20" t="s">
        <v>1460</v>
      </c>
      <c r="O465" s="20" t="s">
        <v>1853</v>
      </c>
    </row>
    <row r="466" spans="1:15" x14ac:dyDescent="0.25">
      <c r="A466" s="19" t="s">
        <v>1450</v>
      </c>
      <c r="B466" s="19" t="str">
        <f>INDEX(Places[Type],MATCH(Expenditures[[#This Row],[Jurisdiction]],Places[Jurisdiction],0))</f>
        <v>County</v>
      </c>
      <c r="C466" s="19" t="str">
        <f>INDEX(Places[County],MATCH(Expenditures[[#This Row],[Jurisdiction]],Places[Jurisdiction],0))</f>
        <v>San Joaquin</v>
      </c>
      <c r="D466" s="19" t="str">
        <f>INDEX(Places[Majority RB],MATCH(Expenditures[[#This Row],[Jurisdiction]],Places[Jurisdiction],0))</f>
        <v>Central Valley</v>
      </c>
      <c r="E466" s="19">
        <f>INDEX(Places[Majority RB '#],MATCH(Expenditures[[#This Row],[Jurisdiction]],Places[Jurisdiction],0))</f>
        <v>5</v>
      </c>
      <c r="F466" s="19" t="str">
        <f>VLOOKUP(Expenditures[[#This Row],[Jurisdiction]],Places[#All],8,FALSE)</f>
        <v>Phase I MS4</v>
      </c>
      <c r="G466" s="19"/>
      <c r="H466" s="19" t="s">
        <v>1870</v>
      </c>
      <c r="I466" s="21">
        <f>VALUE(LEFT(Expenditures[[#This Row],[Fiscal Year]],4))</f>
        <v>2011</v>
      </c>
      <c r="J466" s="20">
        <v>577660</v>
      </c>
      <c r="K466" s="20">
        <f>IF(Expenditures[[#This Row],[Reference Year]]&gt;2018,Expenditures[[#This Row],[Value]],Expenditures[[#This Row],[Value]]*(1+VLOOKUP(Expenditures[[#This Row],[Reference Year]],Inflation[#All],3,FALSE)))</f>
        <v>646319.09052912414</v>
      </c>
      <c r="L466" s="105" t="e">
        <f>VALUE(Expenditures[[#This Row],[2018 $ Value]]/VLOOKUP(Expenditures[[#This Row],[Jurisdiction]],Places[],6,FALSE))</f>
        <v>#N/A</v>
      </c>
      <c r="M466" s="105" t="e">
        <f>VALUE(Expenditures[[#This Row],[2018 $ Value]]/VLOOKUP(Expenditures[[#This Row],[Jurisdiction]],Places[],7,FALSE))</f>
        <v>#N/A</v>
      </c>
      <c r="N466" s="20" t="s">
        <v>1460</v>
      </c>
      <c r="O466" s="20" t="s">
        <v>1460</v>
      </c>
    </row>
    <row r="467" spans="1:15" x14ac:dyDescent="0.25">
      <c r="A467" s="19" t="s">
        <v>1450</v>
      </c>
      <c r="B467" s="19" t="str">
        <f>INDEX(Places[Type],MATCH(Expenditures[[#This Row],[Jurisdiction]],Places[Jurisdiction],0))</f>
        <v>County</v>
      </c>
      <c r="C467" s="19" t="str">
        <f>INDEX(Places[County],MATCH(Expenditures[[#This Row],[Jurisdiction]],Places[Jurisdiction],0))</f>
        <v>San Joaquin</v>
      </c>
      <c r="D467" s="19" t="str">
        <f>INDEX(Places[Majority RB],MATCH(Expenditures[[#This Row],[Jurisdiction]],Places[Jurisdiction],0))</f>
        <v>Central Valley</v>
      </c>
      <c r="E467" s="19">
        <f>INDEX(Places[Majority RB '#],MATCH(Expenditures[[#This Row],[Jurisdiction]],Places[Jurisdiction],0))</f>
        <v>5</v>
      </c>
      <c r="F467" s="19" t="str">
        <f>VLOOKUP(Expenditures[[#This Row],[Jurisdiction]],Places[#All],8,FALSE)</f>
        <v>Phase I MS4</v>
      </c>
      <c r="G467" s="19"/>
      <c r="H467" s="19" t="s">
        <v>1871</v>
      </c>
      <c r="I467" s="21">
        <f>VALUE(LEFT(Expenditures[[#This Row],[Fiscal Year]],4))</f>
        <v>2012</v>
      </c>
      <c r="J467" s="20">
        <v>541430</v>
      </c>
      <c r="K467" s="20">
        <f>IF(Expenditures[[#This Row],[Reference Year]]&gt;2018,Expenditures[[#This Row],[Value]],Expenditures[[#This Row],[Value]]*(1+VLOOKUP(Expenditures[[#This Row],[Reference Year]],Inflation[#All],3,FALSE)))</f>
        <v>593382.28366724739</v>
      </c>
      <c r="L467" s="105" t="e">
        <f>VALUE(Expenditures[[#This Row],[2018 $ Value]]/VLOOKUP(Expenditures[[#This Row],[Jurisdiction]],Places[],6,FALSE))</f>
        <v>#N/A</v>
      </c>
      <c r="M467" s="105" t="e">
        <f>VALUE(Expenditures[[#This Row],[2018 $ Value]]/VLOOKUP(Expenditures[[#This Row],[Jurisdiction]],Places[],7,FALSE))</f>
        <v>#N/A</v>
      </c>
      <c r="N467" s="20" t="s">
        <v>1460</v>
      </c>
      <c r="O467" s="20" t="s">
        <v>1460</v>
      </c>
    </row>
    <row r="468" spans="1:15" x14ac:dyDescent="0.25">
      <c r="A468" s="19" t="s">
        <v>1450</v>
      </c>
      <c r="B468" s="19" t="str">
        <f>INDEX(Places[Type],MATCH(Expenditures[[#This Row],[Jurisdiction]],Places[Jurisdiction],0))</f>
        <v>County</v>
      </c>
      <c r="C468" s="19" t="str">
        <f>INDEX(Places[County],MATCH(Expenditures[[#This Row],[Jurisdiction]],Places[Jurisdiction],0))</f>
        <v>San Joaquin</v>
      </c>
      <c r="D468" s="19" t="str">
        <f>INDEX(Places[Majority RB],MATCH(Expenditures[[#This Row],[Jurisdiction]],Places[Jurisdiction],0))</f>
        <v>Central Valley</v>
      </c>
      <c r="E468" s="19">
        <f>INDEX(Places[Majority RB '#],MATCH(Expenditures[[#This Row],[Jurisdiction]],Places[Jurisdiction],0))</f>
        <v>5</v>
      </c>
      <c r="F468" s="19" t="str">
        <f>VLOOKUP(Expenditures[[#This Row],[Jurisdiction]],Places[#All],8,FALSE)</f>
        <v>Phase I MS4</v>
      </c>
      <c r="G468" s="19"/>
      <c r="H468" s="19" t="s">
        <v>1869</v>
      </c>
      <c r="I468" s="21">
        <f>VALUE(LEFT(Expenditures[[#This Row],[Fiscal Year]],4))</f>
        <v>2016</v>
      </c>
      <c r="J468" s="20">
        <v>462105</v>
      </c>
      <c r="K468" s="20">
        <f>IF(Expenditures[[#This Row],[Reference Year]]&gt;2018,Expenditures[[#This Row],[Value]],Expenditures[[#This Row],[Value]]*(1+VLOOKUP(Expenditures[[#This Row],[Reference Year]],Inflation[#All],3,FALSE)))</f>
        <v>484499.76356250001</v>
      </c>
      <c r="L468" s="105" t="e">
        <f>VALUE(Expenditures[[#This Row],[2018 $ Value]]/VLOOKUP(Expenditures[[#This Row],[Jurisdiction]],Places[],6,FALSE))</f>
        <v>#N/A</v>
      </c>
      <c r="M468" s="105" t="e">
        <f>VALUE(Expenditures[[#This Row],[2018 $ Value]]/VLOOKUP(Expenditures[[#This Row],[Jurisdiction]],Places[],7,FALSE))</f>
        <v>#N/A</v>
      </c>
      <c r="N468" s="20" t="s">
        <v>1460</v>
      </c>
      <c r="O468" s="20" t="s">
        <v>1460</v>
      </c>
    </row>
    <row r="469" spans="1:15" x14ac:dyDescent="0.25">
      <c r="A469" s="19" t="s">
        <v>1450</v>
      </c>
      <c r="B469" s="19" t="str">
        <f>INDEX(Places[Type],MATCH(Expenditures[[#This Row],[Jurisdiction]],Places[Jurisdiction],0))</f>
        <v>County</v>
      </c>
      <c r="C469" s="19" t="str">
        <f>INDEX(Places[County],MATCH(Expenditures[[#This Row],[Jurisdiction]],Places[Jurisdiction],0))</f>
        <v>San Joaquin</v>
      </c>
      <c r="D469" s="19" t="str">
        <f>INDEX(Places[Majority RB],MATCH(Expenditures[[#This Row],[Jurisdiction]],Places[Jurisdiction],0))</f>
        <v>Central Valley</v>
      </c>
      <c r="E469" s="19">
        <f>INDEX(Places[Majority RB '#],MATCH(Expenditures[[#This Row],[Jurisdiction]],Places[Jurisdiction],0))</f>
        <v>5</v>
      </c>
      <c r="F469" s="19" t="str">
        <f>VLOOKUP(Expenditures[[#This Row],[Jurisdiction]],Places[#All],8,FALSE)</f>
        <v>Phase I MS4</v>
      </c>
      <c r="G469" s="19"/>
      <c r="H469" s="19" t="s">
        <v>1874</v>
      </c>
      <c r="I469" s="21">
        <f>VALUE(LEFT(Expenditures[[#This Row],[Fiscal Year]],4))</f>
        <v>2017</v>
      </c>
      <c r="J469" s="20">
        <v>390983</v>
      </c>
      <c r="K469" s="20">
        <f>IF(Expenditures[[#This Row],[Reference Year]]&gt;2018,Expenditures[[#This Row],[Value]],Expenditures[[#This Row],[Value]]*(1+VLOOKUP(Expenditures[[#This Row],[Reference Year]],Inflation[#All],3,FALSE)))</f>
        <v>401401.23734394129</v>
      </c>
      <c r="L469" s="105" t="e">
        <f>VALUE(Expenditures[[#This Row],[2018 $ Value]]/VLOOKUP(Expenditures[[#This Row],[Jurisdiction]],Places[],6,FALSE))</f>
        <v>#N/A</v>
      </c>
      <c r="M469" s="105" t="e">
        <f>VALUE(Expenditures[[#This Row],[2018 $ Value]]/VLOOKUP(Expenditures[[#This Row],[Jurisdiction]],Places[],7,FALSE))</f>
        <v>#N/A</v>
      </c>
      <c r="N469" s="20" t="s">
        <v>1853</v>
      </c>
      <c r="O469" s="20" t="s">
        <v>1853</v>
      </c>
    </row>
    <row r="470" spans="1:15" x14ac:dyDescent="0.25">
      <c r="A470" s="19" t="s">
        <v>289</v>
      </c>
      <c r="B470" s="19" t="str">
        <f>INDEX(Places[Type],MATCH(Expenditures[[#This Row],[Jurisdiction]],Places[Jurisdiction],0))</f>
        <v>City</v>
      </c>
      <c r="C470" s="19" t="str">
        <f>INDEX(Places[County],MATCH(Expenditures[[#This Row],[Jurisdiction]],Places[Jurisdiction],0))</f>
        <v>Orange</v>
      </c>
      <c r="D470" s="19" t="str">
        <f>INDEX(Places[Majority RB],MATCH(Expenditures[[#This Row],[Jurisdiction]],Places[Jurisdiction],0))</f>
        <v>San Diego</v>
      </c>
      <c r="E470" s="19">
        <f>INDEX(Places[Majority RB '#],MATCH(Expenditures[[#This Row],[Jurisdiction]],Places[Jurisdiction],0))</f>
        <v>9</v>
      </c>
      <c r="F470" s="19" t="str">
        <f>VLOOKUP(Expenditures[[#This Row],[Jurisdiction]],Places[#All],8,FALSE)</f>
        <v>Phase I MS4</v>
      </c>
      <c r="G470" s="19"/>
      <c r="H470" s="21" t="s">
        <v>1893</v>
      </c>
      <c r="I470" s="21">
        <f>VALUE(LEFT(Expenditures[[#This Row],[Fiscal Year]],4))</f>
        <v>2000</v>
      </c>
      <c r="J470" s="20">
        <v>325300</v>
      </c>
      <c r="K470" s="20">
        <f>IF(Expenditures[[#This Row],[Reference Year]]&gt;2018,Expenditures[[#This Row],[Value]],Expenditures[[#This Row],[Value]]*(1+VLOOKUP(Expenditures[[#This Row],[Reference Year]],Inflation[#All],3,FALSE)))</f>
        <v>475351.70905923349</v>
      </c>
      <c r="L470" s="105">
        <f>VALUE(Expenditures[[#This Row],[2018 $ Value]]/VLOOKUP(Expenditures[[#This Row],[Jurisdiction]],Places[],6,FALSE))</f>
        <v>13.199447673318899</v>
      </c>
      <c r="M470" s="105">
        <f>VALUE(Expenditures[[#This Row],[2018 $ Value]]/VLOOKUP(Expenditures[[#This Row],[Jurisdiction]],Places[],7,FALSE))</f>
        <v>33475.472468960106</v>
      </c>
      <c r="N470" s="20" t="s">
        <v>1460</v>
      </c>
      <c r="O470" s="20" t="s">
        <v>1460</v>
      </c>
    </row>
    <row r="471" spans="1:15" x14ac:dyDescent="0.25">
      <c r="A471" s="19" t="s">
        <v>289</v>
      </c>
      <c r="B471" s="19" t="str">
        <f>INDEX(Places[Type],MATCH(Expenditures[[#This Row],[Jurisdiction]],Places[Jurisdiction],0))</f>
        <v>City</v>
      </c>
      <c r="C471" s="19" t="str">
        <f>INDEX(Places[County],MATCH(Expenditures[[#This Row],[Jurisdiction]],Places[Jurisdiction],0))</f>
        <v>Orange</v>
      </c>
      <c r="D471" s="19" t="str">
        <f>INDEX(Places[Majority RB],MATCH(Expenditures[[#This Row],[Jurisdiction]],Places[Jurisdiction],0))</f>
        <v>San Diego</v>
      </c>
      <c r="E471" s="19">
        <f>INDEX(Places[Majority RB '#],MATCH(Expenditures[[#This Row],[Jurisdiction]],Places[Jurisdiction],0))</f>
        <v>9</v>
      </c>
      <c r="F471" s="19" t="str">
        <f>VLOOKUP(Expenditures[[#This Row],[Jurisdiction]],Places[#All],8,FALSE)</f>
        <v>Phase I MS4</v>
      </c>
      <c r="G471" s="19"/>
      <c r="H471" s="21" t="s">
        <v>1875</v>
      </c>
      <c r="I471" s="21">
        <f>VALUE(LEFT(Expenditures[[#This Row],[Fiscal Year]],4))</f>
        <v>2001</v>
      </c>
      <c r="J471" s="20">
        <v>614260</v>
      </c>
      <c r="K471" s="20">
        <f>IF(Expenditures[[#This Row],[Reference Year]]&gt;2018,Expenditures[[#This Row],[Value]],Expenditures[[#This Row],[Value]]*(1+VLOOKUP(Expenditures[[#This Row],[Reference Year]],Inflation[#All],3,FALSE)))</f>
        <v>872765.99695087515</v>
      </c>
      <c r="L471" s="105">
        <f>VALUE(Expenditures[[#This Row],[2018 $ Value]]/VLOOKUP(Expenditures[[#This Row],[Jurisdiction]],Places[],6,FALSE))</f>
        <v>24.234748478351573</v>
      </c>
      <c r="M471" s="105">
        <f>VALUE(Expenditures[[#This Row],[2018 $ Value]]/VLOOKUP(Expenditures[[#This Row],[Jurisdiction]],Places[],7,FALSE))</f>
        <v>61462.394151470085</v>
      </c>
      <c r="N471" s="20" t="s">
        <v>1460</v>
      </c>
      <c r="O471" s="20" t="s">
        <v>1460</v>
      </c>
    </row>
    <row r="472" spans="1:15" x14ac:dyDescent="0.25">
      <c r="A472" s="19" t="s">
        <v>289</v>
      </c>
      <c r="B472" s="19" t="str">
        <f>INDEX(Places[Type],MATCH(Expenditures[[#This Row],[Jurisdiction]],Places[Jurisdiction],0))</f>
        <v>City</v>
      </c>
      <c r="C472" s="19" t="str">
        <f>INDEX(Places[County],MATCH(Expenditures[[#This Row],[Jurisdiction]],Places[Jurisdiction],0))</f>
        <v>Orange</v>
      </c>
      <c r="D472" s="19" t="str">
        <f>INDEX(Places[Majority RB],MATCH(Expenditures[[#This Row],[Jurisdiction]],Places[Jurisdiction],0))</f>
        <v>San Diego</v>
      </c>
      <c r="E472" s="19">
        <f>INDEX(Places[Majority RB '#],MATCH(Expenditures[[#This Row],[Jurisdiction]],Places[Jurisdiction],0))</f>
        <v>9</v>
      </c>
      <c r="F472" s="19" t="str">
        <f>VLOOKUP(Expenditures[[#This Row],[Jurisdiction]],Places[#All],8,FALSE)</f>
        <v>Phase I MS4</v>
      </c>
      <c r="G472" s="19"/>
      <c r="H472" s="21" t="s">
        <v>1880</v>
      </c>
      <c r="I472" s="21">
        <f>VALUE(LEFT(Expenditures[[#This Row],[Fiscal Year]],4))</f>
        <v>2013</v>
      </c>
      <c r="J472" s="20">
        <v>1428300</v>
      </c>
      <c r="K472" s="20">
        <f>IF(Expenditures[[#This Row],[Reference Year]]&gt;2018,Expenditures[[#This Row],[Value]],Expenditures[[#This Row],[Value]]*(1+VLOOKUP(Expenditures[[#This Row],[Reference Year]],Inflation[#All],3,FALSE)))</f>
        <v>1542508.829613734</v>
      </c>
      <c r="L472" s="105">
        <f>VALUE(Expenditures[[#This Row],[2018 $ Value]]/VLOOKUP(Expenditures[[#This Row],[Jurisdiction]],Places[],6,FALSE))</f>
        <v>42.832000378022769</v>
      </c>
      <c r="M472" s="105">
        <f>VALUE(Expenditures[[#This Row],[2018 $ Value]]/VLOOKUP(Expenditures[[#This Row],[Jurisdiction]],Places[],7,FALSE))</f>
        <v>108627.38236716438</v>
      </c>
      <c r="N472" s="20" t="s">
        <v>1460</v>
      </c>
      <c r="O472" s="20" t="s">
        <v>1460</v>
      </c>
    </row>
    <row r="473" spans="1:15" x14ac:dyDescent="0.25">
      <c r="A473" s="19" t="s">
        <v>289</v>
      </c>
      <c r="B473" s="19" t="str">
        <f>INDEX(Places[Type],MATCH(Expenditures[[#This Row],[Jurisdiction]],Places[Jurisdiction],0))</f>
        <v>City</v>
      </c>
      <c r="C473" s="19" t="str">
        <f>INDEX(Places[County],MATCH(Expenditures[[#This Row],[Jurisdiction]],Places[Jurisdiction],0))</f>
        <v>Orange</v>
      </c>
      <c r="D473" s="19" t="str">
        <f>INDEX(Places[Majority RB],MATCH(Expenditures[[#This Row],[Jurisdiction]],Places[Jurisdiction],0))</f>
        <v>San Diego</v>
      </c>
      <c r="E473" s="19">
        <f>INDEX(Places[Majority RB '#],MATCH(Expenditures[[#This Row],[Jurisdiction]],Places[Jurisdiction],0))</f>
        <v>9</v>
      </c>
      <c r="F473" s="19" t="str">
        <f>VLOOKUP(Expenditures[[#This Row],[Jurisdiction]],Places[#All],8,FALSE)</f>
        <v>Phase I MS4</v>
      </c>
      <c r="G473" s="19"/>
      <c r="H473" s="21" t="s">
        <v>1881</v>
      </c>
      <c r="I473" s="21">
        <f>VALUE(LEFT(Expenditures[[#This Row],[Fiscal Year]],4))</f>
        <v>2014</v>
      </c>
      <c r="J473" s="20">
        <v>1409973.71</v>
      </c>
      <c r="K473" s="20">
        <f>IF(Expenditures[[#This Row],[Reference Year]]&gt;2018,Expenditures[[#This Row],[Value]],Expenditures[[#This Row],[Value]]*(1+VLOOKUP(Expenditures[[#This Row],[Reference Year]],Inflation[#All],3,FALSE)))</f>
        <v>1498914.6371821293</v>
      </c>
      <c r="L473" s="105">
        <f>VALUE(Expenditures[[#This Row],[2018 $ Value]]/VLOOKUP(Expenditures[[#This Row],[Jurisdiction]],Places[],6,FALSE))</f>
        <v>41.621487717827712</v>
      </c>
      <c r="M473" s="105">
        <f>VALUE(Expenditures[[#This Row],[2018 $ Value]]/VLOOKUP(Expenditures[[#This Row],[Jurisdiction]],Places[],7,FALSE))</f>
        <v>105557.36881564291</v>
      </c>
      <c r="N473" s="20" t="s">
        <v>1460</v>
      </c>
      <c r="O473" s="20" t="s">
        <v>1460</v>
      </c>
    </row>
    <row r="474" spans="1:15" x14ac:dyDescent="0.25">
      <c r="A474" s="19" t="s">
        <v>289</v>
      </c>
      <c r="B474" s="19" t="str">
        <f>INDEX(Places[Type],MATCH(Expenditures[[#This Row],[Jurisdiction]],Places[Jurisdiction],0))</f>
        <v>City</v>
      </c>
      <c r="C474" s="19" t="str">
        <f>INDEX(Places[County],MATCH(Expenditures[[#This Row],[Jurisdiction]],Places[Jurisdiction],0))</f>
        <v>Orange</v>
      </c>
      <c r="D474" s="19" t="str">
        <f>INDEX(Places[Majority RB],MATCH(Expenditures[[#This Row],[Jurisdiction]],Places[Jurisdiction],0))</f>
        <v>San Diego</v>
      </c>
      <c r="E474" s="19">
        <f>INDEX(Places[Majority RB '#],MATCH(Expenditures[[#This Row],[Jurisdiction]],Places[Jurisdiction],0))</f>
        <v>9</v>
      </c>
      <c r="F474" s="19" t="str">
        <f>VLOOKUP(Expenditures[[#This Row],[Jurisdiction]],Places[#All],8,FALSE)</f>
        <v>Phase I MS4</v>
      </c>
      <c r="G474" s="19"/>
      <c r="H474" s="21" t="s">
        <v>1873</v>
      </c>
      <c r="I474" s="21">
        <f>VALUE(LEFT(Expenditures[[#This Row],[Fiscal Year]],4))</f>
        <v>2015</v>
      </c>
      <c r="J474" s="20">
        <v>3297324.48</v>
      </c>
      <c r="K474" s="20">
        <f>IF(Expenditures[[#This Row],[Reference Year]]&gt;2018,Expenditures[[#This Row],[Value]],Expenditures[[#This Row],[Value]]*(1+VLOOKUP(Expenditures[[#This Row],[Reference Year]],Inflation[#All],3,FALSE)))</f>
        <v>3500882.0937843034</v>
      </c>
      <c r="L474" s="105">
        <f>VALUE(Expenditures[[#This Row],[2018 $ Value]]/VLOOKUP(Expenditures[[#This Row],[Jurisdiction]],Places[],6,FALSE))</f>
        <v>97.211620631002788</v>
      </c>
      <c r="M474" s="105">
        <f>VALUE(Expenditures[[#This Row],[2018 $ Value]]/VLOOKUP(Expenditures[[#This Row],[Jurisdiction]],Places[],7,FALSE))</f>
        <v>246540.99252002139</v>
      </c>
      <c r="N474" s="20" t="s">
        <v>1460</v>
      </c>
      <c r="O474" s="20" t="s">
        <v>1460</v>
      </c>
    </row>
    <row r="475" spans="1:15" x14ac:dyDescent="0.25">
      <c r="A475" s="19" t="s">
        <v>289</v>
      </c>
      <c r="B475" s="19" t="str">
        <f>INDEX(Places[Type],MATCH(Expenditures[[#This Row],[Jurisdiction]],Places[Jurisdiction],0))</f>
        <v>City</v>
      </c>
      <c r="C475" s="19" t="str">
        <f>INDEX(Places[County],MATCH(Expenditures[[#This Row],[Jurisdiction]],Places[Jurisdiction],0))</f>
        <v>Orange</v>
      </c>
      <c r="D475" s="19" t="str">
        <f>INDEX(Places[Majority RB],MATCH(Expenditures[[#This Row],[Jurisdiction]],Places[Jurisdiction],0))</f>
        <v>San Diego</v>
      </c>
      <c r="E475" s="19">
        <f>INDEX(Places[Majority RB '#],MATCH(Expenditures[[#This Row],[Jurisdiction]],Places[Jurisdiction],0))</f>
        <v>9</v>
      </c>
      <c r="F475" s="19" t="str">
        <f>VLOOKUP(Expenditures[[#This Row],[Jurisdiction]],Places[#All],8,FALSE)</f>
        <v>Phase I MS4</v>
      </c>
      <c r="G475" s="19"/>
      <c r="H475" s="21" t="s">
        <v>1869</v>
      </c>
      <c r="I475" s="21">
        <f>VALUE(LEFT(Expenditures[[#This Row],[Fiscal Year]],4))</f>
        <v>2016</v>
      </c>
      <c r="J475" s="20">
        <v>3374050.09</v>
      </c>
      <c r="K475" s="20">
        <f>IF(Expenditures[[#This Row],[Reference Year]]&gt;2018,Expenditures[[#This Row],[Value]],Expenditures[[#This Row],[Value]]*(1+VLOOKUP(Expenditures[[#This Row],[Reference Year]],Inflation[#All],3,FALSE)))</f>
        <v>3537564.992486625</v>
      </c>
      <c r="L475" s="105">
        <f>VALUE(Expenditures[[#This Row],[2018 $ Value]]/VLOOKUP(Expenditures[[#This Row],[Jurisdiction]],Places[],6,FALSE))</f>
        <v>98.230222211052265</v>
      </c>
      <c r="M475" s="105">
        <f>VALUE(Expenditures[[#This Row],[2018 $ Value]]/VLOOKUP(Expenditures[[#This Row],[Jurisdiction]],Places[],7,FALSE))</f>
        <v>249124.29524553698</v>
      </c>
      <c r="N475" s="20" t="s">
        <v>1460</v>
      </c>
      <c r="O475" s="20" t="s">
        <v>1460</v>
      </c>
    </row>
    <row r="476" spans="1:15" x14ac:dyDescent="0.25">
      <c r="A476" s="19" t="s">
        <v>289</v>
      </c>
      <c r="B476" s="19" t="str">
        <f>INDEX(Places[Type],MATCH(Expenditures[[#This Row],[Jurisdiction]],Places[Jurisdiction],0))</f>
        <v>City</v>
      </c>
      <c r="C476" s="19" t="str">
        <f>INDEX(Places[County],MATCH(Expenditures[[#This Row],[Jurisdiction]],Places[Jurisdiction],0))</f>
        <v>Orange</v>
      </c>
      <c r="D476" s="19" t="str">
        <f>INDEX(Places[Majority RB],MATCH(Expenditures[[#This Row],[Jurisdiction]],Places[Jurisdiction],0))</f>
        <v>San Diego</v>
      </c>
      <c r="E476" s="19">
        <f>INDEX(Places[Majority RB '#],MATCH(Expenditures[[#This Row],[Jurisdiction]],Places[Jurisdiction],0))</f>
        <v>9</v>
      </c>
      <c r="F476" s="19" t="str">
        <f>VLOOKUP(Expenditures[[#This Row],[Jurisdiction]],Places[#All],8,FALSE)</f>
        <v>Phase I MS4</v>
      </c>
      <c r="G476" s="19"/>
      <c r="H476" s="21" t="s">
        <v>1874</v>
      </c>
      <c r="I476" s="21">
        <f>VALUE(LEFT(Expenditures[[#This Row],[Fiscal Year]],4))</f>
        <v>2017</v>
      </c>
      <c r="J476" s="20">
        <v>4059160.81</v>
      </c>
      <c r="K476" s="20">
        <f>IF(Expenditures[[#This Row],[Reference Year]]&gt;2018,Expenditures[[#This Row],[Value]],Expenditures[[#This Row],[Value]]*(1+VLOOKUP(Expenditures[[#This Row],[Reference Year]],Inflation[#All],3,FALSE)))</f>
        <v>4167322.2920485931</v>
      </c>
      <c r="L476" s="105">
        <f>VALUE(Expenditures[[#This Row],[2018 $ Value]]/VLOOKUP(Expenditures[[#This Row],[Jurisdiction]],Places[],6,FALSE))</f>
        <v>115.71716580258776</v>
      </c>
      <c r="M476" s="105">
        <f>VALUE(Expenditures[[#This Row],[2018 $ Value]]/VLOOKUP(Expenditures[[#This Row],[Jurisdiction]],Places[],7,FALSE))</f>
        <v>293473.40084849246</v>
      </c>
      <c r="N476" s="20" t="s">
        <v>1853</v>
      </c>
      <c r="O476" s="20" t="s">
        <v>1853</v>
      </c>
    </row>
    <row r="477" spans="1:15" x14ac:dyDescent="0.25">
      <c r="A477" s="19" t="s">
        <v>22</v>
      </c>
      <c r="B477" s="19" t="str">
        <f>INDEX(Places[Type],MATCH(Expenditures[[#This Row],[Jurisdiction]],Places[Jurisdiction],0))</f>
        <v>City</v>
      </c>
      <c r="C477" s="19" t="str">
        <f>INDEX(Places[County],MATCH(Expenditures[[#This Row],[Jurisdiction]],Places[Jurisdiction],0))</f>
        <v>San Diego</v>
      </c>
      <c r="D477" s="19" t="str">
        <f>INDEX(Places[Majority RB],MATCH(Expenditures[[#This Row],[Jurisdiction]],Places[Jurisdiction],0))</f>
        <v>San Diego</v>
      </c>
      <c r="E477" s="19">
        <f>INDEX(Places[Majority RB '#],MATCH(Expenditures[[#This Row],[Jurisdiction]],Places[Jurisdiction],0))</f>
        <v>9</v>
      </c>
      <c r="F477" s="19" t="str">
        <f>VLOOKUP(Expenditures[[#This Row],[Jurisdiction]],Places[#All],8,FALSE)</f>
        <v>Phase I MS4</v>
      </c>
      <c r="G477" s="19"/>
      <c r="H477" s="20" t="s">
        <v>1880</v>
      </c>
      <c r="I477" s="21">
        <f>VALUE(LEFT(Expenditures[[#This Row],[Fiscal Year]],4))</f>
        <v>2013</v>
      </c>
      <c r="J477" s="20">
        <v>1056233</v>
      </c>
      <c r="K477" s="20">
        <f>IF(Expenditures[[#This Row],[Reference Year]]&gt;2018,Expenditures[[#This Row],[Value]],Expenditures[[#This Row],[Value]]*(1+VLOOKUP(Expenditures[[#This Row],[Reference Year]],Inflation[#All],3,FALSE)))</f>
        <v>1140690.8413004293</v>
      </c>
      <c r="L477" s="105">
        <f>VALUE(Expenditures[[#This Row],[2018 $ Value]]/VLOOKUP(Expenditures[[#This Row],[Jurisdiction]],Places[],6,FALSE))</f>
        <v>11.778277502663267</v>
      </c>
      <c r="M477" s="105">
        <f>VALUE(Expenditures[[#This Row],[2018 $ Value]]/VLOOKUP(Expenditures[[#This Row],[Jurisdiction]],Places[],7,FALSE))</f>
        <v>46749.624643460222</v>
      </c>
      <c r="N477" s="20" t="s">
        <v>1460</v>
      </c>
      <c r="O477" s="20" t="s">
        <v>1853</v>
      </c>
    </row>
    <row r="478" spans="1:15" x14ac:dyDescent="0.25">
      <c r="A478" s="19" t="s">
        <v>197</v>
      </c>
      <c r="B478" s="19" t="str">
        <f>INDEX(Places[Type],MATCH(Expenditures[[#This Row],[Jurisdiction]],Places[Jurisdiction],0))</f>
        <v>City</v>
      </c>
      <c r="C478" s="19" t="str">
        <f>INDEX(Places[County],MATCH(Expenditures[[#This Row],[Jurisdiction]],Places[Jurisdiction],0))</f>
        <v>Los Angeles</v>
      </c>
      <c r="D478" s="19" t="str">
        <f>INDEX(Places[Majority RB],MATCH(Expenditures[[#This Row],[Jurisdiction]],Places[Jurisdiction],0))</f>
        <v>Los Angeles</v>
      </c>
      <c r="E478" s="19">
        <f>INDEX(Places[Majority RB '#],MATCH(Expenditures[[#This Row],[Jurisdiction]],Places[Jurisdiction],0))</f>
        <v>4</v>
      </c>
      <c r="F478" s="19" t="str">
        <f>VLOOKUP(Expenditures[[#This Row],[Jurisdiction]],Places[#All],8,FALSE)</f>
        <v>Phase I MS4</v>
      </c>
      <c r="G478" s="19"/>
      <c r="H478" s="21" t="s">
        <v>1870</v>
      </c>
      <c r="I478" s="21">
        <f>VALUE(LEFT(Expenditures[[#This Row],[Fiscal Year]],4))</f>
        <v>2011</v>
      </c>
      <c r="J478" s="20">
        <v>428160</v>
      </c>
      <c r="K478" s="20">
        <f>IF(Expenditures[[#This Row],[Reference Year]]&gt;2018,Expenditures[[#This Row],[Value]],Expenditures[[#This Row],[Value]]*(1+VLOOKUP(Expenditures[[#This Row],[Reference Year]],Inflation[#All],3,FALSE)))</f>
        <v>479049.9286794131</v>
      </c>
      <c r="L478" s="105">
        <f>VALUE(Expenditures[[#This Row],[2018 $ Value]]/VLOOKUP(Expenditures[[#This Row],[Jurisdiction]],Places[],6,FALSE))</f>
        <v>36.330193286774843</v>
      </c>
      <c r="M478" s="105">
        <f>VALUE(Expenditures[[#This Row],[2018 $ Value]]/VLOOKUP(Expenditures[[#This Row],[Jurisdiction]],Places[],7,FALSE))</f>
        <v>126065.77070510872</v>
      </c>
      <c r="N478" s="20" t="s">
        <v>1460</v>
      </c>
      <c r="O478" s="20" t="s">
        <v>1460</v>
      </c>
    </row>
    <row r="479" spans="1:15" x14ac:dyDescent="0.25">
      <c r="A479" s="19" t="s">
        <v>197</v>
      </c>
      <c r="B479" s="19" t="str">
        <f>INDEX(Places[Type],MATCH(Expenditures[[#This Row],[Jurisdiction]],Places[Jurisdiction],0))</f>
        <v>City</v>
      </c>
      <c r="C479" s="19" t="str">
        <f>INDEX(Places[County],MATCH(Expenditures[[#This Row],[Jurisdiction]],Places[Jurisdiction],0))</f>
        <v>Los Angeles</v>
      </c>
      <c r="D479" s="19" t="str">
        <f>INDEX(Places[Majority RB],MATCH(Expenditures[[#This Row],[Jurisdiction]],Places[Jurisdiction],0))</f>
        <v>Los Angeles</v>
      </c>
      <c r="E479" s="19">
        <f>INDEX(Places[Majority RB '#],MATCH(Expenditures[[#This Row],[Jurisdiction]],Places[Jurisdiction],0))</f>
        <v>4</v>
      </c>
      <c r="F479" s="19" t="str">
        <f>VLOOKUP(Expenditures[[#This Row],[Jurisdiction]],Places[#All],8,FALSE)</f>
        <v>Phase I MS4</v>
      </c>
      <c r="G479" s="19"/>
      <c r="H479" s="21" t="s">
        <v>1873</v>
      </c>
      <c r="I479" s="21">
        <f>VALUE(LEFT(Expenditures[[#This Row],[Fiscal Year]],4))</f>
        <v>2015</v>
      </c>
      <c r="J479" s="20">
        <v>534221</v>
      </c>
      <c r="K479" s="20">
        <f>IF(Expenditures[[#This Row],[Reference Year]]&gt;2018,Expenditures[[#This Row],[Value]],Expenditures[[#This Row],[Value]]*(1+VLOOKUP(Expenditures[[#This Row],[Reference Year]],Inflation[#All],3,FALSE)))</f>
        <v>567200.69388607587</v>
      </c>
      <c r="L479" s="105">
        <f>VALUE(Expenditures[[#This Row],[2018 $ Value]]/VLOOKUP(Expenditures[[#This Row],[Jurisdiction]],Places[],6,FALSE))</f>
        <v>43.015371900961313</v>
      </c>
      <c r="M479" s="105">
        <f>VALUE(Expenditures[[#This Row],[2018 $ Value]]/VLOOKUP(Expenditures[[#This Row],[Jurisdiction]],Places[],7,FALSE))</f>
        <v>149263.34049633576</v>
      </c>
      <c r="N479" s="20" t="s">
        <v>1853</v>
      </c>
      <c r="O479" s="20" t="s">
        <v>1853</v>
      </c>
    </row>
    <row r="480" spans="1:15" x14ac:dyDescent="0.25">
      <c r="A480" s="19" t="s">
        <v>290</v>
      </c>
      <c r="B480" s="19" t="str">
        <f>INDEX(Places[Type],MATCH(Expenditures[[#This Row],[Jurisdiction]],Places[Jurisdiction],0))</f>
        <v>City</v>
      </c>
      <c r="C480" s="19" t="str">
        <f>INDEX(Places[County],MATCH(Expenditures[[#This Row],[Jurisdiction]],Places[Jurisdiction],0))</f>
        <v>Orange</v>
      </c>
      <c r="D480" s="19" t="str">
        <f>INDEX(Places[Majority RB],MATCH(Expenditures[[#This Row],[Jurisdiction]],Places[Jurisdiction],0))</f>
        <v>Santa Ana</v>
      </c>
      <c r="E480" s="19">
        <f>INDEX(Places[Majority RB '#],MATCH(Expenditures[[#This Row],[Jurisdiction]],Places[Jurisdiction],0))</f>
        <v>8</v>
      </c>
      <c r="F480" s="19" t="str">
        <f>VLOOKUP(Expenditures[[#This Row],[Jurisdiction]],Places[#All],8,FALSE)</f>
        <v>Phase I MS4</v>
      </c>
      <c r="G480" s="19"/>
      <c r="H480" s="21" t="s">
        <v>1893</v>
      </c>
      <c r="I480" s="21">
        <f>VALUE(LEFT(Expenditures[[#This Row],[Fiscal Year]],4))</f>
        <v>2000</v>
      </c>
      <c r="J480" s="20">
        <v>5874986</v>
      </c>
      <c r="K480" s="20">
        <f>IF(Expenditures[[#This Row],[Reference Year]]&gt;2018,Expenditures[[#This Row],[Value]],Expenditures[[#This Row],[Value]]*(1+VLOOKUP(Expenditures[[#This Row],[Reference Year]],Inflation[#All],3,FALSE)))</f>
        <v>8584951.2320905924</v>
      </c>
      <c r="L480" s="105">
        <f>VALUE(Expenditures[[#This Row],[2018 $ Value]]/VLOOKUP(Expenditures[[#This Row],[Jurisdiction]],Places[],6,FALSE))</f>
        <v>25.801942240861351</v>
      </c>
      <c r="M480" s="105">
        <f>VALUE(Expenditures[[#This Row],[2018 $ Value]]/VLOOKUP(Expenditures[[#This Row],[Jurisdiction]],Places[],7,FALSE))</f>
        <v>316787.86834282626</v>
      </c>
      <c r="N480" s="20" t="s">
        <v>1460</v>
      </c>
      <c r="O480" s="20" t="s">
        <v>1460</v>
      </c>
    </row>
    <row r="481" spans="1:15" x14ac:dyDescent="0.25">
      <c r="A481" s="19" t="s">
        <v>290</v>
      </c>
      <c r="B481" s="19" t="str">
        <f>INDEX(Places[Type],MATCH(Expenditures[[#This Row],[Jurisdiction]],Places[Jurisdiction],0))</f>
        <v>City</v>
      </c>
      <c r="C481" s="19" t="str">
        <f>INDEX(Places[County],MATCH(Expenditures[[#This Row],[Jurisdiction]],Places[Jurisdiction],0))</f>
        <v>Orange</v>
      </c>
      <c r="D481" s="19" t="str">
        <f>INDEX(Places[Majority RB],MATCH(Expenditures[[#This Row],[Jurisdiction]],Places[Jurisdiction],0))</f>
        <v>Santa Ana</v>
      </c>
      <c r="E481" s="19">
        <f>INDEX(Places[Majority RB '#],MATCH(Expenditures[[#This Row],[Jurisdiction]],Places[Jurisdiction],0))</f>
        <v>8</v>
      </c>
      <c r="F481" s="19" t="str">
        <f>VLOOKUP(Expenditures[[#This Row],[Jurisdiction]],Places[#All],8,FALSE)</f>
        <v>Phase I MS4</v>
      </c>
      <c r="G481" s="19"/>
      <c r="H481" s="21" t="s">
        <v>1875</v>
      </c>
      <c r="I481" s="21">
        <f>VALUE(LEFT(Expenditures[[#This Row],[Fiscal Year]],4))</f>
        <v>2001</v>
      </c>
      <c r="J481" s="20">
        <v>4364871</v>
      </c>
      <c r="K481" s="20">
        <f>IF(Expenditures[[#This Row],[Reference Year]]&gt;2018,Expenditures[[#This Row],[Value]],Expenditures[[#This Row],[Value]]*(1+VLOOKUP(Expenditures[[#This Row],[Reference Year]],Inflation[#All],3,FALSE)))</f>
        <v>6201789.1281818179</v>
      </c>
      <c r="L481" s="105">
        <f>VALUE(Expenditures[[#This Row],[2018 $ Value]]/VLOOKUP(Expenditures[[#This Row],[Jurisdiction]],Places[],6,FALSE))</f>
        <v>18.639384260821451</v>
      </c>
      <c r="M481" s="105">
        <f>VALUE(Expenditures[[#This Row],[2018 $ Value]]/VLOOKUP(Expenditures[[#This Row],[Jurisdiction]],Places[],7,FALSE))</f>
        <v>228848.30731298219</v>
      </c>
      <c r="N481" s="20" t="s">
        <v>1853</v>
      </c>
      <c r="O481" s="20" t="s">
        <v>1853</v>
      </c>
    </row>
    <row r="482" spans="1:15" x14ac:dyDescent="0.25">
      <c r="A482" s="19" t="s">
        <v>206</v>
      </c>
      <c r="B482" s="19" t="str">
        <f>INDEX(Places[Type],MATCH(Expenditures[[#This Row],[Jurisdiction]],Places[Jurisdiction],0))</f>
        <v>City</v>
      </c>
      <c r="C482" s="19" t="str">
        <f>INDEX(Places[County],MATCH(Expenditures[[#This Row],[Jurisdiction]],Places[Jurisdiction],0))</f>
        <v>Los Angeles</v>
      </c>
      <c r="D482" s="19" t="str">
        <f>INDEX(Places[Majority RB],MATCH(Expenditures[[#This Row],[Jurisdiction]],Places[Jurisdiction],0))</f>
        <v>Los Angeles</v>
      </c>
      <c r="E482" s="19">
        <f>INDEX(Places[Majority RB '#],MATCH(Expenditures[[#This Row],[Jurisdiction]],Places[Jurisdiction],0))</f>
        <v>4</v>
      </c>
      <c r="F482" s="19" t="str">
        <f>VLOOKUP(Expenditures[[#This Row],[Jurisdiction]],Places[#All],8,FALSE)</f>
        <v>Phase I MS4</v>
      </c>
      <c r="G482" s="19"/>
      <c r="H482" s="21" t="s">
        <v>1870</v>
      </c>
      <c r="I482" s="21">
        <f>VALUE(LEFT(Expenditures[[#This Row],[Fiscal Year]],4))</f>
        <v>2011</v>
      </c>
      <c r="J482" s="20">
        <v>2725516</v>
      </c>
      <c r="K482" s="20">
        <f>IF(Expenditures[[#This Row],[Reference Year]]&gt;2018,Expenditures[[#This Row],[Value]],Expenditures[[#This Row],[Value]]*(1+VLOOKUP(Expenditures[[#This Row],[Reference Year]],Inflation[#All],3,FALSE)))</f>
        <v>3049463.390822588</v>
      </c>
      <c r="L482" s="105">
        <f>VALUE(Expenditures[[#This Row],[2018 $ Value]]/VLOOKUP(Expenditures[[#This Row],[Jurisdiction]],Places[],6,FALSE))</f>
        <v>14.515102603289977</v>
      </c>
      <c r="M482" s="105">
        <f>VALUE(Expenditures[[#This Row],[2018 $ Value]]/VLOOKUP(Expenditures[[#This Row],[Jurisdiction]],Places[],7,FALSE))</f>
        <v>57754.988462549016</v>
      </c>
      <c r="N482" s="20" t="s">
        <v>1460</v>
      </c>
      <c r="O482" s="20" t="s">
        <v>1460</v>
      </c>
    </row>
    <row r="483" spans="1:15" x14ac:dyDescent="0.25">
      <c r="A483" s="19" t="s">
        <v>206</v>
      </c>
      <c r="B483" s="19" t="str">
        <f>INDEX(Places[Type],MATCH(Expenditures[[#This Row],[Jurisdiction]],Places[Jurisdiction],0))</f>
        <v>City</v>
      </c>
      <c r="C483" s="19" t="str">
        <f>INDEX(Places[County],MATCH(Expenditures[[#This Row],[Jurisdiction]],Places[Jurisdiction],0))</f>
        <v>Los Angeles</v>
      </c>
      <c r="D483" s="19" t="str">
        <f>INDEX(Places[Majority RB],MATCH(Expenditures[[#This Row],[Jurisdiction]],Places[Jurisdiction],0))</f>
        <v>Los Angeles</v>
      </c>
      <c r="E483" s="19">
        <f>INDEX(Places[Majority RB '#],MATCH(Expenditures[[#This Row],[Jurisdiction]],Places[Jurisdiction],0))</f>
        <v>4</v>
      </c>
      <c r="F483" s="19" t="str">
        <f>VLOOKUP(Expenditures[[#This Row],[Jurisdiction]],Places[#All],8,FALSE)</f>
        <v>Phase I MS4</v>
      </c>
      <c r="G483" s="19"/>
      <c r="H483" s="21" t="s">
        <v>1873</v>
      </c>
      <c r="I483" s="21">
        <f>VALUE(LEFT(Expenditures[[#This Row],[Fiscal Year]],4))</f>
        <v>2015</v>
      </c>
      <c r="J483" s="20">
        <v>2971175</v>
      </c>
      <c r="K483" s="20">
        <f>IF(Expenditures[[#This Row],[Reference Year]]&gt;2018,Expenditures[[#This Row],[Value]],Expenditures[[#This Row],[Value]]*(1+VLOOKUP(Expenditures[[#This Row],[Reference Year]],Inflation[#All],3,FALSE)))</f>
        <v>3154598.0439873417</v>
      </c>
      <c r="L483" s="105">
        <f>VALUE(Expenditures[[#This Row],[2018 $ Value]]/VLOOKUP(Expenditures[[#This Row],[Jurisdiction]],Places[],6,FALSE))</f>
        <v>15.015531722209833</v>
      </c>
      <c r="M483" s="105">
        <f>VALUE(Expenditures[[#This Row],[2018 $ Value]]/VLOOKUP(Expenditures[[#This Row],[Jurisdiction]],Places[],7,FALSE))</f>
        <v>59746.175075517836</v>
      </c>
      <c r="N483" s="20" t="s">
        <v>1853</v>
      </c>
      <c r="O483" s="20" t="s">
        <v>1853</v>
      </c>
    </row>
    <row r="484" spans="1:15" x14ac:dyDescent="0.25">
      <c r="A484" s="19" t="s">
        <v>186</v>
      </c>
      <c r="B484" s="19" t="str">
        <f>INDEX(Places[Type],MATCH(Expenditures[[#This Row],[Jurisdiction]],Places[Jurisdiction],0))</f>
        <v>City</v>
      </c>
      <c r="C484" s="19" t="str">
        <f>INDEX(Places[County],MATCH(Expenditures[[#This Row],[Jurisdiction]],Places[Jurisdiction],0))</f>
        <v>Los Angeles</v>
      </c>
      <c r="D484" s="19" t="str">
        <f>INDEX(Places[Majority RB],MATCH(Expenditures[[#This Row],[Jurisdiction]],Places[Jurisdiction],0))</f>
        <v>Los Angeles</v>
      </c>
      <c r="E484" s="19">
        <f>INDEX(Places[Majority RB '#],MATCH(Expenditures[[#This Row],[Jurisdiction]],Places[Jurisdiction],0))</f>
        <v>4</v>
      </c>
      <c r="F484" s="19" t="str">
        <f>VLOOKUP(Expenditures[[#This Row],[Jurisdiction]],Places[#All],8,FALSE)</f>
        <v>Phase I MS4</v>
      </c>
      <c r="G484" s="19"/>
      <c r="H484" s="21" t="s">
        <v>1870</v>
      </c>
      <c r="I484" s="21">
        <f>VALUE(LEFT(Expenditures[[#This Row],[Fiscal Year]],4))</f>
        <v>2011</v>
      </c>
      <c r="J484" s="20">
        <v>8002395</v>
      </c>
      <c r="K484" s="20">
        <f>IF(Expenditures[[#This Row],[Reference Year]]&gt;2018,Expenditures[[#This Row],[Value]],Expenditures[[#This Row],[Value]]*(1+VLOOKUP(Expenditures[[#This Row],[Reference Year]],Inflation[#All],3,FALSE)))</f>
        <v>8953537.8223432638</v>
      </c>
      <c r="L484" s="105">
        <f>VALUE(Expenditures[[#This Row],[2018 $ Value]]/VLOOKUP(Expenditures[[#This Row],[Jurisdiction]],Places[],6,FALSE))</f>
        <v>97.948144340869959</v>
      </c>
      <c r="M484" s="105">
        <f>VALUE(Expenditures[[#This Row],[2018 $ Value]]/VLOOKUP(Expenditures[[#This Row],[Jurisdiction]],Places[],7,FALSE))</f>
        <v>1065897.3598027695</v>
      </c>
      <c r="N484" s="20" t="s">
        <v>1460</v>
      </c>
      <c r="O484" s="20" t="s">
        <v>1460</v>
      </c>
    </row>
    <row r="485" spans="1:15" x14ac:dyDescent="0.25">
      <c r="A485" s="19" t="s">
        <v>186</v>
      </c>
      <c r="B485" s="19" t="str">
        <f>INDEX(Places[Type],MATCH(Expenditures[[#This Row],[Jurisdiction]],Places[Jurisdiction],0))</f>
        <v>City</v>
      </c>
      <c r="C485" s="19" t="str">
        <f>INDEX(Places[County],MATCH(Expenditures[[#This Row],[Jurisdiction]],Places[Jurisdiction],0))</f>
        <v>Los Angeles</v>
      </c>
      <c r="D485" s="19" t="str">
        <f>INDEX(Places[Majority RB],MATCH(Expenditures[[#This Row],[Jurisdiction]],Places[Jurisdiction],0))</f>
        <v>Los Angeles</v>
      </c>
      <c r="E485" s="19">
        <f>INDEX(Places[Majority RB '#],MATCH(Expenditures[[#This Row],[Jurisdiction]],Places[Jurisdiction],0))</f>
        <v>4</v>
      </c>
      <c r="F485" s="19" t="str">
        <f>VLOOKUP(Expenditures[[#This Row],[Jurisdiction]],Places[#All],8,FALSE)</f>
        <v>Phase I MS4</v>
      </c>
      <c r="G485" s="19"/>
      <c r="H485" s="21" t="s">
        <v>1873</v>
      </c>
      <c r="I485" s="21">
        <f>VALUE(LEFT(Expenditures[[#This Row],[Fiscal Year]],4))</f>
        <v>2015</v>
      </c>
      <c r="J485" s="20">
        <v>10617957</v>
      </c>
      <c r="K485" s="20">
        <f>IF(Expenditures[[#This Row],[Reference Year]]&gt;2018,Expenditures[[#This Row],[Value]],Expenditures[[#This Row],[Value]]*(1+VLOOKUP(Expenditures[[#This Row],[Reference Year]],Inflation[#All],3,FALSE)))</f>
        <v>11273447.839101264</v>
      </c>
      <c r="L485" s="105">
        <f>VALUE(Expenditures[[#This Row],[2018 $ Value]]/VLOOKUP(Expenditures[[#This Row],[Jurisdiction]],Places[],6,FALSE))</f>
        <v>123.32703765521944</v>
      </c>
      <c r="M485" s="105">
        <f>VALUE(Expenditures[[#This Row],[2018 $ Value]]/VLOOKUP(Expenditures[[#This Row],[Jurisdiction]],Places[],7,FALSE))</f>
        <v>1342077.1237025314</v>
      </c>
      <c r="N485" s="20" t="s">
        <v>1853</v>
      </c>
      <c r="O485" s="20" t="s">
        <v>1853</v>
      </c>
    </row>
    <row r="486" spans="1:15" x14ac:dyDescent="0.25">
      <c r="A486" s="19" t="s">
        <v>316</v>
      </c>
      <c r="B486" s="19" t="str">
        <f>INDEX(Places[Type],MATCH(Expenditures[[#This Row],[Jurisdiction]],Places[Jurisdiction],0))</f>
        <v>City</v>
      </c>
      <c r="C486" s="19" t="str">
        <f>INDEX(Places[County],MATCH(Expenditures[[#This Row],[Jurisdiction]],Places[Jurisdiction],0))</f>
        <v>San Diego</v>
      </c>
      <c r="D486" s="19" t="str">
        <f>INDEX(Places[Majority RB],MATCH(Expenditures[[#This Row],[Jurisdiction]],Places[Jurisdiction],0))</f>
        <v>San Diego</v>
      </c>
      <c r="E486" s="19">
        <f>INDEX(Places[Majority RB '#],MATCH(Expenditures[[#This Row],[Jurisdiction]],Places[Jurisdiction],0))</f>
        <v>9</v>
      </c>
      <c r="F486" s="19" t="str">
        <f>VLOOKUP(Expenditures[[#This Row],[Jurisdiction]],Places[#All],8,FALSE)</f>
        <v>Phase I MS4</v>
      </c>
      <c r="G486" s="19"/>
      <c r="H486" s="21" t="s">
        <v>1869</v>
      </c>
      <c r="I486" s="21">
        <f>VALUE(LEFT(Expenditures[[#This Row],[Fiscal Year]],4))</f>
        <v>2016</v>
      </c>
      <c r="J486" s="20">
        <v>775825</v>
      </c>
      <c r="K486" s="20">
        <f>IF(Expenditures[[#This Row],[Reference Year]]&gt;2018,Expenditures[[#This Row],[Value]],Expenditures[[#This Row],[Value]]*(1+VLOOKUP(Expenditures[[#This Row],[Reference Year]],Inflation[#All],3,FALSE)))</f>
        <v>813423.4190625</v>
      </c>
      <c r="L486" s="105">
        <f>VALUE(Expenditures[[#This Row],[2018 $ Value]]/VLOOKUP(Expenditures[[#This Row],[Jurisdiction]],Places[],6,FALSE))</f>
        <v>13.996789453024176</v>
      </c>
      <c r="M486" s="105">
        <f>VALUE(Expenditures[[#This Row],[2018 $ Value]]/VLOOKUP(Expenditures[[#This Row],[Jurisdiction]],Places[],7,FALSE))</f>
        <v>50211.322164351855</v>
      </c>
      <c r="N486" s="20" t="s">
        <v>1460</v>
      </c>
      <c r="O486" s="20" t="s">
        <v>1460</v>
      </c>
    </row>
    <row r="487" spans="1:15" x14ac:dyDescent="0.25">
      <c r="A487" s="19" t="s">
        <v>316</v>
      </c>
      <c r="B487" s="19" t="str">
        <f>INDEX(Places[Type],MATCH(Expenditures[[#This Row],[Jurisdiction]],Places[Jurisdiction],0))</f>
        <v>City</v>
      </c>
      <c r="C487" s="19" t="str">
        <f>INDEX(Places[County],MATCH(Expenditures[[#This Row],[Jurisdiction]],Places[Jurisdiction],0))</f>
        <v>San Diego</v>
      </c>
      <c r="D487" s="19" t="str">
        <f>INDEX(Places[Majority RB],MATCH(Expenditures[[#This Row],[Jurisdiction]],Places[Jurisdiction],0))</f>
        <v>San Diego</v>
      </c>
      <c r="E487" s="19">
        <f>INDEX(Places[Majority RB '#],MATCH(Expenditures[[#This Row],[Jurisdiction]],Places[Jurisdiction],0))</f>
        <v>9</v>
      </c>
      <c r="F487" s="19" t="str">
        <f>VLOOKUP(Expenditures[[#This Row],[Jurisdiction]],Places[#All],8,FALSE)</f>
        <v>Phase I MS4</v>
      </c>
      <c r="G487" s="19"/>
      <c r="H487" s="21" t="s">
        <v>1874</v>
      </c>
      <c r="I487" s="21">
        <f>VALUE(LEFT(Expenditures[[#This Row],[Fiscal Year]],4))</f>
        <v>2017</v>
      </c>
      <c r="J487" s="20">
        <v>785868</v>
      </c>
      <c r="K487" s="20">
        <f>IF(Expenditures[[#This Row],[Reference Year]]&gt;2018,Expenditures[[#This Row],[Value]],Expenditures[[#This Row],[Value]]*(1+VLOOKUP(Expenditures[[#This Row],[Reference Year]],Inflation[#All],3,FALSE)))</f>
        <v>806808.44842105277</v>
      </c>
      <c r="L487" s="105">
        <f>VALUE(Expenditures[[#This Row],[2018 $ Value]]/VLOOKUP(Expenditures[[#This Row],[Jurisdiction]],Places[],6,FALSE))</f>
        <v>13.882963923617874</v>
      </c>
      <c r="M487" s="105">
        <f>VALUE(Expenditures[[#This Row],[2018 $ Value]]/VLOOKUP(Expenditures[[#This Row],[Jurisdiction]],Places[],7,FALSE))</f>
        <v>49802.990643274861</v>
      </c>
      <c r="N487" s="20" t="s">
        <v>1853</v>
      </c>
      <c r="O487" s="20" t="s">
        <v>1853</v>
      </c>
    </row>
    <row r="488" spans="1:15" x14ac:dyDescent="0.25">
      <c r="A488" s="19" t="s">
        <v>291</v>
      </c>
      <c r="B488" s="19" t="str">
        <f>INDEX(Places[Type],MATCH(Expenditures[[#This Row],[Jurisdiction]],Places[Jurisdiction],0))</f>
        <v>City</v>
      </c>
      <c r="C488" s="19" t="str">
        <f>INDEX(Places[County],MATCH(Expenditures[[#This Row],[Jurisdiction]],Places[Jurisdiction],0))</f>
        <v>Orange</v>
      </c>
      <c r="D488" s="19" t="str">
        <f>INDEX(Places[Majority RB],MATCH(Expenditures[[#This Row],[Jurisdiction]],Places[Jurisdiction],0))</f>
        <v>Santa Ana</v>
      </c>
      <c r="E488" s="19">
        <f>INDEX(Places[Majority RB '#],MATCH(Expenditures[[#This Row],[Jurisdiction]],Places[Jurisdiction],0))</f>
        <v>8</v>
      </c>
      <c r="F488" s="19" t="str">
        <f>VLOOKUP(Expenditures[[#This Row],[Jurisdiction]],Places[#All],8,FALSE)</f>
        <v>Phase I MS4</v>
      </c>
      <c r="G488" s="19"/>
      <c r="H488" s="21" t="s">
        <v>1893</v>
      </c>
      <c r="I488" s="21">
        <f>VALUE(LEFT(Expenditures[[#This Row],[Fiscal Year]],4))</f>
        <v>2000</v>
      </c>
      <c r="J488" s="20">
        <v>336338</v>
      </c>
      <c r="K488" s="20">
        <f>IF(Expenditures[[#This Row],[Reference Year]]&gt;2018,Expenditures[[#This Row],[Value]],Expenditures[[#This Row],[Value]]*(1+VLOOKUP(Expenditures[[#This Row],[Reference Year]],Inflation[#All],3,FALSE)))</f>
        <v>491481.22693379794</v>
      </c>
      <c r="L488" s="105">
        <f>VALUE(Expenditures[[#This Row],[2018 $ Value]]/VLOOKUP(Expenditures[[#This Row],[Jurisdiction]],Places[],6,FALSE))</f>
        <v>20.377346777801648</v>
      </c>
      <c r="M488" s="105">
        <f>VALUE(Expenditures[[#This Row],[2018 $ Value]]/VLOOKUP(Expenditures[[#This Row],[Jurisdiction]],Places[],7,FALSE))</f>
        <v>43493.913887946721</v>
      </c>
      <c r="N488" s="20" t="s">
        <v>1460</v>
      </c>
      <c r="O488" s="20" t="s">
        <v>1460</v>
      </c>
    </row>
    <row r="489" spans="1:15" x14ac:dyDescent="0.25">
      <c r="A489" s="19" t="s">
        <v>291</v>
      </c>
      <c r="B489" s="19" t="str">
        <f>INDEX(Places[Type],MATCH(Expenditures[[#This Row],[Jurisdiction]],Places[Jurisdiction],0))</f>
        <v>City</v>
      </c>
      <c r="C489" s="19" t="str">
        <f>INDEX(Places[County],MATCH(Expenditures[[#This Row],[Jurisdiction]],Places[Jurisdiction],0))</f>
        <v>Orange</v>
      </c>
      <c r="D489" s="19" t="str">
        <f>INDEX(Places[Majority RB],MATCH(Expenditures[[#This Row],[Jurisdiction]],Places[Jurisdiction],0))</f>
        <v>Santa Ana</v>
      </c>
      <c r="E489" s="19">
        <f>INDEX(Places[Majority RB '#],MATCH(Expenditures[[#This Row],[Jurisdiction]],Places[Jurisdiction],0))</f>
        <v>8</v>
      </c>
      <c r="F489" s="19" t="str">
        <f>VLOOKUP(Expenditures[[#This Row],[Jurisdiction]],Places[#All],8,FALSE)</f>
        <v>Phase I MS4</v>
      </c>
      <c r="G489" s="19"/>
      <c r="H489" s="21" t="s">
        <v>1875</v>
      </c>
      <c r="I489" s="21">
        <f>VALUE(LEFT(Expenditures[[#This Row],[Fiscal Year]],4))</f>
        <v>2001</v>
      </c>
      <c r="J489" s="20">
        <v>399700</v>
      </c>
      <c r="K489" s="20">
        <f>IF(Expenditures[[#This Row],[Reference Year]]&gt;2018,Expenditures[[#This Row],[Value]],Expenditures[[#This Row],[Value]]*(1+VLOOKUP(Expenditures[[#This Row],[Reference Year]],Inflation[#All],3,FALSE)))</f>
        <v>567910.28063241101</v>
      </c>
      <c r="L489" s="105">
        <f>VALUE(Expenditures[[#This Row],[2018 $ Value]]/VLOOKUP(Expenditures[[#This Row],[Jurisdiction]],Places[],6,FALSE))</f>
        <v>23.546178557668686</v>
      </c>
      <c r="M489" s="105">
        <f>VALUE(Expenditures[[#This Row],[2018 $ Value]]/VLOOKUP(Expenditures[[#This Row],[Jurisdiction]],Places[],7,FALSE))</f>
        <v>50257.546958620442</v>
      </c>
      <c r="N489" s="20" t="s">
        <v>1853</v>
      </c>
      <c r="O489" s="20" t="s">
        <v>1853</v>
      </c>
    </row>
    <row r="490" spans="1:15" x14ac:dyDescent="0.25">
      <c r="A490" s="19" t="s">
        <v>184</v>
      </c>
      <c r="B490" s="19" t="str">
        <f>INDEX(Places[Type],MATCH(Expenditures[[#This Row],[Jurisdiction]],Places[Jurisdiction],0))</f>
        <v>City</v>
      </c>
      <c r="C490" s="19" t="str">
        <f>INDEX(Places[County],MATCH(Expenditures[[#This Row],[Jurisdiction]],Places[Jurisdiction],0))</f>
        <v>Los Angeles</v>
      </c>
      <c r="D490" s="19" t="str">
        <f>INDEX(Places[Majority RB],MATCH(Expenditures[[#This Row],[Jurisdiction]],Places[Jurisdiction],0))</f>
        <v>Los Angeles</v>
      </c>
      <c r="E490" s="19">
        <f>INDEX(Places[Majority RB '#],MATCH(Expenditures[[#This Row],[Jurisdiction]],Places[Jurisdiction],0))</f>
        <v>4</v>
      </c>
      <c r="F490" s="19" t="str">
        <f>VLOOKUP(Expenditures[[#This Row],[Jurisdiction]],Places[#All],8,FALSE)</f>
        <v>Phase I MS4</v>
      </c>
      <c r="G490" s="19"/>
      <c r="H490" s="21" t="s">
        <v>1870</v>
      </c>
      <c r="I490" s="21">
        <f>VALUE(LEFT(Expenditures[[#This Row],[Fiscal Year]],4))</f>
        <v>2011</v>
      </c>
      <c r="J490" s="20">
        <v>371559</v>
      </c>
      <c r="K490" s="20">
        <f>IF(Expenditures[[#This Row],[Reference Year]]&gt;2018,Expenditures[[#This Row],[Value]],Expenditures[[#This Row],[Value]]*(1+VLOOKUP(Expenditures[[#This Row],[Reference Year]],Inflation[#All],3,FALSE)))</f>
        <v>415721.48834593152</v>
      </c>
      <c r="L490" s="105">
        <f>VALUE(Expenditures[[#This Row],[2018 $ Value]]/VLOOKUP(Expenditures[[#This Row],[Jurisdiction]],Places[],6,FALSE))</f>
        <v>38.080194957033207</v>
      </c>
      <c r="M490" s="105">
        <f>VALUE(Expenditures[[#This Row],[2018 $ Value]]/VLOOKUP(Expenditures[[#This Row],[Jurisdiction]],Places[],7,FALSE))</f>
        <v>138573.82944864384</v>
      </c>
      <c r="N490" s="20" t="s">
        <v>1460</v>
      </c>
      <c r="O490" s="20" t="s">
        <v>1460</v>
      </c>
    </row>
    <row r="491" spans="1:15" x14ac:dyDescent="0.25">
      <c r="A491" s="19" t="s">
        <v>184</v>
      </c>
      <c r="B491" s="19" t="str">
        <f>INDEX(Places[Type],MATCH(Expenditures[[#This Row],[Jurisdiction]],Places[Jurisdiction],0))</f>
        <v>City</v>
      </c>
      <c r="C491" s="19" t="str">
        <f>INDEX(Places[County],MATCH(Expenditures[[#This Row],[Jurisdiction]],Places[Jurisdiction],0))</f>
        <v>Los Angeles</v>
      </c>
      <c r="D491" s="19" t="str">
        <f>INDEX(Places[Majority RB],MATCH(Expenditures[[#This Row],[Jurisdiction]],Places[Jurisdiction],0))</f>
        <v>Los Angeles</v>
      </c>
      <c r="E491" s="19">
        <f>INDEX(Places[Majority RB '#],MATCH(Expenditures[[#This Row],[Jurisdiction]],Places[Jurisdiction],0))</f>
        <v>4</v>
      </c>
      <c r="F491" s="19" t="str">
        <f>VLOOKUP(Expenditures[[#This Row],[Jurisdiction]],Places[#All],8,FALSE)</f>
        <v>Phase I MS4</v>
      </c>
      <c r="G491" s="19"/>
      <c r="H491" s="21" t="s">
        <v>1873</v>
      </c>
      <c r="I491" s="21">
        <f>VALUE(LEFT(Expenditures[[#This Row],[Fiscal Year]],4))</f>
        <v>2015</v>
      </c>
      <c r="J491" s="20">
        <v>331402</v>
      </c>
      <c r="K491" s="20">
        <f>IF(Expenditures[[#This Row],[Reference Year]]&gt;2018,Expenditures[[#This Row],[Value]],Expenditures[[#This Row],[Value]]*(1+VLOOKUP(Expenditures[[#This Row],[Reference Year]],Inflation[#All],3,FALSE)))</f>
        <v>351860.82979746832</v>
      </c>
      <c r="L491" s="105">
        <f>VALUE(Expenditures[[#This Row],[2018 $ Value]]/VLOOKUP(Expenditures[[#This Row],[Jurisdiction]],Places[],6,FALSE))</f>
        <v>32.230542254966416</v>
      </c>
      <c r="M491" s="105">
        <f>VALUE(Expenditures[[#This Row],[2018 $ Value]]/VLOOKUP(Expenditures[[#This Row],[Jurisdiction]],Places[],7,FALSE))</f>
        <v>117286.94326582277</v>
      </c>
      <c r="N491" s="20" t="s">
        <v>1853</v>
      </c>
      <c r="O491" s="20" t="s">
        <v>1853</v>
      </c>
    </row>
    <row r="492" spans="1:15" x14ac:dyDescent="0.25">
      <c r="A492" s="19" t="s">
        <v>164</v>
      </c>
      <c r="B492" s="19" t="str">
        <f>INDEX(Places[Type],MATCH(Expenditures[[#This Row],[Jurisdiction]],Places[Jurisdiction],0))</f>
        <v>City</v>
      </c>
      <c r="C492" s="19" t="str">
        <f>INDEX(Places[County],MATCH(Expenditures[[#This Row],[Jurisdiction]],Places[Jurisdiction],0))</f>
        <v>Los Angeles</v>
      </c>
      <c r="D492" s="19" t="str">
        <f>INDEX(Places[Majority RB],MATCH(Expenditures[[#This Row],[Jurisdiction]],Places[Jurisdiction],0))</f>
        <v>Los Angeles</v>
      </c>
      <c r="E492" s="19">
        <f>INDEX(Places[Majority RB '#],MATCH(Expenditures[[#This Row],[Jurisdiction]],Places[Jurisdiction],0))</f>
        <v>4</v>
      </c>
      <c r="F492" s="19" t="str">
        <f>VLOOKUP(Expenditures[[#This Row],[Jurisdiction]],Places[#All],8,FALSE)</f>
        <v>Phase I MS4</v>
      </c>
      <c r="G492" s="19"/>
      <c r="H492" s="100" t="s">
        <v>1870</v>
      </c>
      <c r="I492" s="21">
        <f>VALUE(LEFT(Expenditures[[#This Row],[Fiscal Year]],4))</f>
        <v>2011</v>
      </c>
      <c r="J492" s="20">
        <v>490615</v>
      </c>
      <c r="K492" s="20">
        <f>IF(Expenditures[[#This Row],[Reference Year]]&gt;2018,Expenditures[[#This Row],[Value]],Expenditures[[#This Row],[Value]]*(1+VLOOKUP(Expenditures[[#This Row],[Reference Year]],Inflation[#All],3,FALSE)))</f>
        <v>548928.15947087598</v>
      </c>
      <c r="L492" s="105">
        <f>VALUE(Expenditures[[#This Row],[2018 $ Value]]/VLOOKUP(Expenditures[[#This Row],[Jurisdiction]],Places[],6,FALSE))</f>
        <v>47.505682342784596</v>
      </c>
      <c r="M492" s="105">
        <f>VALUE(Expenditures[[#This Row],[2018 $ Value]]/VLOOKUP(Expenditures[[#This Row],[Jurisdiction]],Places[],7,FALSE))</f>
        <v>249512.79975948905</v>
      </c>
      <c r="N492" s="20" t="s">
        <v>1460</v>
      </c>
      <c r="O492" s="20" t="s">
        <v>1460</v>
      </c>
    </row>
    <row r="493" spans="1:15" x14ac:dyDescent="0.25">
      <c r="A493" s="19" t="s">
        <v>164</v>
      </c>
      <c r="B493" s="19" t="str">
        <f>INDEX(Places[Type],MATCH(Expenditures[[#This Row],[Jurisdiction]],Places[Jurisdiction],0))</f>
        <v>City</v>
      </c>
      <c r="C493" s="19" t="str">
        <f>INDEX(Places[County],MATCH(Expenditures[[#This Row],[Jurisdiction]],Places[Jurisdiction],0))</f>
        <v>Los Angeles</v>
      </c>
      <c r="D493" s="19" t="str">
        <f>INDEX(Places[Majority RB],MATCH(Expenditures[[#This Row],[Jurisdiction]],Places[Jurisdiction],0))</f>
        <v>Los Angeles</v>
      </c>
      <c r="E493" s="19">
        <f>INDEX(Places[Majority RB '#],MATCH(Expenditures[[#This Row],[Jurisdiction]],Places[Jurisdiction],0))</f>
        <v>4</v>
      </c>
      <c r="F493" s="19" t="str">
        <f>VLOOKUP(Expenditures[[#This Row],[Jurisdiction]],Places[#All],8,FALSE)</f>
        <v>Phase I MS4</v>
      </c>
      <c r="G493" s="19"/>
      <c r="H493" s="100" t="s">
        <v>1873</v>
      </c>
      <c r="I493" s="21">
        <f>VALUE(LEFT(Expenditures[[#This Row],[Fiscal Year]],4))</f>
        <v>2015</v>
      </c>
      <c r="J493" s="20">
        <v>549500</v>
      </c>
      <c r="K493" s="20">
        <f>IF(Expenditures[[#This Row],[Reference Year]]&gt;2018,Expenditures[[#This Row],[Value]],Expenditures[[#This Row],[Value]]*(1+VLOOKUP(Expenditures[[#This Row],[Reference Year]],Inflation[#All],3,FALSE)))</f>
        <v>583422.93037974683</v>
      </c>
      <c r="L493" s="105">
        <f>VALUE(Expenditures[[#This Row],[2018 $ Value]]/VLOOKUP(Expenditures[[#This Row],[Jurisdiction]],Places[],6,FALSE))</f>
        <v>50.490950270856494</v>
      </c>
      <c r="M493" s="105">
        <f>VALUE(Expenditures[[#This Row],[2018 $ Value]]/VLOOKUP(Expenditures[[#This Row],[Jurisdiction]],Places[],7,FALSE))</f>
        <v>265192.24108170311</v>
      </c>
      <c r="N493" s="20" t="s">
        <v>1853</v>
      </c>
      <c r="O493" s="20" t="s">
        <v>1853</v>
      </c>
    </row>
    <row r="494" spans="1:15" x14ac:dyDescent="0.25">
      <c r="A494" s="19" t="s">
        <v>306</v>
      </c>
      <c r="B494" s="19" t="str">
        <f>INDEX(Places[Type],MATCH(Expenditures[[#This Row],[Jurisdiction]],Places[Jurisdiction],0))</f>
        <v>City</v>
      </c>
      <c r="C494" s="19" t="str">
        <f>INDEX(Places[County],MATCH(Expenditures[[#This Row],[Jurisdiction]],Places[Jurisdiction],0))</f>
        <v>San Diego</v>
      </c>
      <c r="D494" s="19" t="str">
        <f>INDEX(Places[Majority RB],MATCH(Expenditures[[#This Row],[Jurisdiction]],Places[Jurisdiction],0))</f>
        <v>San Diego</v>
      </c>
      <c r="E494" s="19">
        <f>INDEX(Places[Majority RB '#],MATCH(Expenditures[[#This Row],[Jurisdiction]],Places[Jurisdiction],0))</f>
        <v>9</v>
      </c>
      <c r="F494" s="19" t="str">
        <f>VLOOKUP(Expenditures[[#This Row],[Jurisdiction]],Places[#All],8,FALSE)</f>
        <v>Phase I MS4</v>
      </c>
      <c r="G494" s="19"/>
      <c r="H494" s="19" t="s">
        <v>1873</v>
      </c>
      <c r="I494" s="21">
        <f>VALUE(LEFT(Expenditures[[#This Row],[Fiscal Year]],4))</f>
        <v>2015</v>
      </c>
      <c r="J494" s="20">
        <v>412740</v>
      </c>
      <c r="K494" s="20">
        <f>IF(Expenditures[[#This Row],[Reference Year]]&gt;2018,Expenditures[[#This Row],[Value]],Expenditures[[#This Row],[Value]]*(1+VLOOKUP(Expenditures[[#This Row],[Reference Year]],Inflation[#All],3,FALSE)))</f>
        <v>438220.16430379747</v>
      </c>
      <c r="L494" s="105">
        <f>VALUE(Expenditures[[#This Row],[2018 $ Value]]/VLOOKUP(Expenditures[[#This Row],[Jurisdiction]],Places[],6,FALSE))</f>
        <v>32.754328746826928</v>
      </c>
      <c r="M494" s="105">
        <f>VALUE(Expenditures[[#This Row],[2018 $ Value]]/VLOOKUP(Expenditures[[#This Row],[Jurisdiction]],Places[],7,FALSE))</f>
        <v>125205.76122965642</v>
      </c>
      <c r="N494" s="20" t="s">
        <v>1460</v>
      </c>
      <c r="O494" s="20" t="s">
        <v>1460</v>
      </c>
    </row>
    <row r="495" spans="1:15" x14ac:dyDescent="0.25">
      <c r="A495" s="19" t="s">
        <v>306</v>
      </c>
      <c r="B495" s="19" t="str">
        <f>INDEX(Places[Type],MATCH(Expenditures[[#This Row],[Jurisdiction]],Places[Jurisdiction],0))</f>
        <v>City</v>
      </c>
      <c r="C495" s="19" t="str">
        <f>INDEX(Places[County],MATCH(Expenditures[[#This Row],[Jurisdiction]],Places[Jurisdiction],0))</f>
        <v>San Diego</v>
      </c>
      <c r="D495" s="19" t="str">
        <f>INDEX(Places[Majority RB],MATCH(Expenditures[[#This Row],[Jurisdiction]],Places[Jurisdiction],0))</f>
        <v>San Diego</v>
      </c>
      <c r="E495" s="19">
        <f>INDEX(Places[Majority RB '#],MATCH(Expenditures[[#This Row],[Jurisdiction]],Places[Jurisdiction],0))</f>
        <v>9</v>
      </c>
      <c r="F495" s="19" t="str">
        <f>VLOOKUP(Expenditures[[#This Row],[Jurisdiction]],Places[#All],8,FALSE)</f>
        <v>Phase I MS4</v>
      </c>
      <c r="G495" s="19"/>
      <c r="H495" s="19" t="s">
        <v>1869</v>
      </c>
      <c r="I495" s="21">
        <f>VALUE(LEFT(Expenditures[[#This Row],[Fiscal Year]],4))</f>
        <v>2016</v>
      </c>
      <c r="J495" s="20">
        <v>418153</v>
      </c>
      <c r="K495" s="20">
        <f>IF(Expenditures[[#This Row],[Reference Year]]&gt;2018,Expenditures[[#This Row],[Value]],Expenditures[[#This Row],[Value]]*(1+VLOOKUP(Expenditures[[#This Row],[Reference Year]],Inflation[#All],3,FALSE)))</f>
        <v>438417.73976250004</v>
      </c>
      <c r="L495" s="105">
        <f>VALUE(Expenditures[[#This Row],[2018 $ Value]]/VLOOKUP(Expenditures[[#This Row],[Jurisdiction]],Places[],6,FALSE))</f>
        <v>32.769096327266617</v>
      </c>
      <c r="M495" s="105">
        <f>VALUE(Expenditures[[#This Row],[2018 $ Value]]/VLOOKUP(Expenditures[[#This Row],[Jurisdiction]],Places[],7,FALSE))</f>
        <v>125262.2113607143</v>
      </c>
      <c r="N495" s="20" t="s">
        <v>1460</v>
      </c>
      <c r="O495" s="20" t="s">
        <v>1460</v>
      </c>
    </row>
    <row r="496" spans="1:15" x14ac:dyDescent="0.25">
      <c r="A496" s="19" t="s">
        <v>306</v>
      </c>
      <c r="B496" s="19" t="str">
        <f>INDEX(Places[Type],MATCH(Expenditures[[#This Row],[Jurisdiction]],Places[Jurisdiction],0))</f>
        <v>City</v>
      </c>
      <c r="C496" s="19" t="str">
        <f>INDEX(Places[County],MATCH(Expenditures[[#This Row],[Jurisdiction]],Places[Jurisdiction],0))</f>
        <v>San Diego</v>
      </c>
      <c r="D496" s="19" t="str">
        <f>INDEX(Places[Majority RB],MATCH(Expenditures[[#This Row],[Jurisdiction]],Places[Jurisdiction],0))</f>
        <v>San Diego</v>
      </c>
      <c r="E496" s="19">
        <f>INDEX(Places[Majority RB '#],MATCH(Expenditures[[#This Row],[Jurisdiction]],Places[Jurisdiction],0))</f>
        <v>9</v>
      </c>
      <c r="F496" s="19" t="str">
        <f>VLOOKUP(Expenditures[[#This Row],[Jurisdiction]],Places[#All],8,FALSE)</f>
        <v>Phase I MS4</v>
      </c>
      <c r="G496" s="19"/>
      <c r="H496" s="19" t="s">
        <v>1874</v>
      </c>
      <c r="I496" s="21">
        <f>VALUE(LEFT(Expenditures[[#This Row],[Fiscal Year]],4))</f>
        <v>2017</v>
      </c>
      <c r="J496" s="20">
        <v>478580</v>
      </c>
      <c r="K496" s="20">
        <f>IF(Expenditures[[#This Row],[Reference Year]]&gt;2018,Expenditures[[#This Row],[Value]],Expenditures[[#This Row],[Value]]*(1+VLOOKUP(Expenditures[[#This Row],[Reference Year]],Inflation[#All],3,FALSE)))</f>
        <v>491332.37037943705</v>
      </c>
      <c r="L496" s="105">
        <f>VALUE(Expenditures[[#This Row],[2018 $ Value]]/VLOOKUP(Expenditures[[#This Row],[Jurisdiction]],Places[],6,FALSE))</f>
        <v>36.724147573020183</v>
      </c>
      <c r="M496" s="105">
        <f>VALUE(Expenditures[[#This Row],[2018 $ Value]]/VLOOKUP(Expenditures[[#This Row],[Jurisdiction]],Places[],7,FALSE))</f>
        <v>140380.67725126774</v>
      </c>
      <c r="N496" s="20" t="s">
        <v>1853</v>
      </c>
      <c r="O496" s="20" t="s">
        <v>1853</v>
      </c>
    </row>
    <row r="497" spans="1:15" x14ac:dyDescent="0.25">
      <c r="A497" s="19" t="s">
        <v>1448</v>
      </c>
      <c r="B497" s="19" t="str">
        <f>INDEX(Places[Type],MATCH(Expenditures[[#This Row],[Jurisdiction]],Places[Jurisdiction],0))</f>
        <v>County</v>
      </c>
      <c r="C497" s="19" t="str">
        <f>INDEX(Places[County],MATCH(Expenditures[[#This Row],[Jurisdiction]],Places[Jurisdiction],0))</f>
        <v>Sonoma</v>
      </c>
      <c r="D497" s="19" t="str">
        <f>INDEX(Places[Majority RB],MATCH(Expenditures[[#This Row],[Jurisdiction]],Places[Jurisdiction],0))</f>
        <v>North Coast</v>
      </c>
      <c r="E497" s="19">
        <f>INDEX(Places[Majority RB '#],MATCH(Expenditures[[#This Row],[Jurisdiction]],Places[Jurisdiction],0))</f>
        <v>1</v>
      </c>
      <c r="F497" s="19" t="str">
        <f>VLOOKUP(Expenditures[[#This Row],[Jurisdiction]],Places[#All],8,FALSE)</f>
        <v>Phase I MS4</v>
      </c>
      <c r="G497" s="19"/>
      <c r="H497" s="19" t="s">
        <v>1880</v>
      </c>
      <c r="I497" s="21">
        <f>VALUE(LEFT(Expenditures[[#This Row],[Fiscal Year]],4))</f>
        <v>2013</v>
      </c>
      <c r="J497" s="27">
        <v>775949</v>
      </c>
      <c r="K497" s="20">
        <f>IF(Expenditures[[#This Row],[Reference Year]]&gt;2018,Expenditures[[#This Row],[Value]],Expenditures[[#This Row],[Value]]*(1+VLOOKUP(Expenditures[[#This Row],[Reference Year]],Inflation[#All],3,FALSE)))</f>
        <v>837994.9477210301</v>
      </c>
      <c r="L497" s="105" t="e">
        <f>VALUE(Expenditures[[#This Row],[2018 $ Value]]/VLOOKUP(Expenditures[[#This Row],[Jurisdiction]],Places[],6,FALSE))</f>
        <v>#N/A</v>
      </c>
      <c r="M497" s="105" t="e">
        <f>VALUE(Expenditures[[#This Row],[2018 $ Value]]/VLOOKUP(Expenditures[[#This Row],[Jurisdiction]],Places[],7,FALSE))</f>
        <v>#N/A</v>
      </c>
      <c r="N497" s="20" t="s">
        <v>1853</v>
      </c>
      <c r="O497" s="20" t="s">
        <v>1853</v>
      </c>
    </row>
    <row r="498" spans="1:15" x14ac:dyDescent="0.25">
      <c r="A498" s="19" t="s">
        <v>11</v>
      </c>
      <c r="B498" s="19" t="str">
        <f>INDEX(Places[Type],MATCH(Expenditures[[#This Row],[Jurisdiction]],Places[Jurisdiction],0))</f>
        <v>City</v>
      </c>
      <c r="C498" s="19" t="str">
        <f>INDEX(Places[County],MATCH(Expenditures[[#This Row],[Jurisdiction]],Places[Jurisdiction],0))</f>
        <v>Los Angeles</v>
      </c>
      <c r="D498" s="19" t="str">
        <f>INDEX(Places[Majority RB],MATCH(Expenditures[[#This Row],[Jurisdiction]],Places[Jurisdiction],0))</f>
        <v>Los Angeles</v>
      </c>
      <c r="E498" s="19">
        <f>INDEX(Places[Majority RB '#],MATCH(Expenditures[[#This Row],[Jurisdiction]],Places[Jurisdiction],0))</f>
        <v>4</v>
      </c>
      <c r="F498" s="19" t="str">
        <f>VLOOKUP(Expenditures[[#This Row],[Jurisdiction]],Places[#All],8,FALSE)</f>
        <v>Phase I MS4</v>
      </c>
      <c r="G498" s="19"/>
      <c r="H498" s="21" t="s">
        <v>1870</v>
      </c>
      <c r="I498" s="21">
        <f>VALUE(LEFT(Expenditures[[#This Row],[Fiscal Year]],4))</f>
        <v>2011</v>
      </c>
      <c r="J498" s="20">
        <v>277000</v>
      </c>
      <c r="K498" s="20">
        <f>IF(Expenditures[[#This Row],[Reference Year]]&gt;2018,Expenditures[[#This Row],[Value]],Expenditures[[#This Row],[Value]]*(1+VLOOKUP(Expenditures[[#This Row],[Reference Year]],Inflation[#All],3,FALSE)))</f>
        <v>309923.46376167185</v>
      </c>
      <c r="L498" s="105">
        <f>VALUE(Expenditures[[#This Row],[2018 $ Value]]/VLOOKUP(Expenditures[[#This Row],[Jurisdiction]],Places[],6,FALSE))</f>
        <v>14.923843779153072</v>
      </c>
      <c r="M498" s="105">
        <f>VALUE(Expenditures[[#This Row],[2018 $ Value]]/VLOOKUP(Expenditures[[#This Row],[Jurisdiction]],Places[],7,FALSE))</f>
        <v>110686.95134345425</v>
      </c>
      <c r="N498" s="20" t="s">
        <v>1460</v>
      </c>
      <c r="O498" s="20" t="s">
        <v>1460</v>
      </c>
    </row>
    <row r="499" spans="1:15" x14ac:dyDescent="0.25">
      <c r="A499" s="19" t="s">
        <v>11</v>
      </c>
      <c r="B499" s="19" t="str">
        <f>INDEX(Places[Type],MATCH(Expenditures[[#This Row],[Jurisdiction]],Places[Jurisdiction],0))</f>
        <v>City</v>
      </c>
      <c r="C499" s="19" t="str">
        <f>INDEX(Places[County],MATCH(Expenditures[[#This Row],[Jurisdiction]],Places[Jurisdiction],0))</f>
        <v>Los Angeles</v>
      </c>
      <c r="D499" s="19" t="str">
        <f>INDEX(Places[Majority RB],MATCH(Expenditures[[#This Row],[Jurisdiction]],Places[Jurisdiction],0))</f>
        <v>Los Angeles</v>
      </c>
      <c r="E499" s="19">
        <f>INDEX(Places[Majority RB '#],MATCH(Expenditures[[#This Row],[Jurisdiction]],Places[Jurisdiction],0))</f>
        <v>4</v>
      </c>
      <c r="F499" s="19" t="str">
        <f>VLOOKUP(Expenditures[[#This Row],[Jurisdiction]],Places[#All],8,FALSE)</f>
        <v>Phase I MS4</v>
      </c>
      <c r="G499" s="19" t="s">
        <v>1856</v>
      </c>
      <c r="H499" s="27" t="s">
        <v>1873</v>
      </c>
      <c r="I499" s="21">
        <f>VALUE(LEFT(Expenditures[[#This Row],[Fiscal Year]],4))</f>
        <v>2015</v>
      </c>
      <c r="J499" s="27">
        <v>283429.92</v>
      </c>
      <c r="K499" s="20">
        <f>IF(Expenditures[[#This Row],[Reference Year]]&gt;2018,Expenditures[[#This Row],[Value]],Expenditures[[#This Row],[Value]]*(1+VLOOKUP(Expenditures[[#This Row],[Reference Year]],Inflation[#All],3,FALSE)))</f>
        <v>300927.23290936707</v>
      </c>
      <c r="L499" s="105">
        <f>VALUE(Expenditures[[#This Row],[2018 $ Value]]/VLOOKUP(Expenditures[[#This Row],[Jurisdiction]],Places[],6,FALSE))</f>
        <v>14.490645394585981</v>
      </c>
      <c r="M499" s="105">
        <f>VALUE(Expenditures[[#This Row],[2018 $ Value]]/VLOOKUP(Expenditures[[#This Row],[Jurisdiction]],Places[],7,FALSE))</f>
        <v>107474.01175334539</v>
      </c>
      <c r="N499" s="20" t="s">
        <v>1853</v>
      </c>
      <c r="O499" s="20" t="s">
        <v>1853</v>
      </c>
    </row>
    <row r="500" spans="1:15" x14ac:dyDescent="0.25">
      <c r="A500" s="19" t="s">
        <v>198</v>
      </c>
      <c r="B500" s="19" t="str">
        <f>INDEX(Places[Type],MATCH(Expenditures[[#This Row],[Jurisdiction]],Places[Jurisdiction],0))</f>
        <v>City</v>
      </c>
      <c r="C500" s="19" t="str">
        <f>INDEX(Places[County],MATCH(Expenditures[[#This Row],[Jurisdiction]],Places[Jurisdiction],0))</f>
        <v>Los Angeles</v>
      </c>
      <c r="D500" s="19" t="str">
        <f>INDEX(Places[Majority RB],MATCH(Expenditures[[#This Row],[Jurisdiction]],Places[Jurisdiction],0))</f>
        <v>Los Angeles</v>
      </c>
      <c r="E500" s="19">
        <f>INDEX(Places[Majority RB '#],MATCH(Expenditures[[#This Row],[Jurisdiction]],Places[Jurisdiction],0))</f>
        <v>4</v>
      </c>
      <c r="F500" s="19" t="str">
        <f>VLOOKUP(Expenditures[[#This Row],[Jurisdiction]],Places[#All],8,FALSE)</f>
        <v>Phase I MS4</v>
      </c>
      <c r="G500" s="19"/>
      <c r="H500" s="21" t="s">
        <v>1870</v>
      </c>
      <c r="I500" s="21">
        <f>VALUE(LEFT(Expenditures[[#This Row],[Fiscal Year]],4))</f>
        <v>2011</v>
      </c>
      <c r="J500" s="20">
        <v>4047680</v>
      </c>
      <c r="K500" s="20">
        <f>IF(Expenditures[[#This Row],[Reference Year]]&gt;2018,Expenditures[[#This Row],[Value]],Expenditures[[#This Row],[Value]]*(1+VLOOKUP(Expenditures[[#This Row],[Reference Year]],Inflation[#All],3,FALSE)))</f>
        <v>4528776.1942196535</v>
      </c>
      <c r="L500" s="105">
        <f>VALUE(Expenditures[[#This Row],[2018 $ Value]]/VLOOKUP(Expenditures[[#This Row],[Jurisdiction]],Places[],6,FALSE))</f>
        <v>176.82933873021958</v>
      </c>
      <c r="M500" s="105">
        <f>VALUE(Expenditures[[#This Row],[2018 $ Value]]/VLOOKUP(Expenditures[[#This Row],[Jurisdiction]],Places[],7,FALSE))</f>
        <v>1331992.9982998981</v>
      </c>
      <c r="N500" s="20" t="s">
        <v>1460</v>
      </c>
      <c r="O500" s="20" t="s">
        <v>1460</v>
      </c>
    </row>
    <row r="501" spans="1:15" x14ac:dyDescent="0.25">
      <c r="A501" s="19" t="s">
        <v>198</v>
      </c>
      <c r="B501" s="19" t="str">
        <f>INDEX(Places[Type],MATCH(Expenditures[[#This Row],[Jurisdiction]],Places[Jurisdiction],0))</f>
        <v>City</v>
      </c>
      <c r="C501" s="19" t="str">
        <f>INDEX(Places[County],MATCH(Expenditures[[#This Row],[Jurisdiction]],Places[Jurisdiction],0))</f>
        <v>Los Angeles</v>
      </c>
      <c r="D501" s="19" t="str">
        <f>INDEX(Places[Majority RB],MATCH(Expenditures[[#This Row],[Jurisdiction]],Places[Jurisdiction],0))</f>
        <v>Los Angeles</v>
      </c>
      <c r="E501" s="19">
        <f>INDEX(Places[Majority RB '#],MATCH(Expenditures[[#This Row],[Jurisdiction]],Places[Jurisdiction],0))</f>
        <v>4</v>
      </c>
      <c r="F501" s="19" t="str">
        <f>VLOOKUP(Expenditures[[#This Row],[Jurisdiction]],Places[#All],8,FALSE)</f>
        <v>Phase I MS4</v>
      </c>
      <c r="G501" s="19"/>
      <c r="H501" s="21" t="s">
        <v>1873</v>
      </c>
      <c r="I501" s="21">
        <f>VALUE(LEFT(Expenditures[[#This Row],[Fiscal Year]],4))</f>
        <v>2015</v>
      </c>
      <c r="J501" s="20">
        <v>207000</v>
      </c>
      <c r="K501" s="20">
        <f>IF(Expenditures[[#This Row],[Reference Year]]&gt;2018,Expenditures[[#This Row],[Value]],Expenditures[[#This Row],[Value]]*(1+VLOOKUP(Expenditures[[#This Row],[Reference Year]],Inflation[#All],3,FALSE)))</f>
        <v>219778.97468354428</v>
      </c>
      <c r="L501" s="105">
        <f>VALUE(Expenditures[[#This Row],[2018 $ Value]]/VLOOKUP(Expenditures[[#This Row],[Jurisdiction]],Places[],6,FALSE))</f>
        <v>8.5814288658601487</v>
      </c>
      <c r="M501" s="105">
        <f>VALUE(Expenditures[[#This Row],[2018 $ Value]]/VLOOKUP(Expenditures[[#This Row],[Jurisdiction]],Places[],7,FALSE))</f>
        <v>64640.874906924786</v>
      </c>
      <c r="N501" s="20" t="s">
        <v>1853</v>
      </c>
      <c r="O501" s="20" t="s">
        <v>1853</v>
      </c>
    </row>
    <row r="502" spans="1:15" x14ac:dyDescent="0.25">
      <c r="A502" s="19" t="s">
        <v>292</v>
      </c>
      <c r="B502" s="19" t="str">
        <f>INDEX(Places[Type],MATCH(Expenditures[[#This Row],[Jurisdiction]],Places[Jurisdiction],0))</f>
        <v>City</v>
      </c>
      <c r="C502" s="19" t="str">
        <f>INDEX(Places[County],MATCH(Expenditures[[#This Row],[Jurisdiction]],Places[Jurisdiction],0))</f>
        <v>Orange</v>
      </c>
      <c r="D502" s="19" t="str">
        <f>INDEX(Places[Majority RB],MATCH(Expenditures[[#This Row],[Jurisdiction]],Places[Jurisdiction],0))</f>
        <v>Santa Ana</v>
      </c>
      <c r="E502" s="19">
        <f>INDEX(Places[Majority RB '#],MATCH(Expenditures[[#This Row],[Jurisdiction]],Places[Jurisdiction],0))</f>
        <v>8</v>
      </c>
      <c r="F502" s="19" t="str">
        <f>VLOOKUP(Expenditures[[#This Row],[Jurisdiction]],Places[#All],8,FALSE)</f>
        <v>Phase I MS4</v>
      </c>
      <c r="G502" s="19"/>
      <c r="H502" s="21" t="s">
        <v>1893</v>
      </c>
      <c r="I502" s="21">
        <f>VALUE(LEFT(Expenditures[[#This Row],[Fiscal Year]],4))</f>
        <v>2000</v>
      </c>
      <c r="J502" s="20">
        <v>204600</v>
      </c>
      <c r="K502" s="20">
        <f>IF(Expenditures[[#This Row],[Reference Year]]&gt;2018,Expenditures[[#This Row],[Value]],Expenditures[[#This Row],[Value]]*(1+VLOOKUP(Expenditures[[#This Row],[Reference Year]],Inflation[#All],3,FALSE)))</f>
        <v>298976.20557491289</v>
      </c>
      <c r="L502" s="105">
        <f>VALUE(Expenditures[[#This Row],[2018 $ Value]]/VLOOKUP(Expenditures[[#This Row],[Jurisdiction]],Places[],6,FALSE))</f>
        <v>7.8196423490849218</v>
      </c>
      <c r="M502" s="105">
        <f>VALUE(Expenditures[[#This Row],[2018 $ Value]]/VLOOKUP(Expenditures[[#This Row],[Jurisdiction]],Places[],7,FALSE))</f>
        <v>96443.937282229963</v>
      </c>
      <c r="N502" s="20" t="s">
        <v>1460</v>
      </c>
      <c r="O502" s="20" t="s">
        <v>1460</v>
      </c>
    </row>
    <row r="503" spans="1:15" x14ac:dyDescent="0.25">
      <c r="A503" s="19" t="s">
        <v>292</v>
      </c>
      <c r="B503" s="19" t="str">
        <f>INDEX(Places[Type],MATCH(Expenditures[[#This Row],[Jurisdiction]],Places[Jurisdiction],0))</f>
        <v>City</v>
      </c>
      <c r="C503" s="19" t="str">
        <f>INDEX(Places[County],MATCH(Expenditures[[#This Row],[Jurisdiction]],Places[Jurisdiction],0))</f>
        <v>Orange</v>
      </c>
      <c r="D503" s="19" t="str">
        <f>INDEX(Places[Majority RB],MATCH(Expenditures[[#This Row],[Jurisdiction]],Places[Jurisdiction],0))</f>
        <v>Santa Ana</v>
      </c>
      <c r="E503" s="19">
        <f>INDEX(Places[Majority RB '#],MATCH(Expenditures[[#This Row],[Jurisdiction]],Places[Jurisdiction],0))</f>
        <v>8</v>
      </c>
      <c r="F503" s="19" t="str">
        <f>VLOOKUP(Expenditures[[#This Row],[Jurisdiction]],Places[#All],8,FALSE)</f>
        <v>Phase I MS4</v>
      </c>
      <c r="G503" s="19"/>
      <c r="H503" s="21" t="s">
        <v>1875</v>
      </c>
      <c r="I503" s="21">
        <f>VALUE(LEFT(Expenditures[[#This Row],[Fiscal Year]],4))</f>
        <v>2001</v>
      </c>
      <c r="J503" s="20">
        <v>98699</v>
      </c>
      <c r="K503" s="20">
        <f>IF(Expenditures[[#This Row],[Reference Year]]&gt;2018,Expenditures[[#This Row],[Value]],Expenditures[[#This Row],[Value]]*(1+VLOOKUP(Expenditures[[#This Row],[Reference Year]],Inflation[#All],3,FALSE)))</f>
        <v>140235.61868435913</v>
      </c>
      <c r="L503" s="105">
        <f>VALUE(Expenditures[[#This Row],[2018 $ Value]]/VLOOKUP(Expenditures[[#This Row],[Jurisdiction]],Places[],6,FALSE))</f>
        <v>3.6678249381272985</v>
      </c>
      <c r="M503" s="105">
        <f>VALUE(Expenditures[[#This Row],[2018 $ Value]]/VLOOKUP(Expenditures[[#This Row],[Jurisdiction]],Places[],7,FALSE))</f>
        <v>45237.296349793265</v>
      </c>
      <c r="N503" s="20" t="s">
        <v>1853</v>
      </c>
      <c r="O503" s="20" t="s">
        <v>1853</v>
      </c>
    </row>
    <row r="504" spans="1:15" x14ac:dyDescent="0.25">
      <c r="A504" s="19" t="s">
        <v>416</v>
      </c>
      <c r="B504" s="19" t="str">
        <f>INDEX(Places[Type],MATCH(Expenditures[[#This Row],[Jurisdiction]],Places[Jurisdiction],0))</f>
        <v>City</v>
      </c>
      <c r="C504" s="19" t="str">
        <f>INDEX(Places[County],MATCH(Expenditures[[#This Row],[Jurisdiction]],Places[Jurisdiction],0))</f>
        <v>San Joaquin</v>
      </c>
      <c r="D504" s="19" t="str">
        <f>INDEX(Places[Majority RB],MATCH(Expenditures[[#This Row],[Jurisdiction]],Places[Jurisdiction],0))</f>
        <v>Central Valley</v>
      </c>
      <c r="E504" s="19">
        <f>INDEX(Places[Majority RB '#],MATCH(Expenditures[[#This Row],[Jurisdiction]],Places[Jurisdiction],0))</f>
        <v>5</v>
      </c>
      <c r="F504" s="19" t="str">
        <f>VLOOKUP(Expenditures[[#This Row],[Jurisdiction]],Places[#All],8,FALSE)</f>
        <v>Phase I MS4</v>
      </c>
      <c r="G504" s="19"/>
      <c r="H504" s="21" t="s">
        <v>1886</v>
      </c>
      <c r="I504" s="21">
        <f>VALUE(LEFT(Expenditures[[#This Row],[Fiscal Year]],4))</f>
        <v>2003</v>
      </c>
      <c r="J504" s="20">
        <v>3791142</v>
      </c>
      <c r="K504" s="20">
        <f>IF(Expenditures[[#This Row],[Reference Year]]&gt;2018,Expenditures[[#This Row],[Value]],Expenditures[[#This Row],[Value]]*(1+VLOOKUP(Expenditures[[#This Row],[Reference Year]],Inflation[#All],3,FALSE)))</f>
        <v>5184613.3293586951</v>
      </c>
      <c r="L504" s="105">
        <f>VALUE(Expenditures[[#This Row],[2018 $ Value]]/VLOOKUP(Expenditures[[#This Row],[Jurisdiction]],Places[],6,FALSE))</f>
        <v>16.661246390678951</v>
      </c>
      <c r="M504" s="105">
        <f>VALUE(Expenditures[[#This Row],[2018 $ Value]]/VLOOKUP(Expenditures[[#This Row],[Jurisdiction]],Places[],7,FALSE))</f>
        <v>84029.38945476005</v>
      </c>
      <c r="N504" s="20" t="s">
        <v>1460</v>
      </c>
      <c r="O504" s="20" t="s">
        <v>1460</v>
      </c>
    </row>
    <row r="505" spans="1:15" x14ac:dyDescent="0.25">
      <c r="A505" s="19" t="s">
        <v>416</v>
      </c>
      <c r="B505" s="19" t="str">
        <f>INDEX(Places[Type],MATCH(Expenditures[[#This Row],[Jurisdiction]],Places[Jurisdiction],0))</f>
        <v>City</v>
      </c>
      <c r="C505" s="19" t="str">
        <f>INDEX(Places[County],MATCH(Expenditures[[#This Row],[Jurisdiction]],Places[Jurisdiction],0))</f>
        <v>San Joaquin</v>
      </c>
      <c r="D505" s="19" t="str">
        <f>INDEX(Places[Majority RB],MATCH(Expenditures[[#This Row],[Jurisdiction]],Places[Jurisdiction],0))</f>
        <v>Central Valley</v>
      </c>
      <c r="E505" s="19">
        <f>INDEX(Places[Majority RB '#],MATCH(Expenditures[[#This Row],[Jurisdiction]],Places[Jurisdiction],0))</f>
        <v>5</v>
      </c>
      <c r="F505" s="19" t="str">
        <f>VLOOKUP(Expenditures[[#This Row],[Jurisdiction]],Places[#All],8,FALSE)</f>
        <v>Phase I MS4</v>
      </c>
      <c r="G505" s="19"/>
      <c r="H505" s="21" t="s">
        <v>1887</v>
      </c>
      <c r="I505" s="21">
        <f>VALUE(LEFT(Expenditures[[#This Row],[Fiscal Year]],4))</f>
        <v>2004</v>
      </c>
      <c r="J505" s="20">
        <v>4544999</v>
      </c>
      <c r="K505" s="20">
        <f>IF(Expenditures[[#This Row],[Reference Year]]&gt;2018,Expenditures[[#This Row],[Value]],Expenditures[[#This Row],[Value]]*(1+VLOOKUP(Expenditures[[#This Row],[Reference Year]],Inflation[#All],3,FALSE)))</f>
        <v>6054328.4455743777</v>
      </c>
      <c r="L505" s="105">
        <f>VALUE(Expenditures[[#This Row],[2018 $ Value]]/VLOOKUP(Expenditures[[#This Row],[Jurisdiction]],Places[],6,FALSE))</f>
        <v>19.456158358156355</v>
      </c>
      <c r="M505" s="105">
        <f>VALUE(Expenditures[[#This Row],[2018 $ Value]]/VLOOKUP(Expenditures[[#This Row],[Jurisdiction]],Places[],7,FALSE))</f>
        <v>98125.258437186014</v>
      </c>
      <c r="N505" s="20" t="s">
        <v>1460</v>
      </c>
      <c r="O505" s="20" t="s">
        <v>1460</v>
      </c>
    </row>
    <row r="506" spans="1:15" x14ac:dyDescent="0.25">
      <c r="A506" s="19" t="s">
        <v>416</v>
      </c>
      <c r="B506" s="19" t="str">
        <f>INDEX(Places[Type],MATCH(Expenditures[[#This Row],[Jurisdiction]],Places[Jurisdiction],0))</f>
        <v>City</v>
      </c>
      <c r="C506" s="19" t="str">
        <f>INDEX(Places[County],MATCH(Expenditures[[#This Row],[Jurisdiction]],Places[Jurisdiction],0))</f>
        <v>San Joaquin</v>
      </c>
      <c r="D506" s="19" t="str">
        <f>INDEX(Places[Majority RB],MATCH(Expenditures[[#This Row],[Jurisdiction]],Places[Jurisdiction],0))</f>
        <v>Central Valley</v>
      </c>
      <c r="E506" s="19">
        <f>INDEX(Places[Majority RB '#],MATCH(Expenditures[[#This Row],[Jurisdiction]],Places[Jurisdiction],0))</f>
        <v>5</v>
      </c>
      <c r="F506" s="19" t="str">
        <f>VLOOKUP(Expenditures[[#This Row],[Jurisdiction]],Places[#All],8,FALSE)</f>
        <v>Phase I MS4</v>
      </c>
      <c r="G506" s="19"/>
      <c r="H506" s="21" t="s">
        <v>1882</v>
      </c>
      <c r="I506" s="21">
        <f>VALUE(LEFT(Expenditures[[#This Row],[Fiscal Year]],4))</f>
        <v>2005</v>
      </c>
      <c r="J506" s="20">
        <v>6261512</v>
      </c>
      <c r="K506" s="20">
        <f>IF(Expenditures[[#This Row],[Reference Year]]&gt;2018,Expenditures[[#This Row],[Value]],Expenditures[[#This Row],[Value]]*(1+VLOOKUP(Expenditures[[#This Row],[Reference Year]],Inflation[#All],3,FALSE)))</f>
        <v>8067539.816036866</v>
      </c>
      <c r="L506" s="105">
        <f>VALUE(Expenditures[[#This Row],[2018 $ Value]]/VLOOKUP(Expenditures[[#This Row],[Jurisdiction]],Places[],6,FALSE))</f>
        <v>25.925803932273059</v>
      </c>
      <c r="M506" s="105">
        <f>VALUE(Expenditures[[#This Row],[2018 $ Value]]/VLOOKUP(Expenditures[[#This Row],[Jurisdiction]],Places[],7,FALSE))</f>
        <v>130754.29199411452</v>
      </c>
      <c r="N506" s="20" t="s">
        <v>1460</v>
      </c>
      <c r="O506" s="20" t="s">
        <v>1460</v>
      </c>
    </row>
    <row r="507" spans="1:15" x14ac:dyDescent="0.25">
      <c r="A507" s="19" t="s">
        <v>416</v>
      </c>
      <c r="B507" s="19" t="str">
        <f>INDEX(Places[Type],MATCH(Expenditures[[#This Row],[Jurisdiction]],Places[Jurisdiction],0))</f>
        <v>City</v>
      </c>
      <c r="C507" s="19" t="str">
        <f>INDEX(Places[County],MATCH(Expenditures[[#This Row],[Jurisdiction]],Places[Jurisdiction],0))</f>
        <v>San Joaquin</v>
      </c>
      <c r="D507" s="19" t="str">
        <f>INDEX(Places[Majority RB],MATCH(Expenditures[[#This Row],[Jurisdiction]],Places[Jurisdiction],0))</f>
        <v>Central Valley</v>
      </c>
      <c r="E507" s="19">
        <f>INDEX(Places[Majority RB '#],MATCH(Expenditures[[#This Row],[Jurisdiction]],Places[Jurisdiction],0))</f>
        <v>5</v>
      </c>
      <c r="F507" s="19" t="str">
        <f>VLOOKUP(Expenditures[[#This Row],[Jurisdiction]],Places[#All],8,FALSE)</f>
        <v>Phase I MS4</v>
      </c>
      <c r="G507" s="19"/>
      <c r="H507" s="21" t="s">
        <v>1888</v>
      </c>
      <c r="I507" s="21">
        <f>VALUE(LEFT(Expenditures[[#This Row],[Fiscal Year]],4))</f>
        <v>2007</v>
      </c>
      <c r="J507" s="20">
        <v>3673637</v>
      </c>
      <c r="K507" s="20">
        <f>IF(Expenditures[[#This Row],[Reference Year]]&gt;2018,Expenditures[[#This Row],[Value]],Expenditures[[#This Row],[Value]]*(1+VLOOKUP(Expenditures[[#This Row],[Reference Year]],Inflation[#All],3,FALSE)))</f>
        <v>4459242.4117076695</v>
      </c>
      <c r="L507" s="105">
        <f>VALUE(Expenditures[[#This Row],[2018 $ Value]]/VLOOKUP(Expenditures[[#This Row],[Jurisdiction]],Places[],6,FALSE))</f>
        <v>14.330198187878544</v>
      </c>
      <c r="M507" s="105">
        <f>VALUE(Expenditures[[#This Row],[2018 $ Value]]/VLOOKUP(Expenditures[[#This Row],[Jurisdiction]],Places[],7,FALSE))</f>
        <v>72272.972637077299</v>
      </c>
      <c r="N507" s="20" t="s">
        <v>1460</v>
      </c>
      <c r="O507" s="20" t="s">
        <v>1460</v>
      </c>
    </row>
    <row r="508" spans="1:15" x14ac:dyDescent="0.25">
      <c r="A508" s="19" t="s">
        <v>416</v>
      </c>
      <c r="B508" s="19" t="str">
        <f>INDEX(Places[Type],MATCH(Expenditures[[#This Row],[Jurisdiction]],Places[Jurisdiction],0))</f>
        <v>City</v>
      </c>
      <c r="C508" s="19" t="str">
        <f>INDEX(Places[County],MATCH(Expenditures[[#This Row],[Jurisdiction]],Places[Jurisdiction],0))</f>
        <v>San Joaquin</v>
      </c>
      <c r="D508" s="19" t="str">
        <f>INDEX(Places[Majority RB],MATCH(Expenditures[[#This Row],[Jurisdiction]],Places[Jurisdiction],0))</f>
        <v>Central Valley</v>
      </c>
      <c r="E508" s="19">
        <f>INDEX(Places[Majority RB '#],MATCH(Expenditures[[#This Row],[Jurisdiction]],Places[Jurisdiction],0))</f>
        <v>5</v>
      </c>
      <c r="F508" s="19" t="str">
        <f>VLOOKUP(Expenditures[[#This Row],[Jurisdiction]],Places[#All],8,FALSE)</f>
        <v>Phase I MS4</v>
      </c>
      <c r="G508" s="19"/>
      <c r="H508" s="21" t="s">
        <v>1884</v>
      </c>
      <c r="I508" s="21">
        <f>VALUE(LEFT(Expenditures[[#This Row],[Fiscal Year]],4))</f>
        <v>2008</v>
      </c>
      <c r="J508" s="20">
        <v>6479230</v>
      </c>
      <c r="K508" s="20">
        <f>IF(Expenditures[[#This Row],[Reference Year]]&gt;2018,Expenditures[[#This Row],[Value]],Expenditures[[#This Row],[Value]]*(1+VLOOKUP(Expenditures[[#This Row],[Reference Year]],Inflation[#All],3,FALSE)))</f>
        <v>7572573.7302833246</v>
      </c>
      <c r="L508" s="105">
        <f>VALUE(Expenditures[[#This Row],[2018 $ Value]]/VLOOKUP(Expenditures[[#This Row],[Jurisdiction]],Places[],6,FALSE))</f>
        <v>24.33518349717308</v>
      </c>
      <c r="M508" s="105">
        <f>VALUE(Expenditures[[#This Row],[2018 $ Value]]/VLOOKUP(Expenditures[[#This Row],[Jurisdiction]],Places[],7,FALSE))</f>
        <v>122732.15122015112</v>
      </c>
      <c r="N508" s="20" t="s">
        <v>1460</v>
      </c>
      <c r="O508" s="20" t="s">
        <v>1460</v>
      </c>
    </row>
    <row r="509" spans="1:15" x14ac:dyDescent="0.25">
      <c r="A509" s="19" t="s">
        <v>416</v>
      </c>
      <c r="B509" s="19" t="str">
        <f>INDEX(Places[Type],MATCH(Expenditures[[#This Row],[Jurisdiction]],Places[Jurisdiction],0))</f>
        <v>City</v>
      </c>
      <c r="C509" s="19" t="str">
        <f>INDEX(Places[County],MATCH(Expenditures[[#This Row],[Jurisdiction]],Places[Jurisdiction],0))</f>
        <v>San Joaquin</v>
      </c>
      <c r="D509" s="19" t="str">
        <f>INDEX(Places[Majority RB],MATCH(Expenditures[[#This Row],[Jurisdiction]],Places[Jurisdiction],0))</f>
        <v>Central Valley</v>
      </c>
      <c r="E509" s="19">
        <f>INDEX(Places[Majority RB '#],MATCH(Expenditures[[#This Row],[Jurisdiction]],Places[Jurisdiction],0))</f>
        <v>5</v>
      </c>
      <c r="F509" s="19" t="str">
        <f>VLOOKUP(Expenditures[[#This Row],[Jurisdiction]],Places[#All],8,FALSE)</f>
        <v>Phase I MS4</v>
      </c>
      <c r="G509" s="19"/>
      <c r="H509" s="21" t="s">
        <v>1889</v>
      </c>
      <c r="I509" s="21">
        <f>VALUE(LEFT(Expenditures[[#This Row],[Fiscal Year]],4))</f>
        <v>2009</v>
      </c>
      <c r="J509" s="20">
        <v>4538543</v>
      </c>
      <c r="K509" s="20">
        <f>IF(Expenditures[[#This Row],[Reference Year]]&gt;2018,Expenditures[[#This Row],[Value]],Expenditures[[#This Row],[Value]]*(1+VLOOKUP(Expenditures[[#This Row],[Reference Year]],Inflation[#All],3,FALSE)))</f>
        <v>5324187.0099440552</v>
      </c>
      <c r="L509" s="105">
        <f>VALUE(Expenditures[[#This Row],[2018 $ Value]]/VLOOKUP(Expenditures[[#This Row],[Jurisdiction]],Places[],6,FALSE))</f>
        <v>17.10977964362537</v>
      </c>
      <c r="M509" s="105">
        <f>VALUE(Expenditures[[#This Row],[2018 $ Value]]/VLOOKUP(Expenditures[[#This Row],[Jurisdiction]],Places[],7,FALSE))</f>
        <v>86291.523661978194</v>
      </c>
      <c r="N509" s="20" t="s">
        <v>1460</v>
      </c>
      <c r="O509" s="20" t="s">
        <v>1460</v>
      </c>
    </row>
    <row r="510" spans="1:15" x14ac:dyDescent="0.25">
      <c r="A510" s="19" t="s">
        <v>416</v>
      </c>
      <c r="B510" s="19" t="str">
        <f>INDEX(Places[Type],MATCH(Expenditures[[#This Row],[Jurisdiction]],Places[Jurisdiction],0))</f>
        <v>City</v>
      </c>
      <c r="C510" s="19" t="str">
        <f>INDEX(Places[County],MATCH(Expenditures[[#This Row],[Jurisdiction]],Places[Jurisdiction],0))</f>
        <v>San Joaquin</v>
      </c>
      <c r="D510" s="19" t="str">
        <f>INDEX(Places[Majority RB],MATCH(Expenditures[[#This Row],[Jurisdiction]],Places[Jurisdiction],0))</f>
        <v>Central Valley</v>
      </c>
      <c r="E510" s="19">
        <f>INDEX(Places[Majority RB '#],MATCH(Expenditures[[#This Row],[Jurisdiction]],Places[Jurisdiction],0))</f>
        <v>5</v>
      </c>
      <c r="F510" s="19" t="str">
        <f>VLOOKUP(Expenditures[[#This Row],[Jurisdiction]],Places[#All],8,FALSE)</f>
        <v>Phase I MS4</v>
      </c>
      <c r="G510" s="19"/>
      <c r="H510" s="21" t="s">
        <v>1885</v>
      </c>
      <c r="I510" s="21">
        <f>VALUE(LEFT(Expenditures[[#This Row],[Fiscal Year]],4))</f>
        <v>2010</v>
      </c>
      <c r="J510" s="20">
        <v>5207600</v>
      </c>
      <c r="K510" s="20">
        <f>IF(Expenditures[[#This Row],[Reference Year]]&gt;2018,Expenditures[[#This Row],[Value]],Expenditures[[#This Row],[Value]]*(1+VLOOKUP(Expenditures[[#This Row],[Reference Year]],Inflation[#All],3,FALSE)))</f>
        <v>6008223.7303988999</v>
      </c>
      <c r="L510" s="105">
        <f>VALUE(Expenditures[[#This Row],[2018 $ Value]]/VLOOKUP(Expenditures[[#This Row],[Jurisdiction]],Places[],6,FALSE))</f>
        <v>19.307996485609202</v>
      </c>
      <c r="M510" s="105">
        <f>VALUE(Expenditures[[#This Row],[2018 $ Value]]/VLOOKUP(Expenditures[[#This Row],[Jurisdiction]],Places[],7,FALSE))</f>
        <v>97378.01832088978</v>
      </c>
      <c r="N510" s="20" t="s">
        <v>1460</v>
      </c>
      <c r="O510" s="20" t="s">
        <v>1460</v>
      </c>
    </row>
    <row r="511" spans="1:15" x14ac:dyDescent="0.25">
      <c r="A511" s="19" t="s">
        <v>416</v>
      </c>
      <c r="B511" s="19" t="str">
        <f>INDEX(Places[Type],MATCH(Expenditures[[#This Row],[Jurisdiction]],Places[Jurisdiction],0))</f>
        <v>City</v>
      </c>
      <c r="C511" s="19" t="str">
        <f>INDEX(Places[County],MATCH(Expenditures[[#This Row],[Jurisdiction]],Places[Jurisdiction],0))</f>
        <v>San Joaquin</v>
      </c>
      <c r="D511" s="19" t="str">
        <f>INDEX(Places[Majority RB],MATCH(Expenditures[[#This Row],[Jurisdiction]],Places[Jurisdiction],0))</f>
        <v>Central Valley</v>
      </c>
      <c r="E511" s="19">
        <f>INDEX(Places[Majority RB '#],MATCH(Expenditures[[#This Row],[Jurisdiction]],Places[Jurisdiction],0))</f>
        <v>5</v>
      </c>
      <c r="F511" s="19" t="str">
        <f>VLOOKUP(Expenditures[[#This Row],[Jurisdiction]],Places[#All],8,FALSE)</f>
        <v>Phase I MS4</v>
      </c>
      <c r="G511" s="19"/>
      <c r="H511" s="21" t="s">
        <v>1880</v>
      </c>
      <c r="I511" s="21">
        <f>VALUE(LEFT(Expenditures[[#This Row],[Fiscal Year]],4))</f>
        <v>2013</v>
      </c>
      <c r="J511" s="20">
        <v>3604445</v>
      </c>
      <c r="K511" s="20">
        <f>IF(Expenditures[[#This Row],[Reference Year]]&gt;2018,Expenditures[[#This Row],[Value]],Expenditures[[#This Row],[Value]]*(1+VLOOKUP(Expenditures[[#This Row],[Reference Year]],Inflation[#All],3,FALSE)))</f>
        <v>3892661.3725107298</v>
      </c>
      <c r="L511" s="105">
        <f>VALUE(Expenditures[[#This Row],[2018 $ Value]]/VLOOKUP(Expenditures[[#This Row],[Jurisdiction]],Places[],6,FALSE))</f>
        <v>12.509436311406107</v>
      </c>
      <c r="M511" s="105">
        <f>VALUE(Expenditures[[#This Row],[2018 $ Value]]/VLOOKUP(Expenditures[[#This Row],[Jurisdiction]],Places[],7,FALSE))</f>
        <v>63090.135697094483</v>
      </c>
      <c r="N511" s="20" t="s">
        <v>1460</v>
      </c>
      <c r="O511" s="20" t="s">
        <v>1460</v>
      </c>
    </row>
    <row r="512" spans="1:15" x14ac:dyDescent="0.25">
      <c r="A512" s="19" t="s">
        <v>416</v>
      </c>
      <c r="B512" s="19" t="str">
        <f>INDEX(Places[Type],MATCH(Expenditures[[#This Row],[Jurisdiction]],Places[Jurisdiction],0))</f>
        <v>City</v>
      </c>
      <c r="C512" s="19" t="str">
        <f>INDEX(Places[County],MATCH(Expenditures[[#This Row],[Jurisdiction]],Places[Jurisdiction],0))</f>
        <v>San Joaquin</v>
      </c>
      <c r="D512" s="19" t="str">
        <f>INDEX(Places[Majority RB],MATCH(Expenditures[[#This Row],[Jurisdiction]],Places[Jurisdiction],0))</f>
        <v>Central Valley</v>
      </c>
      <c r="E512" s="19">
        <f>INDEX(Places[Majority RB '#],MATCH(Expenditures[[#This Row],[Jurisdiction]],Places[Jurisdiction],0))</f>
        <v>5</v>
      </c>
      <c r="F512" s="19" t="str">
        <f>VLOOKUP(Expenditures[[#This Row],[Jurisdiction]],Places[#All],8,FALSE)</f>
        <v>Phase I MS4</v>
      </c>
      <c r="G512" s="19"/>
      <c r="H512" s="21" t="s">
        <v>1881</v>
      </c>
      <c r="I512" s="21">
        <f>VALUE(LEFT(Expenditures[[#This Row],[Fiscal Year]],4))</f>
        <v>2014</v>
      </c>
      <c r="J512" s="20">
        <v>4938291</v>
      </c>
      <c r="K512" s="20">
        <f>IF(Expenditures[[#This Row],[Reference Year]]&gt;2018,Expenditures[[#This Row],[Value]],Expenditures[[#This Row],[Value]]*(1+VLOOKUP(Expenditures[[#This Row],[Reference Year]],Inflation[#All],3,FALSE)))</f>
        <v>5249797.6452091262</v>
      </c>
      <c r="L512" s="105">
        <f>VALUE(Expenditures[[#This Row],[2018 $ Value]]/VLOOKUP(Expenditures[[#This Row],[Jurisdiction]],Places[],6,FALSE))</f>
        <v>16.870722368577233</v>
      </c>
      <c r="M512" s="105">
        <f>VALUE(Expenditures[[#This Row],[2018 $ Value]]/VLOOKUP(Expenditures[[#This Row],[Jurisdiction]],Places[],7,FALSE))</f>
        <v>85085.861348608203</v>
      </c>
      <c r="N512" s="20" t="s">
        <v>1460</v>
      </c>
      <c r="O512" s="20" t="s">
        <v>1460</v>
      </c>
    </row>
    <row r="513" spans="1:15" x14ac:dyDescent="0.25">
      <c r="A513" s="19" t="s">
        <v>416</v>
      </c>
      <c r="B513" s="19" t="str">
        <f>INDEX(Places[Type],MATCH(Expenditures[[#This Row],[Jurisdiction]],Places[Jurisdiction],0))</f>
        <v>City</v>
      </c>
      <c r="C513" s="19" t="str">
        <f>INDEX(Places[County],MATCH(Expenditures[[#This Row],[Jurisdiction]],Places[Jurisdiction],0))</f>
        <v>San Joaquin</v>
      </c>
      <c r="D513" s="19" t="str">
        <f>INDEX(Places[Majority RB],MATCH(Expenditures[[#This Row],[Jurisdiction]],Places[Jurisdiction],0))</f>
        <v>Central Valley</v>
      </c>
      <c r="E513" s="19">
        <f>INDEX(Places[Majority RB '#],MATCH(Expenditures[[#This Row],[Jurisdiction]],Places[Jurisdiction],0))</f>
        <v>5</v>
      </c>
      <c r="F513" s="19" t="str">
        <f>VLOOKUP(Expenditures[[#This Row],[Jurisdiction]],Places[#All],8,FALSE)</f>
        <v>Phase I MS4</v>
      </c>
      <c r="G513" s="19"/>
      <c r="H513" s="21" t="s">
        <v>1873</v>
      </c>
      <c r="I513" s="21">
        <f>VALUE(LEFT(Expenditures[[#This Row],[Fiscal Year]],4))</f>
        <v>2015</v>
      </c>
      <c r="J513" s="20">
        <v>4246352</v>
      </c>
      <c r="K513" s="20">
        <f>IF(Expenditures[[#This Row],[Reference Year]]&gt;2018,Expenditures[[#This Row],[Value]],Expenditures[[#This Row],[Value]]*(1+VLOOKUP(Expenditures[[#This Row],[Reference Year]],Inflation[#All],3,FALSE)))</f>
        <v>4508497.0468860753</v>
      </c>
      <c r="L513" s="105">
        <f>VALUE(Expenditures[[#This Row],[2018 $ Value]]/VLOOKUP(Expenditures[[#This Row],[Jurisdiction]],Places[],6,FALSE))</f>
        <v>14.488482626940449</v>
      </c>
      <c r="M513" s="105">
        <f>VALUE(Expenditures[[#This Row],[2018 $ Value]]/VLOOKUP(Expenditures[[#This Row],[Jurisdiction]],Places[],7,FALSE))</f>
        <v>73071.264941427478</v>
      </c>
      <c r="N513" s="20" t="s">
        <v>1460</v>
      </c>
      <c r="O513" s="20" t="s">
        <v>1460</v>
      </c>
    </row>
    <row r="514" spans="1:15" x14ac:dyDescent="0.25">
      <c r="A514" s="19" t="s">
        <v>416</v>
      </c>
      <c r="B514" s="19" t="str">
        <f>INDEX(Places[Type],MATCH(Expenditures[[#This Row],[Jurisdiction]],Places[Jurisdiction],0))</f>
        <v>City</v>
      </c>
      <c r="C514" s="19" t="str">
        <f>INDEX(Places[County],MATCH(Expenditures[[#This Row],[Jurisdiction]],Places[Jurisdiction],0))</f>
        <v>San Joaquin</v>
      </c>
      <c r="D514" s="19" t="str">
        <f>INDEX(Places[Majority RB],MATCH(Expenditures[[#This Row],[Jurisdiction]],Places[Jurisdiction],0))</f>
        <v>Central Valley</v>
      </c>
      <c r="E514" s="19">
        <f>INDEX(Places[Majority RB '#],MATCH(Expenditures[[#This Row],[Jurisdiction]],Places[Jurisdiction],0))</f>
        <v>5</v>
      </c>
      <c r="F514" s="19" t="str">
        <f>VLOOKUP(Expenditures[[#This Row],[Jurisdiction]],Places[#All],8,FALSE)</f>
        <v>Phase I MS4</v>
      </c>
      <c r="G514" s="19"/>
      <c r="H514" s="21" t="s">
        <v>1869</v>
      </c>
      <c r="I514" s="21">
        <f>VALUE(LEFT(Expenditures[[#This Row],[Fiscal Year]],4))</f>
        <v>2016</v>
      </c>
      <c r="J514" s="20">
        <v>5328118</v>
      </c>
      <c r="K514" s="20">
        <f>IF(Expenditures[[#This Row],[Reference Year]]&gt;2018,Expenditures[[#This Row],[Value]],Expenditures[[#This Row],[Value]]*(1+VLOOKUP(Expenditures[[#This Row],[Reference Year]],Inflation[#All],3,FALSE)))</f>
        <v>5586331.918575</v>
      </c>
      <c r="L514" s="105">
        <f>VALUE(Expenditures[[#This Row],[2018 $ Value]]/VLOOKUP(Expenditures[[#This Row],[Jurisdiction]],Places[],6,FALSE))</f>
        <v>17.952207156595261</v>
      </c>
      <c r="M514" s="105">
        <f>VALUE(Expenditures[[#This Row],[2018 $ Value]]/VLOOKUP(Expenditures[[#This Row],[Jurisdiction]],Places[],7,FALSE))</f>
        <v>90540.225584683954</v>
      </c>
      <c r="N514" s="20" t="s">
        <v>1460</v>
      </c>
      <c r="O514" s="20" t="s">
        <v>1460</v>
      </c>
    </row>
    <row r="515" spans="1:15" x14ac:dyDescent="0.25">
      <c r="A515" s="19" t="s">
        <v>416</v>
      </c>
      <c r="B515" s="19" t="str">
        <f>INDEX(Places[Type],MATCH(Expenditures[[#This Row],[Jurisdiction]],Places[Jurisdiction],0))</f>
        <v>City</v>
      </c>
      <c r="C515" s="19" t="str">
        <f>INDEX(Places[County],MATCH(Expenditures[[#This Row],[Jurisdiction]],Places[Jurisdiction],0))</f>
        <v>San Joaquin</v>
      </c>
      <c r="D515" s="19" t="str">
        <f>INDEX(Places[Majority RB],MATCH(Expenditures[[#This Row],[Jurisdiction]],Places[Jurisdiction],0))</f>
        <v>Central Valley</v>
      </c>
      <c r="E515" s="19">
        <f>INDEX(Places[Majority RB '#],MATCH(Expenditures[[#This Row],[Jurisdiction]],Places[Jurisdiction],0))</f>
        <v>5</v>
      </c>
      <c r="F515" s="19" t="str">
        <f>VLOOKUP(Expenditures[[#This Row],[Jurisdiction]],Places[#All],8,FALSE)</f>
        <v>Phase I MS4</v>
      </c>
      <c r="G515" s="19"/>
      <c r="H515" s="21" t="s">
        <v>1874</v>
      </c>
      <c r="I515" s="21">
        <f>VALUE(LEFT(Expenditures[[#This Row],[Fiscal Year]],4))</f>
        <v>2017</v>
      </c>
      <c r="J515" s="20">
        <v>4824193</v>
      </c>
      <c r="K515" s="20">
        <f>IF(Expenditures[[#This Row],[Reference Year]]&gt;2018,Expenditures[[#This Row],[Value]],Expenditures[[#This Row],[Value]]*(1+VLOOKUP(Expenditures[[#This Row],[Reference Year]],Inflation[#All],3,FALSE)))</f>
        <v>4952739.7339167688</v>
      </c>
      <c r="L515" s="105">
        <f>VALUE(Expenditures[[#This Row],[2018 $ Value]]/VLOOKUP(Expenditures[[#This Row],[Jurisdiction]],Places[],6,FALSE))</f>
        <v>15.916098612102298</v>
      </c>
      <c r="M515" s="105">
        <f>VALUE(Expenditures[[#This Row],[2018 $ Value]]/VLOOKUP(Expenditures[[#This Row],[Jurisdiction]],Places[],7,FALSE))</f>
        <v>80271.308491357675</v>
      </c>
      <c r="N515" s="20" t="s">
        <v>1853</v>
      </c>
      <c r="O515" s="20" t="s">
        <v>1853</v>
      </c>
    </row>
    <row r="516" spans="1:15" x14ac:dyDescent="0.25">
      <c r="A516" s="19" t="s">
        <v>298</v>
      </c>
      <c r="B516" s="19" t="str">
        <f>INDEX(Places[Type],MATCH(Expenditures[[#This Row],[Jurisdiction]],Places[Jurisdiction],0))</f>
        <v>City</v>
      </c>
      <c r="C516" s="19" t="str">
        <f>INDEX(Places[County],MATCH(Expenditures[[#This Row],[Jurisdiction]],Places[Jurisdiction],0))</f>
        <v>Riverside</v>
      </c>
      <c r="D516" s="19" t="str">
        <f>INDEX(Places[Majority RB],MATCH(Expenditures[[#This Row],[Jurisdiction]],Places[Jurisdiction],0))</f>
        <v>San Diego</v>
      </c>
      <c r="E516" s="19">
        <f>INDEX(Places[Majority RB '#],MATCH(Expenditures[[#This Row],[Jurisdiction]],Places[Jurisdiction],0))</f>
        <v>9</v>
      </c>
      <c r="F516" s="19" t="str">
        <f>VLOOKUP(Expenditures[[#This Row],[Jurisdiction]],Places[#All],8,FALSE)</f>
        <v>Phase I MS4</v>
      </c>
      <c r="G516" s="19"/>
      <c r="H516" s="19" t="s">
        <v>1873</v>
      </c>
      <c r="I516" s="21">
        <f>VALUE(LEFT(Expenditures[[#This Row],[Fiscal Year]],4))</f>
        <v>2015</v>
      </c>
      <c r="J516" s="20">
        <v>798836</v>
      </c>
      <c r="K516" s="20">
        <f>IF(Expenditures[[#This Row],[Reference Year]]&gt;2018,Expenditures[[#This Row],[Value]],Expenditures[[#This Row],[Value]]*(1+VLOOKUP(Expenditures[[#This Row],[Reference Year]],Inflation[#All],3,FALSE)))</f>
        <v>848151.4831898734</v>
      </c>
      <c r="L516" s="105">
        <f>VALUE(Expenditures[[#This Row],[2018 $ Value]]/VLOOKUP(Expenditures[[#This Row],[Jurisdiction]],Places[],6,FALSE))</f>
        <v>7.391813661866391</v>
      </c>
      <c r="M516" s="105">
        <f>VALUE(Expenditures[[#This Row],[2018 $ Value]]/VLOOKUP(Expenditures[[#This Row],[Jurisdiction]],Places[],7,FALSE))</f>
        <v>22738.645661926901</v>
      </c>
      <c r="N516" s="20" t="s">
        <v>1460</v>
      </c>
      <c r="O516" s="20" t="s">
        <v>1460</v>
      </c>
    </row>
    <row r="517" spans="1:15" x14ac:dyDescent="0.25">
      <c r="A517" s="19" t="s">
        <v>298</v>
      </c>
      <c r="B517" s="19" t="str">
        <f>INDEX(Places[Type],MATCH(Expenditures[[#This Row],[Jurisdiction]],Places[Jurisdiction],0))</f>
        <v>City</v>
      </c>
      <c r="C517" s="19" t="str">
        <f>INDEX(Places[County],MATCH(Expenditures[[#This Row],[Jurisdiction]],Places[Jurisdiction],0))</f>
        <v>Riverside</v>
      </c>
      <c r="D517" s="19" t="str">
        <f>INDEX(Places[Majority RB],MATCH(Expenditures[[#This Row],[Jurisdiction]],Places[Jurisdiction],0))</f>
        <v>San Diego</v>
      </c>
      <c r="E517" s="19">
        <f>INDEX(Places[Majority RB '#],MATCH(Expenditures[[#This Row],[Jurisdiction]],Places[Jurisdiction],0))</f>
        <v>9</v>
      </c>
      <c r="F517" s="19" t="str">
        <f>VLOOKUP(Expenditures[[#This Row],[Jurisdiction]],Places[#All],8,FALSE)</f>
        <v>Phase I MS4</v>
      </c>
      <c r="G517" s="19"/>
      <c r="H517" s="21" t="s">
        <v>1869</v>
      </c>
      <c r="I517" s="21">
        <f>VALUE(LEFT(Expenditures[[#This Row],[Fiscal Year]],4))</f>
        <v>2016</v>
      </c>
      <c r="J517" s="20">
        <v>1083034</v>
      </c>
      <c r="K517" s="20">
        <f>IF(Expenditures[[#This Row],[Reference Year]]&gt;2018,Expenditures[[#This Row],[Value]],Expenditures[[#This Row],[Value]]*(1+VLOOKUP(Expenditures[[#This Row],[Reference Year]],Inflation[#All],3,FALSE)))</f>
        <v>1135520.535225</v>
      </c>
      <c r="L517" s="105">
        <f>VALUE(Expenditures[[#This Row],[2018 $ Value]]/VLOOKUP(Expenditures[[#This Row],[Jurisdiction]],Places[],6,FALSE))</f>
        <v>9.89629373049973</v>
      </c>
      <c r="M517" s="105">
        <f>VALUE(Expenditures[[#This Row],[2018 $ Value]]/VLOOKUP(Expenditures[[#This Row],[Jurisdiction]],Places[],7,FALSE))</f>
        <v>30442.909791554961</v>
      </c>
      <c r="N517" s="20" t="s">
        <v>1460</v>
      </c>
      <c r="O517" s="20" t="s">
        <v>1460</v>
      </c>
    </row>
    <row r="518" spans="1:15" x14ac:dyDescent="0.25">
      <c r="A518" s="19" t="s">
        <v>298</v>
      </c>
      <c r="B518" s="19" t="str">
        <f>INDEX(Places[Type],MATCH(Expenditures[[#This Row],[Jurisdiction]],Places[Jurisdiction],0))</f>
        <v>City</v>
      </c>
      <c r="C518" s="19" t="str">
        <f>INDEX(Places[County],MATCH(Expenditures[[#This Row],[Jurisdiction]],Places[Jurisdiction],0))</f>
        <v>Riverside</v>
      </c>
      <c r="D518" s="19" t="str">
        <f>INDEX(Places[Majority RB],MATCH(Expenditures[[#This Row],[Jurisdiction]],Places[Jurisdiction],0))</f>
        <v>San Diego</v>
      </c>
      <c r="E518" s="19">
        <f>INDEX(Places[Majority RB '#],MATCH(Expenditures[[#This Row],[Jurisdiction]],Places[Jurisdiction],0))</f>
        <v>9</v>
      </c>
      <c r="F518" s="19" t="str">
        <f>VLOOKUP(Expenditures[[#This Row],[Jurisdiction]],Places[#All],8,FALSE)</f>
        <v>Phase I MS4</v>
      </c>
      <c r="G518" s="19"/>
      <c r="H518" s="21" t="s">
        <v>1874</v>
      </c>
      <c r="I518" s="21">
        <f>VALUE(LEFT(Expenditures[[#This Row],[Fiscal Year]],4))</f>
        <v>2017</v>
      </c>
      <c r="J518" s="20">
        <v>866586</v>
      </c>
      <c r="K518" s="20">
        <f>IF(Expenditures[[#This Row],[Reference Year]]&gt;2018,Expenditures[[#This Row],[Value]],Expenditures[[#This Row],[Value]]*(1+VLOOKUP(Expenditures[[#This Row],[Reference Year]],Inflation[#All],3,FALSE)))</f>
        <v>889677.28178702586</v>
      </c>
      <c r="L518" s="105">
        <f>VALUE(Expenditures[[#This Row],[2018 $ Value]]/VLOOKUP(Expenditures[[#This Row],[Jurisdiction]],Places[],6,FALSE))</f>
        <v>7.7537194905703739</v>
      </c>
      <c r="M518" s="105">
        <f>VALUE(Expenditures[[#This Row],[2018 $ Value]]/VLOOKUP(Expenditures[[#This Row],[Jurisdiction]],Places[],7,FALSE))</f>
        <v>23851.937849518123</v>
      </c>
      <c r="N518" s="20" t="s">
        <v>1853</v>
      </c>
      <c r="O518" s="20" t="s">
        <v>1460</v>
      </c>
    </row>
    <row r="519" spans="1:15" x14ac:dyDescent="0.25">
      <c r="A519" s="19" t="s">
        <v>298</v>
      </c>
      <c r="B519" s="19" t="str">
        <f>INDEX(Places[Type],MATCH(Expenditures[[#This Row],[Jurisdiction]],Places[Jurisdiction],0))</f>
        <v>City</v>
      </c>
      <c r="C519" s="19" t="str">
        <f>INDEX(Places[County],MATCH(Expenditures[[#This Row],[Jurisdiction]],Places[Jurisdiction],0))</f>
        <v>Riverside</v>
      </c>
      <c r="D519" s="19" t="str">
        <f>INDEX(Places[Majority RB],MATCH(Expenditures[[#This Row],[Jurisdiction]],Places[Jurisdiction],0))</f>
        <v>San Diego</v>
      </c>
      <c r="E519" s="19">
        <f>INDEX(Places[Majority RB '#],MATCH(Expenditures[[#This Row],[Jurisdiction]],Places[Jurisdiction],0))</f>
        <v>9</v>
      </c>
      <c r="F519" s="19" t="str">
        <f>VLOOKUP(Expenditures[[#This Row],[Jurisdiction]],Places[#All],8,FALSE)</f>
        <v>Phase I MS4</v>
      </c>
      <c r="G519" s="19"/>
      <c r="H519" s="21" t="s">
        <v>1876</v>
      </c>
      <c r="I519" s="21">
        <f>VALUE(LEFT(Expenditures[[#This Row],[Fiscal Year]],4))</f>
        <v>2018</v>
      </c>
      <c r="J519" s="20">
        <v>1177814</v>
      </c>
      <c r="K519" s="20">
        <f>IF(Expenditures[[#This Row],[Reference Year]]&gt;2018,Expenditures[[#This Row],[Value]],Expenditures[[#This Row],[Value]]*(1+VLOOKUP(Expenditures[[#This Row],[Reference Year]],Inflation[#All],3,FALSE)))</f>
        <v>1177814</v>
      </c>
      <c r="L519" s="105">
        <f>VALUE(Expenditures[[#This Row],[2018 $ Value]]/VLOOKUP(Expenditures[[#This Row],[Jurisdiction]],Places[],6,FALSE))</f>
        <v>10.264889926966585</v>
      </c>
      <c r="M519" s="105">
        <f>VALUE(Expenditures[[#This Row],[2018 $ Value]]/VLOOKUP(Expenditures[[#This Row],[Jurisdiction]],Places[],7,FALSE))</f>
        <v>31576.78284182306</v>
      </c>
      <c r="N519" s="20" t="s">
        <v>1460</v>
      </c>
      <c r="O519" s="20" t="s">
        <v>1853</v>
      </c>
    </row>
    <row r="520" spans="1:15" x14ac:dyDescent="0.25">
      <c r="A520" s="19" t="s">
        <v>199</v>
      </c>
      <c r="B520" s="19" t="str">
        <f>INDEX(Places[Type],MATCH(Expenditures[[#This Row],[Jurisdiction]],Places[Jurisdiction],0))</f>
        <v>City</v>
      </c>
      <c r="C520" s="19" t="str">
        <f>INDEX(Places[County],MATCH(Expenditures[[#This Row],[Jurisdiction]],Places[Jurisdiction],0))</f>
        <v>Los Angeles</v>
      </c>
      <c r="D520" s="19" t="str">
        <f>INDEX(Places[Majority RB],MATCH(Expenditures[[#This Row],[Jurisdiction]],Places[Jurisdiction],0))</f>
        <v>Los Angeles</v>
      </c>
      <c r="E520" s="19">
        <f>INDEX(Places[Majority RB '#],MATCH(Expenditures[[#This Row],[Jurisdiction]],Places[Jurisdiction],0))</f>
        <v>4</v>
      </c>
      <c r="F520" s="19" t="str">
        <f>VLOOKUP(Expenditures[[#This Row],[Jurisdiction]],Places[#All],8,FALSE)</f>
        <v>Phase I MS4</v>
      </c>
      <c r="G520" s="19"/>
      <c r="H520" s="21" t="s">
        <v>1870</v>
      </c>
      <c r="I520" s="21">
        <f>VALUE(LEFT(Expenditures[[#This Row],[Fiscal Year]],4))</f>
        <v>2011</v>
      </c>
      <c r="J520" s="20">
        <v>147651</v>
      </c>
      <c r="K520" s="20">
        <f>IF(Expenditures[[#This Row],[Reference Year]]&gt;2018,Expenditures[[#This Row],[Value]],Expenditures[[#This Row],[Value]]*(1+VLOOKUP(Expenditures[[#This Row],[Reference Year]],Inflation[#All],3,FALSE)))</f>
        <v>165200.39475767009</v>
      </c>
      <c r="L520" s="105">
        <f>VALUE(Expenditures[[#This Row],[2018 $ Value]]/VLOOKUP(Expenditures[[#This Row],[Jurisdiction]],Places[],6,FALSE))</f>
        <v>4.5736543399133467</v>
      </c>
      <c r="M520" s="105">
        <f>VALUE(Expenditures[[#This Row],[2018 $ Value]]/VLOOKUP(Expenditures[[#This Row],[Jurisdiction]],Places[],7,FALSE))</f>
        <v>41300.098689417522</v>
      </c>
      <c r="N520" s="20" t="s">
        <v>1460</v>
      </c>
      <c r="O520" s="20" t="s">
        <v>1460</v>
      </c>
    </row>
    <row r="521" spans="1:15" x14ac:dyDescent="0.25">
      <c r="A521" s="19" t="s">
        <v>199</v>
      </c>
      <c r="B521" s="19" t="str">
        <f>INDEX(Places[Type],MATCH(Expenditures[[#This Row],[Jurisdiction]],Places[Jurisdiction],0))</f>
        <v>City</v>
      </c>
      <c r="C521" s="19" t="str">
        <f>INDEX(Places[County],MATCH(Expenditures[[#This Row],[Jurisdiction]],Places[Jurisdiction],0))</f>
        <v>Los Angeles</v>
      </c>
      <c r="D521" s="19" t="str">
        <f>INDEX(Places[Majority RB],MATCH(Expenditures[[#This Row],[Jurisdiction]],Places[Jurisdiction],0))</f>
        <v>Los Angeles</v>
      </c>
      <c r="E521" s="19">
        <f>INDEX(Places[Majority RB '#],MATCH(Expenditures[[#This Row],[Jurisdiction]],Places[Jurisdiction],0))</f>
        <v>4</v>
      </c>
      <c r="F521" s="19" t="str">
        <f>VLOOKUP(Expenditures[[#This Row],[Jurisdiction]],Places[#All],8,FALSE)</f>
        <v>Phase I MS4</v>
      </c>
      <c r="G521" s="19"/>
      <c r="H521" s="21" t="s">
        <v>1873</v>
      </c>
      <c r="I521" s="21">
        <f>VALUE(LEFT(Expenditures[[#This Row],[Fiscal Year]],4))</f>
        <v>2015</v>
      </c>
      <c r="J521" s="20">
        <v>329000</v>
      </c>
      <c r="K521" s="20">
        <f>IF(Expenditures[[#This Row],[Reference Year]]&gt;2018,Expenditures[[#This Row],[Value]],Expenditures[[#This Row],[Value]]*(1+VLOOKUP(Expenditures[[#This Row],[Reference Year]],Inflation[#All],3,FALSE)))</f>
        <v>349310.54430379748</v>
      </c>
      <c r="L521" s="105">
        <f>VALUE(Expenditures[[#This Row],[2018 $ Value]]/VLOOKUP(Expenditures[[#This Row],[Jurisdiction]],Places[],6,FALSE))</f>
        <v>9.6708345599057992</v>
      </c>
      <c r="M521" s="105">
        <f>VALUE(Expenditures[[#This Row],[2018 $ Value]]/VLOOKUP(Expenditures[[#This Row],[Jurisdiction]],Places[],7,FALSE))</f>
        <v>87327.636075949369</v>
      </c>
      <c r="N521" s="20" t="s">
        <v>1853</v>
      </c>
      <c r="O521" s="20" t="s">
        <v>1853</v>
      </c>
    </row>
    <row r="522" spans="1:15" x14ac:dyDescent="0.25">
      <c r="A522" s="19" t="s">
        <v>149</v>
      </c>
      <c r="B522" s="19" t="str">
        <f>INDEX(Places[Type],MATCH(Expenditures[[#This Row],[Jurisdiction]],Places[Jurisdiction],0))</f>
        <v>City</v>
      </c>
      <c r="C522" s="19" t="str">
        <f>INDEX(Places[County],MATCH(Expenditures[[#This Row],[Jurisdiction]],Places[Jurisdiction],0))</f>
        <v>Los Angeles</v>
      </c>
      <c r="D522" s="19" t="str">
        <f>INDEX(Places[Majority RB],MATCH(Expenditures[[#This Row],[Jurisdiction]],Places[Jurisdiction],0))</f>
        <v>Los Angeles</v>
      </c>
      <c r="E522" s="19">
        <f>INDEX(Places[Majority RB '#],MATCH(Expenditures[[#This Row],[Jurisdiction]],Places[Jurisdiction],0))</f>
        <v>4</v>
      </c>
      <c r="F522" s="19" t="str">
        <f>VLOOKUP(Expenditures[[#This Row],[Jurisdiction]],Places[#All],8,FALSE)</f>
        <v>Phase I MS4</v>
      </c>
      <c r="G522" s="19"/>
      <c r="H522" s="100" t="s">
        <v>1870</v>
      </c>
      <c r="I522" s="21">
        <f>VALUE(LEFT(Expenditures[[#This Row],[Fiscal Year]],4))</f>
        <v>2011</v>
      </c>
      <c r="J522" s="20">
        <v>11964624</v>
      </c>
      <c r="K522" s="20">
        <f>IF(Expenditures[[#This Row],[Reference Year]]&gt;2018,Expenditures[[#This Row],[Value]],Expenditures[[#This Row],[Value]]*(1+VLOOKUP(Expenditures[[#This Row],[Reference Year]],Inflation[#All],3,FALSE)))</f>
        <v>13386706.543992886</v>
      </c>
      <c r="L522" s="105">
        <f>VALUE(Expenditures[[#This Row],[2018 $ Value]]/VLOOKUP(Expenditures[[#This Row],[Jurisdiction]],Places[],6,FALSE))</f>
        <v>92.206379192963908</v>
      </c>
      <c r="M522" s="105">
        <f>VALUE(Expenditures[[#This Row],[2018 $ Value]]/VLOOKUP(Expenditures[[#This Row],[Jurisdiction]],Places[],7,FALSE))</f>
        <v>653010.07531672611</v>
      </c>
      <c r="N522" s="20" t="s">
        <v>1460</v>
      </c>
      <c r="O522" s="20" t="s">
        <v>1460</v>
      </c>
    </row>
    <row r="523" spans="1:15" x14ac:dyDescent="0.25">
      <c r="A523" s="19" t="s">
        <v>149</v>
      </c>
      <c r="B523" s="19" t="str">
        <f>INDEX(Places[Type],MATCH(Expenditures[[#This Row],[Jurisdiction]],Places[Jurisdiction],0))</f>
        <v>City</v>
      </c>
      <c r="C523" s="19" t="str">
        <f>INDEX(Places[County],MATCH(Expenditures[[#This Row],[Jurisdiction]],Places[Jurisdiction],0))</f>
        <v>Los Angeles</v>
      </c>
      <c r="D523" s="19" t="str">
        <f>INDEX(Places[Majority RB],MATCH(Expenditures[[#This Row],[Jurisdiction]],Places[Jurisdiction],0))</f>
        <v>Los Angeles</v>
      </c>
      <c r="E523" s="19">
        <f>INDEX(Places[Majority RB '#],MATCH(Expenditures[[#This Row],[Jurisdiction]],Places[Jurisdiction],0))</f>
        <v>4</v>
      </c>
      <c r="F523" s="19" t="str">
        <f>VLOOKUP(Expenditures[[#This Row],[Jurisdiction]],Places[#All],8,FALSE)</f>
        <v>Phase I MS4</v>
      </c>
      <c r="G523" s="19"/>
      <c r="H523" s="100" t="s">
        <v>1873</v>
      </c>
      <c r="I523" s="21">
        <f>VALUE(LEFT(Expenditures[[#This Row],[Fiscal Year]],4))</f>
        <v>2015</v>
      </c>
      <c r="J523" s="20">
        <v>2125001</v>
      </c>
      <c r="K523" s="20">
        <f>IF(Expenditures[[#This Row],[Reference Year]]&gt;2018,Expenditures[[#This Row],[Value]],Expenditures[[#This Row],[Value]]*(1+VLOOKUP(Expenditures[[#This Row],[Reference Year]],Inflation[#All],3,FALSE)))</f>
        <v>2256186.1883164556</v>
      </c>
      <c r="L523" s="105">
        <f>VALUE(Expenditures[[#This Row],[2018 $ Value]]/VLOOKUP(Expenditures[[#This Row],[Jurisdiction]],Places[],6,FALSE))</f>
        <v>15.540398867052772</v>
      </c>
      <c r="M523" s="105">
        <f>VALUE(Expenditures[[#This Row],[2018 $ Value]]/VLOOKUP(Expenditures[[#This Row],[Jurisdiction]],Places[],7,FALSE))</f>
        <v>110057.86284470515</v>
      </c>
      <c r="N523" s="20" t="s">
        <v>1853</v>
      </c>
      <c r="O523" s="20" t="s">
        <v>1853</v>
      </c>
    </row>
    <row r="524" spans="1:15" x14ac:dyDescent="0.25">
      <c r="A524" s="19" t="s">
        <v>293</v>
      </c>
      <c r="B524" s="19" t="str">
        <f>INDEX(Places[Type],MATCH(Expenditures[[#This Row],[Jurisdiction]],Places[Jurisdiction],0))</f>
        <v>City</v>
      </c>
      <c r="C524" s="19" t="str">
        <f>INDEX(Places[County],MATCH(Expenditures[[#This Row],[Jurisdiction]],Places[Jurisdiction],0))</f>
        <v>Orange</v>
      </c>
      <c r="D524" s="19" t="str">
        <f>INDEX(Places[Majority RB],MATCH(Expenditures[[#This Row],[Jurisdiction]],Places[Jurisdiction],0))</f>
        <v>Santa Ana</v>
      </c>
      <c r="E524" s="19">
        <f>INDEX(Places[Majority RB '#],MATCH(Expenditures[[#This Row],[Jurisdiction]],Places[Jurisdiction],0))</f>
        <v>8</v>
      </c>
      <c r="F524" s="19" t="str">
        <f>VLOOKUP(Expenditures[[#This Row],[Jurisdiction]],Places[#All],8,FALSE)</f>
        <v>Phase I MS4</v>
      </c>
      <c r="G524" s="19"/>
      <c r="H524" s="21" t="s">
        <v>1893</v>
      </c>
      <c r="I524" s="21">
        <f>VALUE(LEFT(Expenditures[[#This Row],[Fiscal Year]],4))</f>
        <v>2000</v>
      </c>
      <c r="J524" s="20">
        <v>882200</v>
      </c>
      <c r="K524" s="20">
        <f>IF(Expenditures[[#This Row],[Reference Year]]&gt;2018,Expenditures[[#This Row],[Value]],Expenditures[[#This Row],[Value]]*(1+VLOOKUP(Expenditures[[#This Row],[Reference Year]],Inflation[#All],3,FALSE)))</f>
        <v>1289133.9616724739</v>
      </c>
      <c r="L524" s="105">
        <f>VALUE(Expenditures[[#This Row],[2018 $ Value]]/VLOOKUP(Expenditures[[#This Row],[Jurisdiction]],Places[],6,FALSE))</f>
        <v>16.155573177172428</v>
      </c>
      <c r="M524" s="105">
        <f>VALUE(Expenditures[[#This Row],[2018 $ Value]]/VLOOKUP(Expenditures[[#This Row],[Jurisdiction]],Places[],7,FALSE))</f>
        <v>116138.19474526793</v>
      </c>
      <c r="N524" s="20" t="s">
        <v>1460</v>
      </c>
      <c r="O524" s="20" t="s">
        <v>1460</v>
      </c>
    </row>
    <row r="525" spans="1:15" x14ac:dyDescent="0.25">
      <c r="A525" s="19" t="s">
        <v>293</v>
      </c>
      <c r="B525" s="19" t="str">
        <f>INDEX(Places[Type],MATCH(Expenditures[[#This Row],[Jurisdiction]],Places[Jurisdiction],0))</f>
        <v>City</v>
      </c>
      <c r="C525" s="19" t="str">
        <f>INDEX(Places[County],MATCH(Expenditures[[#This Row],[Jurisdiction]],Places[Jurisdiction],0))</f>
        <v>Orange</v>
      </c>
      <c r="D525" s="19" t="str">
        <f>INDEX(Places[Majority RB],MATCH(Expenditures[[#This Row],[Jurisdiction]],Places[Jurisdiction],0))</f>
        <v>Santa Ana</v>
      </c>
      <c r="E525" s="19">
        <f>INDEX(Places[Majority RB '#],MATCH(Expenditures[[#This Row],[Jurisdiction]],Places[Jurisdiction],0))</f>
        <v>8</v>
      </c>
      <c r="F525" s="19" t="str">
        <f>VLOOKUP(Expenditures[[#This Row],[Jurisdiction]],Places[#All],8,FALSE)</f>
        <v>Phase I MS4</v>
      </c>
      <c r="G525" s="19"/>
      <c r="H525" s="21" t="s">
        <v>1875</v>
      </c>
      <c r="I525" s="21">
        <f>VALUE(LEFT(Expenditures[[#This Row],[Fiscal Year]],4))</f>
        <v>2001</v>
      </c>
      <c r="J525" s="20">
        <v>676653</v>
      </c>
      <c r="K525" s="20">
        <f>IF(Expenditures[[#This Row],[Reference Year]]&gt;2018,Expenditures[[#This Row],[Value]],Expenditures[[#This Row],[Value]]*(1+VLOOKUP(Expenditures[[#This Row],[Reference Year]],Inflation[#All],3,FALSE)))</f>
        <v>961416.55021456804</v>
      </c>
      <c r="L525" s="105">
        <f>VALUE(Expenditures[[#This Row],[2018 $ Value]]/VLOOKUP(Expenditures[[#This Row],[Jurisdiction]],Places[],6,FALSE))</f>
        <v>12.048581367436155</v>
      </c>
      <c r="M525" s="105">
        <f>VALUE(Expenditures[[#This Row],[2018 $ Value]]/VLOOKUP(Expenditures[[#This Row],[Jurisdiction]],Places[],7,FALSE))</f>
        <v>86614.103622934053</v>
      </c>
      <c r="N525" s="20" t="s">
        <v>1853</v>
      </c>
      <c r="O525" s="20" t="s">
        <v>1853</v>
      </c>
    </row>
    <row r="526" spans="1:15" x14ac:dyDescent="0.25">
      <c r="A526" s="19" t="s">
        <v>252</v>
      </c>
      <c r="B526" s="19" t="str">
        <f>INDEX(Places[Type],MATCH(Expenditures[[#This Row],[Jurisdiction]],Places[Jurisdiction],0))</f>
        <v>City</v>
      </c>
      <c r="C526" s="19" t="str">
        <f>INDEX(Places[County],MATCH(Expenditures[[#This Row],[Jurisdiction]],Places[Jurisdiction],0))</f>
        <v>San Bernardino</v>
      </c>
      <c r="D526" s="19" t="str">
        <f>INDEX(Places[Majority RB],MATCH(Expenditures[[#This Row],[Jurisdiction]],Places[Jurisdiction],0))</f>
        <v>Santa Ana</v>
      </c>
      <c r="E526" s="19">
        <f>INDEX(Places[Majority RB '#],MATCH(Expenditures[[#This Row],[Jurisdiction]],Places[Jurisdiction],0))</f>
        <v>8</v>
      </c>
      <c r="F526" s="19" t="str">
        <f>VLOOKUP(Expenditures[[#This Row],[Jurisdiction]],Places[#All],8,FALSE)</f>
        <v>Phase I MS4</v>
      </c>
      <c r="G526" s="19"/>
      <c r="H526" s="21" t="s">
        <v>1870</v>
      </c>
      <c r="I526" s="21">
        <f>VALUE(LEFT(Expenditures[[#This Row],[Fiscal Year]],4))</f>
        <v>2011</v>
      </c>
      <c r="J526" s="20">
        <v>264750</v>
      </c>
      <c r="K526" s="20">
        <f>IF(Expenditures[[#This Row],[Reference Year]]&gt;2018,Expenditures[[#This Row],[Value]],Expenditures[[#This Row],[Value]]*(1+VLOOKUP(Expenditures[[#This Row],[Reference Year]],Inflation[#All],3,FALSE)))</f>
        <v>296217.46220542467</v>
      </c>
      <c r="L526" s="105">
        <f>VALUE(Expenditures[[#This Row],[2018 $ Value]]/VLOOKUP(Expenditures[[#This Row],[Jurisdiction]],Places[],6,FALSE))</f>
        <v>3.8469800286418789</v>
      </c>
      <c r="M526" s="105">
        <f>VALUE(Expenditures[[#This Row],[2018 $ Value]]/VLOOKUP(Expenditures[[#This Row],[Jurisdiction]],Places[],7,FALSE))</f>
        <v>18988.298859322094</v>
      </c>
      <c r="N526" s="20" t="s">
        <v>1460</v>
      </c>
      <c r="O526" s="20" t="s">
        <v>1460</v>
      </c>
    </row>
    <row r="527" spans="1:15" x14ac:dyDescent="0.25">
      <c r="A527" s="19" t="s">
        <v>252</v>
      </c>
      <c r="B527" s="19" t="str">
        <f>INDEX(Places[Type],MATCH(Expenditures[[#This Row],[Jurisdiction]],Places[Jurisdiction],0))</f>
        <v>City</v>
      </c>
      <c r="C527" s="19" t="str">
        <f>INDEX(Places[County],MATCH(Expenditures[[#This Row],[Jurisdiction]],Places[Jurisdiction],0))</f>
        <v>San Bernardino</v>
      </c>
      <c r="D527" s="19" t="str">
        <f>INDEX(Places[Majority RB],MATCH(Expenditures[[#This Row],[Jurisdiction]],Places[Jurisdiction],0))</f>
        <v>Santa Ana</v>
      </c>
      <c r="E527" s="19">
        <f>INDEX(Places[Majority RB '#],MATCH(Expenditures[[#This Row],[Jurisdiction]],Places[Jurisdiction],0))</f>
        <v>8</v>
      </c>
      <c r="F527" s="19" t="str">
        <f>VLOOKUP(Expenditures[[#This Row],[Jurisdiction]],Places[#All],8,FALSE)</f>
        <v>Phase I MS4</v>
      </c>
      <c r="G527" s="19"/>
      <c r="H527" s="21" t="s">
        <v>1871</v>
      </c>
      <c r="I527" s="21">
        <f>VALUE(LEFT(Expenditures[[#This Row],[Fiscal Year]],4))</f>
        <v>2012</v>
      </c>
      <c r="J527" s="20">
        <v>341970</v>
      </c>
      <c r="K527" s="20">
        <f>IF(Expenditures[[#This Row],[Reference Year]]&gt;2018,Expenditures[[#This Row],[Value]],Expenditures[[#This Row],[Value]]*(1+VLOOKUP(Expenditures[[#This Row],[Reference Year]],Inflation[#All],3,FALSE)))</f>
        <v>374783.33218641113</v>
      </c>
      <c r="L527" s="105">
        <f>VALUE(Expenditures[[#This Row],[2018 $ Value]]/VLOOKUP(Expenditures[[#This Row],[Jurisdiction]],Places[],6,FALSE))</f>
        <v>4.8673160024209237</v>
      </c>
      <c r="M527" s="105">
        <f>VALUE(Expenditures[[#This Row],[2018 $ Value]]/VLOOKUP(Expenditures[[#This Row],[Jurisdiction]],Places[],7,FALSE))</f>
        <v>24024.572576051996</v>
      </c>
      <c r="N527" s="20" t="s">
        <v>1460</v>
      </c>
      <c r="O527" s="20" t="s">
        <v>1460</v>
      </c>
    </row>
    <row r="528" spans="1:15" x14ac:dyDescent="0.25">
      <c r="A528" s="19" t="s">
        <v>252</v>
      </c>
      <c r="B528" s="19" t="str">
        <f>INDEX(Places[Type],MATCH(Expenditures[[#This Row],[Jurisdiction]],Places[Jurisdiction],0))</f>
        <v>City</v>
      </c>
      <c r="C528" s="19" t="str">
        <f>INDEX(Places[County],MATCH(Expenditures[[#This Row],[Jurisdiction]],Places[Jurisdiction],0))</f>
        <v>San Bernardino</v>
      </c>
      <c r="D528" s="19" t="str">
        <f>INDEX(Places[Majority RB],MATCH(Expenditures[[#This Row],[Jurisdiction]],Places[Jurisdiction],0))</f>
        <v>Santa Ana</v>
      </c>
      <c r="E528" s="19">
        <f>INDEX(Places[Majority RB '#],MATCH(Expenditures[[#This Row],[Jurisdiction]],Places[Jurisdiction],0))</f>
        <v>8</v>
      </c>
      <c r="F528" s="19" t="str">
        <f>VLOOKUP(Expenditures[[#This Row],[Jurisdiction]],Places[#All],8,FALSE)</f>
        <v>Phase I MS4</v>
      </c>
      <c r="G528" s="19"/>
      <c r="H528" s="21" t="s">
        <v>1880</v>
      </c>
      <c r="I528" s="21">
        <f>VALUE(LEFT(Expenditures[[#This Row],[Fiscal Year]],4))</f>
        <v>2013</v>
      </c>
      <c r="J528" s="20">
        <v>345500</v>
      </c>
      <c r="K528" s="20">
        <f>IF(Expenditures[[#This Row],[Reference Year]]&gt;2018,Expenditures[[#This Row],[Value]],Expenditures[[#This Row],[Value]]*(1+VLOOKUP(Expenditures[[#This Row],[Reference Year]],Inflation[#All],3,FALSE)))</f>
        <v>373126.65450643777</v>
      </c>
      <c r="L528" s="105">
        <f>VALUE(Expenditures[[#This Row],[2018 $ Value]]/VLOOKUP(Expenditures[[#This Row],[Jurisdiction]],Places[],6,FALSE))</f>
        <v>4.8458007078758154</v>
      </c>
      <c r="M528" s="105">
        <f>VALUE(Expenditures[[#This Row],[2018 $ Value]]/VLOOKUP(Expenditures[[#This Row],[Jurisdiction]],Places[],7,FALSE))</f>
        <v>23918.375288874216</v>
      </c>
      <c r="N528" s="20" t="s">
        <v>1460</v>
      </c>
      <c r="O528" s="20" t="s">
        <v>1460</v>
      </c>
    </row>
    <row r="529" spans="1:15" x14ac:dyDescent="0.25">
      <c r="A529" s="19" t="s">
        <v>252</v>
      </c>
      <c r="B529" s="19" t="str">
        <f>INDEX(Places[Type],MATCH(Expenditures[[#This Row],[Jurisdiction]],Places[Jurisdiction],0))</f>
        <v>City</v>
      </c>
      <c r="C529" s="19" t="str">
        <f>INDEX(Places[County],MATCH(Expenditures[[#This Row],[Jurisdiction]],Places[Jurisdiction],0))</f>
        <v>San Bernardino</v>
      </c>
      <c r="D529" s="19" t="str">
        <f>INDEX(Places[Majority RB],MATCH(Expenditures[[#This Row],[Jurisdiction]],Places[Jurisdiction],0))</f>
        <v>Santa Ana</v>
      </c>
      <c r="E529" s="19">
        <f>INDEX(Places[Majority RB '#],MATCH(Expenditures[[#This Row],[Jurisdiction]],Places[Jurisdiction],0))</f>
        <v>8</v>
      </c>
      <c r="F529" s="19" t="str">
        <f>VLOOKUP(Expenditures[[#This Row],[Jurisdiction]],Places[#All],8,FALSE)</f>
        <v>Phase I MS4</v>
      </c>
      <c r="G529" s="19"/>
      <c r="H529" s="21" t="s">
        <v>1881</v>
      </c>
      <c r="I529" s="21">
        <f>VALUE(LEFT(Expenditures[[#This Row],[Fiscal Year]],4))</f>
        <v>2014</v>
      </c>
      <c r="J529" s="20">
        <v>224126</v>
      </c>
      <c r="K529" s="20">
        <f>IF(Expenditures[[#This Row],[Reference Year]]&gt;2018,Expenditures[[#This Row],[Value]],Expenditures[[#This Row],[Value]]*(1+VLOOKUP(Expenditures[[#This Row],[Reference Year]],Inflation[#All],3,FALSE)))</f>
        <v>238263.83399239546</v>
      </c>
      <c r="L529" s="105">
        <f>VALUE(Expenditures[[#This Row],[2018 $ Value]]/VLOOKUP(Expenditures[[#This Row],[Jurisdiction]],Places[],6,FALSE))</f>
        <v>3.0943355063947462</v>
      </c>
      <c r="M529" s="105">
        <f>VALUE(Expenditures[[#This Row],[2018 $ Value]]/VLOOKUP(Expenditures[[#This Row],[Jurisdiction]],Places[],7,FALSE))</f>
        <v>15273.322691820222</v>
      </c>
      <c r="N529" s="20" t="s">
        <v>1460</v>
      </c>
      <c r="O529" s="20" t="s">
        <v>1853</v>
      </c>
    </row>
    <row r="530" spans="1:15" x14ac:dyDescent="0.25">
      <c r="A530" s="19" t="s">
        <v>294</v>
      </c>
      <c r="B530" s="19" t="str">
        <f>INDEX(Places[Type],MATCH(Expenditures[[#This Row],[Jurisdiction]],Places[Jurisdiction],0))</f>
        <v>City</v>
      </c>
      <c r="C530" s="19" t="str">
        <f>INDEX(Places[County],MATCH(Expenditures[[#This Row],[Jurisdiction]],Places[Jurisdiction],0))</f>
        <v>Orange</v>
      </c>
      <c r="D530" s="19" t="str">
        <f>INDEX(Places[Majority RB],MATCH(Expenditures[[#This Row],[Jurisdiction]],Places[Jurisdiction],0))</f>
        <v>Santa Ana</v>
      </c>
      <c r="E530" s="19">
        <f>INDEX(Places[Majority RB '#],MATCH(Expenditures[[#This Row],[Jurisdiction]],Places[Jurisdiction],0))</f>
        <v>8</v>
      </c>
      <c r="F530" s="19" t="str">
        <f>VLOOKUP(Expenditures[[#This Row],[Jurisdiction]],Places[#All],8,FALSE)</f>
        <v>Phase I MS4</v>
      </c>
      <c r="G530" s="19"/>
      <c r="H530" s="21" t="s">
        <v>1875</v>
      </c>
      <c r="I530" s="21">
        <f>VALUE(LEFT(Expenditures[[#This Row],[Fiscal Year]],4))</f>
        <v>2001</v>
      </c>
      <c r="J530" s="20">
        <v>88500</v>
      </c>
      <c r="K530" s="20">
        <f>IF(Expenditures[[#This Row],[Reference Year]]&gt;2018,Expenditures[[#This Row],[Value]],Expenditures[[#This Row],[Value]]*(1+VLOOKUP(Expenditures[[#This Row],[Reference Year]],Inflation[#All],3,FALSE)))</f>
        <v>125744.45793337097</v>
      </c>
      <c r="L530" s="105">
        <f>VALUE(Expenditures[[#This Row],[2018 $ Value]]/VLOOKUP(Expenditures[[#This Row],[Jurisdiction]],Places[],6,FALSE))</f>
        <v>21.535272809277441</v>
      </c>
      <c r="M530" s="105">
        <f>VALUE(Expenditures[[#This Row],[2018 $ Value]]/VLOOKUP(Expenditures[[#This Row],[Jurisdiction]],Places[],7,FALSE))</f>
        <v>59878.313301605223</v>
      </c>
      <c r="N530" s="20" t="s">
        <v>1853</v>
      </c>
      <c r="O530" s="20" t="s">
        <v>1853</v>
      </c>
    </row>
    <row r="531" spans="1:15" x14ac:dyDescent="0.25">
      <c r="A531" s="19" t="s">
        <v>307</v>
      </c>
      <c r="B531" s="19" t="str">
        <f>INDEX(Places[Type],MATCH(Expenditures[[#This Row],[Jurisdiction]],Places[Jurisdiction],0))</f>
        <v>City</v>
      </c>
      <c r="C531" s="19" t="str">
        <f>INDEX(Places[County],MATCH(Expenditures[[#This Row],[Jurisdiction]],Places[Jurisdiction],0))</f>
        <v>San Diego</v>
      </c>
      <c r="D531" s="19" t="str">
        <f>INDEX(Places[Majority RB],MATCH(Expenditures[[#This Row],[Jurisdiction]],Places[Jurisdiction],0))</f>
        <v>San Diego</v>
      </c>
      <c r="E531" s="19">
        <f>INDEX(Places[Majority RB '#],MATCH(Expenditures[[#This Row],[Jurisdiction]],Places[Jurisdiction],0))</f>
        <v>9</v>
      </c>
      <c r="F531" s="19" t="str">
        <f>VLOOKUP(Expenditures[[#This Row],[Jurisdiction]],Places[#All],8,FALSE)</f>
        <v>Phase I MS4</v>
      </c>
      <c r="G531" s="19"/>
      <c r="H531" s="19" t="s">
        <v>1873</v>
      </c>
      <c r="I531" s="21">
        <f>VALUE(LEFT(Expenditures[[#This Row],[Fiscal Year]],4))</f>
        <v>2015</v>
      </c>
      <c r="J531" s="20">
        <v>4636388</v>
      </c>
      <c r="K531" s="20">
        <f>IF(Expenditures[[#This Row],[Reference Year]]&gt;2018,Expenditures[[#This Row],[Value]],Expenditures[[#This Row],[Value]]*(1+VLOOKUP(Expenditures[[#This Row],[Reference Year]],Inflation[#All],3,FALSE)))</f>
        <v>4922611.5984303793</v>
      </c>
      <c r="L531" s="105">
        <f>VALUE(Expenditures[[#This Row],[2018 $ Value]]/VLOOKUP(Expenditures[[#This Row],[Jurisdiction]],Places[],6,FALSE))</f>
        <v>48.630874085497304</v>
      </c>
      <c r="M531" s="105">
        <f>VALUE(Expenditures[[#This Row],[2018 $ Value]]/VLOOKUP(Expenditures[[#This Row],[Jurisdiction]],Places[],7,FALSE))</f>
        <v>263241.26194814866</v>
      </c>
      <c r="N531" s="20" t="s">
        <v>1460</v>
      </c>
      <c r="O531" s="20" t="s">
        <v>1460</v>
      </c>
    </row>
    <row r="532" spans="1:15" x14ac:dyDescent="0.25">
      <c r="A532" s="19" t="s">
        <v>307</v>
      </c>
      <c r="B532" s="19" t="str">
        <f>INDEX(Places[Type],MATCH(Expenditures[[#This Row],[Jurisdiction]],Places[Jurisdiction],0))</f>
        <v>City</v>
      </c>
      <c r="C532" s="19" t="str">
        <f>INDEX(Places[County],MATCH(Expenditures[[#This Row],[Jurisdiction]],Places[Jurisdiction],0))</f>
        <v>San Diego</v>
      </c>
      <c r="D532" s="19" t="str">
        <f>INDEX(Places[Majority RB],MATCH(Expenditures[[#This Row],[Jurisdiction]],Places[Jurisdiction],0))</f>
        <v>San Diego</v>
      </c>
      <c r="E532" s="19">
        <f>INDEX(Places[Majority RB '#],MATCH(Expenditures[[#This Row],[Jurisdiction]],Places[Jurisdiction],0))</f>
        <v>9</v>
      </c>
      <c r="F532" s="19" t="str">
        <f>VLOOKUP(Expenditures[[#This Row],[Jurisdiction]],Places[#All],8,FALSE)</f>
        <v>Phase I MS4</v>
      </c>
      <c r="G532" s="19"/>
      <c r="H532" s="19" t="s">
        <v>1874</v>
      </c>
      <c r="I532" s="21">
        <f>VALUE(LEFT(Expenditures[[#This Row],[Fiscal Year]],4))</f>
        <v>2017</v>
      </c>
      <c r="J532" s="20">
        <v>4372654</v>
      </c>
      <c r="K532" s="20">
        <f>IF(Expenditures[[#This Row],[Reference Year]]&gt;2018,Expenditures[[#This Row],[Value]],Expenditures[[#This Row],[Value]]*(1+VLOOKUP(Expenditures[[#This Row],[Reference Year]],Inflation[#All],3,FALSE)))</f>
        <v>4489168.9052386787</v>
      </c>
      <c r="L532" s="105">
        <f>VALUE(Expenditures[[#This Row],[2018 $ Value]]/VLOOKUP(Expenditures[[#This Row],[Jurisdiction]],Places[],6,FALSE))</f>
        <v>44.348859018006387</v>
      </c>
      <c r="M532" s="105">
        <f>VALUE(Expenditures[[#This Row],[2018 $ Value]]/VLOOKUP(Expenditures[[#This Row],[Jurisdiction]],Places[],7,FALSE))</f>
        <v>240062.50830153364</v>
      </c>
      <c r="N532" s="20" t="s">
        <v>1853</v>
      </c>
      <c r="O532" s="20" t="s">
        <v>1853</v>
      </c>
    </row>
    <row r="533" spans="1:15" x14ac:dyDescent="0.25">
      <c r="A533" s="19" t="s">
        <v>207</v>
      </c>
      <c r="B533" s="19" t="str">
        <f>INDEX(Places[Type],MATCH(Expenditures[[#This Row],[Jurisdiction]],Places[Jurisdiction],0))</f>
        <v>City</v>
      </c>
      <c r="C533" s="19" t="str">
        <f>INDEX(Places[County],MATCH(Expenditures[[#This Row],[Jurisdiction]],Places[Jurisdiction],0))</f>
        <v>Los Angeles</v>
      </c>
      <c r="D533" s="19" t="str">
        <f>INDEX(Places[Majority RB],MATCH(Expenditures[[#This Row],[Jurisdiction]],Places[Jurisdiction],0))</f>
        <v>Los Angeles</v>
      </c>
      <c r="E533" s="19">
        <f>INDEX(Places[Majority RB '#],MATCH(Expenditures[[#This Row],[Jurisdiction]],Places[Jurisdiction],0))</f>
        <v>4</v>
      </c>
      <c r="F533" s="19" t="str">
        <f>VLOOKUP(Expenditures[[#This Row],[Jurisdiction]],Places[#All],8,FALSE)</f>
        <v>Phase I MS4</v>
      </c>
      <c r="G533" s="19"/>
      <c r="H533" s="21" t="s">
        <v>1870</v>
      </c>
      <c r="I533" s="21">
        <f>VALUE(LEFT(Expenditures[[#This Row],[Fiscal Year]],4))</f>
        <v>2011</v>
      </c>
      <c r="J533" s="20">
        <v>29000</v>
      </c>
      <c r="K533" s="20">
        <f>IF(Expenditures[[#This Row],[Reference Year]]&gt;2018,Expenditures[[#This Row],[Value]],Expenditures[[#This Row],[Value]]*(1+VLOOKUP(Expenditures[[#This Row],[Reference Year]],Inflation[#All],3,FALSE)))</f>
        <v>32446.860827034237</v>
      </c>
      <c r="L533" s="105">
        <f>VALUE(Expenditures[[#This Row],[2018 $ Value]]/VLOOKUP(Expenditures[[#This Row],[Jurisdiction]],Places[],6,FALSE))</f>
        <v>1.0813457584161248</v>
      </c>
      <c r="M533" s="105">
        <f>VALUE(Expenditures[[#This Row],[2018 $ Value]]/VLOOKUP(Expenditures[[#This Row],[Jurisdiction]],Places[],7,FALSE))</f>
        <v>3605.2067585593595</v>
      </c>
      <c r="N533" s="20" t="s">
        <v>1460</v>
      </c>
      <c r="O533" s="20" t="s">
        <v>1460</v>
      </c>
    </row>
    <row r="534" spans="1:15" x14ac:dyDescent="0.25">
      <c r="A534" s="19" t="s">
        <v>207</v>
      </c>
      <c r="B534" s="19" t="str">
        <f>INDEX(Places[Type],MATCH(Expenditures[[#This Row],[Jurisdiction]],Places[Jurisdiction],0))</f>
        <v>City</v>
      </c>
      <c r="C534" s="19" t="str">
        <f>INDEX(Places[County],MATCH(Expenditures[[#This Row],[Jurisdiction]],Places[Jurisdiction],0))</f>
        <v>Los Angeles</v>
      </c>
      <c r="D534" s="19" t="str">
        <f>INDEX(Places[Majority RB],MATCH(Expenditures[[#This Row],[Jurisdiction]],Places[Jurisdiction],0))</f>
        <v>Los Angeles</v>
      </c>
      <c r="E534" s="19">
        <f>INDEX(Places[Majority RB '#],MATCH(Expenditures[[#This Row],[Jurisdiction]],Places[Jurisdiction],0))</f>
        <v>4</v>
      </c>
      <c r="F534" s="19" t="str">
        <f>VLOOKUP(Expenditures[[#This Row],[Jurisdiction]],Places[#All],8,FALSE)</f>
        <v>Phase I MS4</v>
      </c>
      <c r="G534" s="19"/>
      <c r="H534" s="21" t="s">
        <v>1873</v>
      </c>
      <c r="I534" s="21">
        <f>VALUE(LEFT(Expenditures[[#This Row],[Fiscal Year]],4))</f>
        <v>2015</v>
      </c>
      <c r="J534" s="20">
        <v>181400</v>
      </c>
      <c r="K534" s="20">
        <f>IF(Expenditures[[#This Row],[Reference Year]]&gt;2018,Expenditures[[#This Row],[Value]],Expenditures[[#This Row],[Value]]*(1+VLOOKUP(Expenditures[[#This Row],[Reference Year]],Inflation[#All],3,FALSE)))</f>
        <v>192598.57974683543</v>
      </c>
      <c r="L534" s="105">
        <f>VALUE(Expenditures[[#This Row],[2018 $ Value]]/VLOOKUP(Expenditures[[#This Row],[Jurisdiction]],Places[],6,FALSE))</f>
        <v>6.4186689244429589</v>
      </c>
      <c r="M534" s="105">
        <f>VALUE(Expenditures[[#This Row],[2018 $ Value]]/VLOOKUP(Expenditures[[#This Row],[Jurisdiction]],Places[],7,FALSE))</f>
        <v>21399.842194092824</v>
      </c>
      <c r="N534" s="20" t="s">
        <v>1853</v>
      </c>
      <c r="O534" s="20" t="s">
        <v>1853</v>
      </c>
    </row>
    <row r="535" spans="1:15" x14ac:dyDescent="0.25">
      <c r="A535" s="19" t="s">
        <v>205</v>
      </c>
      <c r="B535" s="19" t="str">
        <f>INDEX(Places[Type],MATCH(Expenditures[[#This Row],[Jurisdiction]],Places[Jurisdiction],0))</f>
        <v>City</v>
      </c>
      <c r="C535" s="19" t="str">
        <f>INDEX(Places[County],MATCH(Expenditures[[#This Row],[Jurisdiction]],Places[Jurisdiction],0))</f>
        <v>Los Angeles</v>
      </c>
      <c r="D535" s="19" t="str">
        <f>INDEX(Places[Majority RB],MATCH(Expenditures[[#This Row],[Jurisdiction]],Places[Jurisdiction],0))</f>
        <v>Los Angeles</v>
      </c>
      <c r="E535" s="19">
        <f>INDEX(Places[Majority RB '#],MATCH(Expenditures[[#This Row],[Jurisdiction]],Places[Jurisdiction],0))</f>
        <v>4</v>
      </c>
      <c r="F535" s="19" t="str">
        <f>VLOOKUP(Expenditures[[#This Row],[Jurisdiction]],Places[#All],8,FALSE)</f>
        <v>Phase I MS4</v>
      </c>
      <c r="G535" s="19"/>
      <c r="H535" s="21" t="s">
        <v>1870</v>
      </c>
      <c r="I535" s="21">
        <f>VALUE(LEFT(Expenditures[[#This Row],[Fiscal Year]],4))</f>
        <v>2011</v>
      </c>
      <c r="J535" s="20">
        <v>940340</v>
      </c>
      <c r="K535" s="20">
        <f>IF(Expenditures[[#This Row],[Reference Year]]&gt;2018,Expenditures[[#This Row],[Value]],Expenditures[[#This Row],[Value]]*(1+VLOOKUP(Expenditures[[#This Row],[Reference Year]],Inflation[#All],3,FALSE)))</f>
        <v>1052106.2451756336</v>
      </c>
      <c r="L535" s="105">
        <f>VALUE(Expenditures[[#This Row],[2018 $ Value]]/VLOOKUP(Expenditures[[#This Row],[Jurisdiction]],Places[],6,FALSE))</f>
        <v>9.8964946729466714</v>
      </c>
      <c r="M535" s="105">
        <f>VALUE(Expenditures[[#This Row],[2018 $ Value]]/VLOOKUP(Expenditures[[#This Row],[Jurisdiction]],Places[],7,FALSE))</f>
        <v>65756.640323477099</v>
      </c>
      <c r="N535" s="20" t="s">
        <v>1460</v>
      </c>
      <c r="O535" s="20" t="s">
        <v>1460</v>
      </c>
    </row>
    <row r="536" spans="1:15" x14ac:dyDescent="0.25">
      <c r="A536" s="19" t="s">
        <v>205</v>
      </c>
      <c r="B536" s="19" t="str">
        <f>INDEX(Places[Type],MATCH(Expenditures[[#This Row],[Jurisdiction]],Places[Jurisdiction],0))</f>
        <v>City</v>
      </c>
      <c r="C536" s="19" t="str">
        <f>INDEX(Places[County],MATCH(Expenditures[[#This Row],[Jurisdiction]],Places[Jurisdiction],0))</f>
        <v>Los Angeles</v>
      </c>
      <c r="D536" s="19" t="str">
        <f>INDEX(Places[Majority RB],MATCH(Expenditures[[#This Row],[Jurisdiction]],Places[Jurisdiction],0))</f>
        <v>Los Angeles</v>
      </c>
      <c r="E536" s="19">
        <f>INDEX(Places[Majority RB '#],MATCH(Expenditures[[#This Row],[Jurisdiction]],Places[Jurisdiction],0))</f>
        <v>4</v>
      </c>
      <c r="F536" s="19" t="str">
        <f>VLOOKUP(Expenditures[[#This Row],[Jurisdiction]],Places[#All],8,FALSE)</f>
        <v>Phase I MS4</v>
      </c>
      <c r="G536" s="19"/>
      <c r="H536" s="21" t="s">
        <v>1873</v>
      </c>
      <c r="I536" s="21">
        <f>VALUE(LEFT(Expenditures[[#This Row],[Fiscal Year]],4))</f>
        <v>2015</v>
      </c>
      <c r="J536" s="20">
        <v>1031022</v>
      </c>
      <c r="K536" s="20">
        <f>IF(Expenditures[[#This Row],[Reference Year]]&gt;2018,Expenditures[[#This Row],[Value]],Expenditures[[#This Row],[Value]]*(1+VLOOKUP(Expenditures[[#This Row],[Reference Year]],Inflation[#All],3,FALSE)))</f>
        <v>1094671.2948607595</v>
      </c>
      <c r="L536" s="105">
        <f>VALUE(Expenditures[[#This Row],[2018 $ Value]]/VLOOKUP(Expenditures[[#This Row],[Jurisdiction]],Places[],6,FALSE))</f>
        <v>10.296877038695522</v>
      </c>
      <c r="M536" s="105">
        <f>VALUE(Expenditures[[#This Row],[2018 $ Value]]/VLOOKUP(Expenditures[[#This Row],[Jurisdiction]],Places[],7,FALSE))</f>
        <v>68416.95592879747</v>
      </c>
      <c r="N536" s="20" t="s">
        <v>1853</v>
      </c>
      <c r="O536" s="20" t="s">
        <v>1853</v>
      </c>
    </row>
    <row r="537" spans="1:15" x14ac:dyDescent="0.25">
      <c r="A537" s="19" t="s">
        <v>174</v>
      </c>
      <c r="B537" s="19" t="str">
        <f>INDEX(Places[Type],MATCH(Expenditures[[#This Row],[Jurisdiction]],Places[Jurisdiction],0))</f>
        <v>City</v>
      </c>
      <c r="C537" s="19" t="str">
        <f>INDEX(Places[County],MATCH(Expenditures[[#This Row],[Jurisdiction]],Places[Jurisdiction],0))</f>
        <v>Los Angeles</v>
      </c>
      <c r="D537" s="19" t="str">
        <f>INDEX(Places[Majority RB],MATCH(Expenditures[[#This Row],[Jurisdiction]],Places[Jurisdiction],0))</f>
        <v>Los Angeles</v>
      </c>
      <c r="E537" s="19">
        <f>INDEX(Places[Majority RB '#],MATCH(Expenditures[[#This Row],[Jurisdiction]],Places[Jurisdiction],0))</f>
        <v>4</v>
      </c>
      <c r="F537" s="19" t="str">
        <f>VLOOKUP(Expenditures[[#This Row],[Jurisdiction]],Places[#All],8,FALSE)</f>
        <v>Phase I MS4</v>
      </c>
      <c r="G537" s="19"/>
      <c r="H537" s="100" t="s">
        <v>1870</v>
      </c>
      <c r="I537" s="21">
        <f>VALUE(LEFT(Expenditures[[#This Row],[Fiscal Year]],4))</f>
        <v>2011</v>
      </c>
      <c r="J537" s="20">
        <v>249395</v>
      </c>
      <c r="K537" s="20">
        <f>IF(Expenditures[[#This Row],[Reference Year]]&gt;2018,Expenditures[[#This Row],[Value]],Expenditures[[#This Row],[Value]]*(1+VLOOKUP(Expenditures[[#This Row],[Reference Year]],Inflation[#All],3,FALSE)))</f>
        <v>279037.40882614499</v>
      </c>
      <c r="L537" s="105">
        <f>VALUE(Expenditures[[#This Row],[2018 $ Value]]/VLOOKUP(Expenditures[[#This Row],[Jurisdiction]],Places[],6,FALSE))</f>
        <v>33.409651439911997</v>
      </c>
      <c r="M537" s="105">
        <f>VALUE(Expenditures[[#This Row],[2018 $ Value]]/VLOOKUP(Expenditures[[#This Row],[Jurisdiction]],Places[],7,FALSE))</f>
        <v>53661.040158874035</v>
      </c>
      <c r="N537" s="20" t="s">
        <v>1460</v>
      </c>
      <c r="O537" s="20" t="s">
        <v>1460</v>
      </c>
    </row>
    <row r="538" spans="1:15" x14ac:dyDescent="0.25">
      <c r="A538" s="19" t="s">
        <v>174</v>
      </c>
      <c r="B538" s="19" t="str">
        <f>INDEX(Places[Type],MATCH(Expenditures[[#This Row],[Jurisdiction]],Places[Jurisdiction],0))</f>
        <v>City</v>
      </c>
      <c r="C538" s="19" t="str">
        <f>INDEX(Places[County],MATCH(Expenditures[[#This Row],[Jurisdiction]],Places[Jurisdiction],0))</f>
        <v>Los Angeles</v>
      </c>
      <c r="D538" s="19" t="str">
        <f>INDEX(Places[Majority RB],MATCH(Expenditures[[#This Row],[Jurisdiction]],Places[Jurisdiction],0))</f>
        <v>Los Angeles</v>
      </c>
      <c r="E538" s="19">
        <f>INDEX(Places[Majority RB '#],MATCH(Expenditures[[#This Row],[Jurisdiction]],Places[Jurisdiction],0))</f>
        <v>4</v>
      </c>
      <c r="F538" s="19" t="str">
        <f>VLOOKUP(Expenditures[[#This Row],[Jurisdiction]],Places[#All],8,FALSE)</f>
        <v>Phase I MS4</v>
      </c>
      <c r="G538" s="19"/>
      <c r="H538" s="100" t="s">
        <v>1873</v>
      </c>
      <c r="I538" s="21">
        <f>VALUE(LEFT(Expenditures[[#This Row],[Fiscal Year]],4))</f>
        <v>2015</v>
      </c>
      <c r="J538" s="20">
        <v>338046</v>
      </c>
      <c r="K538" s="20">
        <f>IF(Expenditures[[#This Row],[Reference Year]]&gt;2018,Expenditures[[#This Row],[Value]],Expenditures[[#This Row],[Value]]*(1+VLOOKUP(Expenditures[[#This Row],[Reference Year]],Inflation[#All],3,FALSE)))</f>
        <v>358914.99167088605</v>
      </c>
      <c r="L538" s="105">
        <f>VALUE(Expenditures[[#This Row],[2018 $ Value]]/VLOOKUP(Expenditures[[#This Row],[Jurisdiction]],Places[],6,FALSE))</f>
        <v>42.973538274770839</v>
      </c>
      <c r="M538" s="105">
        <f>VALUE(Expenditures[[#This Row],[2018 $ Value]]/VLOOKUP(Expenditures[[#This Row],[Jurisdiction]],Places[],7,FALSE))</f>
        <v>69022.113782862696</v>
      </c>
      <c r="N538" s="20" t="s">
        <v>1853</v>
      </c>
      <c r="O538" s="20" t="s">
        <v>1853</v>
      </c>
    </row>
    <row r="539" spans="1:15" x14ac:dyDescent="0.25">
      <c r="A539" s="19" t="s">
        <v>295</v>
      </c>
      <c r="B539" s="19" t="str">
        <f>INDEX(Places[Type],MATCH(Expenditures[[#This Row],[Jurisdiction]],Places[Jurisdiction],0))</f>
        <v>City</v>
      </c>
      <c r="C539" s="19" t="str">
        <f>INDEX(Places[County],MATCH(Expenditures[[#This Row],[Jurisdiction]],Places[Jurisdiction],0))</f>
        <v>Orange</v>
      </c>
      <c r="D539" s="19" t="str">
        <f>INDEX(Places[Majority RB],MATCH(Expenditures[[#This Row],[Jurisdiction]],Places[Jurisdiction],0))</f>
        <v>Santa Ana</v>
      </c>
      <c r="E539" s="19">
        <f>INDEX(Places[Majority RB '#],MATCH(Expenditures[[#This Row],[Jurisdiction]],Places[Jurisdiction],0))</f>
        <v>8</v>
      </c>
      <c r="F539" s="19" t="str">
        <f>VLOOKUP(Expenditures[[#This Row],[Jurisdiction]],Places[#All],8,FALSE)</f>
        <v>Phase I MS4</v>
      </c>
      <c r="G539" s="19"/>
      <c r="H539" s="21" t="s">
        <v>1893</v>
      </c>
      <c r="I539" s="21">
        <f>VALUE(LEFT(Expenditures[[#This Row],[Fiscal Year]],4))</f>
        <v>2000</v>
      </c>
      <c r="J539" s="20">
        <v>408462</v>
      </c>
      <c r="K539" s="20">
        <f>IF(Expenditures[[#This Row],[Reference Year]]&gt;2018,Expenditures[[#This Row],[Value]],Expenditures[[#This Row],[Value]]*(1+VLOOKUP(Expenditures[[#This Row],[Reference Year]],Inflation[#All],3,FALSE)))</f>
        <v>596873.99257839727</v>
      </c>
      <c r="L539" s="105">
        <f>VALUE(Expenditures[[#This Row],[2018 $ Value]]/VLOOKUP(Expenditures[[#This Row],[Jurisdiction]],Places[],6,FALSE))</f>
        <v>6.5635267168664067</v>
      </c>
      <c r="M539" s="105">
        <f>VALUE(Expenditures[[#This Row],[2018 $ Value]]/VLOOKUP(Expenditures[[#This Row],[Jurisdiction]],Places[],7,FALSE))</f>
        <v>59687.39925783973</v>
      </c>
      <c r="N539" s="20" t="s">
        <v>1460</v>
      </c>
      <c r="O539" s="20" t="s">
        <v>1460</v>
      </c>
    </row>
    <row r="540" spans="1:15" x14ac:dyDescent="0.25">
      <c r="A540" s="19" t="s">
        <v>295</v>
      </c>
      <c r="B540" s="19" t="str">
        <f>INDEX(Places[Type],MATCH(Expenditures[[#This Row],[Jurisdiction]],Places[Jurisdiction],0))</f>
        <v>City</v>
      </c>
      <c r="C540" s="19" t="str">
        <f>INDEX(Places[County],MATCH(Expenditures[[#This Row],[Jurisdiction]],Places[Jurisdiction],0))</f>
        <v>Orange</v>
      </c>
      <c r="D540" s="19" t="str">
        <f>INDEX(Places[Majority RB],MATCH(Expenditures[[#This Row],[Jurisdiction]],Places[Jurisdiction],0))</f>
        <v>Santa Ana</v>
      </c>
      <c r="E540" s="19">
        <f>INDEX(Places[Majority RB '#],MATCH(Expenditures[[#This Row],[Jurisdiction]],Places[Jurisdiction],0))</f>
        <v>8</v>
      </c>
      <c r="F540" s="19" t="str">
        <f>VLOOKUP(Expenditures[[#This Row],[Jurisdiction]],Places[#All],8,FALSE)</f>
        <v>Phase I MS4</v>
      </c>
      <c r="G540" s="19"/>
      <c r="H540" s="21" t="s">
        <v>1875</v>
      </c>
      <c r="I540" s="21">
        <f>VALUE(LEFT(Expenditures[[#This Row],[Fiscal Year]],4))</f>
        <v>2001</v>
      </c>
      <c r="J540" s="20">
        <v>432500</v>
      </c>
      <c r="K540" s="20">
        <f>IF(Expenditures[[#This Row],[Reference Year]]&gt;2018,Expenditures[[#This Row],[Value]],Expenditures[[#This Row],[Value]]*(1+VLOOKUP(Expenditures[[#This Row],[Reference Year]],Inflation[#All],3,FALSE)))</f>
        <v>614513.87634105026</v>
      </c>
      <c r="L540" s="105">
        <f>VALUE(Expenditures[[#This Row],[2018 $ Value]]/VLOOKUP(Expenditures[[#This Row],[Jurisdiction]],Places[],6,FALSE))</f>
        <v>6.7575037535579217</v>
      </c>
      <c r="M540" s="105">
        <f>VALUE(Expenditures[[#This Row],[2018 $ Value]]/VLOOKUP(Expenditures[[#This Row],[Jurisdiction]],Places[],7,FALSE))</f>
        <v>61451.387634105027</v>
      </c>
      <c r="N540" s="20" t="s">
        <v>1853</v>
      </c>
      <c r="O540" s="20" t="s">
        <v>1853</v>
      </c>
    </row>
    <row r="541" spans="1:15" x14ac:dyDescent="0.25">
      <c r="A541" s="19" t="s">
        <v>171</v>
      </c>
      <c r="B541" s="19" t="str">
        <f>INDEX(Places[Type],MATCH(Expenditures[[#This Row],[Jurisdiction]],Places[Jurisdiction],0))</f>
        <v>City</v>
      </c>
      <c r="C541" s="19" t="str">
        <f>INDEX(Places[County],MATCH(Expenditures[[#This Row],[Jurisdiction]],Places[Jurisdiction],0))</f>
        <v>Los Angeles</v>
      </c>
      <c r="D541" s="19" t="str">
        <f>INDEX(Places[Majority RB],MATCH(Expenditures[[#This Row],[Jurisdiction]],Places[Jurisdiction],0))</f>
        <v>Los Angeles</v>
      </c>
      <c r="E541" s="19">
        <f>INDEX(Places[Majority RB '#],MATCH(Expenditures[[#This Row],[Jurisdiction]],Places[Jurisdiction],0))</f>
        <v>4</v>
      </c>
      <c r="F541" s="19" t="str">
        <f>VLOOKUP(Expenditures[[#This Row],[Jurisdiction]],Places[#All],8,FALSE)</f>
        <v>Phase I MS4</v>
      </c>
      <c r="G541" s="19"/>
      <c r="H541" s="100" t="s">
        <v>1870</v>
      </c>
      <c r="I541" s="21">
        <f>VALUE(LEFT(Expenditures[[#This Row],[Fiscal Year]],4))</f>
        <v>2011</v>
      </c>
      <c r="J541" s="20">
        <v>450250</v>
      </c>
      <c r="K541" s="20">
        <f>IF(Expenditures[[#This Row],[Reference Year]]&gt;2018,Expenditures[[#This Row],[Value]],Expenditures[[#This Row],[Value]]*(1+VLOOKUP(Expenditures[[#This Row],[Reference Year]],Inflation[#All],3,FALSE)))</f>
        <v>503765.485771454</v>
      </c>
      <c r="L541" s="105">
        <f>VALUE(Expenditures[[#This Row],[2018 $ Value]]/VLOOKUP(Expenditures[[#This Row],[Jurisdiction]],Places[],6,FALSE))</f>
        <v>5.8533822012857177</v>
      </c>
      <c r="M541" s="105">
        <f>VALUE(Expenditures[[#This Row],[2018 $ Value]]/VLOOKUP(Expenditures[[#This Row],[Jurisdiction]],Places[],7,FALSE))</f>
        <v>34504.485326811919</v>
      </c>
      <c r="N541" s="20" t="s">
        <v>1460</v>
      </c>
      <c r="O541" s="20" t="s">
        <v>1460</v>
      </c>
    </row>
    <row r="542" spans="1:15" x14ac:dyDescent="0.25">
      <c r="A542" s="19" t="s">
        <v>171</v>
      </c>
      <c r="B542" s="19" t="str">
        <f>INDEX(Places[Type],MATCH(Expenditures[[#This Row],[Jurisdiction]],Places[Jurisdiction],0))</f>
        <v>City</v>
      </c>
      <c r="C542" s="19" t="str">
        <f>INDEX(Places[County],MATCH(Expenditures[[#This Row],[Jurisdiction]],Places[Jurisdiction],0))</f>
        <v>Los Angeles</v>
      </c>
      <c r="D542" s="19" t="str">
        <f>INDEX(Places[Majority RB],MATCH(Expenditures[[#This Row],[Jurisdiction]],Places[Jurisdiction],0))</f>
        <v>Los Angeles</v>
      </c>
      <c r="E542" s="19">
        <f>INDEX(Places[Majority RB '#],MATCH(Expenditures[[#This Row],[Jurisdiction]],Places[Jurisdiction],0))</f>
        <v>4</v>
      </c>
      <c r="F542" s="19" t="str">
        <f>VLOOKUP(Expenditures[[#This Row],[Jurisdiction]],Places[#All],8,FALSE)</f>
        <v>Phase I MS4</v>
      </c>
      <c r="G542" s="19"/>
      <c r="H542" s="100" t="s">
        <v>1873</v>
      </c>
      <c r="I542" s="21">
        <f>VALUE(LEFT(Expenditures[[#This Row],[Fiscal Year]],4))</f>
        <v>2015</v>
      </c>
      <c r="J542" s="104">
        <v>610000</v>
      </c>
      <c r="K542" s="20">
        <f>IF(Expenditures[[#This Row],[Reference Year]]&gt;2018,Expenditures[[#This Row],[Value]],Expenditures[[#This Row],[Value]]*(1+VLOOKUP(Expenditures[[#This Row],[Reference Year]],Inflation[#All],3,FALSE)))</f>
        <v>647657.84810126573</v>
      </c>
      <c r="L542" s="105">
        <f>VALUE(Expenditures[[#This Row],[2018 $ Value]]/VLOOKUP(Expenditures[[#This Row],[Jurisdiction]],Places[],6,FALSE))</f>
        <v>7.5253049835153574</v>
      </c>
      <c r="M542" s="105">
        <f>VALUE(Expenditures[[#This Row],[2018 $ Value]]/VLOOKUP(Expenditures[[#This Row],[Jurisdiction]],Places[],7,FALSE))</f>
        <v>44360.126582278477</v>
      </c>
      <c r="N542" s="20" t="s">
        <v>1853</v>
      </c>
      <c r="O542" s="20" t="s">
        <v>1853</v>
      </c>
    </row>
    <row r="543" spans="1:15" x14ac:dyDescent="0.25">
      <c r="A543" s="73" t="s">
        <v>299</v>
      </c>
      <c r="B543" s="19" t="str">
        <f>INDEX(Places[Type],MATCH(Expenditures[[#This Row],[Jurisdiction]],Places[Jurisdiction],0))</f>
        <v>City</v>
      </c>
      <c r="C543" s="19" t="str">
        <f>INDEX(Places[County],MATCH(Expenditures[[#This Row],[Jurisdiction]],Places[Jurisdiction],0))</f>
        <v>Riverside</v>
      </c>
      <c r="D543" s="19" t="str">
        <f>INDEX(Places[Majority RB],MATCH(Expenditures[[#This Row],[Jurisdiction]],Places[Jurisdiction],0))</f>
        <v>San Diego</v>
      </c>
      <c r="E543" s="19">
        <f>INDEX(Places[Majority RB '#],MATCH(Expenditures[[#This Row],[Jurisdiction]],Places[Jurisdiction],0))</f>
        <v>9</v>
      </c>
      <c r="F543" s="19" t="str">
        <f>VLOOKUP(Expenditures[[#This Row],[Jurisdiction]],Places[#All],8,FALSE)</f>
        <v>Phase I MS4</v>
      </c>
      <c r="G543" s="19"/>
      <c r="H543" s="21" t="s">
        <v>1873</v>
      </c>
      <c r="I543" s="21">
        <f>VALUE(LEFT(Expenditures[[#This Row],[Fiscal Year]],4))</f>
        <v>2015</v>
      </c>
      <c r="J543" s="20">
        <v>271000</v>
      </c>
      <c r="K543" s="20">
        <f>IF(Expenditures[[#This Row],[Reference Year]]&gt;2018,Expenditures[[#This Row],[Value]],Expenditures[[#This Row],[Value]]*(1+VLOOKUP(Expenditures[[#This Row],[Reference Year]],Inflation[#All],3,FALSE)))</f>
        <v>287729.96202531643</v>
      </c>
      <c r="L543" s="105">
        <f>VALUE(Expenditures[[#This Row],[2018 $ Value]]/VLOOKUP(Expenditures[[#This Row],[Jurisdiction]],Places[],6,FALSE))</f>
        <v>7.7180783805074151</v>
      </c>
      <c r="M543" s="105">
        <f>VALUE(Expenditures[[#This Row],[2018 $ Value]]/VLOOKUP(Expenditures[[#This Row],[Jurisdiction]],Places[],7,FALSE))</f>
        <v>12140.504726806601</v>
      </c>
      <c r="N543" s="20" t="s">
        <v>1460</v>
      </c>
      <c r="O543" s="20" t="s">
        <v>1460</v>
      </c>
    </row>
    <row r="544" spans="1:15" x14ac:dyDescent="0.25">
      <c r="A544" s="73" t="s">
        <v>299</v>
      </c>
      <c r="B544" s="19" t="str">
        <f>INDEX(Places[Type],MATCH(Expenditures[[#This Row],[Jurisdiction]],Places[Jurisdiction],0))</f>
        <v>City</v>
      </c>
      <c r="C544" s="19" t="str">
        <f>INDEX(Places[County],MATCH(Expenditures[[#This Row],[Jurisdiction]],Places[Jurisdiction],0))</f>
        <v>Riverside</v>
      </c>
      <c r="D544" s="19" t="str">
        <f>INDEX(Places[Majority RB],MATCH(Expenditures[[#This Row],[Jurisdiction]],Places[Jurisdiction],0))</f>
        <v>San Diego</v>
      </c>
      <c r="E544" s="19">
        <f>INDEX(Places[Majority RB '#],MATCH(Expenditures[[#This Row],[Jurisdiction]],Places[Jurisdiction],0))</f>
        <v>9</v>
      </c>
      <c r="F544" s="19" t="str">
        <f>VLOOKUP(Expenditures[[#This Row],[Jurisdiction]],Places[#All],8,FALSE)</f>
        <v>Phase I MS4</v>
      </c>
      <c r="G544" s="19"/>
      <c r="H544" s="21" t="s">
        <v>1869</v>
      </c>
      <c r="I544" s="21">
        <f>VALUE(LEFT(Expenditures[[#This Row],[Fiscal Year]],4))</f>
        <v>2016</v>
      </c>
      <c r="J544" s="20">
        <v>222491.17</v>
      </c>
      <c r="K544" s="20">
        <f>IF(Expenditures[[#This Row],[Reference Year]]&gt;2018,Expenditures[[#This Row],[Value]],Expenditures[[#This Row],[Value]]*(1+VLOOKUP(Expenditures[[#This Row],[Reference Year]],Inflation[#All],3,FALSE)))</f>
        <v>233273.64832612503</v>
      </c>
      <c r="L544" s="105">
        <f>VALUE(Expenditures[[#This Row],[2018 $ Value]]/VLOOKUP(Expenditures[[#This Row],[Jurisdiction]],Places[],6,FALSE))</f>
        <v>6.2573403520956283</v>
      </c>
      <c r="M544" s="105">
        <f>VALUE(Expenditures[[#This Row],[2018 $ Value]]/VLOOKUP(Expenditures[[#This Row],[Jurisdiction]],Places[],7,FALSE))</f>
        <v>9842.7699715664567</v>
      </c>
      <c r="N544" s="20" t="s">
        <v>1460</v>
      </c>
      <c r="O544" s="20" t="s">
        <v>1460</v>
      </c>
    </row>
    <row r="545" spans="1:15" x14ac:dyDescent="0.25">
      <c r="A545" s="73" t="s">
        <v>299</v>
      </c>
      <c r="B545" s="19" t="str">
        <f>INDEX(Places[Type],MATCH(Expenditures[[#This Row],[Jurisdiction]],Places[Jurisdiction],0))</f>
        <v>City</v>
      </c>
      <c r="C545" s="19" t="str">
        <f>INDEX(Places[County],MATCH(Expenditures[[#This Row],[Jurisdiction]],Places[Jurisdiction],0))</f>
        <v>Riverside</v>
      </c>
      <c r="D545" s="19" t="str">
        <f>INDEX(Places[Majority RB],MATCH(Expenditures[[#This Row],[Jurisdiction]],Places[Jurisdiction],0))</f>
        <v>San Diego</v>
      </c>
      <c r="E545" s="19">
        <f>INDEX(Places[Majority RB '#],MATCH(Expenditures[[#This Row],[Jurisdiction]],Places[Jurisdiction],0))</f>
        <v>9</v>
      </c>
      <c r="F545" s="19" t="str">
        <f>VLOOKUP(Expenditures[[#This Row],[Jurisdiction]],Places[#All],8,FALSE)</f>
        <v>Phase I MS4</v>
      </c>
      <c r="G545" s="19"/>
      <c r="H545" s="21" t="s">
        <v>1874</v>
      </c>
      <c r="I545" s="21">
        <f>VALUE(LEFT(Expenditures[[#This Row],[Fiscal Year]],4))</f>
        <v>2017</v>
      </c>
      <c r="J545" s="20">
        <v>179354.3</v>
      </c>
      <c r="K545" s="20">
        <f>IF(Expenditures[[#This Row],[Reference Year]]&gt;2018,Expenditures[[#This Row],[Value]],Expenditures[[#This Row],[Value]]*(1+VLOOKUP(Expenditures[[#This Row],[Reference Year]],Inflation[#All],3,FALSE)))</f>
        <v>184133.42253488372</v>
      </c>
      <c r="L545" s="105">
        <f>VALUE(Expenditures[[#This Row],[2018 $ Value]]/VLOOKUP(Expenditures[[#This Row],[Jurisdiction]],Places[],6,FALSE))</f>
        <v>4.939201248253319</v>
      </c>
      <c r="M545" s="105">
        <f>VALUE(Expenditures[[#This Row],[2018 $ Value]]/VLOOKUP(Expenditures[[#This Row],[Jurisdiction]],Places[],7,FALSE))</f>
        <v>7769.3427229908748</v>
      </c>
      <c r="N545" s="20" t="s">
        <v>1853</v>
      </c>
      <c r="O545" s="20" t="s">
        <v>1460</v>
      </c>
    </row>
    <row r="546" spans="1:15" x14ac:dyDescent="0.25">
      <c r="A546" s="73" t="s">
        <v>299</v>
      </c>
      <c r="B546" s="19" t="str">
        <f>INDEX(Places[Type],MATCH(Expenditures[[#This Row],[Jurisdiction]],Places[Jurisdiction],0))</f>
        <v>City</v>
      </c>
      <c r="C546" s="19" t="str">
        <f>INDEX(Places[County],MATCH(Expenditures[[#This Row],[Jurisdiction]],Places[Jurisdiction],0))</f>
        <v>Riverside</v>
      </c>
      <c r="D546" s="19" t="str">
        <f>INDEX(Places[Majority RB],MATCH(Expenditures[[#This Row],[Jurisdiction]],Places[Jurisdiction],0))</f>
        <v>San Diego</v>
      </c>
      <c r="E546" s="19">
        <f>INDEX(Places[Majority RB '#],MATCH(Expenditures[[#This Row],[Jurisdiction]],Places[Jurisdiction],0))</f>
        <v>9</v>
      </c>
      <c r="F546" s="19" t="str">
        <f>VLOOKUP(Expenditures[[#This Row],[Jurisdiction]],Places[#All],8,FALSE)</f>
        <v>Phase I MS4</v>
      </c>
      <c r="G546" s="19"/>
      <c r="H546" s="21" t="s">
        <v>1876</v>
      </c>
      <c r="I546" s="21">
        <f>VALUE(LEFT(Expenditures[[#This Row],[Fiscal Year]],4))</f>
        <v>2018</v>
      </c>
      <c r="J546" s="20">
        <v>226102</v>
      </c>
      <c r="K546" s="20">
        <f>IF(Expenditures[[#This Row],[Reference Year]]&gt;2018,Expenditures[[#This Row],[Value]],Expenditures[[#This Row],[Value]]*(1+VLOOKUP(Expenditures[[#This Row],[Reference Year]],Inflation[#All],3,FALSE)))</f>
        <v>226102</v>
      </c>
      <c r="L546" s="105">
        <f>VALUE(Expenditures[[#This Row],[2018 $ Value]]/VLOOKUP(Expenditures[[#This Row],[Jurisdiction]],Places[],6,FALSE))</f>
        <v>6.0649678111587981</v>
      </c>
      <c r="M546" s="105">
        <f>VALUE(Expenditures[[#This Row],[2018 $ Value]]/VLOOKUP(Expenditures[[#This Row],[Jurisdiction]],Places[],7,FALSE))</f>
        <v>9540.1687763713089</v>
      </c>
      <c r="N546" s="20" t="s">
        <v>1460</v>
      </c>
      <c r="O546" s="20" t="s">
        <v>1853</v>
      </c>
    </row>
    <row r="547" spans="1:15" x14ac:dyDescent="0.25">
      <c r="A547" s="19" t="s">
        <v>296</v>
      </c>
      <c r="B547" s="19" t="str">
        <f>INDEX(Places[Type],MATCH(Expenditures[[#This Row],[Jurisdiction]],Places[Jurisdiction],0))</f>
        <v>City</v>
      </c>
      <c r="C547" s="19" t="str">
        <f>INDEX(Places[County],MATCH(Expenditures[[#This Row],[Jurisdiction]],Places[Jurisdiction],0))</f>
        <v>Orange</v>
      </c>
      <c r="D547" s="19" t="str">
        <f>INDEX(Places[Majority RB],MATCH(Expenditures[[#This Row],[Jurisdiction]],Places[Jurisdiction],0))</f>
        <v>Santa Ana</v>
      </c>
      <c r="E547" s="19">
        <f>INDEX(Places[Majority RB '#],MATCH(Expenditures[[#This Row],[Jurisdiction]],Places[Jurisdiction],0))</f>
        <v>8</v>
      </c>
      <c r="F547" s="19" t="str">
        <f>VLOOKUP(Expenditures[[#This Row],[Jurisdiction]],Places[#All],8,FALSE)</f>
        <v>Phase I MS4</v>
      </c>
      <c r="G547" s="19"/>
      <c r="H547" s="21" t="s">
        <v>1893</v>
      </c>
      <c r="I547" s="21">
        <f>VALUE(LEFT(Expenditures[[#This Row],[Fiscal Year]],4))</f>
        <v>2000</v>
      </c>
      <c r="J547" s="20">
        <v>238600</v>
      </c>
      <c r="K547" s="20">
        <f>IF(Expenditures[[#This Row],[Reference Year]]&gt;2018,Expenditures[[#This Row],[Value]],Expenditures[[#This Row],[Value]]*(1+VLOOKUP(Expenditures[[#This Row],[Reference Year]],Inflation[#All],3,FALSE)))</f>
        <v>348659.44599303138</v>
      </c>
      <c r="L547" s="105">
        <f>VALUE(Expenditures[[#This Row],[2018 $ Value]]/VLOOKUP(Expenditures[[#This Row],[Jurisdiction]],Places[],6,FALSE))</f>
        <v>5.143455913272919</v>
      </c>
      <c r="M547" s="105">
        <f>VALUE(Expenditures[[#This Row],[2018 $ Value]]/VLOOKUP(Expenditures[[#This Row],[Jurisdiction]],Places[],7,FALSE))</f>
        <v>18065.256269068981</v>
      </c>
      <c r="N547" s="20" t="s">
        <v>1460</v>
      </c>
      <c r="O547" s="20" t="s">
        <v>1460</v>
      </c>
    </row>
    <row r="548" spans="1:15" x14ac:dyDescent="0.25">
      <c r="A548" s="19" t="s">
        <v>296</v>
      </c>
      <c r="B548" s="19" t="str">
        <f>INDEX(Places[Type],MATCH(Expenditures[[#This Row],[Jurisdiction]],Places[Jurisdiction],0))</f>
        <v>City</v>
      </c>
      <c r="C548" s="19" t="str">
        <f>INDEX(Places[County],MATCH(Expenditures[[#This Row],[Jurisdiction]],Places[Jurisdiction],0))</f>
        <v>Orange</v>
      </c>
      <c r="D548" s="19" t="str">
        <f>INDEX(Places[Majority RB],MATCH(Expenditures[[#This Row],[Jurisdiction]],Places[Jurisdiction],0))</f>
        <v>Santa Ana</v>
      </c>
      <c r="E548" s="19">
        <f>INDEX(Places[Majority RB '#],MATCH(Expenditures[[#This Row],[Jurisdiction]],Places[Jurisdiction],0))</f>
        <v>8</v>
      </c>
      <c r="F548" s="19" t="str">
        <f>VLOOKUP(Expenditures[[#This Row],[Jurisdiction]],Places[#All],8,FALSE)</f>
        <v>Phase I MS4</v>
      </c>
      <c r="G548" s="19"/>
      <c r="H548" s="21" t="s">
        <v>1875</v>
      </c>
      <c r="I548" s="21">
        <f>VALUE(LEFT(Expenditures[[#This Row],[Fiscal Year]],4))</f>
        <v>2001</v>
      </c>
      <c r="J548" s="20">
        <v>398738</v>
      </c>
      <c r="K548" s="20">
        <f>IF(Expenditures[[#This Row],[Reference Year]]&gt;2018,Expenditures[[#This Row],[Value]],Expenditures[[#This Row],[Value]]*(1+VLOOKUP(Expenditures[[#This Row],[Reference Year]],Inflation[#All],3,FALSE)))</f>
        <v>566543.43127046863</v>
      </c>
      <c r="L548" s="105">
        <f>VALUE(Expenditures[[#This Row],[2018 $ Value]]/VLOOKUP(Expenditures[[#This Row],[Jurisdiction]],Places[],6,FALSE))</f>
        <v>8.3577003152591001</v>
      </c>
      <c r="M548" s="105">
        <f>VALUE(Expenditures[[#This Row],[2018 $ Value]]/VLOOKUP(Expenditures[[#This Row],[Jurisdiction]],Places[],7,FALSE))</f>
        <v>29354.581931112363</v>
      </c>
      <c r="N548" s="20" t="s">
        <v>1853</v>
      </c>
      <c r="O548" s="20" t="s">
        <v>1853</v>
      </c>
    </row>
    <row r="549" spans="1:15" x14ac:dyDescent="0.25">
      <c r="A549" s="19" t="s">
        <v>251</v>
      </c>
      <c r="B549" s="19" t="str">
        <f>INDEX(Places[Type],MATCH(Expenditures[[#This Row],[Jurisdiction]],Places[Jurisdiction],0))</f>
        <v>City</v>
      </c>
      <c r="C549" s="19" t="str">
        <f>INDEX(Places[County],MATCH(Expenditures[[#This Row],[Jurisdiction]],Places[Jurisdiction],0))</f>
        <v>San Bernardino</v>
      </c>
      <c r="D549" s="19" t="str">
        <f>INDEX(Places[Majority RB],MATCH(Expenditures[[#This Row],[Jurisdiction]],Places[Jurisdiction],0))</f>
        <v>Santa Ana</v>
      </c>
      <c r="E549" s="19">
        <f>INDEX(Places[Majority RB '#],MATCH(Expenditures[[#This Row],[Jurisdiction]],Places[Jurisdiction],0))</f>
        <v>8</v>
      </c>
      <c r="F549" s="19" t="str">
        <f>VLOOKUP(Expenditures[[#This Row],[Jurisdiction]],Places[#All],8,FALSE)</f>
        <v>Phase I MS4</v>
      </c>
      <c r="G549" s="19"/>
      <c r="H549" s="21" t="s">
        <v>1870</v>
      </c>
      <c r="I549" s="21">
        <f>VALUE(LEFT(Expenditures[[#This Row],[Fiscal Year]],4))</f>
        <v>2011</v>
      </c>
      <c r="J549" s="20">
        <v>259000</v>
      </c>
      <c r="K549" s="20">
        <f>IF(Expenditures[[#This Row],[Reference Year]]&gt;2018,Expenditures[[#This Row],[Value]],Expenditures[[#This Row],[Value]]*(1+VLOOKUP(Expenditures[[#This Row],[Reference Year]],Inflation[#All],3,FALSE)))</f>
        <v>289784.03290351271</v>
      </c>
      <c r="L549" s="105">
        <f>VALUE(Expenditures[[#This Row],[2018 $ Value]]/VLOOKUP(Expenditures[[#This Row],[Jurisdiction]],Places[],6,FALSE))</f>
        <v>5.3981601449929721</v>
      </c>
      <c r="M549" s="105">
        <f>VALUE(Expenditures[[#This Row],[2018 $ Value]]/VLOOKUP(Expenditures[[#This Row],[Jurisdiction]],Places[],7,FALSE))</f>
        <v>10203.663130405377</v>
      </c>
      <c r="N549" s="20" t="s">
        <v>1460</v>
      </c>
      <c r="O549" s="20" t="s">
        <v>1460</v>
      </c>
    </row>
    <row r="550" spans="1:15" x14ac:dyDescent="0.25">
      <c r="A550" s="19" t="s">
        <v>251</v>
      </c>
      <c r="B550" s="19" t="str">
        <f>INDEX(Places[Type],MATCH(Expenditures[[#This Row],[Jurisdiction]],Places[Jurisdiction],0))</f>
        <v>City</v>
      </c>
      <c r="C550" s="19" t="str">
        <f>INDEX(Places[County],MATCH(Expenditures[[#This Row],[Jurisdiction]],Places[Jurisdiction],0))</f>
        <v>San Bernardino</v>
      </c>
      <c r="D550" s="19" t="str">
        <f>INDEX(Places[Majority RB],MATCH(Expenditures[[#This Row],[Jurisdiction]],Places[Jurisdiction],0))</f>
        <v>Santa Ana</v>
      </c>
      <c r="E550" s="19">
        <f>INDEX(Places[Majority RB '#],MATCH(Expenditures[[#This Row],[Jurisdiction]],Places[Jurisdiction],0))</f>
        <v>8</v>
      </c>
      <c r="F550" s="19" t="str">
        <f>VLOOKUP(Expenditures[[#This Row],[Jurisdiction]],Places[#All],8,FALSE)</f>
        <v>Phase I MS4</v>
      </c>
      <c r="G550" s="19"/>
      <c r="H550" s="21" t="s">
        <v>1871</v>
      </c>
      <c r="I550" s="21">
        <f>VALUE(LEFT(Expenditures[[#This Row],[Fiscal Year]],4))</f>
        <v>2012</v>
      </c>
      <c r="J550" s="20">
        <v>250000</v>
      </c>
      <c r="K550" s="20">
        <f>IF(Expenditures[[#This Row],[Reference Year]]&gt;2018,Expenditures[[#This Row],[Value]],Expenditures[[#This Row],[Value]]*(1+VLOOKUP(Expenditures[[#This Row],[Reference Year]],Inflation[#All],3,FALSE)))</f>
        <v>273988.45818815334</v>
      </c>
      <c r="L550" s="105">
        <f>VALUE(Expenditures[[#This Row],[2018 $ Value]]/VLOOKUP(Expenditures[[#This Row],[Jurisdiction]],Places[],6,FALSE))</f>
        <v>5.1039167353703911</v>
      </c>
      <c r="M550" s="105">
        <f>VALUE(Expenditures[[#This Row],[2018 $ Value]]/VLOOKUP(Expenditures[[#This Row],[Jurisdiction]],Places[],7,FALSE))</f>
        <v>9647.4809221180749</v>
      </c>
      <c r="N550" s="20" t="s">
        <v>1460</v>
      </c>
      <c r="O550" s="20" t="s">
        <v>1460</v>
      </c>
    </row>
    <row r="551" spans="1:15" x14ac:dyDescent="0.25">
      <c r="A551" s="19" t="s">
        <v>251</v>
      </c>
      <c r="B551" s="19" t="str">
        <f>INDEX(Places[Type],MATCH(Expenditures[[#This Row],[Jurisdiction]],Places[Jurisdiction],0))</f>
        <v>City</v>
      </c>
      <c r="C551" s="19" t="str">
        <f>INDEX(Places[County],MATCH(Expenditures[[#This Row],[Jurisdiction]],Places[Jurisdiction],0))</f>
        <v>San Bernardino</v>
      </c>
      <c r="D551" s="19" t="str">
        <f>INDEX(Places[Majority RB],MATCH(Expenditures[[#This Row],[Jurisdiction]],Places[Jurisdiction],0))</f>
        <v>Santa Ana</v>
      </c>
      <c r="E551" s="19">
        <f>INDEX(Places[Majority RB '#],MATCH(Expenditures[[#This Row],[Jurisdiction]],Places[Jurisdiction],0))</f>
        <v>8</v>
      </c>
      <c r="F551" s="19" t="str">
        <f>VLOOKUP(Expenditures[[#This Row],[Jurisdiction]],Places[#All],8,FALSE)</f>
        <v>Phase I MS4</v>
      </c>
      <c r="G551" s="19"/>
      <c r="H551" s="21" t="s">
        <v>1880</v>
      </c>
      <c r="I551" s="21">
        <f>VALUE(LEFT(Expenditures[[#This Row],[Fiscal Year]],4))</f>
        <v>2013</v>
      </c>
      <c r="J551" s="20">
        <v>238000</v>
      </c>
      <c r="K551" s="20">
        <f>IF(Expenditures[[#This Row],[Reference Year]]&gt;2018,Expenditures[[#This Row],[Value]],Expenditures[[#This Row],[Value]]*(1+VLOOKUP(Expenditures[[#This Row],[Reference Year]],Inflation[#All],3,FALSE)))</f>
        <v>257030.8068669528</v>
      </c>
      <c r="L551" s="105">
        <f>VALUE(Expenditures[[#This Row],[2018 $ Value]]/VLOOKUP(Expenditures[[#This Row],[Jurisdiction]],Places[],6,FALSE))</f>
        <v>4.7880259093728403</v>
      </c>
      <c r="M551" s="105">
        <f>VALUE(Expenditures[[#This Row],[2018 $ Value]]/VLOOKUP(Expenditures[[#This Row],[Jurisdiction]],Places[],7,FALSE))</f>
        <v>9050.3805234842548</v>
      </c>
      <c r="N551" s="20" t="s">
        <v>1460</v>
      </c>
      <c r="O551" s="20" t="s">
        <v>1460</v>
      </c>
    </row>
    <row r="552" spans="1:15" x14ac:dyDescent="0.25">
      <c r="A552" s="19" t="s">
        <v>251</v>
      </c>
      <c r="B552" s="19" t="str">
        <f>INDEX(Places[Type],MATCH(Expenditures[[#This Row],[Jurisdiction]],Places[Jurisdiction],0))</f>
        <v>City</v>
      </c>
      <c r="C552" s="19" t="str">
        <f>INDEX(Places[County],MATCH(Expenditures[[#This Row],[Jurisdiction]],Places[Jurisdiction],0))</f>
        <v>San Bernardino</v>
      </c>
      <c r="D552" s="19" t="str">
        <f>INDEX(Places[Majority RB],MATCH(Expenditures[[#This Row],[Jurisdiction]],Places[Jurisdiction],0))</f>
        <v>Santa Ana</v>
      </c>
      <c r="E552" s="19">
        <f>INDEX(Places[Majority RB '#],MATCH(Expenditures[[#This Row],[Jurisdiction]],Places[Jurisdiction],0))</f>
        <v>8</v>
      </c>
      <c r="F552" s="19" t="str">
        <f>VLOOKUP(Expenditures[[#This Row],[Jurisdiction]],Places[#All],8,FALSE)</f>
        <v>Phase I MS4</v>
      </c>
      <c r="G552" s="19"/>
      <c r="H552" s="21" t="s">
        <v>1881</v>
      </c>
      <c r="I552" s="21">
        <f>VALUE(LEFT(Expenditures[[#This Row],[Fiscal Year]],4))</f>
        <v>2014</v>
      </c>
      <c r="J552" s="20">
        <v>250000</v>
      </c>
      <c r="K552" s="20">
        <f>IF(Expenditures[[#This Row],[Reference Year]]&gt;2018,Expenditures[[#This Row],[Value]],Expenditures[[#This Row],[Value]]*(1+VLOOKUP(Expenditures[[#This Row],[Reference Year]],Inflation[#All],3,FALSE)))</f>
        <v>265769.96197718632</v>
      </c>
      <c r="L552" s="105">
        <f>VALUE(Expenditures[[#This Row],[2018 $ Value]]/VLOOKUP(Expenditures[[#This Row],[Jurisdiction]],Places[],6,FALSE))</f>
        <v>4.9508207961176245</v>
      </c>
      <c r="M552" s="105">
        <f>VALUE(Expenditures[[#This Row],[2018 $ Value]]/VLOOKUP(Expenditures[[#This Row],[Jurisdiction]],Places[],7,FALSE))</f>
        <v>9358.0972527178292</v>
      </c>
      <c r="N552" s="20" t="s">
        <v>1460</v>
      </c>
      <c r="O552" s="20" t="s">
        <v>1853</v>
      </c>
    </row>
  </sheetData>
  <mergeCells count="1">
    <mergeCell ref="A1:O1"/>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39997558519241921"/>
  </sheetPr>
  <dimension ref="A1:O1896"/>
  <sheetViews>
    <sheetView zoomScale="70" zoomScaleNormal="70" workbookViewId="0">
      <selection activeCell="A2" sqref="A2"/>
    </sheetView>
  </sheetViews>
  <sheetFormatPr defaultRowHeight="15" x14ac:dyDescent="0.25"/>
  <cols>
    <col min="1" max="1" width="44.85546875" bestFit="1" customWidth="1"/>
    <col min="2" max="2" width="13.85546875" style="3" bestFit="1" customWidth="1"/>
    <col min="3" max="3" width="16.28515625" style="3" bestFit="1" customWidth="1"/>
    <col min="4" max="4" width="17.85546875" style="3" customWidth="1"/>
    <col min="5" max="5" width="13.7109375" style="3" customWidth="1"/>
    <col min="6" max="6" width="18.7109375" style="3" bestFit="1" customWidth="1"/>
    <col min="7" max="7" width="104" style="3" customWidth="1"/>
    <col min="8" max="8" width="19.140625" customWidth="1"/>
    <col min="9" max="9" width="19.140625" style="3" customWidth="1"/>
    <col min="10" max="10" width="54.140625" style="3" customWidth="1"/>
    <col min="11" max="11" width="19.140625" customWidth="1"/>
    <col min="12" max="12" width="19.140625" style="38" customWidth="1"/>
    <col min="13" max="13" width="19.140625" style="3" customWidth="1"/>
    <col min="14" max="14" width="19.140625" style="11" customWidth="1"/>
    <col min="15" max="15" width="19.140625" style="3" customWidth="1"/>
    <col min="16" max="16" width="39.28515625" customWidth="1"/>
  </cols>
  <sheetData>
    <row r="1" spans="1:15" ht="24.75" customHeight="1" x14ac:dyDescent="0.25">
      <c r="A1" s="237" t="s">
        <v>1866</v>
      </c>
      <c r="B1" s="237"/>
      <c r="C1" s="237"/>
      <c r="D1" s="237"/>
      <c r="E1" s="237"/>
      <c r="F1" s="237"/>
      <c r="G1" s="237"/>
      <c r="H1" s="237"/>
      <c r="I1" s="237"/>
      <c r="J1" s="237"/>
      <c r="K1" s="237"/>
      <c r="L1" s="237"/>
      <c r="M1" s="237"/>
      <c r="N1" s="237"/>
      <c r="O1" s="237"/>
    </row>
    <row r="2" spans="1:15" s="79" customFormat="1" ht="45" customHeight="1" x14ac:dyDescent="0.25">
      <c r="A2" s="90" t="s">
        <v>36</v>
      </c>
      <c r="B2" s="90" t="s">
        <v>1</v>
      </c>
      <c r="C2" s="90" t="s">
        <v>5</v>
      </c>
      <c r="D2" s="90" t="s">
        <v>1836</v>
      </c>
      <c r="E2" s="90" t="s">
        <v>1837</v>
      </c>
      <c r="F2" s="90" t="s">
        <v>142</v>
      </c>
      <c r="G2" s="90" t="s">
        <v>37</v>
      </c>
      <c r="H2" s="90" t="s">
        <v>456</v>
      </c>
      <c r="I2" s="90" t="s">
        <v>457</v>
      </c>
      <c r="J2" s="90" t="s">
        <v>103</v>
      </c>
      <c r="K2" s="90" t="s">
        <v>114</v>
      </c>
      <c r="L2" s="92" t="s">
        <v>115</v>
      </c>
      <c r="M2" s="92" t="s">
        <v>1867</v>
      </c>
      <c r="N2" s="91" t="s">
        <v>2</v>
      </c>
      <c r="O2" s="91" t="s">
        <v>440</v>
      </c>
    </row>
    <row r="3" spans="1:15" ht="15" customHeight="1" x14ac:dyDescent="0.25">
      <c r="A3" s="9" t="s">
        <v>145</v>
      </c>
      <c r="B3" s="9" t="str">
        <f>INDEX(Places[Type],MATCH(Activities[[#This Row],[Jurisdiction]],Places[Jurisdiction],0))</f>
        <v>City</v>
      </c>
      <c r="C3" s="19" t="str">
        <f>INDEX(Places[County],MATCH(Activities[[#This Row],[Jurisdiction]],Places[Jurisdiction],0))</f>
        <v>Los Angeles</v>
      </c>
      <c r="D3" s="19" t="str">
        <f>INDEX(Places[Majority RB],MATCH(Activities[[#This Row],[Jurisdiction]],Places[Jurisdiction],0))</f>
        <v>Los Angeles</v>
      </c>
      <c r="E3" s="9">
        <f>INDEX(Places[Majority RB '#],MATCH(Activities[[#This Row],[Jurisdiction]],Places[Jurisdiction],0))</f>
        <v>4</v>
      </c>
      <c r="F3" s="28" t="str">
        <f>VLOOKUP(Activities[[#This Row],[Jurisdiction]],Places[#All],8,FALSE)</f>
        <v>Phase I MS4</v>
      </c>
      <c r="G3" s="48" t="s">
        <v>65</v>
      </c>
      <c r="H3" s="8" t="s">
        <v>480</v>
      </c>
      <c r="I3" s="8" t="s">
        <v>644</v>
      </c>
      <c r="J3" s="8" t="s">
        <v>76</v>
      </c>
      <c r="K3" s="27" t="s">
        <v>1873</v>
      </c>
      <c r="L3" s="28">
        <f>_xlfn.NUMBERVALUE(LEFT(Activities[[#This Row],[Fiscal Year]], 4))</f>
        <v>2015</v>
      </c>
      <c r="M3" s="28" t="s">
        <v>1862</v>
      </c>
      <c r="N3" s="41">
        <v>51975.199999999997</v>
      </c>
      <c r="O3" s="93">
        <f>IF(Activities[[#This Row],[Reference Year]]&gt;2018,Activities[[#This Row],[Value]],Activities[[#This Row],[Value]]*(1+VLOOKUP(Activities[[#This Row],[Reference Year]],Inflation[#All],3,FALSE)))</f>
        <v>55183.846207594928</v>
      </c>
    </row>
    <row r="4" spans="1:15" ht="15" customHeight="1" x14ac:dyDescent="0.25">
      <c r="A4" s="9" t="s">
        <v>145</v>
      </c>
      <c r="B4" s="9" t="str">
        <f>INDEX(Places[Type],MATCH(Activities[[#This Row],[Jurisdiction]],Places[Jurisdiction],0))</f>
        <v>City</v>
      </c>
      <c r="C4" s="19" t="str">
        <f>INDEX(Places[County],MATCH(Activities[[#This Row],[Jurisdiction]],Places[Jurisdiction],0))</f>
        <v>Los Angeles</v>
      </c>
      <c r="D4" s="19" t="str">
        <f>INDEX(Places[Majority RB],MATCH(Activities[[#This Row],[Jurisdiction]],Places[Jurisdiction],0))</f>
        <v>Los Angeles</v>
      </c>
      <c r="E4" s="9">
        <f>INDEX(Places[Majority RB '#],MATCH(Activities[[#This Row],[Jurisdiction]],Places[Jurisdiction],0))</f>
        <v>4</v>
      </c>
      <c r="F4" s="28" t="str">
        <f>VLOOKUP(Activities[[#This Row],[Jurisdiction]],Places[#All],8,FALSE)</f>
        <v>Phase I MS4</v>
      </c>
      <c r="G4" s="48" t="s">
        <v>66</v>
      </c>
      <c r="H4" s="8" t="s">
        <v>481</v>
      </c>
      <c r="I4" s="8" t="s">
        <v>644</v>
      </c>
      <c r="J4" s="8" t="s">
        <v>76</v>
      </c>
      <c r="K4" s="27" t="s">
        <v>1873</v>
      </c>
      <c r="L4" s="28">
        <f>_xlfn.NUMBERVALUE(LEFT(Activities[[#This Row],[Fiscal Year]], 4))</f>
        <v>2015</v>
      </c>
      <c r="M4" s="28" t="s">
        <v>1862</v>
      </c>
      <c r="N4" s="41">
        <v>1985733.69</v>
      </c>
      <c r="O4" s="93">
        <f>IF(Activities[[#This Row],[Reference Year]]&gt;2018,Activities[[#This Row],[Value]],Activities[[#This Row],[Value]]*(1+VLOOKUP(Activities[[#This Row],[Reference Year]],Inflation[#All],3,FALSE)))</f>
        <v>2108321.3255206328</v>
      </c>
    </row>
    <row r="5" spans="1:15" ht="15" customHeight="1" x14ac:dyDescent="0.25">
      <c r="A5" s="9" t="s">
        <v>145</v>
      </c>
      <c r="B5" s="9" t="str">
        <f>INDEX(Places[Type],MATCH(Activities[[#This Row],[Jurisdiction]],Places[Jurisdiction],0))</f>
        <v>City</v>
      </c>
      <c r="C5" s="19" t="str">
        <f>INDEX(Places[County],MATCH(Activities[[#This Row],[Jurisdiction]],Places[Jurisdiction],0))</f>
        <v>Los Angeles</v>
      </c>
      <c r="D5" s="19" t="str">
        <f>INDEX(Places[Majority RB],MATCH(Activities[[#This Row],[Jurisdiction]],Places[Jurisdiction],0))</f>
        <v>Los Angeles</v>
      </c>
      <c r="E5" s="9">
        <f>INDEX(Places[Majority RB '#],MATCH(Activities[[#This Row],[Jurisdiction]],Places[Jurisdiction],0))</f>
        <v>4</v>
      </c>
      <c r="F5" s="28" t="str">
        <f>VLOOKUP(Activities[[#This Row],[Jurisdiction]],Places[#All],8,FALSE)</f>
        <v>Phase I MS4</v>
      </c>
      <c r="G5" s="48" t="s">
        <v>62</v>
      </c>
      <c r="H5" s="8"/>
      <c r="I5" s="8"/>
      <c r="J5" s="8" t="s">
        <v>131</v>
      </c>
      <c r="K5" s="27" t="s">
        <v>1873</v>
      </c>
      <c r="L5" s="28">
        <f>_xlfn.NUMBERVALUE(LEFT(Activities[[#This Row],[Fiscal Year]], 4))</f>
        <v>2015</v>
      </c>
      <c r="M5" s="28" t="s">
        <v>1862</v>
      </c>
      <c r="N5" s="41">
        <v>6533.3</v>
      </c>
      <c r="O5" s="93">
        <f>IF(Activities[[#This Row],[Reference Year]]&gt;2018,Activities[[#This Row],[Value]],Activities[[#This Row],[Value]]*(1+VLOOKUP(Activities[[#This Row],[Reference Year]],Inflation[#All],3,FALSE)))</f>
        <v>6936.6278999999995</v>
      </c>
    </row>
    <row r="6" spans="1:15" ht="15" customHeight="1" x14ac:dyDescent="0.25">
      <c r="A6" s="9" t="s">
        <v>145</v>
      </c>
      <c r="B6" s="9" t="str">
        <f>INDEX(Places[Type],MATCH(Activities[[#This Row],[Jurisdiction]],Places[Jurisdiction],0))</f>
        <v>City</v>
      </c>
      <c r="C6" s="19" t="str">
        <f>INDEX(Places[County],MATCH(Activities[[#This Row],[Jurisdiction]],Places[Jurisdiction],0))</f>
        <v>Los Angeles</v>
      </c>
      <c r="D6" s="19" t="str">
        <f>INDEX(Places[Majority RB],MATCH(Activities[[#This Row],[Jurisdiction]],Places[Jurisdiction],0))</f>
        <v>Los Angeles</v>
      </c>
      <c r="E6" s="9">
        <f>INDEX(Places[Majority RB '#],MATCH(Activities[[#This Row],[Jurisdiction]],Places[Jurisdiction],0))</f>
        <v>4</v>
      </c>
      <c r="F6" s="28" t="str">
        <f>VLOOKUP(Activities[[#This Row],[Jurisdiction]],Places[#All],8,FALSE)</f>
        <v>Phase I MS4</v>
      </c>
      <c r="G6" s="48" t="s">
        <v>208</v>
      </c>
      <c r="H6" s="8"/>
      <c r="I6" s="8"/>
      <c r="J6" s="8" t="s">
        <v>334</v>
      </c>
      <c r="K6" s="27" t="s">
        <v>1873</v>
      </c>
      <c r="L6" s="28">
        <f>_xlfn.NUMBERVALUE(LEFT(Activities[[#This Row],[Fiscal Year]], 4))</f>
        <v>2015</v>
      </c>
      <c r="M6" s="28" t="s">
        <v>1862</v>
      </c>
      <c r="N6" s="41">
        <v>12994.81</v>
      </c>
      <c r="O6" s="93">
        <f>IF(Activities[[#This Row],[Reference Year]]&gt;2018,Activities[[#This Row],[Value]],Activities[[#This Row],[Value]]*(1+VLOOKUP(Activities[[#This Row],[Reference Year]],Inflation[#All],3,FALSE)))</f>
        <v>13797.03390341772</v>
      </c>
    </row>
    <row r="7" spans="1:15" ht="15" customHeight="1" x14ac:dyDescent="0.25">
      <c r="A7" s="9" t="s">
        <v>145</v>
      </c>
      <c r="B7" s="9" t="str">
        <f>INDEX(Places[Type],MATCH(Activities[[#This Row],[Jurisdiction]],Places[Jurisdiction],0))</f>
        <v>City</v>
      </c>
      <c r="C7" s="19" t="str">
        <f>INDEX(Places[County],MATCH(Activities[[#This Row],[Jurisdiction]],Places[Jurisdiction],0))</f>
        <v>Los Angeles</v>
      </c>
      <c r="D7" s="19" t="str">
        <f>INDEX(Places[Majority RB],MATCH(Activities[[#This Row],[Jurisdiction]],Places[Jurisdiction],0))</f>
        <v>Los Angeles</v>
      </c>
      <c r="E7" s="9">
        <f>INDEX(Places[Majority RB '#],MATCH(Activities[[#This Row],[Jurisdiction]],Places[Jurisdiction],0))</f>
        <v>4</v>
      </c>
      <c r="F7" s="28" t="str">
        <f>VLOOKUP(Activities[[#This Row],[Jurisdiction]],Places[#All],8,FALSE)</f>
        <v>Phase I MS4</v>
      </c>
      <c r="G7" s="48" t="s">
        <v>61</v>
      </c>
      <c r="H7" s="8" t="s">
        <v>478</v>
      </c>
      <c r="I7" s="8" t="s">
        <v>644</v>
      </c>
      <c r="J7" s="8" t="s">
        <v>1897</v>
      </c>
      <c r="K7" s="27" t="s">
        <v>1873</v>
      </c>
      <c r="L7" s="28">
        <f>_xlfn.NUMBERVALUE(LEFT(Activities[[#This Row],[Fiscal Year]], 4))</f>
        <v>2015</v>
      </c>
      <c r="M7" s="28" t="s">
        <v>1862</v>
      </c>
      <c r="N7" s="41">
        <v>111665.67</v>
      </c>
      <c r="O7" s="93">
        <f>IF(Activities[[#This Row],[Reference Year]]&gt;2018,Activities[[#This Row],[Value]],Activities[[#This Row],[Value]]*(1+VLOOKUP(Activities[[#This Row],[Reference Year]],Inflation[#All],3,FALSE)))</f>
        <v>118559.25826063291</v>
      </c>
    </row>
    <row r="8" spans="1:15" ht="15" customHeight="1" x14ac:dyDescent="0.25">
      <c r="A8" s="9" t="s">
        <v>145</v>
      </c>
      <c r="B8" s="9" t="str">
        <f>INDEX(Places[Type],MATCH(Activities[[#This Row],[Jurisdiction]],Places[Jurisdiction],0))</f>
        <v>City</v>
      </c>
      <c r="C8" s="19" t="str">
        <f>INDEX(Places[County],MATCH(Activities[[#This Row],[Jurisdiction]],Places[Jurisdiction],0))</f>
        <v>Los Angeles</v>
      </c>
      <c r="D8" s="19" t="str">
        <f>INDEX(Places[Majority RB],MATCH(Activities[[#This Row],[Jurisdiction]],Places[Jurisdiction],0))</f>
        <v>Los Angeles</v>
      </c>
      <c r="E8" s="9">
        <f>INDEX(Places[Majority RB '#],MATCH(Activities[[#This Row],[Jurisdiction]],Places[Jurisdiction],0))</f>
        <v>4</v>
      </c>
      <c r="F8" s="28" t="str">
        <f>VLOOKUP(Activities[[#This Row],[Jurisdiction]],Places[#All],8,FALSE)</f>
        <v>Phase I MS4</v>
      </c>
      <c r="G8" s="48" t="s">
        <v>60</v>
      </c>
      <c r="H8" s="8"/>
      <c r="I8" s="8"/>
      <c r="J8" s="8" t="s">
        <v>1898</v>
      </c>
      <c r="K8" s="27" t="s">
        <v>1873</v>
      </c>
      <c r="L8" s="28">
        <f>_xlfn.NUMBERVALUE(LEFT(Activities[[#This Row],[Fiscal Year]], 4))</f>
        <v>2015</v>
      </c>
      <c r="M8" s="28" t="s">
        <v>1862</v>
      </c>
      <c r="N8" s="41">
        <v>10000</v>
      </c>
      <c r="O8" s="93">
        <f>IF(Activities[[#This Row],[Reference Year]]&gt;2018,Activities[[#This Row],[Value]],Activities[[#This Row],[Value]]*(1+VLOOKUP(Activities[[#This Row],[Reference Year]],Inflation[#All],3,FALSE)))</f>
        <v>10617.341772151898</v>
      </c>
    </row>
    <row r="9" spans="1:15" ht="15" customHeight="1" x14ac:dyDescent="0.25">
      <c r="A9" s="9" t="s">
        <v>145</v>
      </c>
      <c r="B9" s="9" t="str">
        <f>INDEX(Places[Type],MATCH(Activities[[#This Row],[Jurisdiction]],Places[Jurisdiction],0))</f>
        <v>City</v>
      </c>
      <c r="C9" s="19" t="str">
        <f>INDEX(Places[County],MATCH(Activities[[#This Row],[Jurisdiction]],Places[Jurisdiction],0))</f>
        <v>Los Angeles</v>
      </c>
      <c r="D9" s="19" t="str">
        <f>INDEX(Places[Majority RB],MATCH(Activities[[#This Row],[Jurisdiction]],Places[Jurisdiction],0))</f>
        <v>Los Angeles</v>
      </c>
      <c r="E9" s="9">
        <f>INDEX(Places[Majority RB '#],MATCH(Activities[[#This Row],[Jurisdiction]],Places[Jurisdiction],0))</f>
        <v>4</v>
      </c>
      <c r="F9" s="28" t="str">
        <f>VLOOKUP(Activities[[#This Row],[Jurisdiction]],Places[#All],8,FALSE)</f>
        <v>Phase I MS4</v>
      </c>
      <c r="G9" s="48" t="s">
        <v>58</v>
      </c>
      <c r="H9" s="8" t="s">
        <v>477</v>
      </c>
      <c r="I9" s="94" t="s">
        <v>643</v>
      </c>
      <c r="J9" s="8" t="s">
        <v>1456</v>
      </c>
      <c r="K9" s="27" t="s">
        <v>1873</v>
      </c>
      <c r="L9" s="28">
        <f>_xlfn.NUMBERVALUE(LEFT(Activities[[#This Row],[Fiscal Year]], 4))</f>
        <v>2015</v>
      </c>
      <c r="M9" s="28" t="s">
        <v>1862</v>
      </c>
      <c r="N9" s="41">
        <v>14273.16</v>
      </c>
      <c r="O9" s="93">
        <f>IF(Activities[[#This Row],[Reference Year]]&gt;2018,Activities[[#This Row],[Value]],Activities[[#This Row],[Value]]*(1+VLOOKUP(Activities[[#This Row],[Reference Year]],Inflation[#All],3,FALSE)))</f>
        <v>15154.301788860759</v>
      </c>
    </row>
    <row r="10" spans="1:15" ht="15" customHeight="1" x14ac:dyDescent="0.25">
      <c r="A10" s="9" t="s">
        <v>145</v>
      </c>
      <c r="B10" s="9" t="str">
        <f>INDEX(Places[Type],MATCH(Activities[[#This Row],[Jurisdiction]],Places[Jurisdiction],0))</f>
        <v>City</v>
      </c>
      <c r="C10" s="19" t="str">
        <f>INDEX(Places[County],MATCH(Activities[[#This Row],[Jurisdiction]],Places[Jurisdiction],0))</f>
        <v>Los Angeles</v>
      </c>
      <c r="D10" s="19" t="str">
        <f>INDEX(Places[Majority RB],MATCH(Activities[[#This Row],[Jurisdiction]],Places[Jurisdiction],0))</f>
        <v>Los Angeles</v>
      </c>
      <c r="E10" s="9">
        <f>INDEX(Places[Majority RB '#],MATCH(Activities[[#This Row],[Jurisdiction]],Places[Jurisdiction],0))</f>
        <v>4</v>
      </c>
      <c r="F10" s="28" t="str">
        <f>VLOOKUP(Activities[[#This Row],[Jurisdiction]],Places[#All],8,FALSE)</f>
        <v>Phase I MS4</v>
      </c>
      <c r="G10" s="48" t="s">
        <v>32</v>
      </c>
      <c r="H10" s="8"/>
      <c r="I10" s="8"/>
      <c r="J10" s="8" t="s">
        <v>1894</v>
      </c>
      <c r="K10" s="27" t="s">
        <v>1873</v>
      </c>
      <c r="L10" s="28">
        <f>_xlfn.NUMBERVALUE(LEFT(Activities[[#This Row],[Fiscal Year]], 4))</f>
        <v>2015</v>
      </c>
      <c r="M10" s="28" t="s">
        <v>1862</v>
      </c>
      <c r="N10" s="41">
        <v>89062.04</v>
      </c>
      <c r="O10" s="93">
        <f>IF(Activities[[#This Row],[Reference Year]]&gt;2018,Activities[[#This Row],[Value]],Activities[[#This Row],[Value]]*(1+VLOOKUP(Activities[[#This Row],[Reference Year]],Inflation[#All],3,FALSE)))</f>
        <v>94560.21176050631</v>
      </c>
    </row>
    <row r="11" spans="1:15" ht="15" customHeight="1" x14ac:dyDescent="0.25">
      <c r="A11" s="9" t="s">
        <v>145</v>
      </c>
      <c r="B11" s="9" t="str">
        <f>INDEX(Places[Type],MATCH(Activities[[#This Row],[Jurisdiction]],Places[Jurisdiction],0))</f>
        <v>City</v>
      </c>
      <c r="C11" s="19" t="str">
        <f>INDEX(Places[County],MATCH(Activities[[#This Row],[Jurisdiction]],Places[Jurisdiction],0))</f>
        <v>Los Angeles</v>
      </c>
      <c r="D11" s="19" t="str">
        <f>INDEX(Places[Majority RB],MATCH(Activities[[#This Row],[Jurisdiction]],Places[Jurisdiction],0))</f>
        <v>Los Angeles</v>
      </c>
      <c r="E11" s="9">
        <f>INDEX(Places[Majority RB '#],MATCH(Activities[[#This Row],[Jurisdiction]],Places[Jurisdiction],0))</f>
        <v>4</v>
      </c>
      <c r="F11" s="28" t="str">
        <f>VLOOKUP(Activities[[#This Row],[Jurisdiction]],Places[#All],8,FALSE)</f>
        <v>Phase I MS4</v>
      </c>
      <c r="G11" s="48" t="s">
        <v>63</v>
      </c>
      <c r="H11" s="8" t="s">
        <v>479</v>
      </c>
      <c r="I11" s="8" t="s">
        <v>644</v>
      </c>
      <c r="J11" s="8" t="s">
        <v>1896</v>
      </c>
      <c r="K11" s="27" t="s">
        <v>1873</v>
      </c>
      <c r="L11" s="28">
        <f>_xlfn.NUMBERVALUE(LEFT(Activities[[#This Row],[Fiscal Year]], 4))</f>
        <v>2015</v>
      </c>
      <c r="M11" s="28" t="s">
        <v>1862</v>
      </c>
      <c r="N11" s="41">
        <v>283770</v>
      </c>
      <c r="O11" s="93">
        <f>IF(Activities[[#This Row],[Reference Year]]&gt;2018,Activities[[#This Row],[Value]],Activities[[#This Row],[Value]]*(1+VLOOKUP(Activities[[#This Row],[Reference Year]],Inflation[#All],3,FALSE)))</f>
        <v>301288.30746835441</v>
      </c>
    </row>
    <row r="12" spans="1:15" ht="15" customHeight="1" x14ac:dyDescent="0.25">
      <c r="A12" s="9" t="s">
        <v>145</v>
      </c>
      <c r="B12" s="9" t="str">
        <f>INDEX(Places[Type],MATCH(Activities[[#This Row],[Jurisdiction]],Places[Jurisdiction],0))</f>
        <v>City</v>
      </c>
      <c r="C12" s="19" t="str">
        <f>INDEX(Places[County],MATCH(Activities[[#This Row],[Jurisdiction]],Places[Jurisdiction],0))</f>
        <v>Los Angeles</v>
      </c>
      <c r="D12" s="19" t="str">
        <f>INDEX(Places[Majority RB],MATCH(Activities[[#This Row],[Jurisdiction]],Places[Jurisdiction],0))</f>
        <v>Los Angeles</v>
      </c>
      <c r="E12" s="9">
        <f>INDEX(Places[Majority RB '#],MATCH(Activities[[#This Row],[Jurisdiction]],Places[Jurisdiction],0))</f>
        <v>4</v>
      </c>
      <c r="F12" s="28" t="str">
        <f>VLOOKUP(Activities[[#This Row],[Jurisdiction]],Places[#All],8,FALSE)</f>
        <v>Phase I MS4</v>
      </c>
      <c r="G12" s="48" t="s">
        <v>33</v>
      </c>
      <c r="H12" s="8"/>
      <c r="I12" s="8"/>
      <c r="J12" s="8" t="s">
        <v>47</v>
      </c>
      <c r="K12" s="27" t="s">
        <v>1873</v>
      </c>
      <c r="L12" s="28">
        <f>_xlfn.NUMBERVALUE(LEFT(Activities[[#This Row],[Fiscal Year]], 4))</f>
        <v>2015</v>
      </c>
      <c r="M12" s="28" t="s">
        <v>1862</v>
      </c>
      <c r="N12" s="41">
        <v>40114.47</v>
      </c>
      <c r="O12" s="93">
        <f>IF(Activities[[#This Row],[Reference Year]]&gt;2018,Activities[[#This Row],[Value]],Activities[[#This Row],[Value]]*(1+VLOOKUP(Activities[[#This Row],[Reference Year]],Inflation[#All],3,FALSE)))</f>
        <v>42590.903799873413</v>
      </c>
    </row>
    <row r="13" spans="1:15" ht="15" customHeight="1" x14ac:dyDescent="0.25">
      <c r="A13" s="9" t="s">
        <v>187</v>
      </c>
      <c r="B13" s="9" t="str">
        <f>INDEX(Places[Type],MATCH(Activities[[#This Row],[Jurisdiction]],Places[Jurisdiction],0))</f>
        <v>City</v>
      </c>
      <c r="C13" s="19" t="str">
        <f>INDEX(Places[County],MATCH(Activities[[#This Row],[Jurisdiction]],Places[Jurisdiction],0))</f>
        <v>Los Angeles</v>
      </c>
      <c r="D13" s="19" t="str">
        <f>INDEX(Places[Majority RB],MATCH(Activities[[#This Row],[Jurisdiction]],Places[Jurisdiction],0))</f>
        <v>Los Angeles</v>
      </c>
      <c r="E13" s="9">
        <f>INDEX(Places[Majority RB '#],MATCH(Activities[[#This Row],[Jurisdiction]],Places[Jurisdiction],0))</f>
        <v>4</v>
      </c>
      <c r="F13" s="28" t="str">
        <f>VLOOKUP(Activities[[#This Row],[Jurisdiction]],Places[#All],8,FALSE)</f>
        <v>Phase I MS4</v>
      </c>
      <c r="G13" s="48" t="s">
        <v>62</v>
      </c>
      <c r="H13" s="8"/>
      <c r="I13" s="8"/>
      <c r="J13" s="8" t="s">
        <v>131</v>
      </c>
      <c r="K13" s="27" t="s">
        <v>1873</v>
      </c>
      <c r="L13" s="28">
        <f>_xlfn.NUMBERVALUE(LEFT(Activities[[#This Row],[Fiscal Year]], 4))</f>
        <v>2015</v>
      </c>
      <c r="M13" s="28" t="s">
        <v>1862</v>
      </c>
      <c r="N13" s="41">
        <v>29378</v>
      </c>
      <c r="O13" s="93">
        <f>IF(Activities[[#This Row],[Reference Year]]&gt;2018,Activities[[#This Row],[Value]],Activities[[#This Row],[Value]]*(1+VLOOKUP(Activities[[#This Row],[Reference Year]],Inflation[#All],3,FALSE)))</f>
        <v>31191.626658227848</v>
      </c>
    </row>
    <row r="14" spans="1:15" ht="15" customHeight="1" x14ac:dyDescent="0.25">
      <c r="A14" s="9" t="s">
        <v>187</v>
      </c>
      <c r="B14" s="9" t="str">
        <f>INDEX(Places[Type],MATCH(Activities[[#This Row],[Jurisdiction]],Places[Jurisdiction],0))</f>
        <v>City</v>
      </c>
      <c r="C14" s="19" t="str">
        <f>INDEX(Places[County],MATCH(Activities[[#This Row],[Jurisdiction]],Places[Jurisdiction],0))</f>
        <v>Los Angeles</v>
      </c>
      <c r="D14" s="19" t="str">
        <f>INDEX(Places[Majority RB],MATCH(Activities[[#This Row],[Jurisdiction]],Places[Jurisdiction],0))</f>
        <v>Los Angeles</v>
      </c>
      <c r="E14" s="9">
        <f>INDEX(Places[Majority RB '#],MATCH(Activities[[#This Row],[Jurisdiction]],Places[Jurisdiction],0))</f>
        <v>4</v>
      </c>
      <c r="F14" s="28" t="str">
        <f>VLOOKUP(Activities[[#This Row],[Jurisdiction]],Places[#All],8,FALSE)</f>
        <v>Phase I MS4</v>
      </c>
      <c r="G14" s="48" t="s">
        <v>208</v>
      </c>
      <c r="H14" s="8"/>
      <c r="I14" s="8"/>
      <c r="J14" s="8" t="s">
        <v>334</v>
      </c>
      <c r="K14" s="27" t="s">
        <v>1873</v>
      </c>
      <c r="L14" s="28">
        <f>_xlfn.NUMBERVALUE(LEFT(Activities[[#This Row],[Fiscal Year]], 4))</f>
        <v>2015</v>
      </c>
      <c r="M14" s="28" t="s">
        <v>1862</v>
      </c>
      <c r="N14" s="41">
        <v>9300</v>
      </c>
      <c r="O14" s="93">
        <f>IF(Activities[[#This Row],[Reference Year]]&gt;2018,Activities[[#This Row],[Value]],Activities[[#This Row],[Value]]*(1+VLOOKUP(Activities[[#This Row],[Reference Year]],Inflation[#All],3,FALSE)))</f>
        <v>9874.127848101265</v>
      </c>
    </row>
    <row r="15" spans="1:15" ht="15" customHeight="1" x14ac:dyDescent="0.25">
      <c r="A15" s="9" t="s">
        <v>187</v>
      </c>
      <c r="B15" s="9" t="str">
        <f>INDEX(Places[Type],MATCH(Activities[[#This Row],[Jurisdiction]],Places[Jurisdiction],0))</f>
        <v>City</v>
      </c>
      <c r="C15" s="19" t="str">
        <f>INDEX(Places[County],MATCH(Activities[[#This Row],[Jurisdiction]],Places[Jurisdiction],0))</f>
        <v>Los Angeles</v>
      </c>
      <c r="D15" s="19" t="str">
        <f>INDEX(Places[Majority RB],MATCH(Activities[[#This Row],[Jurisdiction]],Places[Jurisdiction],0))</f>
        <v>Los Angeles</v>
      </c>
      <c r="E15" s="9">
        <f>INDEX(Places[Majority RB '#],MATCH(Activities[[#This Row],[Jurisdiction]],Places[Jurisdiction],0))</f>
        <v>4</v>
      </c>
      <c r="F15" s="28" t="str">
        <f>VLOOKUP(Activities[[#This Row],[Jurisdiction]],Places[#All],8,FALSE)</f>
        <v>Phase I MS4</v>
      </c>
      <c r="G15" s="48" t="s">
        <v>61</v>
      </c>
      <c r="H15" s="8"/>
      <c r="I15" s="8"/>
      <c r="J15" s="8" t="s">
        <v>1897</v>
      </c>
      <c r="K15" s="27" t="s">
        <v>1873</v>
      </c>
      <c r="L15" s="28">
        <f>_xlfn.NUMBERVALUE(LEFT(Activities[[#This Row],[Fiscal Year]], 4))</f>
        <v>2015</v>
      </c>
      <c r="M15" s="28" t="s">
        <v>1862</v>
      </c>
      <c r="N15" s="41">
        <v>404974</v>
      </c>
      <c r="O15" s="93">
        <f>IF(Activities[[#This Row],[Reference Year]]&gt;2018,Activities[[#This Row],[Value]],Activities[[#This Row],[Value]]*(1+VLOOKUP(Activities[[#This Row],[Reference Year]],Inflation[#All],3,FALSE)))</f>
        <v>429974.7366835443</v>
      </c>
    </row>
    <row r="16" spans="1:15" ht="15" customHeight="1" x14ac:dyDescent="0.25">
      <c r="A16" s="9" t="s">
        <v>187</v>
      </c>
      <c r="B16" s="9" t="str">
        <f>INDEX(Places[Type],MATCH(Activities[[#This Row],[Jurisdiction]],Places[Jurisdiction],0))</f>
        <v>City</v>
      </c>
      <c r="C16" s="19" t="str">
        <f>INDEX(Places[County],MATCH(Activities[[#This Row],[Jurisdiction]],Places[Jurisdiction],0))</f>
        <v>Los Angeles</v>
      </c>
      <c r="D16" s="19" t="str">
        <f>INDEX(Places[Majority RB],MATCH(Activities[[#This Row],[Jurisdiction]],Places[Jurisdiction],0))</f>
        <v>Los Angeles</v>
      </c>
      <c r="E16" s="9">
        <f>INDEX(Places[Majority RB '#],MATCH(Activities[[#This Row],[Jurisdiction]],Places[Jurisdiction],0))</f>
        <v>4</v>
      </c>
      <c r="F16" s="28" t="str">
        <f>VLOOKUP(Activities[[#This Row],[Jurisdiction]],Places[#All],8,FALSE)</f>
        <v>Phase I MS4</v>
      </c>
      <c r="G16" s="48" t="s">
        <v>60</v>
      </c>
      <c r="H16" s="8"/>
      <c r="I16" s="8"/>
      <c r="J16" s="8" t="s">
        <v>1898</v>
      </c>
      <c r="K16" s="27" t="s">
        <v>1873</v>
      </c>
      <c r="L16" s="28">
        <f>_xlfn.NUMBERVALUE(LEFT(Activities[[#This Row],[Fiscal Year]], 4))</f>
        <v>2015</v>
      </c>
      <c r="M16" s="28" t="s">
        <v>1862</v>
      </c>
      <c r="N16" s="41">
        <v>7497</v>
      </c>
      <c r="O16" s="93">
        <f>IF(Activities[[#This Row],[Reference Year]]&gt;2018,Activities[[#This Row],[Value]],Activities[[#This Row],[Value]]*(1+VLOOKUP(Activities[[#This Row],[Reference Year]],Inflation[#All],3,FALSE)))</f>
        <v>7959.8211265822783</v>
      </c>
    </row>
    <row r="17" spans="1:15" ht="15" customHeight="1" x14ac:dyDescent="0.25">
      <c r="A17" s="9" t="s">
        <v>187</v>
      </c>
      <c r="B17" s="9" t="str">
        <f>INDEX(Places[Type],MATCH(Activities[[#This Row],[Jurisdiction]],Places[Jurisdiction],0))</f>
        <v>City</v>
      </c>
      <c r="C17" s="19" t="str">
        <f>INDEX(Places[County],MATCH(Activities[[#This Row],[Jurisdiction]],Places[Jurisdiction],0))</f>
        <v>Los Angeles</v>
      </c>
      <c r="D17" s="19" t="str">
        <f>INDEX(Places[Majority RB],MATCH(Activities[[#This Row],[Jurisdiction]],Places[Jurisdiction],0))</f>
        <v>Los Angeles</v>
      </c>
      <c r="E17" s="9">
        <f>INDEX(Places[Majority RB '#],MATCH(Activities[[#This Row],[Jurisdiction]],Places[Jurisdiction],0))</f>
        <v>4</v>
      </c>
      <c r="F17" s="28" t="str">
        <f>VLOOKUP(Activities[[#This Row],[Jurisdiction]],Places[#All],8,FALSE)</f>
        <v>Phase I MS4</v>
      </c>
      <c r="G17" s="48" t="s">
        <v>59</v>
      </c>
      <c r="H17" s="8"/>
      <c r="I17" s="8"/>
      <c r="J17" s="8" t="s">
        <v>1898</v>
      </c>
      <c r="K17" s="27" t="s">
        <v>1873</v>
      </c>
      <c r="L17" s="28">
        <f>_xlfn.NUMBERVALUE(LEFT(Activities[[#This Row],[Fiscal Year]], 4))</f>
        <v>2015</v>
      </c>
      <c r="M17" s="28" t="s">
        <v>1862</v>
      </c>
      <c r="N17" s="41">
        <v>9556</v>
      </c>
      <c r="O17" s="93">
        <f>IF(Activities[[#This Row],[Reference Year]]&gt;2018,Activities[[#This Row],[Value]],Activities[[#This Row],[Value]]*(1+VLOOKUP(Activities[[#This Row],[Reference Year]],Inflation[#All],3,FALSE)))</f>
        <v>10145.931797468354</v>
      </c>
    </row>
    <row r="18" spans="1:15" ht="15" customHeight="1" x14ac:dyDescent="0.25">
      <c r="A18" s="9" t="s">
        <v>187</v>
      </c>
      <c r="B18" s="9" t="str">
        <f>INDEX(Places[Type],MATCH(Activities[[#This Row],[Jurisdiction]],Places[Jurisdiction],0))</f>
        <v>City</v>
      </c>
      <c r="C18" s="19" t="str">
        <f>INDEX(Places[County],MATCH(Activities[[#This Row],[Jurisdiction]],Places[Jurisdiction],0))</f>
        <v>Los Angeles</v>
      </c>
      <c r="D18" s="19" t="str">
        <f>INDEX(Places[Majority RB],MATCH(Activities[[#This Row],[Jurisdiction]],Places[Jurisdiction],0))</f>
        <v>Los Angeles</v>
      </c>
      <c r="E18" s="9">
        <f>INDEX(Places[Majority RB '#],MATCH(Activities[[#This Row],[Jurisdiction]],Places[Jurisdiction],0))</f>
        <v>4</v>
      </c>
      <c r="F18" s="28" t="str">
        <f>VLOOKUP(Activities[[#This Row],[Jurisdiction]],Places[#All],8,FALSE)</f>
        <v>Phase I MS4</v>
      </c>
      <c r="G18" s="48" t="s">
        <v>58</v>
      </c>
      <c r="H18" s="8"/>
      <c r="I18" s="8"/>
      <c r="J18" s="8" t="s">
        <v>1456</v>
      </c>
      <c r="K18" s="27" t="s">
        <v>1873</v>
      </c>
      <c r="L18" s="28">
        <f>_xlfn.NUMBERVALUE(LEFT(Activities[[#This Row],[Fiscal Year]], 4))</f>
        <v>2015</v>
      </c>
      <c r="M18" s="28" t="s">
        <v>1862</v>
      </c>
      <c r="N18" s="41">
        <v>1200</v>
      </c>
      <c r="O18" s="93">
        <f>IF(Activities[[#This Row],[Reference Year]]&gt;2018,Activities[[#This Row],[Value]],Activities[[#This Row],[Value]]*(1+VLOOKUP(Activities[[#This Row],[Reference Year]],Inflation[#All],3,FALSE)))</f>
        <v>1274.0810126582278</v>
      </c>
    </row>
    <row r="19" spans="1:15" ht="15" customHeight="1" x14ac:dyDescent="0.25">
      <c r="A19" s="9" t="s">
        <v>187</v>
      </c>
      <c r="B19" s="9" t="str">
        <f>INDEX(Places[Type],MATCH(Activities[[#This Row],[Jurisdiction]],Places[Jurisdiction],0))</f>
        <v>City</v>
      </c>
      <c r="C19" s="19" t="str">
        <f>INDEX(Places[County],MATCH(Activities[[#This Row],[Jurisdiction]],Places[Jurisdiction],0))</f>
        <v>Los Angeles</v>
      </c>
      <c r="D19" s="19" t="str">
        <f>INDEX(Places[Majority RB],MATCH(Activities[[#This Row],[Jurisdiction]],Places[Jurisdiction],0))</f>
        <v>Los Angeles</v>
      </c>
      <c r="E19" s="9">
        <f>INDEX(Places[Majority RB '#],MATCH(Activities[[#This Row],[Jurisdiction]],Places[Jurisdiction],0))</f>
        <v>4</v>
      </c>
      <c r="F19" s="28" t="str">
        <f>VLOOKUP(Activities[[#This Row],[Jurisdiction]],Places[#All],8,FALSE)</f>
        <v>Phase I MS4</v>
      </c>
      <c r="G19" s="48" t="s">
        <v>32</v>
      </c>
      <c r="H19" s="8"/>
      <c r="I19" s="8"/>
      <c r="J19" s="8" t="s">
        <v>1894</v>
      </c>
      <c r="K19" s="27" t="s">
        <v>1873</v>
      </c>
      <c r="L19" s="28">
        <f>_xlfn.NUMBERVALUE(LEFT(Activities[[#This Row],[Fiscal Year]], 4))</f>
        <v>2015</v>
      </c>
      <c r="M19" s="28" t="s">
        <v>1862</v>
      </c>
      <c r="N19" s="41">
        <v>161389</v>
      </c>
      <c r="O19" s="93">
        <f>IF(Activities[[#This Row],[Reference Year]]&gt;2018,Activities[[#This Row],[Value]],Activities[[#This Row],[Value]]*(1+VLOOKUP(Activities[[#This Row],[Reference Year]],Inflation[#All],3,FALSE)))</f>
        <v>171352.21712658225</v>
      </c>
    </row>
    <row r="20" spans="1:15" ht="15" customHeight="1" x14ac:dyDescent="0.25">
      <c r="A20" s="9" t="s">
        <v>187</v>
      </c>
      <c r="B20" s="9" t="str">
        <f>INDEX(Places[Type],MATCH(Activities[[#This Row],[Jurisdiction]],Places[Jurisdiction],0))</f>
        <v>City</v>
      </c>
      <c r="C20" s="19" t="str">
        <f>INDEX(Places[County],MATCH(Activities[[#This Row],[Jurisdiction]],Places[Jurisdiction],0))</f>
        <v>Los Angeles</v>
      </c>
      <c r="D20" s="19" t="str">
        <f>INDEX(Places[Majority RB],MATCH(Activities[[#This Row],[Jurisdiction]],Places[Jurisdiction],0))</f>
        <v>Los Angeles</v>
      </c>
      <c r="E20" s="9">
        <f>INDEX(Places[Majority RB '#],MATCH(Activities[[#This Row],[Jurisdiction]],Places[Jurisdiction],0))</f>
        <v>4</v>
      </c>
      <c r="F20" s="28" t="str">
        <f>VLOOKUP(Activities[[#This Row],[Jurisdiction]],Places[#All],8,FALSE)</f>
        <v>Phase I MS4</v>
      </c>
      <c r="G20" s="48" t="s">
        <v>211</v>
      </c>
      <c r="H20" s="8"/>
      <c r="I20" s="8"/>
      <c r="J20" s="8" t="s">
        <v>1896</v>
      </c>
      <c r="K20" s="27" t="s">
        <v>1873</v>
      </c>
      <c r="L20" s="28">
        <f>_xlfn.NUMBERVALUE(LEFT(Activities[[#This Row],[Fiscal Year]], 4))</f>
        <v>2015</v>
      </c>
      <c r="M20" s="28" t="s">
        <v>1862</v>
      </c>
      <c r="N20" s="41">
        <v>25000</v>
      </c>
      <c r="O20" s="93">
        <f>IF(Activities[[#This Row],[Reference Year]]&gt;2018,Activities[[#This Row],[Value]],Activities[[#This Row],[Value]]*(1+VLOOKUP(Activities[[#This Row],[Reference Year]],Inflation[#All],3,FALSE)))</f>
        <v>26543.354430379746</v>
      </c>
    </row>
    <row r="21" spans="1:15" ht="15" customHeight="1" x14ac:dyDescent="0.25">
      <c r="A21" s="9" t="s">
        <v>187</v>
      </c>
      <c r="B21" s="9" t="str">
        <f>INDEX(Places[Type],MATCH(Activities[[#This Row],[Jurisdiction]],Places[Jurisdiction],0))</f>
        <v>City</v>
      </c>
      <c r="C21" s="19" t="str">
        <f>INDEX(Places[County],MATCH(Activities[[#This Row],[Jurisdiction]],Places[Jurisdiction],0))</f>
        <v>Los Angeles</v>
      </c>
      <c r="D21" s="19" t="str">
        <f>INDEX(Places[Majority RB],MATCH(Activities[[#This Row],[Jurisdiction]],Places[Jurisdiction],0))</f>
        <v>Los Angeles</v>
      </c>
      <c r="E21" s="9">
        <f>INDEX(Places[Majority RB '#],MATCH(Activities[[#This Row],[Jurisdiction]],Places[Jurisdiction],0))</f>
        <v>4</v>
      </c>
      <c r="F21" s="28" t="str">
        <f>VLOOKUP(Activities[[#This Row],[Jurisdiction]],Places[#All],8,FALSE)</f>
        <v>Phase I MS4</v>
      </c>
      <c r="G21" s="48" t="s">
        <v>33</v>
      </c>
      <c r="H21" s="8"/>
      <c r="I21" s="8"/>
      <c r="J21" s="8" t="s">
        <v>47</v>
      </c>
      <c r="K21" s="27" t="s">
        <v>1873</v>
      </c>
      <c r="L21" s="28">
        <f>_xlfn.NUMBERVALUE(LEFT(Activities[[#This Row],[Fiscal Year]], 4))</f>
        <v>2015</v>
      </c>
      <c r="M21" s="28" t="s">
        <v>1862</v>
      </c>
      <c r="N21" s="41">
        <v>72891</v>
      </c>
      <c r="O21" s="93">
        <f>IF(Activities[[#This Row],[Reference Year]]&gt;2018,Activities[[#This Row],[Value]],Activities[[#This Row],[Value]]*(1+VLOOKUP(Activities[[#This Row],[Reference Year]],Inflation[#All],3,FALSE)))</f>
        <v>77390.865911392408</v>
      </c>
    </row>
    <row r="22" spans="1:15" ht="15" customHeight="1" x14ac:dyDescent="0.25">
      <c r="A22" s="9" t="s">
        <v>263</v>
      </c>
      <c r="B22" s="9" t="str">
        <f>INDEX(Places[Type],MATCH(Activities[[#This Row],[Jurisdiction]],Places[Jurisdiction],0))</f>
        <v>City</v>
      </c>
      <c r="C22" s="19" t="str">
        <f>INDEX(Places[County],MATCH(Activities[[#This Row],[Jurisdiction]],Places[Jurisdiction],0))</f>
        <v>Orange</v>
      </c>
      <c r="D22" s="19" t="str">
        <f>INDEX(Places[Majority RB],MATCH(Activities[[#This Row],[Jurisdiction]],Places[Jurisdiction],0))</f>
        <v>San Diego</v>
      </c>
      <c r="E22" s="9">
        <f>INDEX(Places[Majority RB '#],MATCH(Activities[[#This Row],[Jurisdiction]],Places[Jurisdiction],0))</f>
        <v>9</v>
      </c>
      <c r="F22" s="28" t="str">
        <f>VLOOKUP(Activities[[#This Row],[Jurisdiction]],Places[#All],8,FALSE)</f>
        <v>Phase I MS4</v>
      </c>
      <c r="G22" s="48" t="s">
        <v>1009</v>
      </c>
      <c r="H22" s="8" t="s">
        <v>76</v>
      </c>
      <c r="I22" s="8" t="s">
        <v>502</v>
      </c>
      <c r="J22" s="8" t="s">
        <v>76</v>
      </c>
      <c r="K22" s="27" t="s">
        <v>1874</v>
      </c>
      <c r="L22" s="28">
        <f>_xlfn.NUMBERVALUE(LEFT(Activities[[#This Row],[Fiscal Year]], 4))</f>
        <v>2017</v>
      </c>
      <c r="M22" s="28" t="s">
        <v>1862</v>
      </c>
      <c r="N22" s="41">
        <v>1800</v>
      </c>
      <c r="O22" s="93">
        <f>IF(Activities[[#This Row],[Reference Year]]&gt;2018,Activities[[#This Row],[Value]],Activities[[#This Row],[Value]]*(1+VLOOKUP(Activities[[#This Row],[Reference Year]],Inflation[#All],3,FALSE)))</f>
        <v>1847.9632802937579</v>
      </c>
    </row>
    <row r="23" spans="1:15" ht="15" customHeight="1" x14ac:dyDescent="0.25">
      <c r="A23" s="9" t="s">
        <v>263</v>
      </c>
      <c r="B23" s="9" t="str">
        <f>INDEX(Places[Type],MATCH(Activities[[#This Row],[Jurisdiction]],Places[Jurisdiction],0))</f>
        <v>City</v>
      </c>
      <c r="C23" s="19" t="str">
        <f>INDEX(Places[County],MATCH(Activities[[#This Row],[Jurisdiction]],Places[Jurisdiction],0))</f>
        <v>Orange</v>
      </c>
      <c r="D23" s="19" t="str">
        <f>INDEX(Places[Majority RB],MATCH(Activities[[#This Row],[Jurisdiction]],Places[Jurisdiction],0))</f>
        <v>San Diego</v>
      </c>
      <c r="E23" s="9">
        <f>INDEX(Places[Majority RB '#],MATCH(Activities[[#This Row],[Jurisdiction]],Places[Jurisdiction],0))</f>
        <v>9</v>
      </c>
      <c r="F23" s="28" t="str">
        <f>VLOOKUP(Activities[[#This Row],[Jurisdiction]],Places[#All],8,FALSE)</f>
        <v>Phase I MS4</v>
      </c>
      <c r="G23" s="48" t="s">
        <v>1008</v>
      </c>
      <c r="H23" s="8" t="s">
        <v>76</v>
      </c>
      <c r="I23" s="8" t="s">
        <v>612</v>
      </c>
      <c r="J23" s="8" t="s">
        <v>76</v>
      </c>
      <c r="K23" s="27" t="s">
        <v>1874</v>
      </c>
      <c r="L23" s="28">
        <f>_xlfn.NUMBERVALUE(LEFT(Activities[[#This Row],[Fiscal Year]], 4))</f>
        <v>2017</v>
      </c>
      <c r="M23" s="28" t="s">
        <v>1862</v>
      </c>
      <c r="N23" s="41">
        <v>394780</v>
      </c>
      <c r="O23" s="93">
        <f>IF(Activities[[#This Row],[Reference Year]]&gt;2018,Activities[[#This Row],[Value]],Activities[[#This Row],[Value]]*(1+VLOOKUP(Activities[[#This Row],[Reference Year]],Inflation[#All],3,FALSE)))</f>
        <v>405299.41321909428</v>
      </c>
    </row>
    <row r="24" spans="1:15" ht="15" customHeight="1" x14ac:dyDescent="0.25">
      <c r="A24" s="9" t="s">
        <v>263</v>
      </c>
      <c r="B24" s="9" t="str">
        <f>INDEX(Places[Type],MATCH(Activities[[#This Row],[Jurisdiction]],Places[Jurisdiction],0))</f>
        <v>City</v>
      </c>
      <c r="C24" s="19" t="str">
        <f>INDEX(Places[County],MATCH(Activities[[#This Row],[Jurisdiction]],Places[Jurisdiction],0))</f>
        <v>Orange</v>
      </c>
      <c r="D24" s="19" t="str">
        <f>INDEX(Places[Majority RB],MATCH(Activities[[#This Row],[Jurisdiction]],Places[Jurisdiction],0))</f>
        <v>San Diego</v>
      </c>
      <c r="E24" s="9">
        <f>INDEX(Places[Majority RB '#],MATCH(Activities[[#This Row],[Jurisdiction]],Places[Jurisdiction],0))</f>
        <v>9</v>
      </c>
      <c r="F24" s="28" t="str">
        <f>VLOOKUP(Activities[[#This Row],[Jurisdiction]],Places[#All],8,FALSE)</f>
        <v>Phase I MS4</v>
      </c>
      <c r="G24" s="48" t="s">
        <v>1025</v>
      </c>
      <c r="H24" s="8" t="s">
        <v>500</v>
      </c>
      <c r="I24" s="8" t="s">
        <v>502</v>
      </c>
      <c r="J24" s="8" t="s">
        <v>1895</v>
      </c>
      <c r="K24" s="27" t="s">
        <v>1874</v>
      </c>
      <c r="L24" s="28">
        <f>_xlfn.NUMBERVALUE(LEFT(Activities[[#This Row],[Fiscal Year]], 4))</f>
        <v>2017</v>
      </c>
      <c r="M24" s="28" t="s">
        <v>1862</v>
      </c>
      <c r="N24" s="41">
        <v>12734</v>
      </c>
      <c r="O24" s="93">
        <f>IF(Activities[[#This Row],[Reference Year]]&gt;2018,Activities[[#This Row],[Value]],Activities[[#This Row],[Value]]*(1+VLOOKUP(Activities[[#This Row],[Reference Year]],Inflation[#All],3,FALSE)))</f>
        <v>13073.313561811507</v>
      </c>
    </row>
    <row r="25" spans="1:15" ht="15" customHeight="1" x14ac:dyDescent="0.25">
      <c r="A25" s="9" t="s">
        <v>263</v>
      </c>
      <c r="B25" s="9" t="str">
        <f>INDEX(Places[Type],MATCH(Activities[[#This Row],[Jurisdiction]],Places[Jurisdiction],0))</f>
        <v>City</v>
      </c>
      <c r="C25" s="19" t="str">
        <f>INDEX(Places[County],MATCH(Activities[[#This Row],[Jurisdiction]],Places[Jurisdiction],0))</f>
        <v>Orange</v>
      </c>
      <c r="D25" s="19" t="str">
        <f>INDEX(Places[Majority RB],MATCH(Activities[[#This Row],[Jurisdiction]],Places[Jurisdiction],0))</f>
        <v>San Diego</v>
      </c>
      <c r="E25" s="9">
        <f>INDEX(Places[Majority RB '#],MATCH(Activities[[#This Row],[Jurisdiction]],Places[Jurisdiction],0))</f>
        <v>9</v>
      </c>
      <c r="F25" s="28" t="str">
        <f>VLOOKUP(Activities[[#This Row],[Jurisdiction]],Places[#All],8,FALSE)</f>
        <v>Phase I MS4</v>
      </c>
      <c r="G25" s="48" t="s">
        <v>1021</v>
      </c>
      <c r="H25" s="8" t="s">
        <v>501</v>
      </c>
      <c r="I25" s="8" t="s">
        <v>502</v>
      </c>
      <c r="J25" s="8" t="s">
        <v>131</v>
      </c>
      <c r="K25" s="27" t="s">
        <v>1874</v>
      </c>
      <c r="L25" s="28">
        <f>_xlfn.NUMBERVALUE(LEFT(Activities[[#This Row],[Fiscal Year]], 4))</f>
        <v>2017</v>
      </c>
      <c r="M25" s="28" t="s">
        <v>1862</v>
      </c>
      <c r="N25" s="41">
        <v>12734</v>
      </c>
      <c r="O25" s="93">
        <f>IF(Activities[[#This Row],[Reference Year]]&gt;2018,Activities[[#This Row],[Value]],Activities[[#This Row],[Value]]*(1+VLOOKUP(Activities[[#This Row],[Reference Year]],Inflation[#All],3,FALSE)))</f>
        <v>13073.313561811507</v>
      </c>
    </row>
    <row r="26" spans="1:15" ht="15" customHeight="1" x14ac:dyDescent="0.25">
      <c r="A26" s="9" t="s">
        <v>263</v>
      </c>
      <c r="B26" s="9" t="str">
        <f>INDEX(Places[Type],MATCH(Activities[[#This Row],[Jurisdiction]],Places[Jurisdiction],0))</f>
        <v>City</v>
      </c>
      <c r="C26" s="19" t="str">
        <f>INDEX(Places[County],MATCH(Activities[[#This Row],[Jurisdiction]],Places[Jurisdiction],0))</f>
        <v>Orange</v>
      </c>
      <c r="D26" s="19" t="str">
        <f>INDEX(Places[Majority RB],MATCH(Activities[[#This Row],[Jurisdiction]],Places[Jurisdiction],0))</f>
        <v>San Diego</v>
      </c>
      <c r="E26" s="9">
        <f>INDEX(Places[Majority RB '#],MATCH(Activities[[#This Row],[Jurisdiction]],Places[Jurisdiction],0))</f>
        <v>9</v>
      </c>
      <c r="F26" s="28" t="str">
        <f>VLOOKUP(Activities[[#This Row],[Jurisdiction]],Places[#All],8,FALSE)</f>
        <v>Phase I MS4</v>
      </c>
      <c r="G26" s="48" t="s">
        <v>1020</v>
      </c>
      <c r="H26" s="8" t="s">
        <v>500</v>
      </c>
      <c r="I26" s="8" t="s">
        <v>502</v>
      </c>
      <c r="J26" s="8" t="s">
        <v>334</v>
      </c>
      <c r="K26" s="27" t="s">
        <v>1874</v>
      </c>
      <c r="L26" s="28">
        <f>_xlfn.NUMBERVALUE(LEFT(Activities[[#This Row],[Fiscal Year]], 4))</f>
        <v>2017</v>
      </c>
      <c r="M26" s="28" t="s">
        <v>1862</v>
      </c>
      <c r="N26" s="41">
        <v>12734</v>
      </c>
      <c r="O26" s="93">
        <f>IF(Activities[[#This Row],[Reference Year]]&gt;2018,Activities[[#This Row],[Value]],Activities[[#This Row],[Value]]*(1+VLOOKUP(Activities[[#This Row],[Reference Year]],Inflation[#All],3,FALSE)))</f>
        <v>13073.313561811507</v>
      </c>
    </row>
    <row r="27" spans="1:15" ht="15" customHeight="1" x14ac:dyDescent="0.25">
      <c r="A27" s="9" t="s">
        <v>263</v>
      </c>
      <c r="B27" s="9" t="str">
        <f>INDEX(Places[Type],MATCH(Activities[[#This Row],[Jurisdiction]],Places[Jurisdiction],0))</f>
        <v>City</v>
      </c>
      <c r="C27" s="19" t="str">
        <f>INDEX(Places[County],MATCH(Activities[[#This Row],[Jurisdiction]],Places[Jurisdiction],0))</f>
        <v>Orange</v>
      </c>
      <c r="D27" s="19" t="str">
        <f>INDEX(Places[Majority RB],MATCH(Activities[[#This Row],[Jurisdiction]],Places[Jurisdiction],0))</f>
        <v>San Diego</v>
      </c>
      <c r="E27" s="9">
        <f>INDEX(Places[Majority RB '#],MATCH(Activities[[#This Row],[Jurisdiction]],Places[Jurisdiction],0))</f>
        <v>9</v>
      </c>
      <c r="F27" s="28" t="str">
        <f>VLOOKUP(Activities[[#This Row],[Jurisdiction]],Places[#All],8,FALSE)</f>
        <v>Phase I MS4</v>
      </c>
      <c r="G27" s="48" t="s">
        <v>1013</v>
      </c>
      <c r="H27" s="8" t="s">
        <v>498</v>
      </c>
      <c r="I27" s="8" t="s">
        <v>502</v>
      </c>
      <c r="J27" s="8" t="s">
        <v>71</v>
      </c>
      <c r="K27" s="27" t="s">
        <v>1874</v>
      </c>
      <c r="L27" s="28">
        <f>_xlfn.NUMBERVALUE(LEFT(Activities[[#This Row],[Fiscal Year]], 4))</f>
        <v>2017</v>
      </c>
      <c r="M27" s="28" t="s">
        <v>1862</v>
      </c>
      <c r="N27" s="41">
        <v>15159</v>
      </c>
      <c r="O27" s="93">
        <f>IF(Activities[[#This Row],[Reference Year]]&gt;2018,Activities[[#This Row],[Value]],Activities[[#This Row],[Value]]*(1+VLOOKUP(Activities[[#This Row],[Reference Year]],Inflation[#All],3,FALSE)))</f>
        <v>15562.93075887393</v>
      </c>
    </row>
    <row r="28" spans="1:15" ht="15" customHeight="1" x14ac:dyDescent="0.25">
      <c r="A28" s="9" t="s">
        <v>263</v>
      </c>
      <c r="B28" s="9" t="str">
        <f>INDEX(Places[Type],MATCH(Activities[[#This Row],[Jurisdiction]],Places[Jurisdiction],0))</f>
        <v>City</v>
      </c>
      <c r="C28" s="19" t="str">
        <f>INDEX(Places[County],MATCH(Activities[[#This Row],[Jurisdiction]],Places[Jurisdiction],0))</f>
        <v>Orange</v>
      </c>
      <c r="D28" s="19" t="str">
        <f>INDEX(Places[Majority RB],MATCH(Activities[[#This Row],[Jurisdiction]],Places[Jurisdiction],0))</f>
        <v>San Diego</v>
      </c>
      <c r="E28" s="9">
        <f>INDEX(Places[Majority RB '#],MATCH(Activities[[#This Row],[Jurisdiction]],Places[Jurisdiction],0))</f>
        <v>9</v>
      </c>
      <c r="F28" s="28" t="str">
        <f>VLOOKUP(Activities[[#This Row],[Jurisdiction]],Places[#All],8,FALSE)</f>
        <v>Phase I MS4</v>
      </c>
      <c r="G28" s="48" t="s">
        <v>1016</v>
      </c>
      <c r="H28" s="8" t="s">
        <v>498</v>
      </c>
      <c r="I28" s="8" t="s">
        <v>502</v>
      </c>
      <c r="J28" s="8" t="s">
        <v>1897</v>
      </c>
      <c r="K28" s="27" t="s">
        <v>1874</v>
      </c>
      <c r="L28" s="28">
        <f>_xlfn.NUMBERVALUE(LEFT(Activities[[#This Row],[Fiscal Year]], 4))</f>
        <v>2017</v>
      </c>
      <c r="M28" s="28" t="s">
        <v>1862</v>
      </c>
      <c r="N28" s="41">
        <v>2426</v>
      </c>
      <c r="O28" s="93">
        <f>IF(Activities[[#This Row],[Reference Year]]&gt;2018,Activities[[#This Row],[Value]],Activities[[#This Row],[Value]]*(1+VLOOKUP(Activities[[#This Row],[Reference Year]],Inflation[#All],3,FALSE)))</f>
        <v>2490.6438433292537</v>
      </c>
    </row>
    <row r="29" spans="1:15" ht="15" customHeight="1" x14ac:dyDescent="0.25">
      <c r="A29" s="9" t="s">
        <v>263</v>
      </c>
      <c r="B29" s="9" t="str">
        <f>INDEX(Places[Type],MATCH(Activities[[#This Row],[Jurisdiction]],Places[Jurisdiction],0))</f>
        <v>City</v>
      </c>
      <c r="C29" s="19" t="str">
        <f>INDEX(Places[County],MATCH(Activities[[#This Row],[Jurisdiction]],Places[Jurisdiction],0))</f>
        <v>Orange</v>
      </c>
      <c r="D29" s="19" t="str">
        <f>INDEX(Places[Majority RB],MATCH(Activities[[#This Row],[Jurisdiction]],Places[Jurisdiction],0))</f>
        <v>San Diego</v>
      </c>
      <c r="E29" s="9">
        <f>INDEX(Places[Majority RB '#],MATCH(Activities[[#This Row],[Jurisdiction]],Places[Jurisdiction],0))</f>
        <v>9</v>
      </c>
      <c r="F29" s="28" t="str">
        <f>VLOOKUP(Activities[[#This Row],[Jurisdiction]],Places[#All],8,FALSE)</f>
        <v>Phase I MS4</v>
      </c>
      <c r="G29" s="48" t="s">
        <v>1015</v>
      </c>
      <c r="H29" s="8" t="s">
        <v>498</v>
      </c>
      <c r="I29" s="8" t="s">
        <v>502</v>
      </c>
      <c r="J29" s="8" t="s">
        <v>1897</v>
      </c>
      <c r="K29" s="27" t="s">
        <v>1874</v>
      </c>
      <c r="L29" s="28">
        <f>_xlfn.NUMBERVALUE(LEFT(Activities[[#This Row],[Fiscal Year]], 4))</f>
        <v>2017</v>
      </c>
      <c r="M29" s="28" t="s">
        <v>1862</v>
      </c>
      <c r="N29" s="41">
        <v>7580</v>
      </c>
      <c r="O29" s="93">
        <f>IF(Activities[[#This Row],[Reference Year]]&gt;2018,Activities[[#This Row],[Value]],Activities[[#This Row],[Value]]*(1+VLOOKUP(Activities[[#This Row],[Reference Year]],Inflation[#All],3,FALSE)))</f>
        <v>7781.9787025703799</v>
      </c>
    </row>
    <row r="30" spans="1:15" ht="15" customHeight="1" x14ac:dyDescent="0.25">
      <c r="A30" s="9" t="s">
        <v>263</v>
      </c>
      <c r="B30" s="9" t="str">
        <f>INDEX(Places[Type],MATCH(Activities[[#This Row],[Jurisdiction]],Places[Jurisdiction],0))</f>
        <v>City</v>
      </c>
      <c r="C30" s="19" t="str">
        <f>INDEX(Places[County],MATCH(Activities[[#This Row],[Jurisdiction]],Places[Jurisdiction],0))</f>
        <v>Orange</v>
      </c>
      <c r="D30" s="19" t="str">
        <f>INDEX(Places[Majority RB],MATCH(Activities[[#This Row],[Jurisdiction]],Places[Jurisdiction],0))</f>
        <v>San Diego</v>
      </c>
      <c r="E30" s="9">
        <f>INDEX(Places[Majority RB '#],MATCH(Activities[[#This Row],[Jurisdiction]],Places[Jurisdiction],0))</f>
        <v>9</v>
      </c>
      <c r="F30" s="28" t="str">
        <f>VLOOKUP(Activities[[#This Row],[Jurisdiction]],Places[#All],8,FALSE)</f>
        <v>Phase I MS4</v>
      </c>
      <c r="G30" s="48" t="s">
        <v>1012</v>
      </c>
      <c r="H30" s="8" t="s">
        <v>498</v>
      </c>
      <c r="I30" s="8" t="s">
        <v>502</v>
      </c>
      <c r="J30" s="8" t="s">
        <v>1897</v>
      </c>
      <c r="K30" s="27" t="s">
        <v>1874</v>
      </c>
      <c r="L30" s="28">
        <f>_xlfn.NUMBERVALUE(LEFT(Activities[[#This Row],[Fiscal Year]], 4))</f>
        <v>2017</v>
      </c>
      <c r="M30" s="28" t="s">
        <v>1862</v>
      </c>
      <c r="N30" s="41">
        <v>12128</v>
      </c>
      <c r="O30" s="93">
        <f>IF(Activities[[#This Row],[Reference Year]]&gt;2018,Activities[[#This Row],[Value]],Activities[[#This Row],[Value]]*(1+VLOOKUP(Activities[[#This Row],[Reference Year]],Inflation[#All],3,FALSE)))</f>
        <v>12451.165924112609</v>
      </c>
    </row>
    <row r="31" spans="1:15" ht="15" customHeight="1" x14ac:dyDescent="0.25">
      <c r="A31" s="9" t="s">
        <v>263</v>
      </c>
      <c r="B31" s="9" t="str">
        <f>INDEX(Places[Type],MATCH(Activities[[#This Row],[Jurisdiction]],Places[Jurisdiction],0))</f>
        <v>City</v>
      </c>
      <c r="C31" s="19" t="str">
        <f>INDEX(Places[County],MATCH(Activities[[#This Row],[Jurisdiction]],Places[Jurisdiction],0))</f>
        <v>Orange</v>
      </c>
      <c r="D31" s="19" t="str">
        <f>INDEX(Places[Majority RB],MATCH(Activities[[#This Row],[Jurisdiction]],Places[Jurisdiction],0))</f>
        <v>San Diego</v>
      </c>
      <c r="E31" s="9">
        <f>INDEX(Places[Majority RB '#],MATCH(Activities[[#This Row],[Jurisdiction]],Places[Jurisdiction],0))</f>
        <v>9</v>
      </c>
      <c r="F31" s="28" t="str">
        <f>VLOOKUP(Activities[[#This Row],[Jurisdiction]],Places[#All],8,FALSE)</f>
        <v>Phase I MS4</v>
      </c>
      <c r="G31" s="48" t="s">
        <v>1014</v>
      </c>
      <c r="H31" s="8" t="s">
        <v>498</v>
      </c>
      <c r="I31" s="8" t="s">
        <v>502</v>
      </c>
      <c r="J31" s="8" t="s">
        <v>1897</v>
      </c>
      <c r="K31" s="27" t="s">
        <v>1874</v>
      </c>
      <c r="L31" s="28">
        <f>_xlfn.NUMBERVALUE(LEFT(Activities[[#This Row],[Fiscal Year]], 4))</f>
        <v>2017</v>
      </c>
      <c r="M31" s="28" t="s">
        <v>1862</v>
      </c>
      <c r="N31" s="41">
        <v>68505</v>
      </c>
      <c r="O31" s="93">
        <f>IF(Activities[[#This Row],[Reference Year]]&gt;2018,Activities[[#This Row],[Value]],Activities[[#This Row],[Value]]*(1+VLOOKUP(Activities[[#This Row],[Reference Year]],Inflation[#All],3,FALSE)))</f>
        <v>70330.402509179941</v>
      </c>
    </row>
    <row r="32" spans="1:15" ht="15" customHeight="1" x14ac:dyDescent="0.25">
      <c r="A32" s="9" t="s">
        <v>263</v>
      </c>
      <c r="B32" s="9" t="str">
        <f>INDEX(Places[Type],MATCH(Activities[[#This Row],[Jurisdiction]],Places[Jurisdiction],0))</f>
        <v>City</v>
      </c>
      <c r="C32" s="19" t="str">
        <f>INDEX(Places[County],MATCH(Activities[[#This Row],[Jurisdiction]],Places[Jurisdiction],0))</f>
        <v>Orange</v>
      </c>
      <c r="D32" s="19" t="str">
        <f>INDEX(Places[Majority RB],MATCH(Activities[[#This Row],[Jurisdiction]],Places[Jurisdiction],0))</f>
        <v>San Diego</v>
      </c>
      <c r="E32" s="9">
        <f>INDEX(Places[Majority RB '#],MATCH(Activities[[#This Row],[Jurisdiction]],Places[Jurisdiction],0))</f>
        <v>9</v>
      </c>
      <c r="F32" s="28" t="str">
        <f>VLOOKUP(Activities[[#This Row],[Jurisdiction]],Places[#All],8,FALSE)</f>
        <v>Phase I MS4</v>
      </c>
      <c r="G32" s="48" t="s">
        <v>1019</v>
      </c>
      <c r="H32" s="8" t="s">
        <v>497</v>
      </c>
      <c r="I32" s="8" t="s">
        <v>502</v>
      </c>
      <c r="J32" s="8" t="s">
        <v>1898</v>
      </c>
      <c r="K32" s="27" t="s">
        <v>1874</v>
      </c>
      <c r="L32" s="28">
        <f>_xlfn.NUMBERVALUE(LEFT(Activities[[#This Row],[Fiscal Year]], 4))</f>
        <v>2017</v>
      </c>
      <c r="M32" s="28" t="s">
        <v>1862</v>
      </c>
      <c r="N32" s="41">
        <v>10308</v>
      </c>
      <c r="O32" s="93">
        <f>IF(Activities[[#This Row],[Reference Year]]&gt;2018,Activities[[#This Row],[Value]],Activities[[#This Row],[Value]]*(1+VLOOKUP(Activities[[#This Row],[Reference Year]],Inflation[#All],3,FALSE)))</f>
        <v>10582.669718482253</v>
      </c>
    </row>
    <row r="33" spans="1:15" ht="15" customHeight="1" x14ac:dyDescent="0.25">
      <c r="A33" s="9" t="s">
        <v>263</v>
      </c>
      <c r="B33" s="9" t="str">
        <f>INDEX(Places[Type],MATCH(Activities[[#This Row],[Jurisdiction]],Places[Jurisdiction],0))</f>
        <v>City</v>
      </c>
      <c r="C33" s="19" t="str">
        <f>INDEX(Places[County],MATCH(Activities[[#This Row],[Jurisdiction]],Places[Jurisdiction],0))</f>
        <v>Orange</v>
      </c>
      <c r="D33" s="19" t="str">
        <f>INDEX(Places[Majority RB],MATCH(Activities[[#This Row],[Jurisdiction]],Places[Jurisdiction],0))</f>
        <v>San Diego</v>
      </c>
      <c r="E33" s="9">
        <f>INDEX(Places[Majority RB '#],MATCH(Activities[[#This Row],[Jurisdiction]],Places[Jurisdiction],0))</f>
        <v>9</v>
      </c>
      <c r="F33" s="28" t="str">
        <f>VLOOKUP(Activities[[#This Row],[Jurisdiction]],Places[#All],8,FALSE)</f>
        <v>Phase I MS4</v>
      </c>
      <c r="G33" s="48" t="s">
        <v>1017</v>
      </c>
      <c r="H33" s="8" t="s">
        <v>499</v>
      </c>
      <c r="I33" s="8" t="s">
        <v>502</v>
      </c>
      <c r="J33" s="8" t="s">
        <v>1456</v>
      </c>
      <c r="K33" s="27" t="s">
        <v>1874</v>
      </c>
      <c r="L33" s="28">
        <f>_xlfn.NUMBERVALUE(LEFT(Activities[[#This Row],[Fiscal Year]], 4))</f>
        <v>2017</v>
      </c>
      <c r="M33" s="28" t="s">
        <v>1862</v>
      </c>
      <c r="N33" s="41">
        <v>7580</v>
      </c>
      <c r="O33" s="93">
        <f>IF(Activities[[#This Row],[Reference Year]]&gt;2018,Activities[[#This Row],[Value]],Activities[[#This Row],[Value]]*(1+VLOOKUP(Activities[[#This Row],[Reference Year]],Inflation[#All],3,FALSE)))</f>
        <v>7781.9787025703799</v>
      </c>
    </row>
    <row r="34" spans="1:15" ht="15" customHeight="1" x14ac:dyDescent="0.25">
      <c r="A34" s="9" t="s">
        <v>263</v>
      </c>
      <c r="B34" s="9" t="str">
        <f>INDEX(Places[Type],MATCH(Activities[[#This Row],[Jurisdiction]],Places[Jurisdiction],0))</f>
        <v>City</v>
      </c>
      <c r="C34" s="19" t="str">
        <f>INDEX(Places[County],MATCH(Activities[[#This Row],[Jurisdiction]],Places[Jurisdiction],0))</f>
        <v>Orange</v>
      </c>
      <c r="D34" s="19" t="str">
        <f>INDEX(Places[Majority RB],MATCH(Activities[[#This Row],[Jurisdiction]],Places[Jurisdiction],0))</f>
        <v>San Diego</v>
      </c>
      <c r="E34" s="9">
        <f>INDEX(Places[Majority RB '#],MATCH(Activities[[#This Row],[Jurisdiction]],Places[Jurisdiction],0))</f>
        <v>9</v>
      </c>
      <c r="F34" s="28" t="str">
        <f>VLOOKUP(Activities[[#This Row],[Jurisdiction]],Places[#All],8,FALSE)</f>
        <v>Phase I MS4</v>
      </c>
      <c r="G34" s="48" t="s">
        <v>1018</v>
      </c>
      <c r="H34" s="8" t="s">
        <v>499</v>
      </c>
      <c r="I34" s="8" t="s">
        <v>502</v>
      </c>
      <c r="J34" s="8" t="s">
        <v>1456</v>
      </c>
      <c r="K34" s="27" t="s">
        <v>1874</v>
      </c>
      <c r="L34" s="28">
        <f>_xlfn.NUMBERVALUE(LEFT(Activities[[#This Row],[Fiscal Year]], 4))</f>
        <v>2017</v>
      </c>
      <c r="M34" s="28" t="s">
        <v>1862</v>
      </c>
      <c r="N34" s="41">
        <v>7580</v>
      </c>
      <c r="O34" s="93">
        <f>IF(Activities[[#This Row],[Reference Year]]&gt;2018,Activities[[#This Row],[Value]],Activities[[#This Row],[Value]]*(1+VLOOKUP(Activities[[#This Row],[Reference Year]],Inflation[#All],3,FALSE)))</f>
        <v>7781.9787025703799</v>
      </c>
    </row>
    <row r="35" spans="1:15" ht="15" customHeight="1" x14ac:dyDescent="0.25">
      <c r="A35" s="9" t="s">
        <v>263</v>
      </c>
      <c r="B35" s="9" t="str">
        <f>INDEX(Places[Type],MATCH(Activities[[#This Row],[Jurisdiction]],Places[Jurisdiction],0))</f>
        <v>City</v>
      </c>
      <c r="C35" s="19" t="str">
        <f>INDEX(Places[County],MATCH(Activities[[#This Row],[Jurisdiction]],Places[Jurisdiction],0))</f>
        <v>Orange</v>
      </c>
      <c r="D35" s="19" t="str">
        <f>INDEX(Places[Majority RB],MATCH(Activities[[#This Row],[Jurisdiction]],Places[Jurisdiction],0))</f>
        <v>San Diego</v>
      </c>
      <c r="E35" s="9">
        <f>INDEX(Places[Majority RB '#],MATCH(Activities[[#This Row],[Jurisdiction]],Places[Jurisdiction],0))</f>
        <v>9</v>
      </c>
      <c r="F35" s="28" t="str">
        <f>VLOOKUP(Activities[[#This Row],[Jurisdiction]],Places[#All],8,FALSE)</f>
        <v>Phase I MS4</v>
      </c>
      <c r="G35" s="48" t="s">
        <v>1023</v>
      </c>
      <c r="H35" s="8"/>
      <c r="I35" s="8"/>
      <c r="J35" s="8" t="s">
        <v>1456</v>
      </c>
      <c r="K35" s="27" t="s">
        <v>1874</v>
      </c>
      <c r="L35" s="28">
        <f>_xlfn.NUMBERVALUE(LEFT(Activities[[#This Row],[Fiscal Year]], 4))</f>
        <v>2017</v>
      </c>
      <c r="M35" s="28" t="s">
        <v>1862</v>
      </c>
      <c r="N35" s="41">
        <v>37947864</v>
      </c>
      <c r="O35" s="93">
        <f>IF(Activities[[#This Row],[Reference Year]]&gt;2018,Activities[[#This Row],[Value]],Activities[[#This Row],[Value]]*(1+VLOOKUP(Activities[[#This Row],[Reference Year]],Inflation[#All],3,FALSE)))</f>
        <v>38959032.909767449</v>
      </c>
    </row>
    <row r="36" spans="1:15" ht="15" customHeight="1" x14ac:dyDescent="0.25">
      <c r="A36" s="9" t="s">
        <v>263</v>
      </c>
      <c r="B36" s="9" t="str">
        <f>INDEX(Places[Type],MATCH(Activities[[#This Row],[Jurisdiction]],Places[Jurisdiction],0))</f>
        <v>City</v>
      </c>
      <c r="C36" s="19" t="str">
        <f>INDEX(Places[County],MATCH(Activities[[#This Row],[Jurisdiction]],Places[Jurisdiction],0))</f>
        <v>Orange</v>
      </c>
      <c r="D36" s="19" t="str">
        <f>INDEX(Places[Majority RB],MATCH(Activities[[#This Row],[Jurisdiction]],Places[Jurisdiction],0))</f>
        <v>San Diego</v>
      </c>
      <c r="E36" s="9">
        <f>INDEX(Places[Majority RB '#],MATCH(Activities[[#This Row],[Jurisdiction]],Places[Jurisdiction],0))</f>
        <v>9</v>
      </c>
      <c r="F36" s="28" t="str">
        <f>VLOOKUP(Activities[[#This Row],[Jurisdiction]],Places[#All],8,FALSE)</f>
        <v>Phase I MS4</v>
      </c>
      <c r="G36" s="48" t="s">
        <v>1011</v>
      </c>
      <c r="H36" s="8" t="s">
        <v>496</v>
      </c>
      <c r="I36" s="8" t="s">
        <v>502</v>
      </c>
      <c r="J36" s="8" t="s">
        <v>1894</v>
      </c>
      <c r="K36" s="27" t="s">
        <v>1874</v>
      </c>
      <c r="L36" s="28">
        <f>_xlfn.NUMBERVALUE(LEFT(Activities[[#This Row],[Fiscal Year]], 4))</f>
        <v>2017</v>
      </c>
      <c r="M36" s="28" t="s">
        <v>1862</v>
      </c>
      <c r="N36" s="41">
        <v>151595</v>
      </c>
      <c r="O36" s="93">
        <f>IF(Activities[[#This Row],[Reference Year]]&gt;2018,Activities[[#This Row],[Value]],Activities[[#This Row],[Value]]*(1+VLOOKUP(Activities[[#This Row],[Reference Year]],Inflation[#All],3,FALSE)))</f>
        <v>155634.44082007345</v>
      </c>
    </row>
    <row r="37" spans="1:15" ht="15" customHeight="1" x14ac:dyDescent="0.25">
      <c r="A37" s="9" t="s">
        <v>263</v>
      </c>
      <c r="B37" s="9" t="str">
        <f>INDEX(Places[Type],MATCH(Activities[[#This Row],[Jurisdiction]],Places[Jurisdiction],0))</f>
        <v>City</v>
      </c>
      <c r="C37" s="19" t="str">
        <f>INDEX(Places[County],MATCH(Activities[[#This Row],[Jurisdiction]],Places[Jurisdiction],0))</f>
        <v>Orange</v>
      </c>
      <c r="D37" s="19" t="str">
        <f>INDEX(Places[Majority RB],MATCH(Activities[[#This Row],[Jurisdiction]],Places[Jurisdiction],0))</f>
        <v>San Diego</v>
      </c>
      <c r="E37" s="9">
        <f>INDEX(Places[Majority RB '#],MATCH(Activities[[#This Row],[Jurisdiction]],Places[Jurisdiction],0))</f>
        <v>9</v>
      </c>
      <c r="F37" s="28" t="str">
        <f>VLOOKUP(Activities[[#This Row],[Jurisdiction]],Places[#All],8,FALSE)</f>
        <v>Phase I MS4</v>
      </c>
      <c r="G37" s="48" t="s">
        <v>1024</v>
      </c>
      <c r="H37" s="8"/>
      <c r="I37" s="8"/>
      <c r="J37" s="8" t="s">
        <v>1896</v>
      </c>
      <c r="K37" s="27" t="s">
        <v>1874</v>
      </c>
      <c r="L37" s="28">
        <f>_xlfn.NUMBERVALUE(LEFT(Activities[[#This Row],[Fiscal Year]], 4))</f>
        <v>2017</v>
      </c>
      <c r="M37" s="28" t="s">
        <v>1862</v>
      </c>
      <c r="N37" s="41">
        <v>54000</v>
      </c>
      <c r="O37" s="93">
        <f>IF(Activities[[#This Row],[Reference Year]]&gt;2018,Activities[[#This Row],[Value]],Activities[[#This Row],[Value]]*(1+VLOOKUP(Activities[[#This Row],[Reference Year]],Inflation[#All],3,FALSE)))</f>
        <v>55438.898408812733</v>
      </c>
    </row>
    <row r="38" spans="1:15" ht="15" customHeight="1" x14ac:dyDescent="0.25">
      <c r="A38" s="9" t="s">
        <v>263</v>
      </c>
      <c r="B38" s="9" t="str">
        <f>INDEX(Places[Type],MATCH(Activities[[#This Row],[Jurisdiction]],Places[Jurisdiction],0))</f>
        <v>City</v>
      </c>
      <c r="C38" s="19" t="str">
        <f>INDEX(Places[County],MATCH(Activities[[#This Row],[Jurisdiction]],Places[Jurisdiction],0))</f>
        <v>Orange</v>
      </c>
      <c r="D38" s="19" t="str">
        <f>INDEX(Places[Majority RB],MATCH(Activities[[#This Row],[Jurisdiction]],Places[Jurisdiction],0))</f>
        <v>San Diego</v>
      </c>
      <c r="E38" s="9">
        <f>INDEX(Places[Majority RB '#],MATCH(Activities[[#This Row],[Jurisdiction]],Places[Jurisdiction],0))</f>
        <v>9</v>
      </c>
      <c r="F38" s="28" t="str">
        <f>VLOOKUP(Activities[[#This Row],[Jurisdiction]],Places[#All],8,FALSE)</f>
        <v>Phase I MS4</v>
      </c>
      <c r="G38" s="48" t="s">
        <v>1022</v>
      </c>
      <c r="H38" s="8"/>
      <c r="I38" s="8"/>
      <c r="J38" s="8" t="s">
        <v>1896</v>
      </c>
      <c r="K38" s="27" t="s">
        <v>1874</v>
      </c>
      <c r="L38" s="28">
        <f>_xlfn.NUMBERVALUE(LEFT(Activities[[#This Row],[Fiscal Year]], 4))</f>
        <v>2017</v>
      </c>
      <c r="M38" s="28" t="s">
        <v>1862</v>
      </c>
      <c r="N38" s="41">
        <v>216799</v>
      </c>
      <c r="O38" s="93">
        <f>IF(Activities[[#This Row],[Reference Year]]&gt;2018,Activities[[#This Row],[Value]],Activities[[#This Row],[Value]]*(1+VLOOKUP(Activities[[#This Row],[Reference Year]],Inflation[#All],3,FALSE)))</f>
        <v>222575.884002448</v>
      </c>
    </row>
    <row r="39" spans="1:15" ht="15" customHeight="1" x14ac:dyDescent="0.25">
      <c r="A39" s="9" t="s">
        <v>265</v>
      </c>
      <c r="B39" s="9" t="str">
        <f>INDEX(Places[Type],MATCH(Activities[[#This Row],[Jurisdiction]],Places[Jurisdiction],0))</f>
        <v>City</v>
      </c>
      <c r="C39" s="19" t="str">
        <f>INDEX(Places[County],MATCH(Activities[[#This Row],[Jurisdiction]],Places[Jurisdiction],0))</f>
        <v>Orange</v>
      </c>
      <c r="D39" s="19" t="str">
        <f>INDEX(Places[Majority RB],MATCH(Activities[[#This Row],[Jurisdiction]],Places[Jurisdiction],0))</f>
        <v>Santa Ana</v>
      </c>
      <c r="E39" s="9">
        <f>INDEX(Places[Majority RB '#],MATCH(Activities[[#This Row],[Jurisdiction]],Places[Jurisdiction],0))</f>
        <v>8</v>
      </c>
      <c r="F39" s="28" t="str">
        <f>VLOOKUP(Activities[[#This Row],[Jurisdiction]],Places[#All],8,FALSE)</f>
        <v>Phase I MS4</v>
      </c>
      <c r="G39" s="48" t="s">
        <v>1004</v>
      </c>
      <c r="H39" s="8"/>
      <c r="I39" s="8"/>
      <c r="J39" s="8" t="s">
        <v>76</v>
      </c>
      <c r="K39" s="27" t="s">
        <v>1875</v>
      </c>
      <c r="L39" s="28">
        <f>_xlfn.NUMBERVALUE(LEFT(Activities[[#This Row],[Fiscal Year]], 4))</f>
        <v>2001</v>
      </c>
      <c r="M39" s="28" t="s">
        <v>1862</v>
      </c>
      <c r="N39" s="41">
        <v>123477</v>
      </c>
      <c r="O39" s="93">
        <f>IF(Activities[[#This Row],[Reference Year]]&gt;2018,Activities[[#This Row],[Value]],Activities[[#This Row],[Value]]*(1+VLOOKUP(Activities[[#This Row],[Reference Year]],Inflation[#All],3,FALSE)))</f>
        <v>175441.22522303782</v>
      </c>
    </row>
    <row r="40" spans="1:15" ht="15" customHeight="1" x14ac:dyDescent="0.25">
      <c r="A40" s="9" t="s">
        <v>265</v>
      </c>
      <c r="B40" s="9" t="str">
        <f>INDEX(Places[Type],MATCH(Activities[[#This Row],[Jurisdiction]],Places[Jurisdiction],0))</f>
        <v>City</v>
      </c>
      <c r="C40" s="19" t="str">
        <f>INDEX(Places[County],MATCH(Activities[[#This Row],[Jurisdiction]],Places[Jurisdiction],0))</f>
        <v>Orange</v>
      </c>
      <c r="D40" s="19" t="str">
        <f>INDEX(Places[Majority RB],MATCH(Activities[[#This Row],[Jurisdiction]],Places[Jurisdiction],0))</f>
        <v>Santa Ana</v>
      </c>
      <c r="E40" s="9">
        <f>INDEX(Places[Majority RB '#],MATCH(Activities[[#This Row],[Jurisdiction]],Places[Jurisdiction],0))</f>
        <v>8</v>
      </c>
      <c r="F40" s="28" t="str">
        <f>VLOOKUP(Activities[[#This Row],[Jurisdiction]],Places[#All],8,FALSE)</f>
        <v>Phase I MS4</v>
      </c>
      <c r="G40" s="48" t="s">
        <v>988</v>
      </c>
      <c r="H40" s="8"/>
      <c r="I40" s="8"/>
      <c r="J40" s="8" t="s">
        <v>1895</v>
      </c>
      <c r="K40" s="27" t="s">
        <v>1875</v>
      </c>
      <c r="L40" s="28">
        <f>_xlfn.NUMBERVALUE(LEFT(Activities[[#This Row],[Fiscal Year]], 4))</f>
        <v>2001</v>
      </c>
      <c r="M40" s="28" t="s">
        <v>1862</v>
      </c>
      <c r="N40" s="41">
        <v>12347</v>
      </c>
      <c r="O40" s="93">
        <f>IF(Activities[[#This Row],[Reference Year]]&gt;2018,Activities[[#This Row],[Value]],Activities[[#This Row],[Value]]*(1+VLOOKUP(Activities[[#This Row],[Reference Year]],Inflation[#All],3,FALSE)))</f>
        <v>17543.127933370975</v>
      </c>
    </row>
    <row r="41" spans="1:15" ht="15" customHeight="1" x14ac:dyDescent="0.25">
      <c r="A41" s="9" t="s">
        <v>265</v>
      </c>
      <c r="B41" s="9" t="str">
        <f>INDEX(Places[Type],MATCH(Activities[[#This Row],[Jurisdiction]],Places[Jurisdiction],0))</f>
        <v>City</v>
      </c>
      <c r="C41" s="19" t="str">
        <f>INDEX(Places[County],MATCH(Activities[[#This Row],[Jurisdiction]],Places[Jurisdiction],0))</f>
        <v>Orange</v>
      </c>
      <c r="D41" s="19" t="str">
        <f>INDEX(Places[Majority RB],MATCH(Activities[[#This Row],[Jurisdiction]],Places[Jurisdiction],0))</f>
        <v>Santa Ana</v>
      </c>
      <c r="E41" s="9">
        <f>INDEX(Places[Majority RB '#],MATCH(Activities[[#This Row],[Jurisdiction]],Places[Jurisdiction],0))</f>
        <v>8</v>
      </c>
      <c r="F41" s="28" t="str">
        <f>VLOOKUP(Activities[[#This Row],[Jurisdiction]],Places[#All],8,FALSE)</f>
        <v>Phase I MS4</v>
      </c>
      <c r="G41" s="48" t="s">
        <v>1007</v>
      </c>
      <c r="H41" s="8"/>
      <c r="I41" s="8"/>
      <c r="J41" s="8" t="s">
        <v>71</v>
      </c>
      <c r="K41" s="27" t="s">
        <v>1875</v>
      </c>
      <c r="L41" s="28">
        <f>_xlfn.NUMBERVALUE(LEFT(Activities[[#This Row],[Fiscal Year]], 4))</f>
        <v>2001</v>
      </c>
      <c r="M41" s="28" t="s">
        <v>1862</v>
      </c>
      <c r="N41" s="41">
        <v>500</v>
      </c>
      <c r="O41" s="93">
        <f>IF(Activities[[#This Row],[Reference Year]]&gt;2018,Activities[[#This Row],[Value]],Activities[[#This Row],[Value]]*(1+VLOOKUP(Activities[[#This Row],[Reference Year]],Inflation[#All],3,FALSE)))</f>
        <v>710.42066629023145</v>
      </c>
    </row>
    <row r="42" spans="1:15" ht="15" customHeight="1" x14ac:dyDescent="0.25">
      <c r="A42" s="9" t="s">
        <v>265</v>
      </c>
      <c r="B42" s="9" t="str">
        <f>INDEX(Places[Type],MATCH(Activities[[#This Row],[Jurisdiction]],Places[Jurisdiction],0))</f>
        <v>City</v>
      </c>
      <c r="C42" s="19" t="str">
        <f>INDEX(Places[County],MATCH(Activities[[#This Row],[Jurisdiction]],Places[Jurisdiction],0))</f>
        <v>Orange</v>
      </c>
      <c r="D42" s="19" t="str">
        <f>INDEX(Places[Majority RB],MATCH(Activities[[#This Row],[Jurisdiction]],Places[Jurisdiction],0))</f>
        <v>Santa Ana</v>
      </c>
      <c r="E42" s="9">
        <f>INDEX(Places[Majority RB '#],MATCH(Activities[[#This Row],[Jurisdiction]],Places[Jurisdiction],0))</f>
        <v>8</v>
      </c>
      <c r="F42" s="28" t="str">
        <f>VLOOKUP(Activities[[#This Row],[Jurisdiction]],Places[#All],8,FALSE)</f>
        <v>Phase I MS4</v>
      </c>
      <c r="G42" s="48" t="s">
        <v>994</v>
      </c>
      <c r="H42" s="8" t="s">
        <v>504</v>
      </c>
      <c r="I42" s="8"/>
      <c r="J42" s="8" t="s">
        <v>71</v>
      </c>
      <c r="K42" s="27" t="s">
        <v>1875</v>
      </c>
      <c r="L42" s="28">
        <f>_xlfn.NUMBERVALUE(LEFT(Activities[[#This Row],[Fiscal Year]], 4))</f>
        <v>2001</v>
      </c>
      <c r="M42" s="28" t="s">
        <v>1862</v>
      </c>
      <c r="N42" s="41">
        <v>200000</v>
      </c>
      <c r="O42" s="93">
        <f>IF(Activities[[#This Row],[Reference Year]]&gt;2018,Activities[[#This Row],[Value]],Activities[[#This Row],[Value]]*(1+VLOOKUP(Activities[[#This Row],[Reference Year]],Inflation[#All],3,FALSE)))</f>
        <v>284168.26651609258</v>
      </c>
    </row>
    <row r="43" spans="1:15" ht="15" customHeight="1" x14ac:dyDescent="0.25">
      <c r="A43" s="9" t="s">
        <v>265</v>
      </c>
      <c r="B43" s="9" t="str">
        <f>INDEX(Places[Type],MATCH(Activities[[#This Row],[Jurisdiction]],Places[Jurisdiction],0))</f>
        <v>City</v>
      </c>
      <c r="C43" s="19" t="str">
        <f>INDEX(Places[County],MATCH(Activities[[#This Row],[Jurisdiction]],Places[Jurisdiction],0))</f>
        <v>Orange</v>
      </c>
      <c r="D43" s="19" t="str">
        <f>INDEX(Places[Majority RB],MATCH(Activities[[#This Row],[Jurisdiction]],Places[Jurisdiction],0))</f>
        <v>Santa Ana</v>
      </c>
      <c r="E43" s="9">
        <f>INDEX(Places[Majority RB '#],MATCH(Activities[[#This Row],[Jurisdiction]],Places[Jurisdiction],0))</f>
        <v>8</v>
      </c>
      <c r="F43" s="28" t="str">
        <f>VLOOKUP(Activities[[#This Row],[Jurisdiction]],Places[#All],8,FALSE)</f>
        <v>Phase I MS4</v>
      </c>
      <c r="G43" s="48" t="s">
        <v>1002</v>
      </c>
      <c r="H43" s="8" t="s">
        <v>597</v>
      </c>
      <c r="I43" s="8" t="s">
        <v>594</v>
      </c>
      <c r="J43" s="8" t="s">
        <v>1897</v>
      </c>
      <c r="K43" s="27" t="s">
        <v>1875</v>
      </c>
      <c r="L43" s="28">
        <f>_xlfn.NUMBERVALUE(LEFT(Activities[[#This Row],[Fiscal Year]], 4))</f>
        <v>2001</v>
      </c>
      <c r="M43" s="28" t="s">
        <v>1862</v>
      </c>
      <c r="N43" s="41">
        <v>150</v>
      </c>
      <c r="O43" s="93">
        <f>IF(Activities[[#This Row],[Reference Year]]&gt;2018,Activities[[#This Row],[Value]],Activities[[#This Row],[Value]]*(1+VLOOKUP(Activities[[#This Row],[Reference Year]],Inflation[#All],3,FALSE)))</f>
        <v>213.12619988706945</v>
      </c>
    </row>
    <row r="44" spans="1:15" ht="15" customHeight="1" x14ac:dyDescent="0.25">
      <c r="A44" s="9" t="s">
        <v>265</v>
      </c>
      <c r="B44" s="9" t="str">
        <f>INDEX(Places[Type],MATCH(Activities[[#This Row],[Jurisdiction]],Places[Jurisdiction],0))</f>
        <v>City</v>
      </c>
      <c r="C44" s="19" t="str">
        <f>INDEX(Places[County],MATCH(Activities[[#This Row],[Jurisdiction]],Places[Jurisdiction],0))</f>
        <v>Orange</v>
      </c>
      <c r="D44" s="19" t="str">
        <f>INDEX(Places[Majority RB],MATCH(Activities[[#This Row],[Jurisdiction]],Places[Jurisdiction],0))</f>
        <v>Santa Ana</v>
      </c>
      <c r="E44" s="9">
        <f>INDEX(Places[Majority RB '#],MATCH(Activities[[#This Row],[Jurisdiction]],Places[Jurisdiction],0))</f>
        <v>8</v>
      </c>
      <c r="F44" s="28" t="str">
        <f>VLOOKUP(Activities[[#This Row],[Jurisdiction]],Places[#All],8,FALSE)</f>
        <v>Phase I MS4</v>
      </c>
      <c r="G44" s="48" t="s">
        <v>997</v>
      </c>
      <c r="H44" s="8" t="s">
        <v>593</v>
      </c>
      <c r="I44" s="8"/>
      <c r="J44" s="8" t="s">
        <v>1897</v>
      </c>
      <c r="K44" s="27" t="s">
        <v>1875</v>
      </c>
      <c r="L44" s="28">
        <f>_xlfn.NUMBERVALUE(LEFT(Activities[[#This Row],[Fiscal Year]], 4))</f>
        <v>2001</v>
      </c>
      <c r="M44" s="28" t="s">
        <v>1862</v>
      </c>
      <c r="N44" s="41">
        <v>20000</v>
      </c>
      <c r="O44" s="93">
        <f>IF(Activities[[#This Row],[Reference Year]]&gt;2018,Activities[[#This Row],[Value]],Activities[[#This Row],[Value]]*(1+VLOOKUP(Activities[[#This Row],[Reference Year]],Inflation[#All],3,FALSE)))</f>
        <v>28416.826651609259</v>
      </c>
    </row>
    <row r="45" spans="1:15" ht="15" customHeight="1" x14ac:dyDescent="0.25">
      <c r="A45" s="9" t="s">
        <v>265</v>
      </c>
      <c r="B45" s="9" t="str">
        <f>INDEX(Places[Type],MATCH(Activities[[#This Row],[Jurisdiction]],Places[Jurisdiction],0))</f>
        <v>City</v>
      </c>
      <c r="C45" s="19" t="str">
        <f>INDEX(Places[County],MATCH(Activities[[#This Row],[Jurisdiction]],Places[Jurisdiction],0))</f>
        <v>Orange</v>
      </c>
      <c r="D45" s="19" t="str">
        <f>INDEX(Places[Majority RB],MATCH(Activities[[#This Row],[Jurisdiction]],Places[Jurisdiction],0))</f>
        <v>Santa Ana</v>
      </c>
      <c r="E45" s="9">
        <f>INDEX(Places[Majority RB '#],MATCH(Activities[[#This Row],[Jurisdiction]],Places[Jurisdiction],0))</f>
        <v>8</v>
      </c>
      <c r="F45" s="28" t="str">
        <f>VLOOKUP(Activities[[#This Row],[Jurisdiction]],Places[#All],8,FALSE)</f>
        <v>Phase I MS4</v>
      </c>
      <c r="G45" s="48" t="s">
        <v>998</v>
      </c>
      <c r="H45" s="8" t="s">
        <v>504</v>
      </c>
      <c r="I45" s="8"/>
      <c r="J45" s="8" t="s">
        <v>1897</v>
      </c>
      <c r="K45" s="27" t="s">
        <v>1875</v>
      </c>
      <c r="L45" s="28">
        <f>_xlfn.NUMBERVALUE(LEFT(Activities[[#This Row],[Fiscal Year]], 4))</f>
        <v>2001</v>
      </c>
      <c r="M45" s="28" t="s">
        <v>1862</v>
      </c>
      <c r="N45" s="41">
        <v>230000</v>
      </c>
      <c r="O45" s="93">
        <f>IF(Activities[[#This Row],[Reference Year]]&gt;2018,Activities[[#This Row],[Value]],Activities[[#This Row],[Value]]*(1+VLOOKUP(Activities[[#This Row],[Reference Year]],Inflation[#All],3,FALSE)))</f>
        <v>326793.50649350649</v>
      </c>
    </row>
    <row r="46" spans="1:15" ht="15" customHeight="1" x14ac:dyDescent="0.25">
      <c r="A46" s="9" t="s">
        <v>265</v>
      </c>
      <c r="B46" s="9" t="str">
        <f>INDEX(Places[Type],MATCH(Activities[[#This Row],[Jurisdiction]],Places[Jurisdiction],0))</f>
        <v>City</v>
      </c>
      <c r="C46" s="19" t="str">
        <f>INDEX(Places[County],MATCH(Activities[[#This Row],[Jurisdiction]],Places[Jurisdiction],0))</f>
        <v>Orange</v>
      </c>
      <c r="D46" s="19" t="str">
        <f>INDEX(Places[Majority RB],MATCH(Activities[[#This Row],[Jurisdiction]],Places[Jurisdiction],0))</f>
        <v>Santa Ana</v>
      </c>
      <c r="E46" s="9">
        <f>INDEX(Places[Majority RB '#],MATCH(Activities[[#This Row],[Jurisdiction]],Places[Jurisdiction],0))</f>
        <v>8</v>
      </c>
      <c r="F46" s="28" t="str">
        <f>VLOOKUP(Activities[[#This Row],[Jurisdiction]],Places[#All],8,FALSE)</f>
        <v>Phase I MS4</v>
      </c>
      <c r="G46" s="48" t="s">
        <v>996</v>
      </c>
      <c r="H46" s="8" t="s">
        <v>504</v>
      </c>
      <c r="I46" s="8"/>
      <c r="J46" s="8" t="s">
        <v>1897</v>
      </c>
      <c r="K46" s="27" t="s">
        <v>1875</v>
      </c>
      <c r="L46" s="28">
        <f>_xlfn.NUMBERVALUE(LEFT(Activities[[#This Row],[Fiscal Year]], 4))</f>
        <v>2001</v>
      </c>
      <c r="M46" s="28" t="s">
        <v>1862</v>
      </c>
      <c r="N46" s="41">
        <v>713953</v>
      </c>
      <c r="O46" s="93">
        <f>IF(Activities[[#This Row],[Reference Year]]&gt;2018,Activities[[#This Row],[Value]],Activities[[#This Row],[Value]]*(1+VLOOKUP(Activities[[#This Row],[Reference Year]],Inflation[#All],3,FALSE)))</f>
        <v>1014413.9319198193</v>
      </c>
    </row>
    <row r="47" spans="1:15" ht="15" customHeight="1" x14ac:dyDescent="0.25">
      <c r="A47" s="9" t="s">
        <v>265</v>
      </c>
      <c r="B47" s="9" t="str">
        <f>INDEX(Places[Type],MATCH(Activities[[#This Row],[Jurisdiction]],Places[Jurisdiction],0))</f>
        <v>City</v>
      </c>
      <c r="C47" s="19" t="str">
        <f>INDEX(Places[County],MATCH(Activities[[#This Row],[Jurisdiction]],Places[Jurisdiction],0))</f>
        <v>Orange</v>
      </c>
      <c r="D47" s="19" t="str">
        <f>INDEX(Places[Majority RB],MATCH(Activities[[#This Row],[Jurisdiction]],Places[Jurisdiction],0))</f>
        <v>Santa Ana</v>
      </c>
      <c r="E47" s="9">
        <f>INDEX(Places[Majority RB '#],MATCH(Activities[[#This Row],[Jurisdiction]],Places[Jurisdiction],0))</f>
        <v>8</v>
      </c>
      <c r="F47" s="28" t="str">
        <f>VLOOKUP(Activities[[#This Row],[Jurisdiction]],Places[#All],8,FALSE)</f>
        <v>Phase I MS4</v>
      </c>
      <c r="G47" s="48" t="s">
        <v>1000</v>
      </c>
      <c r="H47" s="8" t="s">
        <v>505</v>
      </c>
      <c r="I47" s="8"/>
      <c r="J47" s="8" t="s">
        <v>1456</v>
      </c>
      <c r="K47" s="27" t="s">
        <v>1875</v>
      </c>
      <c r="L47" s="28">
        <f>_xlfn.NUMBERVALUE(LEFT(Activities[[#This Row],[Fiscal Year]], 4))</f>
        <v>2001</v>
      </c>
      <c r="M47" s="28" t="s">
        <v>1862</v>
      </c>
      <c r="N47" s="41">
        <v>10000</v>
      </c>
      <c r="O47" s="93">
        <f>IF(Activities[[#This Row],[Reference Year]]&gt;2018,Activities[[#This Row],[Value]],Activities[[#This Row],[Value]]*(1+VLOOKUP(Activities[[#This Row],[Reference Year]],Inflation[#All],3,FALSE)))</f>
        <v>14208.413325804629</v>
      </c>
    </row>
    <row r="48" spans="1:15" ht="15" customHeight="1" x14ac:dyDescent="0.25">
      <c r="A48" s="9" t="s">
        <v>265</v>
      </c>
      <c r="B48" s="9" t="str">
        <f>INDEX(Places[Type],MATCH(Activities[[#This Row],[Jurisdiction]],Places[Jurisdiction],0))</f>
        <v>City</v>
      </c>
      <c r="C48" s="19" t="str">
        <f>INDEX(Places[County],MATCH(Activities[[#This Row],[Jurisdiction]],Places[Jurisdiction],0))</f>
        <v>Orange</v>
      </c>
      <c r="D48" s="19" t="str">
        <f>INDEX(Places[Majority RB],MATCH(Activities[[#This Row],[Jurisdiction]],Places[Jurisdiction],0))</f>
        <v>Santa Ana</v>
      </c>
      <c r="E48" s="9">
        <f>INDEX(Places[Majority RB '#],MATCH(Activities[[#This Row],[Jurisdiction]],Places[Jurisdiction],0))</f>
        <v>8</v>
      </c>
      <c r="F48" s="28" t="str">
        <f>VLOOKUP(Activities[[#This Row],[Jurisdiction]],Places[#All],8,FALSE)</f>
        <v>Phase I MS4</v>
      </c>
      <c r="G48" s="48" t="s">
        <v>991</v>
      </c>
      <c r="H48" s="8" t="s">
        <v>503</v>
      </c>
      <c r="I48" s="8"/>
      <c r="J48" s="8" t="s">
        <v>1894</v>
      </c>
      <c r="K48" s="27" t="s">
        <v>1875</v>
      </c>
      <c r="L48" s="28">
        <f>_xlfn.NUMBERVALUE(LEFT(Activities[[#This Row],[Fiscal Year]], 4))</f>
        <v>2001</v>
      </c>
      <c r="M48" s="28" t="s">
        <v>1862</v>
      </c>
      <c r="N48" s="41">
        <v>450000</v>
      </c>
      <c r="O48" s="93">
        <f>IF(Activities[[#This Row],[Reference Year]]&gt;2018,Activities[[#This Row],[Value]],Activities[[#This Row],[Value]]*(1+VLOOKUP(Activities[[#This Row],[Reference Year]],Inflation[#All],3,FALSE)))</f>
        <v>639378.59966120834</v>
      </c>
    </row>
    <row r="49" spans="1:15" ht="15" customHeight="1" x14ac:dyDescent="0.25">
      <c r="A49" s="9" t="s">
        <v>179</v>
      </c>
      <c r="B49" s="9" t="str">
        <f>INDEX(Places[Type],MATCH(Activities[[#This Row],[Jurisdiction]],Places[Jurisdiction],0))</f>
        <v>City</v>
      </c>
      <c r="C49" s="19" t="str">
        <f>INDEX(Places[County],MATCH(Activities[[#This Row],[Jurisdiction]],Places[Jurisdiction],0))</f>
        <v>Los Angeles</v>
      </c>
      <c r="D49" s="19" t="str">
        <f>INDEX(Places[Majority RB],MATCH(Activities[[#This Row],[Jurisdiction]],Places[Jurisdiction],0))</f>
        <v>Los Angeles</v>
      </c>
      <c r="E49" s="9">
        <f>INDEX(Places[Majority RB '#],MATCH(Activities[[#This Row],[Jurisdiction]],Places[Jurisdiction],0))</f>
        <v>4</v>
      </c>
      <c r="F49" s="28" t="str">
        <f>VLOOKUP(Activities[[#This Row],[Jurisdiction]],Places[#All],8,FALSE)</f>
        <v>Phase I MS4</v>
      </c>
      <c r="G49" s="48" t="s">
        <v>851</v>
      </c>
      <c r="H49" s="8"/>
      <c r="I49" s="8"/>
      <c r="J49" s="8" t="s">
        <v>76</v>
      </c>
      <c r="K49" s="27" t="s">
        <v>1873</v>
      </c>
      <c r="L49" s="28">
        <f>_xlfn.NUMBERVALUE(LEFT(Activities[[#This Row],[Fiscal Year]], 4))</f>
        <v>2015</v>
      </c>
      <c r="M49" s="28" t="s">
        <v>1862</v>
      </c>
      <c r="N49" s="41">
        <v>15000</v>
      </c>
      <c r="O49" s="93">
        <f>IF(Activities[[#This Row],[Reference Year]]&gt;2018,Activities[[#This Row],[Value]],Activities[[#This Row],[Value]]*(1+VLOOKUP(Activities[[#This Row],[Reference Year]],Inflation[#All],3,FALSE)))</f>
        <v>15926.012658227848</v>
      </c>
    </row>
    <row r="50" spans="1:15" ht="15" customHeight="1" x14ac:dyDescent="0.25">
      <c r="A50" s="9" t="s">
        <v>179</v>
      </c>
      <c r="B50" s="9" t="str">
        <f>INDEX(Places[Type],MATCH(Activities[[#This Row],[Jurisdiction]],Places[Jurisdiction],0))</f>
        <v>City</v>
      </c>
      <c r="C50" s="19" t="str">
        <f>INDEX(Places[County],MATCH(Activities[[#This Row],[Jurisdiction]],Places[Jurisdiction],0))</f>
        <v>Los Angeles</v>
      </c>
      <c r="D50" s="19" t="str">
        <f>INDEX(Places[Majority RB],MATCH(Activities[[#This Row],[Jurisdiction]],Places[Jurisdiction],0))</f>
        <v>Los Angeles</v>
      </c>
      <c r="E50" s="9">
        <f>INDEX(Places[Majority RB '#],MATCH(Activities[[#This Row],[Jurisdiction]],Places[Jurisdiction],0))</f>
        <v>4</v>
      </c>
      <c r="F50" s="28" t="str">
        <f>VLOOKUP(Activities[[#This Row],[Jurisdiction]],Places[#All],8,FALSE)</f>
        <v>Phase I MS4</v>
      </c>
      <c r="G50" s="48" t="s">
        <v>849</v>
      </c>
      <c r="H50" s="8"/>
      <c r="I50" s="8"/>
      <c r="J50" s="8" t="s">
        <v>131</v>
      </c>
      <c r="K50" s="27" t="s">
        <v>1873</v>
      </c>
      <c r="L50" s="28">
        <f>_xlfn.NUMBERVALUE(LEFT(Activities[[#This Row],[Fiscal Year]], 4))</f>
        <v>2015</v>
      </c>
      <c r="M50" s="28" t="s">
        <v>1862</v>
      </c>
      <c r="N50" s="41">
        <v>5000</v>
      </c>
      <c r="O50" s="93">
        <f>IF(Activities[[#This Row],[Reference Year]]&gt;2018,Activities[[#This Row],[Value]],Activities[[#This Row],[Value]]*(1+VLOOKUP(Activities[[#This Row],[Reference Year]],Inflation[#All],3,FALSE)))</f>
        <v>5308.6708860759491</v>
      </c>
    </row>
    <row r="51" spans="1:15" ht="15" customHeight="1" x14ac:dyDescent="0.25">
      <c r="A51" s="9" t="s">
        <v>179</v>
      </c>
      <c r="B51" s="9" t="str">
        <f>INDEX(Places[Type],MATCH(Activities[[#This Row],[Jurisdiction]],Places[Jurisdiction],0))</f>
        <v>City</v>
      </c>
      <c r="C51" s="19" t="str">
        <f>INDEX(Places[County],MATCH(Activities[[#This Row],[Jurisdiction]],Places[Jurisdiction],0))</f>
        <v>Los Angeles</v>
      </c>
      <c r="D51" s="19" t="str">
        <f>INDEX(Places[Majority RB],MATCH(Activities[[#This Row],[Jurisdiction]],Places[Jurisdiction],0))</f>
        <v>Los Angeles</v>
      </c>
      <c r="E51" s="9">
        <f>INDEX(Places[Majority RB '#],MATCH(Activities[[#This Row],[Jurisdiction]],Places[Jurisdiction],0))</f>
        <v>4</v>
      </c>
      <c r="F51" s="28" t="str">
        <f>VLOOKUP(Activities[[#This Row],[Jurisdiction]],Places[#All],8,FALSE)</f>
        <v>Phase I MS4</v>
      </c>
      <c r="G51" s="48" t="s">
        <v>845</v>
      </c>
      <c r="H51" s="8"/>
      <c r="I51" s="8"/>
      <c r="J51" s="8" t="s">
        <v>334</v>
      </c>
      <c r="K51" s="27" t="s">
        <v>1873</v>
      </c>
      <c r="L51" s="28">
        <f>_xlfn.NUMBERVALUE(LEFT(Activities[[#This Row],[Fiscal Year]], 4))</f>
        <v>2015</v>
      </c>
      <c r="M51" s="28" t="s">
        <v>1862</v>
      </c>
      <c r="N51" s="41">
        <v>22000</v>
      </c>
      <c r="O51" s="93">
        <f>IF(Activities[[#This Row],[Reference Year]]&gt;2018,Activities[[#This Row],[Value]],Activities[[#This Row],[Value]]*(1+VLOOKUP(Activities[[#This Row],[Reference Year]],Inflation[#All],3,FALSE)))</f>
        <v>23358.151898734177</v>
      </c>
    </row>
    <row r="52" spans="1:15" ht="15" customHeight="1" x14ac:dyDescent="0.25">
      <c r="A52" s="9" t="s">
        <v>179</v>
      </c>
      <c r="B52" s="9" t="str">
        <f>INDEX(Places[Type],MATCH(Activities[[#This Row],[Jurisdiction]],Places[Jurisdiction],0))</f>
        <v>City</v>
      </c>
      <c r="C52" s="19" t="str">
        <f>INDEX(Places[County],MATCH(Activities[[#This Row],[Jurisdiction]],Places[Jurisdiction],0))</f>
        <v>Los Angeles</v>
      </c>
      <c r="D52" s="19" t="str">
        <f>INDEX(Places[Majority RB],MATCH(Activities[[#This Row],[Jurisdiction]],Places[Jurisdiction],0))</f>
        <v>Los Angeles</v>
      </c>
      <c r="E52" s="9">
        <f>INDEX(Places[Majority RB '#],MATCH(Activities[[#This Row],[Jurisdiction]],Places[Jurisdiction],0))</f>
        <v>4</v>
      </c>
      <c r="F52" s="28" t="str">
        <f>VLOOKUP(Activities[[#This Row],[Jurisdiction]],Places[#All],8,FALSE)</f>
        <v>Phase I MS4</v>
      </c>
      <c r="G52" s="48" t="s">
        <v>857</v>
      </c>
      <c r="H52" s="8"/>
      <c r="I52" s="8"/>
      <c r="J52" s="8" t="s">
        <v>1897</v>
      </c>
      <c r="K52" s="27" t="s">
        <v>1873</v>
      </c>
      <c r="L52" s="28">
        <f>_xlfn.NUMBERVALUE(LEFT(Activities[[#This Row],[Fiscal Year]], 4))</f>
        <v>2015</v>
      </c>
      <c r="M52" s="28" t="s">
        <v>1862</v>
      </c>
      <c r="N52" s="41">
        <v>16000</v>
      </c>
      <c r="O52" s="93">
        <f>IF(Activities[[#This Row],[Reference Year]]&gt;2018,Activities[[#This Row],[Value]],Activities[[#This Row],[Value]]*(1+VLOOKUP(Activities[[#This Row],[Reference Year]],Inflation[#All],3,FALSE)))</f>
        <v>16987.746835443038</v>
      </c>
    </row>
    <row r="53" spans="1:15" ht="15" customHeight="1" x14ac:dyDescent="0.25">
      <c r="A53" s="9" t="s">
        <v>179</v>
      </c>
      <c r="B53" s="9" t="str">
        <f>INDEX(Places[Type],MATCH(Activities[[#This Row],[Jurisdiction]],Places[Jurisdiction],0))</f>
        <v>City</v>
      </c>
      <c r="C53" s="19" t="str">
        <f>INDEX(Places[County],MATCH(Activities[[#This Row],[Jurisdiction]],Places[Jurisdiction],0))</f>
        <v>Los Angeles</v>
      </c>
      <c r="D53" s="19" t="str">
        <f>INDEX(Places[Majority RB],MATCH(Activities[[#This Row],[Jurisdiction]],Places[Jurisdiction],0))</f>
        <v>Los Angeles</v>
      </c>
      <c r="E53" s="9">
        <f>INDEX(Places[Majority RB '#],MATCH(Activities[[#This Row],[Jurisdiction]],Places[Jurisdiction],0))</f>
        <v>4</v>
      </c>
      <c r="F53" s="28" t="str">
        <f>VLOOKUP(Activities[[#This Row],[Jurisdiction]],Places[#All],8,FALSE)</f>
        <v>Phase I MS4</v>
      </c>
      <c r="G53" s="48" t="s">
        <v>910</v>
      </c>
      <c r="H53" s="8"/>
      <c r="I53" s="8"/>
      <c r="J53" s="8" t="s">
        <v>1897</v>
      </c>
      <c r="K53" s="27" t="s">
        <v>1873</v>
      </c>
      <c r="L53" s="28">
        <f>_xlfn.NUMBERVALUE(LEFT(Activities[[#This Row],[Fiscal Year]], 4))</f>
        <v>2015</v>
      </c>
      <c r="M53" s="28" t="s">
        <v>1862</v>
      </c>
      <c r="N53" s="41">
        <v>334000</v>
      </c>
      <c r="O53" s="93">
        <f>IF(Activities[[#This Row],[Reference Year]]&gt;2018,Activities[[#This Row],[Value]],Activities[[#This Row],[Value]]*(1+VLOOKUP(Activities[[#This Row],[Reference Year]],Inflation[#All],3,FALSE)))</f>
        <v>354619.21518987342</v>
      </c>
    </row>
    <row r="54" spans="1:15" ht="15" customHeight="1" x14ac:dyDescent="0.25">
      <c r="A54" s="9" t="s">
        <v>179</v>
      </c>
      <c r="B54" s="9" t="str">
        <f>INDEX(Places[Type],MATCH(Activities[[#This Row],[Jurisdiction]],Places[Jurisdiction],0))</f>
        <v>City</v>
      </c>
      <c r="C54" s="19" t="str">
        <f>INDEX(Places[County],MATCH(Activities[[#This Row],[Jurisdiction]],Places[Jurisdiction],0))</f>
        <v>Los Angeles</v>
      </c>
      <c r="D54" s="19" t="str">
        <f>INDEX(Places[Majority RB],MATCH(Activities[[#This Row],[Jurisdiction]],Places[Jurisdiction],0))</f>
        <v>Los Angeles</v>
      </c>
      <c r="E54" s="9">
        <f>INDEX(Places[Majority RB '#],MATCH(Activities[[#This Row],[Jurisdiction]],Places[Jurisdiction],0))</f>
        <v>4</v>
      </c>
      <c r="F54" s="28" t="str">
        <f>VLOOKUP(Activities[[#This Row],[Jurisdiction]],Places[#All],8,FALSE)</f>
        <v>Phase I MS4</v>
      </c>
      <c r="G54" s="48" t="s">
        <v>847</v>
      </c>
      <c r="H54" s="8"/>
      <c r="I54" s="8"/>
      <c r="J54" s="8" t="s">
        <v>1898</v>
      </c>
      <c r="K54" s="27" t="s">
        <v>1873</v>
      </c>
      <c r="L54" s="28">
        <f>_xlfn.NUMBERVALUE(LEFT(Activities[[#This Row],[Fiscal Year]], 4))</f>
        <v>2015</v>
      </c>
      <c r="M54" s="28" t="s">
        <v>1862</v>
      </c>
      <c r="N54" s="41">
        <v>5000</v>
      </c>
      <c r="O54" s="93">
        <f>IF(Activities[[#This Row],[Reference Year]]&gt;2018,Activities[[#This Row],[Value]],Activities[[#This Row],[Value]]*(1+VLOOKUP(Activities[[#This Row],[Reference Year]],Inflation[#All],3,FALSE)))</f>
        <v>5308.6708860759491</v>
      </c>
    </row>
    <row r="55" spans="1:15" ht="15" customHeight="1" x14ac:dyDescent="0.25">
      <c r="A55" s="9" t="s">
        <v>179</v>
      </c>
      <c r="B55" s="9" t="str">
        <f>INDEX(Places[Type],MATCH(Activities[[#This Row],[Jurisdiction]],Places[Jurisdiction],0))</f>
        <v>City</v>
      </c>
      <c r="C55" s="19" t="str">
        <f>INDEX(Places[County],MATCH(Activities[[#This Row],[Jurisdiction]],Places[Jurisdiction],0))</f>
        <v>Los Angeles</v>
      </c>
      <c r="D55" s="19" t="str">
        <f>INDEX(Places[Majority RB],MATCH(Activities[[#This Row],[Jurisdiction]],Places[Jurisdiction],0))</f>
        <v>Los Angeles</v>
      </c>
      <c r="E55" s="9">
        <f>INDEX(Places[Majority RB '#],MATCH(Activities[[#This Row],[Jurisdiction]],Places[Jurisdiction],0))</f>
        <v>4</v>
      </c>
      <c r="F55" s="28" t="str">
        <f>VLOOKUP(Activities[[#This Row],[Jurisdiction]],Places[#All],8,FALSE)</f>
        <v>Phase I MS4</v>
      </c>
      <c r="G55" s="48" t="s">
        <v>846</v>
      </c>
      <c r="H55" s="8"/>
      <c r="I55" s="8"/>
      <c r="J55" s="8" t="s">
        <v>1898</v>
      </c>
      <c r="K55" s="27" t="s">
        <v>1873</v>
      </c>
      <c r="L55" s="28">
        <f>_xlfn.NUMBERVALUE(LEFT(Activities[[#This Row],[Fiscal Year]], 4))</f>
        <v>2015</v>
      </c>
      <c r="M55" s="28" t="s">
        <v>1862</v>
      </c>
      <c r="N55" s="41">
        <v>10000</v>
      </c>
      <c r="O55" s="93">
        <f>IF(Activities[[#This Row],[Reference Year]]&gt;2018,Activities[[#This Row],[Value]],Activities[[#This Row],[Value]]*(1+VLOOKUP(Activities[[#This Row],[Reference Year]],Inflation[#All],3,FALSE)))</f>
        <v>10617.341772151898</v>
      </c>
    </row>
    <row r="56" spans="1:15" ht="15" customHeight="1" x14ac:dyDescent="0.25">
      <c r="A56" s="9" t="s">
        <v>179</v>
      </c>
      <c r="B56" s="9" t="str">
        <f>INDEX(Places[Type],MATCH(Activities[[#This Row],[Jurisdiction]],Places[Jurisdiction],0))</f>
        <v>City</v>
      </c>
      <c r="C56" s="19" t="str">
        <f>INDEX(Places[County],MATCH(Activities[[#This Row],[Jurisdiction]],Places[Jurisdiction],0))</f>
        <v>Los Angeles</v>
      </c>
      <c r="D56" s="19" t="str">
        <f>INDEX(Places[Majority RB],MATCH(Activities[[#This Row],[Jurisdiction]],Places[Jurisdiction],0))</f>
        <v>Los Angeles</v>
      </c>
      <c r="E56" s="9">
        <f>INDEX(Places[Majority RB '#],MATCH(Activities[[#This Row],[Jurisdiction]],Places[Jurisdiction],0))</f>
        <v>4</v>
      </c>
      <c r="F56" s="28" t="str">
        <f>VLOOKUP(Activities[[#This Row],[Jurisdiction]],Places[#All],8,FALSE)</f>
        <v>Phase I MS4</v>
      </c>
      <c r="G56" s="48" t="s">
        <v>844</v>
      </c>
      <c r="H56" s="8"/>
      <c r="I56" s="8"/>
      <c r="J56" s="8" t="s">
        <v>1456</v>
      </c>
      <c r="K56" s="27" t="s">
        <v>1873</v>
      </c>
      <c r="L56" s="28">
        <f>_xlfn.NUMBERVALUE(LEFT(Activities[[#This Row],[Fiscal Year]], 4))</f>
        <v>2015</v>
      </c>
      <c r="M56" s="28" t="s">
        <v>1862</v>
      </c>
      <c r="N56" s="41">
        <v>8000</v>
      </c>
      <c r="O56" s="93">
        <f>IF(Activities[[#This Row],[Reference Year]]&gt;2018,Activities[[#This Row],[Value]],Activities[[#This Row],[Value]]*(1+VLOOKUP(Activities[[#This Row],[Reference Year]],Inflation[#All],3,FALSE)))</f>
        <v>8493.8734177215192</v>
      </c>
    </row>
    <row r="57" spans="1:15" ht="15" customHeight="1" x14ac:dyDescent="0.25">
      <c r="A57" s="9" t="s">
        <v>179</v>
      </c>
      <c r="B57" s="9" t="str">
        <f>INDEX(Places[Type],MATCH(Activities[[#This Row],[Jurisdiction]],Places[Jurisdiction],0))</f>
        <v>City</v>
      </c>
      <c r="C57" s="19" t="str">
        <f>INDEX(Places[County],MATCH(Activities[[#This Row],[Jurisdiction]],Places[Jurisdiction],0))</f>
        <v>Los Angeles</v>
      </c>
      <c r="D57" s="19" t="str">
        <f>INDEX(Places[Majority RB],MATCH(Activities[[#This Row],[Jurisdiction]],Places[Jurisdiction],0))</f>
        <v>Los Angeles</v>
      </c>
      <c r="E57" s="9">
        <f>INDEX(Places[Majority RB '#],MATCH(Activities[[#This Row],[Jurisdiction]],Places[Jurisdiction],0))</f>
        <v>4</v>
      </c>
      <c r="F57" s="28" t="str">
        <f>VLOOKUP(Activities[[#This Row],[Jurisdiction]],Places[#All],8,FALSE)</f>
        <v>Phase I MS4</v>
      </c>
      <c r="G57" s="48" t="s">
        <v>909</v>
      </c>
      <c r="H57" s="8"/>
      <c r="I57" s="8"/>
      <c r="J57" s="8" t="s">
        <v>1894</v>
      </c>
      <c r="K57" s="27" t="s">
        <v>1873</v>
      </c>
      <c r="L57" s="28">
        <f>_xlfn.NUMBERVALUE(LEFT(Activities[[#This Row],[Fiscal Year]], 4))</f>
        <v>2015</v>
      </c>
      <c r="M57" s="28" t="s">
        <v>1862</v>
      </c>
      <c r="N57" s="41">
        <v>24000</v>
      </c>
      <c r="O57" s="93">
        <f>IF(Activities[[#This Row],[Reference Year]]&gt;2018,Activities[[#This Row],[Value]],Activities[[#This Row],[Value]]*(1+VLOOKUP(Activities[[#This Row],[Reference Year]],Inflation[#All],3,FALSE)))</f>
        <v>25481.620253164554</v>
      </c>
    </row>
    <row r="58" spans="1:15" ht="15" customHeight="1" x14ac:dyDescent="0.25">
      <c r="A58" s="9" t="s">
        <v>179</v>
      </c>
      <c r="B58" s="9" t="str">
        <f>INDEX(Places[Type],MATCH(Activities[[#This Row],[Jurisdiction]],Places[Jurisdiction],0))</f>
        <v>City</v>
      </c>
      <c r="C58" s="19" t="str">
        <f>INDEX(Places[County],MATCH(Activities[[#This Row],[Jurisdiction]],Places[Jurisdiction],0))</f>
        <v>Los Angeles</v>
      </c>
      <c r="D58" s="19" t="str">
        <f>INDEX(Places[Majority RB],MATCH(Activities[[#This Row],[Jurisdiction]],Places[Jurisdiction],0))</f>
        <v>Los Angeles</v>
      </c>
      <c r="E58" s="9">
        <f>INDEX(Places[Majority RB '#],MATCH(Activities[[#This Row],[Jurisdiction]],Places[Jurisdiction],0))</f>
        <v>4</v>
      </c>
      <c r="F58" s="28" t="str">
        <f>VLOOKUP(Activities[[#This Row],[Jurisdiction]],Places[#All],8,FALSE)</f>
        <v>Phase I MS4</v>
      </c>
      <c r="G58" s="48" t="s">
        <v>908</v>
      </c>
      <c r="H58" s="8"/>
      <c r="I58" s="8"/>
      <c r="J58" s="8" t="s">
        <v>1894</v>
      </c>
      <c r="K58" s="27" t="s">
        <v>1873</v>
      </c>
      <c r="L58" s="28">
        <f>_xlfn.NUMBERVALUE(LEFT(Activities[[#This Row],[Fiscal Year]], 4))</f>
        <v>2015</v>
      </c>
      <c r="M58" s="28" t="s">
        <v>1862</v>
      </c>
      <c r="N58" s="41">
        <v>125900</v>
      </c>
      <c r="O58" s="93">
        <f>IF(Activities[[#This Row],[Reference Year]]&gt;2018,Activities[[#This Row],[Value]],Activities[[#This Row],[Value]]*(1+VLOOKUP(Activities[[#This Row],[Reference Year]],Inflation[#All],3,FALSE)))</f>
        <v>133672.33291139238</v>
      </c>
    </row>
    <row r="59" spans="1:15" ht="15" customHeight="1" x14ac:dyDescent="0.25">
      <c r="A59" s="9" t="s">
        <v>179</v>
      </c>
      <c r="B59" s="9" t="str">
        <f>INDEX(Places[Type],MATCH(Activities[[#This Row],[Jurisdiction]],Places[Jurisdiction],0))</f>
        <v>City</v>
      </c>
      <c r="C59" s="19" t="str">
        <f>INDEX(Places[County],MATCH(Activities[[#This Row],[Jurisdiction]],Places[Jurisdiction],0))</f>
        <v>Los Angeles</v>
      </c>
      <c r="D59" s="19" t="str">
        <f>INDEX(Places[Majority RB],MATCH(Activities[[#This Row],[Jurisdiction]],Places[Jurisdiction],0))</f>
        <v>Los Angeles</v>
      </c>
      <c r="E59" s="9">
        <f>INDEX(Places[Majority RB '#],MATCH(Activities[[#This Row],[Jurisdiction]],Places[Jurisdiction],0))</f>
        <v>4</v>
      </c>
      <c r="F59" s="28" t="str">
        <f>VLOOKUP(Activities[[#This Row],[Jurisdiction]],Places[#All],8,FALSE)</f>
        <v>Phase I MS4</v>
      </c>
      <c r="G59" s="48" t="s">
        <v>850</v>
      </c>
      <c r="H59" s="8"/>
      <c r="I59" s="8"/>
      <c r="J59" s="8" t="s">
        <v>1896</v>
      </c>
      <c r="K59" s="27" t="s">
        <v>1873</v>
      </c>
      <c r="L59" s="28">
        <f>_xlfn.NUMBERVALUE(LEFT(Activities[[#This Row],[Fiscal Year]], 4))</f>
        <v>2015</v>
      </c>
      <c r="M59" s="28" t="s">
        <v>1862</v>
      </c>
      <c r="N59" s="41">
        <v>10000</v>
      </c>
      <c r="O59" s="93">
        <f>IF(Activities[[#This Row],[Reference Year]]&gt;2018,Activities[[#This Row],[Value]],Activities[[#This Row],[Value]]*(1+VLOOKUP(Activities[[#This Row],[Reference Year]],Inflation[#All],3,FALSE)))</f>
        <v>10617.341772151898</v>
      </c>
    </row>
    <row r="60" spans="1:15" ht="15" customHeight="1" x14ac:dyDescent="0.25">
      <c r="A60" s="9" t="s">
        <v>179</v>
      </c>
      <c r="B60" s="9" t="str">
        <f>INDEX(Places[Type],MATCH(Activities[[#This Row],[Jurisdiction]],Places[Jurisdiction],0))</f>
        <v>City</v>
      </c>
      <c r="C60" s="19" t="str">
        <f>INDEX(Places[County],MATCH(Activities[[#This Row],[Jurisdiction]],Places[Jurisdiction],0))</f>
        <v>Los Angeles</v>
      </c>
      <c r="D60" s="19" t="str">
        <f>INDEX(Places[Majority RB],MATCH(Activities[[#This Row],[Jurisdiction]],Places[Jurisdiction],0))</f>
        <v>Los Angeles</v>
      </c>
      <c r="E60" s="9">
        <f>INDEX(Places[Majority RB '#],MATCH(Activities[[#This Row],[Jurisdiction]],Places[Jurisdiction],0))</f>
        <v>4</v>
      </c>
      <c r="F60" s="28" t="str">
        <f>VLOOKUP(Activities[[#This Row],[Jurisdiction]],Places[#All],8,FALSE)</f>
        <v>Phase I MS4</v>
      </c>
      <c r="G60" s="56" t="s">
        <v>854</v>
      </c>
      <c r="H60" s="8"/>
      <c r="I60" s="8"/>
      <c r="J60" s="8" t="s">
        <v>47</v>
      </c>
      <c r="K60" s="27" t="s">
        <v>1873</v>
      </c>
      <c r="L60" s="28">
        <f>_xlfn.NUMBERVALUE(LEFT(Activities[[#This Row],[Fiscal Year]], 4))</f>
        <v>2015</v>
      </c>
      <c r="M60" s="28" t="s">
        <v>1862</v>
      </c>
      <c r="N60" s="41">
        <v>113000</v>
      </c>
      <c r="O60" s="93">
        <f>IF(Activities[[#This Row],[Reference Year]]&gt;2018,Activities[[#This Row],[Value]],Activities[[#This Row],[Value]]*(1+VLOOKUP(Activities[[#This Row],[Reference Year]],Inflation[#All],3,FALSE)))</f>
        <v>119975.96202531645</v>
      </c>
    </row>
    <row r="61" spans="1:15" ht="15" customHeight="1" x14ac:dyDescent="0.25">
      <c r="A61" s="9" t="s">
        <v>166</v>
      </c>
      <c r="B61" s="9" t="str">
        <f>INDEX(Places[Type],MATCH(Activities[[#This Row],[Jurisdiction]],Places[Jurisdiction],0))</f>
        <v>City</v>
      </c>
      <c r="C61" s="19" t="str">
        <f>INDEX(Places[County],MATCH(Activities[[#This Row],[Jurisdiction]],Places[Jurisdiction],0))</f>
        <v>Los Angeles</v>
      </c>
      <c r="D61" s="19" t="str">
        <f>INDEX(Places[Majority RB],MATCH(Activities[[#This Row],[Jurisdiction]],Places[Jurisdiction],0))</f>
        <v>Los Angeles</v>
      </c>
      <c r="E61" s="9">
        <f>INDEX(Places[Majority RB '#],MATCH(Activities[[#This Row],[Jurisdiction]],Places[Jurisdiction],0))</f>
        <v>4</v>
      </c>
      <c r="F61" s="28" t="str">
        <f>VLOOKUP(Activities[[#This Row],[Jurisdiction]],Places[#All],8,FALSE)</f>
        <v>Phase I MS4</v>
      </c>
      <c r="G61" s="48" t="s">
        <v>62</v>
      </c>
      <c r="H61" s="8"/>
      <c r="I61" s="8"/>
      <c r="J61" s="8" t="s">
        <v>131</v>
      </c>
      <c r="K61" s="27" t="s">
        <v>1873</v>
      </c>
      <c r="L61" s="28">
        <f>_xlfn.NUMBERVALUE(LEFT(Activities[[#This Row],[Fiscal Year]], 4))</f>
        <v>2015</v>
      </c>
      <c r="M61" s="28" t="s">
        <v>1862</v>
      </c>
      <c r="N61" s="41">
        <v>3000</v>
      </c>
      <c r="O61" s="93">
        <f>IF(Activities[[#This Row],[Reference Year]]&gt;2018,Activities[[#This Row],[Value]],Activities[[#This Row],[Value]]*(1+VLOOKUP(Activities[[#This Row],[Reference Year]],Inflation[#All],3,FALSE)))</f>
        <v>3185.2025316455693</v>
      </c>
    </row>
    <row r="62" spans="1:15" ht="15" customHeight="1" x14ac:dyDescent="0.25">
      <c r="A62" s="9" t="s">
        <v>166</v>
      </c>
      <c r="B62" s="9" t="str">
        <f>INDEX(Places[Type],MATCH(Activities[[#This Row],[Jurisdiction]],Places[Jurisdiction],0))</f>
        <v>City</v>
      </c>
      <c r="C62" s="19" t="str">
        <f>INDEX(Places[County],MATCH(Activities[[#This Row],[Jurisdiction]],Places[Jurisdiction],0))</f>
        <v>Los Angeles</v>
      </c>
      <c r="D62" s="19" t="str">
        <f>INDEX(Places[Majority RB],MATCH(Activities[[#This Row],[Jurisdiction]],Places[Jurisdiction],0))</f>
        <v>Los Angeles</v>
      </c>
      <c r="E62" s="9">
        <f>INDEX(Places[Majority RB '#],MATCH(Activities[[#This Row],[Jurisdiction]],Places[Jurisdiction],0))</f>
        <v>4</v>
      </c>
      <c r="F62" s="28" t="str">
        <f>VLOOKUP(Activities[[#This Row],[Jurisdiction]],Places[#All],8,FALSE)</f>
        <v>Phase I MS4</v>
      </c>
      <c r="G62" s="48" t="s">
        <v>208</v>
      </c>
      <c r="H62" s="8"/>
      <c r="I62" s="8"/>
      <c r="J62" s="8" t="s">
        <v>334</v>
      </c>
      <c r="K62" s="27" t="s">
        <v>1873</v>
      </c>
      <c r="L62" s="28">
        <f>_xlfn.NUMBERVALUE(LEFT(Activities[[#This Row],[Fiscal Year]], 4))</f>
        <v>2015</v>
      </c>
      <c r="M62" s="28" t="s">
        <v>1862</v>
      </c>
      <c r="N62" s="41">
        <v>20000</v>
      </c>
      <c r="O62" s="93">
        <f>IF(Activities[[#This Row],[Reference Year]]&gt;2018,Activities[[#This Row],[Value]],Activities[[#This Row],[Value]]*(1+VLOOKUP(Activities[[#This Row],[Reference Year]],Inflation[#All],3,FALSE)))</f>
        <v>21234.683544303796</v>
      </c>
    </row>
    <row r="63" spans="1:15" ht="15" customHeight="1" x14ac:dyDescent="0.25">
      <c r="A63" s="9" t="s">
        <v>166</v>
      </c>
      <c r="B63" s="9" t="str">
        <f>INDEX(Places[Type],MATCH(Activities[[#This Row],[Jurisdiction]],Places[Jurisdiction],0))</f>
        <v>City</v>
      </c>
      <c r="C63" s="19" t="str">
        <f>INDEX(Places[County],MATCH(Activities[[#This Row],[Jurisdiction]],Places[Jurisdiction],0))</f>
        <v>Los Angeles</v>
      </c>
      <c r="D63" s="19" t="str">
        <f>INDEX(Places[Majority RB],MATCH(Activities[[#This Row],[Jurisdiction]],Places[Jurisdiction],0))</f>
        <v>Los Angeles</v>
      </c>
      <c r="E63" s="9">
        <f>INDEX(Places[Majority RB '#],MATCH(Activities[[#This Row],[Jurisdiction]],Places[Jurisdiction],0))</f>
        <v>4</v>
      </c>
      <c r="F63" s="28" t="str">
        <f>VLOOKUP(Activities[[#This Row],[Jurisdiction]],Places[#All],8,FALSE)</f>
        <v>Phase I MS4</v>
      </c>
      <c r="G63" s="48" t="s">
        <v>61</v>
      </c>
      <c r="H63" s="8"/>
      <c r="I63" s="8"/>
      <c r="J63" s="8" t="s">
        <v>1897</v>
      </c>
      <c r="K63" s="27" t="s">
        <v>1873</v>
      </c>
      <c r="L63" s="28">
        <f>_xlfn.NUMBERVALUE(LEFT(Activities[[#This Row],[Fiscal Year]], 4))</f>
        <v>2015</v>
      </c>
      <c r="M63" s="28" t="s">
        <v>1862</v>
      </c>
      <c r="N63" s="41">
        <v>100000</v>
      </c>
      <c r="O63" s="93">
        <f>IF(Activities[[#This Row],[Reference Year]]&gt;2018,Activities[[#This Row],[Value]],Activities[[#This Row],[Value]]*(1+VLOOKUP(Activities[[#This Row],[Reference Year]],Inflation[#All],3,FALSE)))</f>
        <v>106173.41772151898</v>
      </c>
    </row>
    <row r="64" spans="1:15" ht="15" customHeight="1" x14ac:dyDescent="0.25">
      <c r="A64" s="9" t="s">
        <v>166</v>
      </c>
      <c r="B64" s="9" t="str">
        <f>INDEX(Places[Type],MATCH(Activities[[#This Row],[Jurisdiction]],Places[Jurisdiction],0))</f>
        <v>City</v>
      </c>
      <c r="C64" s="19" t="str">
        <f>INDEX(Places[County],MATCH(Activities[[#This Row],[Jurisdiction]],Places[Jurisdiction],0))</f>
        <v>Los Angeles</v>
      </c>
      <c r="D64" s="19" t="str">
        <f>INDEX(Places[Majority RB],MATCH(Activities[[#This Row],[Jurisdiction]],Places[Jurisdiction],0))</f>
        <v>Los Angeles</v>
      </c>
      <c r="E64" s="9">
        <f>INDEX(Places[Majority RB '#],MATCH(Activities[[#This Row],[Jurisdiction]],Places[Jurisdiction],0))</f>
        <v>4</v>
      </c>
      <c r="F64" s="28" t="str">
        <f>VLOOKUP(Activities[[#This Row],[Jurisdiction]],Places[#All],8,FALSE)</f>
        <v>Phase I MS4</v>
      </c>
      <c r="G64" s="48" t="s">
        <v>60</v>
      </c>
      <c r="H64" s="8"/>
      <c r="I64" s="8"/>
      <c r="J64" s="8" t="s">
        <v>1898</v>
      </c>
      <c r="K64" s="27" t="s">
        <v>1873</v>
      </c>
      <c r="L64" s="28">
        <f>_xlfn.NUMBERVALUE(LEFT(Activities[[#This Row],[Fiscal Year]], 4))</f>
        <v>2015</v>
      </c>
      <c r="M64" s="28" t="s">
        <v>1862</v>
      </c>
      <c r="N64" s="41">
        <v>2500</v>
      </c>
      <c r="O64" s="93">
        <f>IF(Activities[[#This Row],[Reference Year]]&gt;2018,Activities[[#This Row],[Value]],Activities[[#This Row],[Value]]*(1+VLOOKUP(Activities[[#This Row],[Reference Year]],Inflation[#All],3,FALSE)))</f>
        <v>2654.3354430379745</v>
      </c>
    </row>
    <row r="65" spans="1:15" ht="15" customHeight="1" x14ac:dyDescent="0.25">
      <c r="A65" s="9" t="s">
        <v>166</v>
      </c>
      <c r="B65" s="9" t="str">
        <f>INDEX(Places[Type],MATCH(Activities[[#This Row],[Jurisdiction]],Places[Jurisdiction],0))</f>
        <v>City</v>
      </c>
      <c r="C65" s="19" t="str">
        <f>INDEX(Places[County],MATCH(Activities[[#This Row],[Jurisdiction]],Places[Jurisdiction],0))</f>
        <v>Los Angeles</v>
      </c>
      <c r="D65" s="19" t="str">
        <f>INDEX(Places[Majority RB],MATCH(Activities[[#This Row],[Jurisdiction]],Places[Jurisdiction],0))</f>
        <v>Los Angeles</v>
      </c>
      <c r="E65" s="9">
        <f>INDEX(Places[Majority RB '#],MATCH(Activities[[#This Row],[Jurisdiction]],Places[Jurisdiction],0))</f>
        <v>4</v>
      </c>
      <c r="F65" s="28" t="str">
        <f>VLOOKUP(Activities[[#This Row],[Jurisdiction]],Places[#All],8,FALSE)</f>
        <v>Phase I MS4</v>
      </c>
      <c r="G65" s="48" t="s">
        <v>59</v>
      </c>
      <c r="H65" s="8"/>
      <c r="I65" s="8"/>
      <c r="J65" s="8" t="s">
        <v>1898</v>
      </c>
      <c r="K65" s="27" t="s">
        <v>1873</v>
      </c>
      <c r="L65" s="28">
        <f>_xlfn.NUMBERVALUE(LEFT(Activities[[#This Row],[Fiscal Year]], 4))</f>
        <v>2015</v>
      </c>
      <c r="M65" s="28" t="s">
        <v>1862</v>
      </c>
      <c r="N65" s="41">
        <v>5000</v>
      </c>
      <c r="O65" s="93">
        <f>IF(Activities[[#This Row],[Reference Year]]&gt;2018,Activities[[#This Row],[Value]],Activities[[#This Row],[Value]]*(1+VLOOKUP(Activities[[#This Row],[Reference Year]],Inflation[#All],3,FALSE)))</f>
        <v>5308.6708860759491</v>
      </c>
    </row>
    <row r="66" spans="1:15" ht="15" customHeight="1" x14ac:dyDescent="0.25">
      <c r="A66" s="9" t="s">
        <v>166</v>
      </c>
      <c r="B66" s="9" t="str">
        <f>INDEX(Places[Type],MATCH(Activities[[#This Row],[Jurisdiction]],Places[Jurisdiction],0))</f>
        <v>City</v>
      </c>
      <c r="C66" s="19" t="str">
        <f>INDEX(Places[County],MATCH(Activities[[#This Row],[Jurisdiction]],Places[Jurisdiction],0))</f>
        <v>Los Angeles</v>
      </c>
      <c r="D66" s="19" t="str">
        <f>INDEX(Places[Majority RB],MATCH(Activities[[#This Row],[Jurisdiction]],Places[Jurisdiction],0))</f>
        <v>Los Angeles</v>
      </c>
      <c r="E66" s="9">
        <f>INDEX(Places[Majority RB '#],MATCH(Activities[[#This Row],[Jurisdiction]],Places[Jurisdiction],0))</f>
        <v>4</v>
      </c>
      <c r="F66" s="28" t="str">
        <f>VLOOKUP(Activities[[#This Row],[Jurisdiction]],Places[#All],8,FALSE)</f>
        <v>Phase I MS4</v>
      </c>
      <c r="G66" s="48" t="s">
        <v>58</v>
      </c>
      <c r="H66" s="8"/>
      <c r="I66" s="8"/>
      <c r="J66" s="8" t="s">
        <v>1456</v>
      </c>
      <c r="K66" s="27" t="s">
        <v>1873</v>
      </c>
      <c r="L66" s="28">
        <f>_xlfn.NUMBERVALUE(LEFT(Activities[[#This Row],[Fiscal Year]], 4))</f>
        <v>2015</v>
      </c>
      <c r="M66" s="28" t="s">
        <v>1862</v>
      </c>
      <c r="N66" s="41">
        <v>4500</v>
      </c>
      <c r="O66" s="93">
        <f>IF(Activities[[#This Row],[Reference Year]]&gt;2018,Activities[[#This Row],[Value]],Activities[[#This Row],[Value]]*(1+VLOOKUP(Activities[[#This Row],[Reference Year]],Inflation[#All],3,FALSE)))</f>
        <v>4777.8037974683539</v>
      </c>
    </row>
    <row r="67" spans="1:15" ht="15" customHeight="1" x14ac:dyDescent="0.25">
      <c r="A67" s="9" t="s">
        <v>166</v>
      </c>
      <c r="B67" s="9" t="str">
        <f>INDEX(Places[Type],MATCH(Activities[[#This Row],[Jurisdiction]],Places[Jurisdiction],0))</f>
        <v>City</v>
      </c>
      <c r="C67" s="19" t="str">
        <f>INDEX(Places[County],MATCH(Activities[[#This Row],[Jurisdiction]],Places[Jurisdiction],0))</f>
        <v>Los Angeles</v>
      </c>
      <c r="D67" s="19" t="str">
        <f>INDEX(Places[Majority RB],MATCH(Activities[[#This Row],[Jurisdiction]],Places[Jurisdiction],0))</f>
        <v>Los Angeles</v>
      </c>
      <c r="E67" s="9">
        <f>INDEX(Places[Majority RB '#],MATCH(Activities[[#This Row],[Jurisdiction]],Places[Jurisdiction],0))</f>
        <v>4</v>
      </c>
      <c r="F67" s="28" t="str">
        <f>VLOOKUP(Activities[[#This Row],[Jurisdiction]],Places[#All],8,FALSE)</f>
        <v>Phase I MS4</v>
      </c>
      <c r="G67" s="48" t="s">
        <v>32</v>
      </c>
      <c r="H67" s="8"/>
      <c r="I67" s="8"/>
      <c r="J67" s="8" t="s">
        <v>1894</v>
      </c>
      <c r="K67" s="27" t="s">
        <v>1873</v>
      </c>
      <c r="L67" s="28">
        <f>_xlfn.NUMBERVALUE(LEFT(Activities[[#This Row],[Fiscal Year]], 4))</f>
        <v>2015</v>
      </c>
      <c r="M67" s="28" t="s">
        <v>1862</v>
      </c>
      <c r="N67" s="41">
        <v>10000</v>
      </c>
      <c r="O67" s="93">
        <f>IF(Activities[[#This Row],[Reference Year]]&gt;2018,Activities[[#This Row],[Value]],Activities[[#This Row],[Value]]*(1+VLOOKUP(Activities[[#This Row],[Reference Year]],Inflation[#All],3,FALSE)))</f>
        <v>10617.341772151898</v>
      </c>
    </row>
    <row r="68" spans="1:15" ht="15" customHeight="1" x14ac:dyDescent="0.25">
      <c r="A68" s="9" t="s">
        <v>166</v>
      </c>
      <c r="B68" s="9" t="str">
        <f>INDEX(Places[Type],MATCH(Activities[[#This Row],[Jurisdiction]],Places[Jurisdiction],0))</f>
        <v>City</v>
      </c>
      <c r="C68" s="19" t="str">
        <f>INDEX(Places[County],MATCH(Activities[[#This Row],[Jurisdiction]],Places[Jurisdiction],0))</f>
        <v>Los Angeles</v>
      </c>
      <c r="D68" s="19" t="str">
        <f>INDEX(Places[Majority RB],MATCH(Activities[[#This Row],[Jurisdiction]],Places[Jurisdiction],0))</f>
        <v>Los Angeles</v>
      </c>
      <c r="E68" s="9">
        <f>INDEX(Places[Majority RB '#],MATCH(Activities[[#This Row],[Jurisdiction]],Places[Jurisdiction],0))</f>
        <v>4</v>
      </c>
      <c r="F68" s="28" t="str">
        <f>VLOOKUP(Activities[[#This Row],[Jurisdiction]],Places[#All],8,FALSE)</f>
        <v>Phase I MS4</v>
      </c>
      <c r="G68" s="48" t="s">
        <v>67</v>
      </c>
      <c r="H68" s="8" t="s">
        <v>915</v>
      </c>
      <c r="I68" s="8" t="s">
        <v>429</v>
      </c>
      <c r="J68" s="8" t="s">
        <v>1896</v>
      </c>
      <c r="K68" s="27" t="s">
        <v>1873</v>
      </c>
      <c r="L68" s="28">
        <f>_xlfn.NUMBERVALUE(LEFT(Activities[[#This Row],[Fiscal Year]], 4))</f>
        <v>2015</v>
      </c>
      <c r="M68" s="28" t="s">
        <v>1862</v>
      </c>
      <c r="N68" s="41">
        <v>5000</v>
      </c>
      <c r="O68" s="93">
        <f>IF(Activities[[#This Row],[Reference Year]]&gt;2018,Activities[[#This Row],[Value]],Activities[[#This Row],[Value]]*(1+VLOOKUP(Activities[[#This Row],[Reference Year]],Inflation[#All],3,FALSE)))</f>
        <v>5308.6708860759491</v>
      </c>
    </row>
    <row r="69" spans="1:15" ht="15" customHeight="1" x14ac:dyDescent="0.25">
      <c r="A69" s="9" t="s">
        <v>166</v>
      </c>
      <c r="B69" s="9" t="str">
        <f>INDEX(Places[Type],MATCH(Activities[[#This Row],[Jurisdiction]],Places[Jurisdiction],0))</f>
        <v>City</v>
      </c>
      <c r="C69" s="19" t="str">
        <f>INDEX(Places[County],MATCH(Activities[[#This Row],[Jurisdiction]],Places[Jurisdiction],0))</f>
        <v>Los Angeles</v>
      </c>
      <c r="D69" s="19" t="str">
        <f>INDEX(Places[Majority RB],MATCH(Activities[[#This Row],[Jurisdiction]],Places[Jurisdiction],0))</f>
        <v>Los Angeles</v>
      </c>
      <c r="E69" s="9">
        <f>INDEX(Places[Majority RB '#],MATCH(Activities[[#This Row],[Jurisdiction]],Places[Jurisdiction],0))</f>
        <v>4</v>
      </c>
      <c r="F69" s="28" t="str">
        <f>VLOOKUP(Activities[[#This Row],[Jurisdiction]],Places[#All],8,FALSE)</f>
        <v>Phase I MS4</v>
      </c>
      <c r="G69" s="48" t="s">
        <v>33</v>
      </c>
      <c r="H69" s="8"/>
      <c r="I69" s="8"/>
      <c r="J69" s="8" t="s">
        <v>47</v>
      </c>
      <c r="K69" s="27" t="s">
        <v>1873</v>
      </c>
      <c r="L69" s="28">
        <f>_xlfn.NUMBERVALUE(LEFT(Activities[[#This Row],[Fiscal Year]], 4))</f>
        <v>2015</v>
      </c>
      <c r="M69" s="28" t="s">
        <v>1862</v>
      </c>
      <c r="N69" s="41">
        <v>23444</v>
      </c>
      <c r="O69" s="93">
        <f>IF(Activities[[#This Row],[Reference Year]]&gt;2018,Activities[[#This Row],[Value]],Activities[[#This Row],[Value]]*(1+VLOOKUP(Activities[[#This Row],[Reference Year]],Inflation[#All],3,FALSE)))</f>
        <v>24891.296050632911</v>
      </c>
    </row>
    <row r="70" spans="1:15" ht="15" customHeight="1" x14ac:dyDescent="0.25">
      <c r="A70" s="9" t="s">
        <v>180</v>
      </c>
      <c r="B70" s="9" t="str">
        <f>INDEX(Places[Type],MATCH(Activities[[#This Row],[Jurisdiction]],Places[Jurisdiction],0))</f>
        <v>City</v>
      </c>
      <c r="C70" s="19" t="str">
        <f>INDEX(Places[County],MATCH(Activities[[#This Row],[Jurisdiction]],Places[Jurisdiction],0))</f>
        <v>Los Angeles</v>
      </c>
      <c r="D70" s="19" t="str">
        <f>INDEX(Places[Majority RB],MATCH(Activities[[#This Row],[Jurisdiction]],Places[Jurisdiction],0))</f>
        <v>Los Angeles</v>
      </c>
      <c r="E70" s="9">
        <f>INDEX(Places[Majority RB '#],MATCH(Activities[[#This Row],[Jurisdiction]],Places[Jurisdiction],0))</f>
        <v>4</v>
      </c>
      <c r="F70" s="28" t="str">
        <f>VLOOKUP(Activities[[#This Row],[Jurisdiction]],Places[#All],8,FALSE)</f>
        <v>Phase I MS4</v>
      </c>
      <c r="G70" s="48" t="s">
        <v>849</v>
      </c>
      <c r="H70" s="8"/>
      <c r="I70" s="8"/>
      <c r="J70" s="8" t="s">
        <v>131</v>
      </c>
      <c r="K70" s="27" t="s">
        <v>1873</v>
      </c>
      <c r="L70" s="28">
        <f>_xlfn.NUMBERVALUE(LEFT(Activities[[#This Row],[Fiscal Year]], 4))</f>
        <v>2015</v>
      </c>
      <c r="M70" s="28" t="s">
        <v>1862</v>
      </c>
      <c r="N70" s="41">
        <v>9000</v>
      </c>
      <c r="O70" s="93">
        <f>IF(Activities[[#This Row],[Reference Year]]&gt;2018,Activities[[#This Row],[Value]],Activities[[#This Row],[Value]]*(1+VLOOKUP(Activities[[#This Row],[Reference Year]],Inflation[#All],3,FALSE)))</f>
        <v>9555.6075949367078</v>
      </c>
    </row>
    <row r="71" spans="1:15" ht="15" customHeight="1" x14ac:dyDescent="0.25">
      <c r="A71" s="9" t="s">
        <v>180</v>
      </c>
      <c r="B71" s="9" t="str">
        <f>INDEX(Places[Type],MATCH(Activities[[#This Row],[Jurisdiction]],Places[Jurisdiction],0))</f>
        <v>City</v>
      </c>
      <c r="C71" s="19" t="str">
        <f>INDEX(Places[County],MATCH(Activities[[#This Row],[Jurisdiction]],Places[Jurisdiction],0))</f>
        <v>Los Angeles</v>
      </c>
      <c r="D71" s="19" t="str">
        <f>INDEX(Places[Majority RB],MATCH(Activities[[#This Row],[Jurisdiction]],Places[Jurisdiction],0))</f>
        <v>Los Angeles</v>
      </c>
      <c r="E71" s="9">
        <f>INDEX(Places[Majority RB '#],MATCH(Activities[[#This Row],[Jurisdiction]],Places[Jurisdiction],0))</f>
        <v>4</v>
      </c>
      <c r="F71" s="28" t="str">
        <f>VLOOKUP(Activities[[#This Row],[Jurisdiction]],Places[#All],8,FALSE)</f>
        <v>Phase I MS4</v>
      </c>
      <c r="G71" s="48" t="s">
        <v>845</v>
      </c>
      <c r="H71" s="8"/>
      <c r="I71" s="8"/>
      <c r="J71" s="8" t="s">
        <v>334</v>
      </c>
      <c r="K71" s="27" t="s">
        <v>1873</v>
      </c>
      <c r="L71" s="28">
        <f>_xlfn.NUMBERVALUE(LEFT(Activities[[#This Row],[Fiscal Year]], 4))</f>
        <v>2015</v>
      </c>
      <c r="M71" s="28" t="s">
        <v>1862</v>
      </c>
      <c r="N71" s="41">
        <v>35000</v>
      </c>
      <c r="O71" s="93">
        <f>IF(Activities[[#This Row],[Reference Year]]&gt;2018,Activities[[#This Row],[Value]],Activities[[#This Row],[Value]]*(1+VLOOKUP(Activities[[#This Row],[Reference Year]],Inflation[#All],3,FALSE)))</f>
        <v>37160.696202531646</v>
      </c>
    </row>
    <row r="72" spans="1:15" ht="15" customHeight="1" x14ac:dyDescent="0.25">
      <c r="A72" s="9" t="s">
        <v>180</v>
      </c>
      <c r="B72" s="9" t="str">
        <f>INDEX(Places[Type],MATCH(Activities[[#This Row],[Jurisdiction]],Places[Jurisdiction],0))</f>
        <v>City</v>
      </c>
      <c r="C72" s="19" t="str">
        <f>INDEX(Places[County],MATCH(Activities[[#This Row],[Jurisdiction]],Places[Jurisdiction],0))</f>
        <v>Los Angeles</v>
      </c>
      <c r="D72" s="19" t="str">
        <f>INDEX(Places[Majority RB],MATCH(Activities[[#This Row],[Jurisdiction]],Places[Jurisdiction],0))</f>
        <v>Los Angeles</v>
      </c>
      <c r="E72" s="9">
        <f>INDEX(Places[Majority RB '#],MATCH(Activities[[#This Row],[Jurisdiction]],Places[Jurisdiction],0))</f>
        <v>4</v>
      </c>
      <c r="F72" s="28" t="str">
        <f>VLOOKUP(Activities[[#This Row],[Jurisdiction]],Places[#All],8,FALSE)</f>
        <v>Phase I MS4</v>
      </c>
      <c r="G72" s="48" t="s">
        <v>857</v>
      </c>
      <c r="H72" s="8"/>
      <c r="I72" s="8"/>
      <c r="J72" s="8" t="s">
        <v>1897</v>
      </c>
      <c r="K72" s="27" t="s">
        <v>1873</v>
      </c>
      <c r="L72" s="28">
        <f>_xlfn.NUMBERVALUE(LEFT(Activities[[#This Row],[Fiscal Year]], 4))</f>
        <v>2015</v>
      </c>
      <c r="M72" s="28" t="s">
        <v>1862</v>
      </c>
      <c r="N72" s="41">
        <v>32000</v>
      </c>
      <c r="O72" s="93">
        <f>IF(Activities[[#This Row],[Reference Year]]&gt;2018,Activities[[#This Row],[Value]],Activities[[#This Row],[Value]]*(1+VLOOKUP(Activities[[#This Row],[Reference Year]],Inflation[#All],3,FALSE)))</f>
        <v>33975.493670886077</v>
      </c>
    </row>
    <row r="73" spans="1:15" ht="15" customHeight="1" x14ac:dyDescent="0.25">
      <c r="A73" s="9" t="s">
        <v>180</v>
      </c>
      <c r="B73" s="9" t="str">
        <f>INDEX(Places[Type],MATCH(Activities[[#This Row],[Jurisdiction]],Places[Jurisdiction],0))</f>
        <v>City</v>
      </c>
      <c r="C73" s="19" t="str">
        <f>INDEX(Places[County],MATCH(Activities[[#This Row],[Jurisdiction]],Places[Jurisdiction],0))</f>
        <v>Los Angeles</v>
      </c>
      <c r="D73" s="19" t="str">
        <f>INDEX(Places[Majority RB],MATCH(Activities[[#This Row],[Jurisdiction]],Places[Jurisdiction],0))</f>
        <v>Los Angeles</v>
      </c>
      <c r="E73" s="9">
        <f>INDEX(Places[Majority RB '#],MATCH(Activities[[#This Row],[Jurisdiction]],Places[Jurisdiction],0))</f>
        <v>4</v>
      </c>
      <c r="F73" s="28" t="str">
        <f>VLOOKUP(Activities[[#This Row],[Jurisdiction]],Places[#All],8,FALSE)</f>
        <v>Phase I MS4</v>
      </c>
      <c r="G73" s="48" t="s">
        <v>933</v>
      </c>
      <c r="H73" s="8"/>
      <c r="I73" s="8"/>
      <c r="J73" s="8" t="s">
        <v>1897</v>
      </c>
      <c r="K73" s="27" t="s">
        <v>1873</v>
      </c>
      <c r="L73" s="28">
        <f>_xlfn.NUMBERVALUE(LEFT(Activities[[#This Row],[Fiscal Year]], 4))</f>
        <v>2015</v>
      </c>
      <c r="M73" s="28" t="s">
        <v>1862</v>
      </c>
      <c r="N73" s="41">
        <v>314000</v>
      </c>
      <c r="O73" s="93">
        <f>IF(Activities[[#This Row],[Reference Year]]&gt;2018,Activities[[#This Row],[Value]],Activities[[#This Row],[Value]]*(1+VLOOKUP(Activities[[#This Row],[Reference Year]],Inflation[#All],3,FALSE)))</f>
        <v>333384.5316455696</v>
      </c>
    </row>
    <row r="74" spans="1:15" ht="15" customHeight="1" x14ac:dyDescent="0.25">
      <c r="A74" s="9" t="s">
        <v>180</v>
      </c>
      <c r="B74" s="9" t="str">
        <f>INDEX(Places[Type],MATCH(Activities[[#This Row],[Jurisdiction]],Places[Jurisdiction],0))</f>
        <v>City</v>
      </c>
      <c r="C74" s="19" t="str">
        <f>INDEX(Places[County],MATCH(Activities[[#This Row],[Jurisdiction]],Places[Jurisdiction],0))</f>
        <v>Los Angeles</v>
      </c>
      <c r="D74" s="19" t="str">
        <f>INDEX(Places[Majority RB],MATCH(Activities[[#This Row],[Jurisdiction]],Places[Jurisdiction],0))</f>
        <v>Los Angeles</v>
      </c>
      <c r="E74" s="9">
        <f>INDEX(Places[Majority RB '#],MATCH(Activities[[#This Row],[Jurisdiction]],Places[Jurisdiction],0))</f>
        <v>4</v>
      </c>
      <c r="F74" s="28" t="str">
        <f>VLOOKUP(Activities[[#This Row],[Jurisdiction]],Places[#All],8,FALSE)</f>
        <v>Phase I MS4</v>
      </c>
      <c r="G74" s="48" t="s">
        <v>846</v>
      </c>
      <c r="H74" s="8"/>
      <c r="I74" s="8"/>
      <c r="J74" s="8" t="s">
        <v>1898</v>
      </c>
      <c r="K74" s="27" t="s">
        <v>1873</v>
      </c>
      <c r="L74" s="28">
        <f>_xlfn.NUMBERVALUE(LEFT(Activities[[#This Row],[Fiscal Year]], 4))</f>
        <v>2015</v>
      </c>
      <c r="M74" s="28" t="s">
        <v>1862</v>
      </c>
      <c r="N74" s="41">
        <v>6000</v>
      </c>
      <c r="O74" s="93">
        <f>IF(Activities[[#This Row],[Reference Year]]&gt;2018,Activities[[#This Row],[Value]],Activities[[#This Row],[Value]]*(1+VLOOKUP(Activities[[#This Row],[Reference Year]],Inflation[#All],3,FALSE)))</f>
        <v>6370.4050632911385</v>
      </c>
    </row>
    <row r="75" spans="1:15" ht="15" customHeight="1" x14ac:dyDescent="0.25">
      <c r="A75" s="9" t="s">
        <v>180</v>
      </c>
      <c r="B75" s="9" t="str">
        <f>INDEX(Places[Type],MATCH(Activities[[#This Row],[Jurisdiction]],Places[Jurisdiction],0))</f>
        <v>City</v>
      </c>
      <c r="C75" s="19" t="str">
        <f>INDEX(Places[County],MATCH(Activities[[#This Row],[Jurisdiction]],Places[Jurisdiction],0))</f>
        <v>Los Angeles</v>
      </c>
      <c r="D75" s="19" t="str">
        <f>INDEX(Places[Majority RB],MATCH(Activities[[#This Row],[Jurisdiction]],Places[Jurisdiction],0))</f>
        <v>Los Angeles</v>
      </c>
      <c r="E75" s="9">
        <f>INDEX(Places[Majority RB '#],MATCH(Activities[[#This Row],[Jurisdiction]],Places[Jurisdiction],0))</f>
        <v>4</v>
      </c>
      <c r="F75" s="28" t="str">
        <f>VLOOKUP(Activities[[#This Row],[Jurisdiction]],Places[#All],8,FALSE)</f>
        <v>Phase I MS4</v>
      </c>
      <c r="G75" s="48" t="s">
        <v>847</v>
      </c>
      <c r="H75" s="8"/>
      <c r="I75" s="8"/>
      <c r="J75" s="8" t="s">
        <v>1898</v>
      </c>
      <c r="K75" s="27" t="s">
        <v>1873</v>
      </c>
      <c r="L75" s="28">
        <f>_xlfn.NUMBERVALUE(LEFT(Activities[[#This Row],[Fiscal Year]], 4))</f>
        <v>2015</v>
      </c>
      <c r="M75" s="28" t="s">
        <v>1862</v>
      </c>
      <c r="N75" s="41">
        <v>12000</v>
      </c>
      <c r="O75" s="93">
        <f>IF(Activities[[#This Row],[Reference Year]]&gt;2018,Activities[[#This Row],[Value]],Activities[[#This Row],[Value]]*(1+VLOOKUP(Activities[[#This Row],[Reference Year]],Inflation[#All],3,FALSE)))</f>
        <v>12740.810126582277</v>
      </c>
    </row>
    <row r="76" spans="1:15" ht="15" customHeight="1" x14ac:dyDescent="0.25">
      <c r="A76" s="9" t="s">
        <v>180</v>
      </c>
      <c r="B76" s="9" t="str">
        <f>INDEX(Places[Type],MATCH(Activities[[#This Row],[Jurisdiction]],Places[Jurisdiction],0))</f>
        <v>City</v>
      </c>
      <c r="C76" s="19" t="str">
        <f>INDEX(Places[County],MATCH(Activities[[#This Row],[Jurisdiction]],Places[Jurisdiction],0))</f>
        <v>Los Angeles</v>
      </c>
      <c r="D76" s="19" t="str">
        <f>INDEX(Places[Majority RB],MATCH(Activities[[#This Row],[Jurisdiction]],Places[Jurisdiction],0))</f>
        <v>Los Angeles</v>
      </c>
      <c r="E76" s="9">
        <f>INDEX(Places[Majority RB '#],MATCH(Activities[[#This Row],[Jurisdiction]],Places[Jurisdiction],0))</f>
        <v>4</v>
      </c>
      <c r="F76" s="28" t="str">
        <f>VLOOKUP(Activities[[#This Row],[Jurisdiction]],Places[#All],8,FALSE)</f>
        <v>Phase I MS4</v>
      </c>
      <c r="G76" s="48" t="s">
        <v>844</v>
      </c>
      <c r="H76" s="8"/>
      <c r="I76" s="8"/>
      <c r="J76" s="8" t="s">
        <v>1456</v>
      </c>
      <c r="K76" s="27" t="s">
        <v>1873</v>
      </c>
      <c r="L76" s="28">
        <f>_xlfn.NUMBERVALUE(LEFT(Activities[[#This Row],[Fiscal Year]], 4))</f>
        <v>2015</v>
      </c>
      <c r="M76" s="28" t="s">
        <v>1862</v>
      </c>
      <c r="N76" s="41">
        <v>22500</v>
      </c>
      <c r="O76" s="93">
        <f>IF(Activities[[#This Row],[Reference Year]]&gt;2018,Activities[[#This Row],[Value]],Activities[[#This Row],[Value]]*(1+VLOOKUP(Activities[[#This Row],[Reference Year]],Inflation[#All],3,FALSE)))</f>
        <v>23889.018987341769</v>
      </c>
    </row>
    <row r="77" spans="1:15" ht="15" customHeight="1" x14ac:dyDescent="0.25">
      <c r="A77" s="9" t="s">
        <v>180</v>
      </c>
      <c r="B77" s="9" t="str">
        <f>INDEX(Places[Type],MATCH(Activities[[#This Row],[Jurisdiction]],Places[Jurisdiction],0))</f>
        <v>City</v>
      </c>
      <c r="C77" s="19" t="str">
        <f>INDEX(Places[County],MATCH(Activities[[#This Row],[Jurisdiction]],Places[Jurisdiction],0))</f>
        <v>Los Angeles</v>
      </c>
      <c r="D77" s="19" t="str">
        <f>INDEX(Places[Majority RB],MATCH(Activities[[#This Row],[Jurisdiction]],Places[Jurisdiction],0))</f>
        <v>Los Angeles</v>
      </c>
      <c r="E77" s="9">
        <f>INDEX(Places[Majority RB '#],MATCH(Activities[[#This Row],[Jurisdiction]],Places[Jurisdiction],0))</f>
        <v>4</v>
      </c>
      <c r="F77" s="28" t="str">
        <f>VLOOKUP(Activities[[#This Row],[Jurisdiction]],Places[#All],8,FALSE)</f>
        <v>Phase I MS4</v>
      </c>
      <c r="G77" s="48" t="s">
        <v>908</v>
      </c>
      <c r="H77" s="8"/>
      <c r="I77" s="8"/>
      <c r="J77" s="8" t="s">
        <v>1894</v>
      </c>
      <c r="K77" s="27" t="s">
        <v>1873</v>
      </c>
      <c r="L77" s="28">
        <f>_xlfn.NUMBERVALUE(LEFT(Activities[[#This Row],[Fiscal Year]], 4))</f>
        <v>2015</v>
      </c>
      <c r="M77" s="28" t="s">
        <v>1862</v>
      </c>
      <c r="N77" s="41">
        <v>12000</v>
      </c>
      <c r="O77" s="93">
        <f>IF(Activities[[#This Row],[Reference Year]]&gt;2018,Activities[[#This Row],[Value]],Activities[[#This Row],[Value]]*(1+VLOOKUP(Activities[[#This Row],[Reference Year]],Inflation[#All],3,FALSE)))</f>
        <v>12740.810126582277</v>
      </c>
    </row>
    <row r="78" spans="1:15" ht="15" customHeight="1" x14ac:dyDescent="0.25">
      <c r="A78" s="9" t="s">
        <v>180</v>
      </c>
      <c r="B78" s="9" t="str">
        <f>INDEX(Places[Type],MATCH(Activities[[#This Row],[Jurisdiction]],Places[Jurisdiction],0))</f>
        <v>City</v>
      </c>
      <c r="C78" s="19" t="str">
        <f>INDEX(Places[County],MATCH(Activities[[#This Row],[Jurisdiction]],Places[Jurisdiction],0))</f>
        <v>Los Angeles</v>
      </c>
      <c r="D78" s="19" t="str">
        <f>INDEX(Places[Majority RB],MATCH(Activities[[#This Row],[Jurisdiction]],Places[Jurisdiction],0))</f>
        <v>Los Angeles</v>
      </c>
      <c r="E78" s="9">
        <f>INDEX(Places[Majority RB '#],MATCH(Activities[[#This Row],[Jurisdiction]],Places[Jurisdiction],0))</f>
        <v>4</v>
      </c>
      <c r="F78" s="28" t="str">
        <f>VLOOKUP(Activities[[#This Row],[Jurisdiction]],Places[#All],8,FALSE)</f>
        <v>Phase I MS4</v>
      </c>
      <c r="G78" s="48" t="s">
        <v>909</v>
      </c>
      <c r="H78" s="8"/>
      <c r="I78" s="8"/>
      <c r="J78" s="8" t="s">
        <v>1894</v>
      </c>
      <c r="K78" s="27" t="s">
        <v>1873</v>
      </c>
      <c r="L78" s="28">
        <f>_xlfn.NUMBERVALUE(LEFT(Activities[[#This Row],[Fiscal Year]], 4))</f>
        <v>2015</v>
      </c>
      <c r="M78" s="28" t="s">
        <v>1862</v>
      </c>
      <c r="N78" s="41">
        <v>22500</v>
      </c>
      <c r="O78" s="93">
        <f>IF(Activities[[#This Row],[Reference Year]]&gt;2018,Activities[[#This Row],[Value]],Activities[[#This Row],[Value]]*(1+VLOOKUP(Activities[[#This Row],[Reference Year]],Inflation[#All],3,FALSE)))</f>
        <v>23889.018987341769</v>
      </c>
    </row>
    <row r="79" spans="1:15" ht="15" customHeight="1" x14ac:dyDescent="0.25">
      <c r="A79" s="9" t="s">
        <v>180</v>
      </c>
      <c r="B79" s="9" t="str">
        <f>INDEX(Places[Type],MATCH(Activities[[#This Row],[Jurisdiction]],Places[Jurisdiction],0))</f>
        <v>City</v>
      </c>
      <c r="C79" s="19" t="str">
        <f>INDEX(Places[County],MATCH(Activities[[#This Row],[Jurisdiction]],Places[Jurisdiction],0))</f>
        <v>Los Angeles</v>
      </c>
      <c r="D79" s="19" t="str">
        <f>INDEX(Places[Majority RB],MATCH(Activities[[#This Row],[Jurisdiction]],Places[Jurisdiction],0))</f>
        <v>Los Angeles</v>
      </c>
      <c r="E79" s="9">
        <f>INDEX(Places[Majority RB '#],MATCH(Activities[[#This Row],[Jurisdiction]],Places[Jurisdiction],0))</f>
        <v>4</v>
      </c>
      <c r="F79" s="28" t="str">
        <f>VLOOKUP(Activities[[#This Row],[Jurisdiction]],Places[#All],8,FALSE)</f>
        <v>Phase I MS4</v>
      </c>
      <c r="G79" s="48" t="s">
        <v>850</v>
      </c>
      <c r="H79" s="8"/>
      <c r="I79" s="8"/>
      <c r="J79" s="8" t="s">
        <v>1896</v>
      </c>
      <c r="K79" s="27" t="s">
        <v>1873</v>
      </c>
      <c r="L79" s="28">
        <f>_xlfn.NUMBERVALUE(LEFT(Activities[[#This Row],[Fiscal Year]], 4))</f>
        <v>2015</v>
      </c>
      <c r="M79" s="28" t="s">
        <v>1862</v>
      </c>
      <c r="N79" s="41">
        <v>15000</v>
      </c>
      <c r="O79" s="93">
        <f>IF(Activities[[#This Row],[Reference Year]]&gt;2018,Activities[[#This Row],[Value]],Activities[[#This Row],[Value]]*(1+VLOOKUP(Activities[[#This Row],[Reference Year]],Inflation[#All],3,FALSE)))</f>
        <v>15926.012658227848</v>
      </c>
    </row>
    <row r="80" spans="1:15" ht="15" customHeight="1" x14ac:dyDescent="0.25">
      <c r="A80" s="9" t="s">
        <v>180</v>
      </c>
      <c r="B80" s="9" t="str">
        <f>INDEX(Places[Type],MATCH(Activities[[#This Row],[Jurisdiction]],Places[Jurisdiction],0))</f>
        <v>City</v>
      </c>
      <c r="C80" s="19" t="str">
        <f>INDEX(Places[County],MATCH(Activities[[#This Row],[Jurisdiction]],Places[Jurisdiction],0))</f>
        <v>Los Angeles</v>
      </c>
      <c r="D80" s="19" t="str">
        <f>INDEX(Places[Majority RB],MATCH(Activities[[#This Row],[Jurisdiction]],Places[Jurisdiction],0))</f>
        <v>Los Angeles</v>
      </c>
      <c r="E80" s="9">
        <f>INDEX(Places[Majority RB '#],MATCH(Activities[[#This Row],[Jurisdiction]],Places[Jurisdiction],0))</f>
        <v>4</v>
      </c>
      <c r="F80" s="28" t="str">
        <f>VLOOKUP(Activities[[#This Row],[Jurisdiction]],Places[#All],8,FALSE)</f>
        <v>Phase I MS4</v>
      </c>
      <c r="G80" s="56" t="s">
        <v>854</v>
      </c>
      <c r="H80" s="8"/>
      <c r="I80" s="8"/>
      <c r="J80" s="8" t="s">
        <v>47</v>
      </c>
      <c r="K80" s="27" t="s">
        <v>1873</v>
      </c>
      <c r="L80" s="28">
        <f>_xlfn.NUMBERVALUE(LEFT(Activities[[#This Row],[Fiscal Year]], 4))</f>
        <v>2015</v>
      </c>
      <c r="M80" s="28" t="s">
        <v>1862</v>
      </c>
      <c r="N80" s="41">
        <v>62500</v>
      </c>
      <c r="O80" s="93">
        <f>IF(Activities[[#This Row],[Reference Year]]&gt;2018,Activities[[#This Row],[Value]],Activities[[#This Row],[Value]]*(1+VLOOKUP(Activities[[#This Row],[Reference Year]],Inflation[#All],3,FALSE)))</f>
        <v>66358.386075949369</v>
      </c>
    </row>
    <row r="81" spans="1:15" ht="15" customHeight="1" x14ac:dyDescent="0.25">
      <c r="A81" s="9" t="s">
        <v>15</v>
      </c>
      <c r="B81" s="9" t="str">
        <f>INDEX(Places[Type],MATCH(Activities[[#This Row],[Jurisdiction]],Places[Jurisdiction],0))</f>
        <v>City</v>
      </c>
      <c r="C81" s="19" t="str">
        <f>INDEX(Places[County],MATCH(Activities[[#This Row],[Jurisdiction]],Places[Jurisdiction],0))</f>
        <v>Kern</v>
      </c>
      <c r="D81" s="9" t="str">
        <f>INDEX(Places[Majority RB],MATCH(Activities[[#This Row],[Jurisdiction]],Places[Jurisdiction],0))</f>
        <v>Central Valley</v>
      </c>
      <c r="E81" s="9">
        <f>INDEX(Places[Majority RB '#],MATCH(Activities[[#This Row],[Jurisdiction]],Places[Jurisdiction],0))</f>
        <v>5</v>
      </c>
      <c r="F81" s="28" t="str">
        <f>VLOOKUP(Activities[[#This Row],[Jurisdiction]],Places[#All],8,FALSE)</f>
        <v>Phase I MS4</v>
      </c>
      <c r="G81" s="48" t="s">
        <v>83</v>
      </c>
      <c r="H81" s="8"/>
      <c r="I81" s="8"/>
      <c r="J81" s="8" t="s">
        <v>76</v>
      </c>
      <c r="K81" s="27" t="s">
        <v>1876</v>
      </c>
      <c r="L81" s="28">
        <f>_xlfn.NUMBERVALUE(LEFT(Activities[[#This Row],[Fiscal Year]], 4))</f>
        <v>2018</v>
      </c>
      <c r="M81" s="28" t="s">
        <v>1862</v>
      </c>
      <c r="N81" s="41">
        <v>22000</v>
      </c>
      <c r="O81" s="93">
        <f>IF(Activities[[#This Row],[Reference Year]]&gt;2018,Activities[[#This Row],[Value]],Activities[[#This Row],[Value]]*(1+VLOOKUP(Activities[[#This Row],[Reference Year]],Inflation[#All],3,FALSE)))</f>
        <v>22000</v>
      </c>
    </row>
    <row r="82" spans="1:15" ht="15" customHeight="1" x14ac:dyDescent="0.25">
      <c r="A82" s="9" t="s">
        <v>15</v>
      </c>
      <c r="B82" s="9" t="str">
        <f>INDEX(Places[Type],MATCH(Activities[[#This Row],[Jurisdiction]],Places[Jurisdiction],0))</f>
        <v>City</v>
      </c>
      <c r="C82" s="19" t="str">
        <f>INDEX(Places[County],MATCH(Activities[[#This Row],[Jurisdiction]],Places[Jurisdiction],0))</f>
        <v>Kern</v>
      </c>
      <c r="D82" s="9" t="str">
        <f>INDEX(Places[Majority RB],MATCH(Activities[[#This Row],[Jurisdiction]],Places[Jurisdiction],0))</f>
        <v>Central Valley</v>
      </c>
      <c r="E82" s="9">
        <f>INDEX(Places[Majority RB '#],MATCH(Activities[[#This Row],[Jurisdiction]],Places[Jurisdiction],0))</f>
        <v>5</v>
      </c>
      <c r="F82" s="28" t="str">
        <f>VLOOKUP(Activities[[#This Row],[Jurisdiction]],Places[#All],8,FALSE)</f>
        <v>Phase I MS4</v>
      </c>
      <c r="G82" s="48" t="s">
        <v>91</v>
      </c>
      <c r="H82" s="8"/>
      <c r="I82" s="8"/>
      <c r="J82" s="8" t="s">
        <v>1895</v>
      </c>
      <c r="K82" s="27" t="s">
        <v>1876</v>
      </c>
      <c r="L82" s="28">
        <f>_xlfn.NUMBERVALUE(LEFT(Activities[[#This Row],[Fiscal Year]], 4))</f>
        <v>2018</v>
      </c>
      <c r="M82" s="28" t="s">
        <v>1862</v>
      </c>
      <c r="N82" s="41">
        <v>30000</v>
      </c>
      <c r="O82" s="93">
        <f>IF(Activities[[#This Row],[Reference Year]]&gt;2018,Activities[[#This Row],[Value]],Activities[[#This Row],[Value]]*(1+VLOOKUP(Activities[[#This Row],[Reference Year]],Inflation[#All],3,FALSE)))</f>
        <v>30000</v>
      </c>
    </row>
    <row r="83" spans="1:15" ht="15" customHeight="1" x14ac:dyDescent="0.25">
      <c r="A83" s="9" t="s">
        <v>15</v>
      </c>
      <c r="B83" s="9" t="str">
        <f>INDEX(Places[Type],MATCH(Activities[[#This Row],[Jurisdiction]],Places[Jurisdiction],0))</f>
        <v>City</v>
      </c>
      <c r="C83" s="19" t="str">
        <f>INDEX(Places[County],MATCH(Activities[[#This Row],[Jurisdiction]],Places[Jurisdiction],0))</f>
        <v>Kern</v>
      </c>
      <c r="D83" s="9" t="str">
        <f>INDEX(Places[Majority RB],MATCH(Activities[[#This Row],[Jurisdiction]],Places[Jurisdiction],0))</f>
        <v>Central Valley</v>
      </c>
      <c r="E83" s="9">
        <f>INDEX(Places[Majority RB '#],MATCH(Activities[[#This Row],[Jurisdiction]],Places[Jurisdiction],0))</f>
        <v>5</v>
      </c>
      <c r="F83" s="28" t="str">
        <f>VLOOKUP(Activities[[#This Row],[Jurisdiction]],Places[#All],8,FALSE)</f>
        <v>Phase I MS4</v>
      </c>
      <c r="G83" s="48" t="s">
        <v>88</v>
      </c>
      <c r="H83" s="8"/>
      <c r="I83" s="8"/>
      <c r="J83" s="8" t="s">
        <v>131</v>
      </c>
      <c r="K83" s="27" t="s">
        <v>1876</v>
      </c>
      <c r="L83" s="28">
        <f>_xlfn.NUMBERVALUE(LEFT(Activities[[#This Row],[Fiscal Year]], 4))</f>
        <v>2018</v>
      </c>
      <c r="M83" s="28" t="s">
        <v>1862</v>
      </c>
      <c r="N83" s="41">
        <v>600</v>
      </c>
      <c r="O83" s="93">
        <f>IF(Activities[[#This Row],[Reference Year]]&gt;2018,Activities[[#This Row],[Value]],Activities[[#This Row],[Value]]*(1+VLOOKUP(Activities[[#This Row],[Reference Year]],Inflation[#All],3,FALSE)))</f>
        <v>600</v>
      </c>
    </row>
    <row r="84" spans="1:15" ht="15" customHeight="1" x14ac:dyDescent="0.25">
      <c r="A84" s="9" t="s">
        <v>15</v>
      </c>
      <c r="B84" s="9" t="str">
        <f>INDEX(Places[Type],MATCH(Activities[[#This Row],[Jurisdiction]],Places[Jurisdiction],0))</f>
        <v>City</v>
      </c>
      <c r="C84" s="19" t="str">
        <f>INDEX(Places[County],MATCH(Activities[[#This Row],[Jurisdiction]],Places[Jurisdiction],0))</f>
        <v>Kern</v>
      </c>
      <c r="D84" s="9" t="str">
        <f>INDEX(Places[Majority RB],MATCH(Activities[[#This Row],[Jurisdiction]],Places[Jurisdiction],0))</f>
        <v>Central Valley</v>
      </c>
      <c r="E84" s="9">
        <f>INDEX(Places[Majority RB '#],MATCH(Activities[[#This Row],[Jurisdiction]],Places[Jurisdiction],0))</f>
        <v>5</v>
      </c>
      <c r="F84" s="28" t="str">
        <f>VLOOKUP(Activities[[#This Row],[Jurisdiction]],Places[#All],8,FALSE)</f>
        <v>Phase I MS4</v>
      </c>
      <c r="G84" s="48" t="s">
        <v>86</v>
      </c>
      <c r="H84" s="8"/>
      <c r="I84" s="8"/>
      <c r="J84" s="8" t="s">
        <v>131</v>
      </c>
      <c r="K84" s="27" t="s">
        <v>1876</v>
      </c>
      <c r="L84" s="28">
        <f>_xlfn.NUMBERVALUE(LEFT(Activities[[#This Row],[Fiscal Year]], 4))</f>
        <v>2018</v>
      </c>
      <c r="M84" s="28" t="s">
        <v>1862</v>
      </c>
      <c r="N84" s="41">
        <v>6300</v>
      </c>
      <c r="O84" s="93">
        <f>IF(Activities[[#This Row],[Reference Year]]&gt;2018,Activities[[#This Row],[Value]],Activities[[#This Row],[Value]]*(1+VLOOKUP(Activities[[#This Row],[Reference Year]],Inflation[#All],3,FALSE)))</f>
        <v>6300</v>
      </c>
    </row>
    <row r="85" spans="1:15" ht="15" customHeight="1" x14ac:dyDescent="0.25">
      <c r="A85" s="9" t="s">
        <v>15</v>
      </c>
      <c r="B85" s="9" t="str">
        <f>INDEX(Places[Type],MATCH(Activities[[#This Row],[Jurisdiction]],Places[Jurisdiction],0))</f>
        <v>City</v>
      </c>
      <c r="C85" s="19" t="str">
        <f>INDEX(Places[County],MATCH(Activities[[#This Row],[Jurisdiction]],Places[Jurisdiction],0))</f>
        <v>Kern</v>
      </c>
      <c r="D85" s="9" t="str">
        <f>INDEX(Places[Majority RB],MATCH(Activities[[#This Row],[Jurisdiction]],Places[Jurisdiction],0))</f>
        <v>Central Valley</v>
      </c>
      <c r="E85" s="9">
        <f>INDEX(Places[Majority RB '#],MATCH(Activities[[#This Row],[Jurisdiction]],Places[Jurisdiction],0))</f>
        <v>5</v>
      </c>
      <c r="F85" s="28" t="str">
        <f>VLOOKUP(Activities[[#This Row],[Jurisdiction]],Places[#All],8,FALSE)</f>
        <v>Phase I MS4</v>
      </c>
      <c r="G85" s="48" t="s">
        <v>95</v>
      </c>
      <c r="H85" s="8"/>
      <c r="I85" s="8"/>
      <c r="J85" s="8" t="s">
        <v>334</v>
      </c>
      <c r="K85" s="27" t="s">
        <v>1876</v>
      </c>
      <c r="L85" s="28">
        <f>_xlfn.NUMBERVALUE(LEFT(Activities[[#This Row],[Fiscal Year]], 4))</f>
        <v>2018</v>
      </c>
      <c r="M85" s="28" t="s">
        <v>1862</v>
      </c>
      <c r="N85" s="41">
        <v>174800</v>
      </c>
      <c r="O85" s="93">
        <f>IF(Activities[[#This Row],[Reference Year]]&gt;2018,Activities[[#This Row],[Value]],Activities[[#This Row],[Value]]*(1+VLOOKUP(Activities[[#This Row],[Reference Year]],Inflation[#All],3,FALSE)))</f>
        <v>174800</v>
      </c>
    </row>
    <row r="86" spans="1:15" ht="15" customHeight="1" x14ac:dyDescent="0.25">
      <c r="A86" s="9" t="s">
        <v>15</v>
      </c>
      <c r="B86" s="9" t="str">
        <f>INDEX(Places[Type],MATCH(Activities[[#This Row],[Jurisdiction]],Places[Jurisdiction],0))</f>
        <v>City</v>
      </c>
      <c r="C86" s="19" t="str">
        <f>INDEX(Places[County],MATCH(Activities[[#This Row],[Jurisdiction]],Places[Jurisdiction],0))</f>
        <v>Kern</v>
      </c>
      <c r="D86" s="9" t="str">
        <f>INDEX(Places[Majority RB],MATCH(Activities[[#This Row],[Jurisdiction]],Places[Jurisdiction],0))</f>
        <v>Central Valley</v>
      </c>
      <c r="E86" s="9">
        <f>INDEX(Places[Majority RB '#],MATCH(Activities[[#This Row],[Jurisdiction]],Places[Jurisdiction],0))</f>
        <v>5</v>
      </c>
      <c r="F86" s="28" t="str">
        <f>VLOOKUP(Activities[[#This Row],[Jurisdiction]],Places[#All],8,FALSE)</f>
        <v>Phase I MS4</v>
      </c>
      <c r="G86" s="48" t="s">
        <v>81</v>
      </c>
      <c r="H86" s="8" t="s">
        <v>518</v>
      </c>
      <c r="I86" s="8"/>
      <c r="J86" s="8" t="s">
        <v>71</v>
      </c>
      <c r="K86" s="27" t="s">
        <v>1876</v>
      </c>
      <c r="L86" s="28">
        <f>_xlfn.NUMBERVALUE(LEFT(Activities[[#This Row],[Fiscal Year]], 4))</f>
        <v>2018</v>
      </c>
      <c r="M86" s="28" t="s">
        <v>1862</v>
      </c>
      <c r="N86" s="41">
        <v>4800000</v>
      </c>
      <c r="O86" s="93">
        <f>IF(Activities[[#This Row],[Reference Year]]&gt;2018,Activities[[#This Row],[Value]],Activities[[#This Row],[Value]]*(1+VLOOKUP(Activities[[#This Row],[Reference Year]],Inflation[#All],3,FALSE)))</f>
        <v>4800000</v>
      </c>
    </row>
    <row r="87" spans="1:15" ht="15" customHeight="1" x14ac:dyDescent="0.25">
      <c r="A87" s="9" t="s">
        <v>15</v>
      </c>
      <c r="B87" s="9" t="str">
        <f>INDEX(Places[Type],MATCH(Activities[[#This Row],[Jurisdiction]],Places[Jurisdiction],0))</f>
        <v>City</v>
      </c>
      <c r="C87" s="19" t="str">
        <f>INDEX(Places[County],MATCH(Activities[[#This Row],[Jurisdiction]],Places[Jurisdiction],0))</f>
        <v>Kern</v>
      </c>
      <c r="D87" s="9" t="str">
        <f>INDEX(Places[Majority RB],MATCH(Activities[[#This Row],[Jurisdiction]],Places[Jurisdiction],0))</f>
        <v>Central Valley</v>
      </c>
      <c r="E87" s="9">
        <f>INDEX(Places[Majority RB '#],MATCH(Activities[[#This Row],[Jurisdiction]],Places[Jurisdiction],0))</f>
        <v>5</v>
      </c>
      <c r="F87" s="28" t="str">
        <f>VLOOKUP(Activities[[#This Row],[Jurisdiction]],Places[#All],8,FALSE)</f>
        <v>Phase I MS4</v>
      </c>
      <c r="G87" s="48" t="s">
        <v>82</v>
      </c>
      <c r="H87" s="8"/>
      <c r="I87" s="8"/>
      <c r="J87" s="8" t="s">
        <v>71</v>
      </c>
      <c r="K87" s="27" t="s">
        <v>1876</v>
      </c>
      <c r="L87" s="28">
        <f>_xlfn.NUMBERVALUE(LEFT(Activities[[#This Row],[Fiscal Year]], 4))</f>
        <v>2018</v>
      </c>
      <c r="M87" s="28" t="s">
        <v>1862</v>
      </c>
      <c r="N87" s="41">
        <v>19900000</v>
      </c>
      <c r="O87" s="93">
        <f>IF(Activities[[#This Row],[Reference Year]]&gt;2018,Activities[[#This Row],[Value]],Activities[[#This Row],[Value]]*(1+VLOOKUP(Activities[[#This Row],[Reference Year]],Inflation[#All],3,FALSE)))</f>
        <v>19900000</v>
      </c>
    </row>
    <row r="88" spans="1:15" ht="15" customHeight="1" x14ac:dyDescent="0.25">
      <c r="A88" s="9" t="s">
        <v>15</v>
      </c>
      <c r="B88" s="9" t="str">
        <f>INDEX(Places[Type],MATCH(Activities[[#This Row],[Jurisdiction]],Places[Jurisdiction],0))</f>
        <v>City</v>
      </c>
      <c r="C88" s="19" t="str">
        <f>INDEX(Places[County],MATCH(Activities[[#This Row],[Jurisdiction]],Places[Jurisdiction],0))</f>
        <v>Kern</v>
      </c>
      <c r="D88" s="9" t="str">
        <f>INDEX(Places[Majority RB],MATCH(Activities[[#This Row],[Jurisdiction]],Places[Jurisdiction],0))</f>
        <v>Central Valley</v>
      </c>
      <c r="E88" s="9">
        <f>INDEX(Places[Majority RB '#],MATCH(Activities[[#This Row],[Jurisdiction]],Places[Jurisdiction],0))</f>
        <v>5</v>
      </c>
      <c r="F88" s="28" t="str">
        <f>VLOOKUP(Activities[[#This Row],[Jurisdiction]],Places[#All],8,FALSE)</f>
        <v>Phase I MS4</v>
      </c>
      <c r="G88" s="48" t="s">
        <v>84</v>
      </c>
      <c r="H88" s="8"/>
      <c r="I88" s="8"/>
      <c r="J88" s="8" t="s">
        <v>1897</v>
      </c>
      <c r="K88" s="27" t="s">
        <v>1876</v>
      </c>
      <c r="L88" s="28">
        <f>_xlfn.NUMBERVALUE(LEFT(Activities[[#This Row],[Fiscal Year]], 4))</f>
        <v>2018</v>
      </c>
      <c r="M88" s="28" t="s">
        <v>1862</v>
      </c>
      <c r="N88" s="41">
        <v>4000</v>
      </c>
      <c r="O88" s="93">
        <f>IF(Activities[[#This Row],[Reference Year]]&gt;2018,Activities[[#This Row],[Value]],Activities[[#This Row],[Value]]*(1+VLOOKUP(Activities[[#This Row],[Reference Year]],Inflation[#All],3,FALSE)))</f>
        <v>4000</v>
      </c>
    </row>
    <row r="89" spans="1:15" ht="15" customHeight="1" x14ac:dyDescent="0.25">
      <c r="A89" s="9" t="s">
        <v>15</v>
      </c>
      <c r="B89" s="9" t="str">
        <f>INDEX(Places[Type],MATCH(Activities[[#This Row],[Jurisdiction]],Places[Jurisdiction],0))</f>
        <v>City</v>
      </c>
      <c r="C89" s="19" t="str">
        <f>INDEX(Places[County],MATCH(Activities[[#This Row],[Jurisdiction]],Places[Jurisdiction],0))</f>
        <v>Kern</v>
      </c>
      <c r="D89" s="9" t="str">
        <f>INDEX(Places[Majority RB],MATCH(Activities[[#This Row],[Jurisdiction]],Places[Jurisdiction],0))</f>
        <v>Central Valley</v>
      </c>
      <c r="E89" s="9">
        <f>INDEX(Places[Majority RB '#],MATCH(Activities[[#This Row],[Jurisdiction]],Places[Jurisdiction],0))</f>
        <v>5</v>
      </c>
      <c r="F89" s="28" t="str">
        <f>VLOOKUP(Activities[[#This Row],[Jurisdiction]],Places[#All],8,FALSE)</f>
        <v>Phase I MS4</v>
      </c>
      <c r="G89" s="48" t="s">
        <v>87</v>
      </c>
      <c r="H89" s="8"/>
      <c r="I89" s="8"/>
      <c r="J89" s="8" t="s">
        <v>1897</v>
      </c>
      <c r="K89" s="27" t="s">
        <v>1876</v>
      </c>
      <c r="L89" s="28">
        <f>_xlfn.NUMBERVALUE(LEFT(Activities[[#This Row],[Fiscal Year]], 4))</f>
        <v>2018</v>
      </c>
      <c r="M89" s="28" t="s">
        <v>1862</v>
      </c>
      <c r="N89" s="41">
        <v>580000</v>
      </c>
      <c r="O89" s="93">
        <f>IF(Activities[[#This Row],[Reference Year]]&gt;2018,Activities[[#This Row],[Value]],Activities[[#This Row],[Value]]*(1+VLOOKUP(Activities[[#This Row],[Reference Year]],Inflation[#All],3,FALSE)))</f>
        <v>580000</v>
      </c>
    </row>
    <row r="90" spans="1:15" ht="15" customHeight="1" x14ac:dyDescent="0.25">
      <c r="A90" s="9" t="s">
        <v>15</v>
      </c>
      <c r="B90" s="9" t="str">
        <f>INDEX(Places[Type],MATCH(Activities[[#This Row],[Jurisdiction]],Places[Jurisdiction],0))</f>
        <v>City</v>
      </c>
      <c r="C90" s="19" t="str">
        <f>INDEX(Places[County],MATCH(Activities[[#This Row],[Jurisdiction]],Places[Jurisdiction],0))</f>
        <v>Kern</v>
      </c>
      <c r="D90" s="9" t="str">
        <f>INDEX(Places[Majority RB],MATCH(Activities[[#This Row],[Jurisdiction]],Places[Jurisdiction],0))</f>
        <v>Central Valley</v>
      </c>
      <c r="E90" s="9">
        <f>INDEX(Places[Majority RB '#],MATCH(Activities[[#This Row],[Jurisdiction]],Places[Jurisdiction],0))</f>
        <v>5</v>
      </c>
      <c r="F90" s="28" t="str">
        <f>VLOOKUP(Activities[[#This Row],[Jurisdiction]],Places[#All],8,FALSE)</f>
        <v>Phase I MS4</v>
      </c>
      <c r="G90" s="48" t="s">
        <v>89</v>
      </c>
      <c r="H90" s="8"/>
      <c r="I90" s="8"/>
      <c r="J90" s="8" t="s">
        <v>1898</v>
      </c>
      <c r="K90" s="27" t="s">
        <v>1876</v>
      </c>
      <c r="L90" s="28">
        <f>_xlfn.NUMBERVALUE(LEFT(Activities[[#This Row],[Fiscal Year]], 4))</f>
        <v>2018</v>
      </c>
      <c r="M90" s="28" t="s">
        <v>1862</v>
      </c>
      <c r="N90" s="41">
        <v>475000</v>
      </c>
      <c r="O90" s="93">
        <f>IF(Activities[[#This Row],[Reference Year]]&gt;2018,Activities[[#This Row],[Value]],Activities[[#This Row],[Value]]*(1+VLOOKUP(Activities[[#This Row],[Reference Year]],Inflation[#All],3,FALSE)))</f>
        <v>475000</v>
      </c>
    </row>
    <row r="91" spans="1:15" ht="15" customHeight="1" x14ac:dyDescent="0.25">
      <c r="A91" s="9" t="s">
        <v>15</v>
      </c>
      <c r="B91" s="9" t="str">
        <f>INDEX(Places[Type],MATCH(Activities[[#This Row],[Jurisdiction]],Places[Jurisdiction],0))</f>
        <v>City</v>
      </c>
      <c r="C91" s="19" t="str">
        <f>INDEX(Places[County],MATCH(Activities[[#This Row],[Jurisdiction]],Places[Jurisdiction],0))</f>
        <v>Kern</v>
      </c>
      <c r="D91" s="9" t="str">
        <f>INDEX(Places[Majority RB],MATCH(Activities[[#This Row],[Jurisdiction]],Places[Jurisdiction],0))</f>
        <v>Central Valley</v>
      </c>
      <c r="E91" s="9">
        <f>INDEX(Places[Majority RB '#],MATCH(Activities[[#This Row],[Jurisdiction]],Places[Jurisdiction],0))</f>
        <v>5</v>
      </c>
      <c r="F91" s="28" t="str">
        <f>VLOOKUP(Activities[[#This Row],[Jurisdiction]],Places[#All],8,FALSE)</f>
        <v>Phase I MS4</v>
      </c>
      <c r="G91" s="48" t="s">
        <v>92</v>
      </c>
      <c r="H91" s="8" t="s">
        <v>625</v>
      </c>
      <c r="I91" s="47" t="s">
        <v>626</v>
      </c>
      <c r="J91" s="8" t="s">
        <v>1896</v>
      </c>
      <c r="K91" s="27" t="s">
        <v>1876</v>
      </c>
      <c r="L91" s="28">
        <f>_xlfn.NUMBERVALUE(LEFT(Activities[[#This Row],[Fiscal Year]], 4))</f>
        <v>2018</v>
      </c>
      <c r="M91" s="28" t="s">
        <v>1862</v>
      </c>
      <c r="N91" s="41">
        <v>2000</v>
      </c>
      <c r="O91" s="93">
        <f>IF(Activities[[#This Row],[Reference Year]]&gt;2018,Activities[[#This Row],[Value]],Activities[[#This Row],[Value]]*(1+VLOOKUP(Activities[[#This Row],[Reference Year]],Inflation[#All],3,FALSE)))</f>
        <v>2000</v>
      </c>
    </row>
    <row r="92" spans="1:15" ht="15" customHeight="1" x14ac:dyDescent="0.25">
      <c r="A92" s="9" t="s">
        <v>15</v>
      </c>
      <c r="B92" s="9" t="str">
        <f>INDEX(Places[Type],MATCH(Activities[[#This Row],[Jurisdiction]],Places[Jurisdiction],0))</f>
        <v>City</v>
      </c>
      <c r="C92" s="19" t="str">
        <f>INDEX(Places[County],MATCH(Activities[[#This Row],[Jurisdiction]],Places[Jurisdiction],0))</f>
        <v>Kern</v>
      </c>
      <c r="D92" s="9" t="str">
        <f>INDEX(Places[Majority RB],MATCH(Activities[[#This Row],[Jurisdiction]],Places[Jurisdiction],0))</f>
        <v>Central Valley</v>
      </c>
      <c r="E92" s="9">
        <f>INDEX(Places[Majority RB '#],MATCH(Activities[[#This Row],[Jurisdiction]],Places[Jurisdiction],0))</f>
        <v>5</v>
      </c>
      <c r="F92" s="28" t="str">
        <f>VLOOKUP(Activities[[#This Row],[Jurisdiction]],Places[#All],8,FALSE)</f>
        <v>Phase I MS4</v>
      </c>
      <c r="G92" s="48" t="s">
        <v>113</v>
      </c>
      <c r="H92" s="8" t="s">
        <v>625</v>
      </c>
      <c r="I92" s="47" t="s">
        <v>626</v>
      </c>
      <c r="J92" s="8" t="s">
        <v>1896</v>
      </c>
      <c r="K92" s="27" t="s">
        <v>1876</v>
      </c>
      <c r="L92" s="28">
        <f>_xlfn.NUMBERVALUE(LEFT(Activities[[#This Row],[Fiscal Year]], 4))</f>
        <v>2018</v>
      </c>
      <c r="M92" s="28" t="s">
        <v>1862</v>
      </c>
      <c r="N92" s="41">
        <v>8400</v>
      </c>
      <c r="O92" s="93">
        <f>IF(Activities[[#This Row],[Reference Year]]&gt;2018,Activities[[#This Row],[Value]],Activities[[#This Row],[Value]]*(1+VLOOKUP(Activities[[#This Row],[Reference Year]],Inflation[#All],3,FALSE)))</f>
        <v>8400</v>
      </c>
    </row>
    <row r="93" spans="1:15" ht="15" customHeight="1" x14ac:dyDescent="0.25">
      <c r="A93" s="9" t="s">
        <v>15</v>
      </c>
      <c r="B93" s="9" t="str">
        <f>INDEX(Places[Type],MATCH(Activities[[#This Row],[Jurisdiction]],Places[Jurisdiction],0))</f>
        <v>City</v>
      </c>
      <c r="C93" s="19" t="str">
        <f>INDEX(Places[County],MATCH(Activities[[#This Row],[Jurisdiction]],Places[Jurisdiction],0))</f>
        <v>Kern</v>
      </c>
      <c r="D93" s="9" t="str">
        <f>INDEX(Places[Majority RB],MATCH(Activities[[#This Row],[Jurisdiction]],Places[Jurisdiction],0))</f>
        <v>Central Valley</v>
      </c>
      <c r="E93" s="9">
        <f>INDEX(Places[Majority RB '#],MATCH(Activities[[#This Row],[Jurisdiction]],Places[Jurisdiction],0))</f>
        <v>5</v>
      </c>
      <c r="F93" s="28" t="str">
        <f>VLOOKUP(Activities[[#This Row],[Jurisdiction]],Places[#All],8,FALSE)</f>
        <v>Phase I MS4</v>
      </c>
      <c r="G93" s="48" t="s">
        <v>90</v>
      </c>
      <c r="H93" s="8" t="s">
        <v>625</v>
      </c>
      <c r="I93" s="47" t="s">
        <v>626</v>
      </c>
      <c r="J93" s="8" t="s">
        <v>1896</v>
      </c>
      <c r="K93" s="27" t="s">
        <v>1876</v>
      </c>
      <c r="L93" s="28">
        <f>_xlfn.NUMBERVALUE(LEFT(Activities[[#This Row],[Fiscal Year]], 4))</f>
        <v>2018</v>
      </c>
      <c r="M93" s="28" t="s">
        <v>1862</v>
      </c>
      <c r="N93" s="41">
        <v>30000</v>
      </c>
      <c r="O93" s="93">
        <f>IF(Activities[[#This Row],[Reference Year]]&gt;2018,Activities[[#This Row],[Value]],Activities[[#This Row],[Value]]*(1+VLOOKUP(Activities[[#This Row],[Reference Year]],Inflation[#All],3,FALSE)))</f>
        <v>30000</v>
      </c>
    </row>
    <row r="94" spans="1:15" ht="15" customHeight="1" x14ac:dyDescent="0.25">
      <c r="A94" s="9" t="s">
        <v>200</v>
      </c>
      <c r="B94" s="9" t="str">
        <f>INDEX(Places[Type],MATCH(Activities[[#This Row],[Jurisdiction]],Places[Jurisdiction],0))</f>
        <v>City</v>
      </c>
      <c r="C94" s="19" t="str">
        <f>INDEX(Places[County],MATCH(Activities[[#This Row],[Jurisdiction]],Places[Jurisdiction],0))</f>
        <v>Los Angeles</v>
      </c>
      <c r="D94" s="19" t="str">
        <f>INDEX(Places[Majority RB],MATCH(Activities[[#This Row],[Jurisdiction]],Places[Jurisdiction],0))</f>
        <v>Los Angeles</v>
      </c>
      <c r="E94" s="9">
        <f>INDEX(Places[Majority RB '#],MATCH(Activities[[#This Row],[Jurisdiction]],Places[Jurisdiction],0))</f>
        <v>4</v>
      </c>
      <c r="F94" s="28" t="str">
        <f>VLOOKUP(Activities[[#This Row],[Jurisdiction]],Places[#All],8,FALSE)</f>
        <v>Phase I MS4</v>
      </c>
      <c r="G94" s="48" t="s">
        <v>64</v>
      </c>
      <c r="H94" s="8"/>
      <c r="I94" s="8"/>
      <c r="J94" s="8" t="s">
        <v>76</v>
      </c>
      <c r="K94" s="27" t="s">
        <v>1873</v>
      </c>
      <c r="L94" s="28">
        <f>_xlfn.NUMBERVALUE(LEFT(Activities[[#This Row],[Fiscal Year]], 4))</f>
        <v>2015</v>
      </c>
      <c r="M94" s="28" t="s">
        <v>1862</v>
      </c>
      <c r="N94" s="41">
        <v>1000000</v>
      </c>
      <c r="O94" s="93">
        <f>IF(Activities[[#This Row],[Reference Year]]&gt;2018,Activities[[#This Row],[Value]],Activities[[#This Row],[Value]]*(1+VLOOKUP(Activities[[#This Row],[Reference Year]],Inflation[#All],3,FALSE)))</f>
        <v>1061734.1772151899</v>
      </c>
    </row>
    <row r="95" spans="1:15" ht="15" customHeight="1" x14ac:dyDescent="0.25">
      <c r="A95" s="9" t="s">
        <v>200</v>
      </c>
      <c r="B95" s="9" t="str">
        <f>INDEX(Places[Type],MATCH(Activities[[#This Row],[Jurisdiction]],Places[Jurisdiction],0))</f>
        <v>City</v>
      </c>
      <c r="C95" s="19" t="str">
        <f>INDEX(Places[County],MATCH(Activities[[#This Row],[Jurisdiction]],Places[Jurisdiction],0))</f>
        <v>Los Angeles</v>
      </c>
      <c r="D95" s="19" t="str">
        <f>INDEX(Places[Majority RB],MATCH(Activities[[#This Row],[Jurisdiction]],Places[Jurisdiction],0))</f>
        <v>Los Angeles</v>
      </c>
      <c r="E95" s="9">
        <f>INDEX(Places[Majority RB '#],MATCH(Activities[[#This Row],[Jurisdiction]],Places[Jurisdiction],0))</f>
        <v>4</v>
      </c>
      <c r="F95" s="28" t="str">
        <f>VLOOKUP(Activities[[#This Row],[Jurisdiction]],Places[#All],8,FALSE)</f>
        <v>Phase I MS4</v>
      </c>
      <c r="G95" s="48" t="s">
        <v>62</v>
      </c>
      <c r="H95" s="8"/>
      <c r="I95" s="8"/>
      <c r="J95" s="8" t="s">
        <v>131</v>
      </c>
      <c r="K95" s="27" t="s">
        <v>1873</v>
      </c>
      <c r="L95" s="28">
        <f>_xlfn.NUMBERVALUE(LEFT(Activities[[#This Row],[Fiscal Year]], 4))</f>
        <v>2015</v>
      </c>
      <c r="M95" s="28" t="s">
        <v>1862</v>
      </c>
      <c r="N95" s="41">
        <v>30000</v>
      </c>
      <c r="O95" s="93">
        <f>IF(Activities[[#This Row],[Reference Year]]&gt;2018,Activities[[#This Row],[Value]],Activities[[#This Row],[Value]]*(1+VLOOKUP(Activities[[#This Row],[Reference Year]],Inflation[#All],3,FALSE)))</f>
        <v>31852.025316455696</v>
      </c>
    </row>
    <row r="96" spans="1:15" ht="15" customHeight="1" x14ac:dyDescent="0.25">
      <c r="A96" s="9" t="s">
        <v>200</v>
      </c>
      <c r="B96" s="9" t="str">
        <f>INDEX(Places[Type],MATCH(Activities[[#This Row],[Jurisdiction]],Places[Jurisdiction],0))</f>
        <v>City</v>
      </c>
      <c r="C96" s="19" t="str">
        <f>INDEX(Places[County],MATCH(Activities[[#This Row],[Jurisdiction]],Places[Jurisdiction],0))</f>
        <v>Los Angeles</v>
      </c>
      <c r="D96" s="19" t="str">
        <f>INDEX(Places[Majority RB],MATCH(Activities[[#This Row],[Jurisdiction]],Places[Jurisdiction],0))</f>
        <v>Los Angeles</v>
      </c>
      <c r="E96" s="9">
        <f>INDEX(Places[Majority RB '#],MATCH(Activities[[#This Row],[Jurisdiction]],Places[Jurisdiction],0))</f>
        <v>4</v>
      </c>
      <c r="F96" s="28" t="str">
        <f>VLOOKUP(Activities[[#This Row],[Jurisdiction]],Places[#All],8,FALSE)</f>
        <v>Phase I MS4</v>
      </c>
      <c r="G96" s="48" t="s">
        <v>208</v>
      </c>
      <c r="H96" s="8"/>
      <c r="I96" s="8"/>
      <c r="J96" s="8" t="s">
        <v>334</v>
      </c>
      <c r="K96" s="27" t="s">
        <v>1873</v>
      </c>
      <c r="L96" s="28">
        <f>_xlfn.NUMBERVALUE(LEFT(Activities[[#This Row],[Fiscal Year]], 4))</f>
        <v>2015</v>
      </c>
      <c r="M96" s="28" t="s">
        <v>1862</v>
      </c>
      <c r="N96" s="41">
        <v>20000</v>
      </c>
      <c r="O96" s="93">
        <f>IF(Activities[[#This Row],[Reference Year]]&gt;2018,Activities[[#This Row],[Value]],Activities[[#This Row],[Value]]*(1+VLOOKUP(Activities[[#This Row],[Reference Year]],Inflation[#All],3,FALSE)))</f>
        <v>21234.683544303796</v>
      </c>
    </row>
    <row r="97" spans="1:15" ht="15" customHeight="1" x14ac:dyDescent="0.25">
      <c r="A97" s="9" t="s">
        <v>200</v>
      </c>
      <c r="B97" s="9" t="str">
        <f>INDEX(Places[Type],MATCH(Activities[[#This Row],[Jurisdiction]],Places[Jurisdiction],0))</f>
        <v>City</v>
      </c>
      <c r="C97" s="19" t="str">
        <f>INDEX(Places[County],MATCH(Activities[[#This Row],[Jurisdiction]],Places[Jurisdiction],0))</f>
        <v>Los Angeles</v>
      </c>
      <c r="D97" s="19" t="str">
        <f>INDEX(Places[Majority RB],MATCH(Activities[[#This Row],[Jurisdiction]],Places[Jurisdiction],0))</f>
        <v>Los Angeles</v>
      </c>
      <c r="E97" s="9">
        <f>INDEX(Places[Majority RB '#],MATCH(Activities[[#This Row],[Jurisdiction]],Places[Jurisdiction],0))</f>
        <v>4</v>
      </c>
      <c r="F97" s="28" t="str">
        <f>VLOOKUP(Activities[[#This Row],[Jurisdiction]],Places[#All],8,FALSE)</f>
        <v>Phase I MS4</v>
      </c>
      <c r="G97" s="48" t="s">
        <v>61</v>
      </c>
      <c r="H97" s="8"/>
      <c r="I97" s="8"/>
      <c r="J97" s="8" t="s">
        <v>1897</v>
      </c>
      <c r="K97" s="27" t="s">
        <v>1873</v>
      </c>
      <c r="L97" s="28">
        <f>_xlfn.NUMBERVALUE(LEFT(Activities[[#This Row],[Fiscal Year]], 4))</f>
        <v>2015</v>
      </c>
      <c r="M97" s="28" t="s">
        <v>1862</v>
      </c>
      <c r="N97" s="41">
        <v>2750000</v>
      </c>
      <c r="O97" s="93">
        <f>IF(Activities[[#This Row],[Reference Year]]&gt;2018,Activities[[#This Row],[Value]],Activities[[#This Row],[Value]]*(1+VLOOKUP(Activities[[#This Row],[Reference Year]],Inflation[#All],3,FALSE)))</f>
        <v>2919768.9873417718</v>
      </c>
    </row>
    <row r="98" spans="1:15" ht="15" customHeight="1" x14ac:dyDescent="0.25">
      <c r="A98" s="9" t="s">
        <v>200</v>
      </c>
      <c r="B98" s="9" t="str">
        <f>INDEX(Places[Type],MATCH(Activities[[#This Row],[Jurisdiction]],Places[Jurisdiction],0))</f>
        <v>City</v>
      </c>
      <c r="C98" s="19" t="str">
        <f>INDEX(Places[County],MATCH(Activities[[#This Row],[Jurisdiction]],Places[Jurisdiction],0))</f>
        <v>Los Angeles</v>
      </c>
      <c r="D98" s="19" t="str">
        <f>INDEX(Places[Majority RB],MATCH(Activities[[#This Row],[Jurisdiction]],Places[Jurisdiction],0))</f>
        <v>Los Angeles</v>
      </c>
      <c r="E98" s="9">
        <f>INDEX(Places[Majority RB '#],MATCH(Activities[[#This Row],[Jurisdiction]],Places[Jurisdiction],0))</f>
        <v>4</v>
      </c>
      <c r="F98" s="28" t="str">
        <f>VLOOKUP(Activities[[#This Row],[Jurisdiction]],Places[#All],8,FALSE)</f>
        <v>Phase I MS4</v>
      </c>
      <c r="G98" s="48" t="s">
        <v>60</v>
      </c>
      <c r="H98" s="8"/>
      <c r="I98" s="8"/>
      <c r="J98" s="8" t="s">
        <v>1898</v>
      </c>
      <c r="K98" s="27" t="s">
        <v>1873</v>
      </c>
      <c r="L98" s="28">
        <f>_xlfn.NUMBERVALUE(LEFT(Activities[[#This Row],[Fiscal Year]], 4))</f>
        <v>2015</v>
      </c>
      <c r="M98" s="28" t="s">
        <v>1862</v>
      </c>
      <c r="N98" s="41">
        <v>2000</v>
      </c>
      <c r="O98" s="93">
        <f>IF(Activities[[#This Row],[Reference Year]]&gt;2018,Activities[[#This Row],[Value]],Activities[[#This Row],[Value]]*(1+VLOOKUP(Activities[[#This Row],[Reference Year]],Inflation[#All],3,FALSE)))</f>
        <v>2123.4683544303798</v>
      </c>
    </row>
    <row r="99" spans="1:15" ht="15" customHeight="1" x14ac:dyDescent="0.25">
      <c r="A99" s="9" t="s">
        <v>200</v>
      </c>
      <c r="B99" s="9" t="str">
        <f>INDEX(Places[Type],MATCH(Activities[[#This Row],[Jurisdiction]],Places[Jurisdiction],0))</f>
        <v>City</v>
      </c>
      <c r="C99" s="19" t="str">
        <f>INDEX(Places[County],MATCH(Activities[[#This Row],[Jurisdiction]],Places[Jurisdiction],0))</f>
        <v>Los Angeles</v>
      </c>
      <c r="D99" s="19" t="str">
        <f>INDEX(Places[Majority RB],MATCH(Activities[[#This Row],[Jurisdiction]],Places[Jurisdiction],0))</f>
        <v>Los Angeles</v>
      </c>
      <c r="E99" s="9">
        <f>INDEX(Places[Majority RB '#],MATCH(Activities[[#This Row],[Jurisdiction]],Places[Jurisdiction],0))</f>
        <v>4</v>
      </c>
      <c r="F99" s="28" t="str">
        <f>VLOOKUP(Activities[[#This Row],[Jurisdiction]],Places[#All],8,FALSE)</f>
        <v>Phase I MS4</v>
      </c>
      <c r="G99" s="48" t="s">
        <v>59</v>
      </c>
      <c r="H99" s="8"/>
      <c r="I99" s="8"/>
      <c r="J99" s="8" t="s">
        <v>1898</v>
      </c>
      <c r="K99" s="27" t="s">
        <v>1873</v>
      </c>
      <c r="L99" s="28">
        <f>_xlfn.NUMBERVALUE(LEFT(Activities[[#This Row],[Fiscal Year]], 4))</f>
        <v>2015</v>
      </c>
      <c r="M99" s="28" t="s">
        <v>1862</v>
      </c>
      <c r="N99" s="41">
        <v>5000</v>
      </c>
      <c r="O99" s="93">
        <f>IF(Activities[[#This Row],[Reference Year]]&gt;2018,Activities[[#This Row],[Value]],Activities[[#This Row],[Value]]*(1+VLOOKUP(Activities[[#This Row],[Reference Year]],Inflation[#All],3,FALSE)))</f>
        <v>5308.6708860759491</v>
      </c>
    </row>
    <row r="100" spans="1:15" ht="15" customHeight="1" x14ac:dyDescent="0.25">
      <c r="A100" s="9" t="s">
        <v>200</v>
      </c>
      <c r="B100" s="9" t="str">
        <f>INDEX(Places[Type],MATCH(Activities[[#This Row],[Jurisdiction]],Places[Jurisdiction],0))</f>
        <v>City</v>
      </c>
      <c r="C100" s="19" t="str">
        <f>INDEX(Places[County],MATCH(Activities[[#This Row],[Jurisdiction]],Places[Jurisdiction],0))</f>
        <v>Los Angeles</v>
      </c>
      <c r="D100" s="19" t="str">
        <f>INDEX(Places[Majority RB],MATCH(Activities[[#This Row],[Jurisdiction]],Places[Jurisdiction],0))</f>
        <v>Los Angeles</v>
      </c>
      <c r="E100" s="9">
        <f>INDEX(Places[Majority RB '#],MATCH(Activities[[#This Row],[Jurisdiction]],Places[Jurisdiction],0))</f>
        <v>4</v>
      </c>
      <c r="F100" s="28" t="str">
        <f>VLOOKUP(Activities[[#This Row],[Jurisdiction]],Places[#All],8,FALSE)</f>
        <v>Phase I MS4</v>
      </c>
      <c r="G100" s="48" t="s">
        <v>58</v>
      </c>
      <c r="H100" s="8"/>
      <c r="I100" s="8"/>
      <c r="J100" s="8" t="s">
        <v>1456</v>
      </c>
      <c r="K100" s="27" t="s">
        <v>1873</v>
      </c>
      <c r="L100" s="28">
        <f>_xlfn.NUMBERVALUE(LEFT(Activities[[#This Row],[Fiscal Year]], 4))</f>
        <v>2015</v>
      </c>
      <c r="M100" s="28" t="s">
        <v>1862</v>
      </c>
      <c r="N100" s="41">
        <v>2000</v>
      </c>
      <c r="O100" s="93">
        <f>IF(Activities[[#This Row],[Reference Year]]&gt;2018,Activities[[#This Row],[Value]],Activities[[#This Row],[Value]]*(1+VLOOKUP(Activities[[#This Row],[Reference Year]],Inflation[#All],3,FALSE)))</f>
        <v>2123.4683544303798</v>
      </c>
    </row>
    <row r="101" spans="1:15" ht="15" customHeight="1" x14ac:dyDescent="0.25">
      <c r="A101" s="9" t="s">
        <v>200</v>
      </c>
      <c r="B101" s="9" t="str">
        <f>INDEX(Places[Type],MATCH(Activities[[#This Row],[Jurisdiction]],Places[Jurisdiction],0))</f>
        <v>City</v>
      </c>
      <c r="C101" s="19" t="str">
        <f>INDEX(Places[County],MATCH(Activities[[#This Row],[Jurisdiction]],Places[Jurisdiction],0))</f>
        <v>Los Angeles</v>
      </c>
      <c r="D101" s="19" t="str">
        <f>INDEX(Places[Majority RB],MATCH(Activities[[#This Row],[Jurisdiction]],Places[Jurisdiction],0))</f>
        <v>Los Angeles</v>
      </c>
      <c r="E101" s="9">
        <f>INDEX(Places[Majority RB '#],MATCH(Activities[[#This Row],[Jurisdiction]],Places[Jurisdiction],0))</f>
        <v>4</v>
      </c>
      <c r="F101" s="28" t="str">
        <f>VLOOKUP(Activities[[#This Row],[Jurisdiction]],Places[#All],8,FALSE)</f>
        <v>Phase I MS4</v>
      </c>
      <c r="G101" s="48" t="s">
        <v>32</v>
      </c>
      <c r="H101" s="8" t="s">
        <v>945</v>
      </c>
      <c r="I101" s="8" t="s">
        <v>429</v>
      </c>
      <c r="J101" s="8" t="s">
        <v>1894</v>
      </c>
      <c r="K101" s="27" t="s">
        <v>1873</v>
      </c>
      <c r="L101" s="28">
        <f>_xlfn.NUMBERVALUE(LEFT(Activities[[#This Row],[Fiscal Year]], 4))</f>
        <v>2015</v>
      </c>
      <c r="M101" s="28" t="s">
        <v>1862</v>
      </c>
      <c r="N101" s="41">
        <v>80000</v>
      </c>
      <c r="O101" s="93">
        <f>IF(Activities[[#This Row],[Reference Year]]&gt;2018,Activities[[#This Row],[Value]],Activities[[#This Row],[Value]]*(1+VLOOKUP(Activities[[#This Row],[Reference Year]],Inflation[#All],3,FALSE)))</f>
        <v>84938.734177215185</v>
      </c>
    </row>
    <row r="102" spans="1:15" ht="15" customHeight="1" x14ac:dyDescent="0.25">
      <c r="A102" s="9" t="s">
        <v>200</v>
      </c>
      <c r="B102" s="9" t="str">
        <f>INDEX(Places[Type],MATCH(Activities[[#This Row],[Jurisdiction]],Places[Jurisdiction],0))</f>
        <v>City</v>
      </c>
      <c r="C102" s="19" t="str">
        <f>INDEX(Places[County],MATCH(Activities[[#This Row],[Jurisdiction]],Places[Jurisdiction],0))</f>
        <v>Los Angeles</v>
      </c>
      <c r="D102" s="19" t="str">
        <f>INDEX(Places[Majority RB],MATCH(Activities[[#This Row],[Jurisdiction]],Places[Jurisdiction],0))</f>
        <v>Los Angeles</v>
      </c>
      <c r="E102" s="9">
        <f>INDEX(Places[Majority RB '#],MATCH(Activities[[#This Row],[Jurisdiction]],Places[Jurisdiction],0))</f>
        <v>4</v>
      </c>
      <c r="F102" s="28" t="str">
        <f>VLOOKUP(Activities[[#This Row],[Jurisdiction]],Places[#All],8,FALSE)</f>
        <v>Phase I MS4</v>
      </c>
      <c r="G102" s="48" t="s">
        <v>67</v>
      </c>
      <c r="H102" s="8" t="s">
        <v>944</v>
      </c>
      <c r="I102" s="8" t="s">
        <v>429</v>
      </c>
      <c r="J102" s="8" t="s">
        <v>1896</v>
      </c>
      <c r="K102" s="27" t="s">
        <v>1873</v>
      </c>
      <c r="L102" s="28">
        <f>_xlfn.NUMBERVALUE(LEFT(Activities[[#This Row],[Fiscal Year]], 4))</f>
        <v>2015</v>
      </c>
      <c r="M102" s="28" t="s">
        <v>1862</v>
      </c>
      <c r="N102" s="41">
        <v>80000</v>
      </c>
      <c r="O102" s="93">
        <f>IF(Activities[[#This Row],[Reference Year]]&gt;2018,Activities[[#This Row],[Value]],Activities[[#This Row],[Value]]*(1+VLOOKUP(Activities[[#This Row],[Reference Year]],Inflation[#All],3,FALSE)))</f>
        <v>84938.734177215185</v>
      </c>
    </row>
    <row r="103" spans="1:15" ht="15" customHeight="1" x14ac:dyDescent="0.25">
      <c r="A103" s="9" t="s">
        <v>200</v>
      </c>
      <c r="B103" s="9" t="str">
        <f>INDEX(Places[Type],MATCH(Activities[[#This Row],[Jurisdiction]],Places[Jurisdiction],0))</f>
        <v>City</v>
      </c>
      <c r="C103" s="19" t="str">
        <f>INDEX(Places[County],MATCH(Activities[[#This Row],[Jurisdiction]],Places[Jurisdiction],0))</f>
        <v>Los Angeles</v>
      </c>
      <c r="D103" s="19" t="str">
        <f>INDEX(Places[Majority RB],MATCH(Activities[[#This Row],[Jurisdiction]],Places[Jurisdiction],0))</f>
        <v>Los Angeles</v>
      </c>
      <c r="E103" s="9">
        <f>INDEX(Places[Majority RB '#],MATCH(Activities[[#This Row],[Jurisdiction]],Places[Jurisdiction],0))</f>
        <v>4</v>
      </c>
      <c r="F103" s="28" t="str">
        <f>VLOOKUP(Activities[[#This Row],[Jurisdiction]],Places[#All],8,FALSE)</f>
        <v>Phase I MS4</v>
      </c>
      <c r="G103" s="48" t="s">
        <v>33</v>
      </c>
      <c r="H103" s="8"/>
      <c r="I103" s="8"/>
      <c r="J103" s="8" t="s">
        <v>47</v>
      </c>
      <c r="K103" s="27" t="s">
        <v>1873</v>
      </c>
      <c r="L103" s="28">
        <f>_xlfn.NUMBERVALUE(LEFT(Activities[[#This Row],[Fiscal Year]], 4))</f>
        <v>2015</v>
      </c>
      <c r="M103" s="28" t="s">
        <v>1862</v>
      </c>
      <c r="N103" s="41">
        <v>40000</v>
      </c>
      <c r="O103" s="93">
        <f>IF(Activities[[#This Row],[Reference Year]]&gt;2018,Activities[[#This Row],[Value]],Activities[[#This Row],[Value]]*(1+VLOOKUP(Activities[[#This Row],[Reference Year]],Inflation[#All],3,FALSE)))</f>
        <v>42469.367088607592</v>
      </c>
    </row>
    <row r="104" spans="1:15" ht="15" customHeight="1" x14ac:dyDescent="0.25">
      <c r="A104" s="9" t="s">
        <v>159</v>
      </c>
      <c r="B104" s="9" t="str">
        <f>INDEX(Places[Type],MATCH(Activities[[#This Row],[Jurisdiction]],Places[Jurisdiction],0))</f>
        <v>City</v>
      </c>
      <c r="C104" s="19" t="str">
        <f>INDEX(Places[County],MATCH(Activities[[#This Row],[Jurisdiction]],Places[Jurisdiction],0))</f>
        <v>Los Angeles</v>
      </c>
      <c r="D104" s="19" t="str">
        <f>INDEX(Places[Majority RB],MATCH(Activities[[#This Row],[Jurisdiction]],Places[Jurisdiction],0))</f>
        <v>Los Angeles</v>
      </c>
      <c r="E104" s="9">
        <f>INDEX(Places[Majority RB '#],MATCH(Activities[[#This Row],[Jurisdiction]],Places[Jurisdiction],0))</f>
        <v>4</v>
      </c>
      <c r="F104" s="28" t="str">
        <f>VLOOKUP(Activities[[#This Row],[Jurisdiction]],Places[#All],8,FALSE)</f>
        <v>Phase I MS4</v>
      </c>
      <c r="G104" s="48" t="s">
        <v>849</v>
      </c>
      <c r="H104" s="8"/>
      <c r="I104" s="8"/>
      <c r="J104" s="8" t="s">
        <v>131</v>
      </c>
      <c r="K104" s="27" t="s">
        <v>1873</v>
      </c>
      <c r="L104" s="28">
        <f>_xlfn.NUMBERVALUE(LEFT(Activities[[#This Row],[Fiscal Year]], 4))</f>
        <v>2015</v>
      </c>
      <c r="M104" s="28" t="s">
        <v>1862</v>
      </c>
      <c r="N104" s="41">
        <v>5000</v>
      </c>
      <c r="O104" s="93">
        <f>IF(Activities[[#This Row],[Reference Year]]&gt;2018,Activities[[#This Row],[Value]],Activities[[#This Row],[Value]]*(1+VLOOKUP(Activities[[#This Row],[Reference Year]],Inflation[#All],3,FALSE)))</f>
        <v>5308.6708860759491</v>
      </c>
    </row>
    <row r="105" spans="1:15" ht="15" customHeight="1" x14ac:dyDescent="0.25">
      <c r="A105" s="9" t="s">
        <v>159</v>
      </c>
      <c r="B105" s="9" t="str">
        <f>INDEX(Places[Type],MATCH(Activities[[#This Row],[Jurisdiction]],Places[Jurisdiction],0))</f>
        <v>City</v>
      </c>
      <c r="C105" s="19" t="str">
        <f>INDEX(Places[County],MATCH(Activities[[#This Row],[Jurisdiction]],Places[Jurisdiction],0))</f>
        <v>Los Angeles</v>
      </c>
      <c r="D105" s="19" t="str">
        <f>INDEX(Places[Majority RB],MATCH(Activities[[#This Row],[Jurisdiction]],Places[Jurisdiction],0))</f>
        <v>Los Angeles</v>
      </c>
      <c r="E105" s="9">
        <f>INDEX(Places[Majority RB '#],MATCH(Activities[[#This Row],[Jurisdiction]],Places[Jurisdiction],0))</f>
        <v>4</v>
      </c>
      <c r="F105" s="28" t="str">
        <f>VLOOKUP(Activities[[#This Row],[Jurisdiction]],Places[#All],8,FALSE)</f>
        <v>Phase I MS4</v>
      </c>
      <c r="G105" s="48" t="s">
        <v>845</v>
      </c>
      <c r="H105" s="8"/>
      <c r="I105" s="8"/>
      <c r="J105" s="8" t="s">
        <v>334</v>
      </c>
      <c r="K105" s="27" t="s">
        <v>1873</v>
      </c>
      <c r="L105" s="28">
        <f>_xlfn.NUMBERVALUE(LEFT(Activities[[#This Row],[Fiscal Year]], 4))</f>
        <v>2015</v>
      </c>
      <c r="M105" s="28" t="s">
        <v>1862</v>
      </c>
      <c r="N105" s="41">
        <v>20000</v>
      </c>
      <c r="O105" s="93">
        <f>IF(Activities[[#This Row],[Reference Year]]&gt;2018,Activities[[#This Row],[Value]],Activities[[#This Row],[Value]]*(1+VLOOKUP(Activities[[#This Row],[Reference Year]],Inflation[#All],3,FALSE)))</f>
        <v>21234.683544303796</v>
      </c>
    </row>
    <row r="106" spans="1:15" ht="15" customHeight="1" x14ac:dyDescent="0.25">
      <c r="A106" s="9" t="s">
        <v>159</v>
      </c>
      <c r="B106" s="9" t="str">
        <f>INDEX(Places[Type],MATCH(Activities[[#This Row],[Jurisdiction]],Places[Jurisdiction],0))</f>
        <v>City</v>
      </c>
      <c r="C106" s="19" t="str">
        <f>INDEX(Places[County],MATCH(Activities[[#This Row],[Jurisdiction]],Places[Jurisdiction],0))</f>
        <v>Los Angeles</v>
      </c>
      <c r="D106" s="19" t="str">
        <f>INDEX(Places[Majority RB],MATCH(Activities[[#This Row],[Jurisdiction]],Places[Jurisdiction],0))</f>
        <v>Los Angeles</v>
      </c>
      <c r="E106" s="9">
        <f>INDEX(Places[Majority RB '#],MATCH(Activities[[#This Row],[Jurisdiction]],Places[Jurisdiction],0))</f>
        <v>4</v>
      </c>
      <c r="F106" s="28" t="str">
        <f>VLOOKUP(Activities[[#This Row],[Jurisdiction]],Places[#All],8,FALSE)</f>
        <v>Phase I MS4</v>
      </c>
      <c r="G106" s="48" t="s">
        <v>857</v>
      </c>
      <c r="H106" s="8"/>
      <c r="I106" s="8"/>
      <c r="J106" s="8" t="s">
        <v>1897</v>
      </c>
      <c r="K106" s="27" t="s">
        <v>1873</v>
      </c>
      <c r="L106" s="28">
        <f>_xlfn.NUMBERVALUE(LEFT(Activities[[#This Row],[Fiscal Year]], 4))</f>
        <v>2015</v>
      </c>
      <c r="M106" s="28" t="s">
        <v>1862</v>
      </c>
      <c r="N106" s="41">
        <v>40000</v>
      </c>
      <c r="O106" s="93">
        <f>IF(Activities[[#This Row],[Reference Year]]&gt;2018,Activities[[#This Row],[Value]],Activities[[#This Row],[Value]]*(1+VLOOKUP(Activities[[#This Row],[Reference Year]],Inflation[#All],3,FALSE)))</f>
        <v>42469.367088607592</v>
      </c>
    </row>
    <row r="107" spans="1:15" ht="15" customHeight="1" x14ac:dyDescent="0.25">
      <c r="A107" s="9" t="s">
        <v>159</v>
      </c>
      <c r="B107" s="9" t="str">
        <f>INDEX(Places[Type],MATCH(Activities[[#This Row],[Jurisdiction]],Places[Jurisdiction],0))</f>
        <v>City</v>
      </c>
      <c r="C107" s="19" t="str">
        <f>INDEX(Places[County],MATCH(Activities[[#This Row],[Jurisdiction]],Places[Jurisdiction],0))</f>
        <v>Los Angeles</v>
      </c>
      <c r="D107" s="19" t="str">
        <f>INDEX(Places[Majority RB],MATCH(Activities[[#This Row],[Jurisdiction]],Places[Jurisdiction],0))</f>
        <v>Los Angeles</v>
      </c>
      <c r="E107" s="9">
        <f>INDEX(Places[Majority RB '#],MATCH(Activities[[#This Row],[Jurisdiction]],Places[Jurisdiction],0))</f>
        <v>4</v>
      </c>
      <c r="F107" s="28" t="str">
        <f>VLOOKUP(Activities[[#This Row],[Jurisdiction]],Places[#All],8,FALSE)</f>
        <v>Phase I MS4</v>
      </c>
      <c r="G107" s="48" t="s">
        <v>910</v>
      </c>
      <c r="H107" s="8"/>
      <c r="I107" s="8"/>
      <c r="J107" s="8" t="s">
        <v>1897</v>
      </c>
      <c r="K107" s="27" t="s">
        <v>1873</v>
      </c>
      <c r="L107" s="28">
        <f>_xlfn.NUMBERVALUE(LEFT(Activities[[#This Row],[Fiscal Year]], 4))</f>
        <v>2015</v>
      </c>
      <c r="M107" s="28" t="s">
        <v>1862</v>
      </c>
      <c r="N107" s="41">
        <v>126000</v>
      </c>
      <c r="O107" s="93">
        <f>IF(Activities[[#This Row],[Reference Year]]&gt;2018,Activities[[#This Row],[Value]],Activities[[#This Row],[Value]]*(1+VLOOKUP(Activities[[#This Row],[Reference Year]],Inflation[#All],3,FALSE)))</f>
        <v>133778.50632911391</v>
      </c>
    </row>
    <row r="108" spans="1:15" ht="15" customHeight="1" x14ac:dyDescent="0.25">
      <c r="A108" s="9" t="s">
        <v>159</v>
      </c>
      <c r="B108" s="9" t="str">
        <f>INDEX(Places[Type],MATCH(Activities[[#This Row],[Jurisdiction]],Places[Jurisdiction],0))</f>
        <v>City</v>
      </c>
      <c r="C108" s="19" t="str">
        <f>INDEX(Places[County],MATCH(Activities[[#This Row],[Jurisdiction]],Places[Jurisdiction],0))</f>
        <v>Los Angeles</v>
      </c>
      <c r="D108" s="19" t="str">
        <f>INDEX(Places[Majority RB],MATCH(Activities[[#This Row],[Jurisdiction]],Places[Jurisdiction],0))</f>
        <v>Los Angeles</v>
      </c>
      <c r="E108" s="9">
        <f>INDEX(Places[Majority RB '#],MATCH(Activities[[#This Row],[Jurisdiction]],Places[Jurisdiction],0))</f>
        <v>4</v>
      </c>
      <c r="F108" s="28" t="str">
        <f>VLOOKUP(Activities[[#This Row],[Jurisdiction]],Places[#All],8,FALSE)</f>
        <v>Phase I MS4</v>
      </c>
      <c r="G108" s="48" t="s">
        <v>846</v>
      </c>
      <c r="H108" s="8"/>
      <c r="I108" s="8"/>
      <c r="J108" s="8" t="s">
        <v>1898</v>
      </c>
      <c r="K108" s="27" t="s">
        <v>1873</v>
      </c>
      <c r="L108" s="28">
        <f>_xlfn.NUMBERVALUE(LEFT(Activities[[#This Row],[Fiscal Year]], 4))</f>
        <v>2015</v>
      </c>
      <c r="M108" s="28" t="s">
        <v>1862</v>
      </c>
      <c r="N108" s="41">
        <v>10000</v>
      </c>
      <c r="O108" s="93">
        <f>IF(Activities[[#This Row],[Reference Year]]&gt;2018,Activities[[#This Row],[Value]],Activities[[#This Row],[Value]]*(1+VLOOKUP(Activities[[#This Row],[Reference Year]],Inflation[#All],3,FALSE)))</f>
        <v>10617.341772151898</v>
      </c>
    </row>
    <row r="109" spans="1:15" ht="15" customHeight="1" x14ac:dyDescent="0.25">
      <c r="A109" s="9" t="s">
        <v>159</v>
      </c>
      <c r="B109" s="9" t="str">
        <f>INDEX(Places[Type],MATCH(Activities[[#This Row],[Jurisdiction]],Places[Jurisdiction],0))</f>
        <v>City</v>
      </c>
      <c r="C109" s="19" t="str">
        <f>INDEX(Places[County],MATCH(Activities[[#This Row],[Jurisdiction]],Places[Jurisdiction],0))</f>
        <v>Los Angeles</v>
      </c>
      <c r="D109" s="19" t="str">
        <f>INDEX(Places[Majority RB],MATCH(Activities[[#This Row],[Jurisdiction]],Places[Jurisdiction],0))</f>
        <v>Los Angeles</v>
      </c>
      <c r="E109" s="9">
        <f>INDEX(Places[Majority RB '#],MATCH(Activities[[#This Row],[Jurisdiction]],Places[Jurisdiction],0))</f>
        <v>4</v>
      </c>
      <c r="F109" s="28" t="str">
        <f>VLOOKUP(Activities[[#This Row],[Jurisdiction]],Places[#All],8,FALSE)</f>
        <v>Phase I MS4</v>
      </c>
      <c r="G109" s="48" t="s">
        <v>847</v>
      </c>
      <c r="H109" s="8"/>
      <c r="I109" s="8"/>
      <c r="J109" s="8" t="s">
        <v>1898</v>
      </c>
      <c r="K109" s="27" t="s">
        <v>1873</v>
      </c>
      <c r="L109" s="28">
        <f>_xlfn.NUMBERVALUE(LEFT(Activities[[#This Row],[Fiscal Year]], 4))</f>
        <v>2015</v>
      </c>
      <c r="M109" s="28" t="s">
        <v>1862</v>
      </c>
      <c r="N109" s="41">
        <v>10000</v>
      </c>
      <c r="O109" s="93">
        <f>IF(Activities[[#This Row],[Reference Year]]&gt;2018,Activities[[#This Row],[Value]],Activities[[#This Row],[Value]]*(1+VLOOKUP(Activities[[#This Row],[Reference Year]],Inflation[#All],3,FALSE)))</f>
        <v>10617.341772151898</v>
      </c>
    </row>
    <row r="110" spans="1:15" ht="15" customHeight="1" x14ac:dyDescent="0.25">
      <c r="A110" s="9" t="s">
        <v>159</v>
      </c>
      <c r="B110" s="9" t="str">
        <f>INDEX(Places[Type],MATCH(Activities[[#This Row],[Jurisdiction]],Places[Jurisdiction],0))</f>
        <v>City</v>
      </c>
      <c r="C110" s="19" t="str">
        <f>INDEX(Places[County],MATCH(Activities[[#This Row],[Jurisdiction]],Places[Jurisdiction],0))</f>
        <v>Los Angeles</v>
      </c>
      <c r="D110" s="19" t="str">
        <f>INDEX(Places[Majority RB],MATCH(Activities[[#This Row],[Jurisdiction]],Places[Jurisdiction],0))</f>
        <v>Los Angeles</v>
      </c>
      <c r="E110" s="9">
        <f>INDEX(Places[Majority RB '#],MATCH(Activities[[#This Row],[Jurisdiction]],Places[Jurisdiction],0))</f>
        <v>4</v>
      </c>
      <c r="F110" s="28" t="str">
        <f>VLOOKUP(Activities[[#This Row],[Jurisdiction]],Places[#All],8,FALSE)</f>
        <v>Phase I MS4</v>
      </c>
      <c r="G110" s="48" t="s">
        <v>844</v>
      </c>
      <c r="H110" s="8"/>
      <c r="I110" s="8"/>
      <c r="J110" s="8" t="s">
        <v>1456</v>
      </c>
      <c r="K110" s="27" t="s">
        <v>1873</v>
      </c>
      <c r="L110" s="28">
        <f>_xlfn.NUMBERVALUE(LEFT(Activities[[#This Row],[Fiscal Year]], 4))</f>
        <v>2015</v>
      </c>
      <c r="M110" s="28" t="s">
        <v>1862</v>
      </c>
      <c r="N110" s="41">
        <v>3000</v>
      </c>
      <c r="O110" s="93">
        <f>IF(Activities[[#This Row],[Reference Year]]&gt;2018,Activities[[#This Row],[Value]],Activities[[#This Row],[Value]]*(1+VLOOKUP(Activities[[#This Row],[Reference Year]],Inflation[#All],3,FALSE)))</f>
        <v>3185.2025316455693</v>
      </c>
    </row>
    <row r="111" spans="1:15" ht="15" customHeight="1" x14ac:dyDescent="0.25">
      <c r="A111" s="9" t="s">
        <v>159</v>
      </c>
      <c r="B111" s="9" t="str">
        <f>INDEX(Places[Type],MATCH(Activities[[#This Row],[Jurisdiction]],Places[Jurisdiction],0))</f>
        <v>City</v>
      </c>
      <c r="C111" s="19" t="str">
        <f>INDEX(Places[County],MATCH(Activities[[#This Row],[Jurisdiction]],Places[Jurisdiction],0))</f>
        <v>Los Angeles</v>
      </c>
      <c r="D111" s="19" t="str">
        <f>INDEX(Places[Majority RB],MATCH(Activities[[#This Row],[Jurisdiction]],Places[Jurisdiction],0))</f>
        <v>Los Angeles</v>
      </c>
      <c r="E111" s="9">
        <f>INDEX(Places[Majority RB '#],MATCH(Activities[[#This Row],[Jurisdiction]],Places[Jurisdiction],0))</f>
        <v>4</v>
      </c>
      <c r="F111" s="28" t="str">
        <f>VLOOKUP(Activities[[#This Row],[Jurisdiction]],Places[#All],8,FALSE)</f>
        <v>Phase I MS4</v>
      </c>
      <c r="G111" s="48" t="s">
        <v>909</v>
      </c>
      <c r="H111" s="8"/>
      <c r="I111" s="8"/>
      <c r="J111" s="8" t="s">
        <v>1894</v>
      </c>
      <c r="K111" s="27" t="s">
        <v>1873</v>
      </c>
      <c r="L111" s="28">
        <f>_xlfn.NUMBERVALUE(LEFT(Activities[[#This Row],[Fiscal Year]], 4))</f>
        <v>2015</v>
      </c>
      <c r="M111" s="28" t="s">
        <v>1862</v>
      </c>
      <c r="N111" s="41">
        <v>15989</v>
      </c>
      <c r="O111" s="93">
        <f>IF(Activities[[#This Row],[Reference Year]]&gt;2018,Activities[[#This Row],[Value]],Activities[[#This Row],[Value]]*(1+VLOOKUP(Activities[[#This Row],[Reference Year]],Inflation[#All],3,FALSE)))</f>
        <v>16976.067759493671</v>
      </c>
    </row>
    <row r="112" spans="1:15" ht="15" customHeight="1" x14ac:dyDescent="0.25">
      <c r="A112" s="9" t="s">
        <v>159</v>
      </c>
      <c r="B112" s="9" t="str">
        <f>INDEX(Places[Type],MATCH(Activities[[#This Row],[Jurisdiction]],Places[Jurisdiction],0))</f>
        <v>City</v>
      </c>
      <c r="C112" s="19" t="str">
        <f>INDEX(Places[County],MATCH(Activities[[#This Row],[Jurisdiction]],Places[Jurisdiction],0))</f>
        <v>Los Angeles</v>
      </c>
      <c r="D112" s="19" t="str">
        <f>INDEX(Places[Majority RB],MATCH(Activities[[#This Row],[Jurisdiction]],Places[Jurisdiction],0))</f>
        <v>Los Angeles</v>
      </c>
      <c r="E112" s="9">
        <f>INDEX(Places[Majority RB '#],MATCH(Activities[[#This Row],[Jurisdiction]],Places[Jurisdiction],0))</f>
        <v>4</v>
      </c>
      <c r="F112" s="28" t="str">
        <f>VLOOKUP(Activities[[#This Row],[Jurisdiction]],Places[#All],8,FALSE)</f>
        <v>Phase I MS4</v>
      </c>
      <c r="G112" s="48" t="s">
        <v>908</v>
      </c>
      <c r="H112" s="8"/>
      <c r="I112" s="8"/>
      <c r="J112" s="8" t="s">
        <v>1894</v>
      </c>
      <c r="K112" s="27" t="s">
        <v>1873</v>
      </c>
      <c r="L112" s="28">
        <f>_xlfn.NUMBERVALUE(LEFT(Activities[[#This Row],[Fiscal Year]], 4))</f>
        <v>2015</v>
      </c>
      <c r="M112" s="28" t="s">
        <v>1862</v>
      </c>
      <c r="N112" s="41">
        <v>30000</v>
      </c>
      <c r="O112" s="93">
        <f>IF(Activities[[#This Row],[Reference Year]]&gt;2018,Activities[[#This Row],[Value]],Activities[[#This Row],[Value]]*(1+VLOOKUP(Activities[[#This Row],[Reference Year]],Inflation[#All],3,FALSE)))</f>
        <v>31852.025316455696</v>
      </c>
    </row>
    <row r="113" spans="1:15" ht="15" customHeight="1" x14ac:dyDescent="0.25">
      <c r="A113" s="9" t="s">
        <v>159</v>
      </c>
      <c r="B113" s="9" t="str">
        <f>INDEX(Places[Type],MATCH(Activities[[#This Row],[Jurisdiction]],Places[Jurisdiction],0))</f>
        <v>City</v>
      </c>
      <c r="C113" s="19" t="str">
        <f>INDEX(Places[County],MATCH(Activities[[#This Row],[Jurisdiction]],Places[Jurisdiction],0))</f>
        <v>Los Angeles</v>
      </c>
      <c r="D113" s="19" t="str">
        <f>INDEX(Places[Majority RB],MATCH(Activities[[#This Row],[Jurisdiction]],Places[Jurisdiction],0))</f>
        <v>Los Angeles</v>
      </c>
      <c r="E113" s="9">
        <f>INDEX(Places[Majority RB '#],MATCH(Activities[[#This Row],[Jurisdiction]],Places[Jurisdiction],0))</f>
        <v>4</v>
      </c>
      <c r="F113" s="28" t="str">
        <f>VLOOKUP(Activities[[#This Row],[Jurisdiction]],Places[#All],8,FALSE)</f>
        <v>Phase I MS4</v>
      </c>
      <c r="G113" s="56" t="s">
        <v>855</v>
      </c>
      <c r="H113" s="8" t="s">
        <v>912</v>
      </c>
      <c r="I113" s="8" t="s">
        <v>429</v>
      </c>
      <c r="J113" s="8" t="s">
        <v>1896</v>
      </c>
      <c r="K113" s="27" t="s">
        <v>1873</v>
      </c>
      <c r="L113" s="28">
        <f>_xlfn.NUMBERVALUE(LEFT(Activities[[#This Row],[Fiscal Year]], 4))</f>
        <v>2015</v>
      </c>
      <c r="M113" s="28" t="s">
        <v>1862</v>
      </c>
      <c r="N113" s="41">
        <v>3011</v>
      </c>
      <c r="O113" s="93">
        <f>IF(Activities[[#This Row],[Reference Year]]&gt;2018,Activities[[#This Row],[Value]],Activities[[#This Row],[Value]]*(1+VLOOKUP(Activities[[#This Row],[Reference Year]],Inflation[#All],3,FALSE)))</f>
        <v>3196.8816075949367</v>
      </c>
    </row>
    <row r="114" spans="1:15" ht="15" customHeight="1" x14ac:dyDescent="0.25">
      <c r="A114" s="9" t="s">
        <v>159</v>
      </c>
      <c r="B114" s="9" t="str">
        <f>INDEX(Places[Type],MATCH(Activities[[#This Row],[Jurisdiction]],Places[Jurisdiction],0))</f>
        <v>City</v>
      </c>
      <c r="C114" s="19" t="str">
        <f>INDEX(Places[County],MATCH(Activities[[#This Row],[Jurisdiction]],Places[Jurisdiction],0))</f>
        <v>Los Angeles</v>
      </c>
      <c r="D114" s="19" t="str">
        <f>INDEX(Places[Majority RB],MATCH(Activities[[#This Row],[Jurisdiction]],Places[Jurisdiction],0))</f>
        <v>Los Angeles</v>
      </c>
      <c r="E114" s="9">
        <f>INDEX(Places[Majority RB '#],MATCH(Activities[[#This Row],[Jurisdiction]],Places[Jurisdiction],0))</f>
        <v>4</v>
      </c>
      <c r="F114" s="28" t="str">
        <f>VLOOKUP(Activities[[#This Row],[Jurisdiction]],Places[#All],8,FALSE)</f>
        <v>Phase I MS4</v>
      </c>
      <c r="G114" s="48" t="s">
        <v>850</v>
      </c>
      <c r="H114" s="8"/>
      <c r="I114" s="8"/>
      <c r="J114" s="8" t="s">
        <v>1896</v>
      </c>
      <c r="K114" s="27" t="s">
        <v>1873</v>
      </c>
      <c r="L114" s="28">
        <f>_xlfn.NUMBERVALUE(LEFT(Activities[[#This Row],[Fiscal Year]], 4))</f>
        <v>2015</v>
      </c>
      <c r="M114" s="28" t="s">
        <v>1862</v>
      </c>
      <c r="N114" s="41">
        <v>5000</v>
      </c>
      <c r="O114" s="93">
        <f>IF(Activities[[#This Row],[Reference Year]]&gt;2018,Activities[[#This Row],[Value]],Activities[[#This Row],[Value]]*(1+VLOOKUP(Activities[[#This Row],[Reference Year]],Inflation[#All],3,FALSE)))</f>
        <v>5308.6708860759491</v>
      </c>
    </row>
    <row r="115" spans="1:15" ht="15" customHeight="1" x14ac:dyDescent="0.25">
      <c r="A115" s="9" t="s">
        <v>159</v>
      </c>
      <c r="B115" s="9" t="str">
        <f>INDEX(Places[Type],MATCH(Activities[[#This Row],[Jurisdiction]],Places[Jurisdiction],0))</f>
        <v>City</v>
      </c>
      <c r="C115" s="19" t="str">
        <f>INDEX(Places[County],MATCH(Activities[[#This Row],[Jurisdiction]],Places[Jurisdiction],0))</f>
        <v>Los Angeles</v>
      </c>
      <c r="D115" s="19" t="str">
        <f>INDEX(Places[Majority RB],MATCH(Activities[[#This Row],[Jurisdiction]],Places[Jurisdiction],0))</f>
        <v>Los Angeles</v>
      </c>
      <c r="E115" s="9">
        <f>INDEX(Places[Majority RB '#],MATCH(Activities[[#This Row],[Jurisdiction]],Places[Jurisdiction],0))</f>
        <v>4</v>
      </c>
      <c r="F115" s="28" t="str">
        <f>VLOOKUP(Activities[[#This Row],[Jurisdiction]],Places[#All],8,FALSE)</f>
        <v>Phase I MS4</v>
      </c>
      <c r="G115" s="56" t="s">
        <v>854</v>
      </c>
      <c r="H115" s="8"/>
      <c r="I115" s="8"/>
      <c r="J115" s="8" t="s">
        <v>47</v>
      </c>
      <c r="K115" s="27" t="s">
        <v>1873</v>
      </c>
      <c r="L115" s="28">
        <f>_xlfn.NUMBERVALUE(LEFT(Activities[[#This Row],[Fiscal Year]], 4))</f>
        <v>2015</v>
      </c>
      <c r="M115" s="28" t="s">
        <v>1862</v>
      </c>
      <c r="N115" s="41">
        <v>5000</v>
      </c>
      <c r="O115" s="93">
        <f>IF(Activities[[#This Row],[Reference Year]]&gt;2018,Activities[[#This Row],[Value]],Activities[[#This Row],[Value]]*(1+VLOOKUP(Activities[[#This Row],[Reference Year]],Inflation[#All],3,FALSE)))</f>
        <v>5308.6708860759491</v>
      </c>
    </row>
    <row r="116" spans="1:15" ht="15" customHeight="1" x14ac:dyDescent="0.25">
      <c r="A116" s="9" t="s">
        <v>160</v>
      </c>
      <c r="B116" s="9" t="str">
        <f>INDEX(Places[Type],MATCH(Activities[[#This Row],[Jurisdiction]],Places[Jurisdiction],0))</f>
        <v>City</v>
      </c>
      <c r="C116" s="19" t="str">
        <f>INDEX(Places[County],MATCH(Activities[[#This Row],[Jurisdiction]],Places[Jurisdiction],0))</f>
        <v>Los Angeles</v>
      </c>
      <c r="D116" s="19" t="str">
        <f>INDEX(Places[Majority RB],MATCH(Activities[[#This Row],[Jurisdiction]],Places[Jurisdiction],0))</f>
        <v>Los Angeles</v>
      </c>
      <c r="E116" s="9">
        <f>INDEX(Places[Majority RB '#],MATCH(Activities[[#This Row],[Jurisdiction]],Places[Jurisdiction],0))</f>
        <v>4</v>
      </c>
      <c r="F116" s="28" t="str">
        <f>VLOOKUP(Activities[[#This Row],[Jurisdiction]],Places[#All],8,FALSE)</f>
        <v>Phase I MS4</v>
      </c>
      <c r="G116" s="48" t="s">
        <v>62</v>
      </c>
      <c r="H116" s="8"/>
      <c r="I116" s="8"/>
      <c r="J116" s="8" t="s">
        <v>131</v>
      </c>
      <c r="K116" s="27" t="s">
        <v>1873</v>
      </c>
      <c r="L116" s="28">
        <f>_xlfn.NUMBERVALUE(LEFT(Activities[[#This Row],[Fiscal Year]], 4))</f>
        <v>2015</v>
      </c>
      <c r="M116" s="28" t="s">
        <v>1862</v>
      </c>
      <c r="N116" s="41">
        <v>16401</v>
      </c>
      <c r="O116" s="93">
        <f>IF(Activities[[#This Row],[Reference Year]]&gt;2018,Activities[[#This Row],[Value]],Activities[[#This Row],[Value]]*(1+VLOOKUP(Activities[[#This Row],[Reference Year]],Inflation[#All],3,FALSE)))</f>
        <v>17413.502240506328</v>
      </c>
    </row>
    <row r="117" spans="1:15" ht="15" customHeight="1" x14ac:dyDescent="0.25">
      <c r="A117" s="9" t="s">
        <v>160</v>
      </c>
      <c r="B117" s="9" t="str">
        <f>INDEX(Places[Type],MATCH(Activities[[#This Row],[Jurisdiction]],Places[Jurisdiction],0))</f>
        <v>City</v>
      </c>
      <c r="C117" s="19" t="str">
        <f>INDEX(Places[County],MATCH(Activities[[#This Row],[Jurisdiction]],Places[Jurisdiction],0))</f>
        <v>Los Angeles</v>
      </c>
      <c r="D117" s="19" t="str">
        <f>INDEX(Places[Majority RB],MATCH(Activities[[#This Row],[Jurisdiction]],Places[Jurisdiction],0))</f>
        <v>Los Angeles</v>
      </c>
      <c r="E117" s="9">
        <f>INDEX(Places[Majority RB '#],MATCH(Activities[[#This Row],[Jurisdiction]],Places[Jurisdiction],0))</f>
        <v>4</v>
      </c>
      <c r="F117" s="28" t="str">
        <f>VLOOKUP(Activities[[#This Row],[Jurisdiction]],Places[#All],8,FALSE)</f>
        <v>Phase I MS4</v>
      </c>
      <c r="G117" s="48" t="s">
        <v>208</v>
      </c>
      <c r="H117" s="8"/>
      <c r="I117" s="8"/>
      <c r="J117" s="8" t="s">
        <v>334</v>
      </c>
      <c r="K117" s="27" t="s">
        <v>1873</v>
      </c>
      <c r="L117" s="28">
        <f>_xlfn.NUMBERVALUE(LEFT(Activities[[#This Row],[Fiscal Year]], 4))</f>
        <v>2015</v>
      </c>
      <c r="M117" s="28" t="s">
        <v>1862</v>
      </c>
      <c r="N117" s="41">
        <v>2960</v>
      </c>
      <c r="O117" s="93">
        <f>IF(Activities[[#This Row],[Reference Year]]&gt;2018,Activities[[#This Row],[Value]],Activities[[#This Row],[Value]]*(1+VLOOKUP(Activities[[#This Row],[Reference Year]],Inflation[#All],3,FALSE)))</f>
        <v>3142.733164556962</v>
      </c>
    </row>
    <row r="118" spans="1:15" ht="15" customHeight="1" x14ac:dyDescent="0.25">
      <c r="A118" s="9" t="s">
        <v>160</v>
      </c>
      <c r="B118" s="9" t="str">
        <f>INDEX(Places[Type],MATCH(Activities[[#This Row],[Jurisdiction]],Places[Jurisdiction],0))</f>
        <v>City</v>
      </c>
      <c r="C118" s="19" t="str">
        <f>INDEX(Places[County],MATCH(Activities[[#This Row],[Jurisdiction]],Places[Jurisdiction],0))</f>
        <v>Los Angeles</v>
      </c>
      <c r="D118" s="19" t="str">
        <f>INDEX(Places[Majority RB],MATCH(Activities[[#This Row],[Jurisdiction]],Places[Jurisdiction],0))</f>
        <v>Los Angeles</v>
      </c>
      <c r="E118" s="9">
        <f>INDEX(Places[Majority RB '#],MATCH(Activities[[#This Row],[Jurisdiction]],Places[Jurisdiction],0))</f>
        <v>4</v>
      </c>
      <c r="F118" s="28" t="str">
        <f>VLOOKUP(Activities[[#This Row],[Jurisdiction]],Places[#All],8,FALSE)</f>
        <v>Phase I MS4</v>
      </c>
      <c r="G118" s="48" t="s">
        <v>61</v>
      </c>
      <c r="H118" s="8"/>
      <c r="I118" s="8"/>
      <c r="J118" s="8" t="s">
        <v>1897</v>
      </c>
      <c r="K118" s="27" t="s">
        <v>1873</v>
      </c>
      <c r="L118" s="28">
        <f>_xlfn.NUMBERVALUE(LEFT(Activities[[#This Row],[Fiscal Year]], 4))</f>
        <v>2015</v>
      </c>
      <c r="M118" s="28" t="s">
        <v>1862</v>
      </c>
      <c r="N118" s="41">
        <v>29063</v>
      </c>
      <c r="O118" s="93">
        <f>IF(Activities[[#This Row],[Reference Year]]&gt;2018,Activities[[#This Row],[Value]],Activities[[#This Row],[Value]]*(1+VLOOKUP(Activities[[#This Row],[Reference Year]],Inflation[#All],3,FALSE)))</f>
        <v>30857.180392405062</v>
      </c>
    </row>
    <row r="119" spans="1:15" ht="15" customHeight="1" x14ac:dyDescent="0.25">
      <c r="A119" s="9" t="s">
        <v>160</v>
      </c>
      <c r="B119" s="9" t="str">
        <f>INDEX(Places[Type],MATCH(Activities[[#This Row],[Jurisdiction]],Places[Jurisdiction],0))</f>
        <v>City</v>
      </c>
      <c r="C119" s="19" t="str">
        <f>INDEX(Places[County],MATCH(Activities[[#This Row],[Jurisdiction]],Places[Jurisdiction],0))</f>
        <v>Los Angeles</v>
      </c>
      <c r="D119" s="19" t="str">
        <f>INDEX(Places[Majority RB],MATCH(Activities[[#This Row],[Jurisdiction]],Places[Jurisdiction],0))</f>
        <v>Los Angeles</v>
      </c>
      <c r="E119" s="9">
        <f>INDEX(Places[Majority RB '#],MATCH(Activities[[#This Row],[Jurisdiction]],Places[Jurisdiction],0))</f>
        <v>4</v>
      </c>
      <c r="F119" s="28" t="str">
        <f>VLOOKUP(Activities[[#This Row],[Jurisdiction]],Places[#All],8,FALSE)</f>
        <v>Phase I MS4</v>
      </c>
      <c r="G119" s="48" t="s">
        <v>60</v>
      </c>
      <c r="H119" s="8"/>
      <c r="I119" s="8"/>
      <c r="J119" s="8" t="s">
        <v>1898</v>
      </c>
      <c r="K119" s="27" t="s">
        <v>1873</v>
      </c>
      <c r="L119" s="28">
        <f>_xlfn.NUMBERVALUE(LEFT(Activities[[#This Row],[Fiscal Year]], 4))</f>
        <v>2015</v>
      </c>
      <c r="M119" s="28" t="s">
        <v>1862</v>
      </c>
      <c r="N119" s="41">
        <v>6812</v>
      </c>
      <c r="O119" s="93">
        <f>IF(Activities[[#This Row],[Reference Year]]&gt;2018,Activities[[#This Row],[Value]],Activities[[#This Row],[Value]]*(1+VLOOKUP(Activities[[#This Row],[Reference Year]],Inflation[#All],3,FALSE)))</f>
        <v>7232.5332151898729</v>
      </c>
    </row>
    <row r="120" spans="1:15" ht="15" customHeight="1" x14ac:dyDescent="0.25">
      <c r="A120" s="9" t="s">
        <v>160</v>
      </c>
      <c r="B120" s="9" t="str">
        <f>INDEX(Places[Type],MATCH(Activities[[#This Row],[Jurisdiction]],Places[Jurisdiction],0))</f>
        <v>City</v>
      </c>
      <c r="C120" s="19" t="str">
        <f>INDEX(Places[County],MATCH(Activities[[#This Row],[Jurisdiction]],Places[Jurisdiction],0))</f>
        <v>Los Angeles</v>
      </c>
      <c r="D120" s="19" t="str">
        <f>INDEX(Places[Majority RB],MATCH(Activities[[#This Row],[Jurisdiction]],Places[Jurisdiction],0))</f>
        <v>Los Angeles</v>
      </c>
      <c r="E120" s="9">
        <f>INDEX(Places[Majority RB '#],MATCH(Activities[[#This Row],[Jurisdiction]],Places[Jurisdiction],0))</f>
        <v>4</v>
      </c>
      <c r="F120" s="28" t="str">
        <f>VLOOKUP(Activities[[#This Row],[Jurisdiction]],Places[#All],8,FALSE)</f>
        <v>Phase I MS4</v>
      </c>
      <c r="G120" s="48" t="s">
        <v>59</v>
      </c>
      <c r="H120" s="8"/>
      <c r="I120" s="8"/>
      <c r="J120" s="8" t="s">
        <v>1898</v>
      </c>
      <c r="K120" s="27" t="s">
        <v>1873</v>
      </c>
      <c r="L120" s="28">
        <f>_xlfn.NUMBERVALUE(LEFT(Activities[[#This Row],[Fiscal Year]], 4))</f>
        <v>2015</v>
      </c>
      <c r="M120" s="28" t="s">
        <v>1862</v>
      </c>
      <c r="N120" s="41">
        <v>27131</v>
      </c>
      <c r="O120" s="93">
        <f>IF(Activities[[#This Row],[Reference Year]]&gt;2018,Activities[[#This Row],[Value]],Activities[[#This Row],[Value]]*(1+VLOOKUP(Activities[[#This Row],[Reference Year]],Inflation[#All],3,FALSE)))</f>
        <v>28805.909962025315</v>
      </c>
    </row>
    <row r="121" spans="1:15" ht="15" customHeight="1" x14ac:dyDescent="0.25">
      <c r="A121" s="9" t="s">
        <v>160</v>
      </c>
      <c r="B121" s="9" t="str">
        <f>INDEX(Places[Type],MATCH(Activities[[#This Row],[Jurisdiction]],Places[Jurisdiction],0))</f>
        <v>City</v>
      </c>
      <c r="C121" s="19" t="str">
        <f>INDEX(Places[County],MATCH(Activities[[#This Row],[Jurisdiction]],Places[Jurisdiction],0))</f>
        <v>Los Angeles</v>
      </c>
      <c r="D121" s="19" t="str">
        <f>INDEX(Places[Majority RB],MATCH(Activities[[#This Row],[Jurisdiction]],Places[Jurisdiction],0))</f>
        <v>Los Angeles</v>
      </c>
      <c r="E121" s="9">
        <f>INDEX(Places[Majority RB '#],MATCH(Activities[[#This Row],[Jurisdiction]],Places[Jurisdiction],0))</f>
        <v>4</v>
      </c>
      <c r="F121" s="28" t="str">
        <f>VLOOKUP(Activities[[#This Row],[Jurisdiction]],Places[#All],8,FALSE)</f>
        <v>Phase I MS4</v>
      </c>
      <c r="G121" s="48" t="s">
        <v>58</v>
      </c>
      <c r="H121" s="8"/>
      <c r="I121" s="8"/>
      <c r="J121" s="8" t="s">
        <v>1456</v>
      </c>
      <c r="K121" s="27" t="s">
        <v>1873</v>
      </c>
      <c r="L121" s="28">
        <f>_xlfn.NUMBERVALUE(LEFT(Activities[[#This Row],[Fiscal Year]], 4))</f>
        <v>2015</v>
      </c>
      <c r="M121" s="28" t="s">
        <v>1862</v>
      </c>
      <c r="N121" s="41">
        <v>18150</v>
      </c>
      <c r="O121" s="93">
        <f>IF(Activities[[#This Row],[Reference Year]]&gt;2018,Activities[[#This Row],[Value]],Activities[[#This Row],[Value]]*(1+VLOOKUP(Activities[[#This Row],[Reference Year]],Inflation[#All],3,FALSE)))</f>
        <v>19270.475316455697</v>
      </c>
    </row>
    <row r="122" spans="1:15" ht="15" customHeight="1" x14ac:dyDescent="0.25">
      <c r="A122" s="9" t="s">
        <v>160</v>
      </c>
      <c r="B122" s="9" t="str">
        <f>INDEX(Places[Type],MATCH(Activities[[#This Row],[Jurisdiction]],Places[Jurisdiction],0))</f>
        <v>City</v>
      </c>
      <c r="C122" s="19" t="str">
        <f>INDEX(Places[County],MATCH(Activities[[#This Row],[Jurisdiction]],Places[Jurisdiction],0))</f>
        <v>Los Angeles</v>
      </c>
      <c r="D122" s="19" t="str">
        <f>INDEX(Places[Majority RB],MATCH(Activities[[#This Row],[Jurisdiction]],Places[Jurisdiction],0))</f>
        <v>Los Angeles</v>
      </c>
      <c r="E122" s="9">
        <f>INDEX(Places[Majority RB '#],MATCH(Activities[[#This Row],[Jurisdiction]],Places[Jurisdiction],0))</f>
        <v>4</v>
      </c>
      <c r="F122" s="28" t="str">
        <f>VLOOKUP(Activities[[#This Row],[Jurisdiction]],Places[#All],8,FALSE)</f>
        <v>Phase I MS4</v>
      </c>
      <c r="G122" s="48" t="s">
        <v>32</v>
      </c>
      <c r="H122" s="8"/>
      <c r="I122" s="8"/>
      <c r="J122" s="8" t="s">
        <v>1894</v>
      </c>
      <c r="K122" s="27" t="s">
        <v>1873</v>
      </c>
      <c r="L122" s="28">
        <f>_xlfn.NUMBERVALUE(LEFT(Activities[[#This Row],[Fiscal Year]], 4))</f>
        <v>2015</v>
      </c>
      <c r="M122" s="28" t="s">
        <v>1862</v>
      </c>
      <c r="N122" s="41">
        <v>28599</v>
      </c>
      <c r="O122" s="93">
        <f>IF(Activities[[#This Row],[Reference Year]]&gt;2018,Activities[[#This Row],[Value]],Activities[[#This Row],[Value]]*(1+VLOOKUP(Activities[[#This Row],[Reference Year]],Inflation[#All],3,FALSE)))</f>
        <v>30364.535734177214</v>
      </c>
    </row>
    <row r="123" spans="1:15" ht="15" customHeight="1" x14ac:dyDescent="0.25">
      <c r="A123" s="9" t="s">
        <v>160</v>
      </c>
      <c r="B123" s="9" t="str">
        <f>INDEX(Places[Type],MATCH(Activities[[#This Row],[Jurisdiction]],Places[Jurisdiction],0))</f>
        <v>City</v>
      </c>
      <c r="C123" s="19" t="str">
        <f>INDEX(Places[County],MATCH(Activities[[#This Row],[Jurisdiction]],Places[Jurisdiction],0))</f>
        <v>Los Angeles</v>
      </c>
      <c r="D123" s="19" t="str">
        <f>INDEX(Places[Majority RB],MATCH(Activities[[#This Row],[Jurisdiction]],Places[Jurisdiction],0))</f>
        <v>Los Angeles</v>
      </c>
      <c r="E123" s="9">
        <f>INDEX(Places[Majority RB '#],MATCH(Activities[[#This Row],[Jurisdiction]],Places[Jurisdiction],0))</f>
        <v>4</v>
      </c>
      <c r="F123" s="28" t="str">
        <f>VLOOKUP(Activities[[#This Row],[Jurisdiction]],Places[#All],8,FALSE)</f>
        <v>Phase I MS4</v>
      </c>
      <c r="G123" s="48" t="s">
        <v>67</v>
      </c>
      <c r="H123" s="8"/>
      <c r="I123" s="8"/>
      <c r="J123" s="8" t="s">
        <v>1896</v>
      </c>
      <c r="K123" s="27" t="s">
        <v>1873</v>
      </c>
      <c r="L123" s="28">
        <f>_xlfn.NUMBERVALUE(LEFT(Activities[[#This Row],[Fiscal Year]], 4))</f>
        <v>2015</v>
      </c>
      <c r="M123" s="28" t="s">
        <v>1862</v>
      </c>
      <c r="N123" s="41">
        <v>170140</v>
      </c>
      <c r="O123" s="93">
        <f>IF(Activities[[#This Row],[Reference Year]]&gt;2018,Activities[[#This Row],[Value]],Activities[[#This Row],[Value]]*(1+VLOOKUP(Activities[[#This Row],[Reference Year]],Inflation[#All],3,FALSE)))</f>
        <v>180643.45291139241</v>
      </c>
    </row>
    <row r="124" spans="1:15" ht="15" customHeight="1" x14ac:dyDescent="0.25">
      <c r="A124" s="9" t="s">
        <v>160</v>
      </c>
      <c r="B124" s="9" t="str">
        <f>INDEX(Places[Type],MATCH(Activities[[#This Row],[Jurisdiction]],Places[Jurisdiction],0))</f>
        <v>City</v>
      </c>
      <c r="C124" s="19" t="str">
        <f>INDEX(Places[County],MATCH(Activities[[#This Row],[Jurisdiction]],Places[Jurisdiction],0))</f>
        <v>Los Angeles</v>
      </c>
      <c r="D124" s="19" t="str">
        <f>INDEX(Places[Majority RB],MATCH(Activities[[#This Row],[Jurisdiction]],Places[Jurisdiction],0))</f>
        <v>Los Angeles</v>
      </c>
      <c r="E124" s="9">
        <f>INDEX(Places[Majority RB '#],MATCH(Activities[[#This Row],[Jurisdiction]],Places[Jurisdiction],0))</f>
        <v>4</v>
      </c>
      <c r="F124" s="28" t="str">
        <f>VLOOKUP(Activities[[#This Row],[Jurisdiction]],Places[#All],8,FALSE)</f>
        <v>Phase I MS4</v>
      </c>
      <c r="G124" s="48" t="s">
        <v>33</v>
      </c>
      <c r="H124" s="8"/>
      <c r="I124" s="8"/>
      <c r="J124" s="8" t="s">
        <v>47</v>
      </c>
      <c r="K124" s="27" t="s">
        <v>1873</v>
      </c>
      <c r="L124" s="28">
        <f>_xlfn.NUMBERVALUE(LEFT(Activities[[#This Row],[Fiscal Year]], 4))</f>
        <v>2015</v>
      </c>
      <c r="M124" s="28" t="s">
        <v>1862</v>
      </c>
      <c r="N124" s="41">
        <v>27703</v>
      </c>
      <c r="O124" s="93">
        <f>IF(Activities[[#This Row],[Reference Year]]&gt;2018,Activities[[#This Row],[Value]],Activities[[#This Row],[Value]]*(1+VLOOKUP(Activities[[#This Row],[Reference Year]],Inflation[#All],3,FALSE)))</f>
        <v>29413.221911392404</v>
      </c>
    </row>
    <row r="125" spans="1:15" ht="15" customHeight="1" x14ac:dyDescent="0.25">
      <c r="A125" s="9" t="s">
        <v>428</v>
      </c>
      <c r="B125" s="9" t="str">
        <f>INDEX(Places[Type],MATCH(Activities[[#This Row],[Jurisdiction]],Places[Jurisdiction],0))</f>
        <v>City</v>
      </c>
      <c r="C125" s="19" t="str">
        <f>INDEX(Places[County],MATCH(Activities[[#This Row],[Jurisdiction]],Places[Jurisdiction],0))</f>
        <v>Alameda</v>
      </c>
      <c r="D125" s="19" t="str">
        <f>INDEX(Places[Majority RB],MATCH(Activities[[#This Row],[Jurisdiction]],Places[Jurisdiction],0))</f>
        <v>San Francisco Bay</v>
      </c>
      <c r="E125" s="9">
        <f>INDEX(Places[Majority RB '#],MATCH(Activities[[#This Row],[Jurisdiction]],Places[Jurisdiction],0))</f>
        <v>2</v>
      </c>
      <c r="F125" s="28" t="str">
        <f>VLOOKUP(Activities[[#This Row],[Jurisdiction]],Places[#All],8,FALSE)</f>
        <v>Phase I MS4</v>
      </c>
      <c r="G125" s="56" t="s">
        <v>718</v>
      </c>
      <c r="H125" s="8"/>
      <c r="I125" s="52"/>
      <c r="J125" s="8" t="s">
        <v>76</v>
      </c>
      <c r="K125" s="27" t="s">
        <v>1874</v>
      </c>
      <c r="L125" s="28">
        <f>_xlfn.NUMBERVALUE(LEFT(Activities[[#This Row],[Fiscal Year]], 4))</f>
        <v>2017</v>
      </c>
      <c r="M125" s="28" t="s">
        <v>1862</v>
      </c>
      <c r="N125" s="41">
        <v>10000</v>
      </c>
      <c r="O125" s="93">
        <f>IF(Activities[[#This Row],[Reference Year]]&gt;2018,Activities[[#This Row],[Value]],Activities[[#This Row],[Value]]*(1+VLOOKUP(Activities[[#This Row],[Reference Year]],Inflation[#All],3,FALSE)))</f>
        <v>10266.462668298655</v>
      </c>
    </row>
    <row r="126" spans="1:15" ht="15" customHeight="1" x14ac:dyDescent="0.25">
      <c r="A126" s="9" t="s">
        <v>428</v>
      </c>
      <c r="B126" s="9" t="str">
        <f>INDEX(Places[Type],MATCH(Activities[[#This Row],[Jurisdiction]],Places[Jurisdiction],0))</f>
        <v>City</v>
      </c>
      <c r="C126" s="19" t="str">
        <f>INDEX(Places[County],MATCH(Activities[[#This Row],[Jurisdiction]],Places[Jurisdiction],0))</f>
        <v>Alameda</v>
      </c>
      <c r="D126" s="19" t="str">
        <f>INDEX(Places[Majority RB],MATCH(Activities[[#This Row],[Jurisdiction]],Places[Jurisdiction],0))</f>
        <v>San Francisco Bay</v>
      </c>
      <c r="E126" s="9">
        <f>INDEX(Places[Majority RB '#],MATCH(Activities[[#This Row],[Jurisdiction]],Places[Jurisdiction],0))</f>
        <v>2</v>
      </c>
      <c r="F126" s="28" t="str">
        <f>VLOOKUP(Activities[[#This Row],[Jurisdiction]],Places[#All],8,FALSE)</f>
        <v>Phase I MS4</v>
      </c>
      <c r="G126" s="56" t="s">
        <v>721</v>
      </c>
      <c r="H126" s="8"/>
      <c r="I126" s="8"/>
      <c r="J126" s="8" t="s">
        <v>76</v>
      </c>
      <c r="K126" s="27" t="s">
        <v>1874</v>
      </c>
      <c r="L126" s="28">
        <f>_xlfn.NUMBERVALUE(LEFT(Activities[[#This Row],[Fiscal Year]], 4))</f>
        <v>2017</v>
      </c>
      <c r="M126" s="28" t="s">
        <v>1862</v>
      </c>
      <c r="N126" s="41">
        <v>30000</v>
      </c>
      <c r="O126" s="93">
        <f>IF(Activities[[#This Row],[Reference Year]]&gt;2018,Activities[[#This Row],[Value]],Activities[[#This Row],[Value]]*(1+VLOOKUP(Activities[[#This Row],[Reference Year]],Inflation[#All],3,FALSE)))</f>
        <v>30799.388004895965</v>
      </c>
    </row>
    <row r="127" spans="1:15" ht="15" customHeight="1" x14ac:dyDescent="0.25">
      <c r="A127" s="9" t="s">
        <v>428</v>
      </c>
      <c r="B127" s="9" t="str">
        <f>INDEX(Places[Type],MATCH(Activities[[#This Row],[Jurisdiction]],Places[Jurisdiction],0))</f>
        <v>City</v>
      </c>
      <c r="C127" s="19" t="str">
        <f>INDEX(Places[County],MATCH(Activities[[#This Row],[Jurisdiction]],Places[Jurisdiction],0))</f>
        <v>Alameda</v>
      </c>
      <c r="D127" s="19" t="str">
        <f>INDEX(Places[Majority RB],MATCH(Activities[[#This Row],[Jurisdiction]],Places[Jurisdiction],0))</f>
        <v>San Francisco Bay</v>
      </c>
      <c r="E127" s="9">
        <f>INDEX(Places[Majority RB '#],MATCH(Activities[[#This Row],[Jurisdiction]],Places[Jurisdiction],0))</f>
        <v>2</v>
      </c>
      <c r="F127" s="28" t="str">
        <f>VLOOKUP(Activities[[#This Row],[Jurisdiction]],Places[#All],8,FALSE)</f>
        <v>Phase I MS4</v>
      </c>
      <c r="G127" s="56" t="s">
        <v>717</v>
      </c>
      <c r="H127" s="8"/>
      <c r="I127" s="8"/>
      <c r="J127" s="8" t="s">
        <v>76</v>
      </c>
      <c r="K127" s="27" t="s">
        <v>1874</v>
      </c>
      <c r="L127" s="28">
        <f>_xlfn.NUMBERVALUE(LEFT(Activities[[#This Row],[Fiscal Year]], 4))</f>
        <v>2017</v>
      </c>
      <c r="M127" s="28" t="s">
        <v>1862</v>
      </c>
      <c r="N127" s="41">
        <v>164000</v>
      </c>
      <c r="O127" s="93">
        <f>IF(Activities[[#This Row],[Reference Year]]&gt;2018,Activities[[#This Row],[Value]],Activities[[#This Row],[Value]]*(1+VLOOKUP(Activities[[#This Row],[Reference Year]],Inflation[#All],3,FALSE)))</f>
        <v>168369.98776009795</v>
      </c>
    </row>
    <row r="128" spans="1:15" ht="15" customHeight="1" x14ac:dyDescent="0.25">
      <c r="A128" s="9" t="s">
        <v>428</v>
      </c>
      <c r="B128" s="9" t="str">
        <f>INDEX(Places[Type],MATCH(Activities[[#This Row],[Jurisdiction]],Places[Jurisdiction],0))</f>
        <v>City</v>
      </c>
      <c r="C128" s="19" t="str">
        <f>INDEX(Places[County],MATCH(Activities[[#This Row],[Jurisdiction]],Places[Jurisdiction],0))</f>
        <v>Alameda</v>
      </c>
      <c r="D128" s="19" t="str">
        <f>INDEX(Places[Majority RB],MATCH(Activities[[#This Row],[Jurisdiction]],Places[Jurisdiction],0))</f>
        <v>San Francisco Bay</v>
      </c>
      <c r="E128" s="9">
        <f>INDEX(Places[Majority RB '#],MATCH(Activities[[#This Row],[Jurisdiction]],Places[Jurisdiction],0))</f>
        <v>2</v>
      </c>
      <c r="F128" s="28" t="str">
        <f>VLOOKUP(Activities[[#This Row],[Jurisdiction]],Places[#All],8,FALSE)</f>
        <v>Phase I MS4</v>
      </c>
      <c r="G128" s="56" t="s">
        <v>719</v>
      </c>
      <c r="H128" s="8"/>
      <c r="I128" s="8"/>
      <c r="J128" s="8" t="s">
        <v>76</v>
      </c>
      <c r="K128" s="27" t="s">
        <v>1874</v>
      </c>
      <c r="L128" s="28">
        <f>_xlfn.NUMBERVALUE(LEFT(Activities[[#This Row],[Fiscal Year]], 4))</f>
        <v>2017</v>
      </c>
      <c r="M128" s="28" t="s">
        <v>1862</v>
      </c>
      <c r="N128" s="41">
        <v>164000</v>
      </c>
      <c r="O128" s="93">
        <f>IF(Activities[[#This Row],[Reference Year]]&gt;2018,Activities[[#This Row],[Value]],Activities[[#This Row],[Value]]*(1+VLOOKUP(Activities[[#This Row],[Reference Year]],Inflation[#All],3,FALSE)))</f>
        <v>168369.98776009795</v>
      </c>
    </row>
    <row r="129" spans="1:15" ht="15" customHeight="1" x14ac:dyDescent="0.25">
      <c r="A129" s="9" t="s">
        <v>428</v>
      </c>
      <c r="B129" s="9" t="str">
        <f>INDEX(Places[Type],MATCH(Activities[[#This Row],[Jurisdiction]],Places[Jurisdiction],0))</f>
        <v>City</v>
      </c>
      <c r="C129" s="19" t="str">
        <f>INDEX(Places[County],MATCH(Activities[[#This Row],[Jurisdiction]],Places[Jurisdiction],0))</f>
        <v>Alameda</v>
      </c>
      <c r="D129" s="19" t="str">
        <f>INDEX(Places[Majority RB],MATCH(Activities[[#This Row],[Jurisdiction]],Places[Jurisdiction],0))</f>
        <v>San Francisco Bay</v>
      </c>
      <c r="E129" s="9">
        <f>INDEX(Places[Majority RB '#],MATCH(Activities[[#This Row],[Jurisdiction]],Places[Jurisdiction],0))</f>
        <v>2</v>
      </c>
      <c r="F129" s="28" t="str">
        <f>VLOOKUP(Activities[[#This Row],[Jurisdiction]],Places[#All],8,FALSE)</f>
        <v>Phase I MS4</v>
      </c>
      <c r="G129" s="56" t="s">
        <v>720</v>
      </c>
      <c r="H129" s="8"/>
      <c r="I129" s="8"/>
      <c r="J129" s="8" t="s">
        <v>76</v>
      </c>
      <c r="K129" s="27" t="s">
        <v>1874</v>
      </c>
      <c r="L129" s="28">
        <f>_xlfn.NUMBERVALUE(LEFT(Activities[[#This Row],[Fiscal Year]], 4))</f>
        <v>2017</v>
      </c>
      <c r="M129" s="28" t="s">
        <v>1862</v>
      </c>
      <c r="N129" s="41">
        <v>326000</v>
      </c>
      <c r="O129" s="93">
        <f>IF(Activities[[#This Row],[Reference Year]]&gt;2018,Activities[[#This Row],[Value]],Activities[[#This Row],[Value]]*(1+VLOOKUP(Activities[[#This Row],[Reference Year]],Inflation[#All],3,FALSE)))</f>
        <v>334686.68298653612</v>
      </c>
    </row>
    <row r="130" spans="1:15" ht="15" customHeight="1" x14ac:dyDescent="0.25">
      <c r="A130" s="9" t="s">
        <v>428</v>
      </c>
      <c r="B130" s="9" t="str">
        <f>INDEX(Places[Type],MATCH(Activities[[#This Row],[Jurisdiction]],Places[Jurisdiction],0))</f>
        <v>City</v>
      </c>
      <c r="C130" s="19" t="str">
        <f>INDEX(Places[County],MATCH(Activities[[#This Row],[Jurisdiction]],Places[Jurisdiction],0))</f>
        <v>Alameda</v>
      </c>
      <c r="D130" s="19" t="str">
        <f>INDEX(Places[Majority RB],MATCH(Activities[[#This Row],[Jurisdiction]],Places[Jurisdiction],0))</f>
        <v>San Francisco Bay</v>
      </c>
      <c r="E130" s="9">
        <f>INDEX(Places[Majority RB '#],MATCH(Activities[[#This Row],[Jurisdiction]],Places[Jurisdiction],0))</f>
        <v>2</v>
      </c>
      <c r="F130" s="28" t="str">
        <f>VLOOKUP(Activities[[#This Row],[Jurisdiction]],Places[#All],8,FALSE)</f>
        <v>Phase I MS4</v>
      </c>
      <c r="G130" s="56" t="s">
        <v>715</v>
      </c>
      <c r="H130" s="8"/>
      <c r="I130" s="8"/>
      <c r="J130" s="8" t="s">
        <v>76</v>
      </c>
      <c r="K130" s="27" t="s">
        <v>1874</v>
      </c>
      <c r="L130" s="28">
        <f>_xlfn.NUMBERVALUE(LEFT(Activities[[#This Row],[Fiscal Year]], 4))</f>
        <v>2017</v>
      </c>
      <c r="M130" s="28" t="s">
        <v>1862</v>
      </c>
      <c r="N130" s="41">
        <v>1300000</v>
      </c>
      <c r="O130" s="93">
        <f>IF(Activities[[#This Row],[Reference Year]]&gt;2018,Activities[[#This Row],[Value]],Activities[[#This Row],[Value]]*(1+VLOOKUP(Activities[[#This Row],[Reference Year]],Inflation[#All],3,FALSE)))</f>
        <v>1334640.146878825</v>
      </c>
    </row>
    <row r="131" spans="1:15" ht="15" customHeight="1" x14ac:dyDescent="0.25">
      <c r="A131" s="9" t="s">
        <v>428</v>
      </c>
      <c r="B131" s="9" t="str">
        <f>INDEX(Places[Type],MATCH(Activities[[#This Row],[Jurisdiction]],Places[Jurisdiction],0))</f>
        <v>City</v>
      </c>
      <c r="C131" s="19" t="str">
        <f>INDEX(Places[County],MATCH(Activities[[#This Row],[Jurisdiction]],Places[Jurisdiction],0))</f>
        <v>Alameda</v>
      </c>
      <c r="D131" s="19" t="str">
        <f>INDEX(Places[Majority RB],MATCH(Activities[[#This Row],[Jurisdiction]],Places[Jurisdiction],0))</f>
        <v>San Francisco Bay</v>
      </c>
      <c r="E131" s="9">
        <f>INDEX(Places[Majority RB '#],MATCH(Activities[[#This Row],[Jurisdiction]],Places[Jurisdiction],0))</f>
        <v>2</v>
      </c>
      <c r="F131" s="28" t="str">
        <f>VLOOKUP(Activities[[#This Row],[Jurisdiction]],Places[#All],8,FALSE)</f>
        <v>Phase I MS4</v>
      </c>
      <c r="G131" s="56" t="s">
        <v>714</v>
      </c>
      <c r="H131" s="50" t="s">
        <v>645</v>
      </c>
      <c r="I131" s="50" t="s">
        <v>429</v>
      </c>
      <c r="J131" s="8" t="s">
        <v>76</v>
      </c>
      <c r="K131" s="27" t="s">
        <v>1874</v>
      </c>
      <c r="L131" s="28">
        <f>_xlfn.NUMBERVALUE(LEFT(Activities[[#This Row],[Fiscal Year]], 4))</f>
        <v>2017</v>
      </c>
      <c r="M131" s="28" t="s">
        <v>1862</v>
      </c>
      <c r="N131" s="41">
        <v>1959543</v>
      </c>
      <c r="O131" s="93">
        <f>IF(Activities[[#This Row],[Reference Year]]&gt;2018,Activities[[#This Row],[Value]],Activities[[#This Row],[Value]]*(1+VLOOKUP(Activities[[#This Row],[Reference Year]],Inflation[#All],3,FALSE)))</f>
        <v>2011757.505642595</v>
      </c>
    </row>
    <row r="132" spans="1:15" ht="15" customHeight="1" x14ac:dyDescent="0.25">
      <c r="A132" s="9" t="s">
        <v>428</v>
      </c>
      <c r="B132" s="9" t="str">
        <f>INDEX(Places[Type],MATCH(Activities[[#This Row],[Jurisdiction]],Places[Jurisdiction],0))</f>
        <v>City</v>
      </c>
      <c r="C132" s="19" t="str">
        <f>INDEX(Places[County],MATCH(Activities[[#This Row],[Jurisdiction]],Places[Jurisdiction],0))</f>
        <v>Alameda</v>
      </c>
      <c r="D132" s="19" t="str">
        <f>INDEX(Places[Majority RB],MATCH(Activities[[#This Row],[Jurisdiction]],Places[Jurisdiction],0))</f>
        <v>San Francisco Bay</v>
      </c>
      <c r="E132" s="9">
        <f>INDEX(Places[Majority RB '#],MATCH(Activities[[#This Row],[Jurisdiction]],Places[Jurisdiction],0))</f>
        <v>2</v>
      </c>
      <c r="F132" s="28" t="str">
        <f>VLOOKUP(Activities[[#This Row],[Jurisdiction]],Places[#All],8,FALSE)</f>
        <v>Phase I MS4</v>
      </c>
      <c r="G132" s="48" t="s">
        <v>727</v>
      </c>
      <c r="H132" s="8"/>
      <c r="I132" s="8"/>
      <c r="J132" s="8" t="s">
        <v>71</v>
      </c>
      <c r="K132" s="27" t="s">
        <v>1874</v>
      </c>
      <c r="L132" s="28">
        <f>_xlfn.NUMBERVALUE(LEFT(Activities[[#This Row],[Fiscal Year]], 4))</f>
        <v>2017</v>
      </c>
      <c r="M132" s="28" t="s">
        <v>1862</v>
      </c>
      <c r="N132" s="41">
        <v>1040</v>
      </c>
      <c r="O132" s="93">
        <f>IF(Activities[[#This Row],[Reference Year]]&gt;2018,Activities[[#This Row],[Value]],Activities[[#This Row],[Value]]*(1+VLOOKUP(Activities[[#This Row],[Reference Year]],Inflation[#All],3,FALSE)))</f>
        <v>1067.7121175030602</v>
      </c>
    </row>
    <row r="133" spans="1:15" ht="15" customHeight="1" x14ac:dyDescent="0.25">
      <c r="A133" s="9" t="s">
        <v>428</v>
      </c>
      <c r="B133" s="9" t="str">
        <f>INDEX(Places[Type],MATCH(Activities[[#This Row],[Jurisdiction]],Places[Jurisdiction],0))</f>
        <v>City</v>
      </c>
      <c r="C133" s="19" t="str">
        <f>INDEX(Places[County],MATCH(Activities[[#This Row],[Jurisdiction]],Places[Jurisdiction],0))</f>
        <v>Alameda</v>
      </c>
      <c r="D133" s="19" t="str">
        <f>INDEX(Places[Majority RB],MATCH(Activities[[#This Row],[Jurisdiction]],Places[Jurisdiction],0))</f>
        <v>San Francisco Bay</v>
      </c>
      <c r="E133" s="9">
        <f>INDEX(Places[Majority RB '#],MATCH(Activities[[#This Row],[Jurisdiction]],Places[Jurisdiction],0))</f>
        <v>2</v>
      </c>
      <c r="F133" s="28" t="str">
        <f>VLOOKUP(Activities[[#This Row],[Jurisdiction]],Places[#All],8,FALSE)</f>
        <v>Phase I MS4</v>
      </c>
      <c r="G133" s="48" t="s">
        <v>726</v>
      </c>
      <c r="H133" s="8"/>
      <c r="I133" s="8"/>
      <c r="J133" s="8" t="s">
        <v>71</v>
      </c>
      <c r="K133" s="27" t="s">
        <v>1874</v>
      </c>
      <c r="L133" s="28">
        <f>_xlfn.NUMBERVALUE(LEFT(Activities[[#This Row],[Fiscal Year]], 4))</f>
        <v>2017</v>
      </c>
      <c r="M133" s="28" t="s">
        <v>1862</v>
      </c>
      <c r="N133" s="41">
        <v>3347</v>
      </c>
      <c r="O133" s="93">
        <f>IF(Activities[[#This Row],[Reference Year]]&gt;2018,Activities[[#This Row],[Value]],Activities[[#This Row],[Value]]*(1+VLOOKUP(Activities[[#This Row],[Reference Year]],Inflation[#All],3,FALSE)))</f>
        <v>3436.1850550795598</v>
      </c>
    </row>
    <row r="134" spans="1:15" ht="15" customHeight="1" x14ac:dyDescent="0.25">
      <c r="A134" s="9" t="s">
        <v>428</v>
      </c>
      <c r="B134" s="9" t="str">
        <f>INDEX(Places[Type],MATCH(Activities[[#This Row],[Jurisdiction]],Places[Jurisdiction],0))</f>
        <v>City</v>
      </c>
      <c r="C134" s="19" t="str">
        <f>INDEX(Places[County],MATCH(Activities[[#This Row],[Jurisdiction]],Places[Jurisdiction],0))</f>
        <v>Alameda</v>
      </c>
      <c r="D134" s="19" t="str">
        <f>INDEX(Places[Majority RB],MATCH(Activities[[#This Row],[Jurisdiction]],Places[Jurisdiction],0))</f>
        <v>San Francisco Bay</v>
      </c>
      <c r="E134" s="9">
        <f>INDEX(Places[Majority RB '#],MATCH(Activities[[#This Row],[Jurisdiction]],Places[Jurisdiction],0))</f>
        <v>2</v>
      </c>
      <c r="F134" s="28" t="str">
        <f>VLOOKUP(Activities[[#This Row],[Jurisdiction]],Places[#All],8,FALSE)</f>
        <v>Phase I MS4</v>
      </c>
      <c r="G134" s="48" t="s">
        <v>728</v>
      </c>
      <c r="H134" s="8"/>
      <c r="I134" s="8"/>
      <c r="J134" s="8" t="s">
        <v>71</v>
      </c>
      <c r="K134" s="27" t="s">
        <v>1874</v>
      </c>
      <c r="L134" s="28">
        <f>_xlfn.NUMBERVALUE(LEFT(Activities[[#This Row],[Fiscal Year]], 4))</f>
        <v>2017</v>
      </c>
      <c r="M134" s="28" t="s">
        <v>1862</v>
      </c>
      <c r="N134" s="41">
        <v>13635</v>
      </c>
      <c r="O134" s="93">
        <f>IF(Activities[[#This Row],[Reference Year]]&gt;2018,Activities[[#This Row],[Value]],Activities[[#This Row],[Value]]*(1+VLOOKUP(Activities[[#This Row],[Reference Year]],Inflation[#All],3,FALSE)))</f>
        <v>13998.321848225216</v>
      </c>
    </row>
    <row r="135" spans="1:15" ht="15" customHeight="1" x14ac:dyDescent="0.25">
      <c r="A135" s="9" t="s">
        <v>428</v>
      </c>
      <c r="B135" s="9" t="str">
        <f>INDEX(Places[Type],MATCH(Activities[[#This Row],[Jurisdiction]],Places[Jurisdiction],0))</f>
        <v>City</v>
      </c>
      <c r="C135" s="19" t="str">
        <f>INDEX(Places[County],MATCH(Activities[[#This Row],[Jurisdiction]],Places[Jurisdiction],0))</f>
        <v>Alameda</v>
      </c>
      <c r="D135" s="19" t="str">
        <f>INDEX(Places[Majority RB],MATCH(Activities[[#This Row],[Jurisdiction]],Places[Jurisdiction],0))</f>
        <v>San Francisco Bay</v>
      </c>
      <c r="E135" s="9">
        <f>INDEX(Places[Majority RB '#],MATCH(Activities[[#This Row],[Jurisdiction]],Places[Jurisdiction],0))</f>
        <v>2</v>
      </c>
      <c r="F135" s="28" t="str">
        <f>VLOOKUP(Activities[[#This Row],[Jurisdiction]],Places[#All],8,FALSE)</f>
        <v>Phase I MS4</v>
      </c>
      <c r="G135" s="48" t="s">
        <v>729</v>
      </c>
      <c r="H135" s="8"/>
      <c r="I135" s="8"/>
      <c r="J135" s="8" t="s">
        <v>71</v>
      </c>
      <c r="K135" s="27" t="s">
        <v>1874</v>
      </c>
      <c r="L135" s="28">
        <f>_xlfn.NUMBERVALUE(LEFT(Activities[[#This Row],[Fiscal Year]], 4))</f>
        <v>2017</v>
      </c>
      <c r="M135" s="28" t="s">
        <v>1862</v>
      </c>
      <c r="N135" s="41">
        <v>1010660</v>
      </c>
      <c r="O135" s="93">
        <f>IF(Activities[[#This Row],[Reference Year]]&gt;2018,Activities[[#This Row],[Value]],Activities[[#This Row],[Value]]*(1+VLOOKUP(Activities[[#This Row],[Reference Year]],Inflation[#All],3,FALSE)))</f>
        <v>1037590.3160342718</v>
      </c>
    </row>
    <row r="136" spans="1:15" ht="15" customHeight="1" x14ac:dyDescent="0.25">
      <c r="A136" s="9" t="s">
        <v>428</v>
      </c>
      <c r="B136" s="9" t="str">
        <f>INDEX(Places[Type],MATCH(Activities[[#This Row],[Jurisdiction]],Places[Jurisdiction],0))</f>
        <v>City</v>
      </c>
      <c r="C136" s="19" t="str">
        <f>INDEX(Places[County],MATCH(Activities[[#This Row],[Jurisdiction]],Places[Jurisdiction],0))</f>
        <v>Alameda</v>
      </c>
      <c r="D136" s="19" t="str">
        <f>INDEX(Places[Majority RB],MATCH(Activities[[#This Row],[Jurisdiction]],Places[Jurisdiction],0))</f>
        <v>San Francisco Bay</v>
      </c>
      <c r="E136" s="9">
        <f>INDEX(Places[Majority RB '#],MATCH(Activities[[#This Row],[Jurisdiction]],Places[Jurisdiction],0))</f>
        <v>2</v>
      </c>
      <c r="F136" s="28" t="str">
        <f>VLOOKUP(Activities[[#This Row],[Jurisdiction]],Places[#All],8,FALSE)</f>
        <v>Phase I MS4</v>
      </c>
      <c r="G136" s="48" t="s">
        <v>708</v>
      </c>
      <c r="H136" s="8"/>
      <c r="I136" s="8"/>
      <c r="J136" s="8" t="s">
        <v>1897</v>
      </c>
      <c r="K136" s="27" t="s">
        <v>1874</v>
      </c>
      <c r="L136" s="28">
        <f>_xlfn.NUMBERVALUE(LEFT(Activities[[#This Row],[Fiscal Year]], 4))</f>
        <v>2017</v>
      </c>
      <c r="M136" s="28" t="s">
        <v>1862</v>
      </c>
      <c r="N136" s="41">
        <v>141928</v>
      </c>
      <c r="O136" s="93">
        <f>IF(Activities[[#This Row],[Reference Year]]&gt;2018,Activities[[#This Row],[Value]],Activities[[#This Row],[Value]]*(1+VLOOKUP(Activities[[#This Row],[Reference Year]],Inflation[#All],3,FALSE)))</f>
        <v>145709.85135862915</v>
      </c>
    </row>
    <row r="137" spans="1:15" ht="15" customHeight="1" x14ac:dyDescent="0.25">
      <c r="A137" s="9" t="s">
        <v>428</v>
      </c>
      <c r="B137" s="9" t="str">
        <f>INDEX(Places[Type],MATCH(Activities[[#This Row],[Jurisdiction]],Places[Jurisdiction],0))</f>
        <v>City</v>
      </c>
      <c r="C137" s="19" t="str">
        <f>INDEX(Places[County],MATCH(Activities[[#This Row],[Jurisdiction]],Places[Jurisdiction],0))</f>
        <v>Alameda</v>
      </c>
      <c r="D137" s="19" t="str">
        <f>INDEX(Places[Majority RB],MATCH(Activities[[#This Row],[Jurisdiction]],Places[Jurisdiction],0))</f>
        <v>San Francisco Bay</v>
      </c>
      <c r="E137" s="9">
        <f>INDEX(Places[Majority RB '#],MATCH(Activities[[#This Row],[Jurisdiction]],Places[Jurisdiction],0))</f>
        <v>2</v>
      </c>
      <c r="F137" s="28" t="str">
        <f>VLOOKUP(Activities[[#This Row],[Jurisdiction]],Places[#All],8,FALSE)</f>
        <v>Phase I MS4</v>
      </c>
      <c r="G137" s="48" t="s">
        <v>724</v>
      </c>
      <c r="H137" s="8" t="s">
        <v>460</v>
      </c>
      <c r="I137" s="8" t="s">
        <v>429</v>
      </c>
      <c r="J137" s="8" t="s">
        <v>1894</v>
      </c>
      <c r="K137" s="27" t="s">
        <v>1874</v>
      </c>
      <c r="L137" s="28">
        <f>_xlfn.NUMBERVALUE(LEFT(Activities[[#This Row],[Fiscal Year]], 4))</f>
        <v>2017</v>
      </c>
      <c r="M137" s="28" t="s">
        <v>1862</v>
      </c>
      <c r="N137" s="41">
        <v>11178</v>
      </c>
      <c r="O137" s="93">
        <f>IF(Activities[[#This Row],[Reference Year]]&gt;2018,Activities[[#This Row],[Value]],Activities[[#This Row],[Value]]*(1+VLOOKUP(Activities[[#This Row],[Reference Year]],Inflation[#All],3,FALSE)))</f>
        <v>11475.851970624237</v>
      </c>
    </row>
    <row r="138" spans="1:15" ht="15" customHeight="1" x14ac:dyDescent="0.25">
      <c r="A138" s="9" t="s">
        <v>428</v>
      </c>
      <c r="B138" s="9" t="str">
        <f>INDEX(Places[Type],MATCH(Activities[[#This Row],[Jurisdiction]],Places[Jurisdiction],0))</f>
        <v>City</v>
      </c>
      <c r="C138" s="19" t="str">
        <f>INDEX(Places[County],MATCH(Activities[[#This Row],[Jurisdiction]],Places[Jurisdiction],0))</f>
        <v>Alameda</v>
      </c>
      <c r="D138" s="19" t="str">
        <f>INDEX(Places[Majority RB],MATCH(Activities[[#This Row],[Jurisdiction]],Places[Jurisdiction],0))</f>
        <v>San Francisco Bay</v>
      </c>
      <c r="E138" s="9">
        <f>INDEX(Places[Majority RB '#],MATCH(Activities[[#This Row],[Jurisdiction]],Places[Jurisdiction],0))</f>
        <v>2</v>
      </c>
      <c r="F138" s="28" t="str">
        <f>VLOOKUP(Activities[[#This Row],[Jurisdiction]],Places[#All],8,FALSE)</f>
        <v>Phase I MS4</v>
      </c>
      <c r="G138" s="48" t="s">
        <v>725</v>
      </c>
      <c r="H138" s="8"/>
      <c r="I138" s="8"/>
      <c r="J138" s="8" t="s">
        <v>1894</v>
      </c>
      <c r="K138" s="27" t="s">
        <v>1874</v>
      </c>
      <c r="L138" s="28">
        <f>_xlfn.NUMBERVALUE(LEFT(Activities[[#This Row],[Fiscal Year]], 4))</f>
        <v>2017</v>
      </c>
      <c r="M138" s="28" t="s">
        <v>1862</v>
      </c>
      <c r="N138" s="41">
        <v>30284</v>
      </c>
      <c r="O138" s="93">
        <f>IF(Activities[[#This Row],[Reference Year]]&gt;2018,Activities[[#This Row],[Value]],Activities[[#This Row],[Value]]*(1+VLOOKUP(Activities[[#This Row],[Reference Year]],Inflation[#All],3,FALSE)))</f>
        <v>31090.955544675646</v>
      </c>
    </row>
    <row r="139" spans="1:15" ht="15" customHeight="1" x14ac:dyDescent="0.25">
      <c r="A139" s="9" t="s">
        <v>428</v>
      </c>
      <c r="B139" s="9" t="str">
        <f>INDEX(Places[Type],MATCH(Activities[[#This Row],[Jurisdiction]],Places[Jurisdiction],0))</f>
        <v>City</v>
      </c>
      <c r="C139" s="19" t="str">
        <f>INDEX(Places[County],MATCH(Activities[[#This Row],[Jurisdiction]],Places[Jurisdiction],0))</f>
        <v>Alameda</v>
      </c>
      <c r="D139" s="19" t="str">
        <f>INDEX(Places[Majority RB],MATCH(Activities[[#This Row],[Jurisdiction]],Places[Jurisdiction],0))</f>
        <v>San Francisco Bay</v>
      </c>
      <c r="E139" s="9">
        <f>INDEX(Places[Majority RB '#],MATCH(Activities[[#This Row],[Jurisdiction]],Places[Jurisdiction],0))</f>
        <v>2</v>
      </c>
      <c r="F139" s="28" t="str">
        <f>VLOOKUP(Activities[[#This Row],[Jurisdiction]],Places[#All],8,FALSE)</f>
        <v>Phase I MS4</v>
      </c>
      <c r="G139" s="48" t="s">
        <v>709</v>
      </c>
      <c r="H139" s="8"/>
      <c r="I139" s="8"/>
      <c r="J139" s="8" t="s">
        <v>1894</v>
      </c>
      <c r="K139" s="27" t="s">
        <v>1874</v>
      </c>
      <c r="L139" s="28">
        <f>_xlfn.NUMBERVALUE(LEFT(Activities[[#This Row],[Fiscal Year]], 4))</f>
        <v>2017</v>
      </c>
      <c r="M139" s="28" t="s">
        <v>1862</v>
      </c>
      <c r="N139" s="41">
        <v>30992</v>
      </c>
      <c r="O139" s="93">
        <f>IF(Activities[[#This Row],[Reference Year]]&gt;2018,Activities[[#This Row],[Value]],Activities[[#This Row],[Value]]*(1+VLOOKUP(Activities[[#This Row],[Reference Year]],Inflation[#All],3,FALSE)))</f>
        <v>31817.821101591191</v>
      </c>
    </row>
    <row r="140" spans="1:15" ht="15" customHeight="1" x14ac:dyDescent="0.25">
      <c r="A140" s="9" t="s">
        <v>428</v>
      </c>
      <c r="B140" s="9" t="str">
        <f>INDEX(Places[Type],MATCH(Activities[[#This Row],[Jurisdiction]],Places[Jurisdiction],0))</f>
        <v>City</v>
      </c>
      <c r="C140" s="19" t="str">
        <f>INDEX(Places[County],MATCH(Activities[[#This Row],[Jurisdiction]],Places[Jurisdiction],0))</f>
        <v>Alameda</v>
      </c>
      <c r="D140" s="19" t="str">
        <f>INDEX(Places[Majority RB],MATCH(Activities[[#This Row],[Jurisdiction]],Places[Jurisdiction],0))</f>
        <v>San Francisco Bay</v>
      </c>
      <c r="E140" s="9">
        <f>INDEX(Places[Majority RB '#],MATCH(Activities[[#This Row],[Jurisdiction]],Places[Jurisdiction],0))</f>
        <v>2</v>
      </c>
      <c r="F140" s="28" t="str">
        <f>VLOOKUP(Activities[[#This Row],[Jurisdiction]],Places[#All],8,FALSE)</f>
        <v>Phase I MS4</v>
      </c>
      <c r="G140" s="48" t="s">
        <v>705</v>
      </c>
      <c r="H140" s="115" t="s">
        <v>1901</v>
      </c>
      <c r="I140" s="8" t="s">
        <v>429</v>
      </c>
      <c r="J140" s="8" t="s">
        <v>1894</v>
      </c>
      <c r="K140" s="27" t="s">
        <v>1874</v>
      </c>
      <c r="L140" s="28">
        <f>_xlfn.NUMBERVALUE(LEFT(Activities[[#This Row],[Fiscal Year]], 4))</f>
        <v>2017</v>
      </c>
      <c r="M140" s="28" t="s">
        <v>1862</v>
      </c>
      <c r="N140" s="41">
        <f>160025*3</f>
        <v>480075</v>
      </c>
      <c r="O140" s="93">
        <f>IF(Activities[[#This Row],[Reference Year]]&gt;2018,Activities[[#This Row],[Value]],Activities[[#This Row],[Value]]*(1+VLOOKUP(Activities[[#This Row],[Reference Year]],Inflation[#All],3,FALSE)))</f>
        <v>492867.20654834766</v>
      </c>
    </row>
    <row r="141" spans="1:15" ht="15" customHeight="1" x14ac:dyDescent="0.25">
      <c r="A141" s="9" t="s">
        <v>428</v>
      </c>
      <c r="B141" s="9" t="str">
        <f>INDEX(Places[Type],MATCH(Activities[[#This Row],[Jurisdiction]],Places[Jurisdiction],0))</f>
        <v>City</v>
      </c>
      <c r="C141" s="19" t="str">
        <f>INDEX(Places[County],MATCH(Activities[[#This Row],[Jurisdiction]],Places[Jurisdiction],0))</f>
        <v>Alameda</v>
      </c>
      <c r="D141" s="19" t="str">
        <f>INDEX(Places[Majority RB],MATCH(Activities[[#This Row],[Jurisdiction]],Places[Jurisdiction],0))</f>
        <v>San Francisco Bay</v>
      </c>
      <c r="E141" s="9">
        <f>INDEX(Places[Majority RB '#],MATCH(Activities[[#This Row],[Jurisdiction]],Places[Jurisdiction],0))</f>
        <v>2</v>
      </c>
      <c r="F141" s="28" t="str">
        <f>VLOOKUP(Activities[[#This Row],[Jurisdiction]],Places[#All],8,FALSE)</f>
        <v>Phase I MS4</v>
      </c>
      <c r="G141" s="48" t="s">
        <v>706</v>
      </c>
      <c r="H141" s="8" t="s">
        <v>620</v>
      </c>
      <c r="I141" s="8" t="s">
        <v>429</v>
      </c>
      <c r="J141" s="8" t="s">
        <v>1896</v>
      </c>
      <c r="K141" s="27" t="s">
        <v>1874</v>
      </c>
      <c r="L141" s="28">
        <f>_xlfn.NUMBERVALUE(LEFT(Activities[[#This Row],[Fiscal Year]], 4))</f>
        <v>2017</v>
      </c>
      <c r="M141" s="28" t="s">
        <v>1862</v>
      </c>
      <c r="N141" s="41">
        <v>149531</v>
      </c>
      <c r="O141" s="93">
        <f>IF(Activities[[#This Row],[Reference Year]]&gt;2018,Activities[[#This Row],[Value]],Activities[[#This Row],[Value]]*(1+VLOOKUP(Activities[[#This Row],[Reference Year]],Inflation[#All],3,FALSE)))</f>
        <v>153515.44292533663</v>
      </c>
    </row>
    <row r="142" spans="1:15" ht="15" customHeight="1" x14ac:dyDescent="0.25">
      <c r="A142" s="9" t="s">
        <v>428</v>
      </c>
      <c r="B142" s="9" t="str">
        <f>INDEX(Places[Type],MATCH(Activities[[#This Row],[Jurisdiction]],Places[Jurisdiction],0))</f>
        <v>City</v>
      </c>
      <c r="C142" s="19" t="str">
        <f>INDEX(Places[County],MATCH(Activities[[#This Row],[Jurisdiction]],Places[Jurisdiction],0))</f>
        <v>Alameda</v>
      </c>
      <c r="D142" s="19" t="str">
        <f>INDEX(Places[Majority RB],MATCH(Activities[[#This Row],[Jurisdiction]],Places[Jurisdiction],0))</f>
        <v>San Francisco Bay</v>
      </c>
      <c r="E142" s="9">
        <f>INDEX(Places[Majority RB '#],MATCH(Activities[[#This Row],[Jurisdiction]],Places[Jurisdiction],0))</f>
        <v>2</v>
      </c>
      <c r="F142" s="28" t="str">
        <f>VLOOKUP(Activities[[#This Row],[Jurisdiction]],Places[#All],8,FALSE)</f>
        <v>Phase I MS4</v>
      </c>
      <c r="G142" s="48" t="s">
        <v>707</v>
      </c>
      <c r="H142" s="8" t="s">
        <v>619</v>
      </c>
      <c r="I142" s="8" t="s">
        <v>429</v>
      </c>
      <c r="J142" s="8" t="s">
        <v>1896</v>
      </c>
      <c r="K142" s="27" t="s">
        <v>1874</v>
      </c>
      <c r="L142" s="28">
        <f>_xlfn.NUMBERVALUE(LEFT(Activities[[#This Row],[Fiscal Year]], 4))</f>
        <v>2017</v>
      </c>
      <c r="M142" s="28" t="s">
        <v>1862</v>
      </c>
      <c r="N142" s="41">
        <v>569607</v>
      </c>
      <c r="O142" s="93">
        <f>IF(Activities[[#This Row],[Reference Year]]&gt;2018,Activities[[#This Row],[Value]],Activities[[#This Row],[Value]]*(1+VLOOKUP(Activities[[#This Row],[Reference Year]],Inflation[#All],3,FALSE)))</f>
        <v>584784.90011015919</v>
      </c>
    </row>
    <row r="143" spans="1:15" ht="15" customHeight="1" x14ac:dyDescent="0.25">
      <c r="A143" s="9" t="s">
        <v>218</v>
      </c>
      <c r="B143" s="9" t="str">
        <f>INDEX(Places[Type],MATCH(Activities[[#This Row],[Jurisdiction]],Places[Jurisdiction],0))</f>
        <v>City</v>
      </c>
      <c r="C143" s="19" t="str">
        <f>INDEX(Places[County],MATCH(Activities[[#This Row],[Jurisdiction]],Places[Jurisdiction],0))</f>
        <v>Los Angeles</v>
      </c>
      <c r="D143" s="19" t="str">
        <f>INDEX(Places[Majority RB],MATCH(Activities[[#This Row],[Jurisdiction]],Places[Jurisdiction],0))</f>
        <v>Los Angeles</v>
      </c>
      <c r="E143" s="9">
        <f>INDEX(Places[Majority RB '#],MATCH(Activities[[#This Row],[Jurisdiction]],Places[Jurisdiction],0))</f>
        <v>4</v>
      </c>
      <c r="F143" s="28" t="str">
        <f>VLOOKUP(Activities[[#This Row],[Jurisdiction]],Places[#All],8,FALSE)</f>
        <v>Phase I MS4</v>
      </c>
      <c r="G143" s="48" t="s">
        <v>64</v>
      </c>
      <c r="H143" s="8"/>
      <c r="I143" s="8"/>
      <c r="J143" s="8" t="s">
        <v>76</v>
      </c>
      <c r="K143" s="27" t="s">
        <v>1873</v>
      </c>
      <c r="L143" s="28">
        <f>_xlfn.NUMBERVALUE(LEFT(Activities[[#This Row],[Fiscal Year]], 4))</f>
        <v>2015</v>
      </c>
      <c r="M143" s="28" t="s">
        <v>1862</v>
      </c>
      <c r="N143" s="41">
        <v>900000</v>
      </c>
      <c r="O143" s="93">
        <f>IF(Activities[[#This Row],[Reference Year]]&gt;2018,Activities[[#This Row],[Value]],Activities[[#This Row],[Value]]*(1+VLOOKUP(Activities[[#This Row],[Reference Year]],Inflation[#All],3,FALSE)))</f>
        <v>955560.75949367078</v>
      </c>
    </row>
    <row r="144" spans="1:15" ht="15" customHeight="1" x14ac:dyDescent="0.25">
      <c r="A144" s="9" t="s">
        <v>218</v>
      </c>
      <c r="B144" s="9" t="str">
        <f>INDEX(Places[Type],MATCH(Activities[[#This Row],[Jurisdiction]],Places[Jurisdiction],0))</f>
        <v>City</v>
      </c>
      <c r="C144" s="19" t="str">
        <f>INDEX(Places[County],MATCH(Activities[[#This Row],[Jurisdiction]],Places[Jurisdiction],0))</f>
        <v>Los Angeles</v>
      </c>
      <c r="D144" s="19" t="str">
        <f>INDEX(Places[Majority RB],MATCH(Activities[[#This Row],[Jurisdiction]],Places[Jurisdiction],0))</f>
        <v>Los Angeles</v>
      </c>
      <c r="E144" s="9">
        <f>INDEX(Places[Majority RB '#],MATCH(Activities[[#This Row],[Jurisdiction]],Places[Jurisdiction],0))</f>
        <v>4</v>
      </c>
      <c r="F144" s="28" t="str">
        <f>VLOOKUP(Activities[[#This Row],[Jurisdiction]],Places[#All],8,FALSE)</f>
        <v>Phase I MS4</v>
      </c>
      <c r="G144" s="48" t="s">
        <v>62</v>
      </c>
      <c r="H144" s="8"/>
      <c r="I144" s="8"/>
      <c r="J144" s="8" t="s">
        <v>131</v>
      </c>
      <c r="K144" s="27" t="s">
        <v>1873</v>
      </c>
      <c r="L144" s="28">
        <f>_xlfn.NUMBERVALUE(LEFT(Activities[[#This Row],[Fiscal Year]], 4))</f>
        <v>2015</v>
      </c>
      <c r="M144" s="28" t="s">
        <v>1862</v>
      </c>
      <c r="N144" s="41">
        <v>50850.83</v>
      </c>
      <c r="O144" s="93">
        <f>IF(Activities[[#This Row],[Reference Year]]&gt;2018,Activities[[#This Row],[Value]],Activities[[#This Row],[Value]]*(1+VLOOKUP(Activities[[#This Row],[Reference Year]],Inflation[#All],3,FALSE)))</f>
        <v>53990.064150759492</v>
      </c>
    </row>
    <row r="145" spans="1:15" ht="15" customHeight="1" x14ac:dyDescent="0.25">
      <c r="A145" s="9" t="s">
        <v>218</v>
      </c>
      <c r="B145" s="9" t="str">
        <f>INDEX(Places[Type],MATCH(Activities[[#This Row],[Jurisdiction]],Places[Jurisdiction],0))</f>
        <v>City</v>
      </c>
      <c r="C145" s="19" t="str">
        <f>INDEX(Places[County],MATCH(Activities[[#This Row],[Jurisdiction]],Places[Jurisdiction],0))</f>
        <v>Los Angeles</v>
      </c>
      <c r="D145" s="19" t="str">
        <f>INDEX(Places[Majority RB],MATCH(Activities[[#This Row],[Jurisdiction]],Places[Jurisdiction],0))</f>
        <v>Los Angeles</v>
      </c>
      <c r="E145" s="9">
        <f>INDEX(Places[Majority RB '#],MATCH(Activities[[#This Row],[Jurisdiction]],Places[Jurisdiction],0))</f>
        <v>4</v>
      </c>
      <c r="F145" s="28" t="str">
        <f>VLOOKUP(Activities[[#This Row],[Jurisdiction]],Places[#All],8,FALSE)</f>
        <v>Phase I MS4</v>
      </c>
      <c r="G145" s="48" t="s">
        <v>208</v>
      </c>
      <c r="H145" s="8"/>
      <c r="I145" s="8"/>
      <c r="J145" s="8" t="s">
        <v>334</v>
      </c>
      <c r="K145" s="27" t="s">
        <v>1873</v>
      </c>
      <c r="L145" s="28">
        <f>_xlfn.NUMBERVALUE(LEFT(Activities[[#This Row],[Fiscal Year]], 4))</f>
        <v>2015</v>
      </c>
      <c r="M145" s="28" t="s">
        <v>1862</v>
      </c>
      <c r="N145" s="41">
        <v>38685.25</v>
      </c>
      <c r="O145" s="93">
        <f>IF(Activities[[#This Row],[Reference Year]]&gt;2018,Activities[[#This Row],[Value]],Activities[[#This Row],[Value]]*(1+VLOOKUP(Activities[[#This Row],[Reference Year]],Inflation[#All],3,FALSE)))</f>
        <v>41073.452079113922</v>
      </c>
    </row>
    <row r="146" spans="1:15" ht="15" customHeight="1" x14ac:dyDescent="0.25">
      <c r="A146" s="9" t="s">
        <v>218</v>
      </c>
      <c r="B146" s="9" t="str">
        <f>INDEX(Places[Type],MATCH(Activities[[#This Row],[Jurisdiction]],Places[Jurisdiction],0))</f>
        <v>City</v>
      </c>
      <c r="C146" s="19" t="str">
        <f>INDEX(Places[County],MATCH(Activities[[#This Row],[Jurisdiction]],Places[Jurisdiction],0))</f>
        <v>Los Angeles</v>
      </c>
      <c r="D146" s="19" t="str">
        <f>INDEX(Places[Majority RB],MATCH(Activities[[#This Row],[Jurisdiction]],Places[Jurisdiction],0))</f>
        <v>Los Angeles</v>
      </c>
      <c r="E146" s="9">
        <f>INDEX(Places[Majority RB '#],MATCH(Activities[[#This Row],[Jurisdiction]],Places[Jurisdiction],0))</f>
        <v>4</v>
      </c>
      <c r="F146" s="28" t="str">
        <f>VLOOKUP(Activities[[#This Row],[Jurisdiction]],Places[#All],8,FALSE)</f>
        <v>Phase I MS4</v>
      </c>
      <c r="G146" s="48" t="s">
        <v>61</v>
      </c>
      <c r="H146" s="8"/>
      <c r="I146" s="8"/>
      <c r="J146" s="8" t="s">
        <v>1897</v>
      </c>
      <c r="K146" s="27" t="s">
        <v>1873</v>
      </c>
      <c r="L146" s="28">
        <f>_xlfn.NUMBERVALUE(LEFT(Activities[[#This Row],[Fiscal Year]], 4))</f>
        <v>2015</v>
      </c>
      <c r="M146" s="28" t="s">
        <v>1862</v>
      </c>
      <c r="N146" s="41">
        <v>559577.98</v>
      </c>
      <c r="O146" s="93">
        <f>IF(Activities[[#This Row],[Reference Year]]&gt;2018,Activities[[#This Row],[Value]],Activities[[#This Row],[Value]]*(1+VLOOKUP(Activities[[#This Row],[Reference Year]],Inflation[#All],3,FALSE)))</f>
        <v>594123.06618303794</v>
      </c>
    </row>
    <row r="147" spans="1:15" ht="15" customHeight="1" x14ac:dyDescent="0.25">
      <c r="A147" s="9" t="s">
        <v>218</v>
      </c>
      <c r="B147" s="9" t="str">
        <f>INDEX(Places[Type],MATCH(Activities[[#This Row],[Jurisdiction]],Places[Jurisdiction],0))</f>
        <v>City</v>
      </c>
      <c r="C147" s="19" t="str">
        <f>INDEX(Places[County],MATCH(Activities[[#This Row],[Jurisdiction]],Places[Jurisdiction],0))</f>
        <v>Los Angeles</v>
      </c>
      <c r="D147" s="19" t="str">
        <f>INDEX(Places[Majority RB],MATCH(Activities[[#This Row],[Jurisdiction]],Places[Jurisdiction],0))</f>
        <v>Los Angeles</v>
      </c>
      <c r="E147" s="9">
        <f>INDEX(Places[Majority RB '#],MATCH(Activities[[#This Row],[Jurisdiction]],Places[Jurisdiction],0))</f>
        <v>4</v>
      </c>
      <c r="F147" s="28" t="str">
        <f>VLOOKUP(Activities[[#This Row],[Jurisdiction]],Places[#All],8,FALSE)</f>
        <v>Phase I MS4</v>
      </c>
      <c r="G147" s="48" t="s">
        <v>60</v>
      </c>
      <c r="H147" s="8"/>
      <c r="I147" s="8"/>
      <c r="J147" s="8" t="s">
        <v>1898</v>
      </c>
      <c r="K147" s="27" t="s">
        <v>1873</v>
      </c>
      <c r="L147" s="28">
        <f>_xlfn.NUMBERVALUE(LEFT(Activities[[#This Row],[Fiscal Year]], 4))</f>
        <v>2015</v>
      </c>
      <c r="M147" s="28" t="s">
        <v>1862</v>
      </c>
      <c r="N147" s="41">
        <v>32481.94</v>
      </c>
      <c r="O147" s="93">
        <f>IF(Activities[[#This Row],[Reference Year]]&gt;2018,Activities[[#This Row],[Value]],Activities[[#This Row],[Value]]*(1+VLOOKUP(Activities[[#This Row],[Reference Year]],Inflation[#All],3,FALSE)))</f>
        <v>34487.185840253158</v>
      </c>
    </row>
    <row r="148" spans="1:15" ht="15" customHeight="1" x14ac:dyDescent="0.25">
      <c r="A148" s="9" t="s">
        <v>218</v>
      </c>
      <c r="B148" s="9" t="str">
        <f>INDEX(Places[Type],MATCH(Activities[[#This Row],[Jurisdiction]],Places[Jurisdiction],0))</f>
        <v>City</v>
      </c>
      <c r="C148" s="19" t="str">
        <f>INDEX(Places[County],MATCH(Activities[[#This Row],[Jurisdiction]],Places[Jurisdiction],0))</f>
        <v>Los Angeles</v>
      </c>
      <c r="D148" s="19" t="str">
        <f>INDEX(Places[Majority RB],MATCH(Activities[[#This Row],[Jurisdiction]],Places[Jurisdiction],0))</f>
        <v>Los Angeles</v>
      </c>
      <c r="E148" s="9">
        <f>INDEX(Places[Majority RB '#],MATCH(Activities[[#This Row],[Jurisdiction]],Places[Jurisdiction],0))</f>
        <v>4</v>
      </c>
      <c r="F148" s="28" t="str">
        <f>VLOOKUP(Activities[[#This Row],[Jurisdiction]],Places[#All],8,FALSE)</f>
        <v>Phase I MS4</v>
      </c>
      <c r="G148" s="48" t="s">
        <v>59</v>
      </c>
      <c r="H148" s="8"/>
      <c r="I148" s="8"/>
      <c r="J148" s="8" t="s">
        <v>1898</v>
      </c>
      <c r="K148" s="27" t="s">
        <v>1873</v>
      </c>
      <c r="L148" s="28">
        <f>_xlfn.NUMBERVALUE(LEFT(Activities[[#This Row],[Fiscal Year]], 4))</f>
        <v>2015</v>
      </c>
      <c r="M148" s="28" t="s">
        <v>1862</v>
      </c>
      <c r="N148" s="41">
        <v>47819.01</v>
      </c>
      <c r="O148" s="93">
        <f>IF(Activities[[#This Row],[Reference Year]]&gt;2018,Activities[[#This Row],[Value]],Activities[[#This Row],[Value]]*(1+VLOOKUP(Activities[[#This Row],[Reference Year]],Inflation[#All],3,FALSE)))</f>
        <v>50771.077237594938</v>
      </c>
    </row>
    <row r="149" spans="1:15" ht="15" customHeight="1" x14ac:dyDescent="0.25">
      <c r="A149" s="9" t="s">
        <v>218</v>
      </c>
      <c r="B149" s="9" t="str">
        <f>INDEX(Places[Type],MATCH(Activities[[#This Row],[Jurisdiction]],Places[Jurisdiction],0))</f>
        <v>City</v>
      </c>
      <c r="C149" s="19" t="str">
        <f>INDEX(Places[County],MATCH(Activities[[#This Row],[Jurisdiction]],Places[Jurisdiction],0))</f>
        <v>Los Angeles</v>
      </c>
      <c r="D149" s="19" t="str">
        <f>INDEX(Places[Majority RB],MATCH(Activities[[#This Row],[Jurisdiction]],Places[Jurisdiction],0))</f>
        <v>Los Angeles</v>
      </c>
      <c r="E149" s="9">
        <f>INDEX(Places[Majority RB '#],MATCH(Activities[[#This Row],[Jurisdiction]],Places[Jurisdiction],0))</f>
        <v>4</v>
      </c>
      <c r="F149" s="28" t="str">
        <f>VLOOKUP(Activities[[#This Row],[Jurisdiction]],Places[#All],8,FALSE)</f>
        <v>Phase I MS4</v>
      </c>
      <c r="G149" s="48" t="s">
        <v>58</v>
      </c>
      <c r="H149" s="8"/>
      <c r="I149" s="8"/>
      <c r="J149" s="8" t="s">
        <v>1456</v>
      </c>
      <c r="K149" s="27" t="s">
        <v>1873</v>
      </c>
      <c r="L149" s="28">
        <f>_xlfn.NUMBERVALUE(LEFT(Activities[[#This Row],[Fiscal Year]], 4))</f>
        <v>2015</v>
      </c>
      <c r="M149" s="28" t="s">
        <v>1862</v>
      </c>
      <c r="N149" s="41">
        <v>16175.62</v>
      </c>
      <c r="O149" s="93">
        <f>IF(Activities[[#This Row],[Reference Year]]&gt;2018,Activities[[#This Row],[Value]],Activities[[#This Row],[Value]]*(1+VLOOKUP(Activities[[#This Row],[Reference Year]],Inflation[#All],3,FALSE)))</f>
        <v>17174.208591645569</v>
      </c>
    </row>
    <row r="150" spans="1:15" ht="15" customHeight="1" x14ac:dyDescent="0.25">
      <c r="A150" s="9" t="s">
        <v>218</v>
      </c>
      <c r="B150" s="9" t="str">
        <f>INDEX(Places[Type],MATCH(Activities[[#This Row],[Jurisdiction]],Places[Jurisdiction],0))</f>
        <v>City</v>
      </c>
      <c r="C150" s="19" t="str">
        <f>INDEX(Places[County],MATCH(Activities[[#This Row],[Jurisdiction]],Places[Jurisdiction],0))</f>
        <v>Los Angeles</v>
      </c>
      <c r="D150" s="19" t="str">
        <f>INDEX(Places[Majority RB],MATCH(Activities[[#This Row],[Jurisdiction]],Places[Jurisdiction],0))</f>
        <v>Los Angeles</v>
      </c>
      <c r="E150" s="9">
        <f>INDEX(Places[Majority RB '#],MATCH(Activities[[#This Row],[Jurisdiction]],Places[Jurisdiction],0))</f>
        <v>4</v>
      </c>
      <c r="F150" s="28" t="str">
        <f>VLOOKUP(Activities[[#This Row],[Jurisdiction]],Places[#All],8,FALSE)</f>
        <v>Phase I MS4</v>
      </c>
      <c r="G150" s="48" t="s">
        <v>32</v>
      </c>
      <c r="H150" s="8"/>
      <c r="I150" s="8"/>
      <c r="J150" s="8" t="s">
        <v>1894</v>
      </c>
      <c r="K150" s="27" t="s">
        <v>1873</v>
      </c>
      <c r="L150" s="28">
        <f>_xlfn.NUMBERVALUE(LEFT(Activities[[#This Row],[Fiscal Year]], 4))</f>
        <v>2015</v>
      </c>
      <c r="M150" s="28" t="s">
        <v>1862</v>
      </c>
      <c r="N150" s="41">
        <v>69016.820000000007</v>
      </c>
      <c r="O150" s="93">
        <f>IF(Activities[[#This Row],[Reference Year]]&gt;2018,Activities[[#This Row],[Value]],Activities[[#This Row],[Value]]*(1+VLOOKUP(Activities[[#This Row],[Reference Year]],Inflation[#All],3,FALSE)))</f>
        <v>73277.516596708869</v>
      </c>
    </row>
    <row r="151" spans="1:15" ht="15" customHeight="1" x14ac:dyDescent="0.25">
      <c r="A151" s="9" t="s">
        <v>218</v>
      </c>
      <c r="B151" s="9" t="str">
        <f>INDEX(Places[Type],MATCH(Activities[[#This Row],[Jurisdiction]],Places[Jurisdiction],0))</f>
        <v>City</v>
      </c>
      <c r="C151" s="19" t="str">
        <f>INDEX(Places[County],MATCH(Activities[[#This Row],[Jurisdiction]],Places[Jurisdiction],0))</f>
        <v>Los Angeles</v>
      </c>
      <c r="D151" s="19" t="str">
        <f>INDEX(Places[Majority RB],MATCH(Activities[[#This Row],[Jurisdiction]],Places[Jurisdiction],0))</f>
        <v>Los Angeles</v>
      </c>
      <c r="E151" s="9">
        <f>INDEX(Places[Majority RB '#],MATCH(Activities[[#This Row],[Jurisdiction]],Places[Jurisdiction],0))</f>
        <v>4</v>
      </c>
      <c r="F151" s="28" t="str">
        <f>VLOOKUP(Activities[[#This Row],[Jurisdiction]],Places[#All],8,FALSE)</f>
        <v>Phase I MS4</v>
      </c>
      <c r="G151" s="48" t="s">
        <v>67</v>
      </c>
      <c r="H151" s="8"/>
      <c r="I151" s="8"/>
      <c r="J151" s="8" t="s">
        <v>1896</v>
      </c>
      <c r="K151" s="27" t="s">
        <v>1873</v>
      </c>
      <c r="L151" s="28">
        <f>_xlfn.NUMBERVALUE(LEFT(Activities[[#This Row],[Fiscal Year]], 4))</f>
        <v>2015</v>
      </c>
      <c r="M151" s="28" t="s">
        <v>1862</v>
      </c>
      <c r="N151" s="41">
        <v>968991</v>
      </c>
      <c r="O151" s="93">
        <f>IF(Activities[[#This Row],[Reference Year]]&gt;2018,Activities[[#This Row],[Value]],Activities[[#This Row],[Value]]*(1+VLOOKUP(Activities[[#This Row],[Reference Year]],Inflation[#All],3,FALSE)))</f>
        <v>1028810.862113924</v>
      </c>
    </row>
    <row r="152" spans="1:15" ht="15" customHeight="1" x14ac:dyDescent="0.25">
      <c r="A152" s="9" t="s">
        <v>218</v>
      </c>
      <c r="B152" s="9" t="str">
        <f>INDEX(Places[Type],MATCH(Activities[[#This Row],[Jurisdiction]],Places[Jurisdiction],0))</f>
        <v>City</v>
      </c>
      <c r="C152" s="19" t="str">
        <f>INDEX(Places[County],MATCH(Activities[[#This Row],[Jurisdiction]],Places[Jurisdiction],0))</f>
        <v>Los Angeles</v>
      </c>
      <c r="D152" s="19" t="str">
        <f>INDEX(Places[Majority RB],MATCH(Activities[[#This Row],[Jurisdiction]],Places[Jurisdiction],0))</f>
        <v>Los Angeles</v>
      </c>
      <c r="E152" s="9">
        <f>INDEX(Places[Majority RB '#],MATCH(Activities[[#This Row],[Jurisdiction]],Places[Jurisdiction],0))</f>
        <v>4</v>
      </c>
      <c r="F152" s="28" t="str">
        <f>VLOOKUP(Activities[[#This Row],[Jurisdiction]],Places[#All],8,FALSE)</f>
        <v>Phase I MS4</v>
      </c>
      <c r="G152" s="48" t="s">
        <v>211</v>
      </c>
      <c r="H152" s="8"/>
      <c r="I152" s="8"/>
      <c r="J152" s="8" t="s">
        <v>1896</v>
      </c>
      <c r="K152" s="27" t="s">
        <v>1873</v>
      </c>
      <c r="L152" s="28">
        <f>_xlfn.NUMBERVALUE(LEFT(Activities[[#This Row],[Fiscal Year]], 4))</f>
        <v>2015</v>
      </c>
      <c r="M152" s="28" t="s">
        <v>1862</v>
      </c>
      <c r="N152" s="41">
        <v>989597.5</v>
      </c>
      <c r="O152" s="93">
        <f>IF(Activities[[#This Row],[Reference Year]]&gt;2018,Activities[[#This Row],[Value]],Activities[[#This Row],[Value]]*(1+VLOOKUP(Activities[[#This Row],[Reference Year]],Inflation[#All],3,FALSE)))</f>
        <v>1050689.4874367088</v>
      </c>
    </row>
    <row r="153" spans="1:15" ht="15" customHeight="1" x14ac:dyDescent="0.25">
      <c r="A153" s="9" t="s">
        <v>218</v>
      </c>
      <c r="B153" s="9" t="str">
        <f>INDEX(Places[Type],MATCH(Activities[[#This Row],[Jurisdiction]],Places[Jurisdiction],0))</f>
        <v>City</v>
      </c>
      <c r="C153" s="19" t="str">
        <f>INDEX(Places[County],MATCH(Activities[[#This Row],[Jurisdiction]],Places[Jurisdiction],0))</f>
        <v>Los Angeles</v>
      </c>
      <c r="D153" s="19" t="str">
        <f>INDEX(Places[Majority RB],MATCH(Activities[[#This Row],[Jurisdiction]],Places[Jurisdiction],0))</f>
        <v>Los Angeles</v>
      </c>
      <c r="E153" s="9">
        <f>INDEX(Places[Majority RB '#],MATCH(Activities[[#This Row],[Jurisdiction]],Places[Jurisdiction],0))</f>
        <v>4</v>
      </c>
      <c r="F153" s="28" t="str">
        <f>VLOOKUP(Activities[[#This Row],[Jurisdiction]],Places[#All],8,FALSE)</f>
        <v>Phase I MS4</v>
      </c>
      <c r="G153" s="48" t="s">
        <v>33</v>
      </c>
      <c r="H153" s="8"/>
      <c r="I153" s="8"/>
      <c r="J153" s="8" t="s">
        <v>47</v>
      </c>
      <c r="K153" s="27" t="s">
        <v>1873</v>
      </c>
      <c r="L153" s="28">
        <f>_xlfn.NUMBERVALUE(LEFT(Activities[[#This Row],[Fiscal Year]], 4))</f>
        <v>2015</v>
      </c>
      <c r="M153" s="28" t="s">
        <v>1862</v>
      </c>
      <c r="N153" s="41">
        <v>55050</v>
      </c>
      <c r="O153" s="93">
        <f>IF(Activities[[#This Row],[Reference Year]]&gt;2018,Activities[[#This Row],[Value]],Activities[[#This Row],[Value]]*(1+VLOOKUP(Activities[[#This Row],[Reference Year]],Inflation[#All],3,FALSE)))</f>
        <v>58448.466455696202</v>
      </c>
    </row>
    <row r="154" spans="1:15" ht="15" customHeight="1" x14ac:dyDescent="0.25">
      <c r="A154" s="9" t="s">
        <v>181</v>
      </c>
      <c r="B154" s="9" t="str">
        <f>INDEX(Places[Type],MATCH(Activities[[#This Row],[Jurisdiction]],Places[Jurisdiction],0))</f>
        <v>City</v>
      </c>
      <c r="C154" s="19" t="str">
        <f>INDEX(Places[County],MATCH(Activities[[#This Row],[Jurisdiction]],Places[Jurisdiction],0))</f>
        <v>Los Angeles</v>
      </c>
      <c r="D154" s="19" t="str">
        <f>INDEX(Places[Majority RB],MATCH(Activities[[#This Row],[Jurisdiction]],Places[Jurisdiction],0))</f>
        <v>Los Angeles</v>
      </c>
      <c r="E154" s="9">
        <f>INDEX(Places[Majority RB '#],MATCH(Activities[[#This Row],[Jurisdiction]],Places[Jurisdiction],0))</f>
        <v>4</v>
      </c>
      <c r="F154" s="28" t="str">
        <f>VLOOKUP(Activities[[#This Row],[Jurisdiction]],Places[#All],8,FALSE)</f>
        <v>Phase I MS4</v>
      </c>
      <c r="G154" s="48" t="s">
        <v>849</v>
      </c>
      <c r="H154" s="8"/>
      <c r="I154" s="8"/>
      <c r="J154" s="8" t="s">
        <v>131</v>
      </c>
      <c r="K154" s="27" t="s">
        <v>1873</v>
      </c>
      <c r="L154" s="28">
        <f>_xlfn.NUMBERVALUE(LEFT(Activities[[#This Row],[Fiscal Year]], 4))</f>
        <v>2015</v>
      </c>
      <c r="M154" s="28" t="s">
        <v>1862</v>
      </c>
      <c r="N154" s="41">
        <v>2000</v>
      </c>
      <c r="O154" s="93">
        <f>IF(Activities[[#This Row],[Reference Year]]&gt;2018,Activities[[#This Row],[Value]],Activities[[#This Row],[Value]]*(1+VLOOKUP(Activities[[#This Row],[Reference Year]],Inflation[#All],3,FALSE)))</f>
        <v>2123.4683544303798</v>
      </c>
    </row>
    <row r="155" spans="1:15" ht="15" customHeight="1" x14ac:dyDescent="0.25">
      <c r="A155" s="9" t="s">
        <v>181</v>
      </c>
      <c r="B155" s="9" t="str">
        <f>INDEX(Places[Type],MATCH(Activities[[#This Row],[Jurisdiction]],Places[Jurisdiction],0))</f>
        <v>City</v>
      </c>
      <c r="C155" s="19" t="str">
        <f>INDEX(Places[County],MATCH(Activities[[#This Row],[Jurisdiction]],Places[Jurisdiction],0))</f>
        <v>Los Angeles</v>
      </c>
      <c r="D155" s="19" t="str">
        <f>INDEX(Places[Majority RB],MATCH(Activities[[#This Row],[Jurisdiction]],Places[Jurisdiction],0))</f>
        <v>Los Angeles</v>
      </c>
      <c r="E155" s="9">
        <f>INDEX(Places[Majority RB '#],MATCH(Activities[[#This Row],[Jurisdiction]],Places[Jurisdiction],0))</f>
        <v>4</v>
      </c>
      <c r="F155" s="28" t="str">
        <f>VLOOKUP(Activities[[#This Row],[Jurisdiction]],Places[#All],8,FALSE)</f>
        <v>Phase I MS4</v>
      </c>
      <c r="G155" s="56" t="s">
        <v>934</v>
      </c>
      <c r="H155" s="8"/>
      <c r="I155" s="8"/>
      <c r="J155" s="8" t="s">
        <v>1897</v>
      </c>
      <c r="K155" s="27" t="s">
        <v>1873</v>
      </c>
      <c r="L155" s="28">
        <f>_xlfn.NUMBERVALUE(LEFT(Activities[[#This Row],[Fiscal Year]], 4))</f>
        <v>2015</v>
      </c>
      <c r="M155" s="28" t="s">
        <v>1862</v>
      </c>
      <c r="N155" s="41">
        <v>4143</v>
      </c>
      <c r="O155" s="93">
        <f>IF(Activities[[#This Row],[Reference Year]]&gt;2018,Activities[[#This Row],[Value]],Activities[[#This Row],[Value]]*(1+VLOOKUP(Activities[[#This Row],[Reference Year]],Inflation[#All],3,FALSE)))</f>
        <v>4398.764696202531</v>
      </c>
    </row>
    <row r="156" spans="1:15" ht="15" customHeight="1" x14ac:dyDescent="0.25">
      <c r="A156" s="9" t="s">
        <v>181</v>
      </c>
      <c r="B156" s="9" t="str">
        <f>INDEX(Places[Type],MATCH(Activities[[#This Row],[Jurisdiction]],Places[Jurisdiction],0))</f>
        <v>City</v>
      </c>
      <c r="C156" s="19" t="str">
        <f>INDEX(Places[County],MATCH(Activities[[#This Row],[Jurisdiction]],Places[Jurisdiction],0))</f>
        <v>Los Angeles</v>
      </c>
      <c r="D156" s="19" t="str">
        <f>INDEX(Places[Majority RB],MATCH(Activities[[#This Row],[Jurisdiction]],Places[Jurisdiction],0))</f>
        <v>Los Angeles</v>
      </c>
      <c r="E156" s="9">
        <f>INDEX(Places[Majority RB '#],MATCH(Activities[[#This Row],[Jurisdiction]],Places[Jurisdiction],0))</f>
        <v>4</v>
      </c>
      <c r="F156" s="28" t="str">
        <f>VLOOKUP(Activities[[#This Row],[Jurisdiction]],Places[#All],8,FALSE)</f>
        <v>Phase I MS4</v>
      </c>
      <c r="G156" s="48" t="s">
        <v>857</v>
      </c>
      <c r="H156" s="8"/>
      <c r="I156" s="8"/>
      <c r="J156" s="8" t="s">
        <v>1897</v>
      </c>
      <c r="K156" s="27" t="s">
        <v>1873</v>
      </c>
      <c r="L156" s="28">
        <f>_xlfn.NUMBERVALUE(LEFT(Activities[[#This Row],[Fiscal Year]], 4))</f>
        <v>2015</v>
      </c>
      <c r="M156" s="28" t="s">
        <v>1862</v>
      </c>
      <c r="N156" s="41">
        <v>82000</v>
      </c>
      <c r="O156" s="93">
        <f>IF(Activities[[#This Row],[Reference Year]]&gt;2018,Activities[[#This Row],[Value]],Activities[[#This Row],[Value]]*(1+VLOOKUP(Activities[[#This Row],[Reference Year]],Inflation[#All],3,FALSE)))</f>
        <v>87062.202531645569</v>
      </c>
    </row>
    <row r="157" spans="1:15" ht="15" customHeight="1" x14ac:dyDescent="0.25">
      <c r="A157" s="9" t="s">
        <v>181</v>
      </c>
      <c r="B157" s="9" t="str">
        <f>INDEX(Places[Type],MATCH(Activities[[#This Row],[Jurisdiction]],Places[Jurisdiction],0))</f>
        <v>City</v>
      </c>
      <c r="C157" s="19" t="str">
        <f>INDEX(Places[County],MATCH(Activities[[#This Row],[Jurisdiction]],Places[Jurisdiction],0))</f>
        <v>Los Angeles</v>
      </c>
      <c r="D157" s="19" t="str">
        <f>INDEX(Places[Majority RB],MATCH(Activities[[#This Row],[Jurisdiction]],Places[Jurisdiction],0))</f>
        <v>Los Angeles</v>
      </c>
      <c r="E157" s="9">
        <f>INDEX(Places[Majority RB '#],MATCH(Activities[[#This Row],[Jurisdiction]],Places[Jurisdiction],0))</f>
        <v>4</v>
      </c>
      <c r="F157" s="28" t="str">
        <f>VLOOKUP(Activities[[#This Row],[Jurisdiction]],Places[#All],8,FALSE)</f>
        <v>Phase I MS4</v>
      </c>
      <c r="G157" s="48" t="s">
        <v>846</v>
      </c>
      <c r="H157" s="8"/>
      <c r="I157" s="8"/>
      <c r="J157" s="8" t="s">
        <v>1898</v>
      </c>
      <c r="K157" s="27" t="s">
        <v>1873</v>
      </c>
      <c r="L157" s="28">
        <f>_xlfn.NUMBERVALUE(LEFT(Activities[[#This Row],[Fiscal Year]], 4))</f>
        <v>2015</v>
      </c>
      <c r="M157" s="28" t="s">
        <v>1862</v>
      </c>
      <c r="N157" s="41">
        <v>10000</v>
      </c>
      <c r="O157" s="93">
        <f>IF(Activities[[#This Row],[Reference Year]]&gt;2018,Activities[[#This Row],[Value]],Activities[[#This Row],[Value]]*(1+VLOOKUP(Activities[[#This Row],[Reference Year]],Inflation[#All],3,FALSE)))</f>
        <v>10617.341772151898</v>
      </c>
    </row>
    <row r="158" spans="1:15" ht="15" customHeight="1" x14ac:dyDescent="0.25">
      <c r="A158" s="9" t="s">
        <v>181</v>
      </c>
      <c r="B158" s="9" t="str">
        <f>INDEX(Places[Type],MATCH(Activities[[#This Row],[Jurisdiction]],Places[Jurisdiction],0))</f>
        <v>City</v>
      </c>
      <c r="C158" s="19" t="str">
        <f>INDEX(Places[County],MATCH(Activities[[#This Row],[Jurisdiction]],Places[Jurisdiction],0))</f>
        <v>Los Angeles</v>
      </c>
      <c r="D158" s="19" t="str">
        <f>INDEX(Places[Majority RB],MATCH(Activities[[#This Row],[Jurisdiction]],Places[Jurisdiction],0))</f>
        <v>Los Angeles</v>
      </c>
      <c r="E158" s="9">
        <f>INDEX(Places[Majority RB '#],MATCH(Activities[[#This Row],[Jurisdiction]],Places[Jurisdiction],0))</f>
        <v>4</v>
      </c>
      <c r="F158" s="28" t="str">
        <f>VLOOKUP(Activities[[#This Row],[Jurisdiction]],Places[#All],8,FALSE)</f>
        <v>Phase I MS4</v>
      </c>
      <c r="G158" s="48" t="s">
        <v>847</v>
      </c>
      <c r="H158" s="8" t="s">
        <v>1902</v>
      </c>
      <c r="I158" s="8"/>
      <c r="J158" s="8" t="s">
        <v>1898</v>
      </c>
      <c r="K158" s="27" t="s">
        <v>1873</v>
      </c>
      <c r="L158" s="28">
        <f>_xlfn.NUMBERVALUE(LEFT(Activities[[#This Row],[Fiscal Year]], 4))</f>
        <v>2015</v>
      </c>
      <c r="M158" s="28" t="s">
        <v>1862</v>
      </c>
      <c r="N158" s="41">
        <v>45000</v>
      </c>
      <c r="O158" s="93">
        <f>IF(Activities[[#This Row],[Reference Year]]&gt;2018,Activities[[#This Row],[Value]],Activities[[#This Row],[Value]]*(1+VLOOKUP(Activities[[#This Row],[Reference Year]],Inflation[#All],3,FALSE)))</f>
        <v>47778.037974683539</v>
      </c>
    </row>
    <row r="159" spans="1:15" ht="15" customHeight="1" x14ac:dyDescent="0.25">
      <c r="A159" s="9" t="s">
        <v>181</v>
      </c>
      <c r="B159" s="9" t="str">
        <f>INDEX(Places[Type],MATCH(Activities[[#This Row],[Jurisdiction]],Places[Jurisdiction],0))</f>
        <v>City</v>
      </c>
      <c r="C159" s="19" t="str">
        <f>INDEX(Places[County],MATCH(Activities[[#This Row],[Jurisdiction]],Places[Jurisdiction],0))</f>
        <v>Los Angeles</v>
      </c>
      <c r="D159" s="19" t="str">
        <f>INDEX(Places[Majority RB],MATCH(Activities[[#This Row],[Jurisdiction]],Places[Jurisdiction],0))</f>
        <v>Los Angeles</v>
      </c>
      <c r="E159" s="9">
        <f>INDEX(Places[Majority RB '#],MATCH(Activities[[#This Row],[Jurisdiction]],Places[Jurisdiction],0))</f>
        <v>4</v>
      </c>
      <c r="F159" s="28" t="str">
        <f>VLOOKUP(Activities[[#This Row],[Jurisdiction]],Places[#All],8,FALSE)</f>
        <v>Phase I MS4</v>
      </c>
      <c r="G159" s="48" t="s">
        <v>844</v>
      </c>
      <c r="H159" s="8"/>
      <c r="I159" s="8"/>
      <c r="J159" s="8" t="s">
        <v>1456</v>
      </c>
      <c r="K159" s="27" t="s">
        <v>1873</v>
      </c>
      <c r="L159" s="28">
        <f>_xlfn.NUMBERVALUE(LEFT(Activities[[#This Row],[Fiscal Year]], 4))</f>
        <v>2015</v>
      </c>
      <c r="M159" s="28" t="s">
        <v>1862</v>
      </c>
      <c r="N159" s="41">
        <v>3000</v>
      </c>
      <c r="O159" s="93">
        <f>IF(Activities[[#This Row],[Reference Year]]&gt;2018,Activities[[#This Row],[Value]],Activities[[#This Row],[Value]]*(1+VLOOKUP(Activities[[#This Row],[Reference Year]],Inflation[#All],3,FALSE)))</f>
        <v>3185.2025316455693</v>
      </c>
    </row>
    <row r="160" spans="1:15" ht="15" customHeight="1" x14ac:dyDescent="0.25">
      <c r="A160" s="9" t="s">
        <v>181</v>
      </c>
      <c r="B160" s="9" t="str">
        <f>INDEX(Places[Type],MATCH(Activities[[#This Row],[Jurisdiction]],Places[Jurisdiction],0))</f>
        <v>City</v>
      </c>
      <c r="C160" s="19" t="str">
        <f>INDEX(Places[County],MATCH(Activities[[#This Row],[Jurisdiction]],Places[Jurisdiction],0))</f>
        <v>Los Angeles</v>
      </c>
      <c r="D160" s="19" t="str">
        <f>INDEX(Places[Majority RB],MATCH(Activities[[#This Row],[Jurisdiction]],Places[Jurisdiction],0))</f>
        <v>Los Angeles</v>
      </c>
      <c r="E160" s="9">
        <f>INDEX(Places[Majority RB '#],MATCH(Activities[[#This Row],[Jurisdiction]],Places[Jurisdiction],0))</f>
        <v>4</v>
      </c>
      <c r="F160" s="28" t="str">
        <f>VLOOKUP(Activities[[#This Row],[Jurisdiction]],Places[#All],8,FALSE)</f>
        <v>Phase I MS4</v>
      </c>
      <c r="G160" s="48" t="s">
        <v>909</v>
      </c>
      <c r="H160" s="8"/>
      <c r="I160" s="8"/>
      <c r="J160" s="8" t="s">
        <v>1894</v>
      </c>
      <c r="K160" s="27" t="s">
        <v>1873</v>
      </c>
      <c r="L160" s="28">
        <f>_xlfn.NUMBERVALUE(LEFT(Activities[[#This Row],[Fiscal Year]], 4))</f>
        <v>2015</v>
      </c>
      <c r="M160" s="28" t="s">
        <v>1862</v>
      </c>
      <c r="N160" s="41">
        <v>6500</v>
      </c>
      <c r="O160" s="93">
        <f>IF(Activities[[#This Row],[Reference Year]]&gt;2018,Activities[[#This Row],[Value]],Activities[[#This Row],[Value]]*(1+VLOOKUP(Activities[[#This Row],[Reference Year]],Inflation[#All],3,FALSE)))</f>
        <v>6901.2721518987337</v>
      </c>
    </row>
    <row r="161" spans="1:15" ht="15" customHeight="1" x14ac:dyDescent="0.25">
      <c r="A161" s="9" t="s">
        <v>181</v>
      </c>
      <c r="B161" s="9" t="str">
        <f>INDEX(Places[Type],MATCH(Activities[[#This Row],[Jurisdiction]],Places[Jurisdiction],0))</f>
        <v>City</v>
      </c>
      <c r="C161" s="19" t="str">
        <f>INDEX(Places[County],MATCH(Activities[[#This Row],[Jurisdiction]],Places[Jurisdiction],0))</f>
        <v>Los Angeles</v>
      </c>
      <c r="D161" s="19" t="str">
        <f>INDEX(Places[Majority RB],MATCH(Activities[[#This Row],[Jurisdiction]],Places[Jurisdiction],0))</f>
        <v>Los Angeles</v>
      </c>
      <c r="E161" s="9">
        <f>INDEX(Places[Majority RB '#],MATCH(Activities[[#This Row],[Jurisdiction]],Places[Jurisdiction],0))</f>
        <v>4</v>
      </c>
      <c r="F161" s="28" t="str">
        <f>VLOOKUP(Activities[[#This Row],[Jurisdiction]],Places[#All],8,FALSE)</f>
        <v>Phase I MS4</v>
      </c>
      <c r="G161" s="48" t="s">
        <v>908</v>
      </c>
      <c r="H161" s="8"/>
      <c r="I161" s="8"/>
      <c r="J161" s="8" t="s">
        <v>1894</v>
      </c>
      <c r="K161" s="27" t="s">
        <v>1873</v>
      </c>
      <c r="L161" s="28">
        <f>_xlfn.NUMBERVALUE(LEFT(Activities[[#This Row],[Fiscal Year]], 4))</f>
        <v>2015</v>
      </c>
      <c r="M161" s="28" t="s">
        <v>1862</v>
      </c>
      <c r="N161" s="41">
        <v>125500</v>
      </c>
      <c r="O161" s="93">
        <f>IF(Activities[[#This Row],[Reference Year]]&gt;2018,Activities[[#This Row],[Value]],Activities[[#This Row],[Value]]*(1+VLOOKUP(Activities[[#This Row],[Reference Year]],Inflation[#All],3,FALSE)))</f>
        <v>133247.63924050631</v>
      </c>
    </row>
    <row r="162" spans="1:15" ht="15" customHeight="1" x14ac:dyDescent="0.25">
      <c r="A162" s="9" t="s">
        <v>181</v>
      </c>
      <c r="B162" s="9" t="str">
        <f>INDEX(Places[Type],MATCH(Activities[[#This Row],[Jurisdiction]],Places[Jurisdiction],0))</f>
        <v>City</v>
      </c>
      <c r="C162" s="19" t="str">
        <f>INDEX(Places[County],MATCH(Activities[[#This Row],[Jurisdiction]],Places[Jurisdiction],0))</f>
        <v>Los Angeles</v>
      </c>
      <c r="D162" s="19" t="str">
        <f>INDEX(Places[Majority RB],MATCH(Activities[[#This Row],[Jurisdiction]],Places[Jurisdiction],0))</f>
        <v>Los Angeles</v>
      </c>
      <c r="E162" s="9">
        <f>INDEX(Places[Majority RB '#],MATCH(Activities[[#This Row],[Jurisdiction]],Places[Jurisdiction],0))</f>
        <v>4</v>
      </c>
      <c r="F162" s="28" t="str">
        <f>VLOOKUP(Activities[[#This Row],[Jurisdiction]],Places[#All],8,FALSE)</f>
        <v>Phase I MS4</v>
      </c>
      <c r="G162" s="48" t="s">
        <v>850</v>
      </c>
      <c r="H162" s="8"/>
      <c r="I162" s="8"/>
      <c r="J162" s="8" t="s">
        <v>1896</v>
      </c>
      <c r="K162" s="27" t="s">
        <v>1873</v>
      </c>
      <c r="L162" s="28">
        <f>_xlfn.NUMBERVALUE(LEFT(Activities[[#This Row],[Fiscal Year]], 4))</f>
        <v>2015</v>
      </c>
      <c r="M162" s="28" t="s">
        <v>1862</v>
      </c>
      <c r="N162" s="41">
        <v>2000</v>
      </c>
      <c r="O162" s="93">
        <f>IF(Activities[[#This Row],[Reference Year]]&gt;2018,Activities[[#This Row],[Value]],Activities[[#This Row],[Value]]*(1+VLOOKUP(Activities[[#This Row],[Reference Year]],Inflation[#All],3,FALSE)))</f>
        <v>2123.4683544303798</v>
      </c>
    </row>
    <row r="163" spans="1:15" ht="15" customHeight="1" x14ac:dyDescent="0.25">
      <c r="A163" s="9" t="s">
        <v>181</v>
      </c>
      <c r="B163" s="9" t="str">
        <f>INDEX(Places[Type],MATCH(Activities[[#This Row],[Jurisdiction]],Places[Jurisdiction],0))</f>
        <v>City</v>
      </c>
      <c r="C163" s="19" t="str">
        <f>INDEX(Places[County],MATCH(Activities[[#This Row],[Jurisdiction]],Places[Jurisdiction],0))</f>
        <v>Los Angeles</v>
      </c>
      <c r="D163" s="19" t="str">
        <f>INDEX(Places[Majority RB],MATCH(Activities[[#This Row],[Jurisdiction]],Places[Jurisdiction],0))</f>
        <v>Los Angeles</v>
      </c>
      <c r="E163" s="9">
        <f>INDEX(Places[Majority RB '#],MATCH(Activities[[#This Row],[Jurisdiction]],Places[Jurisdiction],0))</f>
        <v>4</v>
      </c>
      <c r="F163" s="28" t="str">
        <f>VLOOKUP(Activities[[#This Row],[Jurisdiction]],Places[#All],8,FALSE)</f>
        <v>Phase I MS4</v>
      </c>
      <c r="G163" s="56" t="s">
        <v>855</v>
      </c>
      <c r="H163" s="8"/>
      <c r="I163" s="8"/>
      <c r="J163" s="8" t="s">
        <v>1896</v>
      </c>
      <c r="K163" s="27" t="s">
        <v>1873</v>
      </c>
      <c r="L163" s="28">
        <f>_xlfn.NUMBERVALUE(LEFT(Activities[[#This Row],[Fiscal Year]], 4))</f>
        <v>2015</v>
      </c>
      <c r="M163" s="28" t="s">
        <v>1862</v>
      </c>
      <c r="N163" s="41">
        <v>12857</v>
      </c>
      <c r="O163" s="93">
        <f>IF(Activities[[#This Row],[Reference Year]]&gt;2018,Activities[[#This Row],[Value]],Activities[[#This Row],[Value]]*(1+VLOOKUP(Activities[[#This Row],[Reference Year]],Inflation[#All],3,FALSE)))</f>
        <v>13650.716316455695</v>
      </c>
    </row>
    <row r="164" spans="1:15" ht="15" customHeight="1" x14ac:dyDescent="0.25">
      <c r="A164" s="9" t="s">
        <v>181</v>
      </c>
      <c r="B164" s="9" t="str">
        <f>INDEX(Places[Type],MATCH(Activities[[#This Row],[Jurisdiction]],Places[Jurisdiction],0))</f>
        <v>City</v>
      </c>
      <c r="C164" s="19" t="str">
        <f>INDEX(Places[County],MATCH(Activities[[#This Row],[Jurisdiction]],Places[Jurisdiction],0))</f>
        <v>Los Angeles</v>
      </c>
      <c r="D164" s="19" t="str">
        <f>INDEX(Places[Majority RB],MATCH(Activities[[#This Row],[Jurisdiction]],Places[Jurisdiction],0))</f>
        <v>Los Angeles</v>
      </c>
      <c r="E164" s="9">
        <f>INDEX(Places[Majority RB '#],MATCH(Activities[[#This Row],[Jurisdiction]],Places[Jurisdiction],0))</f>
        <v>4</v>
      </c>
      <c r="F164" s="28" t="str">
        <f>VLOOKUP(Activities[[#This Row],[Jurisdiction]],Places[#All],8,FALSE)</f>
        <v>Phase I MS4</v>
      </c>
      <c r="G164" s="56" t="s">
        <v>854</v>
      </c>
      <c r="H164" s="8"/>
      <c r="I164" s="8"/>
      <c r="J164" s="8" t="s">
        <v>47</v>
      </c>
      <c r="K164" s="27" t="s">
        <v>1873</v>
      </c>
      <c r="L164" s="28">
        <f>_xlfn.NUMBERVALUE(LEFT(Activities[[#This Row],[Fiscal Year]], 4))</f>
        <v>2015</v>
      </c>
      <c r="M164" s="28" t="s">
        <v>1862</v>
      </c>
      <c r="N164" s="41">
        <v>40000</v>
      </c>
      <c r="O164" s="93">
        <f>IF(Activities[[#This Row],[Reference Year]]&gt;2018,Activities[[#This Row],[Value]],Activities[[#This Row],[Value]]*(1+VLOOKUP(Activities[[#This Row],[Reference Year]],Inflation[#All],3,FALSE)))</f>
        <v>42469.367088607592</v>
      </c>
    </row>
    <row r="165" spans="1:15" ht="15" customHeight="1" x14ac:dyDescent="0.25">
      <c r="A165" s="9" t="s">
        <v>266</v>
      </c>
      <c r="B165" s="9" t="str">
        <f>INDEX(Places[Type],MATCH(Activities[[#This Row],[Jurisdiction]],Places[Jurisdiction],0))</f>
        <v>City</v>
      </c>
      <c r="C165" s="19" t="str">
        <f>INDEX(Places[County],MATCH(Activities[[#This Row],[Jurisdiction]],Places[Jurisdiction],0))</f>
        <v>Orange</v>
      </c>
      <c r="D165" s="19" t="str">
        <f>INDEX(Places[Majority RB],MATCH(Activities[[#This Row],[Jurisdiction]],Places[Jurisdiction],0))</f>
        <v>Santa Ana</v>
      </c>
      <c r="E165" s="9">
        <f>INDEX(Places[Majority RB '#],MATCH(Activities[[#This Row],[Jurisdiction]],Places[Jurisdiction],0))</f>
        <v>8</v>
      </c>
      <c r="F165" s="28" t="str">
        <f>VLOOKUP(Activities[[#This Row],[Jurisdiction]],Places[#All],8,FALSE)</f>
        <v>Phase I MS4</v>
      </c>
      <c r="G165" s="48" t="s">
        <v>982</v>
      </c>
      <c r="H165" s="8" t="s">
        <v>593</v>
      </c>
      <c r="I165" s="8"/>
      <c r="J165" s="8" t="s">
        <v>1897</v>
      </c>
      <c r="K165" s="27" t="s">
        <v>1875</v>
      </c>
      <c r="L165" s="28">
        <f>_xlfn.NUMBERVALUE(LEFT(Activities[[#This Row],[Fiscal Year]], 4))</f>
        <v>2001</v>
      </c>
      <c r="M165" s="28" t="s">
        <v>1862</v>
      </c>
      <c r="N165" s="41">
        <v>127882</v>
      </c>
      <c r="O165" s="93">
        <f>IF(Activities[[#This Row],[Reference Year]]&gt;2018,Activities[[#This Row],[Value]],Activities[[#This Row],[Value]]*(1+VLOOKUP(Activities[[#This Row],[Reference Year]],Inflation[#All],3,FALSE)))</f>
        <v>181700.03129305475</v>
      </c>
    </row>
    <row r="166" spans="1:15" ht="15" customHeight="1" x14ac:dyDescent="0.25">
      <c r="A166" s="9" t="s">
        <v>266</v>
      </c>
      <c r="B166" s="9" t="str">
        <f>INDEX(Places[Type],MATCH(Activities[[#This Row],[Jurisdiction]],Places[Jurisdiction],0))</f>
        <v>City</v>
      </c>
      <c r="C166" s="19" t="str">
        <f>INDEX(Places[County],MATCH(Activities[[#This Row],[Jurisdiction]],Places[Jurisdiction],0))</f>
        <v>Orange</v>
      </c>
      <c r="D166" s="19" t="str">
        <f>INDEX(Places[Majority RB],MATCH(Activities[[#This Row],[Jurisdiction]],Places[Jurisdiction],0))</f>
        <v>Santa Ana</v>
      </c>
      <c r="E166" s="9">
        <f>INDEX(Places[Majority RB '#],MATCH(Activities[[#This Row],[Jurisdiction]],Places[Jurisdiction],0))</f>
        <v>8</v>
      </c>
      <c r="F166" s="28" t="str">
        <f>VLOOKUP(Activities[[#This Row],[Jurisdiction]],Places[#All],8,FALSE)</f>
        <v>Phase I MS4</v>
      </c>
      <c r="G166" s="48" t="s">
        <v>995</v>
      </c>
      <c r="H166" s="8" t="s">
        <v>504</v>
      </c>
      <c r="I166" s="8"/>
      <c r="J166" s="8" t="s">
        <v>1897</v>
      </c>
      <c r="K166" s="27" t="s">
        <v>1875</v>
      </c>
      <c r="L166" s="28">
        <f>_xlfn.NUMBERVALUE(LEFT(Activities[[#This Row],[Fiscal Year]], 4))</f>
        <v>2001</v>
      </c>
      <c r="M166" s="28" t="s">
        <v>1862</v>
      </c>
      <c r="N166" s="41">
        <v>344931</v>
      </c>
      <c r="O166" s="93">
        <f>IF(Activities[[#This Row],[Reference Year]]&gt;2018,Activities[[#This Row],[Value]],Activities[[#This Row],[Value]]*(1+VLOOKUP(Activities[[#This Row],[Reference Year]],Inflation[#All],3,FALSE)))</f>
        <v>490092.22168831166</v>
      </c>
    </row>
    <row r="167" spans="1:15" ht="15" customHeight="1" x14ac:dyDescent="0.25">
      <c r="A167" s="9" t="s">
        <v>267</v>
      </c>
      <c r="B167" s="9" t="str">
        <f>INDEX(Places[Type],MATCH(Activities[[#This Row],[Jurisdiction]],Places[Jurisdiction],0))</f>
        <v>City</v>
      </c>
      <c r="C167" s="19" t="str">
        <f>INDEX(Places[County],MATCH(Activities[[#This Row],[Jurisdiction]],Places[Jurisdiction],0))</f>
        <v>Orange</v>
      </c>
      <c r="D167" s="19" t="str">
        <f>INDEX(Places[Majority RB],MATCH(Activities[[#This Row],[Jurisdiction]],Places[Jurisdiction],0))</f>
        <v>Santa Ana</v>
      </c>
      <c r="E167" s="9">
        <f>INDEX(Places[Majority RB '#],MATCH(Activities[[#This Row],[Jurisdiction]],Places[Jurisdiction],0))</f>
        <v>8</v>
      </c>
      <c r="F167" s="28" t="str">
        <f>VLOOKUP(Activities[[#This Row],[Jurisdiction]],Places[#All],8,FALSE)</f>
        <v>Phase I MS4</v>
      </c>
      <c r="G167" s="48" t="s">
        <v>994</v>
      </c>
      <c r="H167" s="8" t="s">
        <v>504</v>
      </c>
      <c r="I167" s="8"/>
      <c r="J167" s="8" t="s">
        <v>71</v>
      </c>
      <c r="K167" s="27" t="s">
        <v>1875</v>
      </c>
      <c r="L167" s="28">
        <f>_xlfn.NUMBERVALUE(LEFT(Activities[[#This Row],[Fiscal Year]], 4))</f>
        <v>2001</v>
      </c>
      <c r="M167" s="28" t="s">
        <v>1862</v>
      </c>
      <c r="N167" s="41">
        <v>10500</v>
      </c>
      <c r="O167" s="93">
        <f>IF(Activities[[#This Row],[Reference Year]]&gt;2018,Activities[[#This Row],[Value]],Activities[[#This Row],[Value]]*(1+VLOOKUP(Activities[[#This Row],[Reference Year]],Inflation[#All],3,FALSE)))</f>
        <v>14918.833992094862</v>
      </c>
    </row>
    <row r="168" spans="1:15" ht="15" customHeight="1" x14ac:dyDescent="0.25">
      <c r="A168" s="9" t="s">
        <v>267</v>
      </c>
      <c r="B168" s="9" t="str">
        <f>INDEX(Places[Type],MATCH(Activities[[#This Row],[Jurisdiction]],Places[Jurisdiction],0))</f>
        <v>City</v>
      </c>
      <c r="C168" s="19" t="str">
        <f>INDEX(Places[County],MATCH(Activities[[#This Row],[Jurisdiction]],Places[Jurisdiction],0))</f>
        <v>Orange</v>
      </c>
      <c r="D168" s="19" t="str">
        <f>INDEX(Places[Majority RB],MATCH(Activities[[#This Row],[Jurisdiction]],Places[Jurisdiction],0))</f>
        <v>Santa Ana</v>
      </c>
      <c r="E168" s="9">
        <f>INDEX(Places[Majority RB '#],MATCH(Activities[[#This Row],[Jurisdiction]],Places[Jurisdiction],0))</f>
        <v>8</v>
      </c>
      <c r="F168" s="28" t="str">
        <f>VLOOKUP(Activities[[#This Row],[Jurisdiction]],Places[#All],8,FALSE)</f>
        <v>Phase I MS4</v>
      </c>
      <c r="G168" s="48" t="s">
        <v>995</v>
      </c>
      <c r="H168" s="8" t="s">
        <v>504</v>
      </c>
      <c r="I168" s="8"/>
      <c r="J168" s="8" t="s">
        <v>1897</v>
      </c>
      <c r="K168" s="27" t="s">
        <v>1875</v>
      </c>
      <c r="L168" s="28">
        <f>_xlfn.NUMBERVALUE(LEFT(Activities[[#This Row],[Fiscal Year]], 4))</f>
        <v>2001</v>
      </c>
      <c r="M168" s="28" t="s">
        <v>1862</v>
      </c>
      <c r="N168" s="41">
        <v>10000</v>
      </c>
      <c r="O168" s="93">
        <f>IF(Activities[[#This Row],[Reference Year]]&gt;2018,Activities[[#This Row],[Value]],Activities[[#This Row],[Value]]*(1+VLOOKUP(Activities[[#This Row],[Reference Year]],Inflation[#All],3,FALSE)))</f>
        <v>14208.413325804629</v>
      </c>
    </row>
    <row r="169" spans="1:15" ht="15" customHeight="1" x14ac:dyDescent="0.25">
      <c r="A169" s="9" t="s">
        <v>267</v>
      </c>
      <c r="B169" s="9" t="str">
        <f>INDEX(Places[Type],MATCH(Activities[[#This Row],[Jurisdiction]],Places[Jurisdiction],0))</f>
        <v>City</v>
      </c>
      <c r="C169" s="19" t="str">
        <f>INDEX(Places[County],MATCH(Activities[[#This Row],[Jurisdiction]],Places[Jurisdiction],0))</f>
        <v>Orange</v>
      </c>
      <c r="D169" s="19" t="str">
        <f>INDEX(Places[Majority RB],MATCH(Activities[[#This Row],[Jurisdiction]],Places[Jurisdiction],0))</f>
        <v>Santa Ana</v>
      </c>
      <c r="E169" s="9">
        <f>INDEX(Places[Majority RB '#],MATCH(Activities[[#This Row],[Jurisdiction]],Places[Jurisdiction],0))</f>
        <v>8</v>
      </c>
      <c r="F169" s="28" t="str">
        <f>VLOOKUP(Activities[[#This Row],[Jurisdiction]],Places[#All],8,FALSE)</f>
        <v>Phase I MS4</v>
      </c>
      <c r="G169" s="48" t="s">
        <v>999</v>
      </c>
      <c r="H169" s="8" t="s">
        <v>504</v>
      </c>
      <c r="I169" s="8"/>
      <c r="J169" s="8" t="s">
        <v>1897</v>
      </c>
      <c r="K169" s="27" t="s">
        <v>1875</v>
      </c>
      <c r="L169" s="28">
        <f>_xlfn.NUMBERVALUE(LEFT(Activities[[#This Row],[Fiscal Year]], 4))</f>
        <v>2001</v>
      </c>
      <c r="M169" s="28" t="s">
        <v>1862</v>
      </c>
      <c r="N169" s="41">
        <v>18000</v>
      </c>
      <c r="O169" s="93">
        <f>IF(Activities[[#This Row],[Reference Year]]&gt;2018,Activities[[#This Row],[Value]],Activities[[#This Row],[Value]]*(1+VLOOKUP(Activities[[#This Row],[Reference Year]],Inflation[#All],3,FALSE)))</f>
        <v>25575.143986448333</v>
      </c>
    </row>
    <row r="170" spans="1:15" ht="15" customHeight="1" x14ac:dyDescent="0.25">
      <c r="A170" s="9" t="s">
        <v>267</v>
      </c>
      <c r="B170" s="9" t="str">
        <f>INDEX(Places[Type],MATCH(Activities[[#This Row],[Jurisdiction]],Places[Jurisdiction],0))</f>
        <v>City</v>
      </c>
      <c r="C170" s="19" t="str">
        <f>INDEX(Places[County],MATCH(Activities[[#This Row],[Jurisdiction]],Places[Jurisdiction],0))</f>
        <v>Orange</v>
      </c>
      <c r="D170" s="19" t="str">
        <f>INDEX(Places[Majority RB],MATCH(Activities[[#This Row],[Jurisdiction]],Places[Jurisdiction],0))</f>
        <v>Santa Ana</v>
      </c>
      <c r="E170" s="9">
        <f>INDEX(Places[Majority RB '#],MATCH(Activities[[#This Row],[Jurisdiction]],Places[Jurisdiction],0))</f>
        <v>8</v>
      </c>
      <c r="F170" s="28" t="str">
        <f>VLOOKUP(Activities[[#This Row],[Jurisdiction]],Places[#All],8,FALSE)</f>
        <v>Phase I MS4</v>
      </c>
      <c r="G170" s="48" t="s">
        <v>996</v>
      </c>
      <c r="H170" s="8" t="s">
        <v>504</v>
      </c>
      <c r="I170" s="8"/>
      <c r="J170" s="8" t="s">
        <v>1897</v>
      </c>
      <c r="K170" s="27" t="s">
        <v>1875</v>
      </c>
      <c r="L170" s="28">
        <f>_xlfn.NUMBERVALUE(LEFT(Activities[[#This Row],[Fiscal Year]], 4))</f>
        <v>2001</v>
      </c>
      <c r="M170" s="28" t="s">
        <v>1862</v>
      </c>
      <c r="N170" s="41">
        <v>221000</v>
      </c>
      <c r="O170" s="93">
        <f>IF(Activities[[#This Row],[Reference Year]]&gt;2018,Activities[[#This Row],[Value]],Activities[[#This Row],[Value]]*(1+VLOOKUP(Activities[[#This Row],[Reference Year]],Inflation[#All],3,FALSE)))</f>
        <v>314005.93450028234</v>
      </c>
    </row>
    <row r="171" spans="1:15" ht="15" customHeight="1" x14ac:dyDescent="0.25">
      <c r="A171" s="9" t="s">
        <v>188</v>
      </c>
      <c r="B171" s="9" t="str">
        <f>INDEX(Places[Type],MATCH(Activities[[#This Row],[Jurisdiction]],Places[Jurisdiction],0))</f>
        <v>City</v>
      </c>
      <c r="C171" s="19" t="str">
        <f>INDEX(Places[County],MATCH(Activities[[#This Row],[Jurisdiction]],Places[Jurisdiction],0))</f>
        <v>Los Angeles</v>
      </c>
      <c r="D171" s="19" t="str">
        <f>INDEX(Places[Majority RB],MATCH(Activities[[#This Row],[Jurisdiction]],Places[Jurisdiction],0))</f>
        <v>Los Angeles</v>
      </c>
      <c r="E171" s="9">
        <f>INDEX(Places[Majority RB '#],MATCH(Activities[[#This Row],[Jurisdiction]],Places[Jurisdiction],0))</f>
        <v>4</v>
      </c>
      <c r="F171" s="28" t="str">
        <f>VLOOKUP(Activities[[#This Row],[Jurisdiction]],Places[#All],8,FALSE)</f>
        <v>Phase I MS4</v>
      </c>
      <c r="G171" s="48" t="s">
        <v>852</v>
      </c>
      <c r="H171" s="8"/>
      <c r="I171" s="8"/>
      <c r="J171" s="8" t="s">
        <v>76</v>
      </c>
      <c r="K171" s="27" t="s">
        <v>1873</v>
      </c>
      <c r="L171" s="28">
        <f>_xlfn.NUMBERVALUE(LEFT(Activities[[#This Row],[Fiscal Year]], 4))</f>
        <v>2015</v>
      </c>
      <c r="M171" s="28" t="s">
        <v>1862</v>
      </c>
      <c r="N171" s="41">
        <v>25432</v>
      </c>
      <c r="O171" s="93">
        <f>IF(Activities[[#This Row],[Reference Year]]&gt;2018,Activities[[#This Row],[Value]],Activities[[#This Row],[Value]]*(1+VLOOKUP(Activities[[#This Row],[Reference Year]],Inflation[#All],3,FALSE)))</f>
        <v>27002.023594936709</v>
      </c>
    </row>
    <row r="172" spans="1:15" ht="15" customHeight="1" x14ac:dyDescent="0.25">
      <c r="A172" s="9" t="s">
        <v>188</v>
      </c>
      <c r="B172" s="9" t="str">
        <f>INDEX(Places[Type],MATCH(Activities[[#This Row],[Jurisdiction]],Places[Jurisdiction],0))</f>
        <v>City</v>
      </c>
      <c r="C172" s="19" t="str">
        <f>INDEX(Places[County],MATCH(Activities[[#This Row],[Jurisdiction]],Places[Jurisdiction],0))</f>
        <v>Los Angeles</v>
      </c>
      <c r="D172" s="19" t="str">
        <f>INDEX(Places[Majority RB],MATCH(Activities[[#This Row],[Jurisdiction]],Places[Jurisdiction],0))</f>
        <v>Los Angeles</v>
      </c>
      <c r="E172" s="9">
        <f>INDEX(Places[Majority RB '#],MATCH(Activities[[#This Row],[Jurisdiction]],Places[Jurisdiction],0))</f>
        <v>4</v>
      </c>
      <c r="F172" s="28" t="str">
        <f>VLOOKUP(Activities[[#This Row],[Jurisdiction]],Places[#All],8,FALSE)</f>
        <v>Phase I MS4</v>
      </c>
      <c r="G172" s="48" t="s">
        <v>851</v>
      </c>
      <c r="H172" s="8"/>
      <c r="I172" s="8"/>
      <c r="J172" s="8" t="s">
        <v>76</v>
      </c>
      <c r="K172" s="27" t="s">
        <v>1873</v>
      </c>
      <c r="L172" s="28">
        <f>_xlfn.NUMBERVALUE(LEFT(Activities[[#This Row],[Fiscal Year]], 4))</f>
        <v>2015</v>
      </c>
      <c r="M172" s="28" t="s">
        <v>1862</v>
      </c>
      <c r="N172" s="41">
        <v>44595</v>
      </c>
      <c r="O172" s="93">
        <f>IF(Activities[[#This Row],[Reference Year]]&gt;2018,Activities[[#This Row],[Value]],Activities[[#This Row],[Value]]*(1+VLOOKUP(Activities[[#This Row],[Reference Year]],Inflation[#All],3,FALSE)))</f>
        <v>47348.035632911393</v>
      </c>
    </row>
    <row r="173" spans="1:15" ht="15" customHeight="1" x14ac:dyDescent="0.25">
      <c r="A173" s="9" t="s">
        <v>188</v>
      </c>
      <c r="B173" s="9" t="str">
        <f>INDEX(Places[Type],MATCH(Activities[[#This Row],[Jurisdiction]],Places[Jurisdiction],0))</f>
        <v>City</v>
      </c>
      <c r="C173" s="19" t="str">
        <f>INDEX(Places[County],MATCH(Activities[[#This Row],[Jurisdiction]],Places[Jurisdiction],0))</f>
        <v>Los Angeles</v>
      </c>
      <c r="D173" s="19" t="str">
        <f>INDEX(Places[Majority RB],MATCH(Activities[[#This Row],[Jurisdiction]],Places[Jurisdiction],0))</f>
        <v>Los Angeles</v>
      </c>
      <c r="E173" s="9">
        <f>INDEX(Places[Majority RB '#],MATCH(Activities[[#This Row],[Jurisdiction]],Places[Jurisdiction],0))</f>
        <v>4</v>
      </c>
      <c r="F173" s="28" t="str">
        <f>VLOOKUP(Activities[[#This Row],[Jurisdiction]],Places[#All],8,FALSE)</f>
        <v>Phase I MS4</v>
      </c>
      <c r="G173" s="48" t="s">
        <v>849</v>
      </c>
      <c r="H173" s="8"/>
      <c r="I173" s="8"/>
      <c r="J173" s="8" t="s">
        <v>131</v>
      </c>
      <c r="K173" s="27" t="s">
        <v>1873</v>
      </c>
      <c r="L173" s="28">
        <f>_xlfn.NUMBERVALUE(LEFT(Activities[[#This Row],[Fiscal Year]], 4))</f>
        <v>2015</v>
      </c>
      <c r="M173" s="28" t="s">
        <v>1862</v>
      </c>
      <c r="N173" s="41">
        <v>132489</v>
      </c>
      <c r="O173" s="93">
        <f>IF(Activities[[#This Row],[Reference Year]]&gt;2018,Activities[[#This Row],[Value]],Activities[[#This Row],[Value]]*(1+VLOOKUP(Activities[[#This Row],[Reference Year]],Inflation[#All],3,FALSE)))</f>
        <v>140668.09940506329</v>
      </c>
    </row>
    <row r="174" spans="1:15" ht="15" customHeight="1" x14ac:dyDescent="0.25">
      <c r="A174" s="9" t="s">
        <v>188</v>
      </c>
      <c r="B174" s="9" t="str">
        <f>INDEX(Places[Type],MATCH(Activities[[#This Row],[Jurisdiction]],Places[Jurisdiction],0))</f>
        <v>City</v>
      </c>
      <c r="C174" s="19" t="str">
        <f>INDEX(Places[County],MATCH(Activities[[#This Row],[Jurisdiction]],Places[Jurisdiction],0))</f>
        <v>Los Angeles</v>
      </c>
      <c r="D174" s="19" t="str">
        <f>INDEX(Places[Majority RB],MATCH(Activities[[#This Row],[Jurisdiction]],Places[Jurisdiction],0))</f>
        <v>Los Angeles</v>
      </c>
      <c r="E174" s="9">
        <f>INDEX(Places[Majority RB '#],MATCH(Activities[[#This Row],[Jurisdiction]],Places[Jurisdiction],0))</f>
        <v>4</v>
      </c>
      <c r="F174" s="28" t="str">
        <f>VLOOKUP(Activities[[#This Row],[Jurisdiction]],Places[#All],8,FALSE)</f>
        <v>Phase I MS4</v>
      </c>
      <c r="G174" s="48" t="s">
        <v>845</v>
      </c>
      <c r="H174" s="8"/>
      <c r="I174" s="8"/>
      <c r="J174" s="8" t="s">
        <v>334</v>
      </c>
      <c r="K174" s="27" t="s">
        <v>1873</v>
      </c>
      <c r="L174" s="28">
        <f>_xlfn.NUMBERVALUE(LEFT(Activities[[#This Row],[Fiscal Year]], 4))</f>
        <v>2015</v>
      </c>
      <c r="M174" s="28" t="s">
        <v>1862</v>
      </c>
      <c r="N174" s="41">
        <v>109637</v>
      </c>
      <c r="O174" s="93">
        <f>IF(Activities[[#This Row],[Reference Year]]&gt;2018,Activities[[#This Row],[Value]],Activities[[#This Row],[Value]]*(1+VLOOKUP(Activities[[#This Row],[Reference Year]],Inflation[#All],3,FALSE)))</f>
        <v>116405.34998734176</v>
      </c>
    </row>
    <row r="175" spans="1:15" ht="15" customHeight="1" x14ac:dyDescent="0.25">
      <c r="A175" s="9" t="s">
        <v>188</v>
      </c>
      <c r="B175" s="9" t="str">
        <f>INDEX(Places[Type],MATCH(Activities[[#This Row],[Jurisdiction]],Places[Jurisdiction],0))</f>
        <v>City</v>
      </c>
      <c r="C175" s="19" t="str">
        <f>INDEX(Places[County],MATCH(Activities[[#This Row],[Jurisdiction]],Places[Jurisdiction],0))</f>
        <v>Los Angeles</v>
      </c>
      <c r="D175" s="19" t="str">
        <f>INDEX(Places[Majority RB],MATCH(Activities[[#This Row],[Jurisdiction]],Places[Jurisdiction],0))</f>
        <v>Los Angeles</v>
      </c>
      <c r="E175" s="9">
        <f>INDEX(Places[Majority RB '#],MATCH(Activities[[#This Row],[Jurisdiction]],Places[Jurisdiction],0))</f>
        <v>4</v>
      </c>
      <c r="F175" s="28" t="str">
        <f>VLOOKUP(Activities[[#This Row],[Jurisdiction]],Places[#All],8,FALSE)</f>
        <v>Phase I MS4</v>
      </c>
      <c r="G175" s="48" t="s">
        <v>857</v>
      </c>
      <c r="H175" s="8"/>
      <c r="I175" s="8"/>
      <c r="J175" s="8" t="s">
        <v>1897</v>
      </c>
      <c r="K175" s="27" t="s">
        <v>1873</v>
      </c>
      <c r="L175" s="28">
        <f>_xlfn.NUMBERVALUE(LEFT(Activities[[#This Row],[Fiscal Year]], 4))</f>
        <v>2015</v>
      </c>
      <c r="M175" s="28" t="s">
        <v>1862</v>
      </c>
      <c r="N175" s="41">
        <v>996831</v>
      </c>
      <c r="O175" s="93">
        <f>IF(Activities[[#This Row],[Reference Year]]&gt;2018,Activities[[#This Row],[Value]],Activities[[#This Row],[Value]]*(1+VLOOKUP(Activities[[#This Row],[Reference Year]],Inflation[#All],3,FALSE)))</f>
        <v>1058369.5416075948</v>
      </c>
    </row>
    <row r="176" spans="1:15" ht="15" customHeight="1" x14ac:dyDescent="0.25">
      <c r="A176" s="9" t="s">
        <v>188</v>
      </c>
      <c r="B176" s="9" t="str">
        <f>INDEX(Places[Type],MATCH(Activities[[#This Row],[Jurisdiction]],Places[Jurisdiction],0))</f>
        <v>City</v>
      </c>
      <c r="C176" s="19" t="str">
        <f>INDEX(Places[County],MATCH(Activities[[#This Row],[Jurisdiction]],Places[Jurisdiction],0))</f>
        <v>Los Angeles</v>
      </c>
      <c r="D176" s="19" t="str">
        <f>INDEX(Places[Majority RB],MATCH(Activities[[#This Row],[Jurisdiction]],Places[Jurisdiction],0))</f>
        <v>Los Angeles</v>
      </c>
      <c r="E176" s="9">
        <f>INDEX(Places[Majority RB '#],MATCH(Activities[[#This Row],[Jurisdiction]],Places[Jurisdiction],0))</f>
        <v>4</v>
      </c>
      <c r="F176" s="28" t="str">
        <f>VLOOKUP(Activities[[#This Row],[Jurisdiction]],Places[#All],8,FALSE)</f>
        <v>Phase I MS4</v>
      </c>
      <c r="G176" s="48" t="s">
        <v>846</v>
      </c>
      <c r="H176" s="8"/>
      <c r="I176" s="8"/>
      <c r="J176" s="8" t="s">
        <v>1898</v>
      </c>
      <c r="K176" s="27" t="s">
        <v>1873</v>
      </c>
      <c r="L176" s="28">
        <f>_xlfn.NUMBERVALUE(LEFT(Activities[[#This Row],[Fiscal Year]], 4))</f>
        <v>2015</v>
      </c>
      <c r="M176" s="28" t="s">
        <v>1862</v>
      </c>
      <c r="N176" s="41">
        <v>69683</v>
      </c>
      <c r="O176" s="93">
        <f>IF(Activities[[#This Row],[Reference Year]]&gt;2018,Activities[[#This Row],[Value]],Activities[[#This Row],[Value]]*(1+VLOOKUP(Activities[[#This Row],[Reference Year]],Inflation[#All],3,FALSE)))</f>
        <v>73984.822670886075</v>
      </c>
    </row>
    <row r="177" spans="1:15" ht="15" customHeight="1" x14ac:dyDescent="0.25">
      <c r="A177" s="9" t="s">
        <v>188</v>
      </c>
      <c r="B177" s="9" t="str">
        <f>INDEX(Places[Type],MATCH(Activities[[#This Row],[Jurisdiction]],Places[Jurisdiction],0))</f>
        <v>City</v>
      </c>
      <c r="C177" s="19" t="str">
        <f>INDEX(Places[County],MATCH(Activities[[#This Row],[Jurisdiction]],Places[Jurisdiction],0))</f>
        <v>Los Angeles</v>
      </c>
      <c r="D177" s="19" t="str">
        <f>INDEX(Places[Majority RB],MATCH(Activities[[#This Row],[Jurisdiction]],Places[Jurisdiction],0))</f>
        <v>Los Angeles</v>
      </c>
      <c r="E177" s="9">
        <f>INDEX(Places[Majority RB '#],MATCH(Activities[[#This Row],[Jurisdiction]],Places[Jurisdiction],0))</f>
        <v>4</v>
      </c>
      <c r="F177" s="28" t="str">
        <f>VLOOKUP(Activities[[#This Row],[Jurisdiction]],Places[#All],8,FALSE)</f>
        <v>Phase I MS4</v>
      </c>
      <c r="G177" s="48" t="s">
        <v>847</v>
      </c>
      <c r="H177" s="8"/>
      <c r="I177" s="8"/>
      <c r="J177" s="8" t="s">
        <v>1898</v>
      </c>
      <c r="K177" s="27" t="s">
        <v>1873</v>
      </c>
      <c r="L177" s="28">
        <f>_xlfn.NUMBERVALUE(LEFT(Activities[[#This Row],[Fiscal Year]], 4))</f>
        <v>2015</v>
      </c>
      <c r="M177" s="28" t="s">
        <v>1862</v>
      </c>
      <c r="N177" s="41">
        <v>69683</v>
      </c>
      <c r="O177" s="93">
        <f>IF(Activities[[#This Row],[Reference Year]]&gt;2018,Activities[[#This Row],[Value]],Activities[[#This Row],[Value]]*(1+VLOOKUP(Activities[[#This Row],[Reference Year]],Inflation[#All],3,FALSE)))</f>
        <v>73984.822670886075</v>
      </c>
    </row>
    <row r="178" spans="1:15" ht="15" customHeight="1" x14ac:dyDescent="0.25">
      <c r="A178" s="9" t="s">
        <v>188</v>
      </c>
      <c r="B178" s="9" t="str">
        <f>INDEX(Places[Type],MATCH(Activities[[#This Row],[Jurisdiction]],Places[Jurisdiction],0))</f>
        <v>City</v>
      </c>
      <c r="C178" s="19" t="str">
        <f>INDEX(Places[County],MATCH(Activities[[#This Row],[Jurisdiction]],Places[Jurisdiction],0))</f>
        <v>Los Angeles</v>
      </c>
      <c r="D178" s="19" t="str">
        <f>INDEX(Places[Majority RB],MATCH(Activities[[#This Row],[Jurisdiction]],Places[Jurisdiction],0))</f>
        <v>Los Angeles</v>
      </c>
      <c r="E178" s="9">
        <f>INDEX(Places[Majority RB '#],MATCH(Activities[[#This Row],[Jurisdiction]],Places[Jurisdiction],0))</f>
        <v>4</v>
      </c>
      <c r="F178" s="28" t="str">
        <f>VLOOKUP(Activities[[#This Row],[Jurisdiction]],Places[#All],8,FALSE)</f>
        <v>Phase I MS4</v>
      </c>
      <c r="G178" s="48" t="s">
        <v>844</v>
      </c>
      <c r="H178" s="8"/>
      <c r="I178" s="8"/>
      <c r="J178" s="8" t="s">
        <v>1456</v>
      </c>
      <c r="K178" s="27" t="s">
        <v>1873</v>
      </c>
      <c r="L178" s="28">
        <f>_xlfn.NUMBERVALUE(LEFT(Activities[[#This Row],[Fiscal Year]], 4))</f>
        <v>2015</v>
      </c>
      <c r="M178" s="28" t="s">
        <v>1862</v>
      </c>
      <c r="N178" s="41">
        <v>204113</v>
      </c>
      <c r="O178" s="93">
        <f>IF(Activities[[#This Row],[Reference Year]]&gt;2018,Activities[[#This Row],[Value]],Activities[[#This Row],[Value]]*(1+VLOOKUP(Activities[[#This Row],[Reference Year]],Inflation[#All],3,FALSE)))</f>
        <v>216713.74811392403</v>
      </c>
    </row>
    <row r="179" spans="1:15" ht="15" customHeight="1" x14ac:dyDescent="0.25">
      <c r="A179" s="9" t="s">
        <v>188</v>
      </c>
      <c r="B179" s="9" t="str">
        <f>INDEX(Places[Type],MATCH(Activities[[#This Row],[Jurisdiction]],Places[Jurisdiction],0))</f>
        <v>City</v>
      </c>
      <c r="C179" s="19" t="str">
        <f>INDEX(Places[County],MATCH(Activities[[#This Row],[Jurisdiction]],Places[Jurisdiction],0))</f>
        <v>Los Angeles</v>
      </c>
      <c r="D179" s="19" t="str">
        <f>INDEX(Places[Majority RB],MATCH(Activities[[#This Row],[Jurisdiction]],Places[Jurisdiction],0))</f>
        <v>Los Angeles</v>
      </c>
      <c r="E179" s="9">
        <f>INDEX(Places[Majority RB '#],MATCH(Activities[[#This Row],[Jurisdiction]],Places[Jurisdiction],0))</f>
        <v>4</v>
      </c>
      <c r="F179" s="28" t="str">
        <f>VLOOKUP(Activities[[#This Row],[Jurisdiction]],Places[#All],8,FALSE)</f>
        <v>Phase I MS4</v>
      </c>
      <c r="G179" s="56" t="s">
        <v>829</v>
      </c>
      <c r="H179" s="8"/>
      <c r="I179" s="8"/>
      <c r="J179" s="8" t="s">
        <v>1894</v>
      </c>
      <c r="K179" s="27" t="s">
        <v>1873</v>
      </c>
      <c r="L179" s="28">
        <f>_xlfn.NUMBERVALUE(LEFT(Activities[[#This Row],[Fiscal Year]], 4))</f>
        <v>2015</v>
      </c>
      <c r="M179" s="28" t="s">
        <v>1862</v>
      </c>
      <c r="N179" s="41">
        <v>244064</v>
      </c>
      <c r="O179" s="93">
        <f>IF(Activities[[#This Row],[Reference Year]]&gt;2018,Activities[[#This Row],[Value]],Activities[[#This Row],[Value]]*(1+VLOOKUP(Activities[[#This Row],[Reference Year]],Inflation[#All],3,FALSE)))</f>
        <v>259131.09022784809</v>
      </c>
    </row>
    <row r="180" spans="1:15" ht="15" customHeight="1" x14ac:dyDescent="0.25">
      <c r="A180" s="9" t="s">
        <v>188</v>
      </c>
      <c r="B180" s="9" t="str">
        <f>INDEX(Places[Type],MATCH(Activities[[#This Row],[Jurisdiction]],Places[Jurisdiction],0))</f>
        <v>City</v>
      </c>
      <c r="C180" s="19" t="str">
        <f>INDEX(Places[County],MATCH(Activities[[#This Row],[Jurisdiction]],Places[Jurisdiction],0))</f>
        <v>Los Angeles</v>
      </c>
      <c r="D180" s="19" t="str">
        <f>INDEX(Places[Majority RB],MATCH(Activities[[#This Row],[Jurisdiction]],Places[Jurisdiction],0))</f>
        <v>Los Angeles</v>
      </c>
      <c r="E180" s="9">
        <f>INDEX(Places[Majority RB '#],MATCH(Activities[[#This Row],[Jurisdiction]],Places[Jurisdiction],0))</f>
        <v>4</v>
      </c>
      <c r="F180" s="28" t="str">
        <f>VLOOKUP(Activities[[#This Row],[Jurisdiction]],Places[#All],8,FALSE)</f>
        <v>Phase I MS4</v>
      </c>
      <c r="G180" s="56" t="s">
        <v>855</v>
      </c>
      <c r="H180" s="8"/>
      <c r="I180" s="8"/>
      <c r="J180" s="8" t="s">
        <v>1896</v>
      </c>
      <c r="K180" s="27" t="s">
        <v>1873</v>
      </c>
      <c r="L180" s="28">
        <f>_xlfn.NUMBERVALUE(LEFT(Activities[[#This Row],[Fiscal Year]], 4))</f>
        <v>2015</v>
      </c>
      <c r="M180" s="28" t="s">
        <v>1862</v>
      </c>
      <c r="N180" s="41">
        <v>72535</v>
      </c>
      <c r="O180" s="93">
        <f>IF(Activities[[#This Row],[Reference Year]]&gt;2018,Activities[[#This Row],[Value]],Activities[[#This Row],[Value]]*(1+VLOOKUP(Activities[[#This Row],[Reference Year]],Inflation[#All],3,FALSE)))</f>
        <v>77012.888544303787</v>
      </c>
    </row>
    <row r="181" spans="1:15" ht="15" customHeight="1" x14ac:dyDescent="0.25">
      <c r="A181" s="9" t="s">
        <v>188</v>
      </c>
      <c r="B181" s="9" t="str">
        <f>INDEX(Places[Type],MATCH(Activities[[#This Row],[Jurisdiction]],Places[Jurisdiction],0))</f>
        <v>City</v>
      </c>
      <c r="C181" s="19" t="str">
        <f>INDEX(Places[County],MATCH(Activities[[#This Row],[Jurisdiction]],Places[Jurisdiction],0))</f>
        <v>Los Angeles</v>
      </c>
      <c r="D181" s="19" t="str">
        <f>INDEX(Places[Majority RB],MATCH(Activities[[#This Row],[Jurisdiction]],Places[Jurisdiction],0))</f>
        <v>Los Angeles</v>
      </c>
      <c r="E181" s="9">
        <f>INDEX(Places[Majority RB '#],MATCH(Activities[[#This Row],[Jurisdiction]],Places[Jurisdiction],0))</f>
        <v>4</v>
      </c>
      <c r="F181" s="28" t="str">
        <f>VLOOKUP(Activities[[#This Row],[Jurisdiction]],Places[#All],8,FALSE)</f>
        <v>Phase I MS4</v>
      </c>
      <c r="G181" s="48" t="s">
        <v>850</v>
      </c>
      <c r="H181" s="8"/>
      <c r="I181" s="8"/>
      <c r="J181" s="8" t="s">
        <v>1896</v>
      </c>
      <c r="K181" s="27" t="s">
        <v>1873</v>
      </c>
      <c r="L181" s="28">
        <f>_xlfn.NUMBERVALUE(LEFT(Activities[[#This Row],[Fiscal Year]], 4))</f>
        <v>2015</v>
      </c>
      <c r="M181" s="28" t="s">
        <v>1862</v>
      </c>
      <c r="N181" s="41">
        <v>1586895</v>
      </c>
      <c r="O181" s="93">
        <f>IF(Activities[[#This Row],[Reference Year]]&gt;2018,Activities[[#This Row],[Value]],Activities[[#This Row],[Value]]*(1+VLOOKUP(Activities[[#This Row],[Reference Year]],Inflation[#All],3,FALSE)))</f>
        <v>1684860.6571518986</v>
      </c>
    </row>
    <row r="182" spans="1:15" ht="15" customHeight="1" x14ac:dyDescent="0.25">
      <c r="A182" s="9" t="s">
        <v>188</v>
      </c>
      <c r="B182" s="9" t="str">
        <f>INDEX(Places[Type],MATCH(Activities[[#This Row],[Jurisdiction]],Places[Jurisdiction],0))</f>
        <v>City</v>
      </c>
      <c r="C182" s="19" t="str">
        <f>INDEX(Places[County],MATCH(Activities[[#This Row],[Jurisdiction]],Places[Jurisdiction],0))</f>
        <v>Los Angeles</v>
      </c>
      <c r="D182" s="19" t="str">
        <f>INDEX(Places[Majority RB],MATCH(Activities[[#This Row],[Jurisdiction]],Places[Jurisdiction],0))</f>
        <v>Los Angeles</v>
      </c>
      <c r="E182" s="9">
        <f>INDEX(Places[Majority RB '#],MATCH(Activities[[#This Row],[Jurisdiction]],Places[Jurisdiction],0))</f>
        <v>4</v>
      </c>
      <c r="F182" s="28" t="str">
        <f>VLOOKUP(Activities[[#This Row],[Jurisdiction]],Places[#All],8,FALSE)</f>
        <v>Phase I MS4</v>
      </c>
      <c r="G182" s="56" t="s">
        <v>854</v>
      </c>
      <c r="H182" s="8"/>
      <c r="I182" s="8"/>
      <c r="J182" s="8" t="s">
        <v>47</v>
      </c>
      <c r="K182" s="27" t="s">
        <v>1873</v>
      </c>
      <c r="L182" s="28">
        <f>_xlfn.NUMBERVALUE(LEFT(Activities[[#This Row],[Fiscal Year]], 4))</f>
        <v>2015</v>
      </c>
      <c r="M182" s="28" t="s">
        <v>1862</v>
      </c>
      <c r="N182" s="41">
        <v>54892</v>
      </c>
      <c r="O182" s="93">
        <f>IF(Activities[[#This Row],[Reference Year]]&gt;2018,Activities[[#This Row],[Value]],Activities[[#This Row],[Value]]*(1+VLOOKUP(Activities[[#This Row],[Reference Year]],Inflation[#All],3,FALSE)))</f>
        <v>58280.712455696201</v>
      </c>
    </row>
    <row r="183" spans="1:15" ht="15" customHeight="1" x14ac:dyDescent="0.25">
      <c r="A183" s="9" t="s">
        <v>172</v>
      </c>
      <c r="B183" s="9" t="str">
        <f>INDEX(Places[Type],MATCH(Activities[[#This Row],[Jurisdiction]],Places[Jurisdiction],0))</f>
        <v>City</v>
      </c>
      <c r="C183" s="19" t="str">
        <f>INDEX(Places[County],MATCH(Activities[[#This Row],[Jurisdiction]],Places[Jurisdiction],0))</f>
        <v>Los Angeles</v>
      </c>
      <c r="D183" s="19" t="str">
        <f>INDEX(Places[Majority RB],MATCH(Activities[[#This Row],[Jurisdiction]],Places[Jurisdiction],0))</f>
        <v>Los Angeles</v>
      </c>
      <c r="E183" s="9">
        <f>INDEX(Places[Majority RB '#],MATCH(Activities[[#This Row],[Jurisdiction]],Places[Jurisdiction],0))</f>
        <v>4</v>
      </c>
      <c r="F183" s="28" t="str">
        <f>VLOOKUP(Activities[[#This Row],[Jurisdiction]],Places[#All],8,FALSE)</f>
        <v>Phase I MS4</v>
      </c>
      <c r="G183" s="48" t="s">
        <v>64</v>
      </c>
      <c r="H183" s="8"/>
      <c r="I183" s="8"/>
      <c r="J183" s="8" t="s">
        <v>76</v>
      </c>
      <c r="K183" s="27" t="s">
        <v>1873</v>
      </c>
      <c r="L183" s="28">
        <f>_xlfn.NUMBERVALUE(LEFT(Activities[[#This Row],[Fiscal Year]], 4))</f>
        <v>2015</v>
      </c>
      <c r="M183" s="28" t="s">
        <v>1862</v>
      </c>
      <c r="N183" s="41">
        <v>35000</v>
      </c>
      <c r="O183" s="93">
        <f>IF(Activities[[#This Row],[Reference Year]]&gt;2018,Activities[[#This Row],[Value]],Activities[[#This Row],[Value]]*(1+VLOOKUP(Activities[[#This Row],[Reference Year]],Inflation[#All],3,FALSE)))</f>
        <v>37160.696202531646</v>
      </c>
    </row>
    <row r="184" spans="1:15" ht="15" customHeight="1" x14ac:dyDescent="0.25">
      <c r="A184" s="9" t="s">
        <v>172</v>
      </c>
      <c r="B184" s="9" t="str">
        <f>INDEX(Places[Type],MATCH(Activities[[#This Row],[Jurisdiction]],Places[Jurisdiction],0))</f>
        <v>City</v>
      </c>
      <c r="C184" s="19" t="str">
        <f>INDEX(Places[County],MATCH(Activities[[#This Row],[Jurisdiction]],Places[Jurisdiction],0))</f>
        <v>Los Angeles</v>
      </c>
      <c r="D184" s="19" t="str">
        <f>INDEX(Places[Majority RB],MATCH(Activities[[#This Row],[Jurisdiction]],Places[Jurisdiction],0))</f>
        <v>Los Angeles</v>
      </c>
      <c r="E184" s="9">
        <f>INDEX(Places[Majority RB '#],MATCH(Activities[[#This Row],[Jurisdiction]],Places[Jurisdiction],0))</f>
        <v>4</v>
      </c>
      <c r="F184" s="28" t="str">
        <f>VLOOKUP(Activities[[#This Row],[Jurisdiction]],Places[#All],8,FALSE)</f>
        <v>Phase I MS4</v>
      </c>
      <c r="G184" s="48" t="s">
        <v>65</v>
      </c>
      <c r="H184" s="8"/>
      <c r="I184" s="8"/>
      <c r="J184" s="8" t="s">
        <v>76</v>
      </c>
      <c r="K184" s="27" t="s">
        <v>1873</v>
      </c>
      <c r="L184" s="28">
        <f>_xlfn.NUMBERVALUE(LEFT(Activities[[#This Row],[Fiscal Year]], 4))</f>
        <v>2015</v>
      </c>
      <c r="M184" s="28" t="s">
        <v>1862</v>
      </c>
      <c r="N184" s="41">
        <v>95000</v>
      </c>
      <c r="O184" s="93">
        <f>IF(Activities[[#This Row],[Reference Year]]&gt;2018,Activities[[#This Row],[Value]],Activities[[#This Row],[Value]]*(1+VLOOKUP(Activities[[#This Row],[Reference Year]],Inflation[#All],3,FALSE)))</f>
        <v>100864.74683544303</v>
      </c>
    </row>
    <row r="185" spans="1:15" ht="15" customHeight="1" x14ac:dyDescent="0.25">
      <c r="A185" s="9" t="s">
        <v>172</v>
      </c>
      <c r="B185" s="9" t="str">
        <f>INDEX(Places[Type],MATCH(Activities[[#This Row],[Jurisdiction]],Places[Jurisdiction],0))</f>
        <v>City</v>
      </c>
      <c r="C185" s="19" t="str">
        <f>INDEX(Places[County],MATCH(Activities[[#This Row],[Jurisdiction]],Places[Jurisdiction],0))</f>
        <v>Los Angeles</v>
      </c>
      <c r="D185" s="19" t="str">
        <f>INDEX(Places[Majority RB],MATCH(Activities[[#This Row],[Jurisdiction]],Places[Jurisdiction],0))</f>
        <v>Los Angeles</v>
      </c>
      <c r="E185" s="9">
        <f>INDEX(Places[Majority RB '#],MATCH(Activities[[#This Row],[Jurisdiction]],Places[Jurisdiction],0))</f>
        <v>4</v>
      </c>
      <c r="F185" s="28" t="str">
        <f>VLOOKUP(Activities[[#This Row],[Jurisdiction]],Places[#All],8,FALSE)</f>
        <v>Phase I MS4</v>
      </c>
      <c r="G185" s="48" t="s">
        <v>66</v>
      </c>
      <c r="H185" s="8"/>
      <c r="I185" s="8"/>
      <c r="J185" s="8" t="s">
        <v>76</v>
      </c>
      <c r="K185" s="27" t="s">
        <v>1873</v>
      </c>
      <c r="L185" s="28">
        <f>_xlfn.NUMBERVALUE(LEFT(Activities[[#This Row],[Fiscal Year]], 4))</f>
        <v>2015</v>
      </c>
      <c r="M185" s="28" t="s">
        <v>1862</v>
      </c>
      <c r="N185" s="41">
        <v>650000</v>
      </c>
      <c r="O185" s="93">
        <f>IF(Activities[[#This Row],[Reference Year]]&gt;2018,Activities[[#This Row],[Value]],Activities[[#This Row],[Value]]*(1+VLOOKUP(Activities[[#This Row],[Reference Year]],Inflation[#All],3,FALSE)))</f>
        <v>690127.21518987336</v>
      </c>
    </row>
    <row r="186" spans="1:15" ht="15" customHeight="1" x14ac:dyDescent="0.25">
      <c r="A186" s="9" t="s">
        <v>172</v>
      </c>
      <c r="B186" s="9" t="str">
        <f>INDEX(Places[Type],MATCH(Activities[[#This Row],[Jurisdiction]],Places[Jurisdiction],0))</f>
        <v>City</v>
      </c>
      <c r="C186" s="19" t="str">
        <f>INDEX(Places[County],MATCH(Activities[[#This Row],[Jurisdiction]],Places[Jurisdiction],0))</f>
        <v>Los Angeles</v>
      </c>
      <c r="D186" s="19" t="str">
        <f>INDEX(Places[Majority RB],MATCH(Activities[[#This Row],[Jurisdiction]],Places[Jurisdiction],0))</f>
        <v>Los Angeles</v>
      </c>
      <c r="E186" s="9">
        <f>INDEX(Places[Majority RB '#],MATCH(Activities[[#This Row],[Jurisdiction]],Places[Jurisdiction],0))</f>
        <v>4</v>
      </c>
      <c r="F186" s="28" t="str">
        <f>VLOOKUP(Activities[[#This Row],[Jurisdiction]],Places[#All],8,FALSE)</f>
        <v>Phase I MS4</v>
      </c>
      <c r="G186" s="48" t="s">
        <v>62</v>
      </c>
      <c r="H186" s="8"/>
      <c r="I186" s="8"/>
      <c r="J186" s="8" t="s">
        <v>131</v>
      </c>
      <c r="K186" s="27" t="s">
        <v>1873</v>
      </c>
      <c r="L186" s="28">
        <f>_xlfn.NUMBERVALUE(LEFT(Activities[[#This Row],[Fiscal Year]], 4))</f>
        <v>2015</v>
      </c>
      <c r="M186" s="28" t="s">
        <v>1862</v>
      </c>
      <c r="N186" s="41">
        <v>1500</v>
      </c>
      <c r="O186" s="93">
        <f>IF(Activities[[#This Row],[Reference Year]]&gt;2018,Activities[[#This Row],[Value]],Activities[[#This Row],[Value]]*(1+VLOOKUP(Activities[[#This Row],[Reference Year]],Inflation[#All],3,FALSE)))</f>
        <v>1592.6012658227846</v>
      </c>
    </row>
    <row r="187" spans="1:15" ht="15" customHeight="1" x14ac:dyDescent="0.25">
      <c r="A187" s="9" t="s">
        <v>172</v>
      </c>
      <c r="B187" s="9" t="str">
        <f>INDEX(Places[Type],MATCH(Activities[[#This Row],[Jurisdiction]],Places[Jurisdiction],0))</f>
        <v>City</v>
      </c>
      <c r="C187" s="19" t="str">
        <f>INDEX(Places[County],MATCH(Activities[[#This Row],[Jurisdiction]],Places[Jurisdiction],0))</f>
        <v>Los Angeles</v>
      </c>
      <c r="D187" s="19" t="str">
        <f>INDEX(Places[Majority RB],MATCH(Activities[[#This Row],[Jurisdiction]],Places[Jurisdiction],0))</f>
        <v>Los Angeles</v>
      </c>
      <c r="E187" s="9">
        <f>INDEX(Places[Majority RB '#],MATCH(Activities[[#This Row],[Jurisdiction]],Places[Jurisdiction],0))</f>
        <v>4</v>
      </c>
      <c r="F187" s="28" t="str">
        <f>VLOOKUP(Activities[[#This Row],[Jurisdiction]],Places[#All],8,FALSE)</f>
        <v>Phase I MS4</v>
      </c>
      <c r="G187" s="48" t="s">
        <v>208</v>
      </c>
      <c r="H187" s="8"/>
      <c r="I187" s="8"/>
      <c r="J187" s="8" t="s">
        <v>334</v>
      </c>
      <c r="K187" s="27" t="s">
        <v>1873</v>
      </c>
      <c r="L187" s="28">
        <f>_xlfn.NUMBERVALUE(LEFT(Activities[[#This Row],[Fiscal Year]], 4))</f>
        <v>2015</v>
      </c>
      <c r="M187" s="28" t="s">
        <v>1862</v>
      </c>
      <c r="N187" s="41">
        <v>38000</v>
      </c>
      <c r="O187" s="93">
        <f>IF(Activities[[#This Row],[Reference Year]]&gt;2018,Activities[[#This Row],[Value]],Activities[[#This Row],[Value]]*(1+VLOOKUP(Activities[[#This Row],[Reference Year]],Inflation[#All],3,FALSE)))</f>
        <v>40345.898734177215</v>
      </c>
    </row>
    <row r="188" spans="1:15" ht="15" customHeight="1" x14ac:dyDescent="0.25">
      <c r="A188" s="9" t="s">
        <v>172</v>
      </c>
      <c r="B188" s="9" t="str">
        <f>INDEX(Places[Type],MATCH(Activities[[#This Row],[Jurisdiction]],Places[Jurisdiction],0))</f>
        <v>City</v>
      </c>
      <c r="C188" s="19" t="str">
        <f>INDEX(Places[County],MATCH(Activities[[#This Row],[Jurisdiction]],Places[Jurisdiction],0))</f>
        <v>Los Angeles</v>
      </c>
      <c r="D188" s="19" t="str">
        <f>INDEX(Places[Majority RB],MATCH(Activities[[#This Row],[Jurisdiction]],Places[Jurisdiction],0))</f>
        <v>Los Angeles</v>
      </c>
      <c r="E188" s="9">
        <f>INDEX(Places[Majority RB '#],MATCH(Activities[[#This Row],[Jurisdiction]],Places[Jurisdiction],0))</f>
        <v>4</v>
      </c>
      <c r="F188" s="28" t="str">
        <f>VLOOKUP(Activities[[#This Row],[Jurisdiction]],Places[#All],8,FALSE)</f>
        <v>Phase I MS4</v>
      </c>
      <c r="G188" s="48" t="s">
        <v>61</v>
      </c>
      <c r="H188" s="8"/>
      <c r="I188" s="8"/>
      <c r="J188" s="8" t="s">
        <v>1897</v>
      </c>
      <c r="K188" s="27" t="s">
        <v>1873</v>
      </c>
      <c r="L188" s="28">
        <f>_xlfn.NUMBERVALUE(LEFT(Activities[[#This Row],[Fiscal Year]], 4))</f>
        <v>2015</v>
      </c>
      <c r="M188" s="28" t="s">
        <v>1862</v>
      </c>
      <c r="N188" s="41">
        <v>7500</v>
      </c>
      <c r="O188" s="93">
        <f>IF(Activities[[#This Row],[Reference Year]]&gt;2018,Activities[[#This Row],[Value]],Activities[[#This Row],[Value]]*(1+VLOOKUP(Activities[[#This Row],[Reference Year]],Inflation[#All],3,FALSE)))</f>
        <v>7963.006329113924</v>
      </c>
    </row>
    <row r="189" spans="1:15" ht="15" customHeight="1" x14ac:dyDescent="0.25">
      <c r="A189" s="9" t="s">
        <v>172</v>
      </c>
      <c r="B189" s="9" t="str">
        <f>INDEX(Places[Type],MATCH(Activities[[#This Row],[Jurisdiction]],Places[Jurisdiction],0))</f>
        <v>City</v>
      </c>
      <c r="C189" s="19" t="str">
        <f>INDEX(Places[County],MATCH(Activities[[#This Row],[Jurisdiction]],Places[Jurisdiction],0))</f>
        <v>Los Angeles</v>
      </c>
      <c r="D189" s="19" t="str">
        <f>INDEX(Places[Majority RB],MATCH(Activities[[#This Row],[Jurisdiction]],Places[Jurisdiction],0))</f>
        <v>Los Angeles</v>
      </c>
      <c r="E189" s="9">
        <f>INDEX(Places[Majority RB '#],MATCH(Activities[[#This Row],[Jurisdiction]],Places[Jurisdiction],0))</f>
        <v>4</v>
      </c>
      <c r="F189" s="28" t="str">
        <f>VLOOKUP(Activities[[#This Row],[Jurisdiction]],Places[#All],8,FALSE)</f>
        <v>Phase I MS4</v>
      </c>
      <c r="G189" s="48" t="s">
        <v>60</v>
      </c>
      <c r="H189" s="8"/>
      <c r="I189" s="8"/>
      <c r="J189" s="8" t="s">
        <v>1898</v>
      </c>
      <c r="K189" s="27" t="s">
        <v>1873</v>
      </c>
      <c r="L189" s="28">
        <f>_xlfn.NUMBERVALUE(LEFT(Activities[[#This Row],[Fiscal Year]], 4))</f>
        <v>2015</v>
      </c>
      <c r="M189" s="28" t="s">
        <v>1862</v>
      </c>
      <c r="N189" s="41">
        <v>9500</v>
      </c>
      <c r="O189" s="93">
        <f>IF(Activities[[#This Row],[Reference Year]]&gt;2018,Activities[[#This Row],[Value]],Activities[[#This Row],[Value]]*(1+VLOOKUP(Activities[[#This Row],[Reference Year]],Inflation[#All],3,FALSE)))</f>
        <v>10086.474683544304</v>
      </c>
    </row>
    <row r="190" spans="1:15" ht="15" customHeight="1" x14ac:dyDescent="0.25">
      <c r="A190" s="9" t="s">
        <v>172</v>
      </c>
      <c r="B190" s="9" t="str">
        <f>INDEX(Places[Type],MATCH(Activities[[#This Row],[Jurisdiction]],Places[Jurisdiction],0))</f>
        <v>City</v>
      </c>
      <c r="C190" s="19" t="str">
        <f>INDEX(Places[County],MATCH(Activities[[#This Row],[Jurisdiction]],Places[Jurisdiction],0))</f>
        <v>Los Angeles</v>
      </c>
      <c r="D190" s="19" t="str">
        <f>INDEX(Places[Majority RB],MATCH(Activities[[#This Row],[Jurisdiction]],Places[Jurisdiction],0))</f>
        <v>Los Angeles</v>
      </c>
      <c r="E190" s="9">
        <f>INDEX(Places[Majority RB '#],MATCH(Activities[[#This Row],[Jurisdiction]],Places[Jurisdiction],0))</f>
        <v>4</v>
      </c>
      <c r="F190" s="28" t="str">
        <f>VLOOKUP(Activities[[#This Row],[Jurisdiction]],Places[#All],8,FALSE)</f>
        <v>Phase I MS4</v>
      </c>
      <c r="G190" s="48" t="s">
        <v>59</v>
      </c>
      <c r="H190" s="8"/>
      <c r="I190" s="8"/>
      <c r="J190" s="8" t="s">
        <v>1898</v>
      </c>
      <c r="K190" s="27" t="s">
        <v>1873</v>
      </c>
      <c r="L190" s="28">
        <f>_xlfn.NUMBERVALUE(LEFT(Activities[[#This Row],[Fiscal Year]], 4))</f>
        <v>2015</v>
      </c>
      <c r="M190" s="28" t="s">
        <v>1862</v>
      </c>
      <c r="N190" s="41">
        <v>12000</v>
      </c>
      <c r="O190" s="93">
        <f>IF(Activities[[#This Row],[Reference Year]]&gt;2018,Activities[[#This Row],[Value]],Activities[[#This Row],[Value]]*(1+VLOOKUP(Activities[[#This Row],[Reference Year]],Inflation[#All],3,FALSE)))</f>
        <v>12740.810126582277</v>
      </c>
    </row>
    <row r="191" spans="1:15" ht="15" customHeight="1" x14ac:dyDescent="0.25">
      <c r="A191" s="9" t="s">
        <v>172</v>
      </c>
      <c r="B191" s="9" t="str">
        <f>INDEX(Places[Type],MATCH(Activities[[#This Row],[Jurisdiction]],Places[Jurisdiction],0))</f>
        <v>City</v>
      </c>
      <c r="C191" s="19" t="str">
        <f>INDEX(Places[County],MATCH(Activities[[#This Row],[Jurisdiction]],Places[Jurisdiction],0))</f>
        <v>Los Angeles</v>
      </c>
      <c r="D191" s="19" t="str">
        <f>INDEX(Places[Majority RB],MATCH(Activities[[#This Row],[Jurisdiction]],Places[Jurisdiction],0))</f>
        <v>Los Angeles</v>
      </c>
      <c r="E191" s="9">
        <f>INDEX(Places[Majority RB '#],MATCH(Activities[[#This Row],[Jurisdiction]],Places[Jurisdiction],0))</f>
        <v>4</v>
      </c>
      <c r="F191" s="28" t="str">
        <f>VLOOKUP(Activities[[#This Row],[Jurisdiction]],Places[#All],8,FALSE)</f>
        <v>Phase I MS4</v>
      </c>
      <c r="G191" s="48" t="s">
        <v>58</v>
      </c>
      <c r="H191" s="8"/>
      <c r="I191" s="8"/>
      <c r="J191" s="8" t="s">
        <v>1456</v>
      </c>
      <c r="K191" s="27" t="s">
        <v>1873</v>
      </c>
      <c r="L191" s="28">
        <f>_xlfn.NUMBERVALUE(LEFT(Activities[[#This Row],[Fiscal Year]], 4))</f>
        <v>2015</v>
      </c>
      <c r="M191" s="28" t="s">
        <v>1862</v>
      </c>
      <c r="N191" s="41">
        <v>25000</v>
      </c>
      <c r="O191" s="93">
        <f>IF(Activities[[#This Row],[Reference Year]]&gt;2018,Activities[[#This Row],[Value]],Activities[[#This Row],[Value]]*(1+VLOOKUP(Activities[[#This Row],[Reference Year]],Inflation[#All],3,FALSE)))</f>
        <v>26543.354430379746</v>
      </c>
    </row>
    <row r="192" spans="1:15" ht="15" customHeight="1" x14ac:dyDescent="0.25">
      <c r="A192" s="9" t="s">
        <v>172</v>
      </c>
      <c r="B192" s="9" t="str">
        <f>INDEX(Places[Type],MATCH(Activities[[#This Row],[Jurisdiction]],Places[Jurisdiction],0))</f>
        <v>City</v>
      </c>
      <c r="C192" s="19" t="str">
        <f>INDEX(Places[County],MATCH(Activities[[#This Row],[Jurisdiction]],Places[Jurisdiction],0))</f>
        <v>Los Angeles</v>
      </c>
      <c r="D192" s="19" t="str">
        <f>INDEX(Places[Majority RB],MATCH(Activities[[#This Row],[Jurisdiction]],Places[Jurisdiction],0))</f>
        <v>Los Angeles</v>
      </c>
      <c r="E192" s="9">
        <f>INDEX(Places[Majority RB '#],MATCH(Activities[[#This Row],[Jurisdiction]],Places[Jurisdiction],0))</f>
        <v>4</v>
      </c>
      <c r="F192" s="28" t="str">
        <f>VLOOKUP(Activities[[#This Row],[Jurisdiction]],Places[#All],8,FALSE)</f>
        <v>Phase I MS4</v>
      </c>
      <c r="G192" s="48" t="s">
        <v>32</v>
      </c>
      <c r="H192" s="8"/>
      <c r="I192" s="8"/>
      <c r="J192" s="8" t="s">
        <v>1894</v>
      </c>
      <c r="K192" s="27" t="s">
        <v>1873</v>
      </c>
      <c r="L192" s="28">
        <f>_xlfn.NUMBERVALUE(LEFT(Activities[[#This Row],[Fiscal Year]], 4))</f>
        <v>2015</v>
      </c>
      <c r="M192" s="28" t="s">
        <v>1862</v>
      </c>
      <c r="N192" s="41">
        <v>65000</v>
      </c>
      <c r="O192" s="93">
        <f>IF(Activities[[#This Row],[Reference Year]]&gt;2018,Activities[[#This Row],[Value]],Activities[[#This Row],[Value]]*(1+VLOOKUP(Activities[[#This Row],[Reference Year]],Inflation[#All],3,FALSE)))</f>
        <v>69012.721518987339</v>
      </c>
    </row>
    <row r="193" spans="1:15" ht="15" customHeight="1" x14ac:dyDescent="0.25">
      <c r="A193" s="9" t="s">
        <v>172</v>
      </c>
      <c r="B193" s="9" t="str">
        <f>INDEX(Places[Type],MATCH(Activities[[#This Row],[Jurisdiction]],Places[Jurisdiction],0))</f>
        <v>City</v>
      </c>
      <c r="C193" s="19" t="str">
        <f>INDEX(Places[County],MATCH(Activities[[#This Row],[Jurisdiction]],Places[Jurisdiction],0))</f>
        <v>Los Angeles</v>
      </c>
      <c r="D193" s="19" t="str">
        <f>INDEX(Places[Majority RB],MATCH(Activities[[#This Row],[Jurisdiction]],Places[Jurisdiction],0))</f>
        <v>Los Angeles</v>
      </c>
      <c r="E193" s="9">
        <f>INDEX(Places[Majority RB '#],MATCH(Activities[[#This Row],[Jurisdiction]],Places[Jurisdiction],0))</f>
        <v>4</v>
      </c>
      <c r="F193" s="28" t="str">
        <f>VLOOKUP(Activities[[#This Row],[Jurisdiction]],Places[#All],8,FALSE)</f>
        <v>Phase I MS4</v>
      </c>
      <c r="G193" s="48" t="s">
        <v>211</v>
      </c>
      <c r="H193" s="8"/>
      <c r="I193" s="8"/>
      <c r="J193" s="8" t="s">
        <v>1896</v>
      </c>
      <c r="K193" s="27" t="s">
        <v>1873</v>
      </c>
      <c r="L193" s="28">
        <f>_xlfn.NUMBERVALUE(LEFT(Activities[[#This Row],[Fiscal Year]], 4))</f>
        <v>2015</v>
      </c>
      <c r="M193" s="28" t="s">
        <v>1862</v>
      </c>
      <c r="N193" s="41">
        <v>3500</v>
      </c>
      <c r="O193" s="93">
        <f>IF(Activities[[#This Row],[Reference Year]]&gt;2018,Activities[[#This Row],[Value]],Activities[[#This Row],[Value]]*(1+VLOOKUP(Activities[[#This Row],[Reference Year]],Inflation[#All],3,FALSE)))</f>
        <v>3716.0696202531644</v>
      </c>
    </row>
    <row r="194" spans="1:15" ht="15" customHeight="1" x14ac:dyDescent="0.25">
      <c r="A194" s="9" t="s">
        <v>172</v>
      </c>
      <c r="B194" s="9" t="str">
        <f>INDEX(Places[Type],MATCH(Activities[[#This Row],[Jurisdiction]],Places[Jurisdiction],0))</f>
        <v>City</v>
      </c>
      <c r="C194" s="19" t="str">
        <f>INDEX(Places[County],MATCH(Activities[[#This Row],[Jurisdiction]],Places[Jurisdiction],0))</f>
        <v>Los Angeles</v>
      </c>
      <c r="D194" s="19" t="str">
        <f>INDEX(Places[Majority RB],MATCH(Activities[[#This Row],[Jurisdiction]],Places[Jurisdiction],0))</f>
        <v>Los Angeles</v>
      </c>
      <c r="E194" s="9">
        <f>INDEX(Places[Majority RB '#],MATCH(Activities[[#This Row],[Jurisdiction]],Places[Jurisdiction],0))</f>
        <v>4</v>
      </c>
      <c r="F194" s="28" t="str">
        <f>VLOOKUP(Activities[[#This Row],[Jurisdiction]],Places[#All],8,FALSE)</f>
        <v>Phase I MS4</v>
      </c>
      <c r="G194" s="48" t="s">
        <v>67</v>
      </c>
      <c r="H194" s="8"/>
      <c r="I194" s="8"/>
      <c r="J194" s="8" t="s">
        <v>1896</v>
      </c>
      <c r="K194" s="27" t="s">
        <v>1873</v>
      </c>
      <c r="L194" s="28">
        <f>_xlfn.NUMBERVALUE(LEFT(Activities[[#This Row],[Fiscal Year]], 4))</f>
        <v>2015</v>
      </c>
      <c r="M194" s="28" t="s">
        <v>1862</v>
      </c>
      <c r="N194" s="41">
        <v>58000</v>
      </c>
      <c r="O194" s="93">
        <f>IF(Activities[[#This Row],[Reference Year]]&gt;2018,Activities[[#This Row],[Value]],Activities[[#This Row],[Value]]*(1+VLOOKUP(Activities[[#This Row],[Reference Year]],Inflation[#All],3,FALSE)))</f>
        <v>61580.582278481008</v>
      </c>
    </row>
    <row r="195" spans="1:15" ht="15" customHeight="1" x14ac:dyDescent="0.25">
      <c r="A195" s="9" t="s">
        <v>172</v>
      </c>
      <c r="B195" s="9" t="str">
        <f>INDEX(Places[Type],MATCH(Activities[[#This Row],[Jurisdiction]],Places[Jurisdiction],0))</f>
        <v>City</v>
      </c>
      <c r="C195" s="19" t="str">
        <f>INDEX(Places[County],MATCH(Activities[[#This Row],[Jurisdiction]],Places[Jurisdiction],0))</f>
        <v>Los Angeles</v>
      </c>
      <c r="D195" s="19" t="str">
        <f>INDEX(Places[Majority RB],MATCH(Activities[[#This Row],[Jurisdiction]],Places[Jurisdiction],0))</f>
        <v>Los Angeles</v>
      </c>
      <c r="E195" s="9">
        <f>INDEX(Places[Majority RB '#],MATCH(Activities[[#This Row],[Jurisdiction]],Places[Jurisdiction],0))</f>
        <v>4</v>
      </c>
      <c r="F195" s="28" t="str">
        <f>VLOOKUP(Activities[[#This Row],[Jurisdiction]],Places[#All],8,FALSE)</f>
        <v>Phase I MS4</v>
      </c>
      <c r="G195" s="48" t="s">
        <v>33</v>
      </c>
      <c r="H195" s="8"/>
      <c r="I195" s="8"/>
      <c r="J195" s="8" t="s">
        <v>47</v>
      </c>
      <c r="K195" s="27" t="s">
        <v>1873</v>
      </c>
      <c r="L195" s="28">
        <f>_xlfn.NUMBERVALUE(LEFT(Activities[[#This Row],[Fiscal Year]], 4))</f>
        <v>2015</v>
      </c>
      <c r="M195" s="28" t="s">
        <v>1862</v>
      </c>
      <c r="N195" s="41">
        <v>78000</v>
      </c>
      <c r="O195" s="93">
        <f>IF(Activities[[#This Row],[Reference Year]]&gt;2018,Activities[[#This Row],[Value]],Activities[[#This Row],[Value]]*(1+VLOOKUP(Activities[[#This Row],[Reference Year]],Inflation[#All],3,FALSE)))</f>
        <v>82815.265822784801</v>
      </c>
    </row>
    <row r="196" spans="1:15" ht="15" customHeight="1" x14ac:dyDescent="0.25">
      <c r="A196" s="9" t="s">
        <v>253</v>
      </c>
      <c r="B196" s="9" t="str">
        <f>INDEX(Places[Type],MATCH(Activities[[#This Row],[Jurisdiction]],Places[Jurisdiction],0))</f>
        <v>City</v>
      </c>
      <c r="C196" s="19" t="str">
        <f>INDEX(Places[County],MATCH(Activities[[#This Row],[Jurisdiction]],Places[Jurisdiction],0))</f>
        <v>Ventura</v>
      </c>
      <c r="D196" s="19" t="str">
        <f>INDEX(Places[Majority RB],MATCH(Activities[[#This Row],[Jurisdiction]],Places[Jurisdiction],0))</f>
        <v>Los Angeles</v>
      </c>
      <c r="E196" s="9">
        <f>INDEX(Places[Majority RB '#],MATCH(Activities[[#This Row],[Jurisdiction]],Places[Jurisdiction],0))</f>
        <v>4</v>
      </c>
      <c r="F196" s="28" t="str">
        <f>VLOOKUP(Activities[[#This Row],[Jurisdiction]],Places[#All],8,FALSE)</f>
        <v>Phase I MS4</v>
      </c>
      <c r="G196" s="48" t="s">
        <v>76</v>
      </c>
      <c r="H196" s="8"/>
      <c r="I196" s="8"/>
      <c r="J196" s="8" t="s">
        <v>76</v>
      </c>
      <c r="K196" s="27" t="s">
        <v>1876</v>
      </c>
      <c r="L196" s="28">
        <f>_xlfn.NUMBERVALUE(LEFT(Activities[[#This Row],[Fiscal Year]], 4))</f>
        <v>2018</v>
      </c>
      <c r="M196" s="28" t="s">
        <v>1863</v>
      </c>
      <c r="N196" s="41">
        <v>25000</v>
      </c>
      <c r="O196" s="93">
        <f>IF(Activities[[#This Row],[Reference Year]]&gt;2018,Activities[[#This Row],[Value]],Activities[[#This Row],[Value]]*(1+VLOOKUP(Activities[[#This Row],[Reference Year]],Inflation[#All],3,FALSE)))</f>
        <v>25000</v>
      </c>
    </row>
    <row r="197" spans="1:15" ht="15" customHeight="1" x14ac:dyDescent="0.25">
      <c r="A197" s="9" t="s">
        <v>253</v>
      </c>
      <c r="B197" s="9" t="str">
        <f>INDEX(Places[Type],MATCH(Activities[[#This Row],[Jurisdiction]],Places[Jurisdiction],0))</f>
        <v>City</v>
      </c>
      <c r="C197" s="19" t="str">
        <f>INDEX(Places[County],MATCH(Activities[[#This Row],[Jurisdiction]],Places[Jurisdiction],0))</f>
        <v>Ventura</v>
      </c>
      <c r="D197" s="19" t="str">
        <f>INDEX(Places[Majority RB],MATCH(Activities[[#This Row],[Jurisdiction]],Places[Jurisdiction],0))</f>
        <v>Los Angeles</v>
      </c>
      <c r="E197" s="9">
        <f>INDEX(Places[Majority RB '#],MATCH(Activities[[#This Row],[Jurisdiction]],Places[Jurisdiction],0))</f>
        <v>4</v>
      </c>
      <c r="F197" s="28" t="str">
        <f>VLOOKUP(Activities[[#This Row],[Jurisdiction]],Places[#All],8,FALSE)</f>
        <v>Phase I MS4</v>
      </c>
      <c r="G197" s="48" t="s">
        <v>70</v>
      </c>
      <c r="H197" s="8"/>
      <c r="I197" s="8"/>
      <c r="J197" s="8" t="s">
        <v>1895</v>
      </c>
      <c r="K197" s="27" t="s">
        <v>1876</v>
      </c>
      <c r="L197" s="28">
        <f>_xlfn.NUMBERVALUE(LEFT(Activities[[#This Row],[Fiscal Year]], 4))</f>
        <v>2018</v>
      </c>
      <c r="M197" s="28" t="s">
        <v>1863</v>
      </c>
      <c r="N197" s="41">
        <v>106278</v>
      </c>
      <c r="O197" s="93">
        <f>IF(Activities[[#This Row],[Reference Year]]&gt;2018,Activities[[#This Row],[Value]],Activities[[#This Row],[Value]]*(1+VLOOKUP(Activities[[#This Row],[Reference Year]],Inflation[#All],3,FALSE)))</f>
        <v>106278</v>
      </c>
    </row>
    <row r="198" spans="1:15" ht="15" customHeight="1" x14ac:dyDescent="0.25">
      <c r="A198" s="9" t="s">
        <v>253</v>
      </c>
      <c r="B198" s="9" t="str">
        <f>INDEX(Places[Type],MATCH(Activities[[#This Row],[Jurisdiction]],Places[Jurisdiction],0))</f>
        <v>City</v>
      </c>
      <c r="C198" s="19" t="str">
        <f>INDEX(Places[County],MATCH(Activities[[#This Row],[Jurisdiction]],Places[Jurisdiction],0))</f>
        <v>Ventura</v>
      </c>
      <c r="D198" s="19" t="str">
        <f>INDEX(Places[Majority RB],MATCH(Activities[[#This Row],[Jurisdiction]],Places[Jurisdiction],0))</f>
        <v>Los Angeles</v>
      </c>
      <c r="E198" s="9">
        <f>INDEX(Places[Majority RB '#],MATCH(Activities[[#This Row],[Jurisdiction]],Places[Jurisdiction],0))</f>
        <v>4</v>
      </c>
      <c r="F198" s="28" t="str">
        <f>VLOOKUP(Activities[[#This Row],[Jurisdiction]],Places[#All],8,FALSE)</f>
        <v>Phase I MS4</v>
      </c>
      <c r="G198" s="48" t="s">
        <v>77</v>
      </c>
      <c r="H198" s="8"/>
      <c r="I198" s="8"/>
      <c r="J198" s="8" t="s">
        <v>131</v>
      </c>
      <c r="K198" s="27" t="s">
        <v>1876</v>
      </c>
      <c r="L198" s="28">
        <f>_xlfn.NUMBERVALUE(LEFT(Activities[[#This Row],[Fiscal Year]], 4))</f>
        <v>2018</v>
      </c>
      <c r="M198" s="28" t="s">
        <v>1863</v>
      </c>
      <c r="N198" s="41">
        <v>112303</v>
      </c>
      <c r="O198" s="93">
        <f>IF(Activities[[#This Row],[Reference Year]]&gt;2018,Activities[[#This Row],[Value]],Activities[[#This Row],[Value]]*(1+VLOOKUP(Activities[[#This Row],[Reference Year]],Inflation[#All],3,FALSE)))</f>
        <v>112303</v>
      </c>
    </row>
    <row r="199" spans="1:15" ht="15" customHeight="1" x14ac:dyDescent="0.25">
      <c r="A199" s="9" t="s">
        <v>253</v>
      </c>
      <c r="B199" s="9" t="str">
        <f>INDEX(Places[Type],MATCH(Activities[[#This Row],[Jurisdiction]],Places[Jurisdiction],0))</f>
        <v>City</v>
      </c>
      <c r="C199" s="19" t="str">
        <f>INDEX(Places[County],MATCH(Activities[[#This Row],[Jurisdiction]],Places[Jurisdiction],0))</f>
        <v>Ventura</v>
      </c>
      <c r="D199" s="19" t="str">
        <f>INDEX(Places[Majority RB],MATCH(Activities[[#This Row],[Jurisdiction]],Places[Jurisdiction],0))</f>
        <v>Los Angeles</v>
      </c>
      <c r="E199" s="9">
        <f>INDEX(Places[Majority RB '#],MATCH(Activities[[#This Row],[Jurisdiction]],Places[Jurisdiction],0))</f>
        <v>4</v>
      </c>
      <c r="F199" s="28" t="str">
        <f>VLOOKUP(Activities[[#This Row],[Jurisdiction]],Places[#All],8,FALSE)</f>
        <v>Phase I MS4</v>
      </c>
      <c r="G199" s="48" t="s">
        <v>69</v>
      </c>
      <c r="H199" s="8"/>
      <c r="I199" s="8"/>
      <c r="J199" s="8" t="s">
        <v>334</v>
      </c>
      <c r="K199" s="27" t="s">
        <v>1876</v>
      </c>
      <c r="L199" s="28">
        <f>_xlfn.NUMBERVALUE(LEFT(Activities[[#This Row],[Fiscal Year]], 4))</f>
        <v>2018</v>
      </c>
      <c r="M199" s="28" t="s">
        <v>1863</v>
      </c>
      <c r="N199" s="41">
        <v>108949</v>
      </c>
      <c r="O199" s="93">
        <f>IF(Activities[[#This Row],[Reference Year]]&gt;2018,Activities[[#This Row],[Value]],Activities[[#This Row],[Value]]*(1+VLOOKUP(Activities[[#This Row],[Reference Year]],Inflation[#All],3,FALSE)))</f>
        <v>108949</v>
      </c>
    </row>
    <row r="200" spans="1:15" ht="15" customHeight="1" x14ac:dyDescent="0.25">
      <c r="A200" s="9" t="s">
        <v>253</v>
      </c>
      <c r="B200" s="9" t="str">
        <f>INDEX(Places[Type],MATCH(Activities[[#This Row],[Jurisdiction]],Places[Jurisdiction],0))</f>
        <v>City</v>
      </c>
      <c r="C200" s="19" t="str">
        <f>INDEX(Places[County],MATCH(Activities[[#This Row],[Jurisdiction]],Places[Jurisdiction],0))</f>
        <v>Ventura</v>
      </c>
      <c r="D200" s="19" t="str">
        <f>INDEX(Places[Majority RB],MATCH(Activities[[#This Row],[Jurisdiction]],Places[Jurisdiction],0))</f>
        <v>Los Angeles</v>
      </c>
      <c r="E200" s="9">
        <f>INDEX(Places[Majority RB '#],MATCH(Activities[[#This Row],[Jurisdiction]],Places[Jurisdiction],0))</f>
        <v>4</v>
      </c>
      <c r="F200" s="28" t="str">
        <f>VLOOKUP(Activities[[#This Row],[Jurisdiction]],Places[#All],8,FALSE)</f>
        <v>Phase I MS4</v>
      </c>
      <c r="G200" s="48" t="s">
        <v>71</v>
      </c>
      <c r="H200" s="8" t="s">
        <v>484</v>
      </c>
      <c r="I200" s="8" t="s">
        <v>458</v>
      </c>
      <c r="J200" s="8" t="s">
        <v>71</v>
      </c>
      <c r="K200" s="27" t="s">
        <v>1876</v>
      </c>
      <c r="L200" s="28">
        <f>_xlfn.NUMBERVALUE(LEFT(Activities[[#This Row],[Fiscal Year]], 4))</f>
        <v>2018</v>
      </c>
      <c r="M200" s="28" t="s">
        <v>1863</v>
      </c>
      <c r="N200" s="41">
        <v>410976</v>
      </c>
      <c r="O200" s="93">
        <f>IF(Activities[[#This Row],[Reference Year]]&gt;2018,Activities[[#This Row],[Value]],Activities[[#This Row],[Value]]*(1+VLOOKUP(Activities[[#This Row],[Reference Year]],Inflation[#All],3,FALSE)))</f>
        <v>410976</v>
      </c>
    </row>
    <row r="201" spans="1:15" ht="15" customHeight="1" x14ac:dyDescent="0.25">
      <c r="A201" s="9" t="s">
        <v>253</v>
      </c>
      <c r="B201" s="9" t="str">
        <f>INDEX(Places[Type],MATCH(Activities[[#This Row],[Jurisdiction]],Places[Jurisdiction],0))</f>
        <v>City</v>
      </c>
      <c r="C201" s="19" t="str">
        <f>INDEX(Places[County],MATCH(Activities[[#This Row],[Jurisdiction]],Places[Jurisdiction],0))</f>
        <v>Ventura</v>
      </c>
      <c r="D201" s="19" t="str">
        <f>INDEX(Places[Majority RB],MATCH(Activities[[#This Row],[Jurisdiction]],Places[Jurisdiction],0))</f>
        <v>Los Angeles</v>
      </c>
      <c r="E201" s="9">
        <f>INDEX(Places[Majority RB '#],MATCH(Activities[[#This Row],[Jurisdiction]],Places[Jurisdiction],0))</f>
        <v>4</v>
      </c>
      <c r="F201" s="28" t="str">
        <f>VLOOKUP(Activities[[#This Row],[Jurisdiction]],Places[#All],8,FALSE)</f>
        <v>Phase I MS4</v>
      </c>
      <c r="G201" s="48" t="s">
        <v>74</v>
      </c>
      <c r="H201" s="8" t="s">
        <v>611</v>
      </c>
      <c r="I201" s="8" t="s">
        <v>458</v>
      </c>
      <c r="J201" s="8" t="s">
        <v>1897</v>
      </c>
      <c r="K201" s="27" t="s">
        <v>1876</v>
      </c>
      <c r="L201" s="28">
        <f>_xlfn.NUMBERVALUE(LEFT(Activities[[#This Row],[Fiscal Year]], 4))</f>
        <v>2018</v>
      </c>
      <c r="M201" s="28" t="s">
        <v>1863</v>
      </c>
      <c r="N201" s="41">
        <v>7259</v>
      </c>
      <c r="O201" s="93">
        <f>IF(Activities[[#This Row],[Reference Year]]&gt;2018,Activities[[#This Row],[Value]],Activities[[#This Row],[Value]]*(1+VLOOKUP(Activities[[#This Row],[Reference Year]],Inflation[#All],3,FALSE)))</f>
        <v>7259</v>
      </c>
    </row>
    <row r="202" spans="1:15" ht="15" customHeight="1" x14ac:dyDescent="0.25">
      <c r="A202" s="9" t="s">
        <v>253</v>
      </c>
      <c r="B202" s="9" t="str">
        <f>INDEX(Places[Type],MATCH(Activities[[#This Row],[Jurisdiction]],Places[Jurisdiction],0))</f>
        <v>City</v>
      </c>
      <c r="C202" s="19" t="str">
        <f>INDEX(Places[County],MATCH(Activities[[#This Row],[Jurisdiction]],Places[Jurisdiction],0))</f>
        <v>Ventura</v>
      </c>
      <c r="D202" s="19" t="str">
        <f>INDEX(Places[Majority RB],MATCH(Activities[[#This Row],[Jurisdiction]],Places[Jurisdiction],0))</f>
        <v>Los Angeles</v>
      </c>
      <c r="E202" s="9">
        <f>INDEX(Places[Majority RB '#],MATCH(Activities[[#This Row],[Jurisdiction]],Places[Jurisdiction],0))</f>
        <v>4</v>
      </c>
      <c r="F202" s="28" t="str">
        <f>VLOOKUP(Activities[[#This Row],[Jurisdiction]],Places[#All],8,FALSE)</f>
        <v>Phase I MS4</v>
      </c>
      <c r="G202" s="48" t="s">
        <v>75</v>
      </c>
      <c r="H202" s="8" t="s">
        <v>485</v>
      </c>
      <c r="I202" s="8" t="s">
        <v>458</v>
      </c>
      <c r="J202" s="8" t="s">
        <v>1897</v>
      </c>
      <c r="K202" s="27" t="s">
        <v>1876</v>
      </c>
      <c r="L202" s="28">
        <f>_xlfn.NUMBERVALUE(LEFT(Activities[[#This Row],[Fiscal Year]], 4))</f>
        <v>2018</v>
      </c>
      <c r="M202" s="28" t="s">
        <v>1863</v>
      </c>
      <c r="N202" s="41">
        <v>21398</v>
      </c>
      <c r="O202" s="93">
        <f>IF(Activities[[#This Row],[Reference Year]]&gt;2018,Activities[[#This Row],[Value]],Activities[[#This Row],[Value]]*(1+VLOOKUP(Activities[[#This Row],[Reference Year]],Inflation[#All],3,FALSE)))</f>
        <v>21398</v>
      </c>
    </row>
    <row r="203" spans="1:15" ht="15" customHeight="1" x14ac:dyDescent="0.25">
      <c r="A203" s="9" t="s">
        <v>253</v>
      </c>
      <c r="B203" s="9" t="str">
        <f>INDEX(Places[Type],MATCH(Activities[[#This Row],[Jurisdiction]],Places[Jurisdiction],0))</f>
        <v>City</v>
      </c>
      <c r="C203" s="19" t="str">
        <f>INDEX(Places[County],MATCH(Activities[[#This Row],[Jurisdiction]],Places[Jurisdiction],0))</f>
        <v>Ventura</v>
      </c>
      <c r="D203" s="19" t="str">
        <f>INDEX(Places[Majority RB],MATCH(Activities[[#This Row],[Jurisdiction]],Places[Jurisdiction],0))</f>
        <v>Los Angeles</v>
      </c>
      <c r="E203" s="9">
        <f>INDEX(Places[Majority RB '#],MATCH(Activities[[#This Row],[Jurisdiction]],Places[Jurisdiction],0))</f>
        <v>4</v>
      </c>
      <c r="F203" s="28" t="str">
        <f>VLOOKUP(Activities[[#This Row],[Jurisdiction]],Places[#All],8,FALSE)</f>
        <v>Phase I MS4</v>
      </c>
      <c r="G203" s="48" t="s">
        <v>73</v>
      </c>
      <c r="H203" s="8"/>
      <c r="I203" s="8"/>
      <c r="J203" s="8" t="s">
        <v>1897</v>
      </c>
      <c r="K203" s="27" t="s">
        <v>1876</v>
      </c>
      <c r="L203" s="28">
        <f>_xlfn.NUMBERVALUE(LEFT(Activities[[#This Row],[Fiscal Year]], 4))</f>
        <v>2018</v>
      </c>
      <c r="M203" s="28" t="s">
        <v>1863</v>
      </c>
      <c r="N203" s="41">
        <v>130000</v>
      </c>
      <c r="O203" s="93">
        <f>IF(Activities[[#This Row],[Reference Year]]&gt;2018,Activities[[#This Row],[Value]],Activities[[#This Row],[Value]]*(1+VLOOKUP(Activities[[#This Row],[Reference Year]],Inflation[#All],3,FALSE)))</f>
        <v>130000</v>
      </c>
    </row>
    <row r="204" spans="1:15" ht="15" customHeight="1" x14ac:dyDescent="0.25">
      <c r="A204" s="9" t="s">
        <v>253</v>
      </c>
      <c r="B204" s="9" t="str">
        <f>INDEX(Places[Type],MATCH(Activities[[#This Row],[Jurisdiction]],Places[Jurisdiction],0))</f>
        <v>City</v>
      </c>
      <c r="C204" s="19" t="str">
        <f>INDEX(Places[County],MATCH(Activities[[#This Row],[Jurisdiction]],Places[Jurisdiction],0))</f>
        <v>Ventura</v>
      </c>
      <c r="D204" s="19" t="str">
        <f>INDEX(Places[Majority RB],MATCH(Activities[[#This Row],[Jurisdiction]],Places[Jurisdiction],0))</f>
        <v>Los Angeles</v>
      </c>
      <c r="E204" s="9">
        <f>INDEX(Places[Majority RB '#],MATCH(Activities[[#This Row],[Jurisdiction]],Places[Jurisdiction],0))</f>
        <v>4</v>
      </c>
      <c r="F204" s="28" t="str">
        <f>VLOOKUP(Activities[[#This Row],[Jurisdiction]],Places[#All],8,FALSE)</f>
        <v>Phase I MS4</v>
      </c>
      <c r="G204" s="48" t="s">
        <v>59</v>
      </c>
      <c r="H204" s="8"/>
      <c r="I204" s="8"/>
      <c r="J204" s="8" t="s">
        <v>1898</v>
      </c>
      <c r="K204" s="27" t="s">
        <v>1876</v>
      </c>
      <c r="L204" s="28">
        <f>_xlfn.NUMBERVALUE(LEFT(Activities[[#This Row],[Fiscal Year]], 4))</f>
        <v>2018</v>
      </c>
      <c r="M204" s="28" t="s">
        <v>1863</v>
      </c>
      <c r="N204" s="41">
        <v>55783</v>
      </c>
      <c r="O204" s="93">
        <f>IF(Activities[[#This Row],[Reference Year]]&gt;2018,Activities[[#This Row],[Value]],Activities[[#This Row],[Value]]*(1+VLOOKUP(Activities[[#This Row],[Reference Year]],Inflation[#All],3,FALSE)))</f>
        <v>55783</v>
      </c>
    </row>
    <row r="205" spans="1:15" ht="15" customHeight="1" x14ac:dyDescent="0.25">
      <c r="A205" s="9" t="s">
        <v>253</v>
      </c>
      <c r="B205" s="9" t="str">
        <f>INDEX(Places[Type],MATCH(Activities[[#This Row],[Jurisdiction]],Places[Jurisdiction],0))</f>
        <v>City</v>
      </c>
      <c r="C205" s="19" t="str">
        <f>INDEX(Places[County],MATCH(Activities[[#This Row],[Jurisdiction]],Places[Jurisdiction],0))</f>
        <v>Ventura</v>
      </c>
      <c r="D205" s="19" t="str">
        <f>INDEX(Places[Majority RB],MATCH(Activities[[#This Row],[Jurisdiction]],Places[Jurisdiction],0))</f>
        <v>Los Angeles</v>
      </c>
      <c r="E205" s="9">
        <f>INDEX(Places[Majority RB '#],MATCH(Activities[[#This Row],[Jurisdiction]],Places[Jurisdiction],0))</f>
        <v>4</v>
      </c>
      <c r="F205" s="28" t="str">
        <f>VLOOKUP(Activities[[#This Row],[Jurisdiction]],Places[#All],8,FALSE)</f>
        <v>Phase I MS4</v>
      </c>
      <c r="G205" s="48" t="s">
        <v>68</v>
      </c>
      <c r="H205" s="8"/>
      <c r="I205" s="8"/>
      <c r="J205" s="8" t="s">
        <v>1456</v>
      </c>
      <c r="K205" s="27" t="s">
        <v>1876</v>
      </c>
      <c r="L205" s="28">
        <f>_xlfn.NUMBERVALUE(LEFT(Activities[[#This Row],[Fiscal Year]], 4))</f>
        <v>2018</v>
      </c>
      <c r="M205" s="28" t="s">
        <v>1863</v>
      </c>
      <c r="N205" s="41">
        <v>52422</v>
      </c>
      <c r="O205" s="93">
        <f>IF(Activities[[#This Row],[Reference Year]]&gt;2018,Activities[[#This Row],[Value]],Activities[[#This Row],[Value]]*(1+VLOOKUP(Activities[[#This Row],[Reference Year]],Inflation[#All],3,FALSE)))</f>
        <v>52422</v>
      </c>
    </row>
    <row r="206" spans="1:15" ht="15" customHeight="1" x14ac:dyDescent="0.25">
      <c r="A206" s="9" t="s">
        <v>253</v>
      </c>
      <c r="B206" s="9" t="str">
        <f>INDEX(Places[Type],MATCH(Activities[[#This Row],[Jurisdiction]],Places[Jurisdiction],0))</f>
        <v>City</v>
      </c>
      <c r="C206" s="19" t="str">
        <f>INDEX(Places[County],MATCH(Activities[[#This Row],[Jurisdiction]],Places[Jurisdiction],0))</f>
        <v>Ventura</v>
      </c>
      <c r="D206" s="19" t="str">
        <f>INDEX(Places[Majority RB],MATCH(Activities[[#This Row],[Jurisdiction]],Places[Jurisdiction],0))</f>
        <v>Los Angeles</v>
      </c>
      <c r="E206" s="9">
        <f>INDEX(Places[Majority RB '#],MATCH(Activities[[#This Row],[Jurisdiction]],Places[Jurisdiction],0))</f>
        <v>4</v>
      </c>
      <c r="F206" s="28" t="str">
        <f>VLOOKUP(Activities[[#This Row],[Jurisdiction]],Places[#All],8,FALSE)</f>
        <v>Phase I MS4</v>
      </c>
      <c r="G206" s="48" t="s">
        <v>32</v>
      </c>
      <c r="H206" s="8" t="s">
        <v>608</v>
      </c>
      <c r="I206" s="94" t="s">
        <v>609</v>
      </c>
      <c r="J206" s="8" t="s">
        <v>1894</v>
      </c>
      <c r="K206" s="27" t="s">
        <v>1876</v>
      </c>
      <c r="L206" s="28">
        <f>_xlfn.NUMBERVALUE(LEFT(Activities[[#This Row],[Fiscal Year]], 4))</f>
        <v>2018</v>
      </c>
      <c r="M206" s="28" t="s">
        <v>1863</v>
      </c>
      <c r="N206" s="41">
        <v>268092</v>
      </c>
      <c r="O206" s="93">
        <f>IF(Activities[[#This Row],[Reference Year]]&gt;2018,Activities[[#This Row],[Value]],Activities[[#This Row],[Value]]*(1+VLOOKUP(Activities[[#This Row],[Reference Year]],Inflation[#All],3,FALSE)))</f>
        <v>268092</v>
      </c>
    </row>
    <row r="207" spans="1:15" ht="15" customHeight="1" x14ac:dyDescent="0.25">
      <c r="A207" s="9" t="s">
        <v>253</v>
      </c>
      <c r="B207" s="9" t="str">
        <f>INDEX(Places[Type],MATCH(Activities[[#This Row],[Jurisdiction]],Places[Jurisdiction],0))</f>
        <v>City</v>
      </c>
      <c r="C207" s="19" t="str">
        <f>INDEX(Places[County],MATCH(Activities[[#This Row],[Jurisdiction]],Places[Jurisdiction],0))</f>
        <v>Ventura</v>
      </c>
      <c r="D207" s="19" t="str">
        <f>INDEX(Places[Majority RB],MATCH(Activities[[#This Row],[Jurisdiction]],Places[Jurisdiction],0))</f>
        <v>Los Angeles</v>
      </c>
      <c r="E207" s="9">
        <f>INDEX(Places[Majority RB '#],MATCH(Activities[[#This Row],[Jurisdiction]],Places[Jurisdiction],0))</f>
        <v>4</v>
      </c>
      <c r="F207" s="28" t="str">
        <f>VLOOKUP(Activities[[#This Row],[Jurisdiction]],Places[#All],8,FALSE)</f>
        <v>Phase I MS4</v>
      </c>
      <c r="G207" s="48" t="s">
        <v>79</v>
      </c>
      <c r="H207" s="8" t="s">
        <v>483</v>
      </c>
      <c r="I207" s="8" t="s">
        <v>458</v>
      </c>
      <c r="J207" s="8" t="s">
        <v>1896</v>
      </c>
      <c r="K207" s="27" t="s">
        <v>1876</v>
      </c>
      <c r="L207" s="28">
        <f>_xlfn.NUMBERVALUE(LEFT(Activities[[#This Row],[Fiscal Year]], 4))</f>
        <v>2018</v>
      </c>
      <c r="M207" s="28" t="s">
        <v>1863</v>
      </c>
      <c r="N207" s="41">
        <v>95000</v>
      </c>
      <c r="O207" s="93">
        <f>IF(Activities[[#This Row],[Reference Year]]&gt;2018,Activities[[#This Row],[Value]],Activities[[#This Row],[Value]]*(1+VLOOKUP(Activities[[#This Row],[Reference Year]],Inflation[#All],3,FALSE)))</f>
        <v>95000</v>
      </c>
    </row>
    <row r="208" spans="1:15" ht="15" customHeight="1" x14ac:dyDescent="0.25">
      <c r="A208" s="9" t="s">
        <v>253</v>
      </c>
      <c r="B208" s="9" t="str">
        <f>INDEX(Places[Type],MATCH(Activities[[#This Row],[Jurisdiction]],Places[Jurisdiction],0))</f>
        <v>City</v>
      </c>
      <c r="C208" s="19" t="str">
        <f>INDEX(Places[County],MATCH(Activities[[#This Row],[Jurisdiction]],Places[Jurisdiction],0))</f>
        <v>Ventura</v>
      </c>
      <c r="D208" s="19" t="str">
        <f>INDEX(Places[Majority RB],MATCH(Activities[[#This Row],[Jurisdiction]],Places[Jurisdiction],0))</f>
        <v>Los Angeles</v>
      </c>
      <c r="E208" s="9">
        <f>INDEX(Places[Majority RB '#],MATCH(Activities[[#This Row],[Jurisdiction]],Places[Jurisdiction],0))</f>
        <v>4</v>
      </c>
      <c r="F208" s="28" t="str">
        <f>VLOOKUP(Activities[[#This Row],[Jurisdiction]],Places[#All],8,FALSE)</f>
        <v>Phase I MS4</v>
      </c>
      <c r="G208" s="48" t="s">
        <v>80</v>
      </c>
      <c r="H208" s="8"/>
      <c r="I208" s="8"/>
      <c r="J208" s="8" t="s">
        <v>605</v>
      </c>
      <c r="K208" s="27" t="s">
        <v>1876</v>
      </c>
      <c r="L208" s="28">
        <f>_xlfn.NUMBERVALUE(LEFT(Activities[[#This Row],[Fiscal Year]], 4))</f>
        <v>2018</v>
      </c>
      <c r="M208" s="28" t="s">
        <v>1863</v>
      </c>
      <c r="N208" s="41">
        <v>118702</v>
      </c>
      <c r="O208" s="93">
        <f>IF(Activities[[#This Row],[Reference Year]]&gt;2018,Activities[[#This Row],[Value]],Activities[[#This Row],[Value]]*(1+VLOOKUP(Activities[[#This Row],[Reference Year]],Inflation[#All],3,FALSE)))</f>
        <v>118702</v>
      </c>
    </row>
    <row r="209" spans="1:15" ht="15" customHeight="1" x14ac:dyDescent="0.25">
      <c r="A209" s="9" t="s">
        <v>302</v>
      </c>
      <c r="B209" s="9" t="str">
        <f>INDEX(Places[Type],MATCH(Activities[[#This Row],[Jurisdiction]],Places[Jurisdiction],0))</f>
        <v>City</v>
      </c>
      <c r="C209" s="19" t="str">
        <f>INDEX(Places[County],MATCH(Activities[[#This Row],[Jurisdiction]],Places[Jurisdiction],0))</f>
        <v>San Diego</v>
      </c>
      <c r="D209" s="9" t="str">
        <f>INDEX(Places[Majority RB],MATCH(Activities[[#This Row],[Jurisdiction]],Places[Jurisdiction],0))</f>
        <v>San Diego</v>
      </c>
      <c r="E209" s="9">
        <f>INDEX(Places[Majority RB '#],MATCH(Activities[[#This Row],[Jurisdiction]],Places[Jurisdiction],0))</f>
        <v>9</v>
      </c>
      <c r="F209" s="28" t="str">
        <f>VLOOKUP(Activities[[#This Row],[Jurisdiction]],Places[#All],8,FALSE)</f>
        <v>Phase I MS4</v>
      </c>
      <c r="G209" s="48" t="s">
        <v>1242</v>
      </c>
      <c r="H209" s="8"/>
      <c r="I209" s="8"/>
      <c r="J209" s="8" t="s">
        <v>1895</v>
      </c>
      <c r="K209" s="27" t="s">
        <v>1874</v>
      </c>
      <c r="L209" s="28">
        <f>_xlfn.NUMBERVALUE(LEFT(Activities[[#This Row],[Fiscal Year]], 4))</f>
        <v>2017</v>
      </c>
      <c r="M209" s="28" t="s">
        <v>1862</v>
      </c>
      <c r="N209" s="41">
        <v>446345</v>
      </c>
      <c r="O209" s="93">
        <f>IF(Activities[[#This Row],[Reference Year]]&gt;2018,Activities[[#This Row],[Value]],Activities[[#This Row],[Value]]*(1+VLOOKUP(Activities[[#This Row],[Reference Year]],Inflation[#All],3,FALSE)))</f>
        <v>458238.42796817631</v>
      </c>
    </row>
    <row r="210" spans="1:15" ht="15" customHeight="1" x14ac:dyDescent="0.25">
      <c r="A210" s="9" t="s">
        <v>302</v>
      </c>
      <c r="B210" s="9" t="str">
        <f>INDEX(Places[Type],MATCH(Activities[[#This Row],[Jurisdiction]],Places[Jurisdiction],0))</f>
        <v>City</v>
      </c>
      <c r="C210" s="19" t="str">
        <f>INDEX(Places[County],MATCH(Activities[[#This Row],[Jurisdiction]],Places[Jurisdiction],0))</f>
        <v>San Diego</v>
      </c>
      <c r="D210" s="9" t="str">
        <f>INDEX(Places[Majority RB],MATCH(Activities[[#This Row],[Jurisdiction]],Places[Jurisdiction],0))</f>
        <v>San Diego</v>
      </c>
      <c r="E210" s="9">
        <f>INDEX(Places[Majority RB '#],MATCH(Activities[[#This Row],[Jurisdiction]],Places[Jurisdiction],0))</f>
        <v>9</v>
      </c>
      <c r="F210" s="28" t="str">
        <f>VLOOKUP(Activities[[#This Row],[Jurisdiction]],Places[#All],8,FALSE)</f>
        <v>Phase I MS4</v>
      </c>
      <c r="G210" s="48" t="s">
        <v>1246</v>
      </c>
      <c r="H210" s="8"/>
      <c r="I210" s="8"/>
      <c r="J210" s="8" t="s">
        <v>131</v>
      </c>
      <c r="K210" s="27" t="s">
        <v>1874</v>
      </c>
      <c r="L210" s="28">
        <f>_xlfn.NUMBERVALUE(LEFT(Activities[[#This Row],[Fiscal Year]], 4))</f>
        <v>2017</v>
      </c>
      <c r="M210" s="28" t="s">
        <v>1862</v>
      </c>
      <c r="N210" s="41">
        <v>28870</v>
      </c>
      <c r="O210" s="93">
        <f>IF(Activities[[#This Row],[Reference Year]]&gt;2018,Activities[[#This Row],[Value]],Activities[[#This Row],[Value]]*(1+VLOOKUP(Activities[[#This Row],[Reference Year]],Inflation[#All],3,FALSE)))</f>
        <v>29639.277723378218</v>
      </c>
    </row>
    <row r="211" spans="1:15" ht="15" customHeight="1" x14ac:dyDescent="0.25">
      <c r="A211" s="9" t="s">
        <v>302</v>
      </c>
      <c r="B211" s="9" t="str">
        <f>INDEX(Places[Type],MATCH(Activities[[#This Row],[Jurisdiction]],Places[Jurisdiction],0))</f>
        <v>City</v>
      </c>
      <c r="C211" s="19" t="str">
        <f>INDEX(Places[County],MATCH(Activities[[#This Row],[Jurisdiction]],Places[Jurisdiction],0))</f>
        <v>San Diego</v>
      </c>
      <c r="D211" s="9" t="str">
        <f>INDEX(Places[Majority RB],MATCH(Activities[[#This Row],[Jurisdiction]],Places[Jurisdiction],0))</f>
        <v>San Diego</v>
      </c>
      <c r="E211" s="9">
        <f>INDEX(Places[Majority RB '#],MATCH(Activities[[#This Row],[Jurisdiction]],Places[Jurisdiction],0))</f>
        <v>9</v>
      </c>
      <c r="F211" s="28" t="str">
        <f>VLOOKUP(Activities[[#This Row],[Jurisdiction]],Places[#All],8,FALSE)</f>
        <v>Phase I MS4</v>
      </c>
      <c r="G211" s="48" t="s">
        <v>1257</v>
      </c>
      <c r="H211" s="8"/>
      <c r="I211" s="8"/>
      <c r="J211" s="8" t="s">
        <v>334</v>
      </c>
      <c r="K211" s="27" t="s">
        <v>1874</v>
      </c>
      <c r="L211" s="28">
        <f>_xlfn.NUMBERVALUE(LEFT(Activities[[#This Row],[Fiscal Year]], 4))</f>
        <v>2017</v>
      </c>
      <c r="M211" s="28" t="s">
        <v>1862</v>
      </c>
      <c r="N211" s="41">
        <v>21492</v>
      </c>
      <c r="O211" s="93">
        <f>IF(Activities[[#This Row],[Reference Year]]&gt;2018,Activities[[#This Row],[Value]],Activities[[#This Row],[Value]]*(1+VLOOKUP(Activities[[#This Row],[Reference Year]],Inflation[#All],3,FALSE)))</f>
        <v>22064.68156670747</v>
      </c>
    </row>
    <row r="212" spans="1:15" ht="15" customHeight="1" x14ac:dyDescent="0.25">
      <c r="A212" s="9" t="s">
        <v>302</v>
      </c>
      <c r="B212" s="9" t="str">
        <f>INDEX(Places[Type],MATCH(Activities[[#This Row],[Jurisdiction]],Places[Jurisdiction],0))</f>
        <v>City</v>
      </c>
      <c r="C212" s="19" t="str">
        <f>INDEX(Places[County],MATCH(Activities[[#This Row],[Jurisdiction]],Places[Jurisdiction],0))</f>
        <v>San Diego</v>
      </c>
      <c r="D212" s="9" t="str">
        <f>INDEX(Places[Majority RB],MATCH(Activities[[#This Row],[Jurisdiction]],Places[Jurisdiction],0))</f>
        <v>San Diego</v>
      </c>
      <c r="E212" s="9">
        <f>INDEX(Places[Majority RB '#],MATCH(Activities[[#This Row],[Jurisdiction]],Places[Jurisdiction],0))</f>
        <v>9</v>
      </c>
      <c r="F212" s="28" t="str">
        <f>VLOOKUP(Activities[[#This Row],[Jurisdiction]],Places[#All],8,FALSE)</f>
        <v>Phase I MS4</v>
      </c>
      <c r="G212" s="48" t="s">
        <v>1243</v>
      </c>
      <c r="H212" s="8"/>
      <c r="I212" s="8"/>
      <c r="J212" s="8" t="s">
        <v>1897</v>
      </c>
      <c r="K212" s="27" t="s">
        <v>1874</v>
      </c>
      <c r="L212" s="28">
        <f>_xlfn.NUMBERVALUE(LEFT(Activities[[#This Row],[Fiscal Year]], 4))</f>
        <v>2017</v>
      </c>
      <c r="M212" s="28" t="s">
        <v>1862</v>
      </c>
      <c r="N212" s="41">
        <v>1487502</v>
      </c>
      <c r="O212" s="93">
        <f>IF(Activities[[#This Row],[Reference Year]]&gt;2018,Activities[[#This Row],[Value]],Activities[[#This Row],[Value]]*(1+VLOOKUP(Activities[[#This Row],[Reference Year]],Inflation[#All],3,FALSE)))</f>
        <v>1527138.3752019585</v>
      </c>
    </row>
    <row r="213" spans="1:15" ht="15" customHeight="1" x14ac:dyDescent="0.25">
      <c r="A213" s="9" t="s">
        <v>302</v>
      </c>
      <c r="B213" s="9" t="str">
        <f>INDEX(Places[Type],MATCH(Activities[[#This Row],[Jurisdiction]],Places[Jurisdiction],0))</f>
        <v>City</v>
      </c>
      <c r="C213" s="19" t="str">
        <f>INDEX(Places[County],MATCH(Activities[[#This Row],[Jurisdiction]],Places[Jurisdiction],0))</f>
        <v>San Diego</v>
      </c>
      <c r="D213" s="9" t="str">
        <f>INDEX(Places[Majority RB],MATCH(Activities[[#This Row],[Jurisdiction]],Places[Jurisdiction],0))</f>
        <v>San Diego</v>
      </c>
      <c r="E213" s="9">
        <f>INDEX(Places[Majority RB '#],MATCH(Activities[[#This Row],[Jurisdiction]],Places[Jurisdiction],0))</f>
        <v>9</v>
      </c>
      <c r="F213" s="28" t="str">
        <f>VLOOKUP(Activities[[#This Row],[Jurisdiction]],Places[#All],8,FALSE)</f>
        <v>Phase I MS4</v>
      </c>
      <c r="G213" s="48" t="s">
        <v>1245</v>
      </c>
      <c r="H213" s="8" t="s">
        <v>662</v>
      </c>
      <c r="I213" s="8" t="s">
        <v>663</v>
      </c>
      <c r="J213" s="8" t="s">
        <v>1898</v>
      </c>
      <c r="K213" s="27" t="s">
        <v>1874</v>
      </c>
      <c r="L213" s="28">
        <f>_xlfn.NUMBERVALUE(LEFT(Activities[[#This Row],[Fiscal Year]], 4))</f>
        <v>2017</v>
      </c>
      <c r="M213" s="28" t="s">
        <v>1862</v>
      </c>
      <c r="N213" s="41">
        <v>3208</v>
      </c>
      <c r="O213" s="93">
        <f>IF(Activities[[#This Row],[Reference Year]]&gt;2018,Activities[[#This Row],[Value]],Activities[[#This Row],[Value]]*(1+VLOOKUP(Activities[[#This Row],[Reference Year]],Inflation[#All],3,FALSE)))</f>
        <v>3293.4812239902085</v>
      </c>
    </row>
    <row r="214" spans="1:15" ht="15" customHeight="1" x14ac:dyDescent="0.25">
      <c r="A214" s="9" t="s">
        <v>302</v>
      </c>
      <c r="B214" s="9" t="str">
        <f>INDEX(Places[Type],MATCH(Activities[[#This Row],[Jurisdiction]],Places[Jurisdiction],0))</f>
        <v>City</v>
      </c>
      <c r="C214" s="19" t="str">
        <f>INDEX(Places[County],MATCH(Activities[[#This Row],[Jurisdiction]],Places[Jurisdiction],0))</f>
        <v>San Diego</v>
      </c>
      <c r="D214" s="9" t="str">
        <f>INDEX(Places[Majority RB],MATCH(Activities[[#This Row],[Jurisdiction]],Places[Jurisdiction],0))</f>
        <v>San Diego</v>
      </c>
      <c r="E214" s="9">
        <f>INDEX(Places[Majority RB '#],MATCH(Activities[[#This Row],[Jurisdiction]],Places[Jurisdiction],0))</f>
        <v>9</v>
      </c>
      <c r="F214" s="28" t="str">
        <f>VLOOKUP(Activities[[#This Row],[Jurisdiction]],Places[#All],8,FALSE)</f>
        <v>Phase I MS4</v>
      </c>
      <c r="G214" s="48" t="s">
        <v>1241</v>
      </c>
      <c r="H214" s="8"/>
      <c r="I214" s="8"/>
      <c r="J214" s="8" t="s">
        <v>1898</v>
      </c>
      <c r="K214" s="27" t="s">
        <v>1874</v>
      </c>
      <c r="L214" s="28">
        <f>_xlfn.NUMBERVALUE(LEFT(Activities[[#This Row],[Fiscal Year]], 4))</f>
        <v>2017</v>
      </c>
      <c r="M214" s="28" t="s">
        <v>1862</v>
      </c>
      <c r="N214" s="41">
        <v>340387</v>
      </c>
      <c r="O214" s="93">
        <f>IF(Activities[[#This Row],[Reference Year]]&gt;2018,Activities[[#This Row],[Value]],Activities[[#This Row],[Value]]*(1+VLOOKUP(Activities[[#This Row],[Reference Year]],Inflation[#All],3,FALSE)))</f>
        <v>349457.04282741743</v>
      </c>
    </row>
    <row r="215" spans="1:15" ht="15" customHeight="1" x14ac:dyDescent="0.25">
      <c r="A215" s="9" t="s">
        <v>302</v>
      </c>
      <c r="B215" s="9" t="str">
        <f>INDEX(Places[Type],MATCH(Activities[[#This Row],[Jurisdiction]],Places[Jurisdiction],0))</f>
        <v>City</v>
      </c>
      <c r="C215" s="19" t="str">
        <f>INDEX(Places[County],MATCH(Activities[[#This Row],[Jurisdiction]],Places[Jurisdiction],0))</f>
        <v>San Diego</v>
      </c>
      <c r="D215" s="9" t="str">
        <f>INDEX(Places[Majority RB],MATCH(Activities[[#This Row],[Jurisdiction]],Places[Jurisdiction],0))</f>
        <v>San Diego</v>
      </c>
      <c r="E215" s="9">
        <f>INDEX(Places[Majority RB '#],MATCH(Activities[[#This Row],[Jurisdiction]],Places[Jurisdiction],0))</f>
        <v>9</v>
      </c>
      <c r="F215" s="28" t="str">
        <f>VLOOKUP(Activities[[#This Row],[Jurisdiction]],Places[#All],8,FALSE)</f>
        <v>Phase I MS4</v>
      </c>
      <c r="G215" s="48" t="s">
        <v>1240</v>
      </c>
      <c r="H215" s="8"/>
      <c r="I215" s="8"/>
      <c r="J215" s="8" t="s">
        <v>1894</v>
      </c>
      <c r="K215" s="27" t="s">
        <v>1874</v>
      </c>
      <c r="L215" s="28">
        <f>_xlfn.NUMBERVALUE(LEFT(Activities[[#This Row],[Fiscal Year]], 4))</f>
        <v>2017</v>
      </c>
      <c r="M215" s="28" t="s">
        <v>1862</v>
      </c>
      <c r="N215" s="41">
        <v>543045</v>
      </c>
      <c r="O215" s="93">
        <f>IF(Activities[[#This Row],[Reference Year]]&gt;2018,Activities[[#This Row],[Value]],Activities[[#This Row],[Value]]*(1+VLOOKUP(Activities[[#This Row],[Reference Year]],Inflation[#All],3,FALSE)))</f>
        <v>557515.12197062431</v>
      </c>
    </row>
    <row r="216" spans="1:15" ht="15" customHeight="1" x14ac:dyDescent="0.25">
      <c r="A216" s="9" t="s">
        <v>302</v>
      </c>
      <c r="B216" s="9" t="str">
        <f>INDEX(Places[Type],MATCH(Activities[[#This Row],[Jurisdiction]],Places[Jurisdiction],0))</f>
        <v>City</v>
      </c>
      <c r="C216" s="19" t="str">
        <f>INDEX(Places[County],MATCH(Activities[[#This Row],[Jurisdiction]],Places[Jurisdiction],0))</f>
        <v>San Diego</v>
      </c>
      <c r="D216" s="9" t="str">
        <f>INDEX(Places[Majority RB],MATCH(Activities[[#This Row],[Jurisdiction]],Places[Jurisdiction],0))</f>
        <v>San Diego</v>
      </c>
      <c r="E216" s="9">
        <f>INDEX(Places[Majority RB '#],MATCH(Activities[[#This Row],[Jurisdiction]],Places[Jurisdiction],0))</f>
        <v>9</v>
      </c>
      <c r="F216" s="28" t="str">
        <f>VLOOKUP(Activities[[#This Row],[Jurisdiction]],Places[#All],8,FALSE)</f>
        <v>Phase I MS4</v>
      </c>
      <c r="G216" s="48" t="s">
        <v>1247</v>
      </c>
      <c r="H216" s="8"/>
      <c r="I216" s="8"/>
      <c r="J216" s="8" t="s">
        <v>1896</v>
      </c>
      <c r="K216" s="27" t="s">
        <v>1874</v>
      </c>
      <c r="L216" s="28">
        <f>_xlfn.NUMBERVALUE(LEFT(Activities[[#This Row],[Fiscal Year]], 4))</f>
        <v>2017</v>
      </c>
      <c r="M216" s="28" t="s">
        <v>1862</v>
      </c>
      <c r="N216" s="41">
        <v>38664</v>
      </c>
      <c r="O216" s="93">
        <f>IF(Activities[[#This Row],[Reference Year]]&gt;2018,Activities[[#This Row],[Value]],Activities[[#This Row],[Value]]*(1+VLOOKUP(Activities[[#This Row],[Reference Year]],Inflation[#All],3,FALSE)))</f>
        <v>39694.25126070992</v>
      </c>
    </row>
    <row r="217" spans="1:15" ht="15" customHeight="1" x14ac:dyDescent="0.25">
      <c r="A217" s="9" t="s">
        <v>302</v>
      </c>
      <c r="B217" s="9" t="str">
        <f>INDEX(Places[Type],MATCH(Activities[[#This Row],[Jurisdiction]],Places[Jurisdiction],0))</f>
        <v>City</v>
      </c>
      <c r="C217" s="19" t="str">
        <f>INDEX(Places[County],MATCH(Activities[[#This Row],[Jurisdiction]],Places[Jurisdiction],0))</f>
        <v>San Diego</v>
      </c>
      <c r="D217" s="9" t="str">
        <f>INDEX(Places[Majority RB],MATCH(Activities[[#This Row],[Jurisdiction]],Places[Jurisdiction],0))</f>
        <v>San Diego</v>
      </c>
      <c r="E217" s="9">
        <f>INDEX(Places[Majority RB '#],MATCH(Activities[[#This Row],[Jurisdiction]],Places[Jurisdiction],0))</f>
        <v>9</v>
      </c>
      <c r="F217" s="28" t="str">
        <f>VLOOKUP(Activities[[#This Row],[Jurisdiction]],Places[#All],8,FALSE)</f>
        <v>Phase I MS4</v>
      </c>
      <c r="G217" s="48" t="s">
        <v>1260</v>
      </c>
      <c r="H217" s="8"/>
      <c r="I217" s="8"/>
      <c r="J217" s="8" t="s">
        <v>1896</v>
      </c>
      <c r="K217" s="27" t="s">
        <v>1874</v>
      </c>
      <c r="L217" s="28">
        <f>_xlfn.NUMBERVALUE(LEFT(Activities[[#This Row],[Fiscal Year]], 4))</f>
        <v>2017</v>
      </c>
      <c r="M217" s="28" t="s">
        <v>1862</v>
      </c>
      <c r="N217" s="41">
        <v>84442</v>
      </c>
      <c r="O217" s="93">
        <f>IF(Activities[[#This Row],[Reference Year]]&gt;2018,Activities[[#This Row],[Value]],Activities[[#This Row],[Value]]*(1+VLOOKUP(Activities[[#This Row],[Reference Year]],Inflation[#All],3,FALSE)))</f>
        <v>86692.0640636475</v>
      </c>
    </row>
    <row r="218" spans="1:15" ht="15" customHeight="1" x14ac:dyDescent="0.25">
      <c r="A218" s="9" t="s">
        <v>302</v>
      </c>
      <c r="B218" s="9" t="str">
        <f>INDEX(Places[Type],MATCH(Activities[[#This Row],[Jurisdiction]],Places[Jurisdiction],0))</f>
        <v>City</v>
      </c>
      <c r="C218" s="19" t="str">
        <f>INDEX(Places[County],MATCH(Activities[[#This Row],[Jurisdiction]],Places[Jurisdiction],0))</f>
        <v>San Diego</v>
      </c>
      <c r="D218" s="9" t="str">
        <f>INDEX(Places[Majority RB],MATCH(Activities[[#This Row],[Jurisdiction]],Places[Jurisdiction],0))</f>
        <v>San Diego</v>
      </c>
      <c r="E218" s="9">
        <f>INDEX(Places[Majority RB '#],MATCH(Activities[[#This Row],[Jurisdiction]],Places[Jurisdiction],0))</f>
        <v>9</v>
      </c>
      <c r="F218" s="28" t="str">
        <f>VLOOKUP(Activities[[#This Row],[Jurisdiction]],Places[#All],8,FALSE)</f>
        <v>Phase I MS4</v>
      </c>
      <c r="G218" s="48" t="s">
        <v>1258</v>
      </c>
      <c r="H218" s="8"/>
      <c r="I218" s="8"/>
      <c r="J218" s="8" t="s">
        <v>47</v>
      </c>
      <c r="K218" s="27" t="s">
        <v>1874</v>
      </c>
      <c r="L218" s="28">
        <f>_xlfn.NUMBERVALUE(LEFT(Activities[[#This Row],[Fiscal Year]], 4))</f>
        <v>2017</v>
      </c>
      <c r="M218" s="28" t="s">
        <v>1862</v>
      </c>
      <c r="N218" s="41">
        <v>48413</v>
      </c>
      <c r="O218" s="93">
        <f>IF(Activities[[#This Row],[Reference Year]]&gt;2018,Activities[[#This Row],[Value]],Activities[[#This Row],[Value]]*(1+VLOOKUP(Activities[[#This Row],[Reference Year]],Inflation[#All],3,FALSE)))</f>
        <v>49703.025716034281</v>
      </c>
    </row>
    <row r="219" spans="1:15" ht="15" customHeight="1" x14ac:dyDescent="0.25">
      <c r="A219" s="9" t="s">
        <v>302</v>
      </c>
      <c r="B219" s="9" t="str">
        <f>INDEX(Places[Type],MATCH(Activities[[#This Row],[Jurisdiction]],Places[Jurisdiction],0))</f>
        <v>City</v>
      </c>
      <c r="C219" s="19" t="str">
        <f>INDEX(Places[County],MATCH(Activities[[#This Row],[Jurisdiction]],Places[Jurisdiction],0))</f>
        <v>San Diego</v>
      </c>
      <c r="D219" s="9" t="str">
        <f>INDEX(Places[Majority RB],MATCH(Activities[[#This Row],[Jurisdiction]],Places[Jurisdiction],0))</f>
        <v>San Diego</v>
      </c>
      <c r="E219" s="9">
        <f>INDEX(Places[Majority RB '#],MATCH(Activities[[#This Row],[Jurisdiction]],Places[Jurisdiction],0))</f>
        <v>9</v>
      </c>
      <c r="F219" s="28" t="str">
        <f>VLOOKUP(Activities[[#This Row],[Jurisdiction]],Places[#All],8,FALSE)</f>
        <v>Phase I MS4</v>
      </c>
      <c r="G219" s="48" t="s">
        <v>1259</v>
      </c>
      <c r="H219" s="8" t="s">
        <v>661</v>
      </c>
      <c r="I219" s="8" t="s">
        <v>663</v>
      </c>
      <c r="J219" s="8" t="s">
        <v>605</v>
      </c>
      <c r="K219" s="27" t="s">
        <v>1874</v>
      </c>
      <c r="L219" s="28">
        <f>_xlfn.NUMBERVALUE(LEFT(Activities[[#This Row],[Fiscal Year]], 4))</f>
        <v>2017</v>
      </c>
      <c r="M219" s="28" t="s">
        <v>1862</v>
      </c>
      <c r="N219" s="41">
        <v>32004</v>
      </c>
      <c r="O219" s="93">
        <f>IF(Activities[[#This Row],[Reference Year]]&gt;2018,Activities[[#This Row],[Value]],Activities[[#This Row],[Value]]*(1+VLOOKUP(Activities[[#This Row],[Reference Year]],Inflation[#All],3,FALSE)))</f>
        <v>32856.787123623013</v>
      </c>
    </row>
    <row r="220" spans="1:15" ht="15" customHeight="1" x14ac:dyDescent="0.25">
      <c r="A220" s="9" t="s">
        <v>221</v>
      </c>
      <c r="B220" s="9" t="str">
        <f>INDEX(Places[Type],MATCH(Activities[[#This Row],[Jurisdiction]],Places[Jurisdiction],0))</f>
        <v>City</v>
      </c>
      <c r="C220" s="19" t="str">
        <f>INDEX(Places[County],MATCH(Activities[[#This Row],[Jurisdiction]],Places[Jurisdiction],0))</f>
        <v>Los Angeles</v>
      </c>
      <c r="D220" s="19" t="str">
        <f>INDEX(Places[Majority RB],MATCH(Activities[[#This Row],[Jurisdiction]],Places[Jurisdiction],0))</f>
        <v>Los Angeles</v>
      </c>
      <c r="E220" s="9">
        <f>INDEX(Places[Majority RB '#],MATCH(Activities[[#This Row],[Jurisdiction]],Places[Jurisdiction],0))</f>
        <v>4</v>
      </c>
      <c r="F220" s="28" t="str">
        <f>VLOOKUP(Activities[[#This Row],[Jurisdiction]],Places[#All],8,FALSE)</f>
        <v>Phase I MS4</v>
      </c>
      <c r="G220" s="48" t="s">
        <v>64</v>
      </c>
      <c r="H220" s="8"/>
      <c r="I220" s="8"/>
      <c r="J220" s="8" t="s">
        <v>76</v>
      </c>
      <c r="K220" s="27" t="s">
        <v>1873</v>
      </c>
      <c r="L220" s="28">
        <f>_xlfn.NUMBERVALUE(LEFT(Activities[[#This Row],[Fiscal Year]], 4))</f>
        <v>2015</v>
      </c>
      <c r="M220" s="28" t="s">
        <v>1862</v>
      </c>
      <c r="N220" s="41">
        <v>152000</v>
      </c>
      <c r="O220" s="93">
        <f>IF(Activities[[#This Row],[Reference Year]]&gt;2018,Activities[[#This Row],[Value]],Activities[[#This Row],[Value]]*(1+VLOOKUP(Activities[[#This Row],[Reference Year]],Inflation[#All],3,FALSE)))</f>
        <v>161383.59493670886</v>
      </c>
    </row>
    <row r="221" spans="1:15" ht="15" customHeight="1" x14ac:dyDescent="0.25">
      <c r="A221" s="9" t="s">
        <v>221</v>
      </c>
      <c r="B221" s="9" t="str">
        <f>INDEX(Places[Type],MATCH(Activities[[#This Row],[Jurisdiction]],Places[Jurisdiction],0))</f>
        <v>City</v>
      </c>
      <c r="C221" s="19" t="str">
        <f>INDEX(Places[County],MATCH(Activities[[#This Row],[Jurisdiction]],Places[Jurisdiction],0))</f>
        <v>Los Angeles</v>
      </c>
      <c r="D221" s="19" t="str">
        <f>INDEX(Places[Majority RB],MATCH(Activities[[#This Row],[Jurisdiction]],Places[Jurisdiction],0))</f>
        <v>Los Angeles</v>
      </c>
      <c r="E221" s="9">
        <f>INDEX(Places[Majority RB '#],MATCH(Activities[[#This Row],[Jurisdiction]],Places[Jurisdiction],0))</f>
        <v>4</v>
      </c>
      <c r="F221" s="28" t="str">
        <f>VLOOKUP(Activities[[#This Row],[Jurisdiction]],Places[#All],8,FALSE)</f>
        <v>Phase I MS4</v>
      </c>
      <c r="G221" s="48" t="s">
        <v>65</v>
      </c>
      <c r="H221" s="8"/>
      <c r="I221" s="8"/>
      <c r="J221" s="8" t="s">
        <v>76</v>
      </c>
      <c r="K221" s="27" t="s">
        <v>1873</v>
      </c>
      <c r="L221" s="28">
        <f>_xlfn.NUMBERVALUE(LEFT(Activities[[#This Row],[Fiscal Year]], 4))</f>
        <v>2015</v>
      </c>
      <c r="M221" s="28" t="s">
        <v>1862</v>
      </c>
      <c r="N221" s="41">
        <v>800000</v>
      </c>
      <c r="O221" s="93">
        <f>IF(Activities[[#This Row],[Reference Year]]&gt;2018,Activities[[#This Row],[Value]],Activities[[#This Row],[Value]]*(1+VLOOKUP(Activities[[#This Row],[Reference Year]],Inflation[#All],3,FALSE)))</f>
        <v>849387.34177215188</v>
      </c>
    </row>
    <row r="222" spans="1:15" ht="15" customHeight="1" x14ac:dyDescent="0.25">
      <c r="A222" s="9" t="s">
        <v>221</v>
      </c>
      <c r="B222" s="9" t="str">
        <f>INDEX(Places[Type],MATCH(Activities[[#This Row],[Jurisdiction]],Places[Jurisdiction],0))</f>
        <v>City</v>
      </c>
      <c r="C222" s="19" t="str">
        <f>INDEX(Places[County],MATCH(Activities[[#This Row],[Jurisdiction]],Places[Jurisdiction],0))</f>
        <v>Los Angeles</v>
      </c>
      <c r="D222" s="19" t="str">
        <f>INDEX(Places[Majority RB],MATCH(Activities[[#This Row],[Jurisdiction]],Places[Jurisdiction],0))</f>
        <v>Los Angeles</v>
      </c>
      <c r="E222" s="9">
        <f>INDEX(Places[Majority RB '#],MATCH(Activities[[#This Row],[Jurisdiction]],Places[Jurisdiction],0))</f>
        <v>4</v>
      </c>
      <c r="F222" s="28" t="str">
        <f>VLOOKUP(Activities[[#This Row],[Jurisdiction]],Places[#All],8,FALSE)</f>
        <v>Phase I MS4</v>
      </c>
      <c r="G222" s="48" t="s">
        <v>62</v>
      </c>
      <c r="H222" s="8"/>
      <c r="I222" s="8"/>
      <c r="J222" s="8" t="s">
        <v>131</v>
      </c>
      <c r="K222" s="27" t="s">
        <v>1873</v>
      </c>
      <c r="L222" s="28">
        <f>_xlfn.NUMBERVALUE(LEFT(Activities[[#This Row],[Fiscal Year]], 4))</f>
        <v>2015</v>
      </c>
      <c r="M222" s="28" t="s">
        <v>1862</v>
      </c>
      <c r="N222" s="41">
        <v>50000</v>
      </c>
      <c r="O222" s="93">
        <f>IF(Activities[[#This Row],[Reference Year]]&gt;2018,Activities[[#This Row],[Value]],Activities[[#This Row],[Value]]*(1+VLOOKUP(Activities[[#This Row],[Reference Year]],Inflation[#All],3,FALSE)))</f>
        <v>53086.708860759492</v>
      </c>
    </row>
    <row r="223" spans="1:15" ht="15" customHeight="1" x14ac:dyDescent="0.25">
      <c r="A223" s="9" t="s">
        <v>221</v>
      </c>
      <c r="B223" s="9" t="str">
        <f>INDEX(Places[Type],MATCH(Activities[[#This Row],[Jurisdiction]],Places[Jurisdiction],0))</f>
        <v>City</v>
      </c>
      <c r="C223" s="19" t="str">
        <f>INDEX(Places[County],MATCH(Activities[[#This Row],[Jurisdiction]],Places[Jurisdiction],0))</f>
        <v>Los Angeles</v>
      </c>
      <c r="D223" s="19" t="str">
        <f>INDEX(Places[Majority RB],MATCH(Activities[[#This Row],[Jurisdiction]],Places[Jurisdiction],0))</f>
        <v>Los Angeles</v>
      </c>
      <c r="E223" s="9">
        <f>INDEX(Places[Majority RB '#],MATCH(Activities[[#This Row],[Jurisdiction]],Places[Jurisdiction],0))</f>
        <v>4</v>
      </c>
      <c r="F223" s="28" t="str">
        <f>VLOOKUP(Activities[[#This Row],[Jurisdiction]],Places[#All],8,FALSE)</f>
        <v>Phase I MS4</v>
      </c>
      <c r="G223" s="48" t="s">
        <v>208</v>
      </c>
      <c r="H223" s="8"/>
      <c r="I223" s="8"/>
      <c r="J223" s="8" t="s">
        <v>334</v>
      </c>
      <c r="K223" s="27" t="s">
        <v>1873</v>
      </c>
      <c r="L223" s="28">
        <f>_xlfn.NUMBERVALUE(LEFT(Activities[[#This Row],[Fiscal Year]], 4))</f>
        <v>2015</v>
      </c>
      <c r="M223" s="28" t="s">
        <v>1862</v>
      </c>
      <c r="N223" s="41">
        <v>100000</v>
      </c>
      <c r="O223" s="93">
        <f>IF(Activities[[#This Row],[Reference Year]]&gt;2018,Activities[[#This Row],[Value]],Activities[[#This Row],[Value]]*(1+VLOOKUP(Activities[[#This Row],[Reference Year]],Inflation[#All],3,FALSE)))</f>
        <v>106173.41772151898</v>
      </c>
    </row>
    <row r="224" spans="1:15" ht="15" customHeight="1" x14ac:dyDescent="0.25">
      <c r="A224" s="9" t="s">
        <v>221</v>
      </c>
      <c r="B224" s="9" t="str">
        <f>INDEX(Places[Type],MATCH(Activities[[#This Row],[Jurisdiction]],Places[Jurisdiction],0))</f>
        <v>City</v>
      </c>
      <c r="C224" s="19" t="str">
        <f>INDEX(Places[County],MATCH(Activities[[#This Row],[Jurisdiction]],Places[Jurisdiction],0))</f>
        <v>Los Angeles</v>
      </c>
      <c r="D224" s="19" t="str">
        <f>INDEX(Places[Majority RB],MATCH(Activities[[#This Row],[Jurisdiction]],Places[Jurisdiction],0))</f>
        <v>Los Angeles</v>
      </c>
      <c r="E224" s="9">
        <f>INDEX(Places[Majority RB '#],MATCH(Activities[[#This Row],[Jurisdiction]],Places[Jurisdiction],0))</f>
        <v>4</v>
      </c>
      <c r="F224" s="28" t="str">
        <f>VLOOKUP(Activities[[#This Row],[Jurisdiction]],Places[#All],8,FALSE)</f>
        <v>Phase I MS4</v>
      </c>
      <c r="G224" s="48" t="s">
        <v>59</v>
      </c>
      <c r="H224" s="8"/>
      <c r="I224" s="8"/>
      <c r="J224" s="8" t="s">
        <v>1898</v>
      </c>
      <c r="K224" s="27" t="s">
        <v>1873</v>
      </c>
      <c r="L224" s="28">
        <f>_xlfn.NUMBERVALUE(LEFT(Activities[[#This Row],[Fiscal Year]], 4))</f>
        <v>2015</v>
      </c>
      <c r="M224" s="28" t="s">
        <v>1862</v>
      </c>
      <c r="N224" s="41">
        <v>8000</v>
      </c>
      <c r="O224" s="93">
        <f>IF(Activities[[#This Row],[Reference Year]]&gt;2018,Activities[[#This Row],[Value]],Activities[[#This Row],[Value]]*(1+VLOOKUP(Activities[[#This Row],[Reference Year]],Inflation[#All],3,FALSE)))</f>
        <v>8493.8734177215192</v>
      </c>
    </row>
    <row r="225" spans="1:15" ht="15" customHeight="1" x14ac:dyDescent="0.25">
      <c r="A225" s="9" t="s">
        <v>221</v>
      </c>
      <c r="B225" s="9" t="str">
        <f>INDEX(Places[Type],MATCH(Activities[[#This Row],[Jurisdiction]],Places[Jurisdiction],0))</f>
        <v>City</v>
      </c>
      <c r="C225" s="19" t="str">
        <f>INDEX(Places[County],MATCH(Activities[[#This Row],[Jurisdiction]],Places[Jurisdiction],0))</f>
        <v>Los Angeles</v>
      </c>
      <c r="D225" s="19" t="str">
        <f>INDEX(Places[Majority RB],MATCH(Activities[[#This Row],[Jurisdiction]],Places[Jurisdiction],0))</f>
        <v>Los Angeles</v>
      </c>
      <c r="E225" s="9">
        <f>INDEX(Places[Majority RB '#],MATCH(Activities[[#This Row],[Jurisdiction]],Places[Jurisdiction],0))</f>
        <v>4</v>
      </c>
      <c r="F225" s="28" t="str">
        <f>VLOOKUP(Activities[[#This Row],[Jurisdiction]],Places[#All],8,FALSE)</f>
        <v>Phase I MS4</v>
      </c>
      <c r="G225" s="48" t="s">
        <v>60</v>
      </c>
      <c r="H225" s="8"/>
      <c r="I225" s="8"/>
      <c r="J225" s="8" t="s">
        <v>1898</v>
      </c>
      <c r="K225" s="27" t="s">
        <v>1873</v>
      </c>
      <c r="L225" s="28">
        <f>_xlfn.NUMBERVALUE(LEFT(Activities[[#This Row],[Fiscal Year]], 4))</f>
        <v>2015</v>
      </c>
      <c r="M225" s="28" t="s">
        <v>1862</v>
      </c>
      <c r="N225" s="41">
        <v>8000</v>
      </c>
      <c r="O225" s="93">
        <f>IF(Activities[[#This Row],[Reference Year]]&gt;2018,Activities[[#This Row],[Value]],Activities[[#This Row],[Value]]*(1+VLOOKUP(Activities[[#This Row],[Reference Year]],Inflation[#All],3,FALSE)))</f>
        <v>8493.8734177215192</v>
      </c>
    </row>
    <row r="226" spans="1:15" ht="15" customHeight="1" x14ac:dyDescent="0.25">
      <c r="A226" s="9" t="s">
        <v>221</v>
      </c>
      <c r="B226" s="9" t="str">
        <f>INDEX(Places[Type],MATCH(Activities[[#This Row],[Jurisdiction]],Places[Jurisdiction],0))</f>
        <v>City</v>
      </c>
      <c r="C226" s="19" t="str">
        <f>INDEX(Places[County],MATCH(Activities[[#This Row],[Jurisdiction]],Places[Jurisdiction],0))</f>
        <v>Los Angeles</v>
      </c>
      <c r="D226" s="19" t="str">
        <f>INDEX(Places[Majority RB],MATCH(Activities[[#This Row],[Jurisdiction]],Places[Jurisdiction],0))</f>
        <v>Los Angeles</v>
      </c>
      <c r="E226" s="9">
        <f>INDEX(Places[Majority RB '#],MATCH(Activities[[#This Row],[Jurisdiction]],Places[Jurisdiction],0))</f>
        <v>4</v>
      </c>
      <c r="F226" s="28" t="str">
        <f>VLOOKUP(Activities[[#This Row],[Jurisdiction]],Places[#All],8,FALSE)</f>
        <v>Phase I MS4</v>
      </c>
      <c r="G226" s="48" t="s">
        <v>58</v>
      </c>
      <c r="H226" s="8"/>
      <c r="I226" s="8"/>
      <c r="J226" s="8" t="s">
        <v>1456</v>
      </c>
      <c r="K226" s="27" t="s">
        <v>1873</v>
      </c>
      <c r="L226" s="28">
        <f>_xlfn.NUMBERVALUE(LEFT(Activities[[#This Row],[Fiscal Year]], 4))</f>
        <v>2015</v>
      </c>
      <c r="M226" s="28" t="s">
        <v>1862</v>
      </c>
      <c r="N226" s="41">
        <v>21150</v>
      </c>
      <c r="O226" s="93">
        <f>IF(Activities[[#This Row],[Reference Year]]&gt;2018,Activities[[#This Row],[Value]],Activities[[#This Row],[Value]]*(1+VLOOKUP(Activities[[#This Row],[Reference Year]],Inflation[#All],3,FALSE)))</f>
        <v>22455.677848101266</v>
      </c>
    </row>
    <row r="227" spans="1:15" ht="15" customHeight="1" x14ac:dyDescent="0.25">
      <c r="A227" s="9" t="s">
        <v>221</v>
      </c>
      <c r="B227" s="9" t="str">
        <f>INDEX(Places[Type],MATCH(Activities[[#This Row],[Jurisdiction]],Places[Jurisdiction],0))</f>
        <v>City</v>
      </c>
      <c r="C227" s="19" t="str">
        <f>INDEX(Places[County],MATCH(Activities[[#This Row],[Jurisdiction]],Places[Jurisdiction],0))</f>
        <v>Los Angeles</v>
      </c>
      <c r="D227" s="19" t="str">
        <f>INDEX(Places[Majority RB],MATCH(Activities[[#This Row],[Jurisdiction]],Places[Jurisdiction],0))</f>
        <v>Los Angeles</v>
      </c>
      <c r="E227" s="9">
        <f>INDEX(Places[Majority RB '#],MATCH(Activities[[#This Row],[Jurisdiction]],Places[Jurisdiction],0))</f>
        <v>4</v>
      </c>
      <c r="F227" s="28" t="str">
        <f>VLOOKUP(Activities[[#This Row],[Jurisdiction]],Places[#All],8,FALSE)</f>
        <v>Phase I MS4</v>
      </c>
      <c r="G227" s="48" t="s">
        <v>32</v>
      </c>
      <c r="H227" s="8"/>
      <c r="I227" s="8"/>
      <c r="J227" s="8" t="s">
        <v>1894</v>
      </c>
      <c r="K227" s="27" t="s">
        <v>1873</v>
      </c>
      <c r="L227" s="28">
        <f>_xlfn.NUMBERVALUE(LEFT(Activities[[#This Row],[Fiscal Year]], 4))</f>
        <v>2015</v>
      </c>
      <c r="M227" s="28" t="s">
        <v>1862</v>
      </c>
      <c r="N227" s="41">
        <v>80000</v>
      </c>
      <c r="O227" s="93">
        <f>IF(Activities[[#This Row],[Reference Year]]&gt;2018,Activities[[#This Row],[Value]],Activities[[#This Row],[Value]]*(1+VLOOKUP(Activities[[#This Row],[Reference Year]],Inflation[#All],3,FALSE)))</f>
        <v>84938.734177215185</v>
      </c>
    </row>
    <row r="228" spans="1:15" ht="15" customHeight="1" x14ac:dyDescent="0.25">
      <c r="A228" s="9" t="s">
        <v>221</v>
      </c>
      <c r="B228" s="9" t="str">
        <f>INDEX(Places[Type],MATCH(Activities[[#This Row],[Jurisdiction]],Places[Jurisdiction],0))</f>
        <v>City</v>
      </c>
      <c r="C228" s="19" t="str">
        <f>INDEX(Places[County],MATCH(Activities[[#This Row],[Jurisdiction]],Places[Jurisdiction],0))</f>
        <v>Los Angeles</v>
      </c>
      <c r="D228" s="19" t="str">
        <f>INDEX(Places[Majority RB],MATCH(Activities[[#This Row],[Jurisdiction]],Places[Jurisdiction],0))</f>
        <v>Los Angeles</v>
      </c>
      <c r="E228" s="9">
        <f>INDEX(Places[Majority RB '#],MATCH(Activities[[#This Row],[Jurisdiction]],Places[Jurisdiction],0))</f>
        <v>4</v>
      </c>
      <c r="F228" s="28" t="str">
        <f>VLOOKUP(Activities[[#This Row],[Jurisdiction]],Places[#All],8,FALSE)</f>
        <v>Phase I MS4</v>
      </c>
      <c r="G228" s="48" t="s">
        <v>33</v>
      </c>
      <c r="H228" s="8"/>
      <c r="I228" s="8"/>
      <c r="J228" s="8" t="s">
        <v>47</v>
      </c>
      <c r="K228" s="27" t="s">
        <v>1873</v>
      </c>
      <c r="L228" s="28">
        <f>_xlfn.NUMBERVALUE(LEFT(Activities[[#This Row],[Fiscal Year]], 4))</f>
        <v>2015</v>
      </c>
      <c r="M228" s="28" t="s">
        <v>1862</v>
      </c>
      <c r="N228" s="41">
        <v>23000</v>
      </c>
      <c r="O228" s="93">
        <f>IF(Activities[[#This Row],[Reference Year]]&gt;2018,Activities[[#This Row],[Value]],Activities[[#This Row],[Value]]*(1+VLOOKUP(Activities[[#This Row],[Reference Year]],Inflation[#All],3,FALSE)))</f>
        <v>24419.886075949365</v>
      </c>
    </row>
    <row r="229" spans="1:15" ht="15" customHeight="1" x14ac:dyDescent="0.25">
      <c r="A229" s="9" t="s">
        <v>161</v>
      </c>
      <c r="B229" s="9" t="str">
        <f>INDEX(Places[Type],MATCH(Activities[[#This Row],[Jurisdiction]],Places[Jurisdiction],0))</f>
        <v>City</v>
      </c>
      <c r="C229" s="19" t="str">
        <f>INDEX(Places[County],MATCH(Activities[[#This Row],[Jurisdiction]],Places[Jurisdiction],0))</f>
        <v>Los Angeles</v>
      </c>
      <c r="D229" s="19" t="str">
        <f>INDEX(Places[Majority RB],MATCH(Activities[[#This Row],[Jurisdiction]],Places[Jurisdiction],0))</f>
        <v>Los Angeles</v>
      </c>
      <c r="E229" s="9">
        <f>INDEX(Places[Majority RB '#],MATCH(Activities[[#This Row],[Jurisdiction]],Places[Jurisdiction],0))</f>
        <v>4</v>
      </c>
      <c r="F229" s="28" t="str">
        <f>VLOOKUP(Activities[[#This Row],[Jurisdiction]],Places[#All],8,FALSE)</f>
        <v>Phase I MS4</v>
      </c>
      <c r="G229" s="48" t="s">
        <v>62</v>
      </c>
      <c r="H229" s="8"/>
      <c r="I229" s="8"/>
      <c r="J229" s="8" t="s">
        <v>131</v>
      </c>
      <c r="K229" s="27" t="s">
        <v>1873</v>
      </c>
      <c r="L229" s="28">
        <f>_xlfn.NUMBERVALUE(LEFT(Activities[[#This Row],[Fiscal Year]], 4))</f>
        <v>2015</v>
      </c>
      <c r="M229" s="28" t="s">
        <v>1862</v>
      </c>
      <c r="N229" s="41">
        <v>22235</v>
      </c>
      <c r="O229" s="93">
        <f>IF(Activities[[#This Row],[Reference Year]]&gt;2018,Activities[[#This Row],[Value]],Activities[[#This Row],[Value]]*(1+VLOOKUP(Activities[[#This Row],[Reference Year]],Inflation[#All],3,FALSE)))</f>
        <v>23607.659430379746</v>
      </c>
    </row>
    <row r="230" spans="1:15" ht="15" customHeight="1" x14ac:dyDescent="0.25">
      <c r="A230" s="9" t="s">
        <v>161</v>
      </c>
      <c r="B230" s="9" t="str">
        <f>INDEX(Places[Type],MATCH(Activities[[#This Row],[Jurisdiction]],Places[Jurisdiction],0))</f>
        <v>City</v>
      </c>
      <c r="C230" s="19" t="str">
        <f>INDEX(Places[County],MATCH(Activities[[#This Row],[Jurisdiction]],Places[Jurisdiction],0))</f>
        <v>Los Angeles</v>
      </c>
      <c r="D230" s="19" t="str">
        <f>INDEX(Places[Majority RB],MATCH(Activities[[#This Row],[Jurisdiction]],Places[Jurisdiction],0))</f>
        <v>Los Angeles</v>
      </c>
      <c r="E230" s="9">
        <f>INDEX(Places[Majority RB '#],MATCH(Activities[[#This Row],[Jurisdiction]],Places[Jurisdiction],0))</f>
        <v>4</v>
      </c>
      <c r="F230" s="28" t="str">
        <f>VLOOKUP(Activities[[#This Row],[Jurisdiction]],Places[#All],8,FALSE)</f>
        <v>Phase I MS4</v>
      </c>
      <c r="G230" s="48" t="s">
        <v>208</v>
      </c>
      <c r="H230" s="8"/>
      <c r="I230" s="8"/>
      <c r="J230" s="8" t="s">
        <v>334</v>
      </c>
      <c r="K230" s="27" t="s">
        <v>1873</v>
      </c>
      <c r="L230" s="28">
        <f>_xlfn.NUMBERVALUE(LEFT(Activities[[#This Row],[Fiscal Year]], 4))</f>
        <v>2015</v>
      </c>
      <c r="M230" s="28" t="s">
        <v>1862</v>
      </c>
      <c r="N230" s="41">
        <v>1000</v>
      </c>
      <c r="O230" s="93">
        <f>IF(Activities[[#This Row],[Reference Year]]&gt;2018,Activities[[#This Row],[Value]],Activities[[#This Row],[Value]]*(1+VLOOKUP(Activities[[#This Row],[Reference Year]],Inflation[#All],3,FALSE)))</f>
        <v>1061.7341772151899</v>
      </c>
    </row>
    <row r="231" spans="1:15" ht="15" customHeight="1" x14ac:dyDescent="0.25">
      <c r="A231" s="9" t="s">
        <v>161</v>
      </c>
      <c r="B231" s="9" t="str">
        <f>INDEX(Places[Type],MATCH(Activities[[#This Row],[Jurisdiction]],Places[Jurisdiction],0))</f>
        <v>City</v>
      </c>
      <c r="C231" s="19" t="str">
        <f>INDEX(Places[County],MATCH(Activities[[#This Row],[Jurisdiction]],Places[Jurisdiction],0))</f>
        <v>Los Angeles</v>
      </c>
      <c r="D231" s="19" t="str">
        <f>INDEX(Places[Majority RB],MATCH(Activities[[#This Row],[Jurisdiction]],Places[Jurisdiction],0))</f>
        <v>Los Angeles</v>
      </c>
      <c r="E231" s="9">
        <f>INDEX(Places[Majority RB '#],MATCH(Activities[[#This Row],[Jurisdiction]],Places[Jurisdiction],0))</f>
        <v>4</v>
      </c>
      <c r="F231" s="28" t="str">
        <f>VLOOKUP(Activities[[#This Row],[Jurisdiction]],Places[#All],8,FALSE)</f>
        <v>Phase I MS4</v>
      </c>
      <c r="G231" s="48" t="s">
        <v>61</v>
      </c>
      <c r="H231" s="8"/>
      <c r="I231" s="8"/>
      <c r="J231" s="8" t="s">
        <v>1897</v>
      </c>
      <c r="K231" s="27" t="s">
        <v>1873</v>
      </c>
      <c r="L231" s="28">
        <f>_xlfn.NUMBERVALUE(LEFT(Activities[[#This Row],[Fiscal Year]], 4))</f>
        <v>2015</v>
      </c>
      <c r="M231" s="28" t="s">
        <v>1862</v>
      </c>
      <c r="N231" s="41">
        <v>459202</v>
      </c>
      <c r="O231" s="93">
        <f>IF(Activities[[#This Row],[Reference Year]]&gt;2018,Activities[[#This Row],[Value]],Activities[[#This Row],[Value]]*(1+VLOOKUP(Activities[[#This Row],[Reference Year]],Inflation[#All],3,FALSE)))</f>
        <v>487550.45764556958</v>
      </c>
    </row>
    <row r="232" spans="1:15" ht="15" customHeight="1" x14ac:dyDescent="0.25">
      <c r="A232" s="9" t="s">
        <v>161</v>
      </c>
      <c r="B232" s="9" t="str">
        <f>INDEX(Places[Type],MATCH(Activities[[#This Row],[Jurisdiction]],Places[Jurisdiction],0))</f>
        <v>City</v>
      </c>
      <c r="C232" s="19" t="str">
        <f>INDEX(Places[County],MATCH(Activities[[#This Row],[Jurisdiction]],Places[Jurisdiction],0))</f>
        <v>Los Angeles</v>
      </c>
      <c r="D232" s="19" t="str">
        <f>INDEX(Places[Majority RB],MATCH(Activities[[#This Row],[Jurisdiction]],Places[Jurisdiction],0))</f>
        <v>Los Angeles</v>
      </c>
      <c r="E232" s="9">
        <f>INDEX(Places[Majority RB '#],MATCH(Activities[[#This Row],[Jurisdiction]],Places[Jurisdiction],0))</f>
        <v>4</v>
      </c>
      <c r="F232" s="28" t="str">
        <f>VLOOKUP(Activities[[#This Row],[Jurisdiction]],Places[#All],8,FALSE)</f>
        <v>Phase I MS4</v>
      </c>
      <c r="G232" s="48" t="s">
        <v>59</v>
      </c>
      <c r="H232" s="8"/>
      <c r="I232" s="8"/>
      <c r="J232" s="8" t="s">
        <v>1898</v>
      </c>
      <c r="K232" s="27" t="s">
        <v>1873</v>
      </c>
      <c r="L232" s="28">
        <f>_xlfn.NUMBERVALUE(LEFT(Activities[[#This Row],[Fiscal Year]], 4))</f>
        <v>2015</v>
      </c>
      <c r="M232" s="28" t="s">
        <v>1862</v>
      </c>
      <c r="N232" s="41">
        <v>12988</v>
      </c>
      <c r="O232" s="93">
        <f>IF(Activities[[#This Row],[Reference Year]]&gt;2018,Activities[[#This Row],[Value]],Activities[[#This Row],[Value]]*(1+VLOOKUP(Activities[[#This Row],[Reference Year]],Inflation[#All],3,FALSE)))</f>
        <v>13789.803493670885</v>
      </c>
    </row>
    <row r="233" spans="1:15" ht="15" customHeight="1" x14ac:dyDescent="0.25">
      <c r="A233" s="9" t="s">
        <v>161</v>
      </c>
      <c r="B233" s="9" t="str">
        <f>INDEX(Places[Type],MATCH(Activities[[#This Row],[Jurisdiction]],Places[Jurisdiction],0))</f>
        <v>City</v>
      </c>
      <c r="C233" s="19" t="str">
        <f>INDEX(Places[County],MATCH(Activities[[#This Row],[Jurisdiction]],Places[Jurisdiction],0))</f>
        <v>Los Angeles</v>
      </c>
      <c r="D233" s="19" t="str">
        <f>INDEX(Places[Majority RB],MATCH(Activities[[#This Row],[Jurisdiction]],Places[Jurisdiction],0))</f>
        <v>Los Angeles</v>
      </c>
      <c r="E233" s="9">
        <f>INDEX(Places[Majority RB '#],MATCH(Activities[[#This Row],[Jurisdiction]],Places[Jurisdiction],0))</f>
        <v>4</v>
      </c>
      <c r="F233" s="28" t="str">
        <f>VLOOKUP(Activities[[#This Row],[Jurisdiction]],Places[#All],8,FALSE)</f>
        <v>Phase I MS4</v>
      </c>
      <c r="G233" s="48" t="s">
        <v>60</v>
      </c>
      <c r="H233" s="8"/>
      <c r="I233" s="8"/>
      <c r="J233" s="8" t="s">
        <v>1898</v>
      </c>
      <c r="K233" s="27" t="s">
        <v>1873</v>
      </c>
      <c r="L233" s="28">
        <f>_xlfn.NUMBERVALUE(LEFT(Activities[[#This Row],[Fiscal Year]], 4))</f>
        <v>2015</v>
      </c>
      <c r="M233" s="28" t="s">
        <v>1862</v>
      </c>
      <c r="N233" s="41">
        <v>30000</v>
      </c>
      <c r="O233" s="93">
        <f>IF(Activities[[#This Row],[Reference Year]]&gt;2018,Activities[[#This Row],[Value]],Activities[[#This Row],[Value]]*(1+VLOOKUP(Activities[[#This Row],[Reference Year]],Inflation[#All],3,FALSE)))</f>
        <v>31852.025316455696</v>
      </c>
    </row>
    <row r="234" spans="1:15" ht="15" customHeight="1" x14ac:dyDescent="0.25">
      <c r="A234" s="9" t="s">
        <v>161</v>
      </c>
      <c r="B234" s="9" t="str">
        <f>INDEX(Places[Type],MATCH(Activities[[#This Row],[Jurisdiction]],Places[Jurisdiction],0))</f>
        <v>City</v>
      </c>
      <c r="C234" s="19" t="str">
        <f>INDEX(Places[County],MATCH(Activities[[#This Row],[Jurisdiction]],Places[Jurisdiction],0))</f>
        <v>Los Angeles</v>
      </c>
      <c r="D234" s="19" t="str">
        <f>INDEX(Places[Majority RB],MATCH(Activities[[#This Row],[Jurisdiction]],Places[Jurisdiction],0))</f>
        <v>Los Angeles</v>
      </c>
      <c r="E234" s="9">
        <f>INDEX(Places[Majority RB '#],MATCH(Activities[[#This Row],[Jurisdiction]],Places[Jurisdiction],0))</f>
        <v>4</v>
      </c>
      <c r="F234" s="28" t="str">
        <f>VLOOKUP(Activities[[#This Row],[Jurisdiction]],Places[#All],8,FALSE)</f>
        <v>Phase I MS4</v>
      </c>
      <c r="G234" s="48" t="s">
        <v>58</v>
      </c>
      <c r="H234" s="8"/>
      <c r="I234" s="8"/>
      <c r="J234" s="8" t="s">
        <v>1456</v>
      </c>
      <c r="K234" s="27" t="s">
        <v>1873</v>
      </c>
      <c r="L234" s="28">
        <f>_xlfn.NUMBERVALUE(LEFT(Activities[[#This Row],[Fiscal Year]], 4))</f>
        <v>2015</v>
      </c>
      <c r="M234" s="28" t="s">
        <v>1862</v>
      </c>
      <c r="N234" s="41">
        <v>11960</v>
      </c>
      <c r="O234" s="93">
        <f>IF(Activities[[#This Row],[Reference Year]]&gt;2018,Activities[[#This Row],[Value]],Activities[[#This Row],[Value]]*(1+VLOOKUP(Activities[[#This Row],[Reference Year]],Inflation[#All],3,FALSE)))</f>
        <v>12698.340759493671</v>
      </c>
    </row>
    <row r="235" spans="1:15" ht="15" customHeight="1" x14ac:dyDescent="0.25">
      <c r="A235" s="9" t="s">
        <v>161</v>
      </c>
      <c r="B235" s="9" t="str">
        <f>INDEX(Places[Type],MATCH(Activities[[#This Row],[Jurisdiction]],Places[Jurisdiction],0))</f>
        <v>City</v>
      </c>
      <c r="C235" s="19" t="str">
        <f>INDEX(Places[County],MATCH(Activities[[#This Row],[Jurisdiction]],Places[Jurisdiction],0))</f>
        <v>Los Angeles</v>
      </c>
      <c r="D235" s="19" t="str">
        <f>INDEX(Places[Majority RB],MATCH(Activities[[#This Row],[Jurisdiction]],Places[Jurisdiction],0))</f>
        <v>Los Angeles</v>
      </c>
      <c r="E235" s="9">
        <f>INDEX(Places[Majority RB '#],MATCH(Activities[[#This Row],[Jurisdiction]],Places[Jurisdiction],0))</f>
        <v>4</v>
      </c>
      <c r="F235" s="28" t="str">
        <f>VLOOKUP(Activities[[#This Row],[Jurisdiction]],Places[#All],8,FALSE)</f>
        <v>Phase I MS4</v>
      </c>
      <c r="G235" s="48" t="s">
        <v>32</v>
      </c>
      <c r="H235" s="8"/>
      <c r="I235" s="8"/>
      <c r="J235" s="8" t="s">
        <v>1894</v>
      </c>
      <c r="K235" s="27" t="s">
        <v>1873</v>
      </c>
      <c r="L235" s="28">
        <f>_xlfn.NUMBERVALUE(LEFT(Activities[[#This Row],[Fiscal Year]], 4))</f>
        <v>2015</v>
      </c>
      <c r="M235" s="28" t="s">
        <v>1862</v>
      </c>
      <c r="N235" s="41">
        <v>203000</v>
      </c>
      <c r="O235" s="93">
        <f>IF(Activities[[#This Row],[Reference Year]]&gt;2018,Activities[[#This Row],[Value]],Activities[[#This Row],[Value]]*(1+VLOOKUP(Activities[[#This Row],[Reference Year]],Inflation[#All],3,FALSE)))</f>
        <v>215532.03797468354</v>
      </c>
    </row>
    <row r="236" spans="1:15" ht="15" customHeight="1" x14ac:dyDescent="0.25">
      <c r="A236" s="9" t="s">
        <v>161</v>
      </c>
      <c r="B236" s="9" t="str">
        <f>INDEX(Places[Type],MATCH(Activities[[#This Row],[Jurisdiction]],Places[Jurisdiction],0))</f>
        <v>City</v>
      </c>
      <c r="C236" s="19" t="str">
        <f>INDEX(Places[County],MATCH(Activities[[#This Row],[Jurisdiction]],Places[Jurisdiction],0))</f>
        <v>Los Angeles</v>
      </c>
      <c r="D236" s="19" t="str">
        <f>INDEX(Places[Majority RB],MATCH(Activities[[#This Row],[Jurisdiction]],Places[Jurisdiction],0))</f>
        <v>Los Angeles</v>
      </c>
      <c r="E236" s="9">
        <f>INDEX(Places[Majority RB '#],MATCH(Activities[[#This Row],[Jurisdiction]],Places[Jurisdiction],0))</f>
        <v>4</v>
      </c>
      <c r="F236" s="28" t="str">
        <f>VLOOKUP(Activities[[#This Row],[Jurisdiction]],Places[#All],8,FALSE)</f>
        <v>Phase I MS4</v>
      </c>
      <c r="G236" s="48" t="s">
        <v>67</v>
      </c>
      <c r="H236" s="8"/>
      <c r="I236" s="8"/>
      <c r="J236" s="8" t="s">
        <v>1896</v>
      </c>
      <c r="K236" s="27" t="s">
        <v>1873</v>
      </c>
      <c r="L236" s="28">
        <f>_xlfn.NUMBERVALUE(LEFT(Activities[[#This Row],[Fiscal Year]], 4))</f>
        <v>2015</v>
      </c>
      <c r="M236" s="28" t="s">
        <v>1862</v>
      </c>
      <c r="N236" s="41">
        <v>100000</v>
      </c>
      <c r="O236" s="93">
        <f>IF(Activities[[#This Row],[Reference Year]]&gt;2018,Activities[[#This Row],[Value]],Activities[[#This Row],[Value]]*(1+VLOOKUP(Activities[[#This Row],[Reference Year]],Inflation[#All],3,FALSE)))</f>
        <v>106173.41772151898</v>
      </c>
    </row>
    <row r="237" spans="1:15" ht="15" customHeight="1" x14ac:dyDescent="0.25">
      <c r="A237" s="9" t="s">
        <v>310</v>
      </c>
      <c r="B237" s="9" t="str">
        <f>INDEX(Places[Type],MATCH(Activities[[#This Row],[Jurisdiction]],Places[Jurisdiction],0))</f>
        <v>City</v>
      </c>
      <c r="C237" s="19" t="str">
        <f>INDEX(Places[County],MATCH(Activities[[#This Row],[Jurisdiction]],Places[Jurisdiction],0))</f>
        <v>San Diego</v>
      </c>
      <c r="D237" s="9" t="str">
        <f>INDEX(Places[Majority RB],MATCH(Activities[[#This Row],[Jurisdiction]],Places[Jurisdiction],0))</f>
        <v>San Diego</v>
      </c>
      <c r="E237" s="9">
        <f>INDEX(Places[Majority RB '#],MATCH(Activities[[#This Row],[Jurisdiction]],Places[Jurisdiction],0))</f>
        <v>9</v>
      </c>
      <c r="F237" s="28" t="str">
        <f>VLOOKUP(Activities[[#This Row],[Jurisdiction]],Places[#All],8,FALSE)</f>
        <v>Phase I MS4</v>
      </c>
      <c r="G237" s="48" t="s">
        <v>1307</v>
      </c>
      <c r="H237" s="8"/>
      <c r="I237" s="8"/>
      <c r="J237" s="8" t="s">
        <v>76</v>
      </c>
      <c r="K237" s="27" t="s">
        <v>1874</v>
      </c>
      <c r="L237" s="28">
        <f>_xlfn.NUMBERVALUE(LEFT(Activities[[#This Row],[Fiscal Year]], 4))</f>
        <v>2017</v>
      </c>
      <c r="M237" s="28" t="s">
        <v>1862</v>
      </c>
      <c r="N237" s="41">
        <v>169162</v>
      </c>
      <c r="O237" s="93">
        <f>IF(Activities[[#This Row],[Reference Year]]&gt;2018,Activities[[#This Row],[Value]],Activities[[#This Row],[Value]]*(1+VLOOKUP(Activities[[#This Row],[Reference Year]],Inflation[#All],3,FALSE)))</f>
        <v>173669.53578947371</v>
      </c>
    </row>
    <row r="238" spans="1:15" ht="15" customHeight="1" x14ac:dyDescent="0.25">
      <c r="A238" s="9" t="s">
        <v>310</v>
      </c>
      <c r="B238" s="9" t="str">
        <f>INDEX(Places[Type],MATCH(Activities[[#This Row],[Jurisdiction]],Places[Jurisdiction],0))</f>
        <v>City</v>
      </c>
      <c r="C238" s="19" t="str">
        <f>INDEX(Places[County],MATCH(Activities[[#This Row],[Jurisdiction]],Places[Jurisdiction],0))</f>
        <v>San Diego</v>
      </c>
      <c r="D238" s="9" t="str">
        <f>INDEX(Places[Majority RB],MATCH(Activities[[#This Row],[Jurisdiction]],Places[Jurisdiction],0))</f>
        <v>San Diego</v>
      </c>
      <c r="E238" s="9">
        <f>INDEX(Places[Majority RB '#],MATCH(Activities[[#This Row],[Jurisdiction]],Places[Jurisdiction],0))</f>
        <v>9</v>
      </c>
      <c r="F238" s="28" t="str">
        <f>VLOOKUP(Activities[[#This Row],[Jurisdiction]],Places[#All],8,FALSE)</f>
        <v>Phase I MS4</v>
      </c>
      <c r="G238" s="48" t="s">
        <v>1299</v>
      </c>
      <c r="H238" s="8"/>
      <c r="I238" s="8"/>
      <c r="J238" s="8" t="s">
        <v>1895</v>
      </c>
      <c r="K238" s="27" t="s">
        <v>1874</v>
      </c>
      <c r="L238" s="28">
        <f>_xlfn.NUMBERVALUE(LEFT(Activities[[#This Row],[Fiscal Year]], 4))</f>
        <v>2017</v>
      </c>
      <c r="M238" s="28" t="s">
        <v>1862</v>
      </c>
      <c r="N238" s="41">
        <v>37646.07</v>
      </c>
      <c r="O238" s="93">
        <f>IF(Activities[[#This Row],[Reference Year]]&gt;2018,Activities[[#This Row],[Value]],Activities[[#This Row],[Value]]*(1+VLOOKUP(Activities[[#This Row],[Reference Year]],Inflation[#All],3,FALSE)))</f>
        <v>38649.197226315795</v>
      </c>
    </row>
    <row r="239" spans="1:15" ht="15" customHeight="1" x14ac:dyDescent="0.25">
      <c r="A239" s="9" t="s">
        <v>310</v>
      </c>
      <c r="B239" s="9" t="str">
        <f>INDEX(Places[Type],MATCH(Activities[[#This Row],[Jurisdiction]],Places[Jurisdiction],0))</f>
        <v>City</v>
      </c>
      <c r="C239" s="19" t="str">
        <f>INDEX(Places[County],MATCH(Activities[[#This Row],[Jurisdiction]],Places[Jurisdiction],0))</f>
        <v>San Diego</v>
      </c>
      <c r="D239" s="9" t="str">
        <f>INDEX(Places[Majority RB],MATCH(Activities[[#This Row],[Jurisdiction]],Places[Jurisdiction],0))</f>
        <v>San Diego</v>
      </c>
      <c r="E239" s="9">
        <f>INDEX(Places[Majority RB '#],MATCH(Activities[[#This Row],[Jurisdiction]],Places[Jurisdiction],0))</f>
        <v>9</v>
      </c>
      <c r="F239" s="28" t="str">
        <f>VLOOKUP(Activities[[#This Row],[Jurisdiction]],Places[#All],8,FALSE)</f>
        <v>Phase I MS4</v>
      </c>
      <c r="G239" s="48" t="s">
        <v>1147</v>
      </c>
      <c r="H239" s="8"/>
      <c r="I239" s="8"/>
      <c r="J239" s="8" t="s">
        <v>131</v>
      </c>
      <c r="K239" s="27" t="s">
        <v>1874</v>
      </c>
      <c r="L239" s="28">
        <f>_xlfn.NUMBERVALUE(LEFT(Activities[[#This Row],[Fiscal Year]], 4))</f>
        <v>2017</v>
      </c>
      <c r="M239" s="28" t="s">
        <v>1862</v>
      </c>
      <c r="N239" s="41">
        <v>446529.91</v>
      </c>
      <c r="O239" s="93">
        <f>IF(Activities[[#This Row],[Reference Year]]&gt;2018,Activities[[#This Row],[Value]],Activities[[#This Row],[Value]]*(1+VLOOKUP(Activities[[#This Row],[Reference Year]],Inflation[#All],3,FALSE)))</f>
        <v>458428.2651293758</v>
      </c>
    </row>
    <row r="240" spans="1:15" ht="15" customHeight="1" x14ac:dyDescent="0.25">
      <c r="A240" s="9" t="s">
        <v>310</v>
      </c>
      <c r="B240" s="9" t="str">
        <f>INDEX(Places[Type],MATCH(Activities[[#This Row],[Jurisdiction]],Places[Jurisdiction],0))</f>
        <v>City</v>
      </c>
      <c r="C240" s="19" t="str">
        <f>INDEX(Places[County],MATCH(Activities[[#This Row],[Jurisdiction]],Places[Jurisdiction],0))</f>
        <v>San Diego</v>
      </c>
      <c r="D240" s="9" t="str">
        <f>INDEX(Places[Majority RB],MATCH(Activities[[#This Row],[Jurisdiction]],Places[Jurisdiction],0))</f>
        <v>San Diego</v>
      </c>
      <c r="E240" s="9">
        <f>INDEX(Places[Majority RB '#],MATCH(Activities[[#This Row],[Jurisdiction]],Places[Jurisdiction],0))</f>
        <v>9</v>
      </c>
      <c r="F240" s="28" t="str">
        <f>VLOOKUP(Activities[[#This Row],[Jurisdiction]],Places[#All],8,FALSE)</f>
        <v>Phase I MS4</v>
      </c>
      <c r="G240" s="48" t="s">
        <v>1301</v>
      </c>
      <c r="H240" s="8"/>
      <c r="I240" s="8"/>
      <c r="J240" s="8" t="s">
        <v>334</v>
      </c>
      <c r="K240" s="27" t="s">
        <v>1874</v>
      </c>
      <c r="L240" s="28">
        <f>_xlfn.NUMBERVALUE(LEFT(Activities[[#This Row],[Fiscal Year]], 4))</f>
        <v>2017</v>
      </c>
      <c r="M240" s="28" t="s">
        <v>1862</v>
      </c>
      <c r="N240" s="41">
        <v>25255.89</v>
      </c>
      <c r="O240" s="93">
        <f>IF(Activities[[#This Row],[Reference Year]]&gt;2018,Activities[[#This Row],[Value]],Activities[[#This Row],[Value]]*(1+VLOOKUP(Activities[[#This Row],[Reference Year]],Inflation[#All],3,FALSE)))</f>
        <v>25928.865183965732</v>
      </c>
    </row>
    <row r="241" spans="1:15" ht="15" customHeight="1" x14ac:dyDescent="0.25">
      <c r="A241" s="9" t="s">
        <v>310</v>
      </c>
      <c r="B241" s="9" t="str">
        <f>INDEX(Places[Type],MATCH(Activities[[#This Row],[Jurisdiction]],Places[Jurisdiction],0))</f>
        <v>City</v>
      </c>
      <c r="C241" s="19" t="str">
        <f>INDEX(Places[County],MATCH(Activities[[#This Row],[Jurisdiction]],Places[Jurisdiction],0))</f>
        <v>San Diego</v>
      </c>
      <c r="D241" s="9" t="str">
        <f>INDEX(Places[Majority RB],MATCH(Activities[[#This Row],[Jurisdiction]],Places[Jurisdiction],0))</f>
        <v>San Diego</v>
      </c>
      <c r="E241" s="9">
        <f>INDEX(Places[Majority RB '#],MATCH(Activities[[#This Row],[Jurisdiction]],Places[Jurisdiction],0))</f>
        <v>9</v>
      </c>
      <c r="F241" s="28" t="str">
        <f>VLOOKUP(Activities[[#This Row],[Jurisdiction]],Places[#All],8,FALSE)</f>
        <v>Phase I MS4</v>
      </c>
      <c r="G241" s="48" t="s">
        <v>1304</v>
      </c>
      <c r="H241" s="8"/>
      <c r="I241" s="8"/>
      <c r="J241" s="8" t="s">
        <v>1897</v>
      </c>
      <c r="K241" s="27" t="s">
        <v>1874</v>
      </c>
      <c r="L241" s="28">
        <f>_xlfn.NUMBERVALUE(LEFT(Activities[[#This Row],[Fiscal Year]], 4))</f>
        <v>2017</v>
      </c>
      <c r="M241" s="28" t="s">
        <v>1862</v>
      </c>
      <c r="N241" s="41">
        <v>8628.4</v>
      </c>
      <c r="O241" s="93">
        <f>IF(Activities[[#This Row],[Reference Year]]&gt;2018,Activities[[#This Row],[Value]],Activities[[#This Row],[Value]]*(1+VLOOKUP(Activities[[#This Row],[Reference Year]],Inflation[#All],3,FALSE)))</f>
        <v>8858.3146487148115</v>
      </c>
    </row>
    <row r="242" spans="1:15" ht="15" customHeight="1" x14ac:dyDescent="0.25">
      <c r="A242" s="9" t="s">
        <v>310</v>
      </c>
      <c r="B242" s="9" t="str">
        <f>INDEX(Places[Type],MATCH(Activities[[#This Row],[Jurisdiction]],Places[Jurisdiction],0))</f>
        <v>City</v>
      </c>
      <c r="C242" s="19" t="str">
        <f>INDEX(Places[County],MATCH(Activities[[#This Row],[Jurisdiction]],Places[Jurisdiction],0))</f>
        <v>San Diego</v>
      </c>
      <c r="D242" s="9" t="str">
        <f>INDEX(Places[Majority RB],MATCH(Activities[[#This Row],[Jurisdiction]],Places[Jurisdiction],0))</f>
        <v>San Diego</v>
      </c>
      <c r="E242" s="9">
        <f>INDEX(Places[Majority RB '#],MATCH(Activities[[#This Row],[Jurisdiction]],Places[Jurisdiction],0))</f>
        <v>9</v>
      </c>
      <c r="F242" s="28" t="str">
        <f>VLOOKUP(Activities[[#This Row],[Jurisdiction]],Places[#All],8,FALSE)</f>
        <v>Phase I MS4</v>
      </c>
      <c r="G242" s="48" t="s">
        <v>1300</v>
      </c>
      <c r="H242" s="8" t="s">
        <v>685</v>
      </c>
      <c r="I242" s="94" t="s">
        <v>686</v>
      </c>
      <c r="J242" s="8" t="s">
        <v>1897</v>
      </c>
      <c r="K242" s="27" t="s">
        <v>1874</v>
      </c>
      <c r="L242" s="28">
        <f>_xlfn.NUMBERVALUE(LEFT(Activities[[#This Row],[Fiscal Year]], 4))</f>
        <v>2017</v>
      </c>
      <c r="M242" s="28" t="s">
        <v>1862</v>
      </c>
      <c r="N242" s="41">
        <v>1264855.17</v>
      </c>
      <c r="O242" s="93">
        <f>IF(Activities[[#This Row],[Reference Year]]&gt;2018,Activities[[#This Row],[Value]],Activities[[#This Row],[Value]]*(1+VLOOKUP(Activities[[#This Row],[Reference Year]],Inflation[#All],3,FALSE)))</f>
        <v>1298558.8383609548</v>
      </c>
    </row>
    <row r="243" spans="1:15" ht="15" customHeight="1" x14ac:dyDescent="0.25">
      <c r="A243" s="9" t="s">
        <v>310</v>
      </c>
      <c r="B243" s="9" t="str">
        <f>INDEX(Places[Type],MATCH(Activities[[#This Row],[Jurisdiction]],Places[Jurisdiction],0))</f>
        <v>City</v>
      </c>
      <c r="C243" s="19" t="str">
        <f>INDEX(Places[County],MATCH(Activities[[#This Row],[Jurisdiction]],Places[Jurisdiction],0))</f>
        <v>San Diego</v>
      </c>
      <c r="D243" s="9" t="str">
        <f>INDEX(Places[Majority RB],MATCH(Activities[[#This Row],[Jurisdiction]],Places[Jurisdiction],0))</f>
        <v>San Diego</v>
      </c>
      <c r="E243" s="9">
        <f>INDEX(Places[Majority RB '#],MATCH(Activities[[#This Row],[Jurisdiction]],Places[Jurisdiction],0))</f>
        <v>9</v>
      </c>
      <c r="F243" s="28" t="str">
        <f>VLOOKUP(Activities[[#This Row],[Jurisdiction]],Places[#All],8,FALSE)</f>
        <v>Phase I MS4</v>
      </c>
      <c r="G243" s="48" t="s">
        <v>1302</v>
      </c>
      <c r="H243" s="8"/>
      <c r="I243" s="8"/>
      <c r="J243" s="8" t="s">
        <v>1898</v>
      </c>
      <c r="K243" s="27" t="s">
        <v>1874</v>
      </c>
      <c r="L243" s="28">
        <f>_xlfn.NUMBERVALUE(LEFT(Activities[[#This Row],[Fiscal Year]], 4))</f>
        <v>2017</v>
      </c>
      <c r="M243" s="28" t="s">
        <v>1862</v>
      </c>
      <c r="N243" s="41">
        <v>16837.259999999998</v>
      </c>
      <c r="O243" s="93">
        <f>IF(Activities[[#This Row],[Reference Year]]&gt;2018,Activities[[#This Row],[Value]],Activities[[#This Row],[Value]]*(1+VLOOKUP(Activities[[#This Row],[Reference Year]],Inflation[#All],3,FALSE)))</f>
        <v>17285.910122643818</v>
      </c>
    </row>
    <row r="244" spans="1:15" ht="15" customHeight="1" x14ac:dyDescent="0.25">
      <c r="A244" s="9" t="s">
        <v>310</v>
      </c>
      <c r="B244" s="9" t="str">
        <f>INDEX(Places[Type],MATCH(Activities[[#This Row],[Jurisdiction]],Places[Jurisdiction],0))</f>
        <v>City</v>
      </c>
      <c r="C244" s="19" t="str">
        <f>INDEX(Places[County],MATCH(Activities[[#This Row],[Jurisdiction]],Places[Jurisdiction],0))</f>
        <v>San Diego</v>
      </c>
      <c r="D244" s="9" t="str">
        <f>INDEX(Places[Majority RB],MATCH(Activities[[#This Row],[Jurisdiction]],Places[Jurisdiction],0))</f>
        <v>San Diego</v>
      </c>
      <c r="E244" s="9">
        <f>INDEX(Places[Majority RB '#],MATCH(Activities[[#This Row],[Jurisdiction]],Places[Jurisdiction],0))</f>
        <v>9</v>
      </c>
      <c r="F244" s="28" t="str">
        <f>VLOOKUP(Activities[[#This Row],[Jurisdiction]],Places[#All],8,FALSE)</f>
        <v>Phase I MS4</v>
      </c>
      <c r="G244" s="48" t="s">
        <v>1272</v>
      </c>
      <c r="H244" s="8"/>
      <c r="I244" s="8"/>
      <c r="J244" s="8" t="s">
        <v>1898</v>
      </c>
      <c r="K244" s="27" t="s">
        <v>1874</v>
      </c>
      <c r="L244" s="28">
        <f>_xlfn.NUMBERVALUE(LEFT(Activities[[#This Row],[Fiscal Year]], 4))</f>
        <v>2017</v>
      </c>
      <c r="M244" s="28" t="s">
        <v>1862</v>
      </c>
      <c r="N244" s="41">
        <v>46064.7</v>
      </c>
      <c r="O244" s="93">
        <f>IF(Activities[[#This Row],[Reference Year]]&gt;2018,Activities[[#This Row],[Value]],Activities[[#This Row],[Value]]*(1+VLOOKUP(Activities[[#This Row],[Reference Year]],Inflation[#All],3,FALSE)))</f>
        <v>47292.152287637698</v>
      </c>
    </row>
    <row r="245" spans="1:15" ht="15" customHeight="1" x14ac:dyDescent="0.25">
      <c r="A245" s="9" t="s">
        <v>310</v>
      </c>
      <c r="B245" s="9" t="str">
        <f>INDEX(Places[Type],MATCH(Activities[[#This Row],[Jurisdiction]],Places[Jurisdiction],0))</f>
        <v>City</v>
      </c>
      <c r="C245" s="19" t="str">
        <f>INDEX(Places[County],MATCH(Activities[[#This Row],[Jurisdiction]],Places[Jurisdiction],0))</f>
        <v>San Diego</v>
      </c>
      <c r="D245" s="9" t="str">
        <f>INDEX(Places[Majority RB],MATCH(Activities[[#This Row],[Jurisdiction]],Places[Jurisdiction],0))</f>
        <v>San Diego</v>
      </c>
      <c r="E245" s="9">
        <f>INDEX(Places[Majority RB '#],MATCH(Activities[[#This Row],[Jurisdiction]],Places[Jurisdiction],0))</f>
        <v>9</v>
      </c>
      <c r="F245" s="28" t="str">
        <f>VLOOKUP(Activities[[#This Row],[Jurisdiction]],Places[#All],8,FALSE)</f>
        <v>Phase I MS4</v>
      </c>
      <c r="G245" s="48" t="s">
        <v>1305</v>
      </c>
      <c r="H245" s="8" t="s">
        <v>600</v>
      </c>
      <c r="I245" s="8" t="s">
        <v>590</v>
      </c>
      <c r="J245" s="8" t="s">
        <v>1456</v>
      </c>
      <c r="K245" s="27" t="s">
        <v>1874</v>
      </c>
      <c r="L245" s="28">
        <f>_xlfn.NUMBERVALUE(LEFT(Activities[[#This Row],[Fiscal Year]], 4))</f>
        <v>2017</v>
      </c>
      <c r="M245" s="28" t="s">
        <v>1862</v>
      </c>
      <c r="N245" s="41">
        <v>275671.93</v>
      </c>
      <c r="O245" s="93">
        <f>IF(Activities[[#This Row],[Reference Year]]&gt;2018,Activities[[#This Row],[Value]],Activities[[#This Row],[Value]]*(1+VLOOKUP(Activities[[#This Row],[Reference Year]],Inflation[#All],3,FALSE)))</f>
        <v>283017.55780428398</v>
      </c>
    </row>
    <row r="246" spans="1:15" ht="15" customHeight="1" x14ac:dyDescent="0.25">
      <c r="A246" s="9" t="s">
        <v>310</v>
      </c>
      <c r="B246" s="9" t="str">
        <f>INDEX(Places[Type],MATCH(Activities[[#This Row],[Jurisdiction]],Places[Jurisdiction],0))</f>
        <v>City</v>
      </c>
      <c r="C246" s="19" t="str">
        <f>INDEX(Places[County],MATCH(Activities[[#This Row],[Jurisdiction]],Places[Jurisdiction],0))</f>
        <v>San Diego</v>
      </c>
      <c r="D246" s="9" t="str">
        <f>INDEX(Places[Majority RB],MATCH(Activities[[#This Row],[Jurisdiction]],Places[Jurisdiction],0))</f>
        <v>San Diego</v>
      </c>
      <c r="E246" s="9">
        <f>INDEX(Places[Majority RB '#],MATCH(Activities[[#This Row],[Jurisdiction]],Places[Jurisdiction],0))</f>
        <v>9</v>
      </c>
      <c r="F246" s="28" t="str">
        <f>VLOOKUP(Activities[[#This Row],[Jurisdiction]],Places[#All],8,FALSE)</f>
        <v>Phase I MS4</v>
      </c>
      <c r="G246" s="48" t="s">
        <v>1140</v>
      </c>
      <c r="H246" s="8"/>
      <c r="I246" s="8"/>
      <c r="J246" s="8" t="s">
        <v>1894</v>
      </c>
      <c r="K246" s="27" t="s">
        <v>1874</v>
      </c>
      <c r="L246" s="28">
        <f>_xlfn.NUMBERVALUE(LEFT(Activities[[#This Row],[Fiscal Year]], 4))</f>
        <v>2017</v>
      </c>
      <c r="M246" s="28" t="s">
        <v>1862</v>
      </c>
      <c r="N246" s="41">
        <v>184385.73</v>
      </c>
      <c r="O246" s="93">
        <f>IF(Activities[[#This Row],[Reference Year]]&gt;2018,Activities[[#This Row],[Value]],Activities[[#This Row],[Value]]*(1+VLOOKUP(Activities[[#This Row],[Reference Year]],Inflation[#All],3,FALSE)))</f>
        <v>189298.92136119955</v>
      </c>
    </row>
    <row r="247" spans="1:15" ht="15" customHeight="1" x14ac:dyDescent="0.25">
      <c r="A247" s="9" t="s">
        <v>310</v>
      </c>
      <c r="B247" s="9" t="str">
        <f>INDEX(Places[Type],MATCH(Activities[[#This Row],[Jurisdiction]],Places[Jurisdiction],0))</f>
        <v>City</v>
      </c>
      <c r="C247" s="19" t="str">
        <f>INDEX(Places[County],MATCH(Activities[[#This Row],[Jurisdiction]],Places[Jurisdiction],0))</f>
        <v>San Diego</v>
      </c>
      <c r="D247" s="9" t="str">
        <f>INDEX(Places[Majority RB],MATCH(Activities[[#This Row],[Jurisdiction]],Places[Jurisdiction],0))</f>
        <v>San Diego</v>
      </c>
      <c r="E247" s="9">
        <f>INDEX(Places[Majority RB '#],MATCH(Activities[[#This Row],[Jurisdiction]],Places[Jurisdiction],0))</f>
        <v>9</v>
      </c>
      <c r="F247" s="28" t="str">
        <f>VLOOKUP(Activities[[#This Row],[Jurisdiction]],Places[#All],8,FALSE)</f>
        <v>Phase I MS4</v>
      </c>
      <c r="G247" s="48" t="s">
        <v>1295</v>
      </c>
      <c r="H247" s="8"/>
      <c r="I247" s="8"/>
      <c r="J247" s="8" t="s">
        <v>1896</v>
      </c>
      <c r="K247" s="27" t="s">
        <v>1874</v>
      </c>
      <c r="L247" s="28">
        <f>_xlfn.NUMBERVALUE(LEFT(Activities[[#This Row],[Fiscal Year]], 4))</f>
        <v>2017</v>
      </c>
      <c r="M247" s="28" t="s">
        <v>1862</v>
      </c>
      <c r="N247" s="41">
        <v>25575.23</v>
      </c>
      <c r="O247" s="93">
        <f>IF(Activities[[#This Row],[Reference Year]]&gt;2018,Activities[[#This Row],[Value]],Activities[[#This Row],[Value]]*(1+VLOOKUP(Activities[[#This Row],[Reference Year]],Inflation[#All],3,FALSE)))</f>
        <v>26256.714402815182</v>
      </c>
    </row>
    <row r="248" spans="1:15" ht="15" customHeight="1" x14ac:dyDescent="0.25">
      <c r="A248" s="9" t="s">
        <v>310</v>
      </c>
      <c r="B248" s="9" t="str">
        <f>INDEX(Places[Type],MATCH(Activities[[#This Row],[Jurisdiction]],Places[Jurisdiction],0))</f>
        <v>City</v>
      </c>
      <c r="C248" s="19" t="str">
        <f>INDEX(Places[County],MATCH(Activities[[#This Row],[Jurisdiction]],Places[Jurisdiction],0))</f>
        <v>San Diego</v>
      </c>
      <c r="D248" s="9" t="str">
        <f>INDEX(Places[Majority RB],MATCH(Activities[[#This Row],[Jurisdiction]],Places[Jurisdiction],0))</f>
        <v>San Diego</v>
      </c>
      <c r="E248" s="9">
        <f>INDEX(Places[Majority RB '#],MATCH(Activities[[#This Row],[Jurisdiction]],Places[Jurisdiction],0))</f>
        <v>9</v>
      </c>
      <c r="F248" s="28" t="str">
        <f>VLOOKUP(Activities[[#This Row],[Jurisdiction]],Places[#All],8,FALSE)</f>
        <v>Phase I MS4</v>
      </c>
      <c r="G248" s="56" t="s">
        <v>366</v>
      </c>
      <c r="H248" s="8"/>
      <c r="I248" s="8"/>
      <c r="J248" s="8" t="s">
        <v>1896</v>
      </c>
      <c r="K248" s="27" t="s">
        <v>1874</v>
      </c>
      <c r="L248" s="28">
        <f>_xlfn.NUMBERVALUE(LEFT(Activities[[#This Row],[Fiscal Year]], 4))</f>
        <v>2017</v>
      </c>
      <c r="M248" s="28" t="s">
        <v>1862</v>
      </c>
      <c r="N248" s="41">
        <v>38527.89</v>
      </c>
      <c r="O248" s="93">
        <f>IF(Activities[[#This Row],[Reference Year]]&gt;2018,Activities[[#This Row],[Value]],Activities[[#This Row],[Value]]*(1+VLOOKUP(Activities[[#This Row],[Reference Year]],Inflation[#All],3,FALSE)))</f>
        <v>39554.514437331709</v>
      </c>
    </row>
    <row r="249" spans="1:15" ht="15" customHeight="1" x14ac:dyDescent="0.25">
      <c r="A249" s="9" t="s">
        <v>310</v>
      </c>
      <c r="B249" s="9" t="str">
        <f>INDEX(Places[Type],MATCH(Activities[[#This Row],[Jurisdiction]],Places[Jurisdiction],0))</f>
        <v>City</v>
      </c>
      <c r="C249" s="19" t="str">
        <f>INDEX(Places[County],MATCH(Activities[[#This Row],[Jurisdiction]],Places[Jurisdiction],0))</f>
        <v>San Diego</v>
      </c>
      <c r="D249" s="9" t="str">
        <f>INDEX(Places[Majority RB],MATCH(Activities[[#This Row],[Jurisdiction]],Places[Jurisdiction],0))</f>
        <v>San Diego</v>
      </c>
      <c r="E249" s="9">
        <f>INDEX(Places[Majority RB '#],MATCH(Activities[[#This Row],[Jurisdiction]],Places[Jurisdiction],0))</f>
        <v>9</v>
      </c>
      <c r="F249" s="28" t="str">
        <f>VLOOKUP(Activities[[#This Row],[Jurisdiction]],Places[#All],8,FALSE)</f>
        <v>Phase I MS4</v>
      </c>
      <c r="G249" s="56" t="s">
        <v>367</v>
      </c>
      <c r="H249" s="8"/>
      <c r="I249" s="8"/>
      <c r="J249" s="8" t="s">
        <v>605</v>
      </c>
      <c r="K249" s="27" t="s">
        <v>1874</v>
      </c>
      <c r="L249" s="28">
        <f>_xlfn.NUMBERVALUE(LEFT(Activities[[#This Row],[Fiscal Year]], 4))</f>
        <v>2017</v>
      </c>
      <c r="M249" s="28" t="s">
        <v>1862</v>
      </c>
      <c r="N249" s="41">
        <v>246173.86</v>
      </c>
      <c r="O249" s="93">
        <f>IF(Activities[[#This Row],[Reference Year]]&gt;2018,Activities[[#This Row],[Value]],Activities[[#This Row],[Value]]*(1+VLOOKUP(Activities[[#This Row],[Reference Year]],Inflation[#All],3,FALSE)))</f>
        <v>252733.47436009793</v>
      </c>
    </row>
    <row r="250" spans="1:15" ht="15" customHeight="1" x14ac:dyDescent="0.25">
      <c r="A250" s="9" t="s">
        <v>138</v>
      </c>
      <c r="B250" s="9" t="str">
        <f>INDEX(Places[Type],MATCH(Activities[[#This Row],[Jurisdiction]],Places[Jurisdiction],0))</f>
        <v>City</v>
      </c>
      <c r="C250" s="19" t="str">
        <f>INDEX(Places[County],MATCH(Activities[[#This Row],[Jurisdiction]],Places[Jurisdiction],0))</f>
        <v>Sacramento</v>
      </c>
      <c r="D250" s="9" t="str">
        <f>INDEX(Places[Majority RB],MATCH(Activities[[#This Row],[Jurisdiction]],Places[Jurisdiction],0))</f>
        <v>Central Valley</v>
      </c>
      <c r="E250" s="9">
        <f>INDEX(Places[Majority RB '#],MATCH(Activities[[#This Row],[Jurisdiction]],Places[Jurisdiction],0))</f>
        <v>5</v>
      </c>
      <c r="F250" s="28" t="str">
        <f>VLOOKUP(Activities[[#This Row],[Jurisdiction]],Places[#All],8,FALSE)</f>
        <v>Phase I MS4</v>
      </c>
      <c r="G250" s="48" t="s">
        <v>70</v>
      </c>
      <c r="H250" s="8"/>
      <c r="I250" s="8"/>
      <c r="J250" s="8" t="s">
        <v>1895</v>
      </c>
      <c r="K250" s="27" t="s">
        <v>1873</v>
      </c>
      <c r="L250" s="28">
        <v>2015</v>
      </c>
      <c r="M250" s="28" t="s">
        <v>1862</v>
      </c>
      <c r="N250" s="41">
        <v>2618000</v>
      </c>
      <c r="O250" s="93">
        <f>IF(Activities[[#This Row],[Reference Year]]&gt;2018,Activities[[#This Row],[Value]],Activities[[#This Row],[Value]]*(1+VLOOKUP(Activities[[#This Row],[Reference Year]],Inflation[#All],3,FALSE)))</f>
        <v>2779620.0759493671</v>
      </c>
    </row>
    <row r="251" spans="1:15" ht="15" customHeight="1" x14ac:dyDescent="0.25">
      <c r="A251" s="9" t="s">
        <v>138</v>
      </c>
      <c r="B251" s="9" t="str">
        <f>INDEX(Places[Type],MATCH(Activities[[#This Row],[Jurisdiction]],Places[Jurisdiction],0))</f>
        <v>City</v>
      </c>
      <c r="C251" s="19" t="str">
        <f>INDEX(Places[County],MATCH(Activities[[#This Row],[Jurisdiction]],Places[Jurisdiction],0))</f>
        <v>Sacramento</v>
      </c>
      <c r="D251" s="9" t="str">
        <f>INDEX(Places[Majority RB],MATCH(Activities[[#This Row],[Jurisdiction]],Places[Jurisdiction],0))</f>
        <v>Central Valley</v>
      </c>
      <c r="E251" s="9">
        <f>INDEX(Places[Majority RB '#],MATCH(Activities[[#This Row],[Jurisdiction]],Places[Jurisdiction],0))</f>
        <v>5</v>
      </c>
      <c r="F251" s="28" t="str">
        <f>VLOOKUP(Activities[[#This Row],[Jurisdiction]],Places[#All],8,FALSE)</f>
        <v>Phase I MS4</v>
      </c>
      <c r="G251" s="48" t="s">
        <v>1092</v>
      </c>
      <c r="H251" s="8" t="s">
        <v>1900</v>
      </c>
      <c r="I251" s="8"/>
      <c r="J251" s="8" t="s">
        <v>71</v>
      </c>
      <c r="K251" s="27" t="s">
        <v>1873</v>
      </c>
      <c r="L251" s="28">
        <v>2015</v>
      </c>
      <c r="M251" s="28" t="s">
        <v>1862</v>
      </c>
      <c r="N251" s="41">
        <v>900000</v>
      </c>
      <c r="O251" s="93">
        <f>IF(Activities[[#This Row],[Reference Year]]&gt;2018,Activities[[#This Row],[Value]],Activities[[#This Row],[Value]]*(1+VLOOKUP(Activities[[#This Row],[Reference Year]],Inflation[#All],3,FALSE)))</f>
        <v>955560.75949367078</v>
      </c>
    </row>
    <row r="252" spans="1:15" ht="15" customHeight="1" x14ac:dyDescent="0.25">
      <c r="A252" s="9" t="s">
        <v>138</v>
      </c>
      <c r="B252" s="9" t="str">
        <f>INDEX(Places[Type],MATCH(Activities[[#This Row],[Jurisdiction]],Places[Jurisdiction],0))</f>
        <v>City</v>
      </c>
      <c r="C252" s="19" t="str">
        <f>INDEX(Places[County],MATCH(Activities[[#This Row],[Jurisdiction]],Places[Jurisdiction],0))</f>
        <v>Sacramento</v>
      </c>
      <c r="D252" s="9" t="str">
        <f>INDEX(Places[Majority RB],MATCH(Activities[[#This Row],[Jurisdiction]],Places[Jurisdiction],0))</f>
        <v>Central Valley</v>
      </c>
      <c r="E252" s="9">
        <f>INDEX(Places[Majority RB '#],MATCH(Activities[[#This Row],[Jurisdiction]],Places[Jurisdiction],0))</f>
        <v>5</v>
      </c>
      <c r="F252" s="28" t="str">
        <f>VLOOKUP(Activities[[#This Row],[Jurisdiction]],Places[#All],8,FALSE)</f>
        <v>Phase I MS4</v>
      </c>
      <c r="G252" s="48" t="s">
        <v>1093</v>
      </c>
      <c r="H252" s="8"/>
      <c r="I252" s="8"/>
      <c r="J252" s="8" t="s">
        <v>1894</v>
      </c>
      <c r="K252" s="27" t="s">
        <v>1873</v>
      </c>
      <c r="L252" s="28">
        <v>2015</v>
      </c>
      <c r="M252" s="28" t="s">
        <v>1862</v>
      </c>
      <c r="N252" s="41">
        <v>30000</v>
      </c>
      <c r="O252" s="93">
        <f>IF(Activities[[#This Row],[Reference Year]]&gt;2018,Activities[[#This Row],[Value]],Activities[[#This Row],[Value]]*(1+VLOOKUP(Activities[[#This Row],[Reference Year]],Inflation[#All],3,FALSE)))</f>
        <v>31852.025316455696</v>
      </c>
    </row>
    <row r="253" spans="1:15" ht="15" customHeight="1" x14ac:dyDescent="0.25">
      <c r="A253" s="9" t="s">
        <v>138</v>
      </c>
      <c r="B253" s="9" t="str">
        <f>INDEX(Places[Type],MATCH(Activities[[#This Row],[Jurisdiction]],Places[Jurisdiction],0))</f>
        <v>City</v>
      </c>
      <c r="C253" s="19" t="str">
        <f>INDEX(Places[County],MATCH(Activities[[#This Row],[Jurisdiction]],Places[Jurisdiction],0))</f>
        <v>Sacramento</v>
      </c>
      <c r="D253" s="9" t="str">
        <f>INDEX(Places[Majority RB],MATCH(Activities[[#This Row],[Jurisdiction]],Places[Jurisdiction],0))</f>
        <v>Central Valley</v>
      </c>
      <c r="E253" s="9">
        <f>INDEX(Places[Majority RB '#],MATCH(Activities[[#This Row],[Jurisdiction]],Places[Jurisdiction],0))</f>
        <v>5</v>
      </c>
      <c r="F253" s="28" t="str">
        <f>VLOOKUP(Activities[[#This Row],[Jurisdiction]],Places[#All],8,FALSE)</f>
        <v>Phase I MS4</v>
      </c>
      <c r="G253" s="48" t="s">
        <v>1096</v>
      </c>
      <c r="H253" s="8"/>
      <c r="I253" s="8"/>
      <c r="J253" s="8" t="s">
        <v>1894</v>
      </c>
      <c r="K253" s="27" t="s">
        <v>1873</v>
      </c>
      <c r="L253" s="28">
        <v>2015</v>
      </c>
      <c r="M253" s="28" t="s">
        <v>1862</v>
      </c>
      <c r="N253" s="41">
        <v>84000</v>
      </c>
      <c r="O253" s="93">
        <f>IF(Activities[[#This Row],[Reference Year]]&gt;2018,Activities[[#This Row],[Value]],Activities[[#This Row],[Value]]*(1+VLOOKUP(Activities[[#This Row],[Reference Year]],Inflation[#All],3,FALSE)))</f>
        <v>89185.670886075939</v>
      </c>
    </row>
    <row r="254" spans="1:15" ht="15" customHeight="1" x14ac:dyDescent="0.25">
      <c r="A254" s="9" t="s">
        <v>138</v>
      </c>
      <c r="B254" s="9" t="str">
        <f>INDEX(Places[Type],MATCH(Activities[[#This Row],[Jurisdiction]],Places[Jurisdiction],0))</f>
        <v>City</v>
      </c>
      <c r="C254" s="19" t="str">
        <f>INDEX(Places[County],MATCH(Activities[[#This Row],[Jurisdiction]],Places[Jurisdiction],0))</f>
        <v>Sacramento</v>
      </c>
      <c r="D254" s="9" t="str">
        <f>INDEX(Places[Majority RB],MATCH(Activities[[#This Row],[Jurisdiction]],Places[Jurisdiction],0))</f>
        <v>Central Valley</v>
      </c>
      <c r="E254" s="9">
        <f>INDEX(Places[Majority RB '#],MATCH(Activities[[#This Row],[Jurisdiction]],Places[Jurisdiction],0))</f>
        <v>5</v>
      </c>
      <c r="F254" s="28" t="str">
        <f>VLOOKUP(Activities[[#This Row],[Jurisdiction]],Places[#All],8,FALSE)</f>
        <v>Phase I MS4</v>
      </c>
      <c r="G254" s="48" t="s">
        <v>1094</v>
      </c>
      <c r="H254" s="8"/>
      <c r="I254" s="8"/>
      <c r="J254" s="8" t="s">
        <v>1896</v>
      </c>
      <c r="K254" s="27" t="s">
        <v>1873</v>
      </c>
      <c r="L254" s="28">
        <v>2015</v>
      </c>
      <c r="M254" s="28" t="s">
        <v>1862</v>
      </c>
      <c r="N254" s="41">
        <v>265000</v>
      </c>
      <c r="O254" s="93">
        <f>IF(Activities[[#This Row],[Reference Year]]&gt;2018,Activities[[#This Row],[Value]],Activities[[#This Row],[Value]]*(1+VLOOKUP(Activities[[#This Row],[Reference Year]],Inflation[#All],3,FALSE)))</f>
        <v>281359.55696202529</v>
      </c>
    </row>
    <row r="255" spans="1:15" ht="15" customHeight="1" x14ac:dyDescent="0.25">
      <c r="A255" s="9" t="s">
        <v>138</v>
      </c>
      <c r="B255" s="9" t="str">
        <f>INDEX(Places[Type],MATCH(Activities[[#This Row],[Jurisdiction]],Places[Jurisdiction],0))</f>
        <v>City</v>
      </c>
      <c r="C255" s="19" t="str">
        <f>INDEX(Places[County],MATCH(Activities[[#This Row],[Jurisdiction]],Places[Jurisdiction],0))</f>
        <v>Sacramento</v>
      </c>
      <c r="D255" s="9" t="str">
        <f>INDEX(Places[Majority RB],MATCH(Activities[[#This Row],[Jurisdiction]],Places[Jurisdiction],0))</f>
        <v>Central Valley</v>
      </c>
      <c r="E255" s="9">
        <f>INDEX(Places[Majority RB '#],MATCH(Activities[[#This Row],[Jurisdiction]],Places[Jurisdiction],0))</f>
        <v>5</v>
      </c>
      <c r="F255" s="28" t="str">
        <f>VLOOKUP(Activities[[#This Row],[Jurisdiction]],Places[#All],8,FALSE)</f>
        <v>Phase I MS4</v>
      </c>
      <c r="G255" s="48" t="s">
        <v>1095</v>
      </c>
      <c r="H255" s="8"/>
      <c r="I255" s="8"/>
      <c r="J255" s="8" t="s">
        <v>605</v>
      </c>
      <c r="K255" s="27" t="s">
        <v>1873</v>
      </c>
      <c r="L255" s="28">
        <v>2015</v>
      </c>
      <c r="M255" s="28" t="s">
        <v>1862</v>
      </c>
      <c r="N255" s="41">
        <v>75000</v>
      </c>
      <c r="O255" s="93">
        <f>IF(Activities[[#This Row],[Reference Year]]&gt;2018,Activities[[#This Row],[Value]],Activities[[#This Row],[Value]]*(1+VLOOKUP(Activities[[#This Row],[Reference Year]],Inflation[#All],3,FALSE)))</f>
        <v>79630.063291139231</v>
      </c>
    </row>
    <row r="256" spans="1:15" ht="15" customHeight="1" x14ac:dyDescent="0.25">
      <c r="A256" s="9" t="s">
        <v>152</v>
      </c>
      <c r="B256" s="9" t="str">
        <f>INDEX(Places[Type],MATCH(Activities[[#This Row],[Jurisdiction]],Places[Jurisdiction],0))</f>
        <v>City</v>
      </c>
      <c r="C256" s="19" t="str">
        <f>INDEX(Places[County],MATCH(Activities[[#This Row],[Jurisdiction]],Places[Jurisdiction],0))</f>
        <v>Los Angeles</v>
      </c>
      <c r="D256" s="19" t="str">
        <f>INDEX(Places[Majority RB],MATCH(Activities[[#This Row],[Jurisdiction]],Places[Jurisdiction],0))</f>
        <v>Los Angeles</v>
      </c>
      <c r="E256" s="9">
        <f>INDEX(Places[Majority RB '#],MATCH(Activities[[#This Row],[Jurisdiction]],Places[Jurisdiction],0))</f>
        <v>4</v>
      </c>
      <c r="F256" s="28" t="str">
        <f>VLOOKUP(Activities[[#This Row],[Jurisdiction]],Places[#All],8,FALSE)</f>
        <v>Phase I MS4</v>
      </c>
      <c r="G256" s="48" t="s">
        <v>851</v>
      </c>
      <c r="H256" s="8"/>
      <c r="I256" s="8"/>
      <c r="J256" s="8" t="s">
        <v>76</v>
      </c>
      <c r="K256" s="27" t="s">
        <v>1873</v>
      </c>
      <c r="L256" s="28">
        <f>_xlfn.NUMBERVALUE(LEFT(Activities[[#This Row],[Fiscal Year]], 4))</f>
        <v>2015</v>
      </c>
      <c r="M256" s="28" t="s">
        <v>1862</v>
      </c>
      <c r="N256" s="41">
        <v>18000</v>
      </c>
      <c r="O256" s="93">
        <f>IF(Activities[[#This Row],[Reference Year]]&gt;2018,Activities[[#This Row],[Value]],Activities[[#This Row],[Value]]*(1+VLOOKUP(Activities[[#This Row],[Reference Year]],Inflation[#All],3,FALSE)))</f>
        <v>19111.215189873416</v>
      </c>
    </row>
    <row r="257" spans="1:15" ht="15" customHeight="1" x14ac:dyDescent="0.25">
      <c r="A257" s="9" t="s">
        <v>152</v>
      </c>
      <c r="B257" s="9" t="str">
        <f>INDEX(Places[Type],MATCH(Activities[[#This Row],[Jurisdiction]],Places[Jurisdiction],0))</f>
        <v>City</v>
      </c>
      <c r="C257" s="19" t="str">
        <f>INDEX(Places[County],MATCH(Activities[[#This Row],[Jurisdiction]],Places[Jurisdiction],0))</f>
        <v>Los Angeles</v>
      </c>
      <c r="D257" s="19" t="str">
        <f>INDEX(Places[Majority RB],MATCH(Activities[[#This Row],[Jurisdiction]],Places[Jurisdiction],0))</f>
        <v>Los Angeles</v>
      </c>
      <c r="E257" s="9">
        <f>INDEX(Places[Majority RB '#],MATCH(Activities[[#This Row],[Jurisdiction]],Places[Jurisdiction],0))</f>
        <v>4</v>
      </c>
      <c r="F257" s="28" t="str">
        <f>VLOOKUP(Activities[[#This Row],[Jurisdiction]],Places[#All],8,FALSE)</f>
        <v>Phase I MS4</v>
      </c>
      <c r="G257" s="48" t="s">
        <v>849</v>
      </c>
      <c r="H257" s="8"/>
      <c r="I257" s="8"/>
      <c r="J257" s="8" t="s">
        <v>131</v>
      </c>
      <c r="K257" s="27" t="s">
        <v>1873</v>
      </c>
      <c r="L257" s="28">
        <f>_xlfn.NUMBERVALUE(LEFT(Activities[[#This Row],[Fiscal Year]], 4))</f>
        <v>2015</v>
      </c>
      <c r="M257" s="28" t="s">
        <v>1862</v>
      </c>
      <c r="N257" s="41">
        <v>5600</v>
      </c>
      <c r="O257" s="93">
        <f>IF(Activities[[#This Row],[Reference Year]]&gt;2018,Activities[[#This Row],[Value]],Activities[[#This Row],[Value]]*(1+VLOOKUP(Activities[[#This Row],[Reference Year]],Inflation[#All],3,FALSE)))</f>
        <v>5945.7113924050627</v>
      </c>
    </row>
    <row r="258" spans="1:15" ht="15" customHeight="1" x14ac:dyDescent="0.25">
      <c r="A258" s="9" t="s">
        <v>152</v>
      </c>
      <c r="B258" s="9" t="str">
        <f>INDEX(Places[Type],MATCH(Activities[[#This Row],[Jurisdiction]],Places[Jurisdiction],0))</f>
        <v>City</v>
      </c>
      <c r="C258" s="19" t="str">
        <f>INDEX(Places[County],MATCH(Activities[[#This Row],[Jurisdiction]],Places[Jurisdiction],0))</f>
        <v>Los Angeles</v>
      </c>
      <c r="D258" s="19" t="str">
        <f>INDEX(Places[Majority RB],MATCH(Activities[[#This Row],[Jurisdiction]],Places[Jurisdiction],0))</f>
        <v>Los Angeles</v>
      </c>
      <c r="E258" s="9">
        <f>INDEX(Places[Majority RB '#],MATCH(Activities[[#This Row],[Jurisdiction]],Places[Jurisdiction],0))</f>
        <v>4</v>
      </c>
      <c r="F258" s="28" t="str">
        <f>VLOOKUP(Activities[[#This Row],[Jurisdiction]],Places[#All],8,FALSE)</f>
        <v>Phase I MS4</v>
      </c>
      <c r="G258" s="48" t="s">
        <v>845</v>
      </c>
      <c r="H258" s="8"/>
      <c r="I258" s="8"/>
      <c r="J258" s="8" t="s">
        <v>334</v>
      </c>
      <c r="K258" s="27" t="s">
        <v>1873</v>
      </c>
      <c r="L258" s="28">
        <f>_xlfn.NUMBERVALUE(LEFT(Activities[[#This Row],[Fiscal Year]], 4))</f>
        <v>2015</v>
      </c>
      <c r="M258" s="28" t="s">
        <v>1862</v>
      </c>
      <c r="N258" s="41">
        <v>3000</v>
      </c>
      <c r="O258" s="93">
        <f>IF(Activities[[#This Row],[Reference Year]]&gt;2018,Activities[[#This Row],[Value]],Activities[[#This Row],[Value]]*(1+VLOOKUP(Activities[[#This Row],[Reference Year]],Inflation[#All],3,FALSE)))</f>
        <v>3185.2025316455693</v>
      </c>
    </row>
    <row r="259" spans="1:15" ht="15" customHeight="1" x14ac:dyDescent="0.25">
      <c r="A259" s="9" t="s">
        <v>152</v>
      </c>
      <c r="B259" s="9" t="str">
        <f>INDEX(Places[Type],MATCH(Activities[[#This Row],[Jurisdiction]],Places[Jurisdiction],0))</f>
        <v>City</v>
      </c>
      <c r="C259" s="19" t="str">
        <f>INDEX(Places[County],MATCH(Activities[[#This Row],[Jurisdiction]],Places[Jurisdiction],0))</f>
        <v>Los Angeles</v>
      </c>
      <c r="D259" s="19" t="str">
        <f>INDEX(Places[Majority RB],MATCH(Activities[[#This Row],[Jurisdiction]],Places[Jurisdiction],0))</f>
        <v>Los Angeles</v>
      </c>
      <c r="E259" s="9">
        <f>INDEX(Places[Majority RB '#],MATCH(Activities[[#This Row],[Jurisdiction]],Places[Jurisdiction],0))</f>
        <v>4</v>
      </c>
      <c r="F259" s="28" t="str">
        <f>VLOOKUP(Activities[[#This Row],[Jurisdiction]],Places[#All],8,FALSE)</f>
        <v>Phase I MS4</v>
      </c>
      <c r="G259" s="48" t="s">
        <v>857</v>
      </c>
      <c r="H259" s="8"/>
      <c r="I259" s="8"/>
      <c r="J259" s="8" t="s">
        <v>1897</v>
      </c>
      <c r="K259" s="27" t="s">
        <v>1873</v>
      </c>
      <c r="L259" s="28">
        <f>_xlfn.NUMBERVALUE(LEFT(Activities[[#This Row],[Fiscal Year]], 4))</f>
        <v>2015</v>
      </c>
      <c r="M259" s="28" t="s">
        <v>1862</v>
      </c>
      <c r="N259" s="41">
        <v>6222232</v>
      </c>
      <c r="O259" s="93">
        <f>IF(Activities[[#This Row],[Reference Year]]&gt;2018,Activities[[#This Row],[Value]],Activities[[#This Row],[Value]]*(1+VLOOKUP(Activities[[#This Row],[Reference Year]],Inflation[#All],3,FALSE)))</f>
        <v>6606356.372962025</v>
      </c>
    </row>
    <row r="260" spans="1:15" ht="15" customHeight="1" x14ac:dyDescent="0.25">
      <c r="A260" s="9" t="s">
        <v>152</v>
      </c>
      <c r="B260" s="9" t="str">
        <f>INDEX(Places[Type],MATCH(Activities[[#This Row],[Jurisdiction]],Places[Jurisdiction],0))</f>
        <v>City</v>
      </c>
      <c r="C260" s="19" t="str">
        <f>INDEX(Places[County],MATCH(Activities[[#This Row],[Jurisdiction]],Places[Jurisdiction],0))</f>
        <v>Los Angeles</v>
      </c>
      <c r="D260" s="19" t="str">
        <f>INDEX(Places[Majority RB],MATCH(Activities[[#This Row],[Jurisdiction]],Places[Jurisdiction],0))</f>
        <v>Los Angeles</v>
      </c>
      <c r="E260" s="9">
        <f>INDEX(Places[Majority RB '#],MATCH(Activities[[#This Row],[Jurisdiction]],Places[Jurisdiction],0))</f>
        <v>4</v>
      </c>
      <c r="F260" s="28" t="str">
        <f>VLOOKUP(Activities[[#This Row],[Jurisdiction]],Places[#All],8,FALSE)</f>
        <v>Phase I MS4</v>
      </c>
      <c r="G260" s="48" t="s">
        <v>846</v>
      </c>
      <c r="H260" s="8"/>
      <c r="I260" s="8"/>
      <c r="J260" s="8" t="s">
        <v>1898</v>
      </c>
      <c r="K260" s="27" t="s">
        <v>1873</v>
      </c>
      <c r="L260" s="28">
        <f>_xlfn.NUMBERVALUE(LEFT(Activities[[#This Row],[Fiscal Year]], 4))</f>
        <v>2015</v>
      </c>
      <c r="M260" s="28" t="s">
        <v>1862</v>
      </c>
      <c r="N260" s="41">
        <v>19500</v>
      </c>
      <c r="O260" s="93">
        <f>IF(Activities[[#This Row],[Reference Year]]&gt;2018,Activities[[#This Row],[Value]],Activities[[#This Row],[Value]]*(1+VLOOKUP(Activities[[#This Row],[Reference Year]],Inflation[#All],3,FALSE)))</f>
        <v>20703.8164556962</v>
      </c>
    </row>
    <row r="261" spans="1:15" ht="15" customHeight="1" x14ac:dyDescent="0.25">
      <c r="A261" s="9" t="s">
        <v>152</v>
      </c>
      <c r="B261" s="9" t="str">
        <f>INDEX(Places[Type],MATCH(Activities[[#This Row],[Jurisdiction]],Places[Jurisdiction],0))</f>
        <v>City</v>
      </c>
      <c r="C261" s="19" t="str">
        <f>INDEX(Places[County],MATCH(Activities[[#This Row],[Jurisdiction]],Places[Jurisdiction],0))</f>
        <v>Los Angeles</v>
      </c>
      <c r="D261" s="19" t="str">
        <f>INDEX(Places[Majority RB],MATCH(Activities[[#This Row],[Jurisdiction]],Places[Jurisdiction],0))</f>
        <v>Los Angeles</v>
      </c>
      <c r="E261" s="9">
        <f>INDEX(Places[Majority RB '#],MATCH(Activities[[#This Row],[Jurisdiction]],Places[Jurisdiction],0))</f>
        <v>4</v>
      </c>
      <c r="F261" s="28" t="str">
        <f>VLOOKUP(Activities[[#This Row],[Jurisdiction]],Places[#All],8,FALSE)</f>
        <v>Phase I MS4</v>
      </c>
      <c r="G261" s="48" t="s">
        <v>847</v>
      </c>
      <c r="H261" s="8"/>
      <c r="I261" s="8"/>
      <c r="J261" s="8" t="s">
        <v>1898</v>
      </c>
      <c r="K261" s="27" t="s">
        <v>1873</v>
      </c>
      <c r="L261" s="28">
        <f>_xlfn.NUMBERVALUE(LEFT(Activities[[#This Row],[Fiscal Year]], 4))</f>
        <v>2015</v>
      </c>
      <c r="M261" s="28" t="s">
        <v>1862</v>
      </c>
      <c r="N261" s="41">
        <v>24000</v>
      </c>
      <c r="O261" s="93">
        <f>IF(Activities[[#This Row],[Reference Year]]&gt;2018,Activities[[#This Row],[Value]],Activities[[#This Row],[Value]]*(1+VLOOKUP(Activities[[#This Row],[Reference Year]],Inflation[#All],3,FALSE)))</f>
        <v>25481.620253164554</v>
      </c>
    </row>
    <row r="262" spans="1:15" ht="15" customHeight="1" x14ac:dyDescent="0.25">
      <c r="A262" s="9" t="s">
        <v>152</v>
      </c>
      <c r="B262" s="9" t="str">
        <f>INDEX(Places[Type],MATCH(Activities[[#This Row],[Jurisdiction]],Places[Jurisdiction],0))</f>
        <v>City</v>
      </c>
      <c r="C262" s="19" t="str">
        <f>INDEX(Places[County],MATCH(Activities[[#This Row],[Jurisdiction]],Places[Jurisdiction],0))</f>
        <v>Los Angeles</v>
      </c>
      <c r="D262" s="19" t="str">
        <f>INDEX(Places[Majority RB],MATCH(Activities[[#This Row],[Jurisdiction]],Places[Jurisdiction],0))</f>
        <v>Los Angeles</v>
      </c>
      <c r="E262" s="9">
        <f>INDEX(Places[Majority RB '#],MATCH(Activities[[#This Row],[Jurisdiction]],Places[Jurisdiction],0))</f>
        <v>4</v>
      </c>
      <c r="F262" s="28" t="str">
        <f>VLOOKUP(Activities[[#This Row],[Jurisdiction]],Places[#All],8,FALSE)</f>
        <v>Phase I MS4</v>
      </c>
      <c r="G262" s="48" t="s">
        <v>844</v>
      </c>
      <c r="H262" s="8"/>
      <c r="I262" s="8"/>
      <c r="J262" s="8" t="s">
        <v>1456</v>
      </c>
      <c r="K262" s="27" t="s">
        <v>1873</v>
      </c>
      <c r="L262" s="28">
        <f>_xlfn.NUMBERVALUE(LEFT(Activities[[#This Row],[Fiscal Year]], 4))</f>
        <v>2015</v>
      </c>
      <c r="M262" s="28" t="s">
        <v>1862</v>
      </c>
      <c r="N262" s="41">
        <v>6800</v>
      </c>
      <c r="O262" s="93">
        <f>IF(Activities[[#This Row],[Reference Year]]&gt;2018,Activities[[#This Row],[Value]],Activities[[#This Row],[Value]]*(1+VLOOKUP(Activities[[#This Row],[Reference Year]],Inflation[#All],3,FALSE)))</f>
        <v>7219.792405063291</v>
      </c>
    </row>
    <row r="263" spans="1:15" ht="15" customHeight="1" x14ac:dyDescent="0.25">
      <c r="A263" s="9" t="s">
        <v>152</v>
      </c>
      <c r="B263" s="9" t="str">
        <f>INDEX(Places[Type],MATCH(Activities[[#This Row],[Jurisdiction]],Places[Jurisdiction],0))</f>
        <v>City</v>
      </c>
      <c r="C263" s="19" t="str">
        <f>INDEX(Places[County],MATCH(Activities[[#This Row],[Jurisdiction]],Places[Jurisdiction],0))</f>
        <v>Los Angeles</v>
      </c>
      <c r="D263" s="19" t="str">
        <f>INDEX(Places[Majority RB],MATCH(Activities[[#This Row],[Jurisdiction]],Places[Jurisdiction],0))</f>
        <v>Los Angeles</v>
      </c>
      <c r="E263" s="9">
        <f>INDEX(Places[Majority RB '#],MATCH(Activities[[#This Row],[Jurisdiction]],Places[Jurisdiction],0))</f>
        <v>4</v>
      </c>
      <c r="F263" s="28" t="str">
        <f>VLOOKUP(Activities[[#This Row],[Jurisdiction]],Places[#All],8,FALSE)</f>
        <v>Phase I MS4</v>
      </c>
      <c r="G263" s="56" t="s">
        <v>829</v>
      </c>
      <c r="H263" s="8"/>
      <c r="I263" s="8"/>
      <c r="J263" s="8" t="s">
        <v>1894</v>
      </c>
      <c r="K263" s="27" t="s">
        <v>1873</v>
      </c>
      <c r="L263" s="28">
        <f>_xlfn.NUMBERVALUE(LEFT(Activities[[#This Row],[Fiscal Year]], 4))</f>
        <v>2015</v>
      </c>
      <c r="M263" s="28" t="s">
        <v>1862</v>
      </c>
      <c r="N263" s="41">
        <v>194000</v>
      </c>
      <c r="O263" s="93">
        <f>IF(Activities[[#This Row],[Reference Year]]&gt;2018,Activities[[#This Row],[Value]],Activities[[#This Row],[Value]]*(1+VLOOKUP(Activities[[#This Row],[Reference Year]],Inflation[#All],3,FALSE)))</f>
        <v>205976.43037974683</v>
      </c>
    </row>
    <row r="264" spans="1:15" ht="15" customHeight="1" x14ac:dyDescent="0.25">
      <c r="A264" s="9" t="s">
        <v>152</v>
      </c>
      <c r="B264" s="9" t="str">
        <f>INDEX(Places[Type],MATCH(Activities[[#This Row],[Jurisdiction]],Places[Jurisdiction],0))</f>
        <v>City</v>
      </c>
      <c r="C264" s="19" t="str">
        <f>INDEX(Places[County],MATCH(Activities[[#This Row],[Jurisdiction]],Places[Jurisdiction],0))</f>
        <v>Los Angeles</v>
      </c>
      <c r="D264" s="19" t="str">
        <f>INDEX(Places[Majority RB],MATCH(Activities[[#This Row],[Jurisdiction]],Places[Jurisdiction],0))</f>
        <v>Los Angeles</v>
      </c>
      <c r="E264" s="9">
        <f>INDEX(Places[Majority RB '#],MATCH(Activities[[#This Row],[Jurisdiction]],Places[Jurisdiction],0))</f>
        <v>4</v>
      </c>
      <c r="F264" s="28" t="str">
        <f>VLOOKUP(Activities[[#This Row],[Jurisdiction]],Places[#All],8,FALSE)</f>
        <v>Phase I MS4</v>
      </c>
      <c r="G264" s="48" t="s">
        <v>900</v>
      </c>
      <c r="H264" s="8"/>
      <c r="I264" s="8"/>
      <c r="J264" s="8" t="s">
        <v>1896</v>
      </c>
      <c r="K264" s="27" t="s">
        <v>1873</v>
      </c>
      <c r="L264" s="28">
        <f>_xlfn.NUMBERVALUE(LEFT(Activities[[#This Row],[Fiscal Year]], 4))</f>
        <v>2015</v>
      </c>
      <c r="M264" s="28" t="s">
        <v>1862</v>
      </c>
      <c r="N264" s="41">
        <v>25000</v>
      </c>
      <c r="O264" s="93">
        <f>IF(Activities[[#This Row],[Reference Year]]&gt;2018,Activities[[#This Row],[Value]],Activities[[#This Row],[Value]]*(1+VLOOKUP(Activities[[#This Row],[Reference Year]],Inflation[#All],3,FALSE)))</f>
        <v>26543.354430379746</v>
      </c>
    </row>
    <row r="265" spans="1:15" s="114" customFormat="1" ht="15" customHeight="1" x14ac:dyDescent="0.25">
      <c r="A265" s="9" t="s">
        <v>152</v>
      </c>
      <c r="B265" s="9" t="str">
        <f>INDEX(Places[Type],MATCH(Activities[[#This Row],[Jurisdiction]],Places[Jurisdiction],0))</f>
        <v>City</v>
      </c>
      <c r="C265" s="19" t="str">
        <f>INDEX(Places[County],MATCH(Activities[[#This Row],[Jurisdiction]],Places[Jurisdiction],0))</f>
        <v>Los Angeles</v>
      </c>
      <c r="D265" s="19" t="str">
        <f>INDEX(Places[Majority RB],MATCH(Activities[[#This Row],[Jurisdiction]],Places[Jurisdiction],0))</f>
        <v>Los Angeles</v>
      </c>
      <c r="E265" s="9">
        <f>INDEX(Places[Majority RB '#],MATCH(Activities[[#This Row],[Jurisdiction]],Places[Jurisdiction],0))</f>
        <v>4</v>
      </c>
      <c r="F265" s="28" t="str">
        <f>VLOOKUP(Activities[[#This Row],[Jurisdiction]],Places[#All],8,FALSE)</f>
        <v>Phase I MS4</v>
      </c>
      <c r="G265" s="56" t="s">
        <v>854</v>
      </c>
      <c r="H265" s="8"/>
      <c r="I265" s="8"/>
      <c r="J265" s="8" t="s">
        <v>47</v>
      </c>
      <c r="K265" s="27" t="s">
        <v>1873</v>
      </c>
      <c r="L265" s="28">
        <f>_xlfn.NUMBERVALUE(LEFT(Activities[[#This Row],[Fiscal Year]], 4))</f>
        <v>2015</v>
      </c>
      <c r="M265" s="28" t="s">
        <v>1862</v>
      </c>
      <c r="N265" s="41">
        <v>30000</v>
      </c>
      <c r="O265" s="93">
        <f>IF(Activities[[#This Row],[Reference Year]]&gt;2018,Activities[[#This Row],[Value]],Activities[[#This Row],[Value]]*(1+VLOOKUP(Activities[[#This Row],[Reference Year]],Inflation[#All],3,FALSE)))</f>
        <v>31852.025316455696</v>
      </c>
    </row>
    <row r="266" spans="1:15" ht="15" customHeight="1" x14ac:dyDescent="0.25">
      <c r="A266" s="9" t="s">
        <v>123</v>
      </c>
      <c r="B266" s="9" t="str">
        <f>INDEX(Places[Type],MATCH(Activities[[#This Row],[Jurisdiction]],Places[Jurisdiction],0))</f>
        <v>City</v>
      </c>
      <c r="C266" s="19" t="str">
        <f>INDEX(Places[County],MATCH(Activities[[#This Row],[Jurisdiction]],Places[Jurisdiction],0))</f>
        <v>Fresno</v>
      </c>
      <c r="D266" s="9" t="str">
        <f>INDEX(Places[Majority RB],MATCH(Activities[[#This Row],[Jurisdiction]],Places[Jurisdiction],0))</f>
        <v>Central Valley</v>
      </c>
      <c r="E266" s="9">
        <f>INDEX(Places[Majority RB '#],MATCH(Activities[[#This Row],[Jurisdiction]],Places[Jurisdiction],0))</f>
        <v>5</v>
      </c>
      <c r="F266" s="28" t="str">
        <f>VLOOKUP(Activities[[#This Row],[Jurisdiction]],Places[#All],8,FALSE)</f>
        <v>Phase I MS4</v>
      </c>
      <c r="G266" s="48" t="s">
        <v>70</v>
      </c>
      <c r="H266" s="8" t="s">
        <v>519</v>
      </c>
      <c r="I266" s="8" t="s">
        <v>458</v>
      </c>
      <c r="J266" s="8" t="s">
        <v>1895</v>
      </c>
      <c r="K266" s="27" t="s">
        <v>1873</v>
      </c>
      <c r="L266" s="28">
        <f>_xlfn.NUMBERVALUE(LEFT(Activities[[#This Row],[Fiscal Year]], 4))</f>
        <v>2015</v>
      </c>
      <c r="M266" s="28" t="s">
        <v>1862</v>
      </c>
      <c r="N266" s="41">
        <v>73500</v>
      </c>
      <c r="O266" s="93">
        <f>IF(Activities[[#This Row],[Reference Year]]&gt;2018,Activities[[#This Row],[Value]],Activities[[#This Row],[Value]]*(1+VLOOKUP(Activities[[#This Row],[Reference Year]],Inflation[#All],3,FALSE)))</f>
        <v>78037.462025316447</v>
      </c>
    </row>
    <row r="267" spans="1:15" ht="15" customHeight="1" x14ac:dyDescent="0.25">
      <c r="A267" s="9" t="s">
        <v>123</v>
      </c>
      <c r="B267" s="9" t="str">
        <f>INDEX(Places[Type],MATCH(Activities[[#This Row],[Jurisdiction]],Places[Jurisdiction],0))</f>
        <v>City</v>
      </c>
      <c r="C267" s="19" t="str">
        <f>INDEX(Places[County],MATCH(Activities[[#This Row],[Jurisdiction]],Places[Jurisdiction],0))</f>
        <v>Fresno</v>
      </c>
      <c r="D267" s="9" t="str">
        <f>INDEX(Places[Majority RB],MATCH(Activities[[#This Row],[Jurisdiction]],Places[Jurisdiction],0))</f>
        <v>Central Valley</v>
      </c>
      <c r="E267" s="9">
        <f>INDEX(Places[Majority RB '#],MATCH(Activities[[#This Row],[Jurisdiction]],Places[Jurisdiction],0))</f>
        <v>5</v>
      </c>
      <c r="F267" s="28" t="str">
        <f>VLOOKUP(Activities[[#This Row],[Jurisdiction]],Places[#All],8,FALSE)</f>
        <v>Phase I MS4</v>
      </c>
      <c r="G267" s="48" t="s">
        <v>128</v>
      </c>
      <c r="H267" s="8"/>
      <c r="I267" s="8"/>
      <c r="J267" s="8" t="s">
        <v>131</v>
      </c>
      <c r="K267" s="27" t="s">
        <v>1873</v>
      </c>
      <c r="L267" s="28">
        <f>_xlfn.NUMBERVALUE(LEFT(Activities[[#This Row],[Fiscal Year]], 4))</f>
        <v>2015</v>
      </c>
      <c r="M267" s="28" t="s">
        <v>1862</v>
      </c>
      <c r="N267" s="41">
        <v>46400</v>
      </c>
      <c r="O267" s="93">
        <f>IF(Activities[[#This Row],[Reference Year]]&gt;2018,Activities[[#This Row],[Value]],Activities[[#This Row],[Value]]*(1+VLOOKUP(Activities[[#This Row],[Reference Year]],Inflation[#All],3,FALSE)))</f>
        <v>49264.465822784805</v>
      </c>
    </row>
    <row r="268" spans="1:15" ht="15" customHeight="1" x14ac:dyDescent="0.25">
      <c r="A268" s="9" t="s">
        <v>123</v>
      </c>
      <c r="B268" s="9" t="str">
        <f>INDEX(Places[Type],MATCH(Activities[[#This Row],[Jurisdiction]],Places[Jurisdiction],0))</f>
        <v>City</v>
      </c>
      <c r="C268" s="19" t="str">
        <f>INDEX(Places[County],MATCH(Activities[[#This Row],[Jurisdiction]],Places[Jurisdiction],0))</f>
        <v>Fresno</v>
      </c>
      <c r="D268" s="9" t="str">
        <f>INDEX(Places[Majority RB],MATCH(Activities[[#This Row],[Jurisdiction]],Places[Jurisdiction],0))</f>
        <v>Central Valley</v>
      </c>
      <c r="E268" s="9">
        <f>INDEX(Places[Majority RB '#],MATCH(Activities[[#This Row],[Jurisdiction]],Places[Jurisdiction],0))</f>
        <v>5</v>
      </c>
      <c r="F268" s="28" t="str">
        <f>VLOOKUP(Activities[[#This Row],[Jurisdiction]],Places[#All],8,FALSE)</f>
        <v>Phase I MS4</v>
      </c>
      <c r="G268" s="48" t="s">
        <v>127</v>
      </c>
      <c r="H268" s="8" t="s">
        <v>521</v>
      </c>
      <c r="I268" s="8" t="s">
        <v>458</v>
      </c>
      <c r="J268" s="8" t="s">
        <v>1897</v>
      </c>
      <c r="K268" s="27" t="s">
        <v>1873</v>
      </c>
      <c r="L268" s="28">
        <f>_xlfn.NUMBERVALUE(LEFT(Activities[[#This Row],[Fiscal Year]], 4))</f>
        <v>2015</v>
      </c>
      <c r="M268" s="28" t="s">
        <v>1862</v>
      </c>
      <c r="N268" s="41">
        <v>1789200</v>
      </c>
      <c r="O268" s="93">
        <f>IF(Activities[[#This Row],[Reference Year]]&gt;2018,Activities[[#This Row],[Value]],Activities[[#This Row],[Value]]*(1+VLOOKUP(Activities[[#This Row],[Reference Year]],Inflation[#All],3,FALSE)))</f>
        <v>1899654.7898734177</v>
      </c>
    </row>
    <row r="269" spans="1:15" ht="15" customHeight="1" x14ac:dyDescent="0.25">
      <c r="A269" s="9" t="s">
        <v>123</v>
      </c>
      <c r="B269" s="9" t="str">
        <f>INDEX(Places[Type],MATCH(Activities[[#This Row],[Jurisdiction]],Places[Jurisdiction],0))</f>
        <v>City</v>
      </c>
      <c r="C269" s="19" t="str">
        <f>INDEX(Places[County],MATCH(Activities[[#This Row],[Jurisdiction]],Places[Jurisdiction],0))</f>
        <v>Fresno</v>
      </c>
      <c r="D269" s="9" t="str">
        <f>INDEX(Places[Majority RB],MATCH(Activities[[#This Row],[Jurisdiction]],Places[Jurisdiction],0))</f>
        <v>Central Valley</v>
      </c>
      <c r="E269" s="9">
        <f>INDEX(Places[Majority RB '#],MATCH(Activities[[#This Row],[Jurisdiction]],Places[Jurisdiction],0))</f>
        <v>5</v>
      </c>
      <c r="F269" s="28" t="str">
        <f>VLOOKUP(Activities[[#This Row],[Jurisdiction]],Places[#All],8,FALSE)</f>
        <v>Phase I MS4</v>
      </c>
      <c r="G269" s="48" t="s">
        <v>59</v>
      </c>
      <c r="H269" s="8"/>
      <c r="I269" s="8"/>
      <c r="J269" s="8" t="s">
        <v>1898</v>
      </c>
      <c r="K269" s="27" t="s">
        <v>1873</v>
      </c>
      <c r="L269" s="28">
        <f>_xlfn.NUMBERVALUE(LEFT(Activities[[#This Row],[Fiscal Year]], 4))</f>
        <v>2015</v>
      </c>
      <c r="M269" s="28" t="s">
        <v>1862</v>
      </c>
      <c r="N269" s="41">
        <v>4500</v>
      </c>
      <c r="O269" s="93">
        <f>IF(Activities[[#This Row],[Reference Year]]&gt;2018,Activities[[#This Row],[Value]],Activities[[#This Row],[Value]]*(1+VLOOKUP(Activities[[#This Row],[Reference Year]],Inflation[#All],3,FALSE)))</f>
        <v>4777.8037974683539</v>
      </c>
    </row>
    <row r="270" spans="1:15" ht="15" customHeight="1" x14ac:dyDescent="0.25">
      <c r="A270" s="9" t="s">
        <v>123</v>
      </c>
      <c r="B270" s="9" t="str">
        <f>INDEX(Places[Type],MATCH(Activities[[#This Row],[Jurisdiction]],Places[Jurisdiction],0))</f>
        <v>City</v>
      </c>
      <c r="C270" s="19" t="str">
        <f>INDEX(Places[County],MATCH(Activities[[#This Row],[Jurisdiction]],Places[Jurisdiction],0))</f>
        <v>Fresno</v>
      </c>
      <c r="D270" s="9" t="str">
        <f>INDEX(Places[Majority RB],MATCH(Activities[[#This Row],[Jurisdiction]],Places[Jurisdiction],0))</f>
        <v>Central Valley</v>
      </c>
      <c r="E270" s="9">
        <f>INDEX(Places[Majority RB '#],MATCH(Activities[[#This Row],[Jurisdiction]],Places[Jurisdiction],0))</f>
        <v>5</v>
      </c>
      <c r="F270" s="28" t="str">
        <f>VLOOKUP(Activities[[#This Row],[Jurisdiction]],Places[#All],8,FALSE)</f>
        <v>Phase I MS4</v>
      </c>
      <c r="G270" s="48" t="s">
        <v>129</v>
      </c>
      <c r="H270" s="8" t="s">
        <v>522</v>
      </c>
      <c r="I270" s="8" t="s">
        <v>458</v>
      </c>
      <c r="J270" s="8" t="s">
        <v>1456</v>
      </c>
      <c r="K270" s="27" t="s">
        <v>1873</v>
      </c>
      <c r="L270" s="28">
        <f>_xlfn.NUMBERVALUE(LEFT(Activities[[#This Row],[Fiscal Year]], 4))</f>
        <v>2015</v>
      </c>
      <c r="M270" s="28" t="s">
        <v>1862</v>
      </c>
      <c r="N270" s="41">
        <v>104200</v>
      </c>
      <c r="O270" s="93">
        <f>IF(Activities[[#This Row],[Reference Year]]&gt;2018,Activities[[#This Row],[Value]],Activities[[#This Row],[Value]]*(1+VLOOKUP(Activities[[#This Row],[Reference Year]],Inflation[#All],3,FALSE)))</f>
        <v>110632.70126582278</v>
      </c>
    </row>
    <row r="271" spans="1:15" ht="15" customHeight="1" x14ac:dyDescent="0.25">
      <c r="A271" s="9" t="s">
        <v>123</v>
      </c>
      <c r="B271" s="9" t="str">
        <f>INDEX(Places[Type],MATCH(Activities[[#This Row],[Jurisdiction]],Places[Jurisdiction],0))</f>
        <v>City</v>
      </c>
      <c r="C271" s="19" t="str">
        <f>INDEX(Places[County],MATCH(Activities[[#This Row],[Jurisdiction]],Places[Jurisdiction],0))</f>
        <v>Fresno</v>
      </c>
      <c r="D271" s="9" t="str">
        <f>INDEX(Places[Majority RB],MATCH(Activities[[#This Row],[Jurisdiction]],Places[Jurisdiction],0))</f>
        <v>Central Valley</v>
      </c>
      <c r="E271" s="9">
        <f>INDEX(Places[Majority RB '#],MATCH(Activities[[#This Row],[Jurisdiction]],Places[Jurisdiction],0))</f>
        <v>5</v>
      </c>
      <c r="F271" s="28" t="str">
        <f>VLOOKUP(Activities[[#This Row],[Jurisdiction]],Places[#All],8,FALSE)</f>
        <v>Phase I MS4</v>
      </c>
      <c r="G271" s="48" t="s">
        <v>32</v>
      </c>
      <c r="H271" s="8"/>
      <c r="I271" s="8"/>
      <c r="J271" s="8" t="s">
        <v>1894</v>
      </c>
      <c r="K271" s="27" t="s">
        <v>1873</v>
      </c>
      <c r="L271" s="28">
        <f>_xlfn.NUMBERVALUE(LEFT(Activities[[#This Row],[Fiscal Year]], 4))</f>
        <v>2015</v>
      </c>
      <c r="M271" s="28" t="s">
        <v>1862</v>
      </c>
      <c r="N271" s="41">
        <v>3500</v>
      </c>
      <c r="O271" s="93">
        <f>IF(Activities[[#This Row],[Reference Year]]&gt;2018,Activities[[#This Row],[Value]],Activities[[#This Row],[Value]]*(1+VLOOKUP(Activities[[#This Row],[Reference Year]],Inflation[#All],3,FALSE)))</f>
        <v>3716.0696202531644</v>
      </c>
    </row>
    <row r="272" spans="1:15" ht="15" customHeight="1" x14ac:dyDescent="0.25">
      <c r="A272" s="9" t="s">
        <v>150</v>
      </c>
      <c r="B272" s="9" t="str">
        <f>INDEX(Places[Type],MATCH(Activities[[#This Row],[Jurisdiction]],Places[Jurisdiction],0))</f>
        <v>City</v>
      </c>
      <c r="C272" s="19" t="str">
        <f>INDEX(Places[County],MATCH(Activities[[#This Row],[Jurisdiction]],Places[Jurisdiction],0))</f>
        <v>Los Angeles</v>
      </c>
      <c r="D272" s="19" t="str">
        <f>INDEX(Places[Majority RB],MATCH(Activities[[#This Row],[Jurisdiction]],Places[Jurisdiction],0))</f>
        <v>Los Angeles</v>
      </c>
      <c r="E272" s="9">
        <f>INDEX(Places[Majority RB '#],MATCH(Activities[[#This Row],[Jurisdiction]],Places[Jurisdiction],0))</f>
        <v>4</v>
      </c>
      <c r="F272" s="28" t="str">
        <f>VLOOKUP(Activities[[#This Row],[Jurisdiction]],Places[#All],8,FALSE)</f>
        <v>Phase I MS4</v>
      </c>
      <c r="G272" s="48" t="s">
        <v>891</v>
      </c>
      <c r="H272" s="8"/>
      <c r="I272" s="8"/>
      <c r="J272" s="8" t="s">
        <v>131</v>
      </c>
      <c r="K272" s="27" t="s">
        <v>1873</v>
      </c>
      <c r="L272" s="28">
        <f>_xlfn.NUMBERVALUE(LEFT(Activities[[#This Row],[Fiscal Year]], 4))</f>
        <v>2015</v>
      </c>
      <c r="M272" s="28" t="s">
        <v>1862</v>
      </c>
      <c r="N272" s="41">
        <v>10000</v>
      </c>
      <c r="O272" s="93">
        <f>IF(Activities[[#This Row],[Reference Year]]&gt;2018,Activities[[#This Row],[Value]],Activities[[#This Row],[Value]]*(1+VLOOKUP(Activities[[#This Row],[Reference Year]],Inflation[#All],3,FALSE)))</f>
        <v>10617.341772151898</v>
      </c>
    </row>
    <row r="273" spans="1:15" ht="15" customHeight="1" x14ac:dyDescent="0.25">
      <c r="A273" s="9" t="s">
        <v>150</v>
      </c>
      <c r="B273" s="9" t="str">
        <f>INDEX(Places[Type],MATCH(Activities[[#This Row],[Jurisdiction]],Places[Jurisdiction],0))</f>
        <v>City</v>
      </c>
      <c r="C273" s="19" t="str">
        <f>INDEX(Places[County],MATCH(Activities[[#This Row],[Jurisdiction]],Places[Jurisdiction],0))</f>
        <v>Los Angeles</v>
      </c>
      <c r="D273" s="19" t="str">
        <f>INDEX(Places[Majority RB],MATCH(Activities[[#This Row],[Jurisdiction]],Places[Jurisdiction],0))</f>
        <v>Los Angeles</v>
      </c>
      <c r="E273" s="9">
        <f>INDEX(Places[Majority RB '#],MATCH(Activities[[#This Row],[Jurisdiction]],Places[Jurisdiction],0))</f>
        <v>4</v>
      </c>
      <c r="F273" s="28" t="str">
        <f>VLOOKUP(Activities[[#This Row],[Jurisdiction]],Places[#All],8,FALSE)</f>
        <v>Phase I MS4</v>
      </c>
      <c r="G273" s="48" t="s">
        <v>888</v>
      </c>
      <c r="H273" s="8"/>
      <c r="I273" s="8"/>
      <c r="J273" s="8" t="s">
        <v>334</v>
      </c>
      <c r="K273" s="27" t="s">
        <v>1873</v>
      </c>
      <c r="L273" s="28">
        <f>_xlfn.NUMBERVALUE(LEFT(Activities[[#This Row],[Fiscal Year]], 4))</f>
        <v>2015</v>
      </c>
      <c r="M273" s="28" t="s">
        <v>1862</v>
      </c>
      <c r="N273" s="41">
        <v>45000</v>
      </c>
      <c r="O273" s="93">
        <f>IF(Activities[[#This Row],[Reference Year]]&gt;2018,Activities[[#This Row],[Value]],Activities[[#This Row],[Value]]*(1+VLOOKUP(Activities[[#This Row],[Reference Year]],Inflation[#All],3,FALSE)))</f>
        <v>47778.037974683539</v>
      </c>
    </row>
    <row r="274" spans="1:15" ht="15" customHeight="1" x14ac:dyDescent="0.25">
      <c r="A274" s="9" t="s">
        <v>150</v>
      </c>
      <c r="B274" s="9" t="str">
        <f>INDEX(Places[Type],MATCH(Activities[[#This Row],[Jurisdiction]],Places[Jurisdiction],0))</f>
        <v>City</v>
      </c>
      <c r="C274" s="19" t="str">
        <f>INDEX(Places[County],MATCH(Activities[[#This Row],[Jurisdiction]],Places[Jurisdiction],0))</f>
        <v>Los Angeles</v>
      </c>
      <c r="D274" s="19" t="str">
        <f>INDEX(Places[Majority RB],MATCH(Activities[[#This Row],[Jurisdiction]],Places[Jurisdiction],0))</f>
        <v>Los Angeles</v>
      </c>
      <c r="E274" s="9">
        <f>INDEX(Places[Majority RB '#],MATCH(Activities[[#This Row],[Jurisdiction]],Places[Jurisdiction],0))</f>
        <v>4</v>
      </c>
      <c r="F274" s="28" t="str">
        <f>VLOOKUP(Activities[[#This Row],[Jurisdiction]],Places[#All],8,FALSE)</f>
        <v>Phase I MS4</v>
      </c>
      <c r="G274" s="48" t="s">
        <v>890</v>
      </c>
      <c r="H274" s="8"/>
      <c r="I274" s="8"/>
      <c r="J274" s="8" t="s">
        <v>1897</v>
      </c>
      <c r="K274" s="27" t="s">
        <v>1873</v>
      </c>
      <c r="L274" s="28">
        <f>_xlfn.NUMBERVALUE(LEFT(Activities[[#This Row],[Fiscal Year]], 4))</f>
        <v>2015</v>
      </c>
      <c r="M274" s="28" t="s">
        <v>1862</v>
      </c>
      <c r="N274" s="41">
        <v>250000</v>
      </c>
      <c r="O274" s="93">
        <f>IF(Activities[[#This Row],[Reference Year]]&gt;2018,Activities[[#This Row],[Value]],Activities[[#This Row],[Value]]*(1+VLOOKUP(Activities[[#This Row],[Reference Year]],Inflation[#All],3,FALSE)))</f>
        <v>265433.54430379748</v>
      </c>
    </row>
    <row r="275" spans="1:15" ht="15" customHeight="1" x14ac:dyDescent="0.25">
      <c r="A275" s="9" t="s">
        <v>150</v>
      </c>
      <c r="B275" s="9" t="str">
        <f>INDEX(Places[Type],MATCH(Activities[[#This Row],[Jurisdiction]],Places[Jurisdiction],0))</f>
        <v>City</v>
      </c>
      <c r="C275" s="19" t="str">
        <f>INDEX(Places[County],MATCH(Activities[[#This Row],[Jurisdiction]],Places[Jurisdiction],0))</f>
        <v>Los Angeles</v>
      </c>
      <c r="D275" s="19" t="str">
        <f>INDEX(Places[Majority RB],MATCH(Activities[[#This Row],[Jurisdiction]],Places[Jurisdiction],0))</f>
        <v>Los Angeles</v>
      </c>
      <c r="E275" s="9">
        <f>INDEX(Places[Majority RB '#],MATCH(Activities[[#This Row],[Jurisdiction]],Places[Jurisdiction],0))</f>
        <v>4</v>
      </c>
      <c r="F275" s="28" t="str">
        <f>VLOOKUP(Activities[[#This Row],[Jurisdiction]],Places[#All],8,FALSE)</f>
        <v>Phase I MS4</v>
      </c>
      <c r="G275" s="48" t="s">
        <v>889</v>
      </c>
      <c r="H275" s="8"/>
      <c r="I275" s="8"/>
      <c r="J275" s="8" t="s">
        <v>1898</v>
      </c>
      <c r="K275" s="27" t="s">
        <v>1873</v>
      </c>
      <c r="L275" s="28">
        <f>_xlfn.NUMBERVALUE(LEFT(Activities[[#This Row],[Fiscal Year]], 4))</f>
        <v>2015</v>
      </c>
      <c r="M275" s="28" t="s">
        <v>1862</v>
      </c>
      <c r="N275" s="41">
        <v>5000</v>
      </c>
      <c r="O275" s="93">
        <f>IF(Activities[[#This Row],[Reference Year]]&gt;2018,Activities[[#This Row],[Value]],Activities[[#This Row],[Value]]*(1+VLOOKUP(Activities[[#This Row],[Reference Year]],Inflation[#All],3,FALSE)))</f>
        <v>5308.6708860759491</v>
      </c>
    </row>
    <row r="276" spans="1:15" ht="15" customHeight="1" x14ac:dyDescent="0.25">
      <c r="A276" s="9" t="s">
        <v>150</v>
      </c>
      <c r="B276" s="9" t="str">
        <f>INDEX(Places[Type],MATCH(Activities[[#This Row],[Jurisdiction]],Places[Jurisdiction],0))</f>
        <v>City</v>
      </c>
      <c r="C276" s="19" t="str">
        <f>INDEX(Places[County],MATCH(Activities[[#This Row],[Jurisdiction]],Places[Jurisdiction],0))</f>
        <v>Los Angeles</v>
      </c>
      <c r="D276" s="19" t="str">
        <f>INDEX(Places[Majority RB],MATCH(Activities[[#This Row],[Jurisdiction]],Places[Jurisdiction],0))</f>
        <v>Los Angeles</v>
      </c>
      <c r="E276" s="9">
        <f>INDEX(Places[Majority RB '#],MATCH(Activities[[#This Row],[Jurisdiction]],Places[Jurisdiction],0))</f>
        <v>4</v>
      </c>
      <c r="F276" s="28" t="str">
        <f>VLOOKUP(Activities[[#This Row],[Jurisdiction]],Places[#All],8,FALSE)</f>
        <v>Phase I MS4</v>
      </c>
      <c r="G276" s="48" t="s">
        <v>846</v>
      </c>
      <c r="H276" s="8"/>
      <c r="I276" s="8"/>
      <c r="J276" s="8" t="s">
        <v>1898</v>
      </c>
      <c r="K276" s="27" t="s">
        <v>1873</v>
      </c>
      <c r="L276" s="28">
        <f>_xlfn.NUMBERVALUE(LEFT(Activities[[#This Row],[Fiscal Year]], 4))</f>
        <v>2015</v>
      </c>
      <c r="M276" s="28" t="s">
        <v>1862</v>
      </c>
      <c r="N276" s="41">
        <v>8000</v>
      </c>
      <c r="O276" s="93">
        <f>IF(Activities[[#This Row],[Reference Year]]&gt;2018,Activities[[#This Row],[Value]],Activities[[#This Row],[Value]]*(1+VLOOKUP(Activities[[#This Row],[Reference Year]],Inflation[#All],3,FALSE)))</f>
        <v>8493.8734177215192</v>
      </c>
    </row>
    <row r="277" spans="1:15" ht="15" customHeight="1" x14ac:dyDescent="0.25">
      <c r="A277" s="9" t="s">
        <v>150</v>
      </c>
      <c r="B277" s="9" t="str">
        <f>INDEX(Places[Type],MATCH(Activities[[#This Row],[Jurisdiction]],Places[Jurisdiction],0))</f>
        <v>City</v>
      </c>
      <c r="C277" s="19" t="str">
        <f>INDEX(Places[County],MATCH(Activities[[#This Row],[Jurisdiction]],Places[Jurisdiction],0))</f>
        <v>Los Angeles</v>
      </c>
      <c r="D277" s="19" t="str">
        <f>INDEX(Places[Majority RB],MATCH(Activities[[#This Row],[Jurisdiction]],Places[Jurisdiction],0))</f>
        <v>Los Angeles</v>
      </c>
      <c r="E277" s="9">
        <f>INDEX(Places[Majority RB '#],MATCH(Activities[[#This Row],[Jurisdiction]],Places[Jurisdiction],0))</f>
        <v>4</v>
      </c>
      <c r="F277" s="28" t="str">
        <f>VLOOKUP(Activities[[#This Row],[Jurisdiction]],Places[#All],8,FALSE)</f>
        <v>Phase I MS4</v>
      </c>
      <c r="G277" s="48" t="s">
        <v>886</v>
      </c>
      <c r="H277" s="8"/>
      <c r="I277" s="8"/>
      <c r="J277" s="8" t="s">
        <v>1456</v>
      </c>
      <c r="K277" s="27" t="s">
        <v>1873</v>
      </c>
      <c r="L277" s="28">
        <f>_xlfn.NUMBERVALUE(LEFT(Activities[[#This Row],[Fiscal Year]], 4))</f>
        <v>2015</v>
      </c>
      <c r="M277" s="28" t="s">
        <v>1862</v>
      </c>
      <c r="N277" s="41">
        <v>10000</v>
      </c>
      <c r="O277" s="93">
        <f>IF(Activities[[#This Row],[Reference Year]]&gt;2018,Activities[[#This Row],[Value]],Activities[[#This Row],[Value]]*(1+VLOOKUP(Activities[[#This Row],[Reference Year]],Inflation[#All],3,FALSE)))</f>
        <v>10617.341772151898</v>
      </c>
    </row>
    <row r="278" spans="1:15" ht="15" customHeight="1" x14ac:dyDescent="0.25">
      <c r="A278" s="9" t="s">
        <v>150</v>
      </c>
      <c r="B278" s="9" t="str">
        <f>INDEX(Places[Type],MATCH(Activities[[#This Row],[Jurisdiction]],Places[Jurisdiction],0))</f>
        <v>City</v>
      </c>
      <c r="C278" s="19" t="str">
        <f>INDEX(Places[County],MATCH(Activities[[#This Row],[Jurisdiction]],Places[Jurisdiction],0))</f>
        <v>Los Angeles</v>
      </c>
      <c r="D278" s="19" t="str">
        <f>INDEX(Places[Majority RB],MATCH(Activities[[#This Row],[Jurisdiction]],Places[Jurisdiction],0))</f>
        <v>Los Angeles</v>
      </c>
      <c r="E278" s="9">
        <f>INDEX(Places[Majority RB '#],MATCH(Activities[[#This Row],[Jurisdiction]],Places[Jurisdiction],0))</f>
        <v>4</v>
      </c>
      <c r="F278" s="28" t="str">
        <f>VLOOKUP(Activities[[#This Row],[Jurisdiction]],Places[#All],8,FALSE)</f>
        <v>Phase I MS4</v>
      </c>
      <c r="G278" s="56" t="s">
        <v>829</v>
      </c>
      <c r="H278" s="8"/>
      <c r="I278" s="8"/>
      <c r="J278" s="8" t="s">
        <v>1894</v>
      </c>
      <c r="K278" s="27" t="s">
        <v>1873</v>
      </c>
      <c r="L278" s="28">
        <f>_xlfn.NUMBERVALUE(LEFT(Activities[[#This Row],[Fiscal Year]], 4))</f>
        <v>2015</v>
      </c>
      <c r="M278" s="28" t="s">
        <v>1862</v>
      </c>
      <c r="N278" s="41">
        <v>40000</v>
      </c>
      <c r="O278" s="93">
        <f>IF(Activities[[#This Row],[Reference Year]]&gt;2018,Activities[[#This Row],[Value]],Activities[[#This Row],[Value]]*(1+VLOOKUP(Activities[[#This Row],[Reference Year]],Inflation[#All],3,FALSE)))</f>
        <v>42469.367088607592</v>
      </c>
    </row>
    <row r="279" spans="1:15" ht="15" customHeight="1" x14ac:dyDescent="0.25">
      <c r="A279" s="9" t="s">
        <v>150</v>
      </c>
      <c r="B279" s="9" t="str">
        <f>INDEX(Places[Type],MATCH(Activities[[#This Row],[Jurisdiction]],Places[Jurisdiction],0))</f>
        <v>City</v>
      </c>
      <c r="C279" s="19" t="str">
        <f>INDEX(Places[County],MATCH(Activities[[#This Row],[Jurisdiction]],Places[Jurisdiction],0))</f>
        <v>Los Angeles</v>
      </c>
      <c r="D279" s="19" t="str">
        <f>INDEX(Places[Majority RB],MATCH(Activities[[#This Row],[Jurisdiction]],Places[Jurisdiction],0))</f>
        <v>Los Angeles</v>
      </c>
      <c r="E279" s="9">
        <f>INDEX(Places[Majority RB '#],MATCH(Activities[[#This Row],[Jurisdiction]],Places[Jurisdiction],0))</f>
        <v>4</v>
      </c>
      <c r="F279" s="28" t="str">
        <f>VLOOKUP(Activities[[#This Row],[Jurisdiction]],Places[#All],8,FALSE)</f>
        <v>Phase I MS4</v>
      </c>
      <c r="G279" s="56" t="s">
        <v>892</v>
      </c>
      <c r="H279" s="8"/>
      <c r="I279" s="8"/>
      <c r="J279" s="8" t="s">
        <v>1896</v>
      </c>
      <c r="K279" s="27" t="s">
        <v>1873</v>
      </c>
      <c r="L279" s="28">
        <f>_xlfn.NUMBERVALUE(LEFT(Activities[[#This Row],[Fiscal Year]], 4))</f>
        <v>2015</v>
      </c>
      <c r="M279" s="28" t="s">
        <v>1862</v>
      </c>
      <c r="N279" s="41">
        <v>50000</v>
      </c>
      <c r="O279" s="93">
        <f>IF(Activities[[#This Row],[Reference Year]]&gt;2018,Activities[[#This Row],[Value]],Activities[[#This Row],[Value]]*(1+VLOOKUP(Activities[[#This Row],[Reference Year]],Inflation[#All],3,FALSE)))</f>
        <v>53086.708860759492</v>
      </c>
    </row>
    <row r="280" spans="1:15" ht="15" customHeight="1" x14ac:dyDescent="0.25">
      <c r="A280" s="9" t="s">
        <v>150</v>
      </c>
      <c r="B280" s="9" t="str">
        <f>INDEX(Places[Type],MATCH(Activities[[#This Row],[Jurisdiction]],Places[Jurisdiction],0))</f>
        <v>City</v>
      </c>
      <c r="C280" s="19" t="str">
        <f>INDEX(Places[County],MATCH(Activities[[#This Row],[Jurisdiction]],Places[Jurisdiction],0))</f>
        <v>Los Angeles</v>
      </c>
      <c r="D280" s="19" t="str">
        <f>INDEX(Places[Majority RB],MATCH(Activities[[#This Row],[Jurisdiction]],Places[Jurisdiction],0))</f>
        <v>Los Angeles</v>
      </c>
      <c r="E280" s="9">
        <f>INDEX(Places[Majority RB '#],MATCH(Activities[[#This Row],[Jurisdiction]],Places[Jurisdiction],0))</f>
        <v>4</v>
      </c>
      <c r="F280" s="28" t="str">
        <f>VLOOKUP(Activities[[#This Row],[Jurisdiction]],Places[#All],8,FALSE)</f>
        <v>Phase I MS4</v>
      </c>
      <c r="G280" s="56" t="s">
        <v>854</v>
      </c>
      <c r="H280" s="8"/>
      <c r="I280" s="8"/>
      <c r="J280" s="8" t="s">
        <v>47</v>
      </c>
      <c r="K280" s="27" t="s">
        <v>1873</v>
      </c>
      <c r="L280" s="28">
        <f>_xlfn.NUMBERVALUE(LEFT(Activities[[#This Row],[Fiscal Year]], 4))</f>
        <v>2015</v>
      </c>
      <c r="M280" s="28" t="s">
        <v>1862</v>
      </c>
      <c r="N280" s="41">
        <v>45000</v>
      </c>
      <c r="O280" s="93">
        <f>IF(Activities[[#This Row],[Reference Year]]&gt;2018,Activities[[#This Row],[Value]],Activities[[#This Row],[Value]]*(1+VLOOKUP(Activities[[#This Row],[Reference Year]],Inflation[#All],3,FALSE)))</f>
        <v>47778.037974683539</v>
      </c>
    </row>
    <row r="281" spans="1:15" ht="15" customHeight="1" x14ac:dyDescent="0.25">
      <c r="A281" s="9" t="s">
        <v>1449</v>
      </c>
      <c r="B281" s="9" t="str">
        <f>INDEX(Places[Type],MATCH(Activities[[#This Row],[Jurisdiction]],Places[Jurisdiction],0))</f>
        <v>County</v>
      </c>
      <c r="C281" s="19" t="str">
        <f>INDEX(Places[County],MATCH(Activities[[#This Row],[Jurisdiction]],Places[Jurisdiction],0))</f>
        <v>Contra Costa</v>
      </c>
      <c r="D281" s="19" t="str">
        <f>INDEX(Places[Majority RB],MATCH(Activities[[#This Row],[Jurisdiction]],Places[Jurisdiction],0))</f>
        <v>San Francisco Bay</v>
      </c>
      <c r="E281" s="9">
        <f>INDEX(Places[Majority RB '#],MATCH(Activities[[#This Row],[Jurisdiction]],Places[Jurisdiction],0))</f>
        <v>2</v>
      </c>
      <c r="F281" s="28" t="str">
        <f>VLOOKUP(Activities[[#This Row],[Jurisdiction]],Places[#All],8,FALSE)</f>
        <v>Phase I MS4</v>
      </c>
      <c r="G281" s="48" t="s">
        <v>756</v>
      </c>
      <c r="H281" s="8"/>
      <c r="I281" s="8"/>
      <c r="J281" s="8" t="s">
        <v>76</v>
      </c>
      <c r="K281" s="27" t="s">
        <v>1876</v>
      </c>
      <c r="L281" s="28">
        <f>_xlfn.NUMBERVALUE(LEFT(Activities[[#This Row],[Fiscal Year]], 4))</f>
        <v>2018</v>
      </c>
      <c r="M281" s="28" t="s">
        <v>1863</v>
      </c>
      <c r="N281" s="41">
        <v>150000</v>
      </c>
      <c r="O281" s="93">
        <f>IF(Activities[[#This Row],[Reference Year]]&gt;2018,Activities[[#This Row],[Value]],Activities[[#This Row],[Value]]*(1+VLOOKUP(Activities[[#This Row],[Reference Year]],Inflation[#All],3,FALSE)))</f>
        <v>150000</v>
      </c>
    </row>
    <row r="282" spans="1:15" ht="15" customHeight="1" x14ac:dyDescent="0.25">
      <c r="A282" s="9" t="s">
        <v>1449</v>
      </c>
      <c r="B282" s="9" t="str">
        <f>INDEX(Places[Type],MATCH(Activities[[#This Row],[Jurisdiction]],Places[Jurisdiction],0))</f>
        <v>County</v>
      </c>
      <c r="C282" s="19" t="str">
        <f>INDEX(Places[County],MATCH(Activities[[#This Row],[Jurisdiction]],Places[Jurisdiction],0))</f>
        <v>Contra Costa</v>
      </c>
      <c r="D282" s="19" t="str">
        <f>INDEX(Places[Majority RB],MATCH(Activities[[#This Row],[Jurisdiction]],Places[Jurisdiction],0))</f>
        <v>San Francisco Bay</v>
      </c>
      <c r="E282" s="9">
        <f>INDEX(Places[Majority RB '#],MATCH(Activities[[#This Row],[Jurisdiction]],Places[Jurisdiction],0))</f>
        <v>2</v>
      </c>
      <c r="F282" s="28" t="str">
        <f>VLOOKUP(Activities[[#This Row],[Jurisdiction]],Places[#All],8,FALSE)</f>
        <v>Phase I MS4</v>
      </c>
      <c r="G282" s="48" t="s">
        <v>764</v>
      </c>
      <c r="H282" s="8"/>
      <c r="I282" s="8"/>
      <c r="J282" s="8" t="s">
        <v>131</v>
      </c>
      <c r="K282" s="27" t="s">
        <v>1876</v>
      </c>
      <c r="L282" s="28">
        <f>_xlfn.NUMBERVALUE(LEFT(Activities[[#This Row],[Fiscal Year]], 4))</f>
        <v>2018</v>
      </c>
      <c r="M282" s="28" t="s">
        <v>1863</v>
      </c>
      <c r="N282" s="41">
        <v>10000</v>
      </c>
      <c r="O282" s="93">
        <f>IF(Activities[[#This Row],[Reference Year]]&gt;2018,Activities[[#This Row],[Value]],Activities[[#This Row],[Value]]*(1+VLOOKUP(Activities[[#This Row],[Reference Year]],Inflation[#All],3,FALSE)))</f>
        <v>10000</v>
      </c>
    </row>
    <row r="283" spans="1:15" ht="15" customHeight="1" x14ac:dyDescent="0.25">
      <c r="A283" s="9" t="s">
        <v>1449</v>
      </c>
      <c r="B283" s="9" t="str">
        <f>INDEX(Places[Type],MATCH(Activities[[#This Row],[Jurisdiction]],Places[Jurisdiction],0))</f>
        <v>County</v>
      </c>
      <c r="C283" s="19" t="str">
        <f>INDEX(Places[County],MATCH(Activities[[#This Row],[Jurisdiction]],Places[Jurisdiction],0))</f>
        <v>Contra Costa</v>
      </c>
      <c r="D283" s="19" t="str">
        <f>INDEX(Places[Majority RB],MATCH(Activities[[#This Row],[Jurisdiction]],Places[Jurisdiction],0))</f>
        <v>San Francisco Bay</v>
      </c>
      <c r="E283" s="9">
        <f>INDEX(Places[Majority RB '#],MATCH(Activities[[#This Row],[Jurisdiction]],Places[Jurisdiction],0))</f>
        <v>2</v>
      </c>
      <c r="F283" s="28" t="str">
        <f>VLOOKUP(Activities[[#This Row],[Jurisdiction]],Places[#All],8,FALSE)</f>
        <v>Phase I MS4</v>
      </c>
      <c r="G283" s="48" t="s">
        <v>763</v>
      </c>
      <c r="H283" s="81" t="s">
        <v>464</v>
      </c>
      <c r="I283" s="8" t="s">
        <v>642</v>
      </c>
      <c r="J283" s="8" t="s">
        <v>334</v>
      </c>
      <c r="K283" s="27" t="s">
        <v>1876</v>
      </c>
      <c r="L283" s="28">
        <f>_xlfn.NUMBERVALUE(LEFT(Activities[[#This Row],[Fiscal Year]], 4))</f>
        <v>2018</v>
      </c>
      <c r="M283" s="28" t="s">
        <v>1863</v>
      </c>
      <c r="N283" s="41">
        <v>4000</v>
      </c>
      <c r="O283" s="93">
        <f>IF(Activities[[#This Row],[Reference Year]]&gt;2018,Activities[[#This Row],[Value]],Activities[[#This Row],[Value]]*(1+VLOOKUP(Activities[[#This Row],[Reference Year]],Inflation[#All],3,FALSE)))</f>
        <v>4000</v>
      </c>
    </row>
    <row r="284" spans="1:15" ht="15" customHeight="1" x14ac:dyDescent="0.25">
      <c r="A284" s="9" t="s">
        <v>1449</v>
      </c>
      <c r="B284" s="9" t="str">
        <f>INDEX(Places[Type],MATCH(Activities[[#This Row],[Jurisdiction]],Places[Jurisdiction],0))</f>
        <v>County</v>
      </c>
      <c r="C284" s="19" t="str">
        <f>INDEX(Places[County],MATCH(Activities[[#This Row],[Jurisdiction]],Places[Jurisdiction],0))</f>
        <v>Contra Costa</v>
      </c>
      <c r="D284" s="19" t="str">
        <f>INDEX(Places[Majority RB],MATCH(Activities[[#This Row],[Jurisdiction]],Places[Jurisdiction],0))</f>
        <v>San Francisco Bay</v>
      </c>
      <c r="E284" s="9">
        <f>INDEX(Places[Majority RB '#],MATCH(Activities[[#This Row],[Jurisdiction]],Places[Jurisdiction],0))</f>
        <v>2</v>
      </c>
      <c r="F284" s="28" t="str">
        <f>VLOOKUP(Activities[[#This Row],[Jurisdiction]],Places[#All],8,FALSE)</f>
        <v>Phase I MS4</v>
      </c>
      <c r="G284" s="48" t="s">
        <v>791</v>
      </c>
      <c r="H284" s="81"/>
      <c r="I284" s="8"/>
      <c r="J284" s="8" t="s">
        <v>1897</v>
      </c>
      <c r="K284" s="27" t="s">
        <v>1876</v>
      </c>
      <c r="L284" s="28">
        <f>_xlfn.NUMBERVALUE(LEFT(Activities[[#This Row],[Fiscal Year]], 4))</f>
        <v>2018</v>
      </c>
      <c r="M284" s="28" t="s">
        <v>1863</v>
      </c>
      <c r="N284" s="41">
        <v>500</v>
      </c>
      <c r="O284" s="93">
        <f>IF(Activities[[#This Row],[Reference Year]]&gt;2018,Activities[[#This Row],[Value]],Activities[[#This Row],[Value]]*(1+VLOOKUP(Activities[[#This Row],[Reference Year]],Inflation[#All],3,FALSE)))</f>
        <v>500</v>
      </c>
    </row>
    <row r="285" spans="1:15" ht="15" customHeight="1" x14ac:dyDescent="0.25">
      <c r="A285" s="9" t="s">
        <v>1449</v>
      </c>
      <c r="B285" s="9" t="str">
        <f>INDEX(Places[Type],MATCH(Activities[[#This Row],[Jurisdiction]],Places[Jurisdiction],0))</f>
        <v>County</v>
      </c>
      <c r="C285" s="19" t="str">
        <f>INDEX(Places[County],MATCH(Activities[[#This Row],[Jurisdiction]],Places[Jurisdiction],0))</f>
        <v>Contra Costa</v>
      </c>
      <c r="D285" s="19" t="str">
        <f>INDEX(Places[Majority RB],MATCH(Activities[[#This Row],[Jurisdiction]],Places[Jurisdiction],0))</f>
        <v>San Francisco Bay</v>
      </c>
      <c r="E285" s="9">
        <f>INDEX(Places[Majority RB '#],MATCH(Activities[[#This Row],[Jurisdiction]],Places[Jurisdiction],0))</f>
        <v>2</v>
      </c>
      <c r="F285" s="28" t="str">
        <f>VLOOKUP(Activities[[#This Row],[Jurisdiction]],Places[#All],8,FALSE)</f>
        <v>Phase I MS4</v>
      </c>
      <c r="G285" s="48" t="s">
        <v>751</v>
      </c>
      <c r="H285" s="81" t="s">
        <v>463</v>
      </c>
      <c r="I285" s="8" t="s">
        <v>642</v>
      </c>
      <c r="J285" s="8" t="s">
        <v>1897</v>
      </c>
      <c r="K285" s="27" t="s">
        <v>1876</v>
      </c>
      <c r="L285" s="28">
        <f>_xlfn.NUMBERVALUE(LEFT(Activities[[#This Row],[Fiscal Year]], 4))</f>
        <v>2018</v>
      </c>
      <c r="M285" s="28" t="s">
        <v>1863</v>
      </c>
      <c r="N285" s="41">
        <v>2500</v>
      </c>
      <c r="O285" s="93">
        <f>IF(Activities[[#This Row],[Reference Year]]&gt;2018,Activities[[#This Row],[Value]],Activities[[#This Row],[Value]]*(1+VLOOKUP(Activities[[#This Row],[Reference Year]],Inflation[#All],3,FALSE)))</f>
        <v>2500</v>
      </c>
    </row>
    <row r="286" spans="1:15" ht="15" customHeight="1" x14ac:dyDescent="0.25">
      <c r="A286" s="9" t="s">
        <v>1449</v>
      </c>
      <c r="B286" s="9" t="str">
        <f>INDEX(Places[Type],MATCH(Activities[[#This Row],[Jurisdiction]],Places[Jurisdiction],0))</f>
        <v>County</v>
      </c>
      <c r="C286" s="19" t="str">
        <f>INDEX(Places[County],MATCH(Activities[[#This Row],[Jurisdiction]],Places[Jurisdiction],0))</f>
        <v>Contra Costa</v>
      </c>
      <c r="D286" s="19" t="str">
        <f>INDEX(Places[Majority RB],MATCH(Activities[[#This Row],[Jurisdiction]],Places[Jurisdiction],0))</f>
        <v>San Francisco Bay</v>
      </c>
      <c r="E286" s="9">
        <f>INDEX(Places[Majority RB '#],MATCH(Activities[[#This Row],[Jurisdiction]],Places[Jurisdiction],0))</f>
        <v>2</v>
      </c>
      <c r="F286" s="28" t="str">
        <f>VLOOKUP(Activities[[#This Row],[Jurisdiction]],Places[#All],8,FALSE)</f>
        <v>Phase I MS4</v>
      </c>
      <c r="G286" s="48" t="s">
        <v>792</v>
      </c>
      <c r="H286" s="81"/>
      <c r="I286" s="8"/>
      <c r="J286" s="8" t="s">
        <v>1897</v>
      </c>
      <c r="K286" s="27" t="s">
        <v>1876</v>
      </c>
      <c r="L286" s="28">
        <f>_xlfn.NUMBERVALUE(LEFT(Activities[[#This Row],[Fiscal Year]], 4))</f>
        <v>2018</v>
      </c>
      <c r="M286" s="28" t="s">
        <v>1863</v>
      </c>
      <c r="N286" s="41">
        <v>5920</v>
      </c>
      <c r="O286" s="93">
        <f>IF(Activities[[#This Row],[Reference Year]]&gt;2018,Activities[[#This Row],[Value]],Activities[[#This Row],[Value]]*(1+VLOOKUP(Activities[[#This Row],[Reference Year]],Inflation[#All],3,FALSE)))</f>
        <v>5920</v>
      </c>
    </row>
    <row r="287" spans="1:15" ht="15" customHeight="1" x14ac:dyDescent="0.25">
      <c r="A287" s="9" t="s">
        <v>1449</v>
      </c>
      <c r="B287" s="9" t="str">
        <f>INDEX(Places[Type],MATCH(Activities[[#This Row],[Jurisdiction]],Places[Jurisdiction],0))</f>
        <v>County</v>
      </c>
      <c r="C287" s="19" t="str">
        <f>INDEX(Places[County],MATCH(Activities[[#This Row],[Jurisdiction]],Places[Jurisdiction],0))</f>
        <v>Contra Costa</v>
      </c>
      <c r="D287" s="19" t="str">
        <f>INDEX(Places[Majority RB],MATCH(Activities[[#This Row],[Jurisdiction]],Places[Jurisdiction],0))</f>
        <v>San Francisco Bay</v>
      </c>
      <c r="E287" s="9">
        <f>INDEX(Places[Majority RB '#],MATCH(Activities[[#This Row],[Jurisdiction]],Places[Jurisdiction],0))</f>
        <v>2</v>
      </c>
      <c r="F287" s="28" t="str">
        <f>VLOOKUP(Activities[[#This Row],[Jurisdiction]],Places[#All],8,FALSE)</f>
        <v>Phase I MS4</v>
      </c>
      <c r="G287" s="56" t="s">
        <v>802</v>
      </c>
      <c r="H287" s="81"/>
      <c r="I287" s="8"/>
      <c r="J287" s="8" t="s">
        <v>1897</v>
      </c>
      <c r="K287" s="27" t="s">
        <v>1876</v>
      </c>
      <c r="L287" s="28">
        <f>_xlfn.NUMBERVALUE(LEFT(Activities[[#This Row],[Fiscal Year]], 4))</f>
        <v>2018</v>
      </c>
      <c r="M287" s="28" t="s">
        <v>1863</v>
      </c>
      <c r="N287" s="41">
        <v>7818</v>
      </c>
      <c r="O287" s="93">
        <f>IF(Activities[[#This Row],[Reference Year]]&gt;2018,Activities[[#This Row],[Value]],Activities[[#This Row],[Value]]*(1+VLOOKUP(Activities[[#This Row],[Reference Year]],Inflation[#All],3,FALSE)))</f>
        <v>7818</v>
      </c>
    </row>
    <row r="288" spans="1:15" ht="15" customHeight="1" x14ac:dyDescent="0.25">
      <c r="A288" s="9" t="s">
        <v>1449</v>
      </c>
      <c r="B288" s="9" t="str">
        <f>INDEX(Places[Type],MATCH(Activities[[#This Row],[Jurisdiction]],Places[Jurisdiction],0))</f>
        <v>County</v>
      </c>
      <c r="C288" s="19" t="str">
        <f>INDEX(Places[County],MATCH(Activities[[#This Row],[Jurisdiction]],Places[Jurisdiction],0))</f>
        <v>Contra Costa</v>
      </c>
      <c r="D288" s="19" t="str">
        <f>INDEX(Places[Majority RB],MATCH(Activities[[#This Row],[Jurisdiction]],Places[Jurisdiction],0))</f>
        <v>San Francisco Bay</v>
      </c>
      <c r="E288" s="9">
        <f>INDEX(Places[Majority RB '#],MATCH(Activities[[#This Row],[Jurisdiction]],Places[Jurisdiction],0))</f>
        <v>2</v>
      </c>
      <c r="F288" s="28" t="str">
        <f>VLOOKUP(Activities[[#This Row],[Jurisdiction]],Places[#All],8,FALSE)</f>
        <v>Phase I MS4</v>
      </c>
      <c r="G288" s="48" t="s">
        <v>793</v>
      </c>
      <c r="H288" s="81"/>
      <c r="I288" s="8"/>
      <c r="J288" s="8" t="s">
        <v>1897</v>
      </c>
      <c r="K288" s="27" t="s">
        <v>1876</v>
      </c>
      <c r="L288" s="28">
        <f>_xlfn.NUMBERVALUE(LEFT(Activities[[#This Row],[Fiscal Year]], 4))</f>
        <v>2018</v>
      </c>
      <c r="M288" s="28" t="s">
        <v>1863</v>
      </c>
      <c r="N288" s="41">
        <v>10000</v>
      </c>
      <c r="O288" s="93">
        <f>IF(Activities[[#This Row],[Reference Year]]&gt;2018,Activities[[#This Row],[Value]],Activities[[#This Row],[Value]]*(1+VLOOKUP(Activities[[#This Row],[Reference Year]],Inflation[#All],3,FALSE)))</f>
        <v>10000</v>
      </c>
    </row>
    <row r="289" spans="1:15" ht="15" customHeight="1" x14ac:dyDescent="0.25">
      <c r="A289" s="9" t="s">
        <v>1449</v>
      </c>
      <c r="B289" s="9" t="str">
        <f>INDEX(Places[Type],MATCH(Activities[[#This Row],[Jurisdiction]],Places[Jurisdiction],0))</f>
        <v>County</v>
      </c>
      <c r="C289" s="19" t="str">
        <f>INDEX(Places[County],MATCH(Activities[[#This Row],[Jurisdiction]],Places[Jurisdiction],0))</f>
        <v>Contra Costa</v>
      </c>
      <c r="D289" s="19" t="str">
        <f>INDEX(Places[Majority RB],MATCH(Activities[[#This Row],[Jurisdiction]],Places[Jurisdiction],0))</f>
        <v>San Francisco Bay</v>
      </c>
      <c r="E289" s="9">
        <f>INDEX(Places[Majority RB '#],MATCH(Activities[[#This Row],[Jurisdiction]],Places[Jurisdiction],0))</f>
        <v>2</v>
      </c>
      <c r="F289" s="28" t="str">
        <f>VLOOKUP(Activities[[#This Row],[Jurisdiction]],Places[#All],8,FALSE)</f>
        <v>Phase I MS4</v>
      </c>
      <c r="G289" s="48" t="s">
        <v>794</v>
      </c>
      <c r="H289" s="81"/>
      <c r="I289" s="8"/>
      <c r="J289" s="8" t="s">
        <v>1897</v>
      </c>
      <c r="K289" s="27" t="s">
        <v>1876</v>
      </c>
      <c r="L289" s="28">
        <f>_xlfn.NUMBERVALUE(LEFT(Activities[[#This Row],[Fiscal Year]], 4))</f>
        <v>2018</v>
      </c>
      <c r="M289" s="28" t="s">
        <v>1863</v>
      </c>
      <c r="N289" s="41">
        <v>15000</v>
      </c>
      <c r="O289" s="93">
        <f>IF(Activities[[#This Row],[Reference Year]]&gt;2018,Activities[[#This Row],[Value]],Activities[[#This Row],[Value]]*(1+VLOOKUP(Activities[[#This Row],[Reference Year]],Inflation[#All],3,FALSE)))</f>
        <v>15000</v>
      </c>
    </row>
    <row r="290" spans="1:15" ht="15" customHeight="1" x14ac:dyDescent="0.25">
      <c r="A290" s="9" t="s">
        <v>1449</v>
      </c>
      <c r="B290" s="9" t="str">
        <f>INDEX(Places[Type],MATCH(Activities[[#This Row],[Jurisdiction]],Places[Jurisdiction],0))</f>
        <v>County</v>
      </c>
      <c r="C290" s="19" t="str">
        <f>INDEX(Places[County],MATCH(Activities[[#This Row],[Jurisdiction]],Places[Jurisdiction],0))</f>
        <v>Contra Costa</v>
      </c>
      <c r="D290" s="19" t="str">
        <f>INDEX(Places[Majority RB],MATCH(Activities[[#This Row],[Jurisdiction]],Places[Jurisdiction],0))</f>
        <v>San Francisco Bay</v>
      </c>
      <c r="E290" s="9">
        <f>INDEX(Places[Majority RB '#],MATCH(Activities[[#This Row],[Jurisdiction]],Places[Jurisdiction],0))</f>
        <v>2</v>
      </c>
      <c r="F290" s="28" t="str">
        <f>VLOOKUP(Activities[[#This Row],[Jurisdiction]],Places[#All],8,FALSE)</f>
        <v>Phase I MS4</v>
      </c>
      <c r="G290" s="56" t="s">
        <v>803</v>
      </c>
      <c r="H290" s="81"/>
      <c r="I290" s="8"/>
      <c r="J290" s="8" t="s">
        <v>1897</v>
      </c>
      <c r="K290" s="27" t="s">
        <v>1876</v>
      </c>
      <c r="L290" s="28">
        <f>_xlfn.NUMBERVALUE(LEFT(Activities[[#This Row],[Fiscal Year]], 4))</f>
        <v>2018</v>
      </c>
      <c r="M290" s="28" t="s">
        <v>1863</v>
      </c>
      <c r="N290" s="41">
        <v>15000</v>
      </c>
      <c r="O290" s="93">
        <f>IF(Activities[[#This Row],[Reference Year]]&gt;2018,Activities[[#This Row],[Value]],Activities[[#This Row],[Value]]*(1+VLOOKUP(Activities[[#This Row],[Reference Year]],Inflation[#All],3,FALSE)))</f>
        <v>15000</v>
      </c>
    </row>
    <row r="291" spans="1:15" ht="15" customHeight="1" x14ac:dyDescent="0.25">
      <c r="A291" s="9" t="s">
        <v>1449</v>
      </c>
      <c r="B291" s="9" t="str">
        <f>INDEX(Places[Type],MATCH(Activities[[#This Row],[Jurisdiction]],Places[Jurisdiction],0))</f>
        <v>County</v>
      </c>
      <c r="C291" s="19" t="str">
        <f>INDEX(Places[County],MATCH(Activities[[#This Row],[Jurisdiction]],Places[Jurisdiction],0))</f>
        <v>Contra Costa</v>
      </c>
      <c r="D291" s="19" t="str">
        <f>INDEX(Places[Majority RB],MATCH(Activities[[#This Row],[Jurisdiction]],Places[Jurisdiction],0))</f>
        <v>San Francisco Bay</v>
      </c>
      <c r="E291" s="9">
        <f>INDEX(Places[Majority RB '#],MATCH(Activities[[#This Row],[Jurisdiction]],Places[Jurisdiction],0))</f>
        <v>2</v>
      </c>
      <c r="F291" s="28" t="str">
        <f>VLOOKUP(Activities[[#This Row],[Jurisdiction]],Places[#All],8,FALSE)</f>
        <v>Phase I MS4</v>
      </c>
      <c r="G291" s="48" t="s">
        <v>813</v>
      </c>
      <c r="H291" s="8"/>
      <c r="I291" s="8"/>
      <c r="J291" s="8" t="s">
        <v>1897</v>
      </c>
      <c r="K291" s="27" t="s">
        <v>1876</v>
      </c>
      <c r="L291" s="28">
        <f>_xlfn.NUMBERVALUE(LEFT(Activities[[#This Row],[Fiscal Year]], 4))</f>
        <v>2018</v>
      </c>
      <c r="M291" s="28" t="s">
        <v>1863</v>
      </c>
      <c r="N291" s="41">
        <v>18500</v>
      </c>
      <c r="O291" s="93">
        <f>IF(Activities[[#This Row],[Reference Year]]&gt;2018,Activities[[#This Row],[Value]],Activities[[#This Row],[Value]]*(1+VLOOKUP(Activities[[#This Row],[Reference Year]],Inflation[#All],3,FALSE)))</f>
        <v>18500</v>
      </c>
    </row>
    <row r="292" spans="1:15" ht="15" customHeight="1" x14ac:dyDescent="0.25">
      <c r="A292" s="9" t="s">
        <v>1449</v>
      </c>
      <c r="B292" s="9" t="str">
        <f>INDEX(Places[Type],MATCH(Activities[[#This Row],[Jurisdiction]],Places[Jurisdiction],0))</f>
        <v>County</v>
      </c>
      <c r="C292" s="19" t="str">
        <f>INDEX(Places[County],MATCH(Activities[[#This Row],[Jurisdiction]],Places[Jurisdiction],0))</f>
        <v>Contra Costa</v>
      </c>
      <c r="D292" s="19" t="str">
        <f>INDEX(Places[Majority RB],MATCH(Activities[[#This Row],[Jurisdiction]],Places[Jurisdiction],0))</f>
        <v>San Francisco Bay</v>
      </c>
      <c r="E292" s="9">
        <f>INDEX(Places[Majority RB '#],MATCH(Activities[[#This Row],[Jurisdiction]],Places[Jurisdiction],0))</f>
        <v>2</v>
      </c>
      <c r="F292" s="28" t="str">
        <f>VLOOKUP(Activities[[#This Row],[Jurisdiction]],Places[#All],8,FALSE)</f>
        <v>Phase I MS4</v>
      </c>
      <c r="G292" s="48" t="s">
        <v>810</v>
      </c>
      <c r="H292" s="8"/>
      <c r="I292" s="8"/>
      <c r="J292" s="8" t="s">
        <v>1897</v>
      </c>
      <c r="K292" s="27" t="s">
        <v>1876</v>
      </c>
      <c r="L292" s="28">
        <f>_xlfn.NUMBERVALUE(LEFT(Activities[[#This Row],[Fiscal Year]], 4))</f>
        <v>2018</v>
      </c>
      <c r="M292" s="28" t="s">
        <v>1863</v>
      </c>
      <c r="N292" s="41">
        <v>65000</v>
      </c>
      <c r="O292" s="93">
        <f>IF(Activities[[#This Row],[Reference Year]]&gt;2018,Activities[[#This Row],[Value]],Activities[[#This Row],[Value]]*(1+VLOOKUP(Activities[[#This Row],[Reference Year]],Inflation[#All],3,FALSE)))</f>
        <v>65000</v>
      </c>
    </row>
    <row r="293" spans="1:15" ht="15" customHeight="1" x14ac:dyDescent="0.25">
      <c r="A293" s="9" t="s">
        <v>1449</v>
      </c>
      <c r="B293" s="9" t="str">
        <f>INDEX(Places[Type],MATCH(Activities[[#This Row],[Jurisdiction]],Places[Jurisdiction],0))</f>
        <v>County</v>
      </c>
      <c r="C293" s="19" t="str">
        <f>INDEX(Places[County],MATCH(Activities[[#This Row],[Jurisdiction]],Places[Jurisdiction],0))</f>
        <v>Contra Costa</v>
      </c>
      <c r="D293" s="19" t="str">
        <f>INDEX(Places[Majority RB],MATCH(Activities[[#This Row],[Jurisdiction]],Places[Jurisdiction],0))</f>
        <v>San Francisco Bay</v>
      </c>
      <c r="E293" s="9">
        <f>INDEX(Places[Majority RB '#],MATCH(Activities[[#This Row],[Jurisdiction]],Places[Jurisdiction],0))</f>
        <v>2</v>
      </c>
      <c r="F293" s="28" t="str">
        <f>VLOOKUP(Activities[[#This Row],[Jurisdiction]],Places[#All],8,FALSE)</f>
        <v>Phase I MS4</v>
      </c>
      <c r="G293" s="48" t="s">
        <v>811</v>
      </c>
      <c r="H293" s="81"/>
      <c r="I293" s="8"/>
      <c r="J293" s="8" t="s">
        <v>1897</v>
      </c>
      <c r="K293" s="27" t="s">
        <v>1876</v>
      </c>
      <c r="L293" s="28">
        <f>_xlfn.NUMBERVALUE(LEFT(Activities[[#This Row],[Fiscal Year]], 4))</f>
        <v>2018</v>
      </c>
      <c r="M293" s="28" t="s">
        <v>1863</v>
      </c>
      <c r="N293" s="41">
        <v>150000</v>
      </c>
      <c r="O293" s="93">
        <f>IF(Activities[[#This Row],[Reference Year]]&gt;2018,Activities[[#This Row],[Value]],Activities[[#This Row],[Value]]*(1+VLOOKUP(Activities[[#This Row],[Reference Year]],Inflation[#All],3,FALSE)))</f>
        <v>150000</v>
      </c>
    </row>
    <row r="294" spans="1:15" ht="15" customHeight="1" x14ac:dyDescent="0.25">
      <c r="A294" s="9" t="s">
        <v>1449</v>
      </c>
      <c r="B294" s="9" t="str">
        <f>INDEX(Places[Type],MATCH(Activities[[#This Row],[Jurisdiction]],Places[Jurisdiction],0))</f>
        <v>County</v>
      </c>
      <c r="C294" s="19" t="str">
        <f>INDEX(Places[County],MATCH(Activities[[#This Row],[Jurisdiction]],Places[Jurisdiction],0))</f>
        <v>Contra Costa</v>
      </c>
      <c r="D294" s="19" t="str">
        <f>INDEX(Places[Majority RB],MATCH(Activities[[#This Row],[Jurisdiction]],Places[Jurisdiction],0))</f>
        <v>San Francisco Bay</v>
      </c>
      <c r="E294" s="9">
        <f>INDEX(Places[Majority RB '#],MATCH(Activities[[#This Row],[Jurisdiction]],Places[Jurisdiction],0))</f>
        <v>2</v>
      </c>
      <c r="F294" s="28" t="str">
        <f>VLOOKUP(Activities[[#This Row],[Jurisdiction]],Places[#All],8,FALSE)</f>
        <v>Phase I MS4</v>
      </c>
      <c r="G294" s="48" t="s">
        <v>752</v>
      </c>
      <c r="H294" s="8"/>
      <c r="I294" s="8"/>
      <c r="J294" s="8" t="s">
        <v>1898</v>
      </c>
      <c r="K294" s="27" t="s">
        <v>1876</v>
      </c>
      <c r="L294" s="28">
        <f>_xlfn.NUMBERVALUE(LEFT(Activities[[#This Row],[Fiscal Year]], 4))</f>
        <v>2018</v>
      </c>
      <c r="M294" s="28" t="s">
        <v>1863</v>
      </c>
      <c r="N294" s="41">
        <v>160000</v>
      </c>
      <c r="O294" s="93">
        <f>IF(Activities[[#This Row],[Reference Year]]&gt;2018,Activities[[#This Row],[Value]],Activities[[#This Row],[Value]]*(1+VLOOKUP(Activities[[#This Row],[Reference Year]],Inflation[#All],3,FALSE)))</f>
        <v>160000</v>
      </c>
    </row>
    <row r="295" spans="1:15" ht="15" customHeight="1" x14ac:dyDescent="0.25">
      <c r="A295" s="9" t="s">
        <v>1449</v>
      </c>
      <c r="B295" s="9" t="str">
        <f>INDEX(Places[Type],MATCH(Activities[[#This Row],[Jurisdiction]],Places[Jurisdiction],0))</f>
        <v>County</v>
      </c>
      <c r="C295" s="19" t="str">
        <f>INDEX(Places[County],MATCH(Activities[[#This Row],[Jurisdiction]],Places[Jurisdiction],0))</f>
        <v>Contra Costa</v>
      </c>
      <c r="D295" s="19" t="str">
        <f>INDEX(Places[Majority RB],MATCH(Activities[[#This Row],[Jurisdiction]],Places[Jurisdiction],0))</f>
        <v>San Francisco Bay</v>
      </c>
      <c r="E295" s="9">
        <f>INDEX(Places[Majority RB '#],MATCH(Activities[[#This Row],[Jurisdiction]],Places[Jurisdiction],0))</f>
        <v>2</v>
      </c>
      <c r="F295" s="28" t="str">
        <f>VLOOKUP(Activities[[#This Row],[Jurisdiction]],Places[#All],8,FALSE)</f>
        <v>Phase I MS4</v>
      </c>
      <c r="G295" s="48" t="s">
        <v>757</v>
      </c>
      <c r="H295" s="8"/>
      <c r="I295" s="8"/>
      <c r="J295" s="8" t="s">
        <v>1456</v>
      </c>
      <c r="K295" s="27" t="s">
        <v>1876</v>
      </c>
      <c r="L295" s="28">
        <f>_xlfn.NUMBERVALUE(LEFT(Activities[[#This Row],[Fiscal Year]], 4))</f>
        <v>2018</v>
      </c>
      <c r="M295" s="28" t="s">
        <v>1863</v>
      </c>
      <c r="N295" s="41">
        <v>1500</v>
      </c>
      <c r="O295" s="93">
        <f>IF(Activities[[#This Row],[Reference Year]]&gt;2018,Activities[[#This Row],[Value]],Activities[[#This Row],[Value]]*(1+VLOOKUP(Activities[[#This Row],[Reference Year]],Inflation[#All],3,FALSE)))</f>
        <v>1500</v>
      </c>
    </row>
    <row r="296" spans="1:15" ht="15" customHeight="1" x14ac:dyDescent="0.25">
      <c r="A296" s="9" t="s">
        <v>1449</v>
      </c>
      <c r="B296" s="9" t="str">
        <f>INDEX(Places[Type],MATCH(Activities[[#This Row],[Jurisdiction]],Places[Jurisdiction],0))</f>
        <v>County</v>
      </c>
      <c r="C296" s="19" t="str">
        <f>INDEX(Places[County],MATCH(Activities[[#This Row],[Jurisdiction]],Places[Jurisdiction],0))</f>
        <v>Contra Costa</v>
      </c>
      <c r="D296" s="19" t="str">
        <f>INDEX(Places[Majority RB],MATCH(Activities[[#This Row],[Jurisdiction]],Places[Jurisdiction],0))</f>
        <v>San Francisco Bay</v>
      </c>
      <c r="E296" s="9">
        <f>INDEX(Places[Majority RB '#],MATCH(Activities[[#This Row],[Jurisdiction]],Places[Jurisdiction],0))</f>
        <v>2</v>
      </c>
      <c r="F296" s="28" t="str">
        <f>VLOOKUP(Activities[[#This Row],[Jurisdiction]],Places[#All],8,FALSE)</f>
        <v>Phase I MS4</v>
      </c>
      <c r="G296" s="56" t="s">
        <v>769</v>
      </c>
      <c r="H296" s="46"/>
      <c r="I296" s="46"/>
      <c r="J296" s="8" t="s">
        <v>1456</v>
      </c>
      <c r="K296" s="27" t="s">
        <v>1876</v>
      </c>
      <c r="L296" s="28">
        <f>_xlfn.NUMBERVALUE(LEFT(Activities[[#This Row],[Fiscal Year]], 4))</f>
        <v>2018</v>
      </c>
      <c r="M296" s="28" t="s">
        <v>1863</v>
      </c>
      <c r="N296" s="41">
        <v>2000</v>
      </c>
      <c r="O296" s="93">
        <f>IF(Activities[[#This Row],[Reference Year]]&gt;2018,Activities[[#This Row],[Value]],Activities[[#This Row],[Value]]*(1+VLOOKUP(Activities[[#This Row],[Reference Year]],Inflation[#All],3,FALSE)))</f>
        <v>2000</v>
      </c>
    </row>
    <row r="297" spans="1:15" ht="15" customHeight="1" x14ac:dyDescent="0.25">
      <c r="A297" s="9" t="s">
        <v>1449</v>
      </c>
      <c r="B297" s="9" t="str">
        <f>INDEX(Places[Type],MATCH(Activities[[#This Row],[Jurisdiction]],Places[Jurisdiction],0))</f>
        <v>County</v>
      </c>
      <c r="C297" s="19" t="str">
        <f>INDEX(Places[County],MATCH(Activities[[#This Row],[Jurisdiction]],Places[Jurisdiction],0))</f>
        <v>Contra Costa</v>
      </c>
      <c r="D297" s="19" t="str">
        <f>INDEX(Places[Majority RB],MATCH(Activities[[#This Row],[Jurisdiction]],Places[Jurisdiction],0))</f>
        <v>San Francisco Bay</v>
      </c>
      <c r="E297" s="9">
        <f>INDEX(Places[Majority RB '#],MATCH(Activities[[#This Row],[Jurisdiction]],Places[Jurisdiction],0))</f>
        <v>2</v>
      </c>
      <c r="F297" s="28" t="str">
        <f>VLOOKUP(Activities[[#This Row],[Jurisdiction]],Places[#All],8,FALSE)</f>
        <v>Phase I MS4</v>
      </c>
      <c r="G297" s="56" t="s">
        <v>773</v>
      </c>
      <c r="H297" s="46"/>
      <c r="I297" s="46"/>
      <c r="J297" s="8" t="s">
        <v>1456</v>
      </c>
      <c r="K297" s="27" t="s">
        <v>1876</v>
      </c>
      <c r="L297" s="28">
        <f>_xlfn.NUMBERVALUE(LEFT(Activities[[#This Row],[Fiscal Year]], 4))</f>
        <v>2018</v>
      </c>
      <c r="M297" s="28" t="s">
        <v>1863</v>
      </c>
      <c r="N297" s="41">
        <v>2000</v>
      </c>
      <c r="O297" s="93">
        <f>IF(Activities[[#This Row],[Reference Year]]&gt;2018,Activities[[#This Row],[Value]],Activities[[#This Row],[Value]]*(1+VLOOKUP(Activities[[#This Row],[Reference Year]],Inflation[#All],3,FALSE)))</f>
        <v>2000</v>
      </c>
    </row>
    <row r="298" spans="1:15" ht="15" customHeight="1" x14ac:dyDescent="0.25">
      <c r="A298" s="9" t="s">
        <v>1449</v>
      </c>
      <c r="B298" s="9" t="str">
        <f>INDEX(Places[Type],MATCH(Activities[[#This Row],[Jurisdiction]],Places[Jurisdiction],0))</f>
        <v>County</v>
      </c>
      <c r="C298" s="19" t="str">
        <f>INDEX(Places[County],MATCH(Activities[[#This Row],[Jurisdiction]],Places[Jurisdiction],0))</f>
        <v>Contra Costa</v>
      </c>
      <c r="D298" s="19" t="str">
        <f>INDEX(Places[Majority RB],MATCH(Activities[[#This Row],[Jurisdiction]],Places[Jurisdiction],0))</f>
        <v>San Francisco Bay</v>
      </c>
      <c r="E298" s="9">
        <f>INDEX(Places[Majority RB '#],MATCH(Activities[[#This Row],[Jurisdiction]],Places[Jurisdiction],0))</f>
        <v>2</v>
      </c>
      <c r="F298" s="28" t="str">
        <f>VLOOKUP(Activities[[#This Row],[Jurisdiction]],Places[#All],8,FALSE)</f>
        <v>Phase I MS4</v>
      </c>
      <c r="G298" s="56" t="s">
        <v>768</v>
      </c>
      <c r="H298" s="81"/>
      <c r="I298" s="8"/>
      <c r="J298" s="8" t="s">
        <v>1456</v>
      </c>
      <c r="K298" s="27" t="s">
        <v>1876</v>
      </c>
      <c r="L298" s="28">
        <f>_xlfn.NUMBERVALUE(LEFT(Activities[[#This Row],[Fiscal Year]], 4))</f>
        <v>2018</v>
      </c>
      <c r="M298" s="28" t="s">
        <v>1863</v>
      </c>
      <c r="N298" s="41">
        <v>2922</v>
      </c>
      <c r="O298" s="93">
        <f>IF(Activities[[#This Row],[Reference Year]]&gt;2018,Activities[[#This Row],[Value]],Activities[[#This Row],[Value]]*(1+VLOOKUP(Activities[[#This Row],[Reference Year]],Inflation[#All],3,FALSE)))</f>
        <v>2922</v>
      </c>
    </row>
    <row r="299" spans="1:15" ht="15" customHeight="1" x14ac:dyDescent="0.25">
      <c r="A299" s="9" t="s">
        <v>1449</v>
      </c>
      <c r="B299" s="9" t="str">
        <f>INDEX(Places[Type],MATCH(Activities[[#This Row],[Jurisdiction]],Places[Jurisdiction],0))</f>
        <v>County</v>
      </c>
      <c r="C299" s="19" t="str">
        <f>INDEX(Places[County],MATCH(Activities[[#This Row],[Jurisdiction]],Places[Jurisdiction],0))</f>
        <v>Contra Costa</v>
      </c>
      <c r="D299" s="19" t="str">
        <f>INDEX(Places[Majority RB],MATCH(Activities[[#This Row],[Jurisdiction]],Places[Jurisdiction],0))</f>
        <v>San Francisco Bay</v>
      </c>
      <c r="E299" s="9">
        <f>INDEX(Places[Majority RB '#],MATCH(Activities[[#This Row],[Jurisdiction]],Places[Jurisdiction],0))</f>
        <v>2</v>
      </c>
      <c r="F299" s="28" t="str">
        <f>VLOOKUP(Activities[[#This Row],[Jurisdiction]],Places[#All],8,FALSE)</f>
        <v>Phase I MS4</v>
      </c>
      <c r="G299" s="56" t="s">
        <v>774</v>
      </c>
      <c r="H299" s="46"/>
      <c r="I299" s="46"/>
      <c r="J299" s="8" t="s">
        <v>1456</v>
      </c>
      <c r="K299" s="27" t="s">
        <v>1876</v>
      </c>
      <c r="L299" s="28">
        <f>_xlfn.NUMBERVALUE(LEFT(Activities[[#This Row],[Fiscal Year]], 4))</f>
        <v>2018</v>
      </c>
      <c r="M299" s="28" t="s">
        <v>1863</v>
      </c>
      <c r="N299" s="41">
        <v>5000</v>
      </c>
      <c r="O299" s="93">
        <f>IF(Activities[[#This Row],[Reference Year]]&gt;2018,Activities[[#This Row],[Value]],Activities[[#This Row],[Value]]*(1+VLOOKUP(Activities[[#This Row],[Reference Year]],Inflation[#All],3,FALSE)))</f>
        <v>5000</v>
      </c>
    </row>
    <row r="300" spans="1:15" ht="15" customHeight="1" x14ac:dyDescent="0.25">
      <c r="A300" s="9" t="s">
        <v>1449</v>
      </c>
      <c r="B300" s="9" t="str">
        <f>INDEX(Places[Type],MATCH(Activities[[#This Row],[Jurisdiction]],Places[Jurisdiction],0))</f>
        <v>County</v>
      </c>
      <c r="C300" s="19" t="str">
        <f>INDEX(Places[County],MATCH(Activities[[#This Row],[Jurisdiction]],Places[Jurisdiction],0))</f>
        <v>Contra Costa</v>
      </c>
      <c r="D300" s="19" t="str">
        <f>INDEX(Places[Majority RB],MATCH(Activities[[#This Row],[Jurisdiction]],Places[Jurisdiction],0))</f>
        <v>San Francisco Bay</v>
      </c>
      <c r="E300" s="9">
        <f>INDEX(Places[Majority RB '#],MATCH(Activities[[#This Row],[Jurisdiction]],Places[Jurisdiction],0))</f>
        <v>2</v>
      </c>
      <c r="F300" s="28" t="str">
        <f>VLOOKUP(Activities[[#This Row],[Jurisdiction]],Places[#All],8,FALSE)</f>
        <v>Phase I MS4</v>
      </c>
      <c r="G300" s="56" t="s">
        <v>770</v>
      </c>
      <c r="H300" s="46"/>
      <c r="I300" s="46"/>
      <c r="J300" s="8" t="s">
        <v>1456</v>
      </c>
      <c r="K300" s="27" t="s">
        <v>1876</v>
      </c>
      <c r="L300" s="28">
        <f>_xlfn.NUMBERVALUE(LEFT(Activities[[#This Row],[Fiscal Year]], 4))</f>
        <v>2018</v>
      </c>
      <c r="M300" s="28" t="s">
        <v>1863</v>
      </c>
      <c r="N300" s="41">
        <v>15000</v>
      </c>
      <c r="O300" s="93">
        <f>IF(Activities[[#This Row],[Reference Year]]&gt;2018,Activities[[#This Row],[Value]],Activities[[#This Row],[Value]]*(1+VLOOKUP(Activities[[#This Row],[Reference Year]],Inflation[#All],3,FALSE)))</f>
        <v>15000</v>
      </c>
    </row>
    <row r="301" spans="1:15" ht="15" customHeight="1" x14ac:dyDescent="0.25">
      <c r="A301" s="9" t="s">
        <v>1449</v>
      </c>
      <c r="B301" s="9" t="str">
        <f>INDEX(Places[Type],MATCH(Activities[[#This Row],[Jurisdiction]],Places[Jurisdiction],0))</f>
        <v>County</v>
      </c>
      <c r="C301" s="19" t="str">
        <f>INDEX(Places[County],MATCH(Activities[[#This Row],[Jurisdiction]],Places[Jurisdiction],0))</f>
        <v>Contra Costa</v>
      </c>
      <c r="D301" s="19" t="str">
        <f>INDEX(Places[Majority RB],MATCH(Activities[[#This Row],[Jurisdiction]],Places[Jurisdiction],0))</f>
        <v>San Francisco Bay</v>
      </c>
      <c r="E301" s="9">
        <f>INDEX(Places[Majority RB '#],MATCH(Activities[[#This Row],[Jurisdiction]],Places[Jurisdiction],0))</f>
        <v>2</v>
      </c>
      <c r="F301" s="28" t="str">
        <f>VLOOKUP(Activities[[#This Row],[Jurisdiction]],Places[#All],8,FALSE)</f>
        <v>Phase I MS4</v>
      </c>
      <c r="G301" s="56" t="s">
        <v>772</v>
      </c>
      <c r="H301" s="46"/>
      <c r="I301" s="46"/>
      <c r="J301" s="8" t="s">
        <v>1456</v>
      </c>
      <c r="K301" s="27" t="s">
        <v>1876</v>
      </c>
      <c r="L301" s="28">
        <f>_xlfn.NUMBERVALUE(LEFT(Activities[[#This Row],[Fiscal Year]], 4))</f>
        <v>2018</v>
      </c>
      <c r="M301" s="28" t="s">
        <v>1863</v>
      </c>
      <c r="N301" s="41">
        <v>20000</v>
      </c>
      <c r="O301" s="93">
        <f>IF(Activities[[#This Row],[Reference Year]]&gt;2018,Activities[[#This Row],[Value]],Activities[[#This Row],[Value]]*(1+VLOOKUP(Activities[[#This Row],[Reference Year]],Inflation[#All],3,FALSE)))</f>
        <v>20000</v>
      </c>
    </row>
    <row r="302" spans="1:15" ht="15" customHeight="1" x14ac:dyDescent="0.25">
      <c r="A302" s="9" t="s">
        <v>1449</v>
      </c>
      <c r="B302" s="9" t="str">
        <f>INDEX(Places[Type],MATCH(Activities[[#This Row],[Jurisdiction]],Places[Jurisdiction],0))</f>
        <v>County</v>
      </c>
      <c r="C302" s="19" t="str">
        <f>INDEX(Places[County],MATCH(Activities[[#This Row],[Jurisdiction]],Places[Jurisdiction],0))</f>
        <v>Contra Costa</v>
      </c>
      <c r="D302" s="19" t="str">
        <f>INDEX(Places[Majority RB],MATCH(Activities[[#This Row],[Jurisdiction]],Places[Jurisdiction],0))</f>
        <v>San Francisco Bay</v>
      </c>
      <c r="E302" s="9">
        <f>INDEX(Places[Majority RB '#],MATCH(Activities[[#This Row],[Jurisdiction]],Places[Jurisdiction],0))</f>
        <v>2</v>
      </c>
      <c r="F302" s="28" t="str">
        <f>VLOOKUP(Activities[[#This Row],[Jurisdiction]],Places[#All],8,FALSE)</f>
        <v>Phase I MS4</v>
      </c>
      <c r="G302" s="48" t="s">
        <v>788</v>
      </c>
      <c r="H302" s="8"/>
      <c r="I302" s="8"/>
      <c r="J302" s="8" t="s">
        <v>1456</v>
      </c>
      <c r="K302" s="27" t="s">
        <v>1876</v>
      </c>
      <c r="L302" s="28">
        <f>_xlfn.NUMBERVALUE(LEFT(Activities[[#This Row],[Fiscal Year]], 4))</f>
        <v>2018</v>
      </c>
      <c r="M302" s="28" t="s">
        <v>1863</v>
      </c>
      <c r="N302" s="41">
        <v>60770</v>
      </c>
      <c r="O302" s="93">
        <f>IF(Activities[[#This Row],[Reference Year]]&gt;2018,Activities[[#This Row],[Value]],Activities[[#This Row],[Value]]*(1+VLOOKUP(Activities[[#This Row],[Reference Year]],Inflation[#All],3,FALSE)))</f>
        <v>60770</v>
      </c>
    </row>
    <row r="303" spans="1:15" ht="15" customHeight="1" x14ac:dyDescent="0.25">
      <c r="A303" s="9" t="s">
        <v>1449</v>
      </c>
      <c r="B303" s="9" t="str">
        <f>INDEX(Places[Type],MATCH(Activities[[#This Row],[Jurisdiction]],Places[Jurisdiction],0))</f>
        <v>County</v>
      </c>
      <c r="C303" s="19" t="str">
        <f>INDEX(Places[County],MATCH(Activities[[#This Row],[Jurisdiction]],Places[Jurisdiction],0))</f>
        <v>Contra Costa</v>
      </c>
      <c r="D303" s="19" t="str">
        <f>INDEX(Places[Majority RB],MATCH(Activities[[#This Row],[Jurisdiction]],Places[Jurisdiction],0))</f>
        <v>San Francisco Bay</v>
      </c>
      <c r="E303" s="9">
        <f>INDEX(Places[Majority RB '#],MATCH(Activities[[#This Row],[Jurisdiction]],Places[Jurisdiction],0))</f>
        <v>2</v>
      </c>
      <c r="F303" s="28" t="str">
        <f>VLOOKUP(Activities[[#This Row],[Jurisdiction]],Places[#All],8,FALSE)</f>
        <v>Phase I MS4</v>
      </c>
      <c r="G303" s="56" t="s">
        <v>767</v>
      </c>
      <c r="H303" s="81"/>
      <c r="I303" s="8"/>
      <c r="J303" s="8" t="s">
        <v>1456</v>
      </c>
      <c r="K303" s="27" t="s">
        <v>1876</v>
      </c>
      <c r="L303" s="28">
        <f>_xlfn.NUMBERVALUE(LEFT(Activities[[#This Row],[Fiscal Year]], 4))</f>
        <v>2018</v>
      </c>
      <c r="M303" s="28" t="s">
        <v>1863</v>
      </c>
      <c r="N303" s="41">
        <v>150000</v>
      </c>
      <c r="O303" s="93">
        <f>IF(Activities[[#This Row],[Reference Year]]&gt;2018,Activities[[#This Row],[Value]],Activities[[#This Row],[Value]]*(1+VLOOKUP(Activities[[#This Row],[Reference Year]],Inflation[#All],3,FALSE)))</f>
        <v>150000</v>
      </c>
    </row>
    <row r="304" spans="1:15" ht="15" customHeight="1" x14ac:dyDescent="0.25">
      <c r="A304" s="9" t="s">
        <v>1449</v>
      </c>
      <c r="B304" s="9" t="str">
        <f>INDEX(Places[Type],MATCH(Activities[[#This Row],[Jurisdiction]],Places[Jurisdiction],0))</f>
        <v>County</v>
      </c>
      <c r="C304" s="19" t="str">
        <f>INDEX(Places[County],MATCH(Activities[[#This Row],[Jurisdiction]],Places[Jurisdiction],0))</f>
        <v>Contra Costa</v>
      </c>
      <c r="D304" s="19" t="str">
        <f>INDEX(Places[Majority RB],MATCH(Activities[[#This Row],[Jurisdiction]],Places[Jurisdiction],0))</f>
        <v>San Francisco Bay</v>
      </c>
      <c r="E304" s="9">
        <f>INDEX(Places[Majority RB '#],MATCH(Activities[[#This Row],[Jurisdiction]],Places[Jurisdiction],0))</f>
        <v>2</v>
      </c>
      <c r="F304" s="28" t="str">
        <f>VLOOKUP(Activities[[#This Row],[Jurisdiction]],Places[#All],8,FALSE)</f>
        <v>Phase I MS4</v>
      </c>
      <c r="G304" s="48" t="s">
        <v>758</v>
      </c>
      <c r="H304" s="8"/>
      <c r="I304" s="8"/>
      <c r="J304" s="8" t="s">
        <v>1894</v>
      </c>
      <c r="K304" s="27" t="s">
        <v>1876</v>
      </c>
      <c r="L304" s="28">
        <f>_xlfn.NUMBERVALUE(LEFT(Activities[[#This Row],[Fiscal Year]], 4))</f>
        <v>2018</v>
      </c>
      <c r="M304" s="28" t="s">
        <v>1863</v>
      </c>
      <c r="N304" s="41">
        <v>45000</v>
      </c>
      <c r="O304" s="93">
        <f>IF(Activities[[#This Row],[Reference Year]]&gt;2018,Activities[[#This Row],[Value]],Activities[[#This Row],[Value]]*(1+VLOOKUP(Activities[[#This Row],[Reference Year]],Inflation[#All],3,FALSE)))</f>
        <v>45000</v>
      </c>
    </row>
    <row r="305" spans="1:15" ht="15" customHeight="1" x14ac:dyDescent="0.25">
      <c r="A305" s="9" t="s">
        <v>1449</v>
      </c>
      <c r="B305" s="9" t="str">
        <f>INDEX(Places[Type],MATCH(Activities[[#This Row],[Jurisdiction]],Places[Jurisdiction],0))</f>
        <v>County</v>
      </c>
      <c r="C305" s="19" t="str">
        <f>INDEX(Places[County],MATCH(Activities[[#This Row],[Jurisdiction]],Places[Jurisdiction],0))</f>
        <v>Contra Costa</v>
      </c>
      <c r="D305" s="19" t="str">
        <f>INDEX(Places[Majority RB],MATCH(Activities[[#This Row],[Jurisdiction]],Places[Jurisdiction],0))</f>
        <v>San Francisco Bay</v>
      </c>
      <c r="E305" s="9">
        <f>INDEX(Places[Majority RB '#],MATCH(Activities[[#This Row],[Jurisdiction]],Places[Jurisdiction],0))</f>
        <v>2</v>
      </c>
      <c r="F305" s="28" t="str">
        <f>VLOOKUP(Activities[[#This Row],[Jurisdiction]],Places[#All],8,FALSE)</f>
        <v>Phase I MS4</v>
      </c>
      <c r="G305" s="56" t="s">
        <v>745</v>
      </c>
      <c r="H305" s="8"/>
      <c r="I305" s="8"/>
      <c r="J305" s="8" t="s">
        <v>1894</v>
      </c>
      <c r="K305" s="27" t="s">
        <v>1876</v>
      </c>
      <c r="L305" s="28">
        <f>_xlfn.NUMBERVALUE(LEFT(Activities[[#This Row],[Fiscal Year]], 4))</f>
        <v>2018</v>
      </c>
      <c r="M305" s="28" t="s">
        <v>1863</v>
      </c>
      <c r="N305" s="41">
        <v>100</v>
      </c>
      <c r="O305" s="93">
        <f>IF(Activities[[#This Row],[Reference Year]]&gt;2018,Activities[[#This Row],[Value]],Activities[[#This Row],[Value]]*(1+VLOOKUP(Activities[[#This Row],[Reference Year]],Inflation[#All],3,FALSE)))</f>
        <v>100</v>
      </c>
    </row>
    <row r="306" spans="1:15" ht="15" customHeight="1" x14ac:dyDescent="0.25">
      <c r="A306" s="9" t="s">
        <v>1449</v>
      </c>
      <c r="B306" s="9" t="str">
        <f>INDEX(Places[Type],MATCH(Activities[[#This Row],[Jurisdiction]],Places[Jurisdiction],0))</f>
        <v>County</v>
      </c>
      <c r="C306" s="19" t="str">
        <f>INDEX(Places[County],MATCH(Activities[[#This Row],[Jurisdiction]],Places[Jurisdiction],0))</f>
        <v>Contra Costa</v>
      </c>
      <c r="D306" s="19" t="str">
        <f>INDEX(Places[Majority RB],MATCH(Activities[[#This Row],[Jurisdiction]],Places[Jurisdiction],0))</f>
        <v>San Francisco Bay</v>
      </c>
      <c r="E306" s="9">
        <f>INDEX(Places[Majority RB '#],MATCH(Activities[[#This Row],[Jurisdiction]],Places[Jurisdiction],0))</f>
        <v>2</v>
      </c>
      <c r="F306" s="28" t="str">
        <f>VLOOKUP(Activities[[#This Row],[Jurisdiction]],Places[#All],8,FALSE)</f>
        <v>Phase I MS4</v>
      </c>
      <c r="G306" s="48" t="s">
        <v>742</v>
      </c>
      <c r="H306" s="8"/>
      <c r="I306" s="8"/>
      <c r="J306" s="8" t="s">
        <v>1894</v>
      </c>
      <c r="K306" s="27" t="s">
        <v>1876</v>
      </c>
      <c r="L306" s="28">
        <f>_xlfn.NUMBERVALUE(LEFT(Activities[[#This Row],[Fiscal Year]], 4))</f>
        <v>2018</v>
      </c>
      <c r="M306" s="28" t="s">
        <v>1863</v>
      </c>
      <c r="N306" s="41">
        <v>500</v>
      </c>
      <c r="O306" s="93">
        <f>IF(Activities[[#This Row],[Reference Year]]&gt;2018,Activities[[#This Row],[Value]],Activities[[#This Row],[Value]]*(1+VLOOKUP(Activities[[#This Row],[Reference Year]],Inflation[#All],3,FALSE)))</f>
        <v>500</v>
      </c>
    </row>
    <row r="307" spans="1:15" ht="15" customHeight="1" x14ac:dyDescent="0.25">
      <c r="A307" s="9" t="s">
        <v>1449</v>
      </c>
      <c r="B307" s="9" t="str">
        <f>INDEX(Places[Type],MATCH(Activities[[#This Row],[Jurisdiction]],Places[Jurisdiction],0))</f>
        <v>County</v>
      </c>
      <c r="C307" s="19" t="str">
        <f>INDEX(Places[County],MATCH(Activities[[#This Row],[Jurisdiction]],Places[Jurisdiction],0))</f>
        <v>Contra Costa</v>
      </c>
      <c r="D307" s="19" t="str">
        <f>INDEX(Places[Majority RB],MATCH(Activities[[#This Row],[Jurisdiction]],Places[Jurisdiction],0))</f>
        <v>San Francisco Bay</v>
      </c>
      <c r="E307" s="9">
        <f>INDEX(Places[Majority RB '#],MATCH(Activities[[#This Row],[Jurisdiction]],Places[Jurisdiction],0))</f>
        <v>2</v>
      </c>
      <c r="F307" s="28" t="str">
        <f>VLOOKUP(Activities[[#This Row],[Jurisdiction]],Places[#All],8,FALSE)</f>
        <v>Phase I MS4</v>
      </c>
      <c r="G307" s="48" t="s">
        <v>740</v>
      </c>
      <c r="H307" s="8"/>
      <c r="I307" s="8"/>
      <c r="J307" s="8" t="s">
        <v>1894</v>
      </c>
      <c r="K307" s="27" t="s">
        <v>1876</v>
      </c>
      <c r="L307" s="28">
        <f>_xlfn.NUMBERVALUE(LEFT(Activities[[#This Row],[Fiscal Year]], 4))</f>
        <v>2018</v>
      </c>
      <c r="M307" s="28" t="s">
        <v>1863</v>
      </c>
      <c r="N307" s="41">
        <v>1000</v>
      </c>
      <c r="O307" s="93">
        <f>IF(Activities[[#This Row],[Reference Year]]&gt;2018,Activities[[#This Row],[Value]],Activities[[#This Row],[Value]]*(1+VLOOKUP(Activities[[#This Row],[Reference Year]],Inflation[#All],3,FALSE)))</f>
        <v>1000</v>
      </c>
    </row>
    <row r="308" spans="1:15" ht="15" customHeight="1" x14ac:dyDescent="0.25">
      <c r="A308" s="9" t="s">
        <v>1449</v>
      </c>
      <c r="B308" s="9" t="str">
        <f>INDEX(Places[Type],MATCH(Activities[[#This Row],[Jurisdiction]],Places[Jurisdiction],0))</f>
        <v>County</v>
      </c>
      <c r="C308" s="19" t="str">
        <f>INDEX(Places[County],MATCH(Activities[[#This Row],[Jurisdiction]],Places[Jurisdiction],0))</f>
        <v>Contra Costa</v>
      </c>
      <c r="D308" s="19" t="str">
        <f>INDEX(Places[Majority RB],MATCH(Activities[[#This Row],[Jurisdiction]],Places[Jurisdiction],0))</f>
        <v>San Francisco Bay</v>
      </c>
      <c r="E308" s="9">
        <f>INDEX(Places[Majority RB '#],MATCH(Activities[[#This Row],[Jurisdiction]],Places[Jurisdiction],0))</f>
        <v>2</v>
      </c>
      <c r="F308" s="28" t="str">
        <f>VLOOKUP(Activities[[#This Row],[Jurisdiction]],Places[#All],8,FALSE)</f>
        <v>Phase I MS4</v>
      </c>
      <c r="G308" s="48" t="s">
        <v>761</v>
      </c>
      <c r="H308" s="8"/>
      <c r="I308" s="8"/>
      <c r="J308" s="8" t="s">
        <v>1894</v>
      </c>
      <c r="K308" s="27" t="s">
        <v>1876</v>
      </c>
      <c r="L308" s="28">
        <f>_xlfn.NUMBERVALUE(LEFT(Activities[[#This Row],[Fiscal Year]], 4))</f>
        <v>2018</v>
      </c>
      <c r="M308" s="28" t="s">
        <v>1863</v>
      </c>
      <c r="N308" s="41">
        <v>2500</v>
      </c>
      <c r="O308" s="93">
        <f>IF(Activities[[#This Row],[Reference Year]]&gt;2018,Activities[[#This Row],[Value]],Activities[[#This Row],[Value]]*(1+VLOOKUP(Activities[[#This Row],[Reference Year]],Inflation[#All],3,FALSE)))</f>
        <v>2500</v>
      </c>
    </row>
    <row r="309" spans="1:15" ht="15" customHeight="1" x14ac:dyDescent="0.25">
      <c r="A309" s="9" t="s">
        <v>1449</v>
      </c>
      <c r="B309" s="9" t="str">
        <f>INDEX(Places[Type],MATCH(Activities[[#This Row],[Jurisdiction]],Places[Jurisdiction],0))</f>
        <v>County</v>
      </c>
      <c r="C309" s="19" t="str">
        <f>INDEX(Places[County],MATCH(Activities[[#This Row],[Jurisdiction]],Places[Jurisdiction],0))</f>
        <v>Contra Costa</v>
      </c>
      <c r="D309" s="19" t="str">
        <f>INDEX(Places[Majority RB],MATCH(Activities[[#This Row],[Jurisdiction]],Places[Jurisdiction],0))</f>
        <v>San Francisco Bay</v>
      </c>
      <c r="E309" s="9">
        <f>INDEX(Places[Majority RB '#],MATCH(Activities[[#This Row],[Jurisdiction]],Places[Jurisdiction],0))</f>
        <v>2</v>
      </c>
      <c r="F309" s="28" t="str">
        <f>VLOOKUP(Activities[[#This Row],[Jurisdiction]],Places[#All],8,FALSE)</f>
        <v>Phase I MS4</v>
      </c>
      <c r="G309" s="48" t="s">
        <v>737</v>
      </c>
      <c r="H309" s="8"/>
      <c r="I309" s="8"/>
      <c r="J309" s="8" t="s">
        <v>1894</v>
      </c>
      <c r="K309" s="27" t="s">
        <v>1876</v>
      </c>
      <c r="L309" s="28">
        <f>_xlfn.NUMBERVALUE(LEFT(Activities[[#This Row],[Fiscal Year]], 4))</f>
        <v>2018</v>
      </c>
      <c r="M309" s="28" t="s">
        <v>1863</v>
      </c>
      <c r="N309" s="41">
        <v>4000</v>
      </c>
      <c r="O309" s="93">
        <f>IF(Activities[[#This Row],[Reference Year]]&gt;2018,Activities[[#This Row],[Value]],Activities[[#This Row],[Value]]*(1+VLOOKUP(Activities[[#This Row],[Reference Year]],Inflation[#All],3,FALSE)))</f>
        <v>4000</v>
      </c>
    </row>
    <row r="310" spans="1:15" ht="15" customHeight="1" x14ac:dyDescent="0.25">
      <c r="A310" s="9" t="s">
        <v>1449</v>
      </c>
      <c r="B310" s="9" t="str">
        <f>INDEX(Places[Type],MATCH(Activities[[#This Row],[Jurisdiction]],Places[Jurisdiction],0))</f>
        <v>County</v>
      </c>
      <c r="C310" s="19" t="str">
        <f>INDEX(Places[County],MATCH(Activities[[#This Row],[Jurisdiction]],Places[Jurisdiction],0))</f>
        <v>Contra Costa</v>
      </c>
      <c r="D310" s="19" t="str">
        <f>INDEX(Places[Majority RB],MATCH(Activities[[#This Row],[Jurisdiction]],Places[Jurisdiction],0))</f>
        <v>San Francisco Bay</v>
      </c>
      <c r="E310" s="9">
        <f>INDEX(Places[Majority RB '#],MATCH(Activities[[#This Row],[Jurisdiction]],Places[Jurisdiction],0))</f>
        <v>2</v>
      </c>
      <c r="F310" s="28" t="str">
        <f>VLOOKUP(Activities[[#This Row],[Jurisdiction]],Places[#All],8,FALSE)</f>
        <v>Phase I MS4</v>
      </c>
      <c r="G310" s="48" t="s">
        <v>741</v>
      </c>
      <c r="H310" s="8"/>
      <c r="I310" s="8"/>
      <c r="J310" s="8" t="s">
        <v>1894</v>
      </c>
      <c r="K310" s="27" t="s">
        <v>1876</v>
      </c>
      <c r="L310" s="28">
        <f>_xlfn.NUMBERVALUE(LEFT(Activities[[#This Row],[Fiscal Year]], 4))</f>
        <v>2018</v>
      </c>
      <c r="M310" s="28" t="s">
        <v>1863</v>
      </c>
      <c r="N310" s="41">
        <v>5100</v>
      </c>
      <c r="O310" s="93">
        <f>IF(Activities[[#This Row],[Reference Year]]&gt;2018,Activities[[#This Row],[Value]],Activities[[#This Row],[Value]]*(1+VLOOKUP(Activities[[#This Row],[Reference Year]],Inflation[#All],3,FALSE)))</f>
        <v>5100</v>
      </c>
    </row>
    <row r="311" spans="1:15" ht="15" customHeight="1" x14ac:dyDescent="0.25">
      <c r="A311" s="9" t="s">
        <v>1449</v>
      </c>
      <c r="B311" s="9" t="str">
        <f>INDEX(Places[Type],MATCH(Activities[[#This Row],[Jurisdiction]],Places[Jurisdiction],0))</f>
        <v>County</v>
      </c>
      <c r="C311" s="19" t="str">
        <f>INDEX(Places[County],MATCH(Activities[[#This Row],[Jurisdiction]],Places[Jurisdiction],0))</f>
        <v>Contra Costa</v>
      </c>
      <c r="D311" s="19" t="str">
        <f>INDEX(Places[Majority RB],MATCH(Activities[[#This Row],[Jurisdiction]],Places[Jurisdiction],0))</f>
        <v>San Francisco Bay</v>
      </c>
      <c r="E311" s="9">
        <f>INDEX(Places[Majority RB '#],MATCH(Activities[[#This Row],[Jurisdiction]],Places[Jurisdiction],0))</f>
        <v>2</v>
      </c>
      <c r="F311" s="28" t="str">
        <f>VLOOKUP(Activities[[#This Row],[Jurisdiction]],Places[#All],8,FALSE)</f>
        <v>Phase I MS4</v>
      </c>
      <c r="G311" s="48" t="s">
        <v>762</v>
      </c>
      <c r="H311" s="8"/>
      <c r="I311" s="8"/>
      <c r="J311" s="8" t="s">
        <v>1894</v>
      </c>
      <c r="K311" s="27" t="s">
        <v>1876</v>
      </c>
      <c r="L311" s="28">
        <f>_xlfn.NUMBERVALUE(LEFT(Activities[[#This Row],[Fiscal Year]], 4))</f>
        <v>2018</v>
      </c>
      <c r="M311" s="28" t="s">
        <v>1863</v>
      </c>
      <c r="N311" s="41">
        <v>5550</v>
      </c>
      <c r="O311" s="93">
        <f>IF(Activities[[#This Row],[Reference Year]]&gt;2018,Activities[[#This Row],[Value]],Activities[[#This Row],[Value]]*(1+VLOOKUP(Activities[[#This Row],[Reference Year]],Inflation[#All],3,FALSE)))</f>
        <v>5550</v>
      </c>
    </row>
    <row r="312" spans="1:15" ht="15" customHeight="1" x14ac:dyDescent="0.25">
      <c r="A312" s="9" t="s">
        <v>1449</v>
      </c>
      <c r="B312" s="9" t="str">
        <f>INDEX(Places[Type],MATCH(Activities[[#This Row],[Jurisdiction]],Places[Jurisdiction],0))</f>
        <v>County</v>
      </c>
      <c r="C312" s="19" t="str">
        <f>INDEX(Places[County],MATCH(Activities[[#This Row],[Jurisdiction]],Places[Jurisdiction],0))</f>
        <v>Contra Costa</v>
      </c>
      <c r="D312" s="19" t="str">
        <f>INDEX(Places[Majority RB],MATCH(Activities[[#This Row],[Jurisdiction]],Places[Jurisdiction],0))</f>
        <v>San Francisco Bay</v>
      </c>
      <c r="E312" s="9">
        <f>INDEX(Places[Majority RB '#],MATCH(Activities[[#This Row],[Jurisdiction]],Places[Jurisdiction],0))</f>
        <v>2</v>
      </c>
      <c r="F312" s="28" t="str">
        <f>VLOOKUP(Activities[[#This Row],[Jurisdiction]],Places[#All],8,FALSE)</f>
        <v>Phase I MS4</v>
      </c>
      <c r="G312" s="56" t="s">
        <v>747</v>
      </c>
      <c r="H312" s="8"/>
      <c r="I312" s="8"/>
      <c r="J312" s="8" t="s">
        <v>1894</v>
      </c>
      <c r="K312" s="27" t="s">
        <v>1876</v>
      </c>
      <c r="L312" s="28">
        <f>_xlfn.NUMBERVALUE(LEFT(Activities[[#This Row],[Fiscal Year]], 4))</f>
        <v>2018</v>
      </c>
      <c r="M312" s="28" t="s">
        <v>1863</v>
      </c>
      <c r="N312" s="41">
        <v>6000</v>
      </c>
      <c r="O312" s="93">
        <f>IF(Activities[[#This Row],[Reference Year]]&gt;2018,Activities[[#This Row],[Value]],Activities[[#This Row],[Value]]*(1+VLOOKUP(Activities[[#This Row],[Reference Year]],Inflation[#All],3,FALSE)))</f>
        <v>6000</v>
      </c>
    </row>
    <row r="313" spans="1:15" ht="15" customHeight="1" x14ac:dyDescent="0.25">
      <c r="A313" s="9" t="s">
        <v>1449</v>
      </c>
      <c r="B313" s="9" t="str">
        <f>INDEX(Places[Type],MATCH(Activities[[#This Row],[Jurisdiction]],Places[Jurisdiction],0))</f>
        <v>County</v>
      </c>
      <c r="C313" s="19" t="str">
        <f>INDEX(Places[County],MATCH(Activities[[#This Row],[Jurisdiction]],Places[Jurisdiction],0))</f>
        <v>Contra Costa</v>
      </c>
      <c r="D313" s="19" t="str">
        <f>INDEX(Places[Majority RB],MATCH(Activities[[#This Row],[Jurisdiction]],Places[Jurisdiction],0))</f>
        <v>San Francisco Bay</v>
      </c>
      <c r="E313" s="9">
        <f>INDEX(Places[Majority RB '#],MATCH(Activities[[#This Row],[Jurisdiction]],Places[Jurisdiction],0))</f>
        <v>2</v>
      </c>
      <c r="F313" s="28" t="str">
        <f>VLOOKUP(Activities[[#This Row],[Jurisdiction]],Places[#All],8,FALSE)</f>
        <v>Phase I MS4</v>
      </c>
      <c r="G313" s="56" t="s">
        <v>746</v>
      </c>
      <c r="H313" s="8"/>
      <c r="I313" s="8"/>
      <c r="J313" s="8" t="s">
        <v>1894</v>
      </c>
      <c r="K313" s="27" t="s">
        <v>1876</v>
      </c>
      <c r="L313" s="28">
        <f>_xlfn.NUMBERVALUE(LEFT(Activities[[#This Row],[Fiscal Year]], 4))</f>
        <v>2018</v>
      </c>
      <c r="M313" s="28" t="s">
        <v>1863</v>
      </c>
      <c r="N313" s="41">
        <v>10000</v>
      </c>
      <c r="O313" s="93">
        <f>IF(Activities[[#This Row],[Reference Year]]&gt;2018,Activities[[#This Row],[Value]],Activities[[#This Row],[Value]]*(1+VLOOKUP(Activities[[#This Row],[Reference Year]],Inflation[#All],3,FALSE)))</f>
        <v>10000</v>
      </c>
    </row>
    <row r="314" spans="1:15" ht="15" customHeight="1" x14ac:dyDescent="0.25">
      <c r="A314" s="9" t="s">
        <v>1449</v>
      </c>
      <c r="B314" s="9" t="str">
        <f>INDEX(Places[Type],MATCH(Activities[[#This Row],[Jurisdiction]],Places[Jurisdiction],0))</f>
        <v>County</v>
      </c>
      <c r="C314" s="19" t="str">
        <f>INDEX(Places[County],MATCH(Activities[[#This Row],[Jurisdiction]],Places[Jurisdiction],0))</f>
        <v>Contra Costa</v>
      </c>
      <c r="D314" s="19" t="str">
        <f>INDEX(Places[Majority RB],MATCH(Activities[[#This Row],[Jurisdiction]],Places[Jurisdiction],0))</f>
        <v>San Francisco Bay</v>
      </c>
      <c r="E314" s="9">
        <f>INDEX(Places[Majority RB '#],MATCH(Activities[[#This Row],[Jurisdiction]],Places[Jurisdiction],0))</f>
        <v>2</v>
      </c>
      <c r="F314" s="28" t="str">
        <f>VLOOKUP(Activities[[#This Row],[Jurisdiction]],Places[#All],8,FALSE)</f>
        <v>Phase I MS4</v>
      </c>
      <c r="G314" s="48" t="s">
        <v>760</v>
      </c>
      <c r="H314" s="8"/>
      <c r="I314" s="8"/>
      <c r="J314" s="8" t="s">
        <v>1894</v>
      </c>
      <c r="K314" s="27" t="s">
        <v>1876</v>
      </c>
      <c r="L314" s="28">
        <f>_xlfn.NUMBERVALUE(LEFT(Activities[[#This Row],[Fiscal Year]], 4))</f>
        <v>2018</v>
      </c>
      <c r="M314" s="28" t="s">
        <v>1863</v>
      </c>
      <c r="N314" s="41">
        <v>20000</v>
      </c>
      <c r="O314" s="93">
        <f>IF(Activities[[#This Row],[Reference Year]]&gt;2018,Activities[[#This Row],[Value]],Activities[[#This Row],[Value]]*(1+VLOOKUP(Activities[[#This Row],[Reference Year]],Inflation[#All],3,FALSE)))</f>
        <v>20000</v>
      </c>
    </row>
    <row r="315" spans="1:15" ht="15" customHeight="1" x14ac:dyDescent="0.25">
      <c r="A315" s="9" t="s">
        <v>1449</v>
      </c>
      <c r="B315" s="9" t="str">
        <f>INDEX(Places[Type],MATCH(Activities[[#This Row],[Jurisdiction]],Places[Jurisdiction],0))</f>
        <v>County</v>
      </c>
      <c r="C315" s="19" t="str">
        <f>INDEX(Places[County],MATCH(Activities[[#This Row],[Jurisdiction]],Places[Jurisdiction],0))</f>
        <v>Contra Costa</v>
      </c>
      <c r="D315" s="19" t="str">
        <f>INDEX(Places[Majority RB],MATCH(Activities[[#This Row],[Jurisdiction]],Places[Jurisdiction],0))</f>
        <v>San Francisco Bay</v>
      </c>
      <c r="E315" s="9">
        <f>INDEX(Places[Majority RB '#],MATCH(Activities[[#This Row],[Jurisdiction]],Places[Jurisdiction],0))</f>
        <v>2</v>
      </c>
      <c r="F315" s="28" t="str">
        <f>VLOOKUP(Activities[[#This Row],[Jurisdiction]],Places[#All],8,FALSE)</f>
        <v>Phase I MS4</v>
      </c>
      <c r="G315" s="56" t="s">
        <v>744</v>
      </c>
      <c r="H315" s="8"/>
      <c r="I315" s="8"/>
      <c r="J315" s="8" t="s">
        <v>1894</v>
      </c>
      <c r="K315" s="27" t="s">
        <v>1876</v>
      </c>
      <c r="L315" s="28">
        <f>_xlfn.NUMBERVALUE(LEFT(Activities[[#This Row],[Fiscal Year]], 4))</f>
        <v>2018</v>
      </c>
      <c r="M315" s="28" t="s">
        <v>1863</v>
      </c>
      <c r="N315" s="41">
        <v>20790</v>
      </c>
      <c r="O315" s="93">
        <f>IF(Activities[[#This Row],[Reference Year]]&gt;2018,Activities[[#This Row],[Value]],Activities[[#This Row],[Value]]*(1+VLOOKUP(Activities[[#This Row],[Reference Year]],Inflation[#All],3,FALSE)))</f>
        <v>20790</v>
      </c>
    </row>
    <row r="316" spans="1:15" ht="15" customHeight="1" x14ac:dyDescent="0.25">
      <c r="A316" s="9" t="s">
        <v>1449</v>
      </c>
      <c r="B316" s="9" t="str">
        <f>INDEX(Places[Type],MATCH(Activities[[#This Row],[Jurisdiction]],Places[Jurisdiction],0))</f>
        <v>County</v>
      </c>
      <c r="C316" s="19" t="str">
        <f>INDEX(Places[County],MATCH(Activities[[#This Row],[Jurisdiction]],Places[Jurisdiction],0))</f>
        <v>Contra Costa</v>
      </c>
      <c r="D316" s="19" t="str">
        <f>INDEX(Places[Majority RB],MATCH(Activities[[#This Row],[Jurisdiction]],Places[Jurisdiction],0))</f>
        <v>San Francisco Bay</v>
      </c>
      <c r="E316" s="9">
        <f>INDEX(Places[Majority RB '#],MATCH(Activities[[#This Row],[Jurisdiction]],Places[Jurisdiction],0))</f>
        <v>2</v>
      </c>
      <c r="F316" s="28" t="str">
        <f>VLOOKUP(Activities[[#This Row],[Jurisdiction]],Places[#All],8,FALSE)</f>
        <v>Phase I MS4</v>
      </c>
      <c r="G316" s="56" t="s">
        <v>743</v>
      </c>
      <c r="H316" s="8"/>
      <c r="I316" s="8"/>
      <c r="J316" s="8" t="s">
        <v>1894</v>
      </c>
      <c r="K316" s="27" t="s">
        <v>1876</v>
      </c>
      <c r="L316" s="28">
        <f>_xlfn.NUMBERVALUE(LEFT(Activities[[#This Row],[Fiscal Year]], 4))</f>
        <v>2018</v>
      </c>
      <c r="M316" s="28" t="s">
        <v>1863</v>
      </c>
      <c r="N316" s="41">
        <v>46260</v>
      </c>
      <c r="O316" s="93">
        <f>IF(Activities[[#This Row],[Reference Year]]&gt;2018,Activities[[#This Row],[Value]],Activities[[#This Row],[Value]]*(1+VLOOKUP(Activities[[#This Row],[Reference Year]],Inflation[#All],3,FALSE)))</f>
        <v>46260</v>
      </c>
    </row>
    <row r="317" spans="1:15" ht="15" customHeight="1" x14ac:dyDescent="0.25">
      <c r="A317" s="9" t="s">
        <v>1449</v>
      </c>
      <c r="B317" s="9" t="str">
        <f>INDEX(Places[Type],MATCH(Activities[[#This Row],[Jurisdiction]],Places[Jurisdiction],0))</f>
        <v>County</v>
      </c>
      <c r="C317" s="19" t="str">
        <f>INDEX(Places[County],MATCH(Activities[[#This Row],[Jurisdiction]],Places[Jurisdiction],0))</f>
        <v>Contra Costa</v>
      </c>
      <c r="D317" s="19" t="str">
        <f>INDEX(Places[Majority RB],MATCH(Activities[[#This Row],[Jurisdiction]],Places[Jurisdiction],0))</f>
        <v>San Francisco Bay</v>
      </c>
      <c r="E317" s="9">
        <f>INDEX(Places[Majority RB '#],MATCH(Activities[[#This Row],[Jurisdiction]],Places[Jurisdiction],0))</f>
        <v>2</v>
      </c>
      <c r="F317" s="28" t="str">
        <f>VLOOKUP(Activities[[#This Row],[Jurisdiction]],Places[#All],8,FALSE)</f>
        <v>Phase I MS4</v>
      </c>
      <c r="G317" s="56" t="s">
        <v>749</v>
      </c>
      <c r="H317" s="81"/>
      <c r="I317" s="8"/>
      <c r="J317" s="8" t="s">
        <v>1894</v>
      </c>
      <c r="K317" s="27" t="s">
        <v>1876</v>
      </c>
      <c r="L317" s="28">
        <f>_xlfn.NUMBERVALUE(LEFT(Activities[[#This Row],[Fiscal Year]], 4))</f>
        <v>2018</v>
      </c>
      <c r="M317" s="28" t="s">
        <v>1863</v>
      </c>
      <c r="N317" s="41">
        <v>100000</v>
      </c>
      <c r="O317" s="93">
        <f>IF(Activities[[#This Row],[Reference Year]]&gt;2018,Activities[[#This Row],[Value]],Activities[[#This Row],[Value]]*(1+VLOOKUP(Activities[[#This Row],[Reference Year]],Inflation[#All],3,FALSE)))</f>
        <v>100000</v>
      </c>
    </row>
    <row r="318" spans="1:15" ht="15" customHeight="1" x14ac:dyDescent="0.25">
      <c r="A318" s="9" t="s">
        <v>1449</v>
      </c>
      <c r="B318" s="9" t="str">
        <f>INDEX(Places[Type],MATCH(Activities[[#This Row],[Jurisdiction]],Places[Jurisdiction],0))</f>
        <v>County</v>
      </c>
      <c r="C318" s="19" t="str">
        <f>INDEX(Places[County],MATCH(Activities[[#This Row],[Jurisdiction]],Places[Jurisdiction],0))</f>
        <v>Contra Costa</v>
      </c>
      <c r="D318" s="19" t="str">
        <f>INDEX(Places[Majority RB],MATCH(Activities[[#This Row],[Jurisdiction]],Places[Jurisdiction],0))</f>
        <v>San Francisco Bay</v>
      </c>
      <c r="E318" s="9">
        <f>INDEX(Places[Majority RB '#],MATCH(Activities[[#This Row],[Jurisdiction]],Places[Jurisdiction],0))</f>
        <v>2</v>
      </c>
      <c r="F318" s="28" t="str">
        <f>VLOOKUP(Activities[[#This Row],[Jurisdiction]],Places[#All],8,FALSE)</f>
        <v>Phase I MS4</v>
      </c>
      <c r="G318" s="56" t="s">
        <v>750</v>
      </c>
      <c r="H318" s="81"/>
      <c r="I318" s="8"/>
      <c r="J318" s="8" t="s">
        <v>1894</v>
      </c>
      <c r="K318" s="27" t="s">
        <v>1876</v>
      </c>
      <c r="L318" s="28">
        <f>_xlfn.NUMBERVALUE(LEFT(Activities[[#This Row],[Fiscal Year]], 4))</f>
        <v>2018</v>
      </c>
      <c r="M318" s="28" t="s">
        <v>1863</v>
      </c>
      <c r="N318" s="41">
        <v>110000</v>
      </c>
      <c r="O318" s="93">
        <f>IF(Activities[[#This Row],[Reference Year]]&gt;2018,Activities[[#This Row],[Value]],Activities[[#This Row],[Value]]*(1+VLOOKUP(Activities[[#This Row],[Reference Year]],Inflation[#All],3,FALSE)))</f>
        <v>110000</v>
      </c>
    </row>
    <row r="319" spans="1:15" ht="15" customHeight="1" x14ac:dyDescent="0.25">
      <c r="A319" s="9" t="s">
        <v>1449</v>
      </c>
      <c r="B319" s="9" t="str">
        <f>INDEX(Places[Type],MATCH(Activities[[#This Row],[Jurisdiction]],Places[Jurisdiction],0))</f>
        <v>County</v>
      </c>
      <c r="C319" s="19" t="str">
        <f>INDEX(Places[County],MATCH(Activities[[#This Row],[Jurisdiction]],Places[Jurisdiction],0))</f>
        <v>Contra Costa</v>
      </c>
      <c r="D319" s="19" t="str">
        <f>INDEX(Places[Majority RB],MATCH(Activities[[#This Row],[Jurisdiction]],Places[Jurisdiction],0))</f>
        <v>San Francisco Bay</v>
      </c>
      <c r="E319" s="9">
        <f>INDEX(Places[Majority RB '#],MATCH(Activities[[#This Row],[Jurisdiction]],Places[Jurisdiction],0))</f>
        <v>2</v>
      </c>
      <c r="F319" s="28" t="str">
        <f>VLOOKUP(Activities[[#This Row],[Jurisdiction]],Places[#All],8,FALSE)</f>
        <v>Phase I MS4</v>
      </c>
      <c r="G319" s="48" t="s">
        <v>738</v>
      </c>
      <c r="H319" s="8"/>
      <c r="I319" s="8"/>
      <c r="J319" s="8" t="s">
        <v>1894</v>
      </c>
      <c r="K319" s="27" t="s">
        <v>1876</v>
      </c>
      <c r="L319" s="28">
        <f>_xlfn.NUMBERVALUE(LEFT(Activities[[#This Row],[Fiscal Year]], 4))</f>
        <v>2018</v>
      </c>
      <c r="M319" s="28" t="s">
        <v>1863</v>
      </c>
      <c r="N319" s="41">
        <v>113957</v>
      </c>
      <c r="O319" s="93">
        <f>IF(Activities[[#This Row],[Reference Year]]&gt;2018,Activities[[#This Row],[Value]],Activities[[#This Row],[Value]]*(1+VLOOKUP(Activities[[#This Row],[Reference Year]],Inflation[#All],3,FALSE)))</f>
        <v>113957</v>
      </c>
    </row>
    <row r="320" spans="1:15" ht="15" customHeight="1" x14ac:dyDescent="0.25">
      <c r="A320" s="9" t="s">
        <v>1449</v>
      </c>
      <c r="B320" s="9" t="str">
        <f>INDEX(Places[Type],MATCH(Activities[[#This Row],[Jurisdiction]],Places[Jurisdiction],0))</f>
        <v>County</v>
      </c>
      <c r="C320" s="19" t="str">
        <f>INDEX(Places[County],MATCH(Activities[[#This Row],[Jurisdiction]],Places[Jurisdiction],0))</f>
        <v>Contra Costa</v>
      </c>
      <c r="D320" s="19" t="str">
        <f>INDEX(Places[Majority RB],MATCH(Activities[[#This Row],[Jurisdiction]],Places[Jurisdiction],0))</f>
        <v>San Francisco Bay</v>
      </c>
      <c r="E320" s="9">
        <f>INDEX(Places[Majority RB '#],MATCH(Activities[[#This Row],[Jurisdiction]],Places[Jurisdiction],0))</f>
        <v>2</v>
      </c>
      <c r="F320" s="28" t="str">
        <f>VLOOKUP(Activities[[#This Row],[Jurisdiction]],Places[#All],8,FALSE)</f>
        <v>Phase I MS4</v>
      </c>
      <c r="G320" s="48" t="s">
        <v>739</v>
      </c>
      <c r="H320" s="8"/>
      <c r="I320" s="8"/>
      <c r="J320" s="8" t="s">
        <v>1894</v>
      </c>
      <c r="K320" s="27" t="s">
        <v>1876</v>
      </c>
      <c r="L320" s="28">
        <f>_xlfn.NUMBERVALUE(LEFT(Activities[[#This Row],[Fiscal Year]], 4))</f>
        <v>2018</v>
      </c>
      <c r="M320" s="28" t="s">
        <v>1863</v>
      </c>
      <c r="N320" s="41">
        <v>230000</v>
      </c>
      <c r="O320" s="93">
        <f>IF(Activities[[#This Row],[Reference Year]]&gt;2018,Activities[[#This Row],[Value]],Activities[[#This Row],[Value]]*(1+VLOOKUP(Activities[[#This Row],[Reference Year]],Inflation[#All],3,FALSE)))</f>
        <v>230000</v>
      </c>
    </row>
    <row r="321" spans="1:15" ht="15" customHeight="1" x14ac:dyDescent="0.25">
      <c r="A321" s="9" t="s">
        <v>1449</v>
      </c>
      <c r="B321" s="9" t="str">
        <f>INDEX(Places[Type],MATCH(Activities[[#This Row],[Jurisdiction]],Places[Jurisdiction],0))</f>
        <v>County</v>
      </c>
      <c r="C321" s="19" t="str">
        <f>INDEX(Places[County],MATCH(Activities[[#This Row],[Jurisdiction]],Places[Jurisdiction],0))</f>
        <v>Contra Costa</v>
      </c>
      <c r="D321" s="19" t="str">
        <f>INDEX(Places[Majority RB],MATCH(Activities[[#This Row],[Jurisdiction]],Places[Jurisdiction],0))</f>
        <v>San Francisco Bay</v>
      </c>
      <c r="E321" s="9">
        <f>INDEX(Places[Majority RB '#],MATCH(Activities[[#This Row],[Jurisdiction]],Places[Jurisdiction],0))</f>
        <v>2</v>
      </c>
      <c r="F321" s="28" t="str">
        <f>VLOOKUP(Activities[[#This Row],[Jurisdiction]],Places[#All],8,FALSE)</f>
        <v>Phase I MS4</v>
      </c>
      <c r="G321" s="56" t="s">
        <v>748</v>
      </c>
      <c r="H321" s="81" t="s">
        <v>462</v>
      </c>
      <c r="I321" s="8" t="s">
        <v>461</v>
      </c>
      <c r="J321" s="8" t="s">
        <v>1894</v>
      </c>
      <c r="K321" s="27" t="s">
        <v>1876</v>
      </c>
      <c r="L321" s="28">
        <f>_xlfn.NUMBERVALUE(LEFT(Activities[[#This Row],[Fiscal Year]], 4))</f>
        <v>2018</v>
      </c>
      <c r="M321" s="28" t="s">
        <v>1863</v>
      </c>
      <c r="N321" s="41">
        <v>250000</v>
      </c>
      <c r="O321" s="93">
        <f>IF(Activities[[#This Row],[Reference Year]]&gt;2018,Activities[[#This Row],[Value]],Activities[[#This Row],[Value]]*(1+VLOOKUP(Activities[[#This Row],[Reference Year]],Inflation[#All],3,FALSE)))</f>
        <v>250000</v>
      </c>
    </row>
    <row r="322" spans="1:15" ht="15" customHeight="1" x14ac:dyDescent="0.25">
      <c r="A322" s="9" t="s">
        <v>1449</v>
      </c>
      <c r="B322" s="9" t="str">
        <f>INDEX(Places[Type],MATCH(Activities[[#This Row],[Jurisdiction]],Places[Jurisdiction],0))</f>
        <v>County</v>
      </c>
      <c r="C322" s="19" t="str">
        <f>INDEX(Places[County],MATCH(Activities[[#This Row],[Jurisdiction]],Places[Jurisdiction],0))</f>
        <v>Contra Costa</v>
      </c>
      <c r="D322" s="19" t="str">
        <f>INDEX(Places[Majority RB],MATCH(Activities[[#This Row],[Jurisdiction]],Places[Jurisdiction],0))</f>
        <v>San Francisco Bay</v>
      </c>
      <c r="E322" s="9">
        <f>INDEX(Places[Majority RB '#],MATCH(Activities[[#This Row],[Jurisdiction]],Places[Jurisdiction],0))</f>
        <v>2</v>
      </c>
      <c r="F322" s="28" t="str">
        <f>VLOOKUP(Activities[[#This Row],[Jurisdiction]],Places[#All],8,FALSE)</f>
        <v>Phase I MS4</v>
      </c>
      <c r="G322" s="48" t="s">
        <v>736</v>
      </c>
      <c r="H322" s="8"/>
      <c r="I322" s="8"/>
      <c r="J322" s="8" t="s">
        <v>1894</v>
      </c>
      <c r="K322" s="27" t="s">
        <v>1876</v>
      </c>
      <c r="L322" s="28">
        <f>_xlfn.NUMBERVALUE(LEFT(Activities[[#This Row],[Fiscal Year]], 4))</f>
        <v>2018</v>
      </c>
      <c r="M322" s="28" t="s">
        <v>1863</v>
      </c>
      <c r="N322" s="41">
        <v>1342357</v>
      </c>
      <c r="O322" s="93">
        <f>IF(Activities[[#This Row],[Reference Year]]&gt;2018,Activities[[#This Row],[Value]],Activities[[#This Row],[Value]]*(1+VLOOKUP(Activities[[#This Row],[Reference Year]],Inflation[#All],3,FALSE)))</f>
        <v>1342357</v>
      </c>
    </row>
    <row r="323" spans="1:15" ht="15" customHeight="1" x14ac:dyDescent="0.25">
      <c r="A323" s="9" t="s">
        <v>1449</v>
      </c>
      <c r="B323" s="9" t="str">
        <f>INDEX(Places[Type],MATCH(Activities[[#This Row],[Jurisdiction]],Places[Jurisdiction],0))</f>
        <v>County</v>
      </c>
      <c r="C323" s="19" t="str">
        <f>INDEX(Places[County],MATCH(Activities[[#This Row],[Jurisdiction]],Places[Jurisdiction],0))</f>
        <v>Contra Costa</v>
      </c>
      <c r="D323" s="19" t="str">
        <f>INDEX(Places[Majority RB],MATCH(Activities[[#This Row],[Jurisdiction]],Places[Jurisdiction],0))</f>
        <v>San Francisco Bay</v>
      </c>
      <c r="E323" s="9">
        <f>INDEX(Places[Majority RB '#],MATCH(Activities[[#This Row],[Jurisdiction]],Places[Jurisdiction],0))</f>
        <v>2</v>
      </c>
      <c r="F323" s="28" t="str">
        <f>VLOOKUP(Activities[[#This Row],[Jurisdiction]],Places[#All],8,FALSE)</f>
        <v>Phase I MS4</v>
      </c>
      <c r="G323" s="56" t="s">
        <v>816</v>
      </c>
      <c r="H323" s="8"/>
      <c r="I323" s="8"/>
      <c r="J323" s="8" t="s">
        <v>1894</v>
      </c>
      <c r="K323" s="27" t="s">
        <v>1876</v>
      </c>
      <c r="L323" s="28">
        <f>_xlfn.NUMBERVALUE(LEFT(Activities[[#This Row],[Fiscal Year]], 4))</f>
        <v>2018</v>
      </c>
      <c r="M323" s="28" t="s">
        <v>1863</v>
      </c>
      <c r="N323" s="41">
        <v>84082</v>
      </c>
      <c r="O323" s="93">
        <f>IF(Activities[[#This Row],[Reference Year]]&gt;2018,Activities[[#This Row],[Value]],Activities[[#This Row],[Value]]*(1+VLOOKUP(Activities[[#This Row],[Reference Year]],Inflation[#All],3,FALSE)))</f>
        <v>84082</v>
      </c>
    </row>
    <row r="324" spans="1:15" ht="15" customHeight="1" x14ac:dyDescent="0.25">
      <c r="A324" s="9" t="s">
        <v>1449</v>
      </c>
      <c r="B324" s="9" t="str">
        <f>INDEX(Places[Type],MATCH(Activities[[#This Row],[Jurisdiction]],Places[Jurisdiction],0))</f>
        <v>County</v>
      </c>
      <c r="C324" s="19" t="str">
        <f>INDEX(Places[County],MATCH(Activities[[#This Row],[Jurisdiction]],Places[Jurisdiction],0))</f>
        <v>Contra Costa</v>
      </c>
      <c r="D324" s="19" t="str">
        <f>INDEX(Places[Majority RB],MATCH(Activities[[#This Row],[Jurisdiction]],Places[Jurisdiction],0))</f>
        <v>San Francisco Bay</v>
      </c>
      <c r="E324" s="9">
        <f>INDEX(Places[Majority RB '#],MATCH(Activities[[#This Row],[Jurisdiction]],Places[Jurisdiction],0))</f>
        <v>2</v>
      </c>
      <c r="F324" s="28" t="str">
        <f>VLOOKUP(Activities[[#This Row],[Jurisdiction]],Places[#All],8,FALSE)</f>
        <v>Phase I MS4</v>
      </c>
      <c r="G324" s="48" t="s">
        <v>755</v>
      </c>
      <c r="H324" s="8"/>
      <c r="I324" s="8"/>
      <c r="J324" s="8" t="s">
        <v>1896</v>
      </c>
      <c r="K324" s="27" t="s">
        <v>1876</v>
      </c>
      <c r="L324" s="28">
        <f>_xlfn.NUMBERVALUE(LEFT(Activities[[#This Row],[Fiscal Year]], 4))</f>
        <v>2018</v>
      </c>
      <c r="M324" s="28" t="s">
        <v>1863</v>
      </c>
      <c r="N324" s="41">
        <v>15000</v>
      </c>
      <c r="O324" s="93">
        <f>IF(Activities[[#This Row],[Reference Year]]&gt;2018,Activities[[#This Row],[Value]],Activities[[#This Row],[Value]]*(1+VLOOKUP(Activities[[#This Row],[Reference Year]],Inflation[#All],3,FALSE)))</f>
        <v>15000</v>
      </c>
    </row>
    <row r="325" spans="1:15" ht="15" customHeight="1" x14ac:dyDescent="0.25">
      <c r="A325" s="9" t="s">
        <v>1449</v>
      </c>
      <c r="B325" s="9" t="str">
        <f>INDEX(Places[Type],MATCH(Activities[[#This Row],[Jurisdiction]],Places[Jurisdiction],0))</f>
        <v>County</v>
      </c>
      <c r="C325" s="19" t="str">
        <f>INDEX(Places[County],MATCH(Activities[[#This Row],[Jurisdiction]],Places[Jurisdiction],0))</f>
        <v>Contra Costa</v>
      </c>
      <c r="D325" s="19" t="str">
        <f>INDEX(Places[Majority RB],MATCH(Activities[[#This Row],[Jurisdiction]],Places[Jurisdiction],0))</f>
        <v>San Francisco Bay</v>
      </c>
      <c r="E325" s="9">
        <f>INDEX(Places[Majority RB '#],MATCH(Activities[[#This Row],[Jurisdiction]],Places[Jurisdiction],0))</f>
        <v>2</v>
      </c>
      <c r="F325" s="28" t="str">
        <f>VLOOKUP(Activities[[#This Row],[Jurisdiction]],Places[#All],8,FALSE)</f>
        <v>Phase I MS4</v>
      </c>
      <c r="G325" s="48" t="s">
        <v>753</v>
      </c>
      <c r="H325" s="8"/>
      <c r="I325" s="8"/>
      <c r="J325" s="8" t="s">
        <v>1896</v>
      </c>
      <c r="K325" s="27" t="s">
        <v>1876</v>
      </c>
      <c r="L325" s="28">
        <f>_xlfn.NUMBERVALUE(LEFT(Activities[[#This Row],[Fiscal Year]], 4))</f>
        <v>2018</v>
      </c>
      <c r="M325" s="28" t="s">
        <v>1863</v>
      </c>
      <c r="N325" s="41">
        <v>32004</v>
      </c>
      <c r="O325" s="93">
        <f>IF(Activities[[#This Row],[Reference Year]]&gt;2018,Activities[[#This Row],[Value]],Activities[[#This Row],[Value]]*(1+VLOOKUP(Activities[[#This Row],[Reference Year]],Inflation[#All],3,FALSE)))</f>
        <v>32004</v>
      </c>
    </row>
    <row r="326" spans="1:15" ht="15" customHeight="1" x14ac:dyDescent="0.25">
      <c r="A326" s="9" t="s">
        <v>1449</v>
      </c>
      <c r="B326" s="9" t="str">
        <f>INDEX(Places[Type],MATCH(Activities[[#This Row],[Jurisdiction]],Places[Jurisdiction],0))</f>
        <v>County</v>
      </c>
      <c r="C326" s="19" t="str">
        <f>INDEX(Places[County],MATCH(Activities[[#This Row],[Jurisdiction]],Places[Jurisdiction],0))</f>
        <v>Contra Costa</v>
      </c>
      <c r="D326" s="19" t="str">
        <f>INDEX(Places[Majority RB],MATCH(Activities[[#This Row],[Jurisdiction]],Places[Jurisdiction],0))</f>
        <v>San Francisco Bay</v>
      </c>
      <c r="E326" s="9">
        <f>INDEX(Places[Majority RB '#],MATCH(Activities[[#This Row],[Jurisdiction]],Places[Jurisdiction],0))</f>
        <v>2</v>
      </c>
      <c r="F326" s="28" t="str">
        <f>VLOOKUP(Activities[[#This Row],[Jurisdiction]],Places[#All],8,FALSE)</f>
        <v>Phase I MS4</v>
      </c>
      <c r="G326" s="48" t="s">
        <v>754</v>
      </c>
      <c r="H326" s="8"/>
      <c r="I326" s="8"/>
      <c r="J326" s="8" t="s">
        <v>1896</v>
      </c>
      <c r="K326" s="27" t="s">
        <v>1876</v>
      </c>
      <c r="L326" s="28">
        <f>_xlfn.NUMBERVALUE(LEFT(Activities[[#This Row],[Fiscal Year]], 4))</f>
        <v>2018</v>
      </c>
      <c r="M326" s="28" t="s">
        <v>1863</v>
      </c>
      <c r="N326" s="41">
        <v>40000</v>
      </c>
      <c r="O326" s="93">
        <f>IF(Activities[[#This Row],[Reference Year]]&gt;2018,Activities[[#This Row],[Value]],Activities[[#This Row],[Value]]*(1+VLOOKUP(Activities[[#This Row],[Reference Year]],Inflation[#All],3,FALSE)))</f>
        <v>40000</v>
      </c>
    </row>
    <row r="327" spans="1:15" ht="15" customHeight="1" x14ac:dyDescent="0.25">
      <c r="A327" s="9" t="s">
        <v>1449</v>
      </c>
      <c r="B327" s="9" t="str">
        <f>INDEX(Places[Type],MATCH(Activities[[#This Row],[Jurisdiction]],Places[Jurisdiction],0))</f>
        <v>County</v>
      </c>
      <c r="C327" s="19" t="str">
        <f>INDEX(Places[County],MATCH(Activities[[#This Row],[Jurisdiction]],Places[Jurisdiction],0))</f>
        <v>Contra Costa</v>
      </c>
      <c r="D327" s="19" t="str">
        <f>INDEX(Places[Majority RB],MATCH(Activities[[#This Row],[Jurisdiction]],Places[Jurisdiction],0))</f>
        <v>San Francisco Bay</v>
      </c>
      <c r="E327" s="9">
        <f>INDEX(Places[Majority RB '#],MATCH(Activities[[#This Row],[Jurisdiction]],Places[Jurisdiction],0))</f>
        <v>2</v>
      </c>
      <c r="F327" s="28" t="str">
        <f>VLOOKUP(Activities[[#This Row],[Jurisdiction]],Places[#All],8,FALSE)</f>
        <v>Phase I MS4</v>
      </c>
      <c r="G327" s="56" t="s">
        <v>801</v>
      </c>
      <c r="H327" s="81"/>
      <c r="I327" s="8"/>
      <c r="J327" s="8" t="s">
        <v>47</v>
      </c>
      <c r="K327" s="27" t="s">
        <v>1876</v>
      </c>
      <c r="L327" s="28">
        <f>_xlfn.NUMBERVALUE(LEFT(Activities[[#This Row],[Fiscal Year]], 4))</f>
        <v>2018</v>
      </c>
      <c r="M327" s="28" t="s">
        <v>1863</v>
      </c>
      <c r="N327" s="41">
        <v>7400</v>
      </c>
      <c r="O327" s="93">
        <f>IF(Activities[[#This Row],[Reference Year]]&gt;2018,Activities[[#This Row],[Value]],Activities[[#This Row],[Value]]*(1+VLOOKUP(Activities[[#This Row],[Reference Year]],Inflation[#All],3,FALSE)))</f>
        <v>7400</v>
      </c>
    </row>
    <row r="328" spans="1:15" ht="15" customHeight="1" x14ac:dyDescent="0.25">
      <c r="A328" s="9" t="s">
        <v>1449</v>
      </c>
      <c r="B328" s="9" t="str">
        <f>INDEX(Places[Type],MATCH(Activities[[#This Row],[Jurisdiction]],Places[Jurisdiction],0))</f>
        <v>County</v>
      </c>
      <c r="C328" s="19" t="str">
        <f>INDEX(Places[County],MATCH(Activities[[#This Row],[Jurisdiction]],Places[Jurisdiction],0))</f>
        <v>Contra Costa</v>
      </c>
      <c r="D328" s="19" t="str">
        <f>INDEX(Places[Majority RB],MATCH(Activities[[#This Row],[Jurisdiction]],Places[Jurisdiction],0))</f>
        <v>San Francisco Bay</v>
      </c>
      <c r="E328" s="9">
        <f>INDEX(Places[Majority RB '#],MATCH(Activities[[#This Row],[Jurisdiction]],Places[Jurisdiction],0))</f>
        <v>2</v>
      </c>
      <c r="F328" s="28" t="str">
        <f>VLOOKUP(Activities[[#This Row],[Jurisdiction]],Places[#All],8,FALSE)</f>
        <v>Phase I MS4</v>
      </c>
      <c r="G328" s="67" t="s">
        <v>780</v>
      </c>
      <c r="H328" s="8"/>
      <c r="I328" s="8"/>
      <c r="J328" s="8" t="s">
        <v>47</v>
      </c>
      <c r="K328" s="27" t="s">
        <v>1876</v>
      </c>
      <c r="L328" s="28">
        <f>_xlfn.NUMBERVALUE(LEFT(Activities[[#This Row],[Fiscal Year]], 4))</f>
        <v>2018</v>
      </c>
      <c r="M328" s="28" t="s">
        <v>1863</v>
      </c>
      <c r="N328" s="41">
        <v>3700</v>
      </c>
      <c r="O328" s="93">
        <f>IF(Activities[[#This Row],[Reference Year]]&gt;2018,Activities[[#This Row],[Value]],Activities[[#This Row],[Value]]*(1+VLOOKUP(Activities[[#This Row],[Reference Year]],Inflation[#All],3,FALSE)))</f>
        <v>3700</v>
      </c>
    </row>
    <row r="329" spans="1:15" ht="15" customHeight="1" x14ac:dyDescent="0.25">
      <c r="A329" s="9" t="s">
        <v>1449</v>
      </c>
      <c r="B329" s="9" t="str">
        <f>INDEX(Places[Type],MATCH(Activities[[#This Row],[Jurisdiction]],Places[Jurisdiction],0))</f>
        <v>County</v>
      </c>
      <c r="C329" s="19" t="str">
        <f>INDEX(Places[County],MATCH(Activities[[#This Row],[Jurisdiction]],Places[Jurisdiction],0))</f>
        <v>Contra Costa</v>
      </c>
      <c r="D329" s="19" t="str">
        <f>INDEX(Places[Majority RB],MATCH(Activities[[#This Row],[Jurisdiction]],Places[Jurisdiction],0))</f>
        <v>San Francisco Bay</v>
      </c>
      <c r="E329" s="9">
        <f>INDEX(Places[Majority RB '#],MATCH(Activities[[#This Row],[Jurisdiction]],Places[Jurisdiction],0))</f>
        <v>2</v>
      </c>
      <c r="F329" s="28" t="str">
        <f>VLOOKUP(Activities[[#This Row],[Jurisdiction]],Places[#All],8,FALSE)</f>
        <v>Phase I MS4</v>
      </c>
      <c r="G329" s="67" t="s">
        <v>784</v>
      </c>
      <c r="H329" s="8"/>
      <c r="I329" s="8"/>
      <c r="J329" s="8" t="s">
        <v>47</v>
      </c>
      <c r="K329" s="27" t="s">
        <v>1876</v>
      </c>
      <c r="L329" s="28">
        <f>_xlfn.NUMBERVALUE(LEFT(Activities[[#This Row],[Fiscal Year]], 4))</f>
        <v>2018</v>
      </c>
      <c r="M329" s="28" t="s">
        <v>1863</v>
      </c>
      <c r="N329" s="41">
        <v>4995</v>
      </c>
      <c r="O329" s="93">
        <f>IF(Activities[[#This Row],[Reference Year]]&gt;2018,Activities[[#This Row],[Value]],Activities[[#This Row],[Value]]*(1+VLOOKUP(Activities[[#This Row],[Reference Year]],Inflation[#All],3,FALSE)))</f>
        <v>4995</v>
      </c>
    </row>
    <row r="330" spans="1:15" ht="15" customHeight="1" x14ac:dyDescent="0.25">
      <c r="A330" s="9" t="s">
        <v>1449</v>
      </c>
      <c r="B330" s="9" t="str">
        <f>INDEX(Places[Type],MATCH(Activities[[#This Row],[Jurisdiction]],Places[Jurisdiction],0))</f>
        <v>County</v>
      </c>
      <c r="C330" s="19" t="str">
        <f>INDEX(Places[County],MATCH(Activities[[#This Row],[Jurisdiction]],Places[Jurisdiction],0))</f>
        <v>Contra Costa</v>
      </c>
      <c r="D330" s="19" t="str">
        <f>INDEX(Places[Majority RB],MATCH(Activities[[#This Row],[Jurisdiction]],Places[Jurisdiction],0))</f>
        <v>San Francisco Bay</v>
      </c>
      <c r="E330" s="9">
        <f>INDEX(Places[Majority RB '#],MATCH(Activities[[#This Row],[Jurisdiction]],Places[Jurisdiction],0))</f>
        <v>2</v>
      </c>
      <c r="F330" s="28" t="str">
        <f>VLOOKUP(Activities[[#This Row],[Jurisdiction]],Places[#All],8,FALSE)</f>
        <v>Phase I MS4</v>
      </c>
      <c r="G330" s="67" t="s">
        <v>785</v>
      </c>
      <c r="H330" s="8"/>
      <c r="I330" s="8"/>
      <c r="J330" s="8" t="s">
        <v>47</v>
      </c>
      <c r="K330" s="27" t="s">
        <v>1876</v>
      </c>
      <c r="L330" s="28">
        <f>_xlfn.NUMBERVALUE(LEFT(Activities[[#This Row],[Fiscal Year]], 4))</f>
        <v>2018</v>
      </c>
      <c r="M330" s="28" t="s">
        <v>1863</v>
      </c>
      <c r="N330" s="41">
        <v>9250</v>
      </c>
      <c r="O330" s="93">
        <f>IF(Activities[[#This Row],[Reference Year]]&gt;2018,Activities[[#This Row],[Value]],Activities[[#This Row],[Value]]*(1+VLOOKUP(Activities[[#This Row],[Reference Year]],Inflation[#All],3,FALSE)))</f>
        <v>9250</v>
      </c>
    </row>
    <row r="331" spans="1:15" ht="15" customHeight="1" x14ac:dyDescent="0.25">
      <c r="A331" s="9" t="s">
        <v>1449</v>
      </c>
      <c r="B331" s="9" t="str">
        <f>INDEX(Places[Type],MATCH(Activities[[#This Row],[Jurisdiction]],Places[Jurisdiction],0))</f>
        <v>County</v>
      </c>
      <c r="C331" s="19" t="str">
        <f>INDEX(Places[County],MATCH(Activities[[#This Row],[Jurisdiction]],Places[Jurisdiction],0))</f>
        <v>Contra Costa</v>
      </c>
      <c r="D331" s="19" t="str">
        <f>INDEX(Places[Majority RB],MATCH(Activities[[#This Row],[Jurisdiction]],Places[Jurisdiction],0))</f>
        <v>San Francisco Bay</v>
      </c>
      <c r="E331" s="9">
        <f>INDEX(Places[Majority RB '#],MATCH(Activities[[#This Row],[Jurisdiction]],Places[Jurisdiction],0))</f>
        <v>2</v>
      </c>
      <c r="F331" s="28" t="str">
        <f>VLOOKUP(Activities[[#This Row],[Jurisdiction]],Places[#All],8,FALSE)</f>
        <v>Phase I MS4</v>
      </c>
      <c r="G331" s="67" t="s">
        <v>782</v>
      </c>
      <c r="H331" s="8"/>
      <c r="I331" s="8"/>
      <c r="J331" s="8" t="s">
        <v>47</v>
      </c>
      <c r="K331" s="27" t="s">
        <v>1876</v>
      </c>
      <c r="L331" s="28">
        <f>_xlfn.NUMBERVALUE(LEFT(Activities[[#This Row],[Fiscal Year]], 4))</f>
        <v>2018</v>
      </c>
      <c r="M331" s="28" t="s">
        <v>1863</v>
      </c>
      <c r="N331" s="41">
        <v>85000</v>
      </c>
      <c r="O331" s="93">
        <f>IF(Activities[[#This Row],[Reference Year]]&gt;2018,Activities[[#This Row],[Value]],Activities[[#This Row],[Value]]*(1+VLOOKUP(Activities[[#This Row],[Reference Year]],Inflation[#All],3,FALSE)))</f>
        <v>85000</v>
      </c>
    </row>
    <row r="332" spans="1:15" ht="15" customHeight="1" x14ac:dyDescent="0.25">
      <c r="A332" s="9" t="s">
        <v>1449</v>
      </c>
      <c r="B332" s="9" t="str">
        <f>INDEX(Places[Type],MATCH(Activities[[#This Row],[Jurisdiction]],Places[Jurisdiction],0))</f>
        <v>County</v>
      </c>
      <c r="C332" s="19" t="str">
        <f>INDEX(Places[County],MATCH(Activities[[#This Row],[Jurisdiction]],Places[Jurisdiction],0))</f>
        <v>Contra Costa</v>
      </c>
      <c r="D332" s="19" t="str">
        <f>INDEX(Places[Majority RB],MATCH(Activities[[#This Row],[Jurisdiction]],Places[Jurisdiction],0))</f>
        <v>San Francisco Bay</v>
      </c>
      <c r="E332" s="9">
        <f>INDEX(Places[Majority RB '#],MATCH(Activities[[#This Row],[Jurisdiction]],Places[Jurisdiction],0))</f>
        <v>2</v>
      </c>
      <c r="F332" s="28" t="str">
        <f>VLOOKUP(Activities[[#This Row],[Jurisdiction]],Places[#All],8,FALSE)</f>
        <v>Phase I MS4</v>
      </c>
      <c r="G332" s="67" t="s">
        <v>778</v>
      </c>
      <c r="H332" s="8"/>
      <c r="I332" s="8"/>
      <c r="J332" s="8" t="s">
        <v>47</v>
      </c>
      <c r="K332" s="27" t="s">
        <v>1876</v>
      </c>
      <c r="L332" s="28">
        <f>_xlfn.NUMBERVALUE(LEFT(Activities[[#This Row],[Fiscal Year]], 4))</f>
        <v>2018</v>
      </c>
      <c r="M332" s="28" t="s">
        <v>1863</v>
      </c>
      <c r="N332" s="41">
        <v>110000</v>
      </c>
      <c r="O332" s="93">
        <f>IF(Activities[[#This Row],[Reference Year]]&gt;2018,Activities[[#This Row],[Value]],Activities[[#This Row],[Value]]*(1+VLOOKUP(Activities[[#This Row],[Reference Year]],Inflation[#All],3,FALSE)))</f>
        <v>110000</v>
      </c>
    </row>
    <row r="333" spans="1:15" ht="15" customHeight="1" x14ac:dyDescent="0.25">
      <c r="A333" s="9" t="s">
        <v>1449</v>
      </c>
      <c r="B333" s="9" t="str">
        <f>INDEX(Places[Type],MATCH(Activities[[#This Row],[Jurisdiction]],Places[Jurisdiction],0))</f>
        <v>County</v>
      </c>
      <c r="C333" s="19" t="str">
        <f>INDEX(Places[County],MATCH(Activities[[#This Row],[Jurisdiction]],Places[Jurisdiction],0))</f>
        <v>Contra Costa</v>
      </c>
      <c r="D333" s="19" t="str">
        <f>INDEX(Places[Majority RB],MATCH(Activities[[#This Row],[Jurisdiction]],Places[Jurisdiction],0))</f>
        <v>San Francisco Bay</v>
      </c>
      <c r="E333" s="9">
        <f>INDEX(Places[Majority RB '#],MATCH(Activities[[#This Row],[Jurisdiction]],Places[Jurisdiction],0))</f>
        <v>2</v>
      </c>
      <c r="F333" s="28" t="str">
        <f>VLOOKUP(Activities[[#This Row],[Jurisdiction]],Places[#All],8,FALSE)</f>
        <v>Phase I MS4</v>
      </c>
      <c r="G333" s="48" t="s">
        <v>795</v>
      </c>
      <c r="H333" s="81" t="s">
        <v>467</v>
      </c>
      <c r="I333" s="8" t="s">
        <v>642</v>
      </c>
      <c r="J333" s="8" t="s">
        <v>47</v>
      </c>
      <c r="K333" s="27" t="s">
        <v>1876</v>
      </c>
      <c r="L333" s="28">
        <f>_xlfn.NUMBERVALUE(LEFT(Activities[[#This Row],[Fiscal Year]], 4))</f>
        <v>2018</v>
      </c>
      <c r="M333" s="28" t="s">
        <v>1863</v>
      </c>
      <c r="N333" s="41">
        <v>150000</v>
      </c>
      <c r="O333" s="93">
        <f>IF(Activities[[#This Row],[Reference Year]]&gt;2018,Activities[[#This Row],[Value]],Activities[[#This Row],[Value]]*(1+VLOOKUP(Activities[[#This Row],[Reference Year]],Inflation[#All],3,FALSE)))</f>
        <v>150000</v>
      </c>
    </row>
    <row r="334" spans="1:15" ht="15" customHeight="1" x14ac:dyDescent="0.25">
      <c r="A334" s="9" t="s">
        <v>1449</v>
      </c>
      <c r="B334" s="9" t="str">
        <f>INDEX(Places[Type],MATCH(Activities[[#This Row],[Jurisdiction]],Places[Jurisdiction],0))</f>
        <v>County</v>
      </c>
      <c r="C334" s="19" t="str">
        <f>INDEX(Places[County],MATCH(Activities[[#This Row],[Jurisdiction]],Places[Jurisdiction],0))</f>
        <v>Contra Costa</v>
      </c>
      <c r="D334" s="19" t="str">
        <f>INDEX(Places[Majority RB],MATCH(Activities[[#This Row],[Jurisdiction]],Places[Jurisdiction],0))</f>
        <v>San Francisco Bay</v>
      </c>
      <c r="E334" s="9">
        <f>INDEX(Places[Majority RB '#],MATCH(Activities[[#This Row],[Jurisdiction]],Places[Jurisdiction],0))</f>
        <v>2</v>
      </c>
      <c r="F334" s="28" t="str">
        <f>VLOOKUP(Activities[[#This Row],[Jurisdiction]],Places[#All],8,FALSE)</f>
        <v>Phase I MS4</v>
      </c>
      <c r="G334" s="67" t="s">
        <v>781</v>
      </c>
      <c r="H334" s="8"/>
      <c r="I334" s="8"/>
      <c r="J334" s="8" t="s">
        <v>47</v>
      </c>
      <c r="K334" s="27" t="s">
        <v>1876</v>
      </c>
      <c r="L334" s="28">
        <f>_xlfn.NUMBERVALUE(LEFT(Activities[[#This Row],[Fiscal Year]], 4))</f>
        <v>2018</v>
      </c>
      <c r="M334" s="28" t="s">
        <v>1863</v>
      </c>
      <c r="N334" s="41">
        <v>155000</v>
      </c>
      <c r="O334" s="93">
        <f>IF(Activities[[#This Row],[Reference Year]]&gt;2018,Activities[[#This Row],[Value]],Activities[[#This Row],[Value]]*(1+VLOOKUP(Activities[[#This Row],[Reference Year]],Inflation[#All],3,FALSE)))</f>
        <v>155000</v>
      </c>
    </row>
    <row r="335" spans="1:15" ht="15" customHeight="1" x14ac:dyDescent="0.25">
      <c r="A335" s="9" t="s">
        <v>1449</v>
      </c>
      <c r="B335" s="9" t="str">
        <f>INDEX(Places[Type],MATCH(Activities[[#This Row],[Jurisdiction]],Places[Jurisdiction],0))</f>
        <v>County</v>
      </c>
      <c r="C335" s="19" t="str">
        <f>INDEX(Places[County],MATCH(Activities[[#This Row],[Jurisdiction]],Places[Jurisdiction],0))</f>
        <v>Contra Costa</v>
      </c>
      <c r="D335" s="19" t="str">
        <f>INDEX(Places[Majority RB],MATCH(Activities[[#This Row],[Jurisdiction]],Places[Jurisdiction],0))</f>
        <v>San Francisco Bay</v>
      </c>
      <c r="E335" s="9">
        <f>INDEX(Places[Majority RB '#],MATCH(Activities[[#This Row],[Jurisdiction]],Places[Jurisdiction],0))</f>
        <v>2</v>
      </c>
      <c r="F335" s="28" t="str">
        <f>VLOOKUP(Activities[[#This Row],[Jurisdiction]],Places[#All],8,FALSE)</f>
        <v>Phase I MS4</v>
      </c>
      <c r="G335" s="67" t="s">
        <v>775</v>
      </c>
      <c r="H335" s="46"/>
      <c r="I335" s="46"/>
      <c r="J335" s="8" t="s">
        <v>47</v>
      </c>
      <c r="K335" s="27" t="s">
        <v>1876</v>
      </c>
      <c r="L335" s="28">
        <f>_xlfn.NUMBERVALUE(LEFT(Activities[[#This Row],[Fiscal Year]], 4))</f>
        <v>2018</v>
      </c>
      <c r="M335" s="28" t="s">
        <v>1863</v>
      </c>
      <c r="N335" s="41">
        <v>163532</v>
      </c>
      <c r="O335" s="93">
        <f>IF(Activities[[#This Row],[Reference Year]]&gt;2018,Activities[[#This Row],[Value]],Activities[[#This Row],[Value]]*(1+VLOOKUP(Activities[[#This Row],[Reference Year]],Inflation[#All],3,FALSE)))</f>
        <v>163532</v>
      </c>
    </row>
    <row r="336" spans="1:15" ht="15" customHeight="1" x14ac:dyDescent="0.25">
      <c r="A336" s="9" t="s">
        <v>1449</v>
      </c>
      <c r="B336" s="9" t="str">
        <f>INDEX(Places[Type],MATCH(Activities[[#This Row],[Jurisdiction]],Places[Jurisdiction],0))</f>
        <v>County</v>
      </c>
      <c r="C336" s="19" t="str">
        <f>INDEX(Places[County],MATCH(Activities[[#This Row],[Jurisdiction]],Places[Jurisdiction],0))</f>
        <v>Contra Costa</v>
      </c>
      <c r="D336" s="19" t="str">
        <f>INDEX(Places[Majority RB],MATCH(Activities[[#This Row],[Jurisdiction]],Places[Jurisdiction],0))</f>
        <v>San Francisco Bay</v>
      </c>
      <c r="E336" s="9">
        <f>INDEX(Places[Majority RB '#],MATCH(Activities[[#This Row],[Jurisdiction]],Places[Jurisdiction],0))</f>
        <v>2</v>
      </c>
      <c r="F336" s="28" t="str">
        <f>VLOOKUP(Activities[[#This Row],[Jurisdiction]],Places[#All],8,FALSE)</f>
        <v>Phase I MS4</v>
      </c>
      <c r="G336" s="67" t="s">
        <v>776</v>
      </c>
      <c r="H336" s="46"/>
      <c r="I336" s="46"/>
      <c r="J336" s="8" t="s">
        <v>47</v>
      </c>
      <c r="K336" s="27" t="s">
        <v>1876</v>
      </c>
      <c r="L336" s="28">
        <f>_xlfn.NUMBERVALUE(LEFT(Activities[[#This Row],[Fiscal Year]], 4))</f>
        <v>2018</v>
      </c>
      <c r="M336" s="28" t="s">
        <v>1863</v>
      </c>
      <c r="N336" s="41">
        <v>240000</v>
      </c>
      <c r="O336" s="93">
        <f>IF(Activities[[#This Row],[Reference Year]]&gt;2018,Activities[[#This Row],[Value]],Activities[[#This Row],[Value]]*(1+VLOOKUP(Activities[[#This Row],[Reference Year]],Inflation[#All],3,FALSE)))</f>
        <v>240000</v>
      </c>
    </row>
    <row r="337" spans="1:15" ht="15" customHeight="1" x14ac:dyDescent="0.25">
      <c r="A337" s="9" t="s">
        <v>1449</v>
      </c>
      <c r="B337" s="9" t="str">
        <f>INDEX(Places[Type],MATCH(Activities[[#This Row],[Jurisdiction]],Places[Jurisdiction],0))</f>
        <v>County</v>
      </c>
      <c r="C337" s="19" t="str">
        <f>INDEX(Places[County],MATCH(Activities[[#This Row],[Jurisdiction]],Places[Jurisdiction],0))</f>
        <v>Contra Costa</v>
      </c>
      <c r="D337" s="19" t="str">
        <f>INDEX(Places[Majority RB],MATCH(Activities[[#This Row],[Jurisdiction]],Places[Jurisdiction],0))</f>
        <v>San Francisco Bay</v>
      </c>
      <c r="E337" s="9">
        <f>INDEX(Places[Majority RB '#],MATCH(Activities[[#This Row],[Jurisdiction]],Places[Jurisdiction],0))</f>
        <v>2</v>
      </c>
      <c r="F337" s="28" t="str">
        <f>VLOOKUP(Activities[[#This Row],[Jurisdiction]],Places[#All],8,FALSE)</f>
        <v>Phase I MS4</v>
      </c>
      <c r="G337" s="48" t="s">
        <v>814</v>
      </c>
      <c r="H337" s="8"/>
      <c r="I337" s="8"/>
      <c r="J337" s="8" t="s">
        <v>605</v>
      </c>
      <c r="K337" s="27" t="s">
        <v>1876</v>
      </c>
      <c r="L337" s="28">
        <f>_xlfn.NUMBERVALUE(LEFT(Activities[[#This Row],[Fiscal Year]], 4))</f>
        <v>2018</v>
      </c>
      <c r="M337" s="28" t="s">
        <v>1863</v>
      </c>
      <c r="N337" s="41">
        <v>2500</v>
      </c>
      <c r="O337" s="93">
        <f>IF(Activities[[#This Row],[Reference Year]]&gt;2018,Activities[[#This Row],[Value]],Activities[[#This Row],[Value]]*(1+VLOOKUP(Activities[[#This Row],[Reference Year]],Inflation[#All],3,FALSE)))</f>
        <v>2500</v>
      </c>
    </row>
    <row r="338" spans="1:15" ht="15" customHeight="1" x14ac:dyDescent="0.25">
      <c r="A338" s="9" t="s">
        <v>1449</v>
      </c>
      <c r="B338" s="9" t="str">
        <f>INDEX(Places[Type],MATCH(Activities[[#This Row],[Jurisdiction]],Places[Jurisdiction],0))</f>
        <v>County</v>
      </c>
      <c r="C338" s="19" t="str">
        <f>INDEX(Places[County],MATCH(Activities[[#This Row],[Jurisdiction]],Places[Jurisdiction],0))</f>
        <v>Contra Costa</v>
      </c>
      <c r="D338" s="19" t="str">
        <f>INDEX(Places[Majority RB],MATCH(Activities[[#This Row],[Jurisdiction]],Places[Jurisdiction],0))</f>
        <v>San Francisco Bay</v>
      </c>
      <c r="E338" s="9">
        <f>INDEX(Places[Majority RB '#],MATCH(Activities[[#This Row],[Jurisdiction]],Places[Jurisdiction],0))</f>
        <v>2</v>
      </c>
      <c r="F338" s="28" t="str">
        <f>VLOOKUP(Activities[[#This Row],[Jurisdiction]],Places[#All],8,FALSE)</f>
        <v>Phase I MS4</v>
      </c>
      <c r="G338" s="56" t="s">
        <v>771</v>
      </c>
      <c r="H338" s="46"/>
      <c r="I338" s="46"/>
      <c r="J338" s="8" t="s">
        <v>605</v>
      </c>
      <c r="K338" s="27" t="s">
        <v>1876</v>
      </c>
      <c r="L338" s="28">
        <f>_xlfn.NUMBERVALUE(LEFT(Activities[[#This Row],[Fiscal Year]], 4))</f>
        <v>2018</v>
      </c>
      <c r="M338" s="28" t="s">
        <v>1863</v>
      </c>
      <c r="N338" s="41">
        <v>6000</v>
      </c>
      <c r="O338" s="93">
        <f>IF(Activities[[#This Row],[Reference Year]]&gt;2018,Activities[[#This Row],[Value]],Activities[[#This Row],[Value]]*(1+VLOOKUP(Activities[[#This Row],[Reference Year]],Inflation[#All],3,FALSE)))</f>
        <v>6000</v>
      </c>
    </row>
    <row r="339" spans="1:15" ht="15" customHeight="1" x14ac:dyDescent="0.25">
      <c r="A339" s="9" t="s">
        <v>1449</v>
      </c>
      <c r="B339" s="9" t="str">
        <f>INDEX(Places[Type],MATCH(Activities[[#This Row],[Jurisdiction]],Places[Jurisdiction],0))</f>
        <v>County</v>
      </c>
      <c r="C339" s="19" t="str">
        <f>INDEX(Places[County],MATCH(Activities[[#This Row],[Jurisdiction]],Places[Jurisdiction],0))</f>
        <v>Contra Costa</v>
      </c>
      <c r="D339" s="19" t="str">
        <f>INDEX(Places[Majority RB],MATCH(Activities[[#This Row],[Jurisdiction]],Places[Jurisdiction],0))</f>
        <v>San Francisco Bay</v>
      </c>
      <c r="E339" s="9">
        <f>INDEX(Places[Majority RB '#],MATCH(Activities[[#This Row],[Jurisdiction]],Places[Jurisdiction],0))</f>
        <v>2</v>
      </c>
      <c r="F339" s="28" t="str">
        <f>VLOOKUP(Activities[[#This Row],[Jurisdiction]],Places[#All],8,FALSE)</f>
        <v>Phase I MS4</v>
      </c>
      <c r="G339" s="48" t="s">
        <v>789</v>
      </c>
      <c r="H339" s="8"/>
      <c r="I339" s="8"/>
      <c r="J339" s="8" t="s">
        <v>605</v>
      </c>
      <c r="K339" s="27" t="s">
        <v>1876</v>
      </c>
      <c r="L339" s="28">
        <f>_xlfn.NUMBERVALUE(LEFT(Activities[[#This Row],[Fiscal Year]], 4))</f>
        <v>2018</v>
      </c>
      <c r="M339" s="28" t="s">
        <v>1863</v>
      </c>
      <c r="N339" s="41">
        <v>7400</v>
      </c>
      <c r="O339" s="93">
        <f>IF(Activities[[#This Row],[Reference Year]]&gt;2018,Activities[[#This Row],[Value]],Activities[[#This Row],[Value]]*(1+VLOOKUP(Activities[[#This Row],[Reference Year]],Inflation[#All],3,FALSE)))</f>
        <v>7400</v>
      </c>
    </row>
    <row r="340" spans="1:15" ht="15" customHeight="1" x14ac:dyDescent="0.25">
      <c r="A340" s="9" t="s">
        <v>1449</v>
      </c>
      <c r="B340" s="9" t="str">
        <f>INDEX(Places[Type],MATCH(Activities[[#This Row],[Jurisdiction]],Places[Jurisdiction],0))</f>
        <v>County</v>
      </c>
      <c r="C340" s="19" t="str">
        <f>INDEX(Places[County],MATCH(Activities[[#This Row],[Jurisdiction]],Places[Jurisdiction],0))</f>
        <v>Contra Costa</v>
      </c>
      <c r="D340" s="19" t="str">
        <f>INDEX(Places[Majority RB],MATCH(Activities[[#This Row],[Jurisdiction]],Places[Jurisdiction],0))</f>
        <v>San Francisco Bay</v>
      </c>
      <c r="E340" s="9">
        <f>INDEX(Places[Majority RB '#],MATCH(Activities[[#This Row],[Jurisdiction]],Places[Jurisdiction],0))</f>
        <v>2</v>
      </c>
      <c r="F340" s="28" t="str">
        <f>VLOOKUP(Activities[[#This Row],[Jurisdiction]],Places[#All],8,FALSE)</f>
        <v>Phase I MS4</v>
      </c>
      <c r="G340" s="48" t="s">
        <v>796</v>
      </c>
      <c r="H340" s="81"/>
      <c r="I340" s="8"/>
      <c r="J340" s="8" t="s">
        <v>605</v>
      </c>
      <c r="K340" s="27" t="s">
        <v>1876</v>
      </c>
      <c r="L340" s="28">
        <f>_xlfn.NUMBERVALUE(LEFT(Activities[[#This Row],[Fiscal Year]], 4))</f>
        <v>2018</v>
      </c>
      <c r="M340" s="28" t="s">
        <v>1863</v>
      </c>
      <c r="N340" s="41">
        <v>11100</v>
      </c>
      <c r="O340" s="93">
        <f>IF(Activities[[#This Row],[Reference Year]]&gt;2018,Activities[[#This Row],[Value]],Activities[[#This Row],[Value]]*(1+VLOOKUP(Activities[[#This Row],[Reference Year]],Inflation[#All],3,FALSE)))</f>
        <v>11100</v>
      </c>
    </row>
    <row r="341" spans="1:15" ht="15" customHeight="1" x14ac:dyDescent="0.25">
      <c r="A341" s="9" t="s">
        <v>311</v>
      </c>
      <c r="B341" s="9" t="str">
        <f>INDEX(Places[Type],MATCH(Activities[[#This Row],[Jurisdiction]],Places[Jurisdiction],0))</f>
        <v>City</v>
      </c>
      <c r="C341" s="19" t="str">
        <f>INDEX(Places[County],MATCH(Activities[[#This Row],[Jurisdiction]],Places[Jurisdiction],0))</f>
        <v>San Diego</v>
      </c>
      <c r="D341" s="9" t="str">
        <f>INDEX(Places[Majority RB],MATCH(Activities[[#This Row],[Jurisdiction]],Places[Jurisdiction],0))</f>
        <v>San Diego</v>
      </c>
      <c r="E341" s="9">
        <f>INDEX(Places[Majority RB '#],MATCH(Activities[[#This Row],[Jurisdiction]],Places[Jurisdiction],0))</f>
        <v>9</v>
      </c>
      <c r="F341" s="28" t="str">
        <f>VLOOKUP(Activities[[#This Row],[Jurisdiction]],Places[#All],8,FALSE)</f>
        <v>Phase I MS4</v>
      </c>
      <c r="G341" s="48" t="s">
        <v>1321</v>
      </c>
      <c r="H341" s="8"/>
      <c r="I341" s="8"/>
      <c r="J341" s="8" t="s">
        <v>1897</v>
      </c>
      <c r="K341" s="27" t="s">
        <v>1874</v>
      </c>
      <c r="L341" s="28">
        <f>_xlfn.NUMBERVALUE(LEFT(Activities[[#This Row],[Fiscal Year]], 4))</f>
        <v>2017</v>
      </c>
      <c r="M341" s="28" t="s">
        <v>1862</v>
      </c>
      <c r="N341" s="41">
        <v>27.2</v>
      </c>
      <c r="O341" s="93">
        <f>IF(Activities[[#This Row],[Reference Year]]&gt;2018,Activities[[#This Row],[Value]],Activities[[#This Row],[Value]]*(1+VLOOKUP(Activities[[#This Row],[Reference Year]],Inflation[#All],3,FALSE)))</f>
        <v>27.924778457772341</v>
      </c>
    </row>
    <row r="342" spans="1:15" ht="15" customHeight="1" x14ac:dyDescent="0.25">
      <c r="A342" s="9" t="s">
        <v>311</v>
      </c>
      <c r="B342" s="9" t="str">
        <f>INDEX(Places[Type],MATCH(Activities[[#This Row],[Jurisdiction]],Places[Jurisdiction],0))</f>
        <v>City</v>
      </c>
      <c r="C342" s="19" t="str">
        <f>INDEX(Places[County],MATCH(Activities[[#This Row],[Jurisdiction]],Places[Jurisdiction],0))</f>
        <v>San Diego</v>
      </c>
      <c r="D342" s="9" t="str">
        <f>INDEX(Places[Majority RB],MATCH(Activities[[#This Row],[Jurisdiction]],Places[Jurisdiction],0))</f>
        <v>San Diego</v>
      </c>
      <c r="E342" s="9">
        <f>INDEX(Places[Majority RB '#],MATCH(Activities[[#This Row],[Jurisdiction]],Places[Jurisdiction],0))</f>
        <v>9</v>
      </c>
      <c r="F342" s="28" t="str">
        <f>VLOOKUP(Activities[[#This Row],[Jurisdiction]],Places[#All],8,FALSE)</f>
        <v>Phase I MS4</v>
      </c>
      <c r="G342" s="48" t="s">
        <v>1319</v>
      </c>
      <c r="H342" s="8"/>
      <c r="I342" s="8"/>
      <c r="J342" s="8" t="s">
        <v>1897</v>
      </c>
      <c r="K342" s="27" t="s">
        <v>1874</v>
      </c>
      <c r="L342" s="28">
        <f>_xlfn.NUMBERVALUE(LEFT(Activities[[#This Row],[Fiscal Year]], 4))</f>
        <v>2017</v>
      </c>
      <c r="M342" s="28" t="s">
        <v>1862</v>
      </c>
      <c r="N342" s="41">
        <v>32.1</v>
      </c>
      <c r="O342" s="93">
        <f>IF(Activities[[#This Row],[Reference Year]]&gt;2018,Activities[[#This Row],[Value]],Activities[[#This Row],[Value]]*(1+VLOOKUP(Activities[[#This Row],[Reference Year]],Inflation[#All],3,FALSE)))</f>
        <v>32.955345165238683</v>
      </c>
    </row>
    <row r="343" spans="1:15" ht="15" customHeight="1" x14ac:dyDescent="0.25">
      <c r="A343" s="9" t="s">
        <v>311</v>
      </c>
      <c r="B343" s="9" t="str">
        <f>INDEX(Places[Type],MATCH(Activities[[#This Row],[Jurisdiction]],Places[Jurisdiction],0))</f>
        <v>City</v>
      </c>
      <c r="C343" s="19" t="str">
        <f>INDEX(Places[County],MATCH(Activities[[#This Row],[Jurisdiction]],Places[Jurisdiction],0))</f>
        <v>San Diego</v>
      </c>
      <c r="D343" s="9" t="str">
        <f>INDEX(Places[Majority RB],MATCH(Activities[[#This Row],[Jurisdiction]],Places[Jurisdiction],0))</f>
        <v>San Diego</v>
      </c>
      <c r="E343" s="9">
        <f>INDEX(Places[Majority RB '#],MATCH(Activities[[#This Row],[Jurisdiction]],Places[Jurisdiction],0))</f>
        <v>9</v>
      </c>
      <c r="F343" s="28" t="str">
        <f>VLOOKUP(Activities[[#This Row],[Jurisdiction]],Places[#All],8,FALSE)</f>
        <v>Phase I MS4</v>
      </c>
      <c r="G343" s="48" t="s">
        <v>1325</v>
      </c>
      <c r="H343" s="8"/>
      <c r="I343" s="8"/>
      <c r="J343" s="8" t="s">
        <v>1897</v>
      </c>
      <c r="K343" s="27" t="s">
        <v>1874</v>
      </c>
      <c r="L343" s="28">
        <f>_xlfn.NUMBERVALUE(LEFT(Activities[[#This Row],[Fiscal Year]], 4))</f>
        <v>2017</v>
      </c>
      <c r="M343" s="28" t="s">
        <v>1862</v>
      </c>
      <c r="N343" s="41">
        <v>55.66</v>
      </c>
      <c r="O343" s="93">
        <f>IF(Activities[[#This Row],[Reference Year]]&gt;2018,Activities[[#This Row],[Value]],Activities[[#This Row],[Value]]*(1+VLOOKUP(Activities[[#This Row],[Reference Year]],Inflation[#All],3,FALSE)))</f>
        <v>57.143131211750308</v>
      </c>
    </row>
    <row r="344" spans="1:15" ht="15" customHeight="1" x14ac:dyDescent="0.25">
      <c r="A344" s="9" t="s">
        <v>311</v>
      </c>
      <c r="B344" s="9" t="str">
        <f>INDEX(Places[Type],MATCH(Activities[[#This Row],[Jurisdiction]],Places[Jurisdiction],0))</f>
        <v>City</v>
      </c>
      <c r="C344" s="19" t="str">
        <f>INDEX(Places[County],MATCH(Activities[[#This Row],[Jurisdiction]],Places[Jurisdiction],0))</f>
        <v>San Diego</v>
      </c>
      <c r="D344" s="9" t="str">
        <f>INDEX(Places[Majority RB],MATCH(Activities[[#This Row],[Jurisdiction]],Places[Jurisdiction],0))</f>
        <v>San Diego</v>
      </c>
      <c r="E344" s="9">
        <f>INDEX(Places[Majority RB '#],MATCH(Activities[[#This Row],[Jurisdiction]],Places[Jurisdiction],0))</f>
        <v>9</v>
      </c>
      <c r="F344" s="28" t="str">
        <f>VLOOKUP(Activities[[#This Row],[Jurisdiction]],Places[#All],8,FALSE)</f>
        <v>Phase I MS4</v>
      </c>
      <c r="G344" s="48" t="s">
        <v>1315</v>
      </c>
      <c r="H344" s="8"/>
      <c r="I344" s="8"/>
      <c r="J344" s="8" t="s">
        <v>1897</v>
      </c>
      <c r="K344" s="27" t="s">
        <v>1874</v>
      </c>
      <c r="L344" s="28">
        <f>_xlfn.NUMBERVALUE(LEFT(Activities[[#This Row],[Fiscal Year]], 4))</f>
        <v>2017</v>
      </c>
      <c r="M344" s="28" t="s">
        <v>1862</v>
      </c>
      <c r="N344" s="41">
        <v>61.64</v>
      </c>
      <c r="O344" s="93">
        <f>IF(Activities[[#This Row],[Reference Year]]&gt;2018,Activities[[#This Row],[Value]],Activities[[#This Row],[Value]]*(1+VLOOKUP(Activities[[#This Row],[Reference Year]],Inflation[#All],3,FALSE)))</f>
        <v>63.282475887392906</v>
      </c>
    </row>
    <row r="345" spans="1:15" ht="15" customHeight="1" x14ac:dyDescent="0.25">
      <c r="A345" s="9" t="s">
        <v>311</v>
      </c>
      <c r="B345" s="9" t="str">
        <f>INDEX(Places[Type],MATCH(Activities[[#This Row],[Jurisdiction]],Places[Jurisdiction],0))</f>
        <v>City</v>
      </c>
      <c r="C345" s="19" t="str">
        <f>INDEX(Places[County],MATCH(Activities[[#This Row],[Jurisdiction]],Places[Jurisdiction],0))</f>
        <v>San Diego</v>
      </c>
      <c r="D345" s="9" t="str">
        <f>INDEX(Places[Majority RB],MATCH(Activities[[#This Row],[Jurisdiction]],Places[Jurisdiction],0))</f>
        <v>San Diego</v>
      </c>
      <c r="E345" s="9">
        <f>INDEX(Places[Majority RB '#],MATCH(Activities[[#This Row],[Jurisdiction]],Places[Jurisdiction],0))</f>
        <v>9</v>
      </c>
      <c r="F345" s="28" t="str">
        <f>VLOOKUP(Activities[[#This Row],[Jurisdiction]],Places[#All],8,FALSE)</f>
        <v>Phase I MS4</v>
      </c>
      <c r="G345" s="48" t="s">
        <v>1328</v>
      </c>
      <c r="H345" s="8"/>
      <c r="I345" s="8"/>
      <c r="J345" s="8" t="s">
        <v>1897</v>
      </c>
      <c r="K345" s="27" t="s">
        <v>1874</v>
      </c>
      <c r="L345" s="28">
        <f>_xlfn.NUMBERVALUE(LEFT(Activities[[#This Row],[Fiscal Year]], 4))</f>
        <v>2017</v>
      </c>
      <c r="M345" s="28" t="s">
        <v>1862</v>
      </c>
      <c r="N345" s="41">
        <v>501.74</v>
      </c>
      <c r="O345" s="93">
        <f>IF(Activities[[#This Row],[Reference Year]]&gt;2018,Activities[[#This Row],[Value]],Activities[[#This Row],[Value]]*(1+VLOOKUP(Activities[[#This Row],[Reference Year]],Inflation[#All],3,FALSE)))</f>
        <v>515.10949791921666</v>
      </c>
    </row>
    <row r="346" spans="1:15" ht="15" customHeight="1" x14ac:dyDescent="0.25">
      <c r="A346" s="9" t="s">
        <v>311</v>
      </c>
      <c r="B346" s="9" t="str">
        <f>INDEX(Places[Type],MATCH(Activities[[#This Row],[Jurisdiction]],Places[Jurisdiction],0))</f>
        <v>City</v>
      </c>
      <c r="C346" s="19" t="str">
        <f>INDEX(Places[County],MATCH(Activities[[#This Row],[Jurisdiction]],Places[Jurisdiction],0))</f>
        <v>San Diego</v>
      </c>
      <c r="D346" s="9" t="str">
        <f>INDEX(Places[Majority RB],MATCH(Activities[[#This Row],[Jurisdiction]],Places[Jurisdiction],0))</f>
        <v>San Diego</v>
      </c>
      <c r="E346" s="9">
        <f>INDEX(Places[Majority RB '#],MATCH(Activities[[#This Row],[Jurisdiction]],Places[Jurisdiction],0))</f>
        <v>9</v>
      </c>
      <c r="F346" s="28" t="str">
        <f>VLOOKUP(Activities[[#This Row],[Jurisdiction]],Places[#All],8,FALSE)</f>
        <v>Phase I MS4</v>
      </c>
      <c r="G346" s="48" t="s">
        <v>1324</v>
      </c>
      <c r="H346" s="8"/>
      <c r="I346" s="8"/>
      <c r="J346" s="8" t="s">
        <v>1897</v>
      </c>
      <c r="K346" s="27" t="s">
        <v>1874</v>
      </c>
      <c r="L346" s="28">
        <f>_xlfn.NUMBERVALUE(LEFT(Activities[[#This Row],[Fiscal Year]], 4))</f>
        <v>2017</v>
      </c>
      <c r="M346" s="28" t="s">
        <v>1862</v>
      </c>
      <c r="N346" s="41">
        <v>670</v>
      </c>
      <c r="O346" s="93">
        <f>IF(Activities[[#This Row],[Reference Year]]&gt;2018,Activities[[#This Row],[Value]],Activities[[#This Row],[Value]]*(1+VLOOKUP(Activities[[#This Row],[Reference Year]],Inflation[#All],3,FALSE)))</f>
        <v>687.85299877600983</v>
      </c>
    </row>
    <row r="347" spans="1:15" ht="15" customHeight="1" x14ac:dyDescent="0.25">
      <c r="A347" s="9" t="s">
        <v>311</v>
      </c>
      <c r="B347" s="9" t="str">
        <f>INDEX(Places[Type],MATCH(Activities[[#This Row],[Jurisdiction]],Places[Jurisdiction],0))</f>
        <v>City</v>
      </c>
      <c r="C347" s="19" t="str">
        <f>INDEX(Places[County],MATCH(Activities[[#This Row],[Jurisdiction]],Places[Jurisdiction],0))</f>
        <v>San Diego</v>
      </c>
      <c r="D347" s="9" t="str">
        <f>INDEX(Places[Majority RB],MATCH(Activities[[#This Row],[Jurisdiction]],Places[Jurisdiction],0))</f>
        <v>San Diego</v>
      </c>
      <c r="E347" s="9">
        <f>INDEX(Places[Majority RB '#],MATCH(Activities[[#This Row],[Jurisdiction]],Places[Jurisdiction],0))</f>
        <v>9</v>
      </c>
      <c r="F347" s="28" t="str">
        <f>VLOOKUP(Activities[[#This Row],[Jurisdiction]],Places[#All],8,FALSE)</f>
        <v>Phase I MS4</v>
      </c>
      <c r="G347" s="48" t="s">
        <v>1327</v>
      </c>
      <c r="H347" s="8"/>
      <c r="I347" s="8"/>
      <c r="J347" s="8" t="s">
        <v>1897</v>
      </c>
      <c r="K347" s="27" t="s">
        <v>1874</v>
      </c>
      <c r="L347" s="28">
        <f>_xlfn.NUMBERVALUE(LEFT(Activities[[#This Row],[Fiscal Year]], 4))</f>
        <v>2017</v>
      </c>
      <c r="M347" s="28" t="s">
        <v>1862</v>
      </c>
      <c r="N347" s="41">
        <v>853.56</v>
      </c>
      <c r="O347" s="93">
        <f>IF(Activities[[#This Row],[Reference Year]]&gt;2018,Activities[[#This Row],[Value]],Activities[[#This Row],[Value]]*(1+VLOOKUP(Activities[[#This Row],[Reference Year]],Inflation[#All],3,FALSE)))</f>
        <v>876.30418751529987</v>
      </c>
    </row>
    <row r="348" spans="1:15" ht="15" customHeight="1" x14ac:dyDescent="0.25">
      <c r="A348" s="9" t="s">
        <v>311</v>
      </c>
      <c r="B348" s="9" t="str">
        <f>INDEX(Places[Type],MATCH(Activities[[#This Row],[Jurisdiction]],Places[Jurisdiction],0))</f>
        <v>City</v>
      </c>
      <c r="C348" s="19" t="str">
        <f>INDEX(Places[County],MATCH(Activities[[#This Row],[Jurisdiction]],Places[Jurisdiction],0))</f>
        <v>San Diego</v>
      </c>
      <c r="D348" s="9" t="str">
        <f>INDEX(Places[Majority RB],MATCH(Activities[[#This Row],[Jurisdiction]],Places[Jurisdiction],0))</f>
        <v>San Diego</v>
      </c>
      <c r="E348" s="9">
        <f>INDEX(Places[Majority RB '#],MATCH(Activities[[#This Row],[Jurisdiction]],Places[Jurisdiction],0))</f>
        <v>9</v>
      </c>
      <c r="F348" s="28" t="str">
        <f>VLOOKUP(Activities[[#This Row],[Jurisdiction]],Places[#All],8,FALSE)</f>
        <v>Phase I MS4</v>
      </c>
      <c r="G348" s="48" t="s">
        <v>1326</v>
      </c>
      <c r="H348" s="8"/>
      <c r="I348" s="8"/>
      <c r="J348" s="8" t="s">
        <v>1897</v>
      </c>
      <c r="K348" s="27" t="s">
        <v>1874</v>
      </c>
      <c r="L348" s="28">
        <f>_xlfn.NUMBERVALUE(LEFT(Activities[[#This Row],[Fiscal Year]], 4))</f>
        <v>2017</v>
      </c>
      <c r="M348" s="28" t="s">
        <v>1862</v>
      </c>
      <c r="N348" s="41">
        <v>1388.98</v>
      </c>
      <c r="O348" s="93">
        <f>IF(Activities[[#This Row],[Reference Year]]&gt;2018,Activities[[#This Row],[Value]],Activities[[#This Row],[Value]]*(1+VLOOKUP(Activities[[#This Row],[Reference Year]],Inflation[#All],3,FALSE)))</f>
        <v>1425.9911317013466</v>
      </c>
    </row>
    <row r="349" spans="1:15" ht="15" customHeight="1" x14ac:dyDescent="0.25">
      <c r="A349" s="9" t="s">
        <v>311</v>
      </c>
      <c r="B349" s="9" t="str">
        <f>INDEX(Places[Type],MATCH(Activities[[#This Row],[Jurisdiction]],Places[Jurisdiction],0))</f>
        <v>City</v>
      </c>
      <c r="C349" s="19" t="str">
        <f>INDEX(Places[County],MATCH(Activities[[#This Row],[Jurisdiction]],Places[Jurisdiction],0))</f>
        <v>San Diego</v>
      </c>
      <c r="D349" s="9" t="str">
        <f>INDEX(Places[Majority RB],MATCH(Activities[[#This Row],[Jurisdiction]],Places[Jurisdiction],0))</f>
        <v>San Diego</v>
      </c>
      <c r="E349" s="9">
        <f>INDEX(Places[Majority RB '#],MATCH(Activities[[#This Row],[Jurisdiction]],Places[Jurisdiction],0))</f>
        <v>9</v>
      </c>
      <c r="F349" s="28" t="str">
        <f>VLOOKUP(Activities[[#This Row],[Jurisdiction]],Places[#All],8,FALSE)</f>
        <v>Phase I MS4</v>
      </c>
      <c r="G349" s="48" t="s">
        <v>1316</v>
      </c>
      <c r="H349" s="8"/>
      <c r="I349" s="8"/>
      <c r="J349" s="8" t="s">
        <v>1897</v>
      </c>
      <c r="K349" s="27" t="s">
        <v>1874</v>
      </c>
      <c r="L349" s="28">
        <f>_xlfn.NUMBERVALUE(LEFT(Activities[[#This Row],[Fiscal Year]], 4))</f>
        <v>2017</v>
      </c>
      <c r="M349" s="28" t="s">
        <v>1862</v>
      </c>
      <c r="N349" s="41">
        <v>1428.03</v>
      </c>
      <c r="O349" s="93">
        <f>IF(Activities[[#This Row],[Reference Year]]&gt;2018,Activities[[#This Row],[Value]],Activities[[#This Row],[Value]]*(1+VLOOKUP(Activities[[#This Row],[Reference Year]],Inflation[#All],3,FALSE)))</f>
        <v>1466.0816684210529</v>
      </c>
    </row>
    <row r="350" spans="1:15" ht="15" customHeight="1" x14ac:dyDescent="0.25">
      <c r="A350" s="9" t="s">
        <v>311</v>
      </c>
      <c r="B350" s="9" t="str">
        <f>INDEX(Places[Type],MATCH(Activities[[#This Row],[Jurisdiction]],Places[Jurisdiction],0))</f>
        <v>City</v>
      </c>
      <c r="C350" s="19" t="str">
        <f>INDEX(Places[County],MATCH(Activities[[#This Row],[Jurisdiction]],Places[Jurisdiction],0))</f>
        <v>San Diego</v>
      </c>
      <c r="D350" s="9" t="str">
        <f>INDEX(Places[Majority RB],MATCH(Activities[[#This Row],[Jurisdiction]],Places[Jurisdiction],0))</f>
        <v>San Diego</v>
      </c>
      <c r="E350" s="9">
        <f>INDEX(Places[Majority RB '#],MATCH(Activities[[#This Row],[Jurisdiction]],Places[Jurisdiction],0))</f>
        <v>9</v>
      </c>
      <c r="F350" s="28" t="str">
        <f>VLOOKUP(Activities[[#This Row],[Jurisdiction]],Places[#All],8,FALSE)</f>
        <v>Phase I MS4</v>
      </c>
      <c r="G350" s="48" t="s">
        <v>1323</v>
      </c>
      <c r="H350" s="8"/>
      <c r="I350" s="8"/>
      <c r="J350" s="8" t="s">
        <v>1897</v>
      </c>
      <c r="K350" s="27" t="s">
        <v>1874</v>
      </c>
      <c r="L350" s="28">
        <f>_xlfn.NUMBERVALUE(LEFT(Activities[[#This Row],[Fiscal Year]], 4))</f>
        <v>2017</v>
      </c>
      <c r="M350" s="28" t="s">
        <v>1862</v>
      </c>
      <c r="N350" s="41">
        <v>3182.91</v>
      </c>
      <c r="O350" s="93">
        <f>IF(Activities[[#This Row],[Reference Year]]&gt;2018,Activities[[#This Row],[Value]],Activities[[#This Row],[Value]]*(1+VLOOKUP(Activities[[#This Row],[Reference Year]],Inflation[#All],3,FALSE)))</f>
        <v>3267.722669155447</v>
      </c>
    </row>
    <row r="351" spans="1:15" ht="15" customHeight="1" x14ac:dyDescent="0.25">
      <c r="A351" s="9" t="s">
        <v>311</v>
      </c>
      <c r="B351" s="9" t="str">
        <f>INDEX(Places[Type],MATCH(Activities[[#This Row],[Jurisdiction]],Places[Jurisdiction],0))</f>
        <v>City</v>
      </c>
      <c r="C351" s="19" t="str">
        <f>INDEX(Places[County],MATCH(Activities[[#This Row],[Jurisdiction]],Places[Jurisdiction],0))</f>
        <v>San Diego</v>
      </c>
      <c r="D351" s="9" t="str">
        <f>INDEX(Places[Majority RB],MATCH(Activities[[#This Row],[Jurisdiction]],Places[Jurisdiction],0))</f>
        <v>San Diego</v>
      </c>
      <c r="E351" s="9">
        <f>INDEX(Places[Majority RB '#],MATCH(Activities[[#This Row],[Jurisdiction]],Places[Jurisdiction],0))</f>
        <v>9</v>
      </c>
      <c r="F351" s="28" t="str">
        <f>VLOOKUP(Activities[[#This Row],[Jurisdiction]],Places[#All],8,FALSE)</f>
        <v>Phase I MS4</v>
      </c>
      <c r="G351" s="48" t="s">
        <v>1318</v>
      </c>
      <c r="H351" s="8"/>
      <c r="I351" s="8"/>
      <c r="J351" s="8" t="s">
        <v>1897</v>
      </c>
      <c r="K351" s="27" t="s">
        <v>1874</v>
      </c>
      <c r="L351" s="28">
        <f>_xlfn.NUMBERVALUE(LEFT(Activities[[#This Row],[Fiscal Year]], 4))</f>
        <v>2017</v>
      </c>
      <c r="M351" s="28" t="s">
        <v>1862</v>
      </c>
      <c r="N351" s="41">
        <v>22170.639999999999</v>
      </c>
      <c r="O351" s="93">
        <f>IF(Activities[[#This Row],[Reference Year]]&gt;2018,Activities[[#This Row],[Value]],Activities[[#This Row],[Value]]*(1+VLOOKUP(Activities[[#This Row],[Reference Year]],Inflation[#All],3,FALSE)))</f>
        <v>22761.404789228887</v>
      </c>
    </row>
    <row r="352" spans="1:15" ht="15" customHeight="1" x14ac:dyDescent="0.25">
      <c r="A352" s="9" t="s">
        <v>311</v>
      </c>
      <c r="B352" s="9" t="str">
        <f>INDEX(Places[Type],MATCH(Activities[[#This Row],[Jurisdiction]],Places[Jurisdiction],0))</f>
        <v>City</v>
      </c>
      <c r="C352" s="19" t="str">
        <f>INDEX(Places[County],MATCH(Activities[[#This Row],[Jurisdiction]],Places[Jurisdiction],0))</f>
        <v>San Diego</v>
      </c>
      <c r="D352" s="9" t="str">
        <f>INDEX(Places[Majority RB],MATCH(Activities[[#This Row],[Jurisdiction]],Places[Jurisdiction],0))</f>
        <v>San Diego</v>
      </c>
      <c r="E352" s="9">
        <f>INDEX(Places[Majority RB '#],MATCH(Activities[[#This Row],[Jurisdiction]],Places[Jurisdiction],0))</f>
        <v>9</v>
      </c>
      <c r="F352" s="28" t="str">
        <f>VLOOKUP(Activities[[#This Row],[Jurisdiction]],Places[#All],8,FALSE)</f>
        <v>Phase I MS4</v>
      </c>
      <c r="G352" s="48" t="s">
        <v>1314</v>
      </c>
      <c r="H352" s="8"/>
      <c r="I352" s="8"/>
      <c r="J352" s="8" t="s">
        <v>1897</v>
      </c>
      <c r="K352" s="27" t="s">
        <v>1874</v>
      </c>
      <c r="L352" s="28">
        <f>_xlfn.NUMBERVALUE(LEFT(Activities[[#This Row],[Fiscal Year]], 4))</f>
        <v>2017</v>
      </c>
      <c r="M352" s="28" t="s">
        <v>1862</v>
      </c>
      <c r="N352" s="41">
        <v>26615.33</v>
      </c>
      <c r="O352" s="93">
        <f>IF(Activities[[#This Row],[Reference Year]]&gt;2018,Activities[[#This Row],[Value]],Activities[[#This Row],[Value]]*(1+VLOOKUP(Activities[[#This Row],[Reference Year]],Inflation[#All],3,FALSE)))</f>
        <v>27324.529184944924</v>
      </c>
    </row>
    <row r="353" spans="1:15" ht="15" customHeight="1" x14ac:dyDescent="0.25">
      <c r="A353" s="9" t="s">
        <v>311</v>
      </c>
      <c r="B353" s="9" t="str">
        <f>INDEX(Places[Type],MATCH(Activities[[#This Row],[Jurisdiction]],Places[Jurisdiction],0))</f>
        <v>City</v>
      </c>
      <c r="C353" s="19" t="str">
        <f>INDEX(Places[County],MATCH(Activities[[#This Row],[Jurisdiction]],Places[Jurisdiction],0))</f>
        <v>San Diego</v>
      </c>
      <c r="D353" s="9" t="str">
        <f>INDEX(Places[Majority RB],MATCH(Activities[[#This Row],[Jurisdiction]],Places[Jurisdiction],0))</f>
        <v>San Diego</v>
      </c>
      <c r="E353" s="9">
        <f>INDEX(Places[Majority RB '#],MATCH(Activities[[#This Row],[Jurisdiction]],Places[Jurisdiction],0))</f>
        <v>9</v>
      </c>
      <c r="F353" s="28" t="str">
        <f>VLOOKUP(Activities[[#This Row],[Jurisdiction]],Places[#All],8,FALSE)</f>
        <v>Phase I MS4</v>
      </c>
      <c r="G353" s="48" t="s">
        <v>1320</v>
      </c>
      <c r="H353" s="8"/>
      <c r="I353" s="8"/>
      <c r="J353" s="8" t="s">
        <v>1897</v>
      </c>
      <c r="K353" s="27" t="s">
        <v>1874</v>
      </c>
      <c r="L353" s="28">
        <f>_xlfn.NUMBERVALUE(LEFT(Activities[[#This Row],[Fiscal Year]], 4))</f>
        <v>2017</v>
      </c>
      <c r="M353" s="28" t="s">
        <v>1862</v>
      </c>
      <c r="N353" s="41">
        <v>139899.95000000001</v>
      </c>
      <c r="O353" s="93">
        <f>IF(Activities[[#This Row],[Reference Year]]&gt;2018,Activities[[#This Row],[Value]],Activities[[#This Row],[Value]]*(1+VLOOKUP(Activities[[#This Row],[Reference Year]],Inflation[#All],3,FALSE)))</f>
        <v>143627.76139718486</v>
      </c>
    </row>
    <row r="354" spans="1:15" ht="15" customHeight="1" x14ac:dyDescent="0.25">
      <c r="A354" s="9" t="s">
        <v>311</v>
      </c>
      <c r="B354" s="9" t="str">
        <f>INDEX(Places[Type],MATCH(Activities[[#This Row],[Jurisdiction]],Places[Jurisdiction],0))</f>
        <v>City</v>
      </c>
      <c r="C354" s="19" t="str">
        <f>INDEX(Places[County],MATCH(Activities[[#This Row],[Jurisdiction]],Places[Jurisdiction],0))</f>
        <v>San Diego</v>
      </c>
      <c r="D354" s="9" t="str">
        <f>INDEX(Places[Majority RB],MATCH(Activities[[#This Row],[Jurisdiction]],Places[Jurisdiction],0))</f>
        <v>San Diego</v>
      </c>
      <c r="E354" s="9">
        <f>INDEX(Places[Majority RB '#],MATCH(Activities[[#This Row],[Jurisdiction]],Places[Jurisdiction],0))</f>
        <v>9</v>
      </c>
      <c r="F354" s="28" t="str">
        <f>VLOOKUP(Activities[[#This Row],[Jurisdiction]],Places[#All],8,FALSE)</f>
        <v>Phase I MS4</v>
      </c>
      <c r="G354" s="48" t="s">
        <v>1311</v>
      </c>
      <c r="H354" s="8"/>
      <c r="I354" s="8"/>
      <c r="J354" s="8" t="s">
        <v>1897</v>
      </c>
      <c r="K354" s="27" t="s">
        <v>1874</v>
      </c>
      <c r="L354" s="28">
        <f>_xlfn.NUMBERVALUE(LEFT(Activities[[#This Row],[Fiscal Year]], 4))</f>
        <v>2017</v>
      </c>
      <c r="M354" s="28" t="s">
        <v>1862</v>
      </c>
      <c r="N354" s="41">
        <v>149570.26999999999</v>
      </c>
      <c r="O354" s="93">
        <f>IF(Activities[[#This Row],[Reference Year]]&gt;2018,Activities[[#This Row],[Value]],Activities[[#This Row],[Value]]*(1+VLOOKUP(Activities[[#This Row],[Reference Year]],Inflation[#All],3,FALSE)))</f>
        <v>153555.75932423503</v>
      </c>
    </row>
    <row r="355" spans="1:15" ht="15" customHeight="1" x14ac:dyDescent="0.25">
      <c r="A355" s="9" t="s">
        <v>311</v>
      </c>
      <c r="B355" s="9" t="str">
        <f>INDEX(Places[Type],MATCH(Activities[[#This Row],[Jurisdiction]],Places[Jurisdiction],0))</f>
        <v>City</v>
      </c>
      <c r="C355" s="19" t="str">
        <f>INDEX(Places[County],MATCH(Activities[[#This Row],[Jurisdiction]],Places[Jurisdiction],0))</f>
        <v>San Diego</v>
      </c>
      <c r="D355" s="9" t="str">
        <f>INDEX(Places[Majority RB],MATCH(Activities[[#This Row],[Jurisdiction]],Places[Jurisdiction],0))</f>
        <v>San Diego</v>
      </c>
      <c r="E355" s="9">
        <f>INDEX(Places[Majority RB '#],MATCH(Activities[[#This Row],[Jurisdiction]],Places[Jurisdiction],0))</f>
        <v>9</v>
      </c>
      <c r="F355" s="28" t="str">
        <f>VLOOKUP(Activities[[#This Row],[Jurisdiction]],Places[#All],8,FALSE)</f>
        <v>Phase I MS4</v>
      </c>
      <c r="G355" s="48" t="s">
        <v>1332</v>
      </c>
      <c r="H355" s="8"/>
      <c r="I355" s="8"/>
      <c r="J355" s="8" t="s">
        <v>1897</v>
      </c>
      <c r="K355" s="27" t="s">
        <v>1874</v>
      </c>
      <c r="L355" s="28">
        <f>_xlfn.NUMBERVALUE(LEFT(Activities[[#This Row],[Fiscal Year]], 4))</f>
        <v>2017</v>
      </c>
      <c r="M355" s="28" t="s">
        <v>1862</v>
      </c>
      <c r="N355" s="41">
        <v>274002.82</v>
      </c>
      <c r="O355" s="93">
        <f>IF(Activities[[#This Row],[Reference Year]]&gt;2018,Activities[[#This Row],[Value]],Activities[[#This Row],[Value]]*(1+VLOOKUP(Activities[[#This Row],[Reference Year]],Inflation[#All],3,FALSE)))</f>
        <v>281303.97225385561</v>
      </c>
    </row>
    <row r="356" spans="1:15" ht="15" customHeight="1" x14ac:dyDescent="0.25">
      <c r="A356" s="9" t="s">
        <v>311</v>
      </c>
      <c r="B356" s="9" t="str">
        <f>INDEX(Places[Type],MATCH(Activities[[#This Row],[Jurisdiction]],Places[Jurisdiction],0))</f>
        <v>City</v>
      </c>
      <c r="C356" s="19" t="str">
        <f>INDEX(Places[County],MATCH(Activities[[#This Row],[Jurisdiction]],Places[Jurisdiction],0))</f>
        <v>San Diego</v>
      </c>
      <c r="D356" s="9" t="str">
        <f>INDEX(Places[Majority RB],MATCH(Activities[[#This Row],[Jurisdiction]],Places[Jurisdiction],0))</f>
        <v>San Diego</v>
      </c>
      <c r="E356" s="9">
        <f>INDEX(Places[Majority RB '#],MATCH(Activities[[#This Row],[Jurisdiction]],Places[Jurisdiction],0))</f>
        <v>9</v>
      </c>
      <c r="F356" s="28" t="str">
        <f>VLOOKUP(Activities[[#This Row],[Jurisdiction]],Places[#All],8,FALSE)</f>
        <v>Phase I MS4</v>
      </c>
      <c r="G356" s="48" t="s">
        <v>1310</v>
      </c>
      <c r="H356" s="8"/>
      <c r="I356" s="8"/>
      <c r="J356" s="8" t="s">
        <v>1894</v>
      </c>
      <c r="K356" s="27" t="s">
        <v>1874</v>
      </c>
      <c r="L356" s="28">
        <f>_xlfn.NUMBERVALUE(LEFT(Activities[[#This Row],[Fiscal Year]], 4))</f>
        <v>2017</v>
      </c>
      <c r="M356" s="28" t="s">
        <v>1862</v>
      </c>
      <c r="N356" s="41">
        <v>5001.37</v>
      </c>
      <c r="O356" s="93">
        <f>IF(Activities[[#This Row],[Reference Year]]&gt;2018,Activities[[#This Row],[Value]],Activities[[#This Row],[Value]]*(1+VLOOKUP(Activities[[#This Row],[Reference Year]],Inflation[#All],3,FALSE)))</f>
        <v>5134.6378395348838</v>
      </c>
    </row>
    <row r="357" spans="1:15" ht="15" customHeight="1" x14ac:dyDescent="0.25">
      <c r="A357" s="9" t="s">
        <v>311</v>
      </c>
      <c r="B357" s="9" t="str">
        <f>INDEX(Places[Type],MATCH(Activities[[#This Row],[Jurisdiction]],Places[Jurisdiction],0))</f>
        <v>City</v>
      </c>
      <c r="C357" s="19" t="str">
        <f>INDEX(Places[County],MATCH(Activities[[#This Row],[Jurisdiction]],Places[Jurisdiction],0))</f>
        <v>San Diego</v>
      </c>
      <c r="D357" s="9" t="str">
        <f>INDEX(Places[Majority RB],MATCH(Activities[[#This Row],[Jurisdiction]],Places[Jurisdiction],0))</f>
        <v>San Diego</v>
      </c>
      <c r="E357" s="9">
        <f>INDEX(Places[Majority RB '#],MATCH(Activities[[#This Row],[Jurisdiction]],Places[Jurisdiction],0))</f>
        <v>9</v>
      </c>
      <c r="F357" s="28" t="str">
        <f>VLOOKUP(Activities[[#This Row],[Jurisdiction]],Places[#All],8,FALSE)</f>
        <v>Phase I MS4</v>
      </c>
      <c r="G357" s="48" t="s">
        <v>1329</v>
      </c>
      <c r="H357" s="8"/>
      <c r="I357" s="8"/>
      <c r="J357" s="8" t="s">
        <v>1894</v>
      </c>
      <c r="K357" s="27" t="s">
        <v>1874</v>
      </c>
      <c r="L357" s="28">
        <f>_xlfn.NUMBERVALUE(LEFT(Activities[[#This Row],[Fiscal Year]], 4))</f>
        <v>2017</v>
      </c>
      <c r="M357" s="28" t="s">
        <v>1862</v>
      </c>
      <c r="N357" s="41">
        <v>12000</v>
      </c>
      <c r="O357" s="93">
        <f>IF(Activities[[#This Row],[Reference Year]]&gt;2018,Activities[[#This Row],[Value]],Activities[[#This Row],[Value]]*(1+VLOOKUP(Activities[[#This Row],[Reference Year]],Inflation[#All],3,FALSE)))</f>
        <v>12319.755201958385</v>
      </c>
    </row>
    <row r="358" spans="1:15" ht="15" customHeight="1" x14ac:dyDescent="0.25">
      <c r="A358" s="9" t="s">
        <v>311</v>
      </c>
      <c r="B358" s="9" t="str">
        <f>INDEX(Places[Type],MATCH(Activities[[#This Row],[Jurisdiction]],Places[Jurisdiction],0))</f>
        <v>City</v>
      </c>
      <c r="C358" s="19" t="str">
        <f>INDEX(Places[County],MATCH(Activities[[#This Row],[Jurisdiction]],Places[Jurisdiction],0))</f>
        <v>San Diego</v>
      </c>
      <c r="D358" s="9" t="str">
        <f>INDEX(Places[Majority RB],MATCH(Activities[[#This Row],[Jurisdiction]],Places[Jurisdiction],0))</f>
        <v>San Diego</v>
      </c>
      <c r="E358" s="9">
        <f>INDEX(Places[Majority RB '#],MATCH(Activities[[#This Row],[Jurisdiction]],Places[Jurisdiction],0))</f>
        <v>9</v>
      </c>
      <c r="F358" s="28" t="str">
        <f>VLOOKUP(Activities[[#This Row],[Jurisdiction]],Places[#All],8,FALSE)</f>
        <v>Phase I MS4</v>
      </c>
      <c r="G358" s="48" t="s">
        <v>1309</v>
      </c>
      <c r="H358" s="8"/>
      <c r="I358" s="8"/>
      <c r="J358" s="8" t="s">
        <v>1894</v>
      </c>
      <c r="K358" s="27" t="s">
        <v>1874</v>
      </c>
      <c r="L358" s="28">
        <f>_xlfn.NUMBERVALUE(LEFT(Activities[[#This Row],[Fiscal Year]], 4))</f>
        <v>2017</v>
      </c>
      <c r="M358" s="28" t="s">
        <v>1862</v>
      </c>
      <c r="N358" s="41">
        <v>20868.07</v>
      </c>
      <c r="O358" s="93">
        <f>IF(Activities[[#This Row],[Reference Year]]&gt;2018,Activities[[#This Row],[Value]],Activities[[#This Row],[Value]]*(1+VLOOKUP(Activities[[#This Row],[Reference Year]],Inflation[#All],3,FALSE)))</f>
        <v>21424.12616144431</v>
      </c>
    </row>
    <row r="359" spans="1:15" ht="15" customHeight="1" x14ac:dyDescent="0.25">
      <c r="A359" s="9" t="s">
        <v>311</v>
      </c>
      <c r="B359" s="9" t="str">
        <f>INDEX(Places[Type],MATCH(Activities[[#This Row],[Jurisdiction]],Places[Jurisdiction],0))</f>
        <v>City</v>
      </c>
      <c r="C359" s="19" t="str">
        <f>INDEX(Places[County],MATCH(Activities[[#This Row],[Jurisdiction]],Places[Jurisdiction],0))</f>
        <v>San Diego</v>
      </c>
      <c r="D359" s="9" t="str">
        <f>INDEX(Places[Majority RB],MATCH(Activities[[#This Row],[Jurisdiction]],Places[Jurisdiction],0))</f>
        <v>San Diego</v>
      </c>
      <c r="E359" s="9">
        <f>INDEX(Places[Majority RB '#],MATCH(Activities[[#This Row],[Jurisdiction]],Places[Jurisdiction],0))</f>
        <v>9</v>
      </c>
      <c r="F359" s="28" t="str">
        <f>VLOOKUP(Activities[[#This Row],[Jurisdiction]],Places[#All],8,FALSE)</f>
        <v>Phase I MS4</v>
      </c>
      <c r="G359" s="48" t="s">
        <v>1308</v>
      </c>
      <c r="H359" s="8" t="s">
        <v>689</v>
      </c>
      <c r="I359" s="8"/>
      <c r="J359" s="8" t="s">
        <v>1894</v>
      </c>
      <c r="K359" s="27" t="s">
        <v>1874</v>
      </c>
      <c r="L359" s="28">
        <f>_xlfn.NUMBERVALUE(LEFT(Activities[[#This Row],[Fiscal Year]], 4))</f>
        <v>2017</v>
      </c>
      <c r="M359" s="28" t="s">
        <v>1862</v>
      </c>
      <c r="N359" s="41">
        <v>358560.58</v>
      </c>
      <c r="O359" s="93">
        <f>IF(Activities[[#This Row],[Reference Year]]&gt;2018,Activities[[#This Row],[Value]],Activities[[#This Row],[Value]]*(1+VLOOKUP(Activities[[#This Row],[Reference Year]],Inflation[#All],3,FALSE)))</f>
        <v>368114.88088935136</v>
      </c>
    </row>
    <row r="360" spans="1:15" ht="15" customHeight="1" x14ac:dyDescent="0.25">
      <c r="A360" s="9" t="s">
        <v>311</v>
      </c>
      <c r="B360" s="9" t="str">
        <f>INDEX(Places[Type],MATCH(Activities[[#This Row],[Jurisdiction]],Places[Jurisdiction],0))</f>
        <v>City</v>
      </c>
      <c r="C360" s="19" t="str">
        <f>INDEX(Places[County],MATCH(Activities[[#This Row],[Jurisdiction]],Places[Jurisdiction],0))</f>
        <v>San Diego</v>
      </c>
      <c r="D360" s="9" t="str">
        <f>INDEX(Places[Majority RB],MATCH(Activities[[#This Row],[Jurisdiction]],Places[Jurisdiction],0))</f>
        <v>San Diego</v>
      </c>
      <c r="E360" s="9">
        <f>INDEX(Places[Majority RB '#],MATCH(Activities[[#This Row],[Jurisdiction]],Places[Jurisdiction],0))</f>
        <v>9</v>
      </c>
      <c r="F360" s="28" t="str">
        <f>VLOOKUP(Activities[[#This Row],[Jurisdiction]],Places[#All],8,FALSE)</f>
        <v>Phase I MS4</v>
      </c>
      <c r="G360" s="48" t="s">
        <v>1334</v>
      </c>
      <c r="H360" s="8"/>
      <c r="I360" s="8"/>
      <c r="J360" s="8" t="s">
        <v>1896</v>
      </c>
      <c r="K360" s="27" t="s">
        <v>1874</v>
      </c>
      <c r="L360" s="28">
        <f>_xlfn.NUMBERVALUE(LEFT(Activities[[#This Row],[Fiscal Year]], 4))</f>
        <v>2017</v>
      </c>
      <c r="M360" s="28" t="s">
        <v>1862</v>
      </c>
      <c r="N360" s="41">
        <v>76073</v>
      </c>
      <c r="O360" s="93">
        <f>IF(Activities[[#This Row],[Reference Year]]&gt;2018,Activities[[#This Row],[Value]],Activities[[#This Row],[Value]]*(1+VLOOKUP(Activities[[#This Row],[Reference Year]],Inflation[#All],3,FALSE)))</f>
        <v>78100.061456548356</v>
      </c>
    </row>
    <row r="361" spans="1:15" ht="15" customHeight="1" x14ac:dyDescent="0.25">
      <c r="A361" s="9" t="s">
        <v>268</v>
      </c>
      <c r="B361" s="9" t="str">
        <f>INDEX(Places[Type],MATCH(Activities[[#This Row],[Jurisdiction]],Places[Jurisdiction],0))</f>
        <v>City</v>
      </c>
      <c r="C361" s="19" t="str">
        <f>INDEX(Places[County],MATCH(Activities[[#This Row],[Jurisdiction]],Places[Jurisdiction],0))</f>
        <v>Orange</v>
      </c>
      <c r="D361" s="19" t="str">
        <f>INDEX(Places[Majority RB],MATCH(Activities[[#This Row],[Jurisdiction]],Places[Jurisdiction],0))</f>
        <v>Santa Ana</v>
      </c>
      <c r="E361" s="9">
        <f>INDEX(Places[Majority RB '#],MATCH(Activities[[#This Row],[Jurisdiction]],Places[Jurisdiction],0))</f>
        <v>8</v>
      </c>
      <c r="F361" s="28" t="str">
        <f>VLOOKUP(Activities[[#This Row],[Jurisdiction]],Places[#All],8,FALSE)</f>
        <v>Phase I MS4</v>
      </c>
      <c r="G361" s="48" t="s">
        <v>1006</v>
      </c>
      <c r="H361" s="8"/>
      <c r="I361" s="8"/>
      <c r="J361" s="8" t="s">
        <v>1895</v>
      </c>
      <c r="K361" s="27" t="s">
        <v>1875</v>
      </c>
      <c r="L361" s="28">
        <f>_xlfn.NUMBERVALUE(LEFT(Activities[[#This Row],[Fiscal Year]], 4))</f>
        <v>2001</v>
      </c>
      <c r="M361" s="28" t="s">
        <v>1863</v>
      </c>
      <c r="N361" s="41">
        <v>5000</v>
      </c>
      <c r="O361" s="93">
        <f>IF(Activities[[#This Row],[Reference Year]]&gt;2018,Activities[[#This Row],[Value]],Activities[[#This Row],[Value]]*(1+VLOOKUP(Activities[[#This Row],[Reference Year]],Inflation[#All],3,FALSE)))</f>
        <v>7104.2066629023147</v>
      </c>
    </row>
    <row r="362" spans="1:15" ht="15" customHeight="1" x14ac:dyDescent="0.25">
      <c r="A362" s="9" t="s">
        <v>268</v>
      </c>
      <c r="B362" s="9" t="str">
        <f>INDEX(Places[Type],MATCH(Activities[[#This Row],[Jurisdiction]],Places[Jurisdiction],0))</f>
        <v>City</v>
      </c>
      <c r="C362" s="19" t="str">
        <f>INDEX(Places[County],MATCH(Activities[[#This Row],[Jurisdiction]],Places[Jurisdiction],0))</f>
        <v>Orange</v>
      </c>
      <c r="D362" s="19" t="str">
        <f>INDEX(Places[Majority RB],MATCH(Activities[[#This Row],[Jurisdiction]],Places[Jurisdiction],0))</f>
        <v>Santa Ana</v>
      </c>
      <c r="E362" s="9">
        <f>INDEX(Places[Majority RB '#],MATCH(Activities[[#This Row],[Jurisdiction]],Places[Jurisdiction],0))</f>
        <v>8</v>
      </c>
      <c r="F362" s="28" t="str">
        <f>VLOOKUP(Activities[[#This Row],[Jurisdiction]],Places[#All],8,FALSE)</f>
        <v>Phase I MS4</v>
      </c>
      <c r="G362" s="48" t="s">
        <v>994</v>
      </c>
      <c r="H362" s="8" t="s">
        <v>504</v>
      </c>
      <c r="I362" s="8"/>
      <c r="J362" s="8" t="s">
        <v>71</v>
      </c>
      <c r="K362" s="27" t="s">
        <v>1875</v>
      </c>
      <c r="L362" s="28">
        <f>_xlfn.NUMBERVALUE(LEFT(Activities[[#This Row],[Fiscal Year]], 4))</f>
        <v>2001</v>
      </c>
      <c r="M362" s="28" t="s">
        <v>1863</v>
      </c>
      <c r="N362" s="41">
        <v>50238</v>
      </c>
      <c r="O362" s="93">
        <f>IF(Activities[[#This Row],[Reference Year]]&gt;2018,Activities[[#This Row],[Value]],Activities[[#This Row],[Value]]*(1+VLOOKUP(Activities[[#This Row],[Reference Year]],Inflation[#All],3,FALSE)))</f>
        <v>71380.226866177298</v>
      </c>
    </row>
    <row r="363" spans="1:15" ht="15" customHeight="1" x14ac:dyDescent="0.25">
      <c r="A363" s="9" t="s">
        <v>268</v>
      </c>
      <c r="B363" s="9" t="str">
        <f>INDEX(Places[Type],MATCH(Activities[[#This Row],[Jurisdiction]],Places[Jurisdiction],0))</f>
        <v>City</v>
      </c>
      <c r="C363" s="19" t="str">
        <f>INDEX(Places[County],MATCH(Activities[[#This Row],[Jurisdiction]],Places[Jurisdiction],0))</f>
        <v>Orange</v>
      </c>
      <c r="D363" s="19" t="str">
        <f>INDEX(Places[Majority RB],MATCH(Activities[[#This Row],[Jurisdiction]],Places[Jurisdiction],0))</f>
        <v>Santa Ana</v>
      </c>
      <c r="E363" s="9">
        <f>INDEX(Places[Majority RB '#],MATCH(Activities[[#This Row],[Jurisdiction]],Places[Jurisdiction],0))</f>
        <v>8</v>
      </c>
      <c r="F363" s="28" t="str">
        <f>VLOOKUP(Activities[[#This Row],[Jurisdiction]],Places[#All],8,FALSE)</f>
        <v>Phase I MS4</v>
      </c>
      <c r="G363" s="48" t="s">
        <v>998</v>
      </c>
      <c r="H363" s="8" t="s">
        <v>504</v>
      </c>
      <c r="I363" s="8"/>
      <c r="J363" s="8" t="s">
        <v>1897</v>
      </c>
      <c r="K363" s="27" t="s">
        <v>1875</v>
      </c>
      <c r="L363" s="28">
        <f>_xlfn.NUMBERVALUE(LEFT(Activities[[#This Row],[Fiscal Year]], 4))</f>
        <v>2001</v>
      </c>
      <c r="M363" s="28" t="s">
        <v>1863</v>
      </c>
      <c r="N363" s="41">
        <v>25000</v>
      </c>
      <c r="O363" s="93">
        <f>IF(Activities[[#This Row],[Reference Year]]&gt;2018,Activities[[#This Row],[Value]],Activities[[#This Row],[Value]]*(1+VLOOKUP(Activities[[#This Row],[Reference Year]],Inflation[#All],3,FALSE)))</f>
        <v>35521.033314511573</v>
      </c>
    </row>
    <row r="364" spans="1:15" ht="15" customHeight="1" x14ac:dyDescent="0.25">
      <c r="A364" s="9" t="s">
        <v>268</v>
      </c>
      <c r="B364" s="9" t="str">
        <f>INDEX(Places[Type],MATCH(Activities[[#This Row],[Jurisdiction]],Places[Jurisdiction],0))</f>
        <v>City</v>
      </c>
      <c r="C364" s="19" t="str">
        <f>INDEX(Places[County],MATCH(Activities[[#This Row],[Jurisdiction]],Places[Jurisdiction],0))</f>
        <v>Orange</v>
      </c>
      <c r="D364" s="19" t="str">
        <f>INDEX(Places[Majority RB],MATCH(Activities[[#This Row],[Jurisdiction]],Places[Jurisdiction],0))</f>
        <v>Santa Ana</v>
      </c>
      <c r="E364" s="9">
        <f>INDEX(Places[Majority RB '#],MATCH(Activities[[#This Row],[Jurisdiction]],Places[Jurisdiction],0))</f>
        <v>8</v>
      </c>
      <c r="F364" s="28" t="str">
        <f>VLOOKUP(Activities[[#This Row],[Jurisdiction]],Places[#All],8,FALSE)</f>
        <v>Phase I MS4</v>
      </c>
      <c r="G364" s="48" t="s">
        <v>999</v>
      </c>
      <c r="H364" s="8" t="s">
        <v>504</v>
      </c>
      <c r="I364" s="8"/>
      <c r="J364" s="8" t="s">
        <v>1897</v>
      </c>
      <c r="K364" s="27" t="s">
        <v>1875</v>
      </c>
      <c r="L364" s="28">
        <f>_xlfn.NUMBERVALUE(LEFT(Activities[[#This Row],[Fiscal Year]], 4))</f>
        <v>2001</v>
      </c>
      <c r="M364" s="28" t="s">
        <v>1863</v>
      </c>
      <c r="N364" s="41">
        <v>44951</v>
      </c>
      <c r="O364" s="93">
        <f>IF(Activities[[#This Row],[Reference Year]]&gt;2018,Activities[[#This Row],[Value]],Activities[[#This Row],[Value]]*(1+VLOOKUP(Activities[[#This Row],[Reference Year]],Inflation[#All],3,FALSE)))</f>
        <v>63868.238740824389</v>
      </c>
    </row>
    <row r="365" spans="1:15" ht="15" customHeight="1" x14ac:dyDescent="0.25">
      <c r="A365" s="9" t="s">
        <v>268</v>
      </c>
      <c r="B365" s="9" t="str">
        <f>INDEX(Places[Type],MATCH(Activities[[#This Row],[Jurisdiction]],Places[Jurisdiction],0))</f>
        <v>City</v>
      </c>
      <c r="C365" s="19" t="str">
        <f>INDEX(Places[County],MATCH(Activities[[#This Row],[Jurisdiction]],Places[Jurisdiction],0))</f>
        <v>Orange</v>
      </c>
      <c r="D365" s="19" t="str">
        <f>INDEX(Places[Majority RB],MATCH(Activities[[#This Row],[Jurisdiction]],Places[Jurisdiction],0))</f>
        <v>Santa Ana</v>
      </c>
      <c r="E365" s="9">
        <f>INDEX(Places[Majority RB '#],MATCH(Activities[[#This Row],[Jurisdiction]],Places[Jurisdiction],0))</f>
        <v>8</v>
      </c>
      <c r="F365" s="28" t="str">
        <f>VLOOKUP(Activities[[#This Row],[Jurisdiction]],Places[#All],8,FALSE)</f>
        <v>Phase I MS4</v>
      </c>
      <c r="G365" s="48" t="s">
        <v>993</v>
      </c>
      <c r="H365" s="8" t="s">
        <v>602</v>
      </c>
      <c r="I365" s="8"/>
      <c r="J365" s="8" t="s">
        <v>1897</v>
      </c>
      <c r="K365" s="27" t="s">
        <v>1875</v>
      </c>
      <c r="L365" s="28">
        <f>_xlfn.NUMBERVALUE(LEFT(Activities[[#This Row],[Fiscal Year]], 4))</f>
        <v>2001</v>
      </c>
      <c r="M365" s="28" t="s">
        <v>1863</v>
      </c>
      <c r="N365" s="41">
        <v>112998</v>
      </c>
      <c r="O365" s="93">
        <f>IF(Activities[[#This Row],[Reference Year]]&gt;2018,Activities[[#This Row],[Value]],Activities[[#This Row],[Value]]*(1+VLOOKUP(Activities[[#This Row],[Reference Year]],Inflation[#All],3,FALSE)))</f>
        <v>160552.22889892716</v>
      </c>
    </row>
    <row r="366" spans="1:15" ht="15" customHeight="1" x14ac:dyDescent="0.25">
      <c r="A366" s="9" t="s">
        <v>268</v>
      </c>
      <c r="B366" s="9" t="str">
        <f>INDEX(Places[Type],MATCH(Activities[[#This Row],[Jurisdiction]],Places[Jurisdiction],0))</f>
        <v>City</v>
      </c>
      <c r="C366" s="19" t="str">
        <f>INDEX(Places[County],MATCH(Activities[[#This Row],[Jurisdiction]],Places[Jurisdiction],0))</f>
        <v>Orange</v>
      </c>
      <c r="D366" s="19" t="str">
        <f>INDEX(Places[Majority RB],MATCH(Activities[[#This Row],[Jurisdiction]],Places[Jurisdiction],0))</f>
        <v>Santa Ana</v>
      </c>
      <c r="E366" s="9">
        <f>INDEX(Places[Majority RB '#],MATCH(Activities[[#This Row],[Jurisdiction]],Places[Jurisdiction],0))</f>
        <v>8</v>
      </c>
      <c r="F366" s="28" t="str">
        <f>VLOOKUP(Activities[[#This Row],[Jurisdiction]],Places[#All],8,FALSE)</f>
        <v>Phase I MS4</v>
      </c>
      <c r="G366" s="48" t="s">
        <v>981</v>
      </c>
      <c r="H366" s="8" t="s">
        <v>504</v>
      </c>
      <c r="I366" s="8"/>
      <c r="J366" s="8" t="s">
        <v>1897</v>
      </c>
      <c r="K366" s="27" t="s">
        <v>1875</v>
      </c>
      <c r="L366" s="28">
        <f>_xlfn.NUMBERVALUE(LEFT(Activities[[#This Row],[Fiscal Year]], 4))</f>
        <v>2001</v>
      </c>
      <c r="M366" s="28" t="s">
        <v>1863</v>
      </c>
      <c r="N366" s="41">
        <v>115000</v>
      </c>
      <c r="O366" s="93">
        <f>IF(Activities[[#This Row],[Reference Year]]&gt;2018,Activities[[#This Row],[Value]],Activities[[#This Row],[Value]]*(1+VLOOKUP(Activities[[#This Row],[Reference Year]],Inflation[#All],3,FALSE)))</f>
        <v>163396.75324675324</v>
      </c>
    </row>
    <row r="367" spans="1:15" ht="15" customHeight="1" x14ac:dyDescent="0.25">
      <c r="A367" s="9" t="s">
        <v>268</v>
      </c>
      <c r="B367" s="9" t="str">
        <f>INDEX(Places[Type],MATCH(Activities[[#This Row],[Jurisdiction]],Places[Jurisdiction],0))</f>
        <v>City</v>
      </c>
      <c r="C367" s="19" t="str">
        <f>INDEX(Places[County],MATCH(Activities[[#This Row],[Jurisdiction]],Places[Jurisdiction],0))</f>
        <v>Orange</v>
      </c>
      <c r="D367" s="19" t="str">
        <f>INDEX(Places[Majority RB],MATCH(Activities[[#This Row],[Jurisdiction]],Places[Jurisdiction],0))</f>
        <v>Santa Ana</v>
      </c>
      <c r="E367" s="9">
        <f>INDEX(Places[Majority RB '#],MATCH(Activities[[#This Row],[Jurisdiction]],Places[Jurisdiction],0))</f>
        <v>8</v>
      </c>
      <c r="F367" s="28" t="str">
        <f>VLOOKUP(Activities[[#This Row],[Jurisdiction]],Places[#All],8,FALSE)</f>
        <v>Phase I MS4</v>
      </c>
      <c r="G367" s="48" t="s">
        <v>992</v>
      </c>
      <c r="H367" s="8" t="s">
        <v>504</v>
      </c>
      <c r="I367" s="8"/>
      <c r="J367" s="8" t="s">
        <v>1897</v>
      </c>
      <c r="K367" s="27" t="s">
        <v>1875</v>
      </c>
      <c r="L367" s="28">
        <f>_xlfn.NUMBERVALUE(LEFT(Activities[[#This Row],[Fiscal Year]], 4))</f>
        <v>2001</v>
      </c>
      <c r="M367" s="28" t="s">
        <v>1863</v>
      </c>
      <c r="N367" s="41">
        <v>149181</v>
      </c>
      <c r="O367" s="93">
        <f>IF(Activities[[#This Row],[Reference Year]]&gt;2018,Activities[[#This Row],[Value]],Activities[[#This Row],[Value]]*(1+VLOOKUP(Activities[[#This Row],[Reference Year]],Inflation[#All],3,FALSE)))</f>
        <v>211962.53083568605</v>
      </c>
    </row>
    <row r="368" spans="1:15" ht="15" customHeight="1" x14ac:dyDescent="0.25">
      <c r="A368" s="9" t="s">
        <v>268</v>
      </c>
      <c r="B368" s="9" t="str">
        <f>INDEX(Places[Type],MATCH(Activities[[#This Row],[Jurisdiction]],Places[Jurisdiction],0))</f>
        <v>City</v>
      </c>
      <c r="C368" s="19" t="str">
        <f>INDEX(Places[County],MATCH(Activities[[#This Row],[Jurisdiction]],Places[Jurisdiction],0))</f>
        <v>Orange</v>
      </c>
      <c r="D368" s="19" t="str">
        <f>INDEX(Places[Majority RB],MATCH(Activities[[#This Row],[Jurisdiction]],Places[Jurisdiction],0))</f>
        <v>Santa Ana</v>
      </c>
      <c r="E368" s="9">
        <f>INDEX(Places[Majority RB '#],MATCH(Activities[[#This Row],[Jurisdiction]],Places[Jurisdiction],0))</f>
        <v>8</v>
      </c>
      <c r="F368" s="28" t="str">
        <f>VLOOKUP(Activities[[#This Row],[Jurisdiction]],Places[#All],8,FALSE)</f>
        <v>Phase I MS4</v>
      </c>
      <c r="G368" s="48" t="s">
        <v>996</v>
      </c>
      <c r="H368" s="8" t="s">
        <v>504</v>
      </c>
      <c r="I368" s="8"/>
      <c r="J368" s="8" t="s">
        <v>1897</v>
      </c>
      <c r="K368" s="27" t="s">
        <v>1875</v>
      </c>
      <c r="L368" s="28">
        <f>_xlfn.NUMBERVALUE(LEFT(Activities[[#This Row],[Fiscal Year]], 4))</f>
        <v>2001</v>
      </c>
      <c r="M368" s="28" t="s">
        <v>1863</v>
      </c>
      <c r="N368" s="41">
        <v>549972</v>
      </c>
      <c r="O368" s="93">
        <f>IF(Activities[[#This Row],[Reference Year]]&gt;2018,Activities[[#This Row],[Value]],Activities[[#This Row],[Value]]*(1+VLOOKUP(Activities[[#This Row],[Reference Year]],Inflation[#All],3,FALSE)))</f>
        <v>781422.94936194236</v>
      </c>
    </row>
    <row r="369" spans="1:15" ht="15" customHeight="1" x14ac:dyDescent="0.25">
      <c r="A369" s="9" t="s">
        <v>268</v>
      </c>
      <c r="B369" s="9" t="str">
        <f>INDEX(Places[Type],MATCH(Activities[[#This Row],[Jurisdiction]],Places[Jurisdiction],0))</f>
        <v>City</v>
      </c>
      <c r="C369" s="19" t="str">
        <f>INDEX(Places[County],MATCH(Activities[[#This Row],[Jurisdiction]],Places[Jurisdiction],0))</f>
        <v>Orange</v>
      </c>
      <c r="D369" s="19" t="str">
        <f>INDEX(Places[Majority RB],MATCH(Activities[[#This Row],[Jurisdiction]],Places[Jurisdiction],0))</f>
        <v>Santa Ana</v>
      </c>
      <c r="E369" s="9">
        <f>INDEX(Places[Majority RB '#],MATCH(Activities[[#This Row],[Jurisdiction]],Places[Jurisdiction],0))</f>
        <v>8</v>
      </c>
      <c r="F369" s="28" t="str">
        <f>VLOOKUP(Activities[[#This Row],[Jurisdiction]],Places[#All],8,FALSE)</f>
        <v>Phase I MS4</v>
      </c>
      <c r="G369" s="48" t="s">
        <v>1005</v>
      </c>
      <c r="H369" s="8"/>
      <c r="I369" s="8"/>
      <c r="J369" s="8" t="s">
        <v>1898</v>
      </c>
      <c r="K369" s="27" t="s">
        <v>1875</v>
      </c>
      <c r="L369" s="28">
        <f>_xlfn.NUMBERVALUE(LEFT(Activities[[#This Row],[Fiscal Year]], 4))</f>
        <v>2001</v>
      </c>
      <c r="M369" s="28" t="s">
        <v>1863</v>
      </c>
      <c r="N369" s="41">
        <v>5000</v>
      </c>
      <c r="O369" s="93">
        <f>IF(Activities[[#This Row],[Reference Year]]&gt;2018,Activities[[#This Row],[Value]],Activities[[#This Row],[Value]]*(1+VLOOKUP(Activities[[#This Row],[Reference Year]],Inflation[#All],3,FALSE)))</f>
        <v>7104.2066629023147</v>
      </c>
    </row>
    <row r="370" spans="1:15" ht="15" customHeight="1" x14ac:dyDescent="0.25">
      <c r="A370" s="9" t="s">
        <v>268</v>
      </c>
      <c r="B370" s="9" t="str">
        <f>INDEX(Places[Type],MATCH(Activities[[#This Row],[Jurisdiction]],Places[Jurisdiction],0))</f>
        <v>City</v>
      </c>
      <c r="C370" s="19" t="str">
        <f>INDEX(Places[County],MATCH(Activities[[#This Row],[Jurisdiction]],Places[Jurisdiction],0))</f>
        <v>Orange</v>
      </c>
      <c r="D370" s="19" t="str">
        <f>INDEX(Places[Majority RB],MATCH(Activities[[#This Row],[Jurisdiction]],Places[Jurisdiction],0))</f>
        <v>Santa Ana</v>
      </c>
      <c r="E370" s="9">
        <f>INDEX(Places[Majority RB '#],MATCH(Activities[[#This Row],[Jurisdiction]],Places[Jurisdiction],0))</f>
        <v>8</v>
      </c>
      <c r="F370" s="28" t="str">
        <f>VLOOKUP(Activities[[#This Row],[Jurisdiction]],Places[#All],8,FALSE)</f>
        <v>Phase I MS4</v>
      </c>
      <c r="G370" s="48" t="s">
        <v>991</v>
      </c>
      <c r="H370" s="71" t="s">
        <v>503</v>
      </c>
      <c r="I370" s="8"/>
      <c r="J370" s="8" t="s">
        <v>1894</v>
      </c>
      <c r="K370" s="27" t="s">
        <v>1875</v>
      </c>
      <c r="L370" s="28">
        <f>_xlfn.NUMBERVALUE(LEFT(Activities[[#This Row],[Fiscal Year]], 4))</f>
        <v>2001</v>
      </c>
      <c r="M370" s="28" t="s">
        <v>1863</v>
      </c>
      <c r="N370" s="41">
        <v>25000</v>
      </c>
      <c r="O370" s="93">
        <f>IF(Activities[[#This Row],[Reference Year]]&gt;2018,Activities[[#This Row],[Value]],Activities[[#This Row],[Value]]*(1+VLOOKUP(Activities[[#This Row],[Reference Year]],Inflation[#All],3,FALSE)))</f>
        <v>35521.033314511573</v>
      </c>
    </row>
    <row r="371" spans="1:15" ht="15" customHeight="1" x14ac:dyDescent="0.25">
      <c r="A371" s="9" t="s">
        <v>201</v>
      </c>
      <c r="B371" s="9" t="str">
        <f>INDEX(Places[Type],MATCH(Activities[[#This Row],[Jurisdiction]],Places[Jurisdiction],0))</f>
        <v>City</v>
      </c>
      <c r="C371" s="19" t="str">
        <f>INDEX(Places[County],MATCH(Activities[[#This Row],[Jurisdiction]],Places[Jurisdiction],0))</f>
        <v>Los Angeles</v>
      </c>
      <c r="D371" s="19" t="str">
        <f>INDEX(Places[Majority RB],MATCH(Activities[[#This Row],[Jurisdiction]],Places[Jurisdiction],0))</f>
        <v>Los Angeles</v>
      </c>
      <c r="E371" s="9">
        <f>INDEX(Places[Majority RB '#],MATCH(Activities[[#This Row],[Jurisdiction]],Places[Jurisdiction],0))</f>
        <v>4</v>
      </c>
      <c r="F371" s="28" t="str">
        <f>VLOOKUP(Activities[[#This Row],[Jurisdiction]],Places[#All],8,FALSE)</f>
        <v>Phase I MS4</v>
      </c>
      <c r="G371" s="48" t="s">
        <v>62</v>
      </c>
      <c r="H371" s="8"/>
      <c r="I371" s="8"/>
      <c r="J371" s="8" t="s">
        <v>131</v>
      </c>
      <c r="K371" s="27" t="s">
        <v>1873</v>
      </c>
      <c r="L371" s="28">
        <f>_xlfn.NUMBERVALUE(LEFT(Activities[[#This Row],[Fiscal Year]], 4))</f>
        <v>2015</v>
      </c>
      <c r="M371" s="28" t="s">
        <v>1862</v>
      </c>
      <c r="N371" s="41">
        <v>30000</v>
      </c>
      <c r="O371" s="93">
        <f>IF(Activities[[#This Row],[Reference Year]]&gt;2018,Activities[[#This Row],[Value]],Activities[[#This Row],[Value]]*(1+VLOOKUP(Activities[[#This Row],[Reference Year]],Inflation[#All],3,FALSE)))</f>
        <v>31852.025316455696</v>
      </c>
    </row>
    <row r="372" spans="1:15" ht="15" customHeight="1" x14ac:dyDescent="0.25">
      <c r="A372" s="9" t="s">
        <v>201</v>
      </c>
      <c r="B372" s="9" t="str">
        <f>INDEX(Places[Type],MATCH(Activities[[#This Row],[Jurisdiction]],Places[Jurisdiction],0))</f>
        <v>City</v>
      </c>
      <c r="C372" s="19" t="str">
        <f>INDEX(Places[County],MATCH(Activities[[#This Row],[Jurisdiction]],Places[Jurisdiction],0))</f>
        <v>Los Angeles</v>
      </c>
      <c r="D372" s="19" t="str">
        <f>INDEX(Places[Majority RB],MATCH(Activities[[#This Row],[Jurisdiction]],Places[Jurisdiction],0))</f>
        <v>Los Angeles</v>
      </c>
      <c r="E372" s="9">
        <f>INDEX(Places[Majority RB '#],MATCH(Activities[[#This Row],[Jurisdiction]],Places[Jurisdiction],0))</f>
        <v>4</v>
      </c>
      <c r="F372" s="28" t="str">
        <f>VLOOKUP(Activities[[#This Row],[Jurisdiction]],Places[#All],8,FALSE)</f>
        <v>Phase I MS4</v>
      </c>
      <c r="G372" s="48" t="s">
        <v>208</v>
      </c>
      <c r="H372" s="8"/>
      <c r="I372" s="8"/>
      <c r="J372" s="8" t="s">
        <v>334</v>
      </c>
      <c r="K372" s="27" t="s">
        <v>1873</v>
      </c>
      <c r="L372" s="28">
        <f>_xlfn.NUMBERVALUE(LEFT(Activities[[#This Row],[Fiscal Year]], 4))</f>
        <v>2015</v>
      </c>
      <c r="M372" s="28" t="s">
        <v>1862</v>
      </c>
      <c r="N372" s="41">
        <v>17507</v>
      </c>
      <c r="O372" s="93">
        <f>IF(Activities[[#This Row],[Reference Year]]&gt;2018,Activities[[#This Row],[Value]],Activities[[#This Row],[Value]]*(1+VLOOKUP(Activities[[#This Row],[Reference Year]],Inflation[#All],3,FALSE)))</f>
        <v>18587.780240506327</v>
      </c>
    </row>
    <row r="373" spans="1:15" ht="15" customHeight="1" x14ac:dyDescent="0.25">
      <c r="A373" s="9" t="s">
        <v>201</v>
      </c>
      <c r="B373" s="9" t="str">
        <f>INDEX(Places[Type],MATCH(Activities[[#This Row],[Jurisdiction]],Places[Jurisdiction],0))</f>
        <v>City</v>
      </c>
      <c r="C373" s="19" t="str">
        <f>INDEX(Places[County],MATCH(Activities[[#This Row],[Jurisdiction]],Places[Jurisdiction],0))</f>
        <v>Los Angeles</v>
      </c>
      <c r="D373" s="19" t="str">
        <f>INDEX(Places[Majority RB],MATCH(Activities[[#This Row],[Jurisdiction]],Places[Jurisdiction],0))</f>
        <v>Los Angeles</v>
      </c>
      <c r="E373" s="9">
        <f>INDEX(Places[Majority RB '#],MATCH(Activities[[#This Row],[Jurisdiction]],Places[Jurisdiction],0))</f>
        <v>4</v>
      </c>
      <c r="F373" s="28" t="str">
        <f>VLOOKUP(Activities[[#This Row],[Jurisdiction]],Places[#All],8,FALSE)</f>
        <v>Phase I MS4</v>
      </c>
      <c r="G373" s="48" t="s">
        <v>61</v>
      </c>
      <c r="H373" s="8"/>
      <c r="I373" s="8"/>
      <c r="J373" s="8" t="s">
        <v>1897</v>
      </c>
      <c r="K373" s="27" t="s">
        <v>1873</v>
      </c>
      <c r="L373" s="28">
        <f>_xlfn.NUMBERVALUE(LEFT(Activities[[#This Row],[Fiscal Year]], 4))</f>
        <v>2015</v>
      </c>
      <c r="M373" s="28" t="s">
        <v>1862</v>
      </c>
      <c r="N373" s="41">
        <v>200164</v>
      </c>
      <c r="O373" s="93">
        <f>IF(Activities[[#This Row],[Reference Year]]&gt;2018,Activities[[#This Row],[Value]],Activities[[#This Row],[Value]]*(1+VLOOKUP(Activities[[#This Row],[Reference Year]],Inflation[#All],3,FALSE)))</f>
        <v>212520.95984810125</v>
      </c>
    </row>
    <row r="374" spans="1:15" ht="15" customHeight="1" x14ac:dyDescent="0.25">
      <c r="A374" s="9" t="s">
        <v>201</v>
      </c>
      <c r="B374" s="9" t="str">
        <f>INDEX(Places[Type],MATCH(Activities[[#This Row],[Jurisdiction]],Places[Jurisdiction],0))</f>
        <v>City</v>
      </c>
      <c r="C374" s="19" t="str">
        <f>INDEX(Places[County],MATCH(Activities[[#This Row],[Jurisdiction]],Places[Jurisdiction],0))</f>
        <v>Los Angeles</v>
      </c>
      <c r="D374" s="19" t="str">
        <f>INDEX(Places[Majority RB],MATCH(Activities[[#This Row],[Jurisdiction]],Places[Jurisdiction],0))</f>
        <v>Los Angeles</v>
      </c>
      <c r="E374" s="9">
        <f>INDEX(Places[Majority RB '#],MATCH(Activities[[#This Row],[Jurisdiction]],Places[Jurisdiction],0))</f>
        <v>4</v>
      </c>
      <c r="F374" s="28" t="str">
        <f>VLOOKUP(Activities[[#This Row],[Jurisdiction]],Places[#All],8,FALSE)</f>
        <v>Phase I MS4</v>
      </c>
      <c r="G374" s="48" t="s">
        <v>60</v>
      </c>
      <c r="H374" s="8"/>
      <c r="I374" s="8"/>
      <c r="J374" s="8" t="s">
        <v>1898</v>
      </c>
      <c r="K374" s="27" t="s">
        <v>1873</v>
      </c>
      <c r="L374" s="28">
        <f>_xlfn.NUMBERVALUE(LEFT(Activities[[#This Row],[Fiscal Year]], 4))</f>
        <v>2015</v>
      </c>
      <c r="M374" s="28" t="s">
        <v>1862</v>
      </c>
      <c r="N374" s="41">
        <v>11588</v>
      </c>
      <c r="O374" s="93">
        <f>IF(Activities[[#This Row],[Reference Year]]&gt;2018,Activities[[#This Row],[Value]],Activities[[#This Row],[Value]]*(1+VLOOKUP(Activities[[#This Row],[Reference Year]],Inflation[#All],3,FALSE)))</f>
        <v>12303.37564556962</v>
      </c>
    </row>
    <row r="375" spans="1:15" ht="15" customHeight="1" x14ac:dyDescent="0.25">
      <c r="A375" s="9" t="s">
        <v>201</v>
      </c>
      <c r="B375" s="9" t="str">
        <f>INDEX(Places[Type],MATCH(Activities[[#This Row],[Jurisdiction]],Places[Jurisdiction],0))</f>
        <v>City</v>
      </c>
      <c r="C375" s="19" t="str">
        <f>INDEX(Places[County],MATCH(Activities[[#This Row],[Jurisdiction]],Places[Jurisdiction],0))</f>
        <v>Los Angeles</v>
      </c>
      <c r="D375" s="19" t="str">
        <f>INDEX(Places[Majority RB],MATCH(Activities[[#This Row],[Jurisdiction]],Places[Jurisdiction],0))</f>
        <v>Los Angeles</v>
      </c>
      <c r="E375" s="9">
        <f>INDEX(Places[Majority RB '#],MATCH(Activities[[#This Row],[Jurisdiction]],Places[Jurisdiction],0))</f>
        <v>4</v>
      </c>
      <c r="F375" s="28" t="str">
        <f>VLOOKUP(Activities[[#This Row],[Jurisdiction]],Places[#All],8,FALSE)</f>
        <v>Phase I MS4</v>
      </c>
      <c r="G375" s="48" t="s">
        <v>59</v>
      </c>
      <c r="H375" s="8"/>
      <c r="I375" s="8"/>
      <c r="J375" s="8" t="s">
        <v>1898</v>
      </c>
      <c r="K375" s="27" t="s">
        <v>1873</v>
      </c>
      <c r="L375" s="28">
        <f>_xlfn.NUMBERVALUE(LEFT(Activities[[#This Row],[Fiscal Year]], 4))</f>
        <v>2015</v>
      </c>
      <c r="M375" s="28" t="s">
        <v>1862</v>
      </c>
      <c r="N375" s="41">
        <v>50701</v>
      </c>
      <c r="O375" s="93">
        <f>IF(Activities[[#This Row],[Reference Year]]&gt;2018,Activities[[#This Row],[Value]],Activities[[#This Row],[Value]]*(1+VLOOKUP(Activities[[#This Row],[Reference Year]],Inflation[#All],3,FALSE)))</f>
        <v>53830.984518987338</v>
      </c>
    </row>
    <row r="376" spans="1:15" ht="15" customHeight="1" x14ac:dyDescent="0.25">
      <c r="A376" s="9" t="s">
        <v>201</v>
      </c>
      <c r="B376" s="9" t="str">
        <f>INDEX(Places[Type],MATCH(Activities[[#This Row],[Jurisdiction]],Places[Jurisdiction],0))</f>
        <v>City</v>
      </c>
      <c r="C376" s="19" t="str">
        <f>INDEX(Places[County],MATCH(Activities[[#This Row],[Jurisdiction]],Places[Jurisdiction],0))</f>
        <v>Los Angeles</v>
      </c>
      <c r="D376" s="19" t="str">
        <f>INDEX(Places[Majority RB],MATCH(Activities[[#This Row],[Jurisdiction]],Places[Jurisdiction],0))</f>
        <v>Los Angeles</v>
      </c>
      <c r="E376" s="9">
        <f>INDEX(Places[Majority RB '#],MATCH(Activities[[#This Row],[Jurisdiction]],Places[Jurisdiction],0))</f>
        <v>4</v>
      </c>
      <c r="F376" s="28" t="str">
        <f>VLOOKUP(Activities[[#This Row],[Jurisdiction]],Places[#All],8,FALSE)</f>
        <v>Phase I MS4</v>
      </c>
      <c r="G376" s="48" t="s">
        <v>58</v>
      </c>
      <c r="H376" s="8"/>
      <c r="I376" s="8"/>
      <c r="J376" s="8" t="s">
        <v>1456</v>
      </c>
      <c r="K376" s="27" t="s">
        <v>1873</v>
      </c>
      <c r="L376" s="28">
        <f>_xlfn.NUMBERVALUE(LEFT(Activities[[#This Row],[Fiscal Year]], 4))</f>
        <v>2015</v>
      </c>
      <c r="M376" s="28" t="s">
        <v>1862</v>
      </c>
      <c r="N376" s="41">
        <v>22986</v>
      </c>
      <c r="O376" s="93">
        <f>IF(Activities[[#This Row],[Reference Year]]&gt;2018,Activities[[#This Row],[Value]],Activities[[#This Row],[Value]]*(1+VLOOKUP(Activities[[#This Row],[Reference Year]],Inflation[#All],3,FALSE)))</f>
        <v>24405.021797468355</v>
      </c>
    </row>
    <row r="377" spans="1:15" ht="15" customHeight="1" x14ac:dyDescent="0.25">
      <c r="A377" s="9" t="s">
        <v>201</v>
      </c>
      <c r="B377" s="9" t="str">
        <f>INDEX(Places[Type],MATCH(Activities[[#This Row],[Jurisdiction]],Places[Jurisdiction],0))</f>
        <v>City</v>
      </c>
      <c r="C377" s="19" t="str">
        <f>INDEX(Places[County],MATCH(Activities[[#This Row],[Jurisdiction]],Places[Jurisdiction],0))</f>
        <v>Los Angeles</v>
      </c>
      <c r="D377" s="19" t="str">
        <f>INDEX(Places[Majority RB],MATCH(Activities[[#This Row],[Jurisdiction]],Places[Jurisdiction],0))</f>
        <v>Los Angeles</v>
      </c>
      <c r="E377" s="9">
        <f>INDEX(Places[Majority RB '#],MATCH(Activities[[#This Row],[Jurisdiction]],Places[Jurisdiction],0))</f>
        <v>4</v>
      </c>
      <c r="F377" s="28" t="str">
        <f>VLOOKUP(Activities[[#This Row],[Jurisdiction]],Places[#All],8,FALSE)</f>
        <v>Phase I MS4</v>
      </c>
      <c r="G377" s="48" t="s">
        <v>32</v>
      </c>
      <c r="H377" s="8"/>
      <c r="I377" s="8"/>
      <c r="J377" s="8" t="s">
        <v>1894</v>
      </c>
      <c r="K377" s="27" t="s">
        <v>1873</v>
      </c>
      <c r="L377" s="28">
        <f>_xlfn.NUMBERVALUE(LEFT(Activities[[#This Row],[Fiscal Year]], 4))</f>
        <v>2015</v>
      </c>
      <c r="M377" s="28" t="s">
        <v>1862</v>
      </c>
      <c r="N377" s="41">
        <v>146623</v>
      </c>
      <c r="O377" s="93">
        <f>IF(Activities[[#This Row],[Reference Year]]&gt;2018,Activities[[#This Row],[Value]],Activities[[#This Row],[Value]]*(1+VLOOKUP(Activities[[#This Row],[Reference Year]],Inflation[#All],3,FALSE)))</f>
        <v>155674.65026582277</v>
      </c>
    </row>
    <row r="378" spans="1:15" ht="15" customHeight="1" x14ac:dyDescent="0.25">
      <c r="A378" s="9" t="s">
        <v>201</v>
      </c>
      <c r="B378" s="9" t="str">
        <f>INDEX(Places[Type],MATCH(Activities[[#This Row],[Jurisdiction]],Places[Jurisdiction],0))</f>
        <v>City</v>
      </c>
      <c r="C378" s="19" t="str">
        <f>INDEX(Places[County],MATCH(Activities[[#This Row],[Jurisdiction]],Places[Jurisdiction],0))</f>
        <v>Los Angeles</v>
      </c>
      <c r="D378" s="19" t="str">
        <f>INDEX(Places[Majority RB],MATCH(Activities[[#This Row],[Jurisdiction]],Places[Jurisdiction],0))</f>
        <v>Los Angeles</v>
      </c>
      <c r="E378" s="9">
        <f>INDEX(Places[Majority RB '#],MATCH(Activities[[#This Row],[Jurisdiction]],Places[Jurisdiction],0))</f>
        <v>4</v>
      </c>
      <c r="F378" s="28" t="str">
        <f>VLOOKUP(Activities[[#This Row],[Jurisdiction]],Places[#All],8,FALSE)</f>
        <v>Phase I MS4</v>
      </c>
      <c r="G378" s="48" t="s">
        <v>67</v>
      </c>
      <c r="H378" s="8" t="s">
        <v>946</v>
      </c>
      <c r="I378" s="8" t="s">
        <v>429</v>
      </c>
      <c r="J378" s="8" t="s">
        <v>1896</v>
      </c>
      <c r="K378" s="27" t="s">
        <v>1873</v>
      </c>
      <c r="L378" s="28">
        <f>_xlfn.NUMBERVALUE(LEFT(Activities[[#This Row],[Fiscal Year]], 4))</f>
        <v>2015</v>
      </c>
      <c r="M378" s="28" t="s">
        <v>1862</v>
      </c>
      <c r="N378" s="41">
        <v>42587</v>
      </c>
      <c r="O378" s="93">
        <f>IF(Activities[[#This Row],[Reference Year]]&gt;2018,Activities[[#This Row],[Value]],Activities[[#This Row],[Value]]*(1+VLOOKUP(Activities[[#This Row],[Reference Year]],Inflation[#All],3,FALSE)))</f>
        <v>45216.073405063289</v>
      </c>
    </row>
    <row r="379" spans="1:15" ht="15" customHeight="1" x14ac:dyDescent="0.25">
      <c r="A379" s="9" t="s">
        <v>201</v>
      </c>
      <c r="B379" s="9" t="str">
        <f>INDEX(Places[Type],MATCH(Activities[[#This Row],[Jurisdiction]],Places[Jurisdiction],0))</f>
        <v>City</v>
      </c>
      <c r="C379" s="19" t="str">
        <f>INDEX(Places[County],MATCH(Activities[[#This Row],[Jurisdiction]],Places[Jurisdiction],0))</f>
        <v>Los Angeles</v>
      </c>
      <c r="D379" s="19" t="str">
        <f>INDEX(Places[Majority RB],MATCH(Activities[[#This Row],[Jurisdiction]],Places[Jurisdiction],0))</f>
        <v>Los Angeles</v>
      </c>
      <c r="E379" s="9">
        <f>INDEX(Places[Majority RB '#],MATCH(Activities[[#This Row],[Jurisdiction]],Places[Jurisdiction],0))</f>
        <v>4</v>
      </c>
      <c r="F379" s="28" t="str">
        <f>VLOOKUP(Activities[[#This Row],[Jurisdiction]],Places[#All],8,FALSE)</f>
        <v>Phase I MS4</v>
      </c>
      <c r="G379" s="48" t="s">
        <v>211</v>
      </c>
      <c r="H379" s="8"/>
      <c r="I379" s="8"/>
      <c r="J379" s="8" t="s">
        <v>1896</v>
      </c>
      <c r="K379" s="27" t="s">
        <v>1873</v>
      </c>
      <c r="L379" s="28">
        <f>_xlfn.NUMBERVALUE(LEFT(Activities[[#This Row],[Fiscal Year]], 4))</f>
        <v>2015</v>
      </c>
      <c r="M379" s="28" t="s">
        <v>1862</v>
      </c>
      <c r="N379" s="41">
        <v>151309</v>
      </c>
      <c r="O379" s="93">
        <f>IF(Activities[[#This Row],[Reference Year]]&gt;2018,Activities[[#This Row],[Value]],Activities[[#This Row],[Value]]*(1+VLOOKUP(Activities[[#This Row],[Reference Year]],Inflation[#All],3,FALSE)))</f>
        <v>160649.93662025317</v>
      </c>
    </row>
    <row r="380" spans="1:15" ht="15" customHeight="1" x14ac:dyDescent="0.25">
      <c r="A380" s="9" t="s">
        <v>201</v>
      </c>
      <c r="B380" s="9" t="str">
        <f>INDEX(Places[Type],MATCH(Activities[[#This Row],[Jurisdiction]],Places[Jurisdiction],0))</f>
        <v>City</v>
      </c>
      <c r="C380" s="19" t="str">
        <f>INDEX(Places[County],MATCH(Activities[[#This Row],[Jurisdiction]],Places[Jurisdiction],0))</f>
        <v>Los Angeles</v>
      </c>
      <c r="D380" s="19" t="str">
        <f>INDEX(Places[Majority RB],MATCH(Activities[[#This Row],[Jurisdiction]],Places[Jurisdiction],0))</f>
        <v>Los Angeles</v>
      </c>
      <c r="E380" s="9">
        <f>INDEX(Places[Majority RB '#],MATCH(Activities[[#This Row],[Jurisdiction]],Places[Jurisdiction],0))</f>
        <v>4</v>
      </c>
      <c r="F380" s="28" t="str">
        <f>VLOOKUP(Activities[[#This Row],[Jurisdiction]],Places[#All],8,FALSE)</f>
        <v>Phase I MS4</v>
      </c>
      <c r="G380" s="48" t="s">
        <v>33</v>
      </c>
      <c r="H380" s="8"/>
      <c r="I380" s="8"/>
      <c r="J380" s="8" t="s">
        <v>47</v>
      </c>
      <c r="K380" s="27" t="s">
        <v>1873</v>
      </c>
      <c r="L380" s="28">
        <f>_xlfn.NUMBERVALUE(LEFT(Activities[[#This Row],[Fiscal Year]], 4))</f>
        <v>2015</v>
      </c>
      <c r="M380" s="28" t="s">
        <v>1862</v>
      </c>
      <c r="N380" s="41">
        <v>67666</v>
      </c>
      <c r="O380" s="93">
        <f>IF(Activities[[#This Row],[Reference Year]]&gt;2018,Activities[[#This Row],[Value]],Activities[[#This Row],[Value]]*(1+VLOOKUP(Activities[[#This Row],[Reference Year]],Inflation[#All],3,FALSE)))</f>
        <v>71843.304835443036</v>
      </c>
    </row>
    <row r="381" spans="1:15" ht="15" customHeight="1" x14ac:dyDescent="0.25">
      <c r="A381" s="9" t="s">
        <v>430</v>
      </c>
      <c r="B381" s="9" t="str">
        <f>INDEX(Places[Type],MATCH(Activities[[#This Row],[Jurisdiction]],Places[Jurisdiction],0))</f>
        <v>City</v>
      </c>
      <c r="C381" s="19" t="str">
        <f>INDEX(Places[County],MATCH(Activities[[#This Row],[Jurisdiction]],Places[Jurisdiction],0))</f>
        <v>Los Angeles</v>
      </c>
      <c r="D381" s="19" t="str">
        <f>INDEX(Places[Majority RB],MATCH(Activities[[#This Row],[Jurisdiction]],Places[Jurisdiction],0))</f>
        <v>Los Angeles</v>
      </c>
      <c r="E381" s="9">
        <f>INDEX(Places[Majority RB '#],MATCH(Activities[[#This Row],[Jurisdiction]],Places[Jurisdiction],0))</f>
        <v>4</v>
      </c>
      <c r="F381" s="28" t="str">
        <f>VLOOKUP(Activities[[#This Row],[Jurisdiction]],Places[#All],8,FALSE)</f>
        <v>Phase I MS4</v>
      </c>
      <c r="G381" s="48" t="s">
        <v>851</v>
      </c>
      <c r="H381" s="8"/>
      <c r="I381" s="8"/>
      <c r="J381" s="8" t="s">
        <v>76</v>
      </c>
      <c r="K381" s="27" t="s">
        <v>1873</v>
      </c>
      <c r="L381" s="28">
        <f>_xlfn.NUMBERVALUE(LEFT(Activities[[#This Row],[Fiscal Year]], 4))</f>
        <v>2015</v>
      </c>
      <c r="M381" s="28" t="s">
        <v>1862</v>
      </c>
      <c r="N381" s="41">
        <v>16000</v>
      </c>
      <c r="O381" s="93">
        <f>IF(Activities[[#This Row],[Reference Year]]&gt;2018,Activities[[#This Row],[Value]],Activities[[#This Row],[Value]]*(1+VLOOKUP(Activities[[#This Row],[Reference Year]],Inflation[#All],3,FALSE)))</f>
        <v>16987.746835443038</v>
      </c>
    </row>
    <row r="382" spans="1:15" ht="15" customHeight="1" x14ac:dyDescent="0.25">
      <c r="A382" s="9" t="s">
        <v>430</v>
      </c>
      <c r="B382" s="9" t="str">
        <f>INDEX(Places[Type],MATCH(Activities[[#This Row],[Jurisdiction]],Places[Jurisdiction],0))</f>
        <v>City</v>
      </c>
      <c r="C382" s="19" t="str">
        <f>INDEX(Places[County],MATCH(Activities[[#This Row],[Jurisdiction]],Places[Jurisdiction],0))</f>
        <v>Los Angeles</v>
      </c>
      <c r="D382" s="19" t="str">
        <f>INDEX(Places[Majority RB],MATCH(Activities[[#This Row],[Jurisdiction]],Places[Jurisdiction],0))</f>
        <v>Los Angeles</v>
      </c>
      <c r="E382" s="9">
        <f>INDEX(Places[Majority RB '#],MATCH(Activities[[#This Row],[Jurisdiction]],Places[Jurisdiction],0))</f>
        <v>4</v>
      </c>
      <c r="F382" s="28" t="str">
        <f>VLOOKUP(Activities[[#This Row],[Jurisdiction]],Places[#All],8,FALSE)</f>
        <v>Phase I MS4</v>
      </c>
      <c r="G382" s="48" t="s">
        <v>852</v>
      </c>
      <c r="H382" s="8"/>
      <c r="I382" s="8"/>
      <c r="J382" s="8" t="s">
        <v>76</v>
      </c>
      <c r="K382" s="27" t="s">
        <v>1873</v>
      </c>
      <c r="L382" s="28">
        <f>_xlfn.NUMBERVALUE(LEFT(Activities[[#This Row],[Fiscal Year]], 4))</f>
        <v>2015</v>
      </c>
      <c r="M382" s="28" t="s">
        <v>1862</v>
      </c>
      <c r="N382" s="41">
        <v>75000</v>
      </c>
      <c r="O382" s="93">
        <f>IF(Activities[[#This Row],[Reference Year]]&gt;2018,Activities[[#This Row],[Value]],Activities[[#This Row],[Value]]*(1+VLOOKUP(Activities[[#This Row],[Reference Year]],Inflation[#All],3,FALSE)))</f>
        <v>79630.063291139231</v>
      </c>
    </row>
    <row r="383" spans="1:15" ht="15" customHeight="1" x14ac:dyDescent="0.25">
      <c r="A383" s="9" t="s">
        <v>430</v>
      </c>
      <c r="B383" s="9" t="str">
        <f>INDEX(Places[Type],MATCH(Activities[[#This Row],[Jurisdiction]],Places[Jurisdiction],0))</f>
        <v>City</v>
      </c>
      <c r="C383" s="19" t="str">
        <f>INDEX(Places[County],MATCH(Activities[[#This Row],[Jurisdiction]],Places[Jurisdiction],0))</f>
        <v>Los Angeles</v>
      </c>
      <c r="D383" s="19" t="str">
        <f>INDEX(Places[Majority RB],MATCH(Activities[[#This Row],[Jurisdiction]],Places[Jurisdiction],0))</f>
        <v>Los Angeles</v>
      </c>
      <c r="E383" s="9">
        <f>INDEX(Places[Majority RB '#],MATCH(Activities[[#This Row],[Jurisdiction]],Places[Jurisdiction],0))</f>
        <v>4</v>
      </c>
      <c r="F383" s="28" t="str">
        <f>VLOOKUP(Activities[[#This Row],[Jurisdiction]],Places[#All],8,FALSE)</f>
        <v>Phase I MS4</v>
      </c>
      <c r="G383" s="48" t="s">
        <v>849</v>
      </c>
      <c r="H383" s="8"/>
      <c r="I383" s="8"/>
      <c r="J383" s="8" t="s">
        <v>131</v>
      </c>
      <c r="K383" s="27" t="s">
        <v>1873</v>
      </c>
      <c r="L383" s="28">
        <f>_xlfn.NUMBERVALUE(LEFT(Activities[[#This Row],[Fiscal Year]], 4))</f>
        <v>2015</v>
      </c>
      <c r="M383" s="28" t="s">
        <v>1862</v>
      </c>
      <c r="N383" s="41">
        <v>50000</v>
      </c>
      <c r="O383" s="93">
        <f>IF(Activities[[#This Row],[Reference Year]]&gt;2018,Activities[[#This Row],[Value]],Activities[[#This Row],[Value]]*(1+VLOOKUP(Activities[[#This Row],[Reference Year]],Inflation[#All],3,FALSE)))</f>
        <v>53086.708860759492</v>
      </c>
    </row>
    <row r="384" spans="1:15" ht="15" customHeight="1" x14ac:dyDescent="0.25">
      <c r="A384" s="9" t="s">
        <v>430</v>
      </c>
      <c r="B384" s="9" t="str">
        <f>INDEX(Places[Type],MATCH(Activities[[#This Row],[Jurisdiction]],Places[Jurisdiction],0))</f>
        <v>City</v>
      </c>
      <c r="C384" s="19" t="str">
        <f>INDEX(Places[County],MATCH(Activities[[#This Row],[Jurisdiction]],Places[Jurisdiction],0))</f>
        <v>Los Angeles</v>
      </c>
      <c r="D384" s="19" t="str">
        <f>INDEX(Places[Majority RB],MATCH(Activities[[#This Row],[Jurisdiction]],Places[Jurisdiction],0))</f>
        <v>Los Angeles</v>
      </c>
      <c r="E384" s="9">
        <f>INDEX(Places[Majority RB '#],MATCH(Activities[[#This Row],[Jurisdiction]],Places[Jurisdiction],0))</f>
        <v>4</v>
      </c>
      <c r="F384" s="28" t="str">
        <f>VLOOKUP(Activities[[#This Row],[Jurisdiction]],Places[#All],8,FALSE)</f>
        <v>Phase I MS4</v>
      </c>
      <c r="G384" s="48" t="s">
        <v>921</v>
      </c>
      <c r="H384" s="8"/>
      <c r="I384" s="8"/>
      <c r="J384" s="8" t="s">
        <v>334</v>
      </c>
      <c r="K384" s="27" t="s">
        <v>1873</v>
      </c>
      <c r="L384" s="28">
        <f>_xlfn.NUMBERVALUE(LEFT(Activities[[#This Row],[Fiscal Year]], 4))</f>
        <v>2015</v>
      </c>
      <c r="M384" s="28" t="s">
        <v>1862</v>
      </c>
      <c r="N384" s="41">
        <v>15483</v>
      </c>
      <c r="O384" s="93">
        <f>IF(Activities[[#This Row],[Reference Year]]&gt;2018,Activities[[#This Row],[Value]],Activities[[#This Row],[Value]]*(1+VLOOKUP(Activities[[#This Row],[Reference Year]],Inflation[#All],3,FALSE)))</f>
        <v>16438.830265822784</v>
      </c>
    </row>
    <row r="385" spans="1:15" ht="15" customHeight="1" x14ac:dyDescent="0.25">
      <c r="A385" s="9" t="s">
        <v>430</v>
      </c>
      <c r="B385" s="9" t="str">
        <f>INDEX(Places[Type],MATCH(Activities[[#This Row],[Jurisdiction]],Places[Jurisdiction],0))</f>
        <v>City</v>
      </c>
      <c r="C385" s="19" t="str">
        <f>INDEX(Places[County],MATCH(Activities[[#This Row],[Jurisdiction]],Places[Jurisdiction],0))</f>
        <v>Los Angeles</v>
      </c>
      <c r="D385" s="19" t="str">
        <f>INDEX(Places[Majority RB],MATCH(Activities[[#This Row],[Jurisdiction]],Places[Jurisdiction],0))</f>
        <v>Los Angeles</v>
      </c>
      <c r="E385" s="9">
        <f>INDEX(Places[Majority RB '#],MATCH(Activities[[#This Row],[Jurisdiction]],Places[Jurisdiction],0))</f>
        <v>4</v>
      </c>
      <c r="F385" s="28" t="str">
        <f>VLOOKUP(Activities[[#This Row],[Jurisdiction]],Places[#All],8,FALSE)</f>
        <v>Phase I MS4</v>
      </c>
      <c r="G385" s="48" t="s">
        <v>857</v>
      </c>
      <c r="H385" s="8"/>
      <c r="I385" s="8"/>
      <c r="J385" s="8" t="s">
        <v>1897</v>
      </c>
      <c r="K385" s="27" t="s">
        <v>1873</v>
      </c>
      <c r="L385" s="28">
        <f>_xlfn.NUMBERVALUE(LEFT(Activities[[#This Row],[Fiscal Year]], 4))</f>
        <v>2015</v>
      </c>
      <c r="M385" s="28" t="s">
        <v>1862</v>
      </c>
      <c r="N385" s="41">
        <v>52972</v>
      </c>
      <c r="O385" s="93">
        <f>IF(Activities[[#This Row],[Reference Year]]&gt;2018,Activities[[#This Row],[Value]],Activities[[#This Row],[Value]]*(1+VLOOKUP(Activities[[#This Row],[Reference Year]],Inflation[#All],3,FALSE)))</f>
        <v>56242.182835443033</v>
      </c>
    </row>
    <row r="386" spans="1:15" ht="15" customHeight="1" x14ac:dyDescent="0.25">
      <c r="A386" s="9" t="s">
        <v>430</v>
      </c>
      <c r="B386" s="9" t="str">
        <f>INDEX(Places[Type],MATCH(Activities[[#This Row],[Jurisdiction]],Places[Jurisdiction],0))</f>
        <v>City</v>
      </c>
      <c r="C386" s="19" t="str">
        <f>INDEX(Places[County],MATCH(Activities[[#This Row],[Jurisdiction]],Places[Jurisdiction],0))</f>
        <v>Los Angeles</v>
      </c>
      <c r="D386" s="19" t="str">
        <f>INDEX(Places[Majority RB],MATCH(Activities[[#This Row],[Jurisdiction]],Places[Jurisdiction],0))</f>
        <v>Los Angeles</v>
      </c>
      <c r="E386" s="9">
        <f>INDEX(Places[Majority RB '#],MATCH(Activities[[#This Row],[Jurisdiction]],Places[Jurisdiction],0))</f>
        <v>4</v>
      </c>
      <c r="F386" s="28" t="str">
        <f>VLOOKUP(Activities[[#This Row],[Jurisdiction]],Places[#All],8,FALSE)</f>
        <v>Phase I MS4</v>
      </c>
      <c r="G386" s="48" t="s">
        <v>846</v>
      </c>
      <c r="H386" s="8"/>
      <c r="I386" s="8"/>
      <c r="J386" s="8" t="s">
        <v>1898</v>
      </c>
      <c r="K386" s="27" t="s">
        <v>1873</v>
      </c>
      <c r="L386" s="28">
        <f>_xlfn.NUMBERVALUE(LEFT(Activities[[#This Row],[Fiscal Year]], 4))</f>
        <v>2015</v>
      </c>
      <c r="M386" s="28" t="s">
        <v>1862</v>
      </c>
      <c r="N386" s="41">
        <v>10000</v>
      </c>
      <c r="O386" s="93">
        <f>IF(Activities[[#This Row],[Reference Year]]&gt;2018,Activities[[#This Row],[Value]],Activities[[#This Row],[Value]]*(1+VLOOKUP(Activities[[#This Row],[Reference Year]],Inflation[#All],3,FALSE)))</f>
        <v>10617.341772151898</v>
      </c>
    </row>
    <row r="387" spans="1:15" ht="15" customHeight="1" x14ac:dyDescent="0.25">
      <c r="A387" s="9" t="s">
        <v>430</v>
      </c>
      <c r="B387" s="9" t="str">
        <f>INDEX(Places[Type],MATCH(Activities[[#This Row],[Jurisdiction]],Places[Jurisdiction],0))</f>
        <v>City</v>
      </c>
      <c r="C387" s="19" t="str">
        <f>INDEX(Places[County],MATCH(Activities[[#This Row],[Jurisdiction]],Places[Jurisdiction],0))</f>
        <v>Los Angeles</v>
      </c>
      <c r="D387" s="19" t="str">
        <f>INDEX(Places[Majority RB],MATCH(Activities[[#This Row],[Jurisdiction]],Places[Jurisdiction],0))</f>
        <v>Los Angeles</v>
      </c>
      <c r="E387" s="9">
        <f>INDEX(Places[Majority RB '#],MATCH(Activities[[#This Row],[Jurisdiction]],Places[Jurisdiction],0))</f>
        <v>4</v>
      </c>
      <c r="F387" s="28" t="str">
        <f>VLOOKUP(Activities[[#This Row],[Jurisdiction]],Places[#All],8,FALSE)</f>
        <v>Phase I MS4</v>
      </c>
      <c r="G387" s="48" t="s">
        <v>847</v>
      </c>
      <c r="H387" s="8"/>
      <c r="I387" s="8"/>
      <c r="J387" s="8" t="s">
        <v>1898</v>
      </c>
      <c r="K387" s="27" t="s">
        <v>1873</v>
      </c>
      <c r="L387" s="28">
        <f>_xlfn.NUMBERVALUE(LEFT(Activities[[#This Row],[Fiscal Year]], 4))</f>
        <v>2015</v>
      </c>
      <c r="M387" s="28" t="s">
        <v>1862</v>
      </c>
      <c r="N387" s="41">
        <v>10000</v>
      </c>
      <c r="O387" s="93">
        <f>IF(Activities[[#This Row],[Reference Year]]&gt;2018,Activities[[#This Row],[Value]],Activities[[#This Row],[Value]]*(1+VLOOKUP(Activities[[#This Row],[Reference Year]],Inflation[#All],3,FALSE)))</f>
        <v>10617.341772151898</v>
      </c>
    </row>
    <row r="388" spans="1:15" ht="15" customHeight="1" x14ac:dyDescent="0.25">
      <c r="A388" s="9" t="s">
        <v>430</v>
      </c>
      <c r="B388" s="9" t="str">
        <f>INDEX(Places[Type],MATCH(Activities[[#This Row],[Jurisdiction]],Places[Jurisdiction],0))</f>
        <v>City</v>
      </c>
      <c r="C388" s="19" t="str">
        <f>INDEX(Places[County],MATCH(Activities[[#This Row],[Jurisdiction]],Places[Jurisdiction],0))</f>
        <v>Los Angeles</v>
      </c>
      <c r="D388" s="19" t="str">
        <f>INDEX(Places[Majority RB],MATCH(Activities[[#This Row],[Jurisdiction]],Places[Jurisdiction],0))</f>
        <v>Los Angeles</v>
      </c>
      <c r="E388" s="9">
        <f>INDEX(Places[Majority RB '#],MATCH(Activities[[#This Row],[Jurisdiction]],Places[Jurisdiction],0))</f>
        <v>4</v>
      </c>
      <c r="F388" s="28" t="str">
        <f>VLOOKUP(Activities[[#This Row],[Jurisdiction]],Places[#All],8,FALSE)</f>
        <v>Phase I MS4</v>
      </c>
      <c r="G388" s="48" t="s">
        <v>844</v>
      </c>
      <c r="H388" s="8"/>
      <c r="I388" s="8"/>
      <c r="J388" s="8" t="s">
        <v>1456</v>
      </c>
      <c r="K388" s="27" t="s">
        <v>1873</v>
      </c>
      <c r="L388" s="28">
        <f>_xlfn.NUMBERVALUE(LEFT(Activities[[#This Row],[Fiscal Year]], 4))</f>
        <v>2015</v>
      </c>
      <c r="M388" s="28" t="s">
        <v>1862</v>
      </c>
      <c r="N388" s="41">
        <v>4000</v>
      </c>
      <c r="O388" s="93">
        <f>IF(Activities[[#This Row],[Reference Year]]&gt;2018,Activities[[#This Row],[Value]],Activities[[#This Row],[Value]]*(1+VLOOKUP(Activities[[#This Row],[Reference Year]],Inflation[#All],3,FALSE)))</f>
        <v>4246.9367088607596</v>
      </c>
    </row>
    <row r="389" spans="1:15" ht="15" customHeight="1" x14ac:dyDescent="0.25">
      <c r="A389" s="9" t="s">
        <v>430</v>
      </c>
      <c r="B389" s="9" t="str">
        <f>INDEX(Places[Type],MATCH(Activities[[#This Row],[Jurisdiction]],Places[Jurisdiction],0))</f>
        <v>City</v>
      </c>
      <c r="C389" s="19" t="str">
        <f>INDEX(Places[County],MATCH(Activities[[#This Row],[Jurisdiction]],Places[Jurisdiction],0))</f>
        <v>Los Angeles</v>
      </c>
      <c r="D389" s="19" t="str">
        <f>INDEX(Places[Majority RB],MATCH(Activities[[#This Row],[Jurisdiction]],Places[Jurisdiction],0))</f>
        <v>Los Angeles</v>
      </c>
      <c r="E389" s="9">
        <f>INDEX(Places[Majority RB '#],MATCH(Activities[[#This Row],[Jurisdiction]],Places[Jurisdiction],0))</f>
        <v>4</v>
      </c>
      <c r="F389" s="28" t="str">
        <f>VLOOKUP(Activities[[#This Row],[Jurisdiction]],Places[#All],8,FALSE)</f>
        <v>Phase I MS4</v>
      </c>
      <c r="G389" s="56" t="s">
        <v>829</v>
      </c>
      <c r="H389" s="8"/>
      <c r="I389" s="8"/>
      <c r="J389" s="8" t="s">
        <v>1894</v>
      </c>
      <c r="K389" s="27" t="s">
        <v>1873</v>
      </c>
      <c r="L389" s="28">
        <f>_xlfn.NUMBERVALUE(LEFT(Activities[[#This Row],[Fiscal Year]], 4))</f>
        <v>2015</v>
      </c>
      <c r="M389" s="28" t="s">
        <v>1862</v>
      </c>
      <c r="N389" s="41">
        <v>250000</v>
      </c>
      <c r="O389" s="93">
        <f>IF(Activities[[#This Row],[Reference Year]]&gt;2018,Activities[[#This Row],[Value]],Activities[[#This Row],[Value]]*(1+VLOOKUP(Activities[[#This Row],[Reference Year]],Inflation[#All],3,FALSE)))</f>
        <v>265433.54430379748</v>
      </c>
    </row>
    <row r="390" spans="1:15" ht="15" customHeight="1" x14ac:dyDescent="0.25">
      <c r="A390" s="9" t="s">
        <v>430</v>
      </c>
      <c r="B390" s="9" t="str">
        <f>INDEX(Places[Type],MATCH(Activities[[#This Row],[Jurisdiction]],Places[Jurisdiction],0))</f>
        <v>City</v>
      </c>
      <c r="C390" s="19" t="str">
        <f>INDEX(Places[County],MATCH(Activities[[#This Row],[Jurisdiction]],Places[Jurisdiction],0))</f>
        <v>Los Angeles</v>
      </c>
      <c r="D390" s="19" t="str">
        <f>INDEX(Places[Majority RB],MATCH(Activities[[#This Row],[Jurisdiction]],Places[Jurisdiction],0))</f>
        <v>Los Angeles</v>
      </c>
      <c r="E390" s="9">
        <f>INDEX(Places[Majority RB '#],MATCH(Activities[[#This Row],[Jurisdiction]],Places[Jurisdiction],0))</f>
        <v>4</v>
      </c>
      <c r="F390" s="28" t="str">
        <f>VLOOKUP(Activities[[#This Row],[Jurisdiction]],Places[#All],8,FALSE)</f>
        <v>Phase I MS4</v>
      </c>
      <c r="G390" s="56" t="s">
        <v>855</v>
      </c>
      <c r="H390" s="8" t="s">
        <v>1903</v>
      </c>
      <c r="I390" s="8"/>
      <c r="J390" s="8" t="s">
        <v>1896</v>
      </c>
      <c r="K390" s="27" t="s">
        <v>1873</v>
      </c>
      <c r="L390" s="28">
        <f>_xlfn.NUMBERVALUE(LEFT(Activities[[#This Row],[Fiscal Year]], 4))</f>
        <v>2015</v>
      </c>
      <c r="M390" s="28" t="s">
        <v>1862</v>
      </c>
      <c r="N390" s="41">
        <v>358817</v>
      </c>
      <c r="O390" s="93">
        <f>IF(Activities[[#This Row],[Reference Year]]&gt;2018,Activities[[#This Row],[Value]],Activities[[#This Row],[Value]]*(1+VLOOKUP(Activities[[#This Row],[Reference Year]],Inflation[#All],3,FALSE)))</f>
        <v>380968.27226582274</v>
      </c>
    </row>
    <row r="391" spans="1:15" ht="15" customHeight="1" x14ac:dyDescent="0.25">
      <c r="A391" s="9" t="s">
        <v>430</v>
      </c>
      <c r="B391" s="9" t="str">
        <f>INDEX(Places[Type],MATCH(Activities[[#This Row],[Jurisdiction]],Places[Jurisdiction],0))</f>
        <v>City</v>
      </c>
      <c r="C391" s="19" t="str">
        <f>INDEX(Places[County],MATCH(Activities[[#This Row],[Jurisdiction]],Places[Jurisdiction],0))</f>
        <v>Los Angeles</v>
      </c>
      <c r="D391" s="19" t="str">
        <f>INDEX(Places[Majority RB],MATCH(Activities[[#This Row],[Jurisdiction]],Places[Jurisdiction],0))</f>
        <v>Los Angeles</v>
      </c>
      <c r="E391" s="9">
        <f>INDEX(Places[Majority RB '#],MATCH(Activities[[#This Row],[Jurisdiction]],Places[Jurisdiction],0))</f>
        <v>4</v>
      </c>
      <c r="F391" s="28" t="str">
        <f>VLOOKUP(Activities[[#This Row],[Jurisdiction]],Places[#All],8,FALSE)</f>
        <v>Phase I MS4</v>
      </c>
      <c r="G391" s="56" t="s">
        <v>854</v>
      </c>
      <c r="H391" s="8" t="s">
        <v>1904</v>
      </c>
      <c r="I391" s="8"/>
      <c r="J391" s="8" t="s">
        <v>47</v>
      </c>
      <c r="K391" s="27" t="s">
        <v>1873</v>
      </c>
      <c r="L391" s="28">
        <f>_xlfn.NUMBERVALUE(LEFT(Activities[[#This Row],[Fiscal Year]], 4))</f>
        <v>2015</v>
      </c>
      <c r="M391" s="28" t="s">
        <v>1862</v>
      </c>
      <c r="N391" s="41">
        <v>73339</v>
      </c>
      <c r="O391" s="93">
        <f>IF(Activities[[#This Row],[Reference Year]]&gt;2018,Activities[[#This Row],[Value]],Activities[[#This Row],[Value]]*(1+VLOOKUP(Activities[[#This Row],[Reference Year]],Inflation[#All],3,FALSE)))</f>
        <v>77866.522822784798</v>
      </c>
    </row>
    <row r="392" spans="1:15" ht="15" customHeight="1" x14ac:dyDescent="0.25">
      <c r="A392" s="9" t="s">
        <v>270</v>
      </c>
      <c r="B392" s="9" t="str">
        <f>INDEX(Places[Type],MATCH(Activities[[#This Row],[Jurisdiction]],Places[Jurisdiction],0))</f>
        <v>City</v>
      </c>
      <c r="C392" s="19" t="str">
        <f>INDEX(Places[County],MATCH(Activities[[#This Row],[Jurisdiction]],Places[Jurisdiction],0))</f>
        <v>Orange</v>
      </c>
      <c r="D392" s="19" t="str">
        <f>INDEX(Places[Majority RB],MATCH(Activities[[#This Row],[Jurisdiction]],Places[Jurisdiction],0))</f>
        <v>San Diego</v>
      </c>
      <c r="E392" s="9">
        <f>INDEX(Places[Majority RB '#],MATCH(Activities[[#This Row],[Jurisdiction]],Places[Jurisdiction],0))</f>
        <v>9</v>
      </c>
      <c r="F392" s="28" t="str">
        <f>VLOOKUP(Activities[[#This Row],[Jurisdiction]],Places[#All],8,FALSE)</f>
        <v>Phase I MS4</v>
      </c>
      <c r="G392" s="48" t="s">
        <v>1010</v>
      </c>
      <c r="H392" s="8"/>
      <c r="I392" s="8"/>
      <c r="J392" s="8" t="s">
        <v>76</v>
      </c>
      <c r="K392" s="27" t="s">
        <v>1874</v>
      </c>
      <c r="L392" s="28">
        <f>_xlfn.NUMBERVALUE(LEFT(Activities[[#This Row],[Fiscal Year]], 4))</f>
        <v>2017</v>
      </c>
      <c r="M392" s="28" t="s">
        <v>1862</v>
      </c>
      <c r="N392" s="41">
        <v>90169</v>
      </c>
      <c r="O392" s="93">
        <f>IF(Activities[[#This Row],[Reference Year]]&gt;2018,Activities[[#This Row],[Value]],Activities[[#This Row],[Value]]*(1+VLOOKUP(Activities[[#This Row],[Reference Year]],Inflation[#All],3,FALSE)))</f>
        <v>92571.667233782136</v>
      </c>
    </row>
    <row r="393" spans="1:15" ht="15" customHeight="1" x14ac:dyDescent="0.25">
      <c r="A393" s="9" t="s">
        <v>270</v>
      </c>
      <c r="B393" s="9" t="str">
        <f>INDEX(Places[Type],MATCH(Activities[[#This Row],[Jurisdiction]],Places[Jurisdiction],0))</f>
        <v>City</v>
      </c>
      <c r="C393" s="19" t="str">
        <f>INDEX(Places[County],MATCH(Activities[[#This Row],[Jurisdiction]],Places[Jurisdiction],0))</f>
        <v>Orange</v>
      </c>
      <c r="D393" s="19" t="str">
        <f>INDEX(Places[Majority RB],MATCH(Activities[[#This Row],[Jurisdiction]],Places[Jurisdiction],0))</f>
        <v>San Diego</v>
      </c>
      <c r="E393" s="9">
        <f>INDEX(Places[Majority RB '#],MATCH(Activities[[#This Row],[Jurisdiction]],Places[Jurisdiction],0))</f>
        <v>9</v>
      </c>
      <c r="F393" s="28" t="str">
        <f>VLOOKUP(Activities[[#This Row],[Jurisdiction]],Places[#All],8,FALSE)</f>
        <v>Phase I MS4</v>
      </c>
      <c r="G393" s="48" t="s">
        <v>1036</v>
      </c>
      <c r="H393" s="8"/>
      <c r="I393" s="8"/>
      <c r="J393" s="8" t="s">
        <v>1895</v>
      </c>
      <c r="K393" s="27" t="s">
        <v>1874</v>
      </c>
      <c r="L393" s="28">
        <f>_xlfn.NUMBERVALUE(LEFT(Activities[[#This Row],[Fiscal Year]], 4))</f>
        <v>2017</v>
      </c>
      <c r="M393" s="28" t="s">
        <v>1862</v>
      </c>
      <c r="N393" s="41">
        <v>29448</v>
      </c>
      <c r="O393" s="93">
        <f>IF(Activities[[#This Row],[Reference Year]]&gt;2018,Activities[[#This Row],[Value]],Activities[[#This Row],[Value]]*(1+VLOOKUP(Activities[[#This Row],[Reference Year]],Inflation[#All],3,FALSE)))</f>
        <v>30232.679265605879</v>
      </c>
    </row>
    <row r="394" spans="1:15" ht="15" customHeight="1" x14ac:dyDescent="0.25">
      <c r="A394" s="9" t="s">
        <v>270</v>
      </c>
      <c r="B394" s="9" t="str">
        <f>INDEX(Places[Type],MATCH(Activities[[#This Row],[Jurisdiction]],Places[Jurisdiction],0))</f>
        <v>City</v>
      </c>
      <c r="C394" s="19" t="str">
        <f>INDEX(Places[County],MATCH(Activities[[#This Row],[Jurisdiction]],Places[Jurisdiction],0))</f>
        <v>Orange</v>
      </c>
      <c r="D394" s="19" t="str">
        <f>INDEX(Places[Majority RB],MATCH(Activities[[#This Row],[Jurisdiction]],Places[Jurisdiction],0))</f>
        <v>San Diego</v>
      </c>
      <c r="E394" s="9">
        <f>INDEX(Places[Majority RB '#],MATCH(Activities[[#This Row],[Jurisdiction]],Places[Jurisdiction],0))</f>
        <v>9</v>
      </c>
      <c r="F394" s="28" t="str">
        <f>VLOOKUP(Activities[[#This Row],[Jurisdiction]],Places[#All],8,FALSE)</f>
        <v>Phase I MS4</v>
      </c>
      <c r="G394" s="48" t="s">
        <v>1032</v>
      </c>
      <c r="H394" s="62" t="s">
        <v>509</v>
      </c>
      <c r="I394" s="62"/>
      <c r="J394" s="8" t="s">
        <v>334</v>
      </c>
      <c r="K394" s="27" t="s">
        <v>1874</v>
      </c>
      <c r="L394" s="28">
        <f>_xlfn.NUMBERVALUE(LEFT(Activities[[#This Row],[Fiscal Year]], 4))</f>
        <v>2017</v>
      </c>
      <c r="M394" s="28" t="s">
        <v>1862</v>
      </c>
      <c r="N394" s="41">
        <v>11460</v>
      </c>
      <c r="O394" s="93">
        <f>IF(Activities[[#This Row],[Reference Year]]&gt;2018,Activities[[#This Row],[Value]],Activities[[#This Row],[Value]]*(1+VLOOKUP(Activities[[#This Row],[Reference Year]],Inflation[#All],3,FALSE)))</f>
        <v>11765.366217870258</v>
      </c>
    </row>
    <row r="395" spans="1:15" ht="15" customHeight="1" x14ac:dyDescent="0.25">
      <c r="A395" s="9" t="s">
        <v>270</v>
      </c>
      <c r="B395" s="9" t="str">
        <f>INDEX(Places[Type],MATCH(Activities[[#This Row],[Jurisdiction]],Places[Jurisdiction],0))</f>
        <v>City</v>
      </c>
      <c r="C395" s="19" t="str">
        <f>INDEX(Places[County],MATCH(Activities[[#This Row],[Jurisdiction]],Places[Jurisdiction],0))</f>
        <v>Orange</v>
      </c>
      <c r="D395" s="19" t="str">
        <f>INDEX(Places[Majority RB],MATCH(Activities[[#This Row],[Jurisdiction]],Places[Jurisdiction],0))</f>
        <v>San Diego</v>
      </c>
      <c r="E395" s="9">
        <f>INDEX(Places[Majority RB '#],MATCH(Activities[[#This Row],[Jurisdiction]],Places[Jurisdiction],0))</f>
        <v>9</v>
      </c>
      <c r="F395" s="28" t="str">
        <f>VLOOKUP(Activities[[#This Row],[Jurisdiction]],Places[#All],8,FALSE)</f>
        <v>Phase I MS4</v>
      </c>
      <c r="G395" s="48" t="s">
        <v>1030</v>
      </c>
      <c r="H395" s="8" t="s">
        <v>507</v>
      </c>
      <c r="I395" s="8"/>
      <c r="J395" s="8" t="s">
        <v>1897</v>
      </c>
      <c r="K395" s="27" t="s">
        <v>1874</v>
      </c>
      <c r="L395" s="28">
        <f>_xlfn.NUMBERVALUE(LEFT(Activities[[#This Row],[Fiscal Year]], 4))</f>
        <v>2017</v>
      </c>
      <c r="M395" s="28" t="s">
        <v>1862</v>
      </c>
      <c r="N395" s="41">
        <v>253165</v>
      </c>
      <c r="O395" s="93">
        <f>IF(Activities[[#This Row],[Reference Year]]&gt;2018,Activities[[#This Row],[Value]],Activities[[#This Row],[Value]]*(1+VLOOKUP(Activities[[#This Row],[Reference Year]],Inflation[#All],3,FALSE)))</f>
        <v>259910.90214198289</v>
      </c>
    </row>
    <row r="396" spans="1:15" ht="15" customHeight="1" x14ac:dyDescent="0.25">
      <c r="A396" s="9" t="s">
        <v>270</v>
      </c>
      <c r="B396" s="9" t="str">
        <f>INDEX(Places[Type],MATCH(Activities[[#This Row],[Jurisdiction]],Places[Jurisdiction],0))</f>
        <v>City</v>
      </c>
      <c r="C396" s="19" t="str">
        <f>INDEX(Places[County],MATCH(Activities[[#This Row],[Jurisdiction]],Places[Jurisdiction],0))</f>
        <v>Orange</v>
      </c>
      <c r="D396" s="19" t="str">
        <f>INDEX(Places[Majority RB],MATCH(Activities[[#This Row],[Jurisdiction]],Places[Jurisdiction],0))</f>
        <v>San Diego</v>
      </c>
      <c r="E396" s="9">
        <f>INDEX(Places[Majority RB '#],MATCH(Activities[[#This Row],[Jurisdiction]],Places[Jurisdiction],0))</f>
        <v>9</v>
      </c>
      <c r="F396" s="28" t="str">
        <f>VLOOKUP(Activities[[#This Row],[Jurisdiction]],Places[#All],8,FALSE)</f>
        <v>Phase I MS4</v>
      </c>
      <c r="G396" s="48" t="s">
        <v>1029</v>
      </c>
      <c r="H396" s="62" t="s">
        <v>507</v>
      </c>
      <c r="I396" s="62"/>
      <c r="J396" s="8" t="s">
        <v>1897</v>
      </c>
      <c r="K396" s="27" t="s">
        <v>1874</v>
      </c>
      <c r="L396" s="28">
        <f>_xlfn.NUMBERVALUE(LEFT(Activities[[#This Row],[Fiscal Year]], 4))</f>
        <v>2017</v>
      </c>
      <c r="M396" s="28" t="s">
        <v>1862</v>
      </c>
      <c r="N396" s="41">
        <v>866562</v>
      </c>
      <c r="O396" s="93">
        <f>IF(Activities[[#This Row],[Reference Year]]&gt;2018,Activities[[#This Row],[Value]],Activities[[#This Row],[Value]]*(1+VLOOKUP(Activities[[#This Row],[Reference Year]],Inflation[#All],3,FALSE)))</f>
        <v>889652.64227662189</v>
      </c>
    </row>
    <row r="397" spans="1:15" ht="15" customHeight="1" x14ac:dyDescent="0.25">
      <c r="A397" s="9" t="s">
        <v>270</v>
      </c>
      <c r="B397" s="9" t="str">
        <f>INDEX(Places[Type],MATCH(Activities[[#This Row],[Jurisdiction]],Places[Jurisdiction],0))</f>
        <v>City</v>
      </c>
      <c r="C397" s="19" t="str">
        <f>INDEX(Places[County],MATCH(Activities[[#This Row],[Jurisdiction]],Places[Jurisdiction],0))</f>
        <v>Orange</v>
      </c>
      <c r="D397" s="19" t="str">
        <f>INDEX(Places[Majority RB],MATCH(Activities[[#This Row],[Jurisdiction]],Places[Jurisdiction],0))</f>
        <v>San Diego</v>
      </c>
      <c r="E397" s="9">
        <f>INDEX(Places[Majority RB '#],MATCH(Activities[[#This Row],[Jurisdiction]],Places[Jurisdiction],0))</f>
        <v>9</v>
      </c>
      <c r="F397" s="28" t="str">
        <f>VLOOKUP(Activities[[#This Row],[Jurisdiction]],Places[#All],8,FALSE)</f>
        <v>Phase I MS4</v>
      </c>
      <c r="G397" s="48" t="s">
        <v>1031</v>
      </c>
      <c r="H397" s="62" t="s">
        <v>508</v>
      </c>
      <c r="I397" s="62"/>
      <c r="J397" s="8" t="s">
        <v>1456</v>
      </c>
      <c r="K397" s="27" t="s">
        <v>1874</v>
      </c>
      <c r="L397" s="28">
        <f>_xlfn.NUMBERVALUE(LEFT(Activities[[#This Row],[Fiscal Year]], 4))</f>
        <v>2017</v>
      </c>
      <c r="M397" s="28" t="s">
        <v>1862</v>
      </c>
      <c r="N397" s="41">
        <v>5693</v>
      </c>
      <c r="O397" s="93">
        <f>IF(Activities[[#This Row],[Reference Year]]&gt;2018,Activities[[#This Row],[Value]],Activities[[#This Row],[Value]]*(1+VLOOKUP(Activities[[#This Row],[Reference Year]],Inflation[#All],3,FALSE)))</f>
        <v>5844.6971970624245</v>
      </c>
    </row>
    <row r="398" spans="1:15" ht="15" customHeight="1" x14ac:dyDescent="0.25">
      <c r="A398" s="9" t="s">
        <v>270</v>
      </c>
      <c r="B398" s="9" t="str">
        <f>INDEX(Places[Type],MATCH(Activities[[#This Row],[Jurisdiction]],Places[Jurisdiction],0))</f>
        <v>City</v>
      </c>
      <c r="C398" s="19" t="str">
        <f>INDEX(Places[County],MATCH(Activities[[#This Row],[Jurisdiction]],Places[Jurisdiction],0))</f>
        <v>Orange</v>
      </c>
      <c r="D398" s="19" t="str">
        <f>INDEX(Places[Majority RB],MATCH(Activities[[#This Row],[Jurisdiction]],Places[Jurisdiction],0))</f>
        <v>San Diego</v>
      </c>
      <c r="E398" s="9">
        <f>INDEX(Places[Majority RB '#],MATCH(Activities[[#This Row],[Jurisdiction]],Places[Jurisdiction],0))</f>
        <v>9</v>
      </c>
      <c r="F398" s="28" t="str">
        <f>VLOOKUP(Activities[[#This Row],[Jurisdiction]],Places[#All],8,FALSE)</f>
        <v>Phase I MS4</v>
      </c>
      <c r="G398" s="48" t="s">
        <v>1027</v>
      </c>
      <c r="H398" s="62"/>
      <c r="I398" s="62"/>
      <c r="J398" s="8" t="s">
        <v>1894</v>
      </c>
      <c r="K398" s="27" t="s">
        <v>1874</v>
      </c>
      <c r="L398" s="28">
        <f>_xlfn.NUMBERVALUE(LEFT(Activities[[#This Row],[Fiscal Year]], 4))</f>
        <v>2017</v>
      </c>
      <c r="M398" s="28" t="s">
        <v>1862</v>
      </c>
      <c r="N398" s="41">
        <v>33973</v>
      </c>
      <c r="O398" s="93">
        <f>IF(Activities[[#This Row],[Reference Year]]&gt;2018,Activities[[#This Row],[Value]],Activities[[#This Row],[Value]]*(1+VLOOKUP(Activities[[#This Row],[Reference Year]],Inflation[#All],3,FALSE)))</f>
        <v>34878.25362301102</v>
      </c>
    </row>
    <row r="399" spans="1:15" ht="15" customHeight="1" x14ac:dyDescent="0.25">
      <c r="A399" s="9" t="s">
        <v>270</v>
      </c>
      <c r="B399" s="9" t="str">
        <f>INDEX(Places[Type],MATCH(Activities[[#This Row],[Jurisdiction]],Places[Jurisdiction],0))</f>
        <v>City</v>
      </c>
      <c r="C399" s="19" t="str">
        <f>INDEX(Places[County],MATCH(Activities[[#This Row],[Jurisdiction]],Places[Jurisdiction],0))</f>
        <v>Orange</v>
      </c>
      <c r="D399" s="19" t="str">
        <f>INDEX(Places[Majority RB],MATCH(Activities[[#This Row],[Jurisdiction]],Places[Jurisdiction],0))</f>
        <v>San Diego</v>
      </c>
      <c r="E399" s="9">
        <f>INDEX(Places[Majority RB '#],MATCH(Activities[[#This Row],[Jurisdiction]],Places[Jurisdiction],0))</f>
        <v>9</v>
      </c>
      <c r="F399" s="28" t="str">
        <f>VLOOKUP(Activities[[#This Row],[Jurisdiction]],Places[#All],8,FALSE)</f>
        <v>Phase I MS4</v>
      </c>
      <c r="G399" s="48" t="s">
        <v>1028</v>
      </c>
      <c r="H399" s="8"/>
      <c r="I399" s="8"/>
      <c r="J399" s="8" t="s">
        <v>1894</v>
      </c>
      <c r="K399" s="27" t="s">
        <v>1874</v>
      </c>
      <c r="L399" s="28">
        <f>_xlfn.NUMBERVALUE(LEFT(Activities[[#This Row],[Fiscal Year]], 4))</f>
        <v>2017</v>
      </c>
      <c r="M399" s="28" t="s">
        <v>1862</v>
      </c>
      <c r="N399" s="41">
        <v>672718</v>
      </c>
      <c r="O399" s="93">
        <f>IF(Activities[[#This Row],[Reference Year]]&gt;2018,Activities[[#This Row],[Value]],Activities[[#This Row],[Value]]*(1+VLOOKUP(Activities[[#This Row],[Reference Year]],Inflation[#All],3,FALSE)))</f>
        <v>690643.42332925345</v>
      </c>
    </row>
    <row r="400" spans="1:15" ht="15" customHeight="1" x14ac:dyDescent="0.25">
      <c r="A400" s="9" t="s">
        <v>270</v>
      </c>
      <c r="B400" s="9" t="str">
        <f>INDEX(Places[Type],MATCH(Activities[[#This Row],[Jurisdiction]],Places[Jurisdiction],0))</f>
        <v>City</v>
      </c>
      <c r="C400" s="19" t="str">
        <f>INDEX(Places[County],MATCH(Activities[[#This Row],[Jurisdiction]],Places[Jurisdiction],0))</f>
        <v>Orange</v>
      </c>
      <c r="D400" s="19" t="str">
        <f>INDEX(Places[Majority RB],MATCH(Activities[[#This Row],[Jurisdiction]],Places[Jurisdiction],0))</f>
        <v>San Diego</v>
      </c>
      <c r="E400" s="9">
        <f>INDEX(Places[Majority RB '#],MATCH(Activities[[#This Row],[Jurisdiction]],Places[Jurisdiction],0))</f>
        <v>9</v>
      </c>
      <c r="F400" s="28" t="str">
        <f>VLOOKUP(Activities[[#This Row],[Jurisdiction]],Places[#All],8,FALSE)</f>
        <v>Phase I MS4</v>
      </c>
      <c r="G400" s="48" t="s">
        <v>1035</v>
      </c>
      <c r="H400" s="8" t="s">
        <v>624</v>
      </c>
      <c r="I400" s="94" t="s">
        <v>623</v>
      </c>
      <c r="J400" s="8" t="s">
        <v>1896</v>
      </c>
      <c r="K400" s="27" t="s">
        <v>1874</v>
      </c>
      <c r="L400" s="28">
        <f>_xlfn.NUMBERVALUE(LEFT(Activities[[#This Row],[Fiscal Year]], 4))</f>
        <v>2017</v>
      </c>
      <c r="M400" s="28" t="s">
        <v>1862</v>
      </c>
      <c r="N400" s="41">
        <v>59960</v>
      </c>
      <c r="O400" s="93">
        <f>IF(Activities[[#This Row],[Reference Year]]&gt;2018,Activities[[#This Row],[Value]],Activities[[#This Row],[Value]]*(1+VLOOKUP(Activities[[#This Row],[Reference Year]],Inflation[#All],3,FALSE)))</f>
        <v>61557.710159118731</v>
      </c>
    </row>
    <row r="401" spans="1:15" ht="15" customHeight="1" x14ac:dyDescent="0.25">
      <c r="A401" s="9" t="s">
        <v>270</v>
      </c>
      <c r="B401" s="9" t="str">
        <f>INDEX(Places[Type],MATCH(Activities[[#This Row],[Jurisdiction]],Places[Jurisdiction],0))</f>
        <v>City</v>
      </c>
      <c r="C401" s="19" t="str">
        <f>INDEX(Places[County],MATCH(Activities[[#This Row],[Jurisdiction]],Places[Jurisdiction],0))</f>
        <v>Orange</v>
      </c>
      <c r="D401" s="19" t="str">
        <f>INDEX(Places[Majority RB],MATCH(Activities[[#This Row],[Jurisdiction]],Places[Jurisdiction],0))</f>
        <v>San Diego</v>
      </c>
      <c r="E401" s="9">
        <f>INDEX(Places[Majority RB '#],MATCH(Activities[[#This Row],[Jurisdiction]],Places[Jurisdiction],0))</f>
        <v>9</v>
      </c>
      <c r="F401" s="28" t="str">
        <f>VLOOKUP(Activities[[#This Row],[Jurisdiction]],Places[#All],8,FALSE)</f>
        <v>Phase I MS4</v>
      </c>
      <c r="G401" s="48" t="s">
        <v>1034</v>
      </c>
      <c r="H401" s="8"/>
      <c r="I401" s="8"/>
      <c r="J401" s="8" t="s">
        <v>1896</v>
      </c>
      <c r="K401" s="27" t="s">
        <v>1874</v>
      </c>
      <c r="L401" s="28">
        <f>_xlfn.NUMBERVALUE(LEFT(Activities[[#This Row],[Fiscal Year]], 4))</f>
        <v>2017</v>
      </c>
      <c r="M401" s="28" t="s">
        <v>1862</v>
      </c>
      <c r="N401" s="41">
        <v>60857</v>
      </c>
      <c r="O401" s="93">
        <f>IF(Activities[[#This Row],[Reference Year]]&gt;2018,Activities[[#This Row],[Value]],Activities[[#This Row],[Value]]*(1+VLOOKUP(Activities[[#This Row],[Reference Year]],Inflation[#All],3,FALSE)))</f>
        <v>62478.61186046512</v>
      </c>
    </row>
    <row r="402" spans="1:15" ht="15" customHeight="1" x14ac:dyDescent="0.25">
      <c r="A402" s="9" t="s">
        <v>308</v>
      </c>
      <c r="B402" s="9" t="str">
        <f>INDEX(Places[Type],MATCH(Activities[[#This Row],[Jurisdiction]],Places[Jurisdiction],0))</f>
        <v>City</v>
      </c>
      <c r="C402" s="19" t="str">
        <f>INDEX(Places[County],MATCH(Activities[[#This Row],[Jurisdiction]],Places[Jurisdiction],0))</f>
        <v>San Diego</v>
      </c>
      <c r="D402" s="9" t="str">
        <f>INDEX(Places[Majority RB],MATCH(Activities[[#This Row],[Jurisdiction]],Places[Jurisdiction],0))</f>
        <v>San Diego</v>
      </c>
      <c r="E402" s="9">
        <f>INDEX(Places[Majority RB '#],MATCH(Activities[[#This Row],[Jurisdiction]],Places[Jurisdiction],0))</f>
        <v>9</v>
      </c>
      <c r="F402" s="28" t="str">
        <f>VLOOKUP(Activities[[#This Row],[Jurisdiction]],Places[#All],8,FALSE)</f>
        <v>Phase I MS4</v>
      </c>
      <c r="G402" s="48" t="s">
        <v>1273</v>
      </c>
      <c r="H402" s="8"/>
      <c r="I402" s="8"/>
      <c r="J402" s="8" t="s">
        <v>1895</v>
      </c>
      <c r="K402" s="27" t="s">
        <v>1874</v>
      </c>
      <c r="L402" s="28">
        <f>_xlfn.NUMBERVALUE(LEFT(Activities[[#This Row],[Fiscal Year]], 4))</f>
        <v>2017</v>
      </c>
      <c r="M402" s="28" t="s">
        <v>1862</v>
      </c>
      <c r="N402" s="41">
        <v>31094</v>
      </c>
      <c r="O402" s="93">
        <f>IF(Activities[[#This Row],[Reference Year]]&gt;2018,Activities[[#This Row],[Value]],Activities[[#This Row],[Value]]*(1+VLOOKUP(Activities[[#This Row],[Reference Year]],Inflation[#All],3,FALSE)))</f>
        <v>31922.539020807839</v>
      </c>
    </row>
    <row r="403" spans="1:15" ht="15" customHeight="1" x14ac:dyDescent="0.25">
      <c r="A403" s="9" t="s">
        <v>308</v>
      </c>
      <c r="B403" s="9" t="str">
        <f>INDEX(Places[Type],MATCH(Activities[[#This Row],[Jurisdiction]],Places[Jurisdiction],0))</f>
        <v>City</v>
      </c>
      <c r="C403" s="19" t="str">
        <f>INDEX(Places[County],MATCH(Activities[[#This Row],[Jurisdiction]],Places[Jurisdiction],0))</f>
        <v>San Diego</v>
      </c>
      <c r="D403" s="9" t="str">
        <f>INDEX(Places[Majority RB],MATCH(Activities[[#This Row],[Jurisdiction]],Places[Jurisdiction],0))</f>
        <v>San Diego</v>
      </c>
      <c r="E403" s="9">
        <f>INDEX(Places[Majority RB '#],MATCH(Activities[[#This Row],[Jurisdiction]],Places[Jurisdiction],0))</f>
        <v>9</v>
      </c>
      <c r="F403" s="28" t="str">
        <f>VLOOKUP(Activities[[#This Row],[Jurisdiction]],Places[#All],8,FALSE)</f>
        <v>Phase I MS4</v>
      </c>
      <c r="G403" s="48" t="s">
        <v>1275</v>
      </c>
      <c r="H403" s="8"/>
      <c r="I403" s="8"/>
      <c r="J403" s="8" t="s">
        <v>131</v>
      </c>
      <c r="K403" s="27" t="s">
        <v>1874</v>
      </c>
      <c r="L403" s="28">
        <f>_xlfn.NUMBERVALUE(LEFT(Activities[[#This Row],[Fiscal Year]], 4))</f>
        <v>2017</v>
      </c>
      <c r="M403" s="28" t="s">
        <v>1862</v>
      </c>
      <c r="N403" s="41">
        <v>37476</v>
      </c>
      <c r="O403" s="93">
        <f>IF(Activities[[#This Row],[Reference Year]]&gt;2018,Activities[[#This Row],[Value]],Activities[[#This Row],[Value]]*(1+VLOOKUP(Activities[[#This Row],[Reference Year]],Inflation[#All],3,FALSE)))</f>
        <v>38474.595495716036</v>
      </c>
    </row>
    <row r="404" spans="1:15" ht="15" customHeight="1" x14ac:dyDescent="0.25">
      <c r="A404" s="9" t="s">
        <v>308</v>
      </c>
      <c r="B404" s="9" t="str">
        <f>INDEX(Places[Type],MATCH(Activities[[#This Row],[Jurisdiction]],Places[Jurisdiction],0))</f>
        <v>City</v>
      </c>
      <c r="C404" s="19" t="str">
        <f>INDEX(Places[County],MATCH(Activities[[#This Row],[Jurisdiction]],Places[Jurisdiction],0))</f>
        <v>San Diego</v>
      </c>
      <c r="D404" s="9" t="str">
        <f>INDEX(Places[Majority RB],MATCH(Activities[[#This Row],[Jurisdiction]],Places[Jurisdiction],0))</f>
        <v>San Diego</v>
      </c>
      <c r="E404" s="9">
        <f>INDEX(Places[Majority RB '#],MATCH(Activities[[#This Row],[Jurisdiction]],Places[Jurisdiction],0))</f>
        <v>9</v>
      </c>
      <c r="F404" s="28" t="str">
        <f>VLOOKUP(Activities[[#This Row],[Jurisdiction]],Places[#All],8,FALSE)</f>
        <v>Phase I MS4</v>
      </c>
      <c r="G404" s="48" t="s">
        <v>1145</v>
      </c>
      <c r="H404" s="8"/>
      <c r="I404" s="8"/>
      <c r="J404" s="8" t="s">
        <v>334</v>
      </c>
      <c r="K404" s="27" t="s">
        <v>1874</v>
      </c>
      <c r="L404" s="28">
        <f>_xlfn.NUMBERVALUE(LEFT(Activities[[#This Row],[Fiscal Year]], 4))</f>
        <v>2017</v>
      </c>
      <c r="M404" s="28" t="s">
        <v>1862</v>
      </c>
      <c r="N404" s="41">
        <v>10700</v>
      </c>
      <c r="O404" s="93">
        <f>IF(Activities[[#This Row],[Reference Year]]&gt;2018,Activities[[#This Row],[Value]],Activities[[#This Row],[Value]]*(1+VLOOKUP(Activities[[#This Row],[Reference Year]],Inflation[#All],3,FALSE)))</f>
        <v>10985.115055079561</v>
      </c>
    </row>
    <row r="405" spans="1:15" ht="15" customHeight="1" x14ac:dyDescent="0.25">
      <c r="A405" s="9" t="s">
        <v>308</v>
      </c>
      <c r="B405" s="9" t="str">
        <f>INDEX(Places[Type],MATCH(Activities[[#This Row],[Jurisdiction]],Places[Jurisdiction],0))</f>
        <v>City</v>
      </c>
      <c r="C405" s="19" t="str">
        <f>INDEX(Places[County],MATCH(Activities[[#This Row],[Jurisdiction]],Places[Jurisdiction],0))</f>
        <v>San Diego</v>
      </c>
      <c r="D405" s="9" t="str">
        <f>INDEX(Places[Majority RB],MATCH(Activities[[#This Row],[Jurisdiction]],Places[Jurisdiction],0))</f>
        <v>San Diego</v>
      </c>
      <c r="E405" s="9">
        <f>INDEX(Places[Majority RB '#],MATCH(Activities[[#This Row],[Jurisdiction]],Places[Jurisdiction],0))</f>
        <v>9</v>
      </c>
      <c r="F405" s="28" t="str">
        <f>VLOOKUP(Activities[[#This Row],[Jurisdiction]],Places[#All],8,FALSE)</f>
        <v>Phase I MS4</v>
      </c>
      <c r="G405" s="48" t="s">
        <v>1286</v>
      </c>
      <c r="H405" s="8" t="s">
        <v>665</v>
      </c>
      <c r="I405" s="94" t="s">
        <v>664</v>
      </c>
      <c r="J405" s="8" t="s">
        <v>1897</v>
      </c>
      <c r="K405" s="27" t="s">
        <v>1874</v>
      </c>
      <c r="L405" s="28">
        <f>_xlfn.NUMBERVALUE(LEFT(Activities[[#This Row],[Fiscal Year]], 4))</f>
        <v>2017</v>
      </c>
      <c r="M405" s="28" t="s">
        <v>1862</v>
      </c>
      <c r="N405" s="41">
        <v>228470</v>
      </c>
      <c r="O405" s="93">
        <f>IF(Activities[[#This Row],[Reference Year]]&gt;2018,Activities[[#This Row],[Value]],Activities[[#This Row],[Value]]*(1+VLOOKUP(Activities[[#This Row],[Reference Year]],Inflation[#All],3,FALSE)))</f>
        <v>234557.87258261937</v>
      </c>
    </row>
    <row r="406" spans="1:15" ht="15" customHeight="1" x14ac:dyDescent="0.25">
      <c r="A406" s="9" t="s">
        <v>308</v>
      </c>
      <c r="B406" s="9" t="str">
        <f>INDEX(Places[Type],MATCH(Activities[[#This Row],[Jurisdiction]],Places[Jurisdiction],0))</f>
        <v>City</v>
      </c>
      <c r="C406" s="19" t="str">
        <f>INDEX(Places[County],MATCH(Activities[[#This Row],[Jurisdiction]],Places[Jurisdiction],0))</f>
        <v>San Diego</v>
      </c>
      <c r="D406" s="9" t="str">
        <f>INDEX(Places[Majority RB],MATCH(Activities[[#This Row],[Jurisdiction]],Places[Jurisdiction],0))</f>
        <v>San Diego</v>
      </c>
      <c r="E406" s="9">
        <f>INDEX(Places[Majority RB '#],MATCH(Activities[[#This Row],[Jurisdiction]],Places[Jurisdiction],0))</f>
        <v>9</v>
      </c>
      <c r="F406" s="28" t="str">
        <f>VLOOKUP(Activities[[#This Row],[Jurisdiction]],Places[#All],8,FALSE)</f>
        <v>Phase I MS4</v>
      </c>
      <c r="G406" s="48" t="s">
        <v>1272</v>
      </c>
      <c r="H406" s="8"/>
      <c r="I406" s="8"/>
      <c r="J406" s="8" t="s">
        <v>1898</v>
      </c>
      <c r="K406" s="27" t="s">
        <v>1874</v>
      </c>
      <c r="L406" s="28">
        <f>_xlfn.NUMBERVALUE(LEFT(Activities[[#This Row],[Fiscal Year]], 4))</f>
        <v>2017</v>
      </c>
      <c r="M406" s="28" t="s">
        <v>1862</v>
      </c>
      <c r="N406" s="41">
        <v>45742</v>
      </c>
      <c r="O406" s="93">
        <f>IF(Activities[[#This Row],[Reference Year]]&gt;2018,Activities[[#This Row],[Value]],Activities[[#This Row],[Value]]*(1+VLOOKUP(Activities[[#This Row],[Reference Year]],Inflation[#All],3,FALSE)))</f>
        <v>46960.853537331706</v>
      </c>
    </row>
    <row r="407" spans="1:15" ht="15" customHeight="1" x14ac:dyDescent="0.25">
      <c r="A407" s="9" t="s">
        <v>308</v>
      </c>
      <c r="B407" s="9" t="str">
        <f>INDEX(Places[Type],MATCH(Activities[[#This Row],[Jurisdiction]],Places[Jurisdiction],0))</f>
        <v>City</v>
      </c>
      <c r="C407" s="19" t="str">
        <f>INDEX(Places[County],MATCH(Activities[[#This Row],[Jurisdiction]],Places[Jurisdiction],0))</f>
        <v>San Diego</v>
      </c>
      <c r="D407" s="9" t="str">
        <f>INDEX(Places[Majority RB],MATCH(Activities[[#This Row],[Jurisdiction]],Places[Jurisdiction],0))</f>
        <v>San Diego</v>
      </c>
      <c r="E407" s="9">
        <f>INDEX(Places[Majority RB '#],MATCH(Activities[[#This Row],[Jurisdiction]],Places[Jurisdiction],0))</f>
        <v>9</v>
      </c>
      <c r="F407" s="28" t="str">
        <f>VLOOKUP(Activities[[#This Row],[Jurisdiction]],Places[#All],8,FALSE)</f>
        <v>Phase I MS4</v>
      </c>
      <c r="G407" s="48" t="s">
        <v>1146</v>
      </c>
      <c r="H407" s="8" t="s">
        <v>682</v>
      </c>
      <c r="I407" s="94" t="s">
        <v>679</v>
      </c>
      <c r="J407" s="8" t="s">
        <v>1456</v>
      </c>
      <c r="K407" s="27" t="s">
        <v>1874</v>
      </c>
      <c r="L407" s="28">
        <f>_xlfn.NUMBERVALUE(LEFT(Activities[[#This Row],[Fiscal Year]], 4))</f>
        <v>2017</v>
      </c>
      <c r="M407" s="28" t="s">
        <v>1862</v>
      </c>
      <c r="N407" s="41">
        <v>52508</v>
      </c>
      <c r="O407" s="93">
        <f>IF(Activities[[#This Row],[Reference Year]]&gt;2018,Activities[[#This Row],[Value]],Activities[[#This Row],[Value]]*(1+VLOOKUP(Activities[[#This Row],[Reference Year]],Inflation[#All],3,FALSE)))</f>
        <v>53907.142178702576</v>
      </c>
    </row>
    <row r="408" spans="1:15" ht="15" customHeight="1" x14ac:dyDescent="0.25">
      <c r="A408" s="9" t="s">
        <v>308</v>
      </c>
      <c r="B408" s="9" t="str">
        <f>INDEX(Places[Type],MATCH(Activities[[#This Row],[Jurisdiction]],Places[Jurisdiction],0))</f>
        <v>City</v>
      </c>
      <c r="C408" s="19" t="str">
        <f>INDEX(Places[County],MATCH(Activities[[#This Row],[Jurisdiction]],Places[Jurisdiction],0))</f>
        <v>San Diego</v>
      </c>
      <c r="D408" s="9" t="str">
        <f>INDEX(Places[Majority RB],MATCH(Activities[[#This Row],[Jurisdiction]],Places[Jurisdiction],0))</f>
        <v>San Diego</v>
      </c>
      <c r="E408" s="9">
        <f>INDEX(Places[Majority RB '#],MATCH(Activities[[#This Row],[Jurisdiction]],Places[Jurisdiction],0))</f>
        <v>9</v>
      </c>
      <c r="F408" s="28" t="str">
        <f>VLOOKUP(Activities[[#This Row],[Jurisdiction]],Places[#All],8,FALSE)</f>
        <v>Phase I MS4</v>
      </c>
      <c r="G408" s="48" t="s">
        <v>1140</v>
      </c>
      <c r="H408" s="8"/>
      <c r="I408" s="8"/>
      <c r="J408" s="8" t="s">
        <v>1894</v>
      </c>
      <c r="K408" s="27" t="s">
        <v>1874</v>
      </c>
      <c r="L408" s="28">
        <f>_xlfn.NUMBERVALUE(LEFT(Activities[[#This Row],[Fiscal Year]], 4))</f>
        <v>2017</v>
      </c>
      <c r="M408" s="28" t="s">
        <v>1862</v>
      </c>
      <c r="N408" s="41">
        <v>63053</v>
      </c>
      <c r="O408" s="93">
        <f>IF(Activities[[#This Row],[Reference Year]]&gt;2018,Activities[[#This Row],[Value]],Activities[[#This Row],[Value]]*(1+VLOOKUP(Activities[[#This Row],[Reference Year]],Inflation[#All],3,FALSE)))</f>
        <v>64733.127062423511</v>
      </c>
    </row>
    <row r="409" spans="1:15" ht="15" customHeight="1" x14ac:dyDescent="0.25">
      <c r="A409" s="9" t="s">
        <v>308</v>
      </c>
      <c r="B409" s="9" t="str">
        <f>INDEX(Places[Type],MATCH(Activities[[#This Row],[Jurisdiction]],Places[Jurisdiction],0))</f>
        <v>City</v>
      </c>
      <c r="C409" s="19" t="str">
        <f>INDEX(Places[County],MATCH(Activities[[#This Row],[Jurisdiction]],Places[Jurisdiction],0))</f>
        <v>San Diego</v>
      </c>
      <c r="D409" s="9" t="str">
        <f>INDEX(Places[Majority RB],MATCH(Activities[[#This Row],[Jurisdiction]],Places[Jurisdiction],0))</f>
        <v>San Diego</v>
      </c>
      <c r="E409" s="9">
        <f>INDEX(Places[Majority RB '#],MATCH(Activities[[#This Row],[Jurisdiction]],Places[Jurisdiction],0))</f>
        <v>9</v>
      </c>
      <c r="F409" s="28" t="str">
        <f>VLOOKUP(Activities[[#This Row],[Jurisdiction]],Places[#All],8,FALSE)</f>
        <v>Phase I MS4</v>
      </c>
      <c r="G409" s="56" t="s">
        <v>1293</v>
      </c>
      <c r="H409" s="8"/>
      <c r="I409" s="8"/>
      <c r="J409" s="8" t="s">
        <v>1896</v>
      </c>
      <c r="K409" s="27" t="s">
        <v>1874</v>
      </c>
      <c r="L409" s="28">
        <f>_xlfn.NUMBERVALUE(LEFT(Activities[[#This Row],[Fiscal Year]], 4))</f>
        <v>2017</v>
      </c>
      <c r="M409" s="28" t="s">
        <v>1862</v>
      </c>
      <c r="N409" s="41">
        <v>37918</v>
      </c>
      <c r="O409" s="93">
        <f>IF(Activities[[#This Row],[Reference Year]]&gt;2018,Activities[[#This Row],[Value]],Activities[[#This Row],[Value]]*(1+VLOOKUP(Activities[[#This Row],[Reference Year]],Inflation[#All],3,FALSE)))</f>
        <v>38928.373145654841</v>
      </c>
    </row>
    <row r="410" spans="1:15" ht="15" customHeight="1" x14ac:dyDescent="0.25">
      <c r="A410" s="9" t="s">
        <v>308</v>
      </c>
      <c r="B410" s="9" t="str">
        <f>INDEX(Places[Type],MATCH(Activities[[#This Row],[Jurisdiction]],Places[Jurisdiction],0))</f>
        <v>City</v>
      </c>
      <c r="C410" s="19" t="str">
        <f>INDEX(Places[County],MATCH(Activities[[#This Row],[Jurisdiction]],Places[Jurisdiction],0))</f>
        <v>San Diego</v>
      </c>
      <c r="D410" s="9" t="str">
        <f>INDEX(Places[Majority RB],MATCH(Activities[[#This Row],[Jurisdiction]],Places[Jurisdiction],0))</f>
        <v>San Diego</v>
      </c>
      <c r="E410" s="9">
        <f>INDEX(Places[Majority RB '#],MATCH(Activities[[#This Row],[Jurisdiction]],Places[Jurisdiction],0))</f>
        <v>9</v>
      </c>
      <c r="F410" s="28" t="str">
        <f>VLOOKUP(Activities[[#This Row],[Jurisdiction]],Places[#All],8,FALSE)</f>
        <v>Phase I MS4</v>
      </c>
      <c r="G410" s="48" t="s">
        <v>1292</v>
      </c>
      <c r="H410" s="8"/>
      <c r="I410" s="8"/>
      <c r="J410" s="8" t="s">
        <v>605</v>
      </c>
      <c r="K410" s="27" t="s">
        <v>1874</v>
      </c>
      <c r="L410" s="28">
        <f>_xlfn.NUMBERVALUE(LEFT(Activities[[#This Row],[Fiscal Year]], 4))</f>
        <v>2017</v>
      </c>
      <c r="M410" s="28" t="s">
        <v>1862</v>
      </c>
      <c r="N410" s="41">
        <v>37275</v>
      </c>
      <c r="O410" s="93">
        <f>IF(Activities[[#This Row],[Reference Year]]&gt;2018,Activities[[#This Row],[Value]],Activities[[#This Row],[Value]]*(1+VLOOKUP(Activities[[#This Row],[Reference Year]],Inflation[#All],3,FALSE)))</f>
        <v>38268.239596083236</v>
      </c>
    </row>
    <row r="411" spans="1:15" ht="15" customHeight="1" x14ac:dyDescent="0.25">
      <c r="A411" s="9" t="s">
        <v>308</v>
      </c>
      <c r="B411" s="9" t="str">
        <f>INDEX(Places[Type],MATCH(Activities[[#This Row],[Jurisdiction]],Places[Jurisdiction],0))</f>
        <v>City</v>
      </c>
      <c r="C411" s="19" t="str">
        <f>INDEX(Places[County],MATCH(Activities[[#This Row],[Jurisdiction]],Places[Jurisdiction],0))</f>
        <v>San Diego</v>
      </c>
      <c r="D411" s="9" t="str">
        <f>INDEX(Places[Majority RB],MATCH(Activities[[#This Row],[Jurisdiction]],Places[Jurisdiction],0))</f>
        <v>San Diego</v>
      </c>
      <c r="E411" s="9">
        <f>INDEX(Places[Majority RB '#],MATCH(Activities[[#This Row],[Jurisdiction]],Places[Jurisdiction],0))</f>
        <v>9</v>
      </c>
      <c r="F411" s="28" t="str">
        <f>VLOOKUP(Activities[[#This Row],[Jurisdiction]],Places[#All],8,FALSE)</f>
        <v>Phase I MS4</v>
      </c>
      <c r="G411" s="48" t="s">
        <v>1277</v>
      </c>
      <c r="H411" s="8"/>
      <c r="I411" s="8"/>
      <c r="J411" s="8" t="s">
        <v>605</v>
      </c>
      <c r="K411" s="27" t="s">
        <v>1874</v>
      </c>
      <c r="L411" s="28">
        <f>_xlfn.NUMBERVALUE(LEFT(Activities[[#This Row],[Fiscal Year]], 4))</f>
        <v>2017</v>
      </c>
      <c r="M411" s="28" t="s">
        <v>1862</v>
      </c>
      <c r="N411" s="41">
        <v>47975</v>
      </c>
      <c r="O411" s="93">
        <f>IF(Activities[[#This Row],[Reference Year]]&gt;2018,Activities[[#This Row],[Value]],Activities[[#This Row],[Value]]*(1+VLOOKUP(Activities[[#This Row],[Reference Year]],Inflation[#All],3,FALSE)))</f>
        <v>49253.354651162794</v>
      </c>
    </row>
    <row r="412" spans="1:15" ht="15" customHeight="1" x14ac:dyDescent="0.25">
      <c r="A412" s="9" t="s">
        <v>167</v>
      </c>
      <c r="B412" s="9" t="str">
        <f>INDEX(Places[Type],MATCH(Activities[[#This Row],[Jurisdiction]],Places[Jurisdiction],0))</f>
        <v>City</v>
      </c>
      <c r="C412" s="19" t="str">
        <f>INDEX(Places[County],MATCH(Activities[[#This Row],[Jurisdiction]],Places[Jurisdiction],0))</f>
        <v>Los Angeles</v>
      </c>
      <c r="D412" s="19" t="str">
        <f>INDEX(Places[Majority RB],MATCH(Activities[[#This Row],[Jurisdiction]],Places[Jurisdiction],0))</f>
        <v>Los Angeles</v>
      </c>
      <c r="E412" s="9">
        <f>INDEX(Places[Majority RB '#],MATCH(Activities[[#This Row],[Jurisdiction]],Places[Jurisdiction],0))</f>
        <v>4</v>
      </c>
      <c r="F412" s="28" t="str">
        <f>VLOOKUP(Activities[[#This Row],[Jurisdiction]],Places[#All],8,FALSE)</f>
        <v>Phase I MS4</v>
      </c>
      <c r="G412" s="48" t="s">
        <v>62</v>
      </c>
      <c r="H412" s="8"/>
      <c r="I412" s="8"/>
      <c r="J412" s="8" t="s">
        <v>131</v>
      </c>
      <c r="K412" s="27" t="s">
        <v>1873</v>
      </c>
      <c r="L412" s="28">
        <f>_xlfn.NUMBERVALUE(LEFT(Activities[[#This Row],[Fiscal Year]], 4))</f>
        <v>2015</v>
      </c>
      <c r="M412" s="28" t="s">
        <v>1862</v>
      </c>
      <c r="N412" s="41">
        <v>38000</v>
      </c>
      <c r="O412" s="93">
        <f>IF(Activities[[#This Row],[Reference Year]]&gt;2018,Activities[[#This Row],[Value]],Activities[[#This Row],[Value]]*(1+VLOOKUP(Activities[[#This Row],[Reference Year]],Inflation[#All],3,FALSE)))</f>
        <v>40345.898734177215</v>
      </c>
    </row>
    <row r="413" spans="1:15" ht="15" customHeight="1" x14ac:dyDescent="0.25">
      <c r="A413" s="9" t="s">
        <v>167</v>
      </c>
      <c r="B413" s="9" t="str">
        <f>INDEX(Places[Type],MATCH(Activities[[#This Row],[Jurisdiction]],Places[Jurisdiction],0))</f>
        <v>City</v>
      </c>
      <c r="C413" s="19" t="str">
        <f>INDEX(Places[County],MATCH(Activities[[#This Row],[Jurisdiction]],Places[Jurisdiction],0))</f>
        <v>Los Angeles</v>
      </c>
      <c r="D413" s="19" t="str">
        <f>INDEX(Places[Majority RB],MATCH(Activities[[#This Row],[Jurisdiction]],Places[Jurisdiction],0))</f>
        <v>Los Angeles</v>
      </c>
      <c r="E413" s="9">
        <f>INDEX(Places[Majority RB '#],MATCH(Activities[[#This Row],[Jurisdiction]],Places[Jurisdiction],0))</f>
        <v>4</v>
      </c>
      <c r="F413" s="28" t="str">
        <f>VLOOKUP(Activities[[#This Row],[Jurisdiction]],Places[#All],8,FALSE)</f>
        <v>Phase I MS4</v>
      </c>
      <c r="G413" s="48" t="s">
        <v>208</v>
      </c>
      <c r="H413" s="8"/>
      <c r="I413" s="8"/>
      <c r="J413" s="8" t="s">
        <v>334</v>
      </c>
      <c r="K413" s="27" t="s">
        <v>1873</v>
      </c>
      <c r="L413" s="28">
        <f>_xlfn.NUMBERVALUE(LEFT(Activities[[#This Row],[Fiscal Year]], 4))</f>
        <v>2015</v>
      </c>
      <c r="M413" s="28" t="s">
        <v>1862</v>
      </c>
      <c r="N413" s="41">
        <v>6000</v>
      </c>
      <c r="O413" s="93">
        <f>IF(Activities[[#This Row],[Reference Year]]&gt;2018,Activities[[#This Row],[Value]],Activities[[#This Row],[Value]]*(1+VLOOKUP(Activities[[#This Row],[Reference Year]],Inflation[#All],3,FALSE)))</f>
        <v>6370.4050632911385</v>
      </c>
    </row>
    <row r="414" spans="1:15" ht="15" customHeight="1" x14ac:dyDescent="0.25">
      <c r="A414" s="9" t="s">
        <v>167</v>
      </c>
      <c r="B414" s="9" t="str">
        <f>INDEX(Places[Type],MATCH(Activities[[#This Row],[Jurisdiction]],Places[Jurisdiction],0))</f>
        <v>City</v>
      </c>
      <c r="C414" s="19" t="str">
        <f>INDEX(Places[County],MATCH(Activities[[#This Row],[Jurisdiction]],Places[Jurisdiction],0))</f>
        <v>Los Angeles</v>
      </c>
      <c r="D414" s="19" t="str">
        <f>INDEX(Places[Majority RB],MATCH(Activities[[#This Row],[Jurisdiction]],Places[Jurisdiction],0))</f>
        <v>Los Angeles</v>
      </c>
      <c r="E414" s="9">
        <f>INDEX(Places[Majority RB '#],MATCH(Activities[[#This Row],[Jurisdiction]],Places[Jurisdiction],0))</f>
        <v>4</v>
      </c>
      <c r="F414" s="28" t="str">
        <f>VLOOKUP(Activities[[#This Row],[Jurisdiction]],Places[#All],8,FALSE)</f>
        <v>Phase I MS4</v>
      </c>
      <c r="G414" s="48" t="s">
        <v>61</v>
      </c>
      <c r="H414" s="8"/>
      <c r="I414" s="8"/>
      <c r="J414" s="8" t="s">
        <v>1897</v>
      </c>
      <c r="K414" s="27" t="s">
        <v>1873</v>
      </c>
      <c r="L414" s="28">
        <f>_xlfn.NUMBERVALUE(LEFT(Activities[[#This Row],[Fiscal Year]], 4))</f>
        <v>2015</v>
      </c>
      <c r="M414" s="28" t="s">
        <v>1862</v>
      </c>
      <c r="N414" s="41">
        <v>197000</v>
      </c>
      <c r="O414" s="93">
        <f>IF(Activities[[#This Row],[Reference Year]]&gt;2018,Activities[[#This Row],[Value]],Activities[[#This Row],[Value]]*(1+VLOOKUP(Activities[[#This Row],[Reference Year]],Inflation[#All],3,FALSE)))</f>
        <v>209161.6329113924</v>
      </c>
    </row>
    <row r="415" spans="1:15" ht="15" customHeight="1" x14ac:dyDescent="0.25">
      <c r="A415" s="9" t="s">
        <v>167</v>
      </c>
      <c r="B415" s="9" t="str">
        <f>INDEX(Places[Type],MATCH(Activities[[#This Row],[Jurisdiction]],Places[Jurisdiction],0))</f>
        <v>City</v>
      </c>
      <c r="C415" s="19" t="str">
        <f>INDEX(Places[County],MATCH(Activities[[#This Row],[Jurisdiction]],Places[Jurisdiction],0))</f>
        <v>Los Angeles</v>
      </c>
      <c r="D415" s="19" t="str">
        <f>INDEX(Places[Majority RB],MATCH(Activities[[#This Row],[Jurisdiction]],Places[Jurisdiction],0))</f>
        <v>Los Angeles</v>
      </c>
      <c r="E415" s="9">
        <f>INDEX(Places[Majority RB '#],MATCH(Activities[[#This Row],[Jurisdiction]],Places[Jurisdiction],0))</f>
        <v>4</v>
      </c>
      <c r="F415" s="28" t="str">
        <f>VLOOKUP(Activities[[#This Row],[Jurisdiction]],Places[#All],8,FALSE)</f>
        <v>Phase I MS4</v>
      </c>
      <c r="G415" s="48" t="s">
        <v>60</v>
      </c>
      <c r="H415" s="8"/>
      <c r="I415" s="8"/>
      <c r="J415" s="8" t="s">
        <v>1898</v>
      </c>
      <c r="K415" s="27" t="s">
        <v>1873</v>
      </c>
      <c r="L415" s="28">
        <f>_xlfn.NUMBERVALUE(LEFT(Activities[[#This Row],[Fiscal Year]], 4))</f>
        <v>2015</v>
      </c>
      <c r="M415" s="28" t="s">
        <v>1862</v>
      </c>
      <c r="N415" s="41">
        <v>22000</v>
      </c>
      <c r="O415" s="93">
        <f>IF(Activities[[#This Row],[Reference Year]]&gt;2018,Activities[[#This Row],[Value]],Activities[[#This Row],[Value]]*(1+VLOOKUP(Activities[[#This Row],[Reference Year]],Inflation[#All],3,FALSE)))</f>
        <v>23358.151898734177</v>
      </c>
    </row>
    <row r="416" spans="1:15" ht="15" customHeight="1" x14ac:dyDescent="0.25">
      <c r="A416" s="9" t="s">
        <v>167</v>
      </c>
      <c r="B416" s="9" t="str">
        <f>INDEX(Places[Type],MATCH(Activities[[#This Row],[Jurisdiction]],Places[Jurisdiction],0))</f>
        <v>City</v>
      </c>
      <c r="C416" s="19" t="str">
        <f>INDEX(Places[County],MATCH(Activities[[#This Row],[Jurisdiction]],Places[Jurisdiction],0))</f>
        <v>Los Angeles</v>
      </c>
      <c r="D416" s="19" t="str">
        <f>INDEX(Places[Majority RB],MATCH(Activities[[#This Row],[Jurisdiction]],Places[Jurisdiction],0))</f>
        <v>Los Angeles</v>
      </c>
      <c r="E416" s="9">
        <f>INDEX(Places[Majority RB '#],MATCH(Activities[[#This Row],[Jurisdiction]],Places[Jurisdiction],0))</f>
        <v>4</v>
      </c>
      <c r="F416" s="28" t="str">
        <f>VLOOKUP(Activities[[#This Row],[Jurisdiction]],Places[#All],8,FALSE)</f>
        <v>Phase I MS4</v>
      </c>
      <c r="G416" s="48" t="s">
        <v>59</v>
      </c>
      <c r="H416" s="8"/>
      <c r="I416" s="8"/>
      <c r="J416" s="8" t="s">
        <v>1898</v>
      </c>
      <c r="K416" s="27" t="s">
        <v>1873</v>
      </c>
      <c r="L416" s="28">
        <f>_xlfn.NUMBERVALUE(LEFT(Activities[[#This Row],[Fiscal Year]], 4))</f>
        <v>2015</v>
      </c>
      <c r="M416" s="28" t="s">
        <v>1862</v>
      </c>
      <c r="N416" s="41">
        <v>38000</v>
      </c>
      <c r="O416" s="93">
        <f>IF(Activities[[#This Row],[Reference Year]]&gt;2018,Activities[[#This Row],[Value]],Activities[[#This Row],[Value]]*(1+VLOOKUP(Activities[[#This Row],[Reference Year]],Inflation[#All],3,FALSE)))</f>
        <v>40345.898734177215</v>
      </c>
    </row>
    <row r="417" spans="1:15" ht="15" customHeight="1" x14ac:dyDescent="0.25">
      <c r="A417" s="9" t="s">
        <v>167</v>
      </c>
      <c r="B417" s="9" t="str">
        <f>INDEX(Places[Type],MATCH(Activities[[#This Row],[Jurisdiction]],Places[Jurisdiction],0))</f>
        <v>City</v>
      </c>
      <c r="C417" s="19" t="str">
        <f>INDEX(Places[County],MATCH(Activities[[#This Row],[Jurisdiction]],Places[Jurisdiction],0))</f>
        <v>Los Angeles</v>
      </c>
      <c r="D417" s="19" t="str">
        <f>INDEX(Places[Majority RB],MATCH(Activities[[#This Row],[Jurisdiction]],Places[Jurisdiction],0))</f>
        <v>Los Angeles</v>
      </c>
      <c r="E417" s="9">
        <f>INDEX(Places[Majority RB '#],MATCH(Activities[[#This Row],[Jurisdiction]],Places[Jurisdiction],0))</f>
        <v>4</v>
      </c>
      <c r="F417" s="28" t="str">
        <f>VLOOKUP(Activities[[#This Row],[Jurisdiction]],Places[#All],8,FALSE)</f>
        <v>Phase I MS4</v>
      </c>
      <c r="G417" s="48" t="s">
        <v>58</v>
      </c>
      <c r="H417" s="8"/>
      <c r="I417" s="8"/>
      <c r="J417" s="8" t="s">
        <v>1456</v>
      </c>
      <c r="K417" s="27" t="s">
        <v>1873</v>
      </c>
      <c r="L417" s="28">
        <f>_xlfn.NUMBERVALUE(LEFT(Activities[[#This Row],[Fiscal Year]], 4))</f>
        <v>2015</v>
      </c>
      <c r="M417" s="28" t="s">
        <v>1862</v>
      </c>
      <c r="N417" s="41">
        <v>18000</v>
      </c>
      <c r="O417" s="93">
        <f>IF(Activities[[#This Row],[Reference Year]]&gt;2018,Activities[[#This Row],[Value]],Activities[[#This Row],[Value]]*(1+VLOOKUP(Activities[[#This Row],[Reference Year]],Inflation[#All],3,FALSE)))</f>
        <v>19111.215189873416</v>
      </c>
    </row>
    <row r="418" spans="1:15" ht="15" customHeight="1" x14ac:dyDescent="0.25">
      <c r="A418" s="9" t="s">
        <v>167</v>
      </c>
      <c r="B418" s="9" t="str">
        <f>INDEX(Places[Type],MATCH(Activities[[#This Row],[Jurisdiction]],Places[Jurisdiction],0))</f>
        <v>City</v>
      </c>
      <c r="C418" s="19" t="str">
        <f>INDEX(Places[County],MATCH(Activities[[#This Row],[Jurisdiction]],Places[Jurisdiction],0))</f>
        <v>Los Angeles</v>
      </c>
      <c r="D418" s="19" t="str">
        <f>INDEX(Places[Majority RB],MATCH(Activities[[#This Row],[Jurisdiction]],Places[Jurisdiction],0))</f>
        <v>Los Angeles</v>
      </c>
      <c r="E418" s="9">
        <f>INDEX(Places[Majority RB '#],MATCH(Activities[[#This Row],[Jurisdiction]],Places[Jurisdiction],0))</f>
        <v>4</v>
      </c>
      <c r="F418" s="28" t="str">
        <f>VLOOKUP(Activities[[#This Row],[Jurisdiction]],Places[#All],8,FALSE)</f>
        <v>Phase I MS4</v>
      </c>
      <c r="G418" s="48" t="s">
        <v>32</v>
      </c>
      <c r="H418" s="8"/>
      <c r="I418" s="8"/>
      <c r="J418" s="8" t="s">
        <v>1894</v>
      </c>
      <c r="K418" s="27" t="s">
        <v>1873</v>
      </c>
      <c r="L418" s="28">
        <f>_xlfn.NUMBERVALUE(LEFT(Activities[[#This Row],[Fiscal Year]], 4))</f>
        <v>2015</v>
      </c>
      <c r="M418" s="28" t="s">
        <v>1862</v>
      </c>
      <c r="N418" s="41">
        <v>20000</v>
      </c>
      <c r="O418" s="93">
        <f>IF(Activities[[#This Row],[Reference Year]]&gt;2018,Activities[[#This Row],[Value]],Activities[[#This Row],[Value]]*(1+VLOOKUP(Activities[[#This Row],[Reference Year]],Inflation[#All],3,FALSE)))</f>
        <v>21234.683544303796</v>
      </c>
    </row>
    <row r="419" spans="1:15" ht="15" customHeight="1" x14ac:dyDescent="0.25">
      <c r="A419" s="9" t="s">
        <v>167</v>
      </c>
      <c r="B419" s="9" t="str">
        <f>INDEX(Places[Type],MATCH(Activities[[#This Row],[Jurisdiction]],Places[Jurisdiction],0))</f>
        <v>City</v>
      </c>
      <c r="C419" s="19" t="str">
        <f>INDEX(Places[County],MATCH(Activities[[#This Row],[Jurisdiction]],Places[Jurisdiction],0))</f>
        <v>Los Angeles</v>
      </c>
      <c r="D419" s="19" t="str">
        <f>INDEX(Places[Majority RB],MATCH(Activities[[#This Row],[Jurisdiction]],Places[Jurisdiction],0))</f>
        <v>Los Angeles</v>
      </c>
      <c r="E419" s="9">
        <f>INDEX(Places[Majority RB '#],MATCH(Activities[[#This Row],[Jurisdiction]],Places[Jurisdiction],0))</f>
        <v>4</v>
      </c>
      <c r="F419" s="28" t="str">
        <f>VLOOKUP(Activities[[#This Row],[Jurisdiction]],Places[#All],8,FALSE)</f>
        <v>Phase I MS4</v>
      </c>
      <c r="G419" s="48" t="s">
        <v>33</v>
      </c>
      <c r="H419" s="8"/>
      <c r="I419" s="8"/>
      <c r="J419" s="8" t="s">
        <v>47</v>
      </c>
      <c r="K419" s="27" t="s">
        <v>1873</v>
      </c>
      <c r="L419" s="28">
        <f>_xlfn.NUMBERVALUE(LEFT(Activities[[#This Row],[Fiscal Year]], 4))</f>
        <v>2015</v>
      </c>
      <c r="M419" s="28" t="s">
        <v>1862</v>
      </c>
      <c r="N419" s="41">
        <v>55000</v>
      </c>
      <c r="O419" s="93">
        <f>IF(Activities[[#This Row],[Reference Year]]&gt;2018,Activities[[#This Row],[Value]],Activities[[#This Row],[Value]]*(1+VLOOKUP(Activities[[#This Row],[Reference Year]],Inflation[#All],3,FALSE)))</f>
        <v>58395.379746835439</v>
      </c>
    </row>
    <row r="420" spans="1:15" ht="15" customHeight="1" x14ac:dyDescent="0.25">
      <c r="A420" s="9" t="s">
        <v>162</v>
      </c>
      <c r="B420" s="9" t="str">
        <f>INDEX(Places[Type],MATCH(Activities[[#This Row],[Jurisdiction]],Places[Jurisdiction],0))</f>
        <v>City</v>
      </c>
      <c r="C420" s="19" t="str">
        <f>INDEX(Places[County],MATCH(Activities[[#This Row],[Jurisdiction]],Places[Jurisdiction],0))</f>
        <v>Los Angeles</v>
      </c>
      <c r="D420" s="19" t="str">
        <f>INDEX(Places[Majority RB],MATCH(Activities[[#This Row],[Jurisdiction]],Places[Jurisdiction],0))</f>
        <v>Los Angeles</v>
      </c>
      <c r="E420" s="9">
        <f>INDEX(Places[Majority RB '#],MATCH(Activities[[#This Row],[Jurisdiction]],Places[Jurisdiction],0))</f>
        <v>4</v>
      </c>
      <c r="F420" s="28" t="str">
        <f>VLOOKUP(Activities[[#This Row],[Jurisdiction]],Places[#All],8,FALSE)</f>
        <v>Phase I MS4</v>
      </c>
      <c r="G420" s="48" t="s">
        <v>64</v>
      </c>
      <c r="H420" s="8"/>
      <c r="I420" s="8"/>
      <c r="J420" s="8" t="s">
        <v>76</v>
      </c>
      <c r="K420" s="27" t="s">
        <v>1873</v>
      </c>
      <c r="L420" s="28">
        <f>_xlfn.NUMBERVALUE(LEFT(Activities[[#This Row],[Fiscal Year]], 4))</f>
        <v>2015</v>
      </c>
      <c r="M420" s="28" t="s">
        <v>1862</v>
      </c>
      <c r="N420" s="41">
        <v>307348</v>
      </c>
      <c r="O420" s="93">
        <f>IF(Activities[[#This Row],[Reference Year]]&gt;2018,Activities[[#This Row],[Value]],Activities[[#This Row],[Value]]*(1+VLOOKUP(Activities[[#This Row],[Reference Year]],Inflation[#All],3,FALSE)))</f>
        <v>326321.87589873414</v>
      </c>
    </row>
    <row r="421" spans="1:15" ht="15" customHeight="1" x14ac:dyDescent="0.25">
      <c r="A421" s="9" t="s">
        <v>162</v>
      </c>
      <c r="B421" s="9" t="str">
        <f>INDEX(Places[Type],MATCH(Activities[[#This Row],[Jurisdiction]],Places[Jurisdiction],0))</f>
        <v>City</v>
      </c>
      <c r="C421" s="19" t="str">
        <f>INDEX(Places[County],MATCH(Activities[[#This Row],[Jurisdiction]],Places[Jurisdiction],0))</f>
        <v>Los Angeles</v>
      </c>
      <c r="D421" s="19" t="str">
        <f>INDEX(Places[Majority RB],MATCH(Activities[[#This Row],[Jurisdiction]],Places[Jurisdiction],0))</f>
        <v>Los Angeles</v>
      </c>
      <c r="E421" s="9">
        <f>INDEX(Places[Majority RB '#],MATCH(Activities[[#This Row],[Jurisdiction]],Places[Jurisdiction],0))</f>
        <v>4</v>
      </c>
      <c r="F421" s="28" t="str">
        <f>VLOOKUP(Activities[[#This Row],[Jurisdiction]],Places[#All],8,FALSE)</f>
        <v>Phase I MS4</v>
      </c>
      <c r="G421" s="48" t="s">
        <v>62</v>
      </c>
      <c r="H421" s="8"/>
      <c r="I421" s="8"/>
      <c r="J421" s="8" t="s">
        <v>131</v>
      </c>
      <c r="K421" s="27" t="s">
        <v>1873</v>
      </c>
      <c r="L421" s="28">
        <f>_xlfn.NUMBERVALUE(LEFT(Activities[[#This Row],[Fiscal Year]], 4))</f>
        <v>2015</v>
      </c>
      <c r="M421" s="28" t="s">
        <v>1862</v>
      </c>
      <c r="N421" s="41">
        <v>5871.5</v>
      </c>
      <c r="O421" s="93">
        <f>IF(Activities[[#This Row],[Reference Year]]&gt;2018,Activities[[#This Row],[Value]],Activities[[#This Row],[Value]]*(1+VLOOKUP(Activities[[#This Row],[Reference Year]],Inflation[#All],3,FALSE)))</f>
        <v>6233.9722215189868</v>
      </c>
    </row>
    <row r="422" spans="1:15" ht="15" customHeight="1" x14ac:dyDescent="0.25">
      <c r="A422" s="9" t="s">
        <v>162</v>
      </c>
      <c r="B422" s="9" t="str">
        <f>INDEX(Places[Type],MATCH(Activities[[#This Row],[Jurisdiction]],Places[Jurisdiction],0))</f>
        <v>City</v>
      </c>
      <c r="C422" s="19" t="str">
        <f>INDEX(Places[County],MATCH(Activities[[#This Row],[Jurisdiction]],Places[Jurisdiction],0))</f>
        <v>Los Angeles</v>
      </c>
      <c r="D422" s="19" t="str">
        <f>INDEX(Places[Majority RB],MATCH(Activities[[#This Row],[Jurisdiction]],Places[Jurisdiction],0))</f>
        <v>Los Angeles</v>
      </c>
      <c r="E422" s="9">
        <f>INDEX(Places[Majority RB '#],MATCH(Activities[[#This Row],[Jurisdiction]],Places[Jurisdiction],0))</f>
        <v>4</v>
      </c>
      <c r="F422" s="28" t="str">
        <f>VLOOKUP(Activities[[#This Row],[Jurisdiction]],Places[#All],8,FALSE)</f>
        <v>Phase I MS4</v>
      </c>
      <c r="G422" s="48" t="s">
        <v>208</v>
      </c>
      <c r="H422" s="8"/>
      <c r="I422" s="8"/>
      <c r="J422" s="8" t="s">
        <v>334</v>
      </c>
      <c r="K422" s="27" t="s">
        <v>1873</v>
      </c>
      <c r="L422" s="28">
        <f>_xlfn.NUMBERVALUE(LEFT(Activities[[#This Row],[Fiscal Year]], 4))</f>
        <v>2015</v>
      </c>
      <c r="M422" s="28" t="s">
        <v>1862</v>
      </c>
      <c r="N422" s="41">
        <v>38182.75</v>
      </c>
      <c r="O422" s="93">
        <f>IF(Activities[[#This Row],[Reference Year]]&gt;2018,Activities[[#This Row],[Value]],Activities[[#This Row],[Value]]*(1+VLOOKUP(Activities[[#This Row],[Reference Year]],Inflation[#All],3,FALSE)))</f>
        <v>40539.93065506329</v>
      </c>
    </row>
    <row r="423" spans="1:15" ht="15" customHeight="1" x14ac:dyDescent="0.25">
      <c r="A423" s="9" t="s">
        <v>162</v>
      </c>
      <c r="B423" s="9" t="str">
        <f>INDEX(Places[Type],MATCH(Activities[[#This Row],[Jurisdiction]],Places[Jurisdiction],0))</f>
        <v>City</v>
      </c>
      <c r="C423" s="19" t="str">
        <f>INDEX(Places[County],MATCH(Activities[[#This Row],[Jurisdiction]],Places[Jurisdiction],0))</f>
        <v>Los Angeles</v>
      </c>
      <c r="D423" s="19" t="str">
        <f>INDEX(Places[Majority RB],MATCH(Activities[[#This Row],[Jurisdiction]],Places[Jurisdiction],0))</f>
        <v>Los Angeles</v>
      </c>
      <c r="E423" s="9">
        <f>INDEX(Places[Majority RB '#],MATCH(Activities[[#This Row],[Jurisdiction]],Places[Jurisdiction],0))</f>
        <v>4</v>
      </c>
      <c r="F423" s="28" t="str">
        <f>VLOOKUP(Activities[[#This Row],[Jurisdiction]],Places[#All],8,FALSE)</f>
        <v>Phase I MS4</v>
      </c>
      <c r="G423" s="48" t="s">
        <v>61</v>
      </c>
      <c r="H423" s="8"/>
      <c r="I423" s="8"/>
      <c r="J423" s="8" t="s">
        <v>1897</v>
      </c>
      <c r="K423" s="27" t="s">
        <v>1873</v>
      </c>
      <c r="L423" s="28">
        <f>_xlfn.NUMBERVALUE(LEFT(Activities[[#This Row],[Fiscal Year]], 4))</f>
        <v>2015</v>
      </c>
      <c r="M423" s="28" t="s">
        <v>1862</v>
      </c>
      <c r="N423" s="41">
        <v>601645.5</v>
      </c>
      <c r="O423" s="93">
        <f>IF(Activities[[#This Row],[Reference Year]]&gt;2018,Activities[[#This Row],[Value]],Activities[[#This Row],[Value]]*(1+VLOOKUP(Activities[[#This Row],[Reference Year]],Inflation[#All],3,FALSE)))</f>
        <v>638787.58991772146</v>
      </c>
    </row>
    <row r="424" spans="1:15" ht="15" customHeight="1" x14ac:dyDescent="0.25">
      <c r="A424" s="9" t="s">
        <v>162</v>
      </c>
      <c r="B424" s="9" t="str">
        <f>INDEX(Places[Type],MATCH(Activities[[#This Row],[Jurisdiction]],Places[Jurisdiction],0))</f>
        <v>City</v>
      </c>
      <c r="C424" s="19" t="str">
        <f>INDEX(Places[County],MATCH(Activities[[#This Row],[Jurisdiction]],Places[Jurisdiction],0))</f>
        <v>Los Angeles</v>
      </c>
      <c r="D424" s="19" t="str">
        <f>INDEX(Places[Majority RB],MATCH(Activities[[#This Row],[Jurisdiction]],Places[Jurisdiction],0))</f>
        <v>Los Angeles</v>
      </c>
      <c r="E424" s="9">
        <f>INDEX(Places[Majority RB '#],MATCH(Activities[[#This Row],[Jurisdiction]],Places[Jurisdiction],0))</f>
        <v>4</v>
      </c>
      <c r="F424" s="28" t="str">
        <f>VLOOKUP(Activities[[#This Row],[Jurisdiction]],Places[#All],8,FALSE)</f>
        <v>Phase I MS4</v>
      </c>
      <c r="G424" s="48" t="s">
        <v>60</v>
      </c>
      <c r="H424" s="8"/>
      <c r="I424" s="8"/>
      <c r="J424" s="8" t="s">
        <v>1898</v>
      </c>
      <c r="K424" s="27" t="s">
        <v>1873</v>
      </c>
      <c r="L424" s="28">
        <f>_xlfn.NUMBERVALUE(LEFT(Activities[[#This Row],[Fiscal Year]], 4))</f>
        <v>2015</v>
      </c>
      <c r="M424" s="28" t="s">
        <v>1862</v>
      </c>
      <c r="N424" s="41">
        <v>17272.5</v>
      </c>
      <c r="O424" s="93">
        <f>IF(Activities[[#This Row],[Reference Year]]&gt;2018,Activities[[#This Row],[Value]],Activities[[#This Row],[Value]]*(1+VLOOKUP(Activities[[#This Row],[Reference Year]],Inflation[#All],3,FALSE)))</f>
        <v>18338.803575949365</v>
      </c>
    </row>
    <row r="425" spans="1:15" ht="15" customHeight="1" x14ac:dyDescent="0.25">
      <c r="A425" s="9" t="s">
        <v>162</v>
      </c>
      <c r="B425" s="9" t="str">
        <f>INDEX(Places[Type],MATCH(Activities[[#This Row],[Jurisdiction]],Places[Jurisdiction],0))</f>
        <v>City</v>
      </c>
      <c r="C425" s="19" t="str">
        <f>INDEX(Places[County],MATCH(Activities[[#This Row],[Jurisdiction]],Places[Jurisdiction],0))</f>
        <v>Los Angeles</v>
      </c>
      <c r="D425" s="19" t="str">
        <f>INDEX(Places[Majority RB],MATCH(Activities[[#This Row],[Jurisdiction]],Places[Jurisdiction],0))</f>
        <v>Los Angeles</v>
      </c>
      <c r="E425" s="9">
        <f>INDEX(Places[Majority RB '#],MATCH(Activities[[#This Row],[Jurisdiction]],Places[Jurisdiction],0))</f>
        <v>4</v>
      </c>
      <c r="F425" s="28" t="str">
        <f>VLOOKUP(Activities[[#This Row],[Jurisdiction]],Places[#All],8,FALSE)</f>
        <v>Phase I MS4</v>
      </c>
      <c r="G425" s="48" t="s">
        <v>59</v>
      </c>
      <c r="H425" s="8"/>
      <c r="I425" s="8"/>
      <c r="J425" s="8" t="s">
        <v>1898</v>
      </c>
      <c r="K425" s="27" t="s">
        <v>1873</v>
      </c>
      <c r="L425" s="28">
        <f>_xlfn.NUMBERVALUE(LEFT(Activities[[#This Row],[Fiscal Year]], 4))</f>
        <v>2015</v>
      </c>
      <c r="M425" s="28" t="s">
        <v>1862</v>
      </c>
      <c r="N425" s="41">
        <v>27779.5</v>
      </c>
      <c r="O425" s="93">
        <f>IF(Activities[[#This Row],[Reference Year]]&gt;2018,Activities[[#This Row],[Value]],Activities[[#This Row],[Value]]*(1+VLOOKUP(Activities[[#This Row],[Reference Year]],Inflation[#All],3,FALSE)))</f>
        <v>29494.444575949365</v>
      </c>
    </row>
    <row r="426" spans="1:15" ht="15" customHeight="1" x14ac:dyDescent="0.25">
      <c r="A426" s="9" t="s">
        <v>162</v>
      </c>
      <c r="B426" s="9" t="str">
        <f>INDEX(Places[Type],MATCH(Activities[[#This Row],[Jurisdiction]],Places[Jurisdiction],0))</f>
        <v>City</v>
      </c>
      <c r="C426" s="19" t="str">
        <f>INDEX(Places[County],MATCH(Activities[[#This Row],[Jurisdiction]],Places[Jurisdiction],0))</f>
        <v>Los Angeles</v>
      </c>
      <c r="D426" s="19" t="str">
        <f>INDEX(Places[Majority RB],MATCH(Activities[[#This Row],[Jurisdiction]],Places[Jurisdiction],0))</f>
        <v>Los Angeles</v>
      </c>
      <c r="E426" s="9">
        <f>INDEX(Places[Majority RB '#],MATCH(Activities[[#This Row],[Jurisdiction]],Places[Jurisdiction],0))</f>
        <v>4</v>
      </c>
      <c r="F426" s="28" t="str">
        <f>VLOOKUP(Activities[[#This Row],[Jurisdiction]],Places[#All],8,FALSE)</f>
        <v>Phase I MS4</v>
      </c>
      <c r="G426" s="48" t="s">
        <v>58</v>
      </c>
      <c r="H426" s="8"/>
      <c r="I426" s="8"/>
      <c r="J426" s="8" t="s">
        <v>1456</v>
      </c>
      <c r="K426" s="27" t="s">
        <v>1873</v>
      </c>
      <c r="L426" s="28">
        <f>_xlfn.NUMBERVALUE(LEFT(Activities[[#This Row],[Fiscal Year]], 4))</f>
        <v>2015</v>
      </c>
      <c r="M426" s="28" t="s">
        <v>1862</v>
      </c>
      <c r="N426" s="41">
        <v>5194.5</v>
      </c>
      <c r="O426" s="93">
        <f>IF(Activities[[#This Row],[Reference Year]]&gt;2018,Activities[[#This Row],[Value]],Activities[[#This Row],[Value]]*(1+VLOOKUP(Activities[[#This Row],[Reference Year]],Inflation[#All],3,FALSE)))</f>
        <v>5515.1781835443035</v>
      </c>
    </row>
    <row r="427" spans="1:15" ht="15" customHeight="1" x14ac:dyDescent="0.25">
      <c r="A427" s="9" t="s">
        <v>162</v>
      </c>
      <c r="B427" s="9" t="str">
        <f>INDEX(Places[Type],MATCH(Activities[[#This Row],[Jurisdiction]],Places[Jurisdiction],0))</f>
        <v>City</v>
      </c>
      <c r="C427" s="19" t="str">
        <f>INDEX(Places[County],MATCH(Activities[[#This Row],[Jurisdiction]],Places[Jurisdiction],0))</f>
        <v>Los Angeles</v>
      </c>
      <c r="D427" s="19" t="str">
        <f>INDEX(Places[Majority RB],MATCH(Activities[[#This Row],[Jurisdiction]],Places[Jurisdiction],0))</f>
        <v>Los Angeles</v>
      </c>
      <c r="E427" s="9">
        <f>INDEX(Places[Majority RB '#],MATCH(Activities[[#This Row],[Jurisdiction]],Places[Jurisdiction],0))</f>
        <v>4</v>
      </c>
      <c r="F427" s="28" t="str">
        <f>VLOOKUP(Activities[[#This Row],[Jurisdiction]],Places[#All],8,FALSE)</f>
        <v>Phase I MS4</v>
      </c>
      <c r="G427" s="48" t="s">
        <v>32</v>
      </c>
      <c r="H427" s="8"/>
      <c r="I427" s="8"/>
      <c r="J427" s="8" t="s">
        <v>1894</v>
      </c>
      <c r="K427" s="27" t="s">
        <v>1873</v>
      </c>
      <c r="L427" s="28">
        <f>_xlfn.NUMBERVALUE(LEFT(Activities[[#This Row],[Fiscal Year]], 4))</f>
        <v>2015</v>
      </c>
      <c r="M427" s="28" t="s">
        <v>1862</v>
      </c>
      <c r="N427" s="41">
        <v>5818.75</v>
      </c>
      <c r="O427" s="93">
        <f>IF(Activities[[#This Row],[Reference Year]]&gt;2018,Activities[[#This Row],[Value]],Activities[[#This Row],[Value]]*(1+VLOOKUP(Activities[[#This Row],[Reference Year]],Inflation[#All],3,FALSE)))</f>
        <v>6177.9657436708858</v>
      </c>
    </row>
    <row r="428" spans="1:15" ht="15" customHeight="1" x14ac:dyDescent="0.25">
      <c r="A428" s="9" t="s">
        <v>162</v>
      </c>
      <c r="B428" s="9" t="str">
        <f>INDEX(Places[Type],MATCH(Activities[[#This Row],[Jurisdiction]],Places[Jurisdiction],0))</f>
        <v>City</v>
      </c>
      <c r="C428" s="19" t="str">
        <f>INDEX(Places[County],MATCH(Activities[[#This Row],[Jurisdiction]],Places[Jurisdiction],0))</f>
        <v>Los Angeles</v>
      </c>
      <c r="D428" s="19" t="str">
        <f>INDEX(Places[Majority RB],MATCH(Activities[[#This Row],[Jurisdiction]],Places[Jurisdiction],0))</f>
        <v>Los Angeles</v>
      </c>
      <c r="E428" s="9">
        <f>INDEX(Places[Majority RB '#],MATCH(Activities[[#This Row],[Jurisdiction]],Places[Jurisdiction],0))</f>
        <v>4</v>
      </c>
      <c r="F428" s="28" t="str">
        <f>VLOOKUP(Activities[[#This Row],[Jurisdiction]],Places[#All],8,FALSE)</f>
        <v>Phase I MS4</v>
      </c>
      <c r="G428" s="48" t="s">
        <v>67</v>
      </c>
      <c r="H428" s="57" t="s">
        <v>913</v>
      </c>
      <c r="I428" s="8" t="s">
        <v>429</v>
      </c>
      <c r="J428" s="8" t="s">
        <v>1896</v>
      </c>
      <c r="K428" s="27" t="s">
        <v>1873</v>
      </c>
      <c r="L428" s="28">
        <f>_xlfn.NUMBERVALUE(LEFT(Activities[[#This Row],[Fiscal Year]], 4))</f>
        <v>2015</v>
      </c>
      <c r="M428" s="28" t="s">
        <v>1862</v>
      </c>
      <c r="N428" s="41">
        <v>256856.3</v>
      </c>
      <c r="O428" s="93">
        <f>IF(Activities[[#This Row],[Reference Year]]&gt;2018,Activities[[#This Row],[Value]],Activities[[#This Row],[Value]]*(1+VLOOKUP(Activities[[#This Row],[Reference Year]],Inflation[#All],3,FALSE)))</f>
        <v>272713.11234303797</v>
      </c>
    </row>
    <row r="429" spans="1:15" ht="15" customHeight="1" x14ac:dyDescent="0.25">
      <c r="A429" s="9" t="s">
        <v>162</v>
      </c>
      <c r="B429" s="9" t="str">
        <f>INDEX(Places[Type],MATCH(Activities[[#This Row],[Jurisdiction]],Places[Jurisdiction],0))</f>
        <v>City</v>
      </c>
      <c r="C429" s="19" t="str">
        <f>INDEX(Places[County],MATCH(Activities[[#This Row],[Jurisdiction]],Places[Jurisdiction],0))</f>
        <v>Los Angeles</v>
      </c>
      <c r="D429" s="19" t="str">
        <f>INDEX(Places[Majority RB],MATCH(Activities[[#This Row],[Jurisdiction]],Places[Jurisdiction],0))</f>
        <v>Los Angeles</v>
      </c>
      <c r="E429" s="9">
        <f>INDEX(Places[Majority RB '#],MATCH(Activities[[#This Row],[Jurisdiction]],Places[Jurisdiction],0))</f>
        <v>4</v>
      </c>
      <c r="F429" s="28" t="str">
        <f>VLOOKUP(Activities[[#This Row],[Jurisdiction]],Places[#All],8,FALSE)</f>
        <v>Phase I MS4</v>
      </c>
      <c r="G429" s="48" t="s">
        <v>33</v>
      </c>
      <c r="H429" s="8"/>
      <c r="I429" s="8"/>
      <c r="J429" s="8" t="s">
        <v>47</v>
      </c>
      <c r="K429" s="27" t="s">
        <v>1873</v>
      </c>
      <c r="L429" s="28">
        <f>_xlfn.NUMBERVALUE(LEFT(Activities[[#This Row],[Fiscal Year]], 4))</f>
        <v>2015</v>
      </c>
      <c r="M429" s="28" t="s">
        <v>1862</v>
      </c>
      <c r="N429" s="41">
        <v>6765.75</v>
      </c>
      <c r="O429" s="93">
        <f>IF(Activities[[#This Row],[Reference Year]]&gt;2018,Activities[[#This Row],[Value]],Activities[[#This Row],[Value]]*(1+VLOOKUP(Activities[[#This Row],[Reference Year]],Inflation[#All],3,FALSE)))</f>
        <v>7183.4280094936703</v>
      </c>
    </row>
    <row r="430" spans="1:15" ht="15" customHeight="1" x14ac:dyDescent="0.25">
      <c r="A430" s="9" t="s">
        <v>182</v>
      </c>
      <c r="B430" s="9" t="str">
        <f>INDEX(Places[Type],MATCH(Activities[[#This Row],[Jurisdiction]],Places[Jurisdiction],0))</f>
        <v>City</v>
      </c>
      <c r="C430" s="19" t="str">
        <f>INDEX(Places[County],MATCH(Activities[[#This Row],[Jurisdiction]],Places[Jurisdiction],0))</f>
        <v>Los Angeles</v>
      </c>
      <c r="D430" s="19" t="str">
        <f>INDEX(Places[Majority RB],MATCH(Activities[[#This Row],[Jurisdiction]],Places[Jurisdiction],0))</f>
        <v>Los Angeles</v>
      </c>
      <c r="E430" s="9">
        <f>INDEX(Places[Majority RB '#],MATCH(Activities[[#This Row],[Jurisdiction]],Places[Jurisdiction],0))</f>
        <v>4</v>
      </c>
      <c r="F430" s="28" t="str">
        <f>VLOOKUP(Activities[[#This Row],[Jurisdiction]],Places[#All],8,FALSE)</f>
        <v>Phase I MS4</v>
      </c>
      <c r="G430" s="48" t="s">
        <v>851</v>
      </c>
      <c r="H430" s="8"/>
      <c r="I430" s="8"/>
      <c r="J430" s="8" t="s">
        <v>76</v>
      </c>
      <c r="K430" s="27" t="s">
        <v>1873</v>
      </c>
      <c r="L430" s="28">
        <f>_xlfn.NUMBERVALUE(LEFT(Activities[[#This Row],[Fiscal Year]], 4))</f>
        <v>2015</v>
      </c>
      <c r="M430" s="28" t="s">
        <v>1862</v>
      </c>
      <c r="N430" s="41">
        <v>36000</v>
      </c>
      <c r="O430" s="93">
        <f>IF(Activities[[#This Row],[Reference Year]]&gt;2018,Activities[[#This Row],[Value]],Activities[[#This Row],[Value]]*(1+VLOOKUP(Activities[[#This Row],[Reference Year]],Inflation[#All],3,FALSE)))</f>
        <v>38222.430379746831</v>
      </c>
    </row>
    <row r="431" spans="1:15" ht="15" customHeight="1" x14ac:dyDescent="0.25">
      <c r="A431" s="9" t="s">
        <v>182</v>
      </c>
      <c r="B431" s="9" t="str">
        <f>INDEX(Places[Type],MATCH(Activities[[#This Row],[Jurisdiction]],Places[Jurisdiction],0))</f>
        <v>City</v>
      </c>
      <c r="C431" s="19" t="str">
        <f>INDEX(Places[County],MATCH(Activities[[#This Row],[Jurisdiction]],Places[Jurisdiction],0))</f>
        <v>Los Angeles</v>
      </c>
      <c r="D431" s="19" t="str">
        <f>INDEX(Places[Majority RB],MATCH(Activities[[#This Row],[Jurisdiction]],Places[Jurisdiction],0))</f>
        <v>Los Angeles</v>
      </c>
      <c r="E431" s="9">
        <f>INDEX(Places[Majority RB '#],MATCH(Activities[[#This Row],[Jurisdiction]],Places[Jurisdiction],0))</f>
        <v>4</v>
      </c>
      <c r="F431" s="28" t="str">
        <f>VLOOKUP(Activities[[#This Row],[Jurisdiction]],Places[#All],8,FALSE)</f>
        <v>Phase I MS4</v>
      </c>
      <c r="G431" s="48" t="s">
        <v>849</v>
      </c>
      <c r="H431" s="8"/>
      <c r="I431" s="8"/>
      <c r="J431" s="8" t="s">
        <v>131</v>
      </c>
      <c r="K431" s="27" t="s">
        <v>1873</v>
      </c>
      <c r="L431" s="28">
        <f>_xlfn.NUMBERVALUE(LEFT(Activities[[#This Row],[Fiscal Year]], 4))</f>
        <v>2015</v>
      </c>
      <c r="M431" s="28" t="s">
        <v>1862</v>
      </c>
      <c r="N431" s="41">
        <v>6600</v>
      </c>
      <c r="O431" s="93">
        <f>IF(Activities[[#This Row],[Reference Year]]&gt;2018,Activities[[#This Row],[Value]],Activities[[#This Row],[Value]]*(1+VLOOKUP(Activities[[#This Row],[Reference Year]],Inflation[#All],3,FALSE)))</f>
        <v>7007.4455696202531</v>
      </c>
    </row>
    <row r="432" spans="1:15" ht="15" customHeight="1" x14ac:dyDescent="0.25">
      <c r="A432" s="9" t="s">
        <v>182</v>
      </c>
      <c r="B432" s="9" t="str">
        <f>INDEX(Places[Type],MATCH(Activities[[#This Row],[Jurisdiction]],Places[Jurisdiction],0))</f>
        <v>City</v>
      </c>
      <c r="C432" s="19" t="str">
        <f>INDEX(Places[County],MATCH(Activities[[#This Row],[Jurisdiction]],Places[Jurisdiction],0))</f>
        <v>Los Angeles</v>
      </c>
      <c r="D432" s="19" t="str">
        <f>INDEX(Places[Majority RB],MATCH(Activities[[#This Row],[Jurisdiction]],Places[Jurisdiction],0))</f>
        <v>Los Angeles</v>
      </c>
      <c r="E432" s="9">
        <f>INDEX(Places[Majority RB '#],MATCH(Activities[[#This Row],[Jurisdiction]],Places[Jurisdiction],0))</f>
        <v>4</v>
      </c>
      <c r="F432" s="28" t="str">
        <f>VLOOKUP(Activities[[#This Row],[Jurisdiction]],Places[#All],8,FALSE)</f>
        <v>Phase I MS4</v>
      </c>
      <c r="G432" s="48" t="s">
        <v>845</v>
      </c>
      <c r="H432" s="8"/>
      <c r="I432" s="8"/>
      <c r="J432" s="8" t="s">
        <v>334</v>
      </c>
      <c r="K432" s="27" t="s">
        <v>1873</v>
      </c>
      <c r="L432" s="28">
        <f>_xlfn.NUMBERVALUE(LEFT(Activities[[#This Row],[Fiscal Year]], 4))</f>
        <v>2015</v>
      </c>
      <c r="M432" s="28" t="s">
        <v>1862</v>
      </c>
      <c r="N432" s="41">
        <v>15000</v>
      </c>
      <c r="O432" s="93">
        <f>IF(Activities[[#This Row],[Reference Year]]&gt;2018,Activities[[#This Row],[Value]],Activities[[#This Row],[Value]]*(1+VLOOKUP(Activities[[#This Row],[Reference Year]],Inflation[#All],3,FALSE)))</f>
        <v>15926.012658227848</v>
      </c>
    </row>
    <row r="433" spans="1:15" ht="15" customHeight="1" x14ac:dyDescent="0.25">
      <c r="A433" s="9" t="s">
        <v>182</v>
      </c>
      <c r="B433" s="9" t="str">
        <f>INDEX(Places[Type],MATCH(Activities[[#This Row],[Jurisdiction]],Places[Jurisdiction],0))</f>
        <v>City</v>
      </c>
      <c r="C433" s="19" t="str">
        <f>INDEX(Places[County],MATCH(Activities[[#This Row],[Jurisdiction]],Places[Jurisdiction],0))</f>
        <v>Los Angeles</v>
      </c>
      <c r="D433" s="19" t="str">
        <f>INDEX(Places[Majority RB],MATCH(Activities[[#This Row],[Jurisdiction]],Places[Jurisdiction],0))</f>
        <v>Los Angeles</v>
      </c>
      <c r="E433" s="9">
        <f>INDEX(Places[Majority RB '#],MATCH(Activities[[#This Row],[Jurisdiction]],Places[Jurisdiction],0))</f>
        <v>4</v>
      </c>
      <c r="F433" s="28" t="str">
        <f>VLOOKUP(Activities[[#This Row],[Jurisdiction]],Places[#All],8,FALSE)</f>
        <v>Phase I MS4</v>
      </c>
      <c r="G433" s="48" t="s">
        <v>857</v>
      </c>
      <c r="H433" s="8"/>
      <c r="I433" s="8"/>
      <c r="J433" s="8" t="s">
        <v>1897</v>
      </c>
      <c r="K433" s="27" t="s">
        <v>1873</v>
      </c>
      <c r="L433" s="28">
        <f>_xlfn.NUMBERVALUE(LEFT(Activities[[#This Row],[Fiscal Year]], 4))</f>
        <v>2015</v>
      </c>
      <c r="M433" s="28" t="s">
        <v>1862</v>
      </c>
      <c r="N433" s="41">
        <v>506200</v>
      </c>
      <c r="O433" s="93">
        <f>IF(Activities[[#This Row],[Reference Year]]&gt;2018,Activities[[#This Row],[Value]],Activities[[#This Row],[Value]]*(1+VLOOKUP(Activities[[#This Row],[Reference Year]],Inflation[#All],3,FALSE)))</f>
        <v>537449.84050632908</v>
      </c>
    </row>
    <row r="434" spans="1:15" ht="15" customHeight="1" x14ac:dyDescent="0.25">
      <c r="A434" s="9" t="s">
        <v>182</v>
      </c>
      <c r="B434" s="9" t="str">
        <f>INDEX(Places[Type],MATCH(Activities[[#This Row],[Jurisdiction]],Places[Jurisdiction],0))</f>
        <v>City</v>
      </c>
      <c r="C434" s="19" t="str">
        <f>INDEX(Places[County],MATCH(Activities[[#This Row],[Jurisdiction]],Places[Jurisdiction],0))</f>
        <v>Los Angeles</v>
      </c>
      <c r="D434" s="19" t="str">
        <f>INDEX(Places[Majority RB],MATCH(Activities[[#This Row],[Jurisdiction]],Places[Jurisdiction],0))</f>
        <v>Los Angeles</v>
      </c>
      <c r="E434" s="9">
        <f>INDEX(Places[Majority RB '#],MATCH(Activities[[#This Row],[Jurisdiction]],Places[Jurisdiction],0))</f>
        <v>4</v>
      </c>
      <c r="F434" s="28" t="str">
        <f>VLOOKUP(Activities[[#This Row],[Jurisdiction]],Places[#All],8,FALSE)</f>
        <v>Phase I MS4</v>
      </c>
      <c r="G434" s="48" t="s">
        <v>846</v>
      </c>
      <c r="H434" s="8"/>
      <c r="I434" s="8"/>
      <c r="J434" s="8" t="s">
        <v>1898</v>
      </c>
      <c r="K434" s="27" t="s">
        <v>1873</v>
      </c>
      <c r="L434" s="28">
        <f>_xlfn.NUMBERVALUE(LEFT(Activities[[#This Row],[Fiscal Year]], 4))</f>
        <v>2015</v>
      </c>
      <c r="M434" s="28" t="s">
        <v>1862</v>
      </c>
      <c r="N434" s="41">
        <v>6500</v>
      </c>
      <c r="O434" s="93">
        <f>IF(Activities[[#This Row],[Reference Year]]&gt;2018,Activities[[#This Row],[Value]],Activities[[#This Row],[Value]]*(1+VLOOKUP(Activities[[#This Row],[Reference Year]],Inflation[#All],3,FALSE)))</f>
        <v>6901.2721518987337</v>
      </c>
    </row>
    <row r="435" spans="1:15" ht="15" customHeight="1" x14ac:dyDescent="0.25">
      <c r="A435" s="9" t="s">
        <v>182</v>
      </c>
      <c r="B435" s="9" t="str">
        <f>INDEX(Places[Type],MATCH(Activities[[#This Row],[Jurisdiction]],Places[Jurisdiction],0))</f>
        <v>City</v>
      </c>
      <c r="C435" s="19" t="str">
        <f>INDEX(Places[County],MATCH(Activities[[#This Row],[Jurisdiction]],Places[Jurisdiction],0))</f>
        <v>Los Angeles</v>
      </c>
      <c r="D435" s="19" t="str">
        <f>INDEX(Places[Majority RB],MATCH(Activities[[#This Row],[Jurisdiction]],Places[Jurisdiction],0))</f>
        <v>Los Angeles</v>
      </c>
      <c r="E435" s="9">
        <f>INDEX(Places[Majority RB '#],MATCH(Activities[[#This Row],[Jurisdiction]],Places[Jurisdiction],0))</f>
        <v>4</v>
      </c>
      <c r="F435" s="28" t="str">
        <f>VLOOKUP(Activities[[#This Row],[Jurisdiction]],Places[#All],8,FALSE)</f>
        <v>Phase I MS4</v>
      </c>
      <c r="G435" s="48" t="s">
        <v>847</v>
      </c>
      <c r="H435" s="8"/>
      <c r="I435" s="8"/>
      <c r="J435" s="8" t="s">
        <v>1898</v>
      </c>
      <c r="K435" s="27" t="s">
        <v>1873</v>
      </c>
      <c r="L435" s="28">
        <f>_xlfn.NUMBERVALUE(LEFT(Activities[[#This Row],[Fiscal Year]], 4))</f>
        <v>2015</v>
      </c>
      <c r="M435" s="28" t="s">
        <v>1862</v>
      </c>
      <c r="N435" s="41">
        <v>7600</v>
      </c>
      <c r="O435" s="93">
        <f>IF(Activities[[#This Row],[Reference Year]]&gt;2018,Activities[[#This Row],[Value]],Activities[[#This Row],[Value]]*(1+VLOOKUP(Activities[[#This Row],[Reference Year]],Inflation[#All],3,FALSE)))</f>
        <v>8069.1797468354425</v>
      </c>
    </row>
    <row r="436" spans="1:15" ht="15" customHeight="1" x14ac:dyDescent="0.25">
      <c r="A436" s="9" t="s">
        <v>182</v>
      </c>
      <c r="B436" s="9" t="str">
        <f>INDEX(Places[Type],MATCH(Activities[[#This Row],[Jurisdiction]],Places[Jurisdiction],0))</f>
        <v>City</v>
      </c>
      <c r="C436" s="19" t="str">
        <f>INDEX(Places[County],MATCH(Activities[[#This Row],[Jurisdiction]],Places[Jurisdiction],0))</f>
        <v>Los Angeles</v>
      </c>
      <c r="D436" s="19" t="str">
        <f>INDEX(Places[Majority RB],MATCH(Activities[[#This Row],[Jurisdiction]],Places[Jurisdiction],0))</f>
        <v>Los Angeles</v>
      </c>
      <c r="E436" s="9">
        <f>INDEX(Places[Majority RB '#],MATCH(Activities[[#This Row],[Jurisdiction]],Places[Jurisdiction],0))</f>
        <v>4</v>
      </c>
      <c r="F436" s="28" t="str">
        <f>VLOOKUP(Activities[[#This Row],[Jurisdiction]],Places[#All],8,FALSE)</f>
        <v>Phase I MS4</v>
      </c>
      <c r="G436" s="48" t="s">
        <v>844</v>
      </c>
      <c r="H436" s="8"/>
      <c r="I436" s="8"/>
      <c r="J436" s="8" t="s">
        <v>1456</v>
      </c>
      <c r="K436" s="27" t="s">
        <v>1873</v>
      </c>
      <c r="L436" s="28">
        <f>_xlfn.NUMBERVALUE(LEFT(Activities[[#This Row],[Fiscal Year]], 4))</f>
        <v>2015</v>
      </c>
      <c r="M436" s="28" t="s">
        <v>1862</v>
      </c>
      <c r="N436" s="41">
        <v>10000</v>
      </c>
      <c r="O436" s="93">
        <f>IF(Activities[[#This Row],[Reference Year]]&gt;2018,Activities[[#This Row],[Value]],Activities[[#This Row],[Value]]*(1+VLOOKUP(Activities[[#This Row],[Reference Year]],Inflation[#All],3,FALSE)))</f>
        <v>10617.341772151898</v>
      </c>
    </row>
    <row r="437" spans="1:15" ht="15" customHeight="1" x14ac:dyDescent="0.25">
      <c r="A437" s="9" t="s">
        <v>182</v>
      </c>
      <c r="B437" s="9" t="str">
        <f>INDEX(Places[Type],MATCH(Activities[[#This Row],[Jurisdiction]],Places[Jurisdiction],0))</f>
        <v>City</v>
      </c>
      <c r="C437" s="19" t="str">
        <f>INDEX(Places[County],MATCH(Activities[[#This Row],[Jurisdiction]],Places[Jurisdiction],0))</f>
        <v>Los Angeles</v>
      </c>
      <c r="D437" s="19" t="str">
        <f>INDEX(Places[Majority RB],MATCH(Activities[[#This Row],[Jurisdiction]],Places[Jurisdiction],0))</f>
        <v>Los Angeles</v>
      </c>
      <c r="E437" s="9">
        <f>INDEX(Places[Majority RB '#],MATCH(Activities[[#This Row],[Jurisdiction]],Places[Jurisdiction],0))</f>
        <v>4</v>
      </c>
      <c r="F437" s="28" t="str">
        <f>VLOOKUP(Activities[[#This Row],[Jurisdiction]],Places[#All],8,FALSE)</f>
        <v>Phase I MS4</v>
      </c>
      <c r="G437" s="48" t="s">
        <v>909</v>
      </c>
      <c r="H437" s="8"/>
      <c r="I437" s="8"/>
      <c r="J437" s="8" t="s">
        <v>1894</v>
      </c>
      <c r="K437" s="27" t="s">
        <v>1873</v>
      </c>
      <c r="L437" s="28">
        <f>_xlfn.NUMBERVALUE(LEFT(Activities[[#This Row],[Fiscal Year]], 4))</f>
        <v>2015</v>
      </c>
      <c r="M437" s="28" t="s">
        <v>1862</v>
      </c>
      <c r="N437" s="41">
        <v>10000</v>
      </c>
      <c r="O437" s="93">
        <f>IF(Activities[[#This Row],[Reference Year]]&gt;2018,Activities[[#This Row],[Value]],Activities[[#This Row],[Value]]*(1+VLOOKUP(Activities[[#This Row],[Reference Year]],Inflation[#All],3,FALSE)))</f>
        <v>10617.341772151898</v>
      </c>
    </row>
    <row r="438" spans="1:15" ht="15" customHeight="1" x14ac:dyDescent="0.25">
      <c r="A438" s="9" t="s">
        <v>182</v>
      </c>
      <c r="B438" s="9" t="str">
        <f>INDEX(Places[Type],MATCH(Activities[[#This Row],[Jurisdiction]],Places[Jurisdiction],0))</f>
        <v>City</v>
      </c>
      <c r="C438" s="19" t="str">
        <f>INDEX(Places[County],MATCH(Activities[[#This Row],[Jurisdiction]],Places[Jurisdiction],0))</f>
        <v>Los Angeles</v>
      </c>
      <c r="D438" s="19" t="str">
        <f>INDEX(Places[Majority RB],MATCH(Activities[[#This Row],[Jurisdiction]],Places[Jurisdiction],0))</f>
        <v>Los Angeles</v>
      </c>
      <c r="E438" s="9">
        <f>INDEX(Places[Majority RB '#],MATCH(Activities[[#This Row],[Jurisdiction]],Places[Jurisdiction],0))</f>
        <v>4</v>
      </c>
      <c r="F438" s="28" t="str">
        <f>VLOOKUP(Activities[[#This Row],[Jurisdiction]],Places[#All],8,FALSE)</f>
        <v>Phase I MS4</v>
      </c>
      <c r="G438" s="48" t="s">
        <v>908</v>
      </c>
      <c r="H438" s="8"/>
      <c r="I438" s="8"/>
      <c r="J438" s="8" t="s">
        <v>1894</v>
      </c>
      <c r="K438" s="27" t="s">
        <v>1873</v>
      </c>
      <c r="L438" s="28">
        <f>_xlfn.NUMBERVALUE(LEFT(Activities[[#This Row],[Fiscal Year]], 4))</f>
        <v>2015</v>
      </c>
      <c r="M438" s="28" t="s">
        <v>1862</v>
      </c>
      <c r="N438" s="41">
        <v>90000</v>
      </c>
      <c r="O438" s="93">
        <f>IF(Activities[[#This Row],[Reference Year]]&gt;2018,Activities[[#This Row],[Value]],Activities[[#This Row],[Value]]*(1+VLOOKUP(Activities[[#This Row],[Reference Year]],Inflation[#All],3,FALSE)))</f>
        <v>95556.075949367078</v>
      </c>
    </row>
    <row r="439" spans="1:15" ht="15" customHeight="1" x14ac:dyDescent="0.25">
      <c r="A439" s="9" t="s">
        <v>182</v>
      </c>
      <c r="B439" s="9" t="str">
        <f>INDEX(Places[Type],MATCH(Activities[[#This Row],[Jurisdiction]],Places[Jurisdiction],0))</f>
        <v>City</v>
      </c>
      <c r="C439" s="19" t="str">
        <f>INDEX(Places[County],MATCH(Activities[[#This Row],[Jurisdiction]],Places[Jurisdiction],0))</f>
        <v>Los Angeles</v>
      </c>
      <c r="D439" s="19" t="str">
        <f>INDEX(Places[Majority RB],MATCH(Activities[[#This Row],[Jurisdiction]],Places[Jurisdiction],0))</f>
        <v>Los Angeles</v>
      </c>
      <c r="E439" s="9">
        <f>INDEX(Places[Majority RB '#],MATCH(Activities[[#This Row],[Jurisdiction]],Places[Jurisdiction],0))</f>
        <v>4</v>
      </c>
      <c r="F439" s="28" t="str">
        <f>VLOOKUP(Activities[[#This Row],[Jurisdiction]],Places[#All],8,FALSE)</f>
        <v>Phase I MS4</v>
      </c>
      <c r="G439" s="48" t="s">
        <v>850</v>
      </c>
      <c r="H439" s="8"/>
      <c r="I439" s="8"/>
      <c r="J439" s="8" t="s">
        <v>1896</v>
      </c>
      <c r="K439" s="27" t="s">
        <v>1873</v>
      </c>
      <c r="L439" s="28">
        <f>_xlfn.NUMBERVALUE(LEFT(Activities[[#This Row],[Fiscal Year]], 4))</f>
        <v>2015</v>
      </c>
      <c r="M439" s="28" t="s">
        <v>1862</v>
      </c>
      <c r="N439" s="41">
        <v>10000</v>
      </c>
      <c r="O439" s="93">
        <f>IF(Activities[[#This Row],[Reference Year]]&gt;2018,Activities[[#This Row],[Value]],Activities[[#This Row],[Value]]*(1+VLOOKUP(Activities[[#This Row],[Reference Year]],Inflation[#All],3,FALSE)))</f>
        <v>10617.341772151898</v>
      </c>
    </row>
    <row r="440" spans="1:15" ht="15" customHeight="1" x14ac:dyDescent="0.25">
      <c r="A440" s="9" t="s">
        <v>182</v>
      </c>
      <c r="B440" s="9" t="str">
        <f>INDEX(Places[Type],MATCH(Activities[[#This Row],[Jurisdiction]],Places[Jurisdiction],0))</f>
        <v>City</v>
      </c>
      <c r="C440" s="19" t="str">
        <f>INDEX(Places[County],MATCH(Activities[[#This Row],[Jurisdiction]],Places[Jurisdiction],0))</f>
        <v>Los Angeles</v>
      </c>
      <c r="D440" s="19" t="str">
        <f>INDEX(Places[Majority RB],MATCH(Activities[[#This Row],[Jurisdiction]],Places[Jurisdiction],0))</f>
        <v>Los Angeles</v>
      </c>
      <c r="E440" s="9">
        <f>INDEX(Places[Majority RB '#],MATCH(Activities[[#This Row],[Jurisdiction]],Places[Jurisdiction],0))</f>
        <v>4</v>
      </c>
      <c r="F440" s="28" t="str">
        <f>VLOOKUP(Activities[[#This Row],[Jurisdiction]],Places[#All],8,FALSE)</f>
        <v>Phase I MS4</v>
      </c>
      <c r="G440" s="56" t="s">
        <v>854</v>
      </c>
      <c r="H440" s="8"/>
      <c r="I440" s="8"/>
      <c r="J440" s="8" t="s">
        <v>47</v>
      </c>
      <c r="K440" s="27" t="s">
        <v>1873</v>
      </c>
      <c r="L440" s="28">
        <f>_xlfn.NUMBERVALUE(LEFT(Activities[[#This Row],[Fiscal Year]], 4))</f>
        <v>2015</v>
      </c>
      <c r="M440" s="28" t="s">
        <v>1862</v>
      </c>
      <c r="N440" s="41">
        <v>20000</v>
      </c>
      <c r="O440" s="93">
        <f>IF(Activities[[#This Row],[Reference Year]]&gt;2018,Activities[[#This Row],[Value]],Activities[[#This Row],[Value]]*(1+VLOOKUP(Activities[[#This Row],[Reference Year]],Inflation[#All],3,FALSE)))</f>
        <v>21234.683544303796</v>
      </c>
    </row>
    <row r="441" spans="1:15" ht="15" customHeight="1" x14ac:dyDescent="0.25">
      <c r="A441" s="9" t="s">
        <v>182</v>
      </c>
      <c r="B441" s="9" t="str">
        <f>INDEX(Places[Type],MATCH(Activities[[#This Row],[Jurisdiction]],Places[Jurisdiction],0))</f>
        <v>City</v>
      </c>
      <c r="C441" s="19" t="str">
        <f>INDEX(Places[County],MATCH(Activities[[#This Row],[Jurisdiction]],Places[Jurisdiction],0))</f>
        <v>Los Angeles</v>
      </c>
      <c r="D441" s="19" t="str">
        <f>INDEX(Places[Majority RB],MATCH(Activities[[#This Row],[Jurisdiction]],Places[Jurisdiction],0))</f>
        <v>Los Angeles</v>
      </c>
      <c r="E441" s="9">
        <f>INDEX(Places[Majority RB '#],MATCH(Activities[[#This Row],[Jurisdiction]],Places[Jurisdiction],0))</f>
        <v>4</v>
      </c>
      <c r="F441" s="28" t="str">
        <f>VLOOKUP(Activities[[#This Row],[Jurisdiction]],Places[#All],8,FALSE)</f>
        <v>Phase I MS4</v>
      </c>
      <c r="G441" s="56" t="s">
        <v>935</v>
      </c>
      <c r="H441" s="8"/>
      <c r="I441" s="8"/>
      <c r="J441" s="8" t="s">
        <v>605</v>
      </c>
      <c r="K441" s="27" t="s">
        <v>1873</v>
      </c>
      <c r="L441" s="28">
        <f>_xlfn.NUMBERVALUE(LEFT(Activities[[#This Row],[Fiscal Year]], 4))</f>
        <v>2015</v>
      </c>
      <c r="M441" s="28" t="s">
        <v>1862</v>
      </c>
      <c r="N441" s="41">
        <v>20000</v>
      </c>
      <c r="O441" s="93">
        <f>IF(Activities[[#This Row],[Reference Year]]&gt;2018,Activities[[#This Row],[Value]],Activities[[#This Row],[Value]]*(1+VLOOKUP(Activities[[#This Row],[Reference Year]],Inflation[#All],3,FALSE)))</f>
        <v>21234.683544303796</v>
      </c>
    </row>
    <row r="442" spans="1:15" ht="15" customHeight="1" x14ac:dyDescent="0.25">
      <c r="A442" s="9" t="s">
        <v>317</v>
      </c>
      <c r="B442" s="9" t="str">
        <f>INDEX(Places[Type],MATCH(Activities[[#This Row],[Jurisdiction]],Places[Jurisdiction],0))</f>
        <v>City</v>
      </c>
      <c r="C442" s="19" t="str">
        <f>INDEX(Places[County],MATCH(Activities[[#This Row],[Jurisdiction]],Places[Jurisdiction],0))</f>
        <v>San Diego</v>
      </c>
      <c r="D442" s="9" t="str">
        <f>INDEX(Places[Majority RB],MATCH(Activities[[#This Row],[Jurisdiction]],Places[Jurisdiction],0))</f>
        <v>San Diego</v>
      </c>
      <c r="E442" s="9">
        <f>INDEX(Places[Majority RB '#],MATCH(Activities[[#This Row],[Jurisdiction]],Places[Jurisdiction],0))</f>
        <v>9</v>
      </c>
      <c r="F442" s="28" t="str">
        <f>VLOOKUP(Activities[[#This Row],[Jurisdiction]],Places[#All],8,FALSE)</f>
        <v>Phase I MS4</v>
      </c>
      <c r="G442" s="48" t="s">
        <v>427</v>
      </c>
      <c r="H442" s="8"/>
      <c r="I442" s="8"/>
      <c r="J442" s="8" t="s">
        <v>76</v>
      </c>
      <c r="K442" s="27" t="s">
        <v>1869</v>
      </c>
      <c r="L442" s="28">
        <f>_xlfn.NUMBERVALUE(LEFT(Activities[[#This Row],[Fiscal Year]], 4))</f>
        <v>2016</v>
      </c>
      <c r="M442" s="28" t="s">
        <v>1862</v>
      </c>
      <c r="N442" s="41">
        <v>5241</v>
      </c>
      <c r="O442" s="93">
        <f>IF(Activities[[#This Row],[Reference Year]]&gt;2018,Activities[[#This Row],[Value]],Activities[[#This Row],[Value]]*(1+VLOOKUP(Activities[[#This Row],[Reference Year]],Inflation[#All],3,FALSE)))</f>
        <v>5494.9919625000002</v>
      </c>
    </row>
    <row r="443" spans="1:15" ht="15" customHeight="1" x14ac:dyDescent="0.25">
      <c r="A443" s="9" t="s">
        <v>317</v>
      </c>
      <c r="B443" s="9" t="str">
        <f>INDEX(Places[Type],MATCH(Activities[[#This Row],[Jurisdiction]],Places[Jurisdiction],0))</f>
        <v>City</v>
      </c>
      <c r="C443" s="19" t="str">
        <f>INDEX(Places[County],MATCH(Activities[[#This Row],[Jurisdiction]],Places[Jurisdiction],0))</f>
        <v>San Diego</v>
      </c>
      <c r="D443" s="9" t="str">
        <f>INDEX(Places[Majority RB],MATCH(Activities[[#This Row],[Jurisdiction]],Places[Jurisdiction],0))</f>
        <v>San Diego</v>
      </c>
      <c r="E443" s="9">
        <f>INDEX(Places[Majority RB '#],MATCH(Activities[[#This Row],[Jurisdiction]],Places[Jurisdiction],0))</f>
        <v>9</v>
      </c>
      <c r="F443" s="28" t="str">
        <f>VLOOKUP(Activities[[#This Row],[Jurisdiction]],Places[#All],8,FALSE)</f>
        <v>Phase I MS4</v>
      </c>
      <c r="G443" s="48" t="s">
        <v>413</v>
      </c>
      <c r="H443" s="8"/>
      <c r="I443" s="8"/>
      <c r="J443" s="8" t="s">
        <v>71</v>
      </c>
      <c r="K443" s="27" t="s">
        <v>1869</v>
      </c>
      <c r="L443" s="28">
        <f>_xlfn.NUMBERVALUE(LEFT(Activities[[#This Row],[Fiscal Year]], 4))</f>
        <v>2016</v>
      </c>
      <c r="M443" s="28" t="s">
        <v>1862</v>
      </c>
      <c r="N443" s="41">
        <v>2000</v>
      </c>
      <c r="O443" s="93">
        <f>IF(Activities[[#This Row],[Reference Year]]&gt;2018,Activities[[#This Row],[Value]],Activities[[#This Row],[Value]]*(1+VLOOKUP(Activities[[#This Row],[Reference Year]],Inflation[#All],3,FALSE)))</f>
        <v>2096.9250000000002</v>
      </c>
    </row>
    <row r="444" spans="1:15" ht="15" customHeight="1" x14ac:dyDescent="0.25">
      <c r="A444" s="9" t="s">
        <v>317</v>
      </c>
      <c r="B444" s="9" t="str">
        <f>INDEX(Places[Type],MATCH(Activities[[#This Row],[Jurisdiction]],Places[Jurisdiction],0))</f>
        <v>City</v>
      </c>
      <c r="C444" s="19" t="str">
        <f>INDEX(Places[County],MATCH(Activities[[#This Row],[Jurisdiction]],Places[Jurisdiction],0))</f>
        <v>San Diego</v>
      </c>
      <c r="D444" s="9" t="str">
        <f>INDEX(Places[Majority RB],MATCH(Activities[[#This Row],[Jurisdiction]],Places[Jurisdiction],0))</f>
        <v>San Diego</v>
      </c>
      <c r="E444" s="9">
        <f>INDEX(Places[Majority RB '#],MATCH(Activities[[#This Row],[Jurisdiction]],Places[Jurisdiction],0))</f>
        <v>9</v>
      </c>
      <c r="F444" s="28" t="str">
        <f>VLOOKUP(Activities[[#This Row],[Jurisdiction]],Places[#All],8,FALSE)</f>
        <v>Phase I MS4</v>
      </c>
      <c r="G444" s="48" t="s">
        <v>407</v>
      </c>
      <c r="H444" s="8" t="s">
        <v>592</v>
      </c>
      <c r="I444" s="8" t="s">
        <v>590</v>
      </c>
      <c r="J444" s="8" t="s">
        <v>1456</v>
      </c>
      <c r="K444" s="27" t="s">
        <v>1869</v>
      </c>
      <c r="L444" s="28">
        <f>_xlfn.NUMBERVALUE(LEFT(Activities[[#This Row],[Fiscal Year]], 4))</f>
        <v>2016</v>
      </c>
      <c r="M444" s="28" t="s">
        <v>1862</v>
      </c>
      <c r="N444" s="41">
        <v>500</v>
      </c>
      <c r="O444" s="93">
        <f>IF(Activities[[#This Row],[Reference Year]]&gt;2018,Activities[[#This Row],[Value]],Activities[[#This Row],[Value]]*(1+VLOOKUP(Activities[[#This Row],[Reference Year]],Inflation[#All],3,FALSE)))</f>
        <v>524.23125000000005</v>
      </c>
    </row>
    <row r="445" spans="1:15" ht="15" customHeight="1" x14ac:dyDescent="0.25">
      <c r="A445" s="9" t="s">
        <v>317</v>
      </c>
      <c r="B445" s="9" t="str">
        <f>INDEX(Places[Type],MATCH(Activities[[#This Row],[Jurisdiction]],Places[Jurisdiction],0))</f>
        <v>City</v>
      </c>
      <c r="C445" s="19" t="str">
        <f>INDEX(Places[County],MATCH(Activities[[#This Row],[Jurisdiction]],Places[Jurisdiction],0))</f>
        <v>San Diego</v>
      </c>
      <c r="D445" s="9" t="str">
        <f>INDEX(Places[Majority RB],MATCH(Activities[[#This Row],[Jurisdiction]],Places[Jurisdiction],0))</f>
        <v>San Diego</v>
      </c>
      <c r="E445" s="9">
        <f>INDEX(Places[Majority RB '#],MATCH(Activities[[#This Row],[Jurisdiction]],Places[Jurisdiction],0))</f>
        <v>9</v>
      </c>
      <c r="F445" s="28" t="str">
        <f>VLOOKUP(Activities[[#This Row],[Jurisdiction]],Places[#All],8,FALSE)</f>
        <v>Phase I MS4</v>
      </c>
      <c r="G445" s="48" t="s">
        <v>409</v>
      </c>
      <c r="H445" s="8"/>
      <c r="I445" s="8"/>
      <c r="J445" s="8" t="s">
        <v>1894</v>
      </c>
      <c r="K445" s="27" t="s">
        <v>1869</v>
      </c>
      <c r="L445" s="28">
        <f>_xlfn.NUMBERVALUE(LEFT(Activities[[#This Row],[Fiscal Year]], 4))</f>
        <v>2016</v>
      </c>
      <c r="M445" s="28" t="s">
        <v>1862</v>
      </c>
      <c r="N445" s="41">
        <v>200</v>
      </c>
      <c r="O445" s="93">
        <f>IF(Activities[[#This Row],[Reference Year]]&gt;2018,Activities[[#This Row],[Value]],Activities[[#This Row],[Value]]*(1+VLOOKUP(Activities[[#This Row],[Reference Year]],Inflation[#All],3,FALSE)))</f>
        <v>209.69250000000002</v>
      </c>
    </row>
    <row r="446" spans="1:15" ht="15" customHeight="1" x14ac:dyDescent="0.25">
      <c r="A446" s="9" t="s">
        <v>317</v>
      </c>
      <c r="B446" s="9" t="str">
        <f>INDEX(Places[Type],MATCH(Activities[[#This Row],[Jurisdiction]],Places[Jurisdiction],0))</f>
        <v>City</v>
      </c>
      <c r="C446" s="19" t="str">
        <f>INDEX(Places[County],MATCH(Activities[[#This Row],[Jurisdiction]],Places[Jurisdiction],0))</f>
        <v>San Diego</v>
      </c>
      <c r="D446" s="9" t="str">
        <f>INDEX(Places[Majority RB],MATCH(Activities[[#This Row],[Jurisdiction]],Places[Jurisdiction],0))</f>
        <v>San Diego</v>
      </c>
      <c r="E446" s="9">
        <f>INDEX(Places[Majority RB '#],MATCH(Activities[[#This Row],[Jurisdiction]],Places[Jurisdiction],0))</f>
        <v>9</v>
      </c>
      <c r="F446" s="28" t="str">
        <f>VLOOKUP(Activities[[#This Row],[Jurisdiction]],Places[#All],8,FALSE)</f>
        <v>Phase I MS4</v>
      </c>
      <c r="G446" s="48" t="s">
        <v>402</v>
      </c>
      <c r="H446" s="8"/>
      <c r="I446" s="8"/>
      <c r="J446" s="8" t="s">
        <v>1894</v>
      </c>
      <c r="K446" s="27" t="s">
        <v>1869</v>
      </c>
      <c r="L446" s="28">
        <f>_xlfn.NUMBERVALUE(LEFT(Activities[[#This Row],[Fiscal Year]], 4))</f>
        <v>2016</v>
      </c>
      <c r="M446" s="28" t="s">
        <v>1862</v>
      </c>
      <c r="N446" s="41">
        <v>408</v>
      </c>
      <c r="O446" s="93">
        <f>IF(Activities[[#This Row],[Reference Year]]&gt;2018,Activities[[#This Row],[Value]],Activities[[#This Row],[Value]]*(1+VLOOKUP(Activities[[#This Row],[Reference Year]],Inflation[#All],3,FALSE)))</f>
        <v>427.77270000000004</v>
      </c>
    </row>
    <row r="447" spans="1:15" ht="15" customHeight="1" x14ac:dyDescent="0.25">
      <c r="A447" s="9" t="s">
        <v>317</v>
      </c>
      <c r="B447" s="9" t="str">
        <f>INDEX(Places[Type],MATCH(Activities[[#This Row],[Jurisdiction]],Places[Jurisdiction],0))</f>
        <v>City</v>
      </c>
      <c r="C447" s="19" t="str">
        <f>INDEX(Places[County],MATCH(Activities[[#This Row],[Jurisdiction]],Places[Jurisdiction],0))</f>
        <v>San Diego</v>
      </c>
      <c r="D447" s="9" t="str">
        <f>INDEX(Places[Majority RB],MATCH(Activities[[#This Row],[Jurisdiction]],Places[Jurisdiction],0))</f>
        <v>San Diego</v>
      </c>
      <c r="E447" s="9">
        <f>INDEX(Places[Majority RB '#],MATCH(Activities[[#This Row],[Jurisdiction]],Places[Jurisdiction],0))</f>
        <v>9</v>
      </c>
      <c r="F447" s="28" t="str">
        <f>VLOOKUP(Activities[[#This Row],[Jurisdiction]],Places[#All],8,FALSE)</f>
        <v>Phase I MS4</v>
      </c>
      <c r="G447" s="48" t="s">
        <v>401</v>
      </c>
      <c r="H447" s="8"/>
      <c r="I447" s="8"/>
      <c r="J447" s="8" t="s">
        <v>1894</v>
      </c>
      <c r="K447" s="27" t="s">
        <v>1869</v>
      </c>
      <c r="L447" s="28">
        <f>_xlfn.NUMBERVALUE(LEFT(Activities[[#This Row],[Fiscal Year]], 4))</f>
        <v>2016</v>
      </c>
      <c r="M447" s="28" t="s">
        <v>1862</v>
      </c>
      <c r="N447" s="41">
        <v>909</v>
      </c>
      <c r="O447" s="93">
        <f>IF(Activities[[#This Row],[Reference Year]]&gt;2018,Activities[[#This Row],[Value]],Activities[[#This Row],[Value]]*(1+VLOOKUP(Activities[[#This Row],[Reference Year]],Inflation[#All],3,FALSE)))</f>
        <v>953.05241250000006</v>
      </c>
    </row>
    <row r="448" spans="1:15" ht="15" customHeight="1" x14ac:dyDescent="0.25">
      <c r="A448" s="9" t="s">
        <v>317</v>
      </c>
      <c r="B448" s="9" t="str">
        <f>INDEX(Places[Type],MATCH(Activities[[#This Row],[Jurisdiction]],Places[Jurisdiction],0))</f>
        <v>City</v>
      </c>
      <c r="C448" s="19" t="str">
        <f>INDEX(Places[County],MATCH(Activities[[#This Row],[Jurisdiction]],Places[Jurisdiction],0))</f>
        <v>San Diego</v>
      </c>
      <c r="D448" s="9" t="str">
        <f>INDEX(Places[Majority RB],MATCH(Activities[[#This Row],[Jurisdiction]],Places[Jurisdiction],0))</f>
        <v>San Diego</v>
      </c>
      <c r="E448" s="9">
        <f>INDEX(Places[Majority RB '#],MATCH(Activities[[#This Row],[Jurisdiction]],Places[Jurisdiction],0))</f>
        <v>9</v>
      </c>
      <c r="F448" s="28" t="str">
        <f>VLOOKUP(Activities[[#This Row],[Jurisdiction]],Places[#All],8,FALSE)</f>
        <v>Phase I MS4</v>
      </c>
      <c r="G448" s="48" t="s">
        <v>394</v>
      </c>
      <c r="H448" s="8"/>
      <c r="I448" s="8"/>
      <c r="J448" s="8" t="s">
        <v>1894</v>
      </c>
      <c r="K448" s="27" t="s">
        <v>1869</v>
      </c>
      <c r="L448" s="28">
        <f>_xlfn.NUMBERVALUE(LEFT(Activities[[#This Row],[Fiscal Year]], 4))</f>
        <v>2016</v>
      </c>
      <c r="M448" s="28" t="s">
        <v>1862</v>
      </c>
      <c r="N448" s="41">
        <v>1101</v>
      </c>
      <c r="O448" s="93">
        <f>IF(Activities[[#This Row],[Reference Year]]&gt;2018,Activities[[#This Row],[Value]],Activities[[#This Row],[Value]]*(1+VLOOKUP(Activities[[#This Row],[Reference Year]],Inflation[#All],3,FALSE)))</f>
        <v>1154.3572125000001</v>
      </c>
    </row>
    <row r="449" spans="1:15" ht="15" customHeight="1" x14ac:dyDescent="0.25">
      <c r="A449" s="9" t="s">
        <v>317</v>
      </c>
      <c r="B449" s="9" t="str">
        <f>INDEX(Places[Type],MATCH(Activities[[#This Row],[Jurisdiction]],Places[Jurisdiction],0))</f>
        <v>City</v>
      </c>
      <c r="C449" s="19" t="str">
        <f>INDEX(Places[County],MATCH(Activities[[#This Row],[Jurisdiction]],Places[Jurisdiction],0))</f>
        <v>San Diego</v>
      </c>
      <c r="D449" s="9" t="str">
        <f>INDEX(Places[Majority RB],MATCH(Activities[[#This Row],[Jurisdiction]],Places[Jurisdiction],0))</f>
        <v>San Diego</v>
      </c>
      <c r="E449" s="9">
        <f>INDEX(Places[Majority RB '#],MATCH(Activities[[#This Row],[Jurisdiction]],Places[Jurisdiction],0))</f>
        <v>9</v>
      </c>
      <c r="F449" s="28" t="str">
        <f>VLOOKUP(Activities[[#This Row],[Jurisdiction]],Places[#All],8,FALSE)</f>
        <v>Phase I MS4</v>
      </c>
      <c r="G449" s="48" t="s">
        <v>400</v>
      </c>
      <c r="H449" s="8"/>
      <c r="I449" s="8"/>
      <c r="J449" s="8" t="s">
        <v>1894</v>
      </c>
      <c r="K449" s="27" t="s">
        <v>1869</v>
      </c>
      <c r="L449" s="28">
        <f>_xlfn.NUMBERVALUE(LEFT(Activities[[#This Row],[Fiscal Year]], 4))</f>
        <v>2016</v>
      </c>
      <c r="M449" s="28" t="s">
        <v>1862</v>
      </c>
      <c r="N449" s="41">
        <v>1190</v>
      </c>
      <c r="O449" s="93">
        <f>IF(Activities[[#This Row],[Reference Year]]&gt;2018,Activities[[#This Row],[Value]],Activities[[#This Row],[Value]]*(1+VLOOKUP(Activities[[#This Row],[Reference Year]],Inflation[#All],3,FALSE)))</f>
        <v>1247.6703750000001</v>
      </c>
    </row>
    <row r="450" spans="1:15" ht="15" customHeight="1" x14ac:dyDescent="0.25">
      <c r="A450" s="9" t="s">
        <v>317</v>
      </c>
      <c r="B450" s="9" t="str">
        <f>INDEX(Places[Type],MATCH(Activities[[#This Row],[Jurisdiction]],Places[Jurisdiction],0))</f>
        <v>City</v>
      </c>
      <c r="C450" s="19" t="str">
        <f>INDEX(Places[County],MATCH(Activities[[#This Row],[Jurisdiction]],Places[Jurisdiction],0))</f>
        <v>San Diego</v>
      </c>
      <c r="D450" s="9" t="str">
        <f>INDEX(Places[Majority RB],MATCH(Activities[[#This Row],[Jurisdiction]],Places[Jurisdiction],0))</f>
        <v>San Diego</v>
      </c>
      <c r="E450" s="9">
        <f>INDEX(Places[Majority RB '#],MATCH(Activities[[#This Row],[Jurisdiction]],Places[Jurisdiction],0))</f>
        <v>9</v>
      </c>
      <c r="F450" s="28" t="str">
        <f>VLOOKUP(Activities[[#This Row],[Jurisdiction]],Places[#All],8,FALSE)</f>
        <v>Phase I MS4</v>
      </c>
      <c r="G450" s="48" t="s">
        <v>403</v>
      </c>
      <c r="H450" s="8"/>
      <c r="I450" s="8"/>
      <c r="J450" s="8" t="s">
        <v>1894</v>
      </c>
      <c r="K450" s="27" t="s">
        <v>1869</v>
      </c>
      <c r="L450" s="28">
        <f>_xlfn.NUMBERVALUE(LEFT(Activities[[#This Row],[Fiscal Year]], 4))</f>
        <v>2016</v>
      </c>
      <c r="M450" s="28" t="s">
        <v>1862</v>
      </c>
      <c r="N450" s="41">
        <v>2000</v>
      </c>
      <c r="O450" s="93">
        <f>IF(Activities[[#This Row],[Reference Year]]&gt;2018,Activities[[#This Row],[Value]],Activities[[#This Row],[Value]]*(1+VLOOKUP(Activities[[#This Row],[Reference Year]],Inflation[#All],3,FALSE)))</f>
        <v>2096.9250000000002</v>
      </c>
    </row>
    <row r="451" spans="1:15" ht="15" customHeight="1" x14ac:dyDescent="0.25">
      <c r="A451" s="9" t="s">
        <v>317</v>
      </c>
      <c r="B451" s="9" t="str">
        <f>INDEX(Places[Type],MATCH(Activities[[#This Row],[Jurisdiction]],Places[Jurisdiction],0))</f>
        <v>City</v>
      </c>
      <c r="C451" s="19" t="str">
        <f>INDEX(Places[County],MATCH(Activities[[#This Row],[Jurisdiction]],Places[Jurisdiction],0))</f>
        <v>San Diego</v>
      </c>
      <c r="D451" s="9" t="str">
        <f>INDEX(Places[Majority RB],MATCH(Activities[[#This Row],[Jurisdiction]],Places[Jurisdiction],0))</f>
        <v>San Diego</v>
      </c>
      <c r="E451" s="9">
        <f>INDEX(Places[Majority RB '#],MATCH(Activities[[#This Row],[Jurisdiction]],Places[Jurisdiction],0))</f>
        <v>9</v>
      </c>
      <c r="F451" s="28" t="str">
        <f>VLOOKUP(Activities[[#This Row],[Jurisdiction]],Places[#All],8,FALSE)</f>
        <v>Phase I MS4</v>
      </c>
      <c r="G451" s="48" t="s">
        <v>426</v>
      </c>
      <c r="H451" s="8"/>
      <c r="I451" s="8"/>
      <c r="J451" s="8" t="s">
        <v>1894</v>
      </c>
      <c r="K451" s="27" t="s">
        <v>1869</v>
      </c>
      <c r="L451" s="28">
        <f>_xlfn.NUMBERVALUE(LEFT(Activities[[#This Row],[Fiscal Year]], 4))</f>
        <v>2016</v>
      </c>
      <c r="M451" s="28" t="s">
        <v>1862</v>
      </c>
      <c r="N451" s="41">
        <v>3000</v>
      </c>
      <c r="O451" s="93">
        <f>IF(Activities[[#This Row],[Reference Year]]&gt;2018,Activities[[#This Row],[Value]],Activities[[#This Row],[Value]]*(1+VLOOKUP(Activities[[#This Row],[Reference Year]],Inflation[#All],3,FALSE)))</f>
        <v>3145.3875000000003</v>
      </c>
    </row>
    <row r="452" spans="1:15" ht="15" customHeight="1" x14ac:dyDescent="0.25">
      <c r="A452" s="9" t="s">
        <v>317</v>
      </c>
      <c r="B452" s="9" t="str">
        <f>INDEX(Places[Type],MATCH(Activities[[#This Row],[Jurisdiction]],Places[Jurisdiction],0))</f>
        <v>City</v>
      </c>
      <c r="C452" s="19" t="str">
        <f>INDEX(Places[County],MATCH(Activities[[#This Row],[Jurisdiction]],Places[Jurisdiction],0))</f>
        <v>San Diego</v>
      </c>
      <c r="D452" s="9" t="str">
        <f>INDEX(Places[Majority RB],MATCH(Activities[[#This Row],[Jurisdiction]],Places[Jurisdiction],0))</f>
        <v>San Diego</v>
      </c>
      <c r="E452" s="9">
        <f>INDEX(Places[Majority RB '#],MATCH(Activities[[#This Row],[Jurisdiction]],Places[Jurisdiction],0))</f>
        <v>9</v>
      </c>
      <c r="F452" s="28" t="str">
        <f>VLOOKUP(Activities[[#This Row],[Jurisdiction]],Places[#All],8,FALSE)</f>
        <v>Phase I MS4</v>
      </c>
      <c r="G452" s="48" t="s">
        <v>45</v>
      </c>
      <c r="H452" s="8"/>
      <c r="I452" s="8"/>
      <c r="J452" s="8" t="s">
        <v>1894</v>
      </c>
      <c r="K452" s="27" t="s">
        <v>1869</v>
      </c>
      <c r="L452" s="28">
        <f>_xlfn.NUMBERVALUE(LEFT(Activities[[#This Row],[Fiscal Year]], 4))</f>
        <v>2016</v>
      </c>
      <c r="M452" s="28" t="s">
        <v>1862</v>
      </c>
      <c r="N452" s="41">
        <v>3000</v>
      </c>
      <c r="O452" s="93">
        <f>IF(Activities[[#This Row],[Reference Year]]&gt;2018,Activities[[#This Row],[Value]],Activities[[#This Row],[Value]]*(1+VLOOKUP(Activities[[#This Row],[Reference Year]],Inflation[#All],3,FALSE)))</f>
        <v>3145.3875000000003</v>
      </c>
    </row>
    <row r="453" spans="1:15" ht="15" customHeight="1" x14ac:dyDescent="0.25">
      <c r="A453" s="9" t="s">
        <v>317</v>
      </c>
      <c r="B453" s="9" t="str">
        <f>INDEX(Places[Type],MATCH(Activities[[#This Row],[Jurisdiction]],Places[Jurisdiction],0))</f>
        <v>City</v>
      </c>
      <c r="C453" s="19" t="str">
        <f>INDEX(Places[County],MATCH(Activities[[#This Row],[Jurisdiction]],Places[Jurisdiction],0))</f>
        <v>San Diego</v>
      </c>
      <c r="D453" s="9" t="str">
        <f>INDEX(Places[Majority RB],MATCH(Activities[[#This Row],[Jurisdiction]],Places[Jurisdiction],0))</f>
        <v>San Diego</v>
      </c>
      <c r="E453" s="9">
        <f>INDEX(Places[Majority RB '#],MATCH(Activities[[#This Row],[Jurisdiction]],Places[Jurisdiction],0))</f>
        <v>9</v>
      </c>
      <c r="F453" s="28" t="str">
        <f>VLOOKUP(Activities[[#This Row],[Jurisdiction]],Places[#All],8,FALSE)</f>
        <v>Phase I MS4</v>
      </c>
      <c r="G453" s="48" t="s">
        <v>411</v>
      </c>
      <c r="H453" s="8"/>
      <c r="I453" s="8"/>
      <c r="J453" s="8" t="s">
        <v>1894</v>
      </c>
      <c r="K453" s="27" t="s">
        <v>1869</v>
      </c>
      <c r="L453" s="28">
        <f>_xlfn.NUMBERVALUE(LEFT(Activities[[#This Row],[Fiscal Year]], 4))</f>
        <v>2016</v>
      </c>
      <c r="M453" s="28" t="s">
        <v>1862</v>
      </c>
      <c r="N453" s="41">
        <v>5000</v>
      </c>
      <c r="O453" s="93">
        <f>IF(Activities[[#This Row],[Reference Year]]&gt;2018,Activities[[#This Row],[Value]],Activities[[#This Row],[Value]]*(1+VLOOKUP(Activities[[#This Row],[Reference Year]],Inflation[#All],3,FALSE)))</f>
        <v>5242.3125</v>
      </c>
    </row>
    <row r="454" spans="1:15" ht="15" customHeight="1" x14ac:dyDescent="0.25">
      <c r="A454" s="9" t="s">
        <v>317</v>
      </c>
      <c r="B454" s="9" t="str">
        <f>INDEX(Places[Type],MATCH(Activities[[#This Row],[Jurisdiction]],Places[Jurisdiction],0))</f>
        <v>City</v>
      </c>
      <c r="C454" s="19" t="str">
        <f>INDEX(Places[County],MATCH(Activities[[#This Row],[Jurisdiction]],Places[Jurisdiction],0))</f>
        <v>San Diego</v>
      </c>
      <c r="D454" s="9" t="str">
        <f>INDEX(Places[Majority RB],MATCH(Activities[[#This Row],[Jurisdiction]],Places[Jurisdiction],0))</f>
        <v>San Diego</v>
      </c>
      <c r="E454" s="9">
        <f>INDEX(Places[Majority RB '#],MATCH(Activities[[#This Row],[Jurisdiction]],Places[Jurisdiction],0))</f>
        <v>9</v>
      </c>
      <c r="F454" s="28" t="str">
        <f>VLOOKUP(Activities[[#This Row],[Jurisdiction]],Places[#All],8,FALSE)</f>
        <v>Phase I MS4</v>
      </c>
      <c r="G454" s="48" t="s">
        <v>412</v>
      </c>
      <c r="H454" s="8"/>
      <c r="I454" s="8"/>
      <c r="J454" s="8" t="s">
        <v>1894</v>
      </c>
      <c r="K454" s="27" t="s">
        <v>1869</v>
      </c>
      <c r="L454" s="28">
        <f>_xlfn.NUMBERVALUE(LEFT(Activities[[#This Row],[Fiscal Year]], 4))</f>
        <v>2016</v>
      </c>
      <c r="M454" s="28" t="s">
        <v>1862</v>
      </c>
      <c r="N454" s="41">
        <v>5500</v>
      </c>
      <c r="O454" s="93">
        <f>IF(Activities[[#This Row],[Reference Year]]&gt;2018,Activities[[#This Row],[Value]],Activities[[#This Row],[Value]]*(1+VLOOKUP(Activities[[#This Row],[Reference Year]],Inflation[#All],3,FALSE)))</f>
        <v>5766.5437500000007</v>
      </c>
    </row>
    <row r="455" spans="1:15" ht="15" customHeight="1" x14ac:dyDescent="0.25">
      <c r="A455" s="9" t="s">
        <v>317</v>
      </c>
      <c r="B455" s="9" t="str">
        <f>INDEX(Places[Type],MATCH(Activities[[#This Row],[Jurisdiction]],Places[Jurisdiction],0))</f>
        <v>City</v>
      </c>
      <c r="C455" s="19" t="str">
        <f>INDEX(Places[County],MATCH(Activities[[#This Row],[Jurisdiction]],Places[Jurisdiction],0))</f>
        <v>San Diego</v>
      </c>
      <c r="D455" s="9" t="str">
        <f>INDEX(Places[Majority RB],MATCH(Activities[[#This Row],[Jurisdiction]],Places[Jurisdiction],0))</f>
        <v>San Diego</v>
      </c>
      <c r="E455" s="9">
        <f>INDEX(Places[Majority RB '#],MATCH(Activities[[#This Row],[Jurisdiction]],Places[Jurisdiction],0))</f>
        <v>9</v>
      </c>
      <c r="F455" s="28" t="str">
        <f>VLOOKUP(Activities[[#This Row],[Jurisdiction]],Places[#All],8,FALSE)</f>
        <v>Phase I MS4</v>
      </c>
      <c r="G455" s="48" t="s">
        <v>369</v>
      </c>
      <c r="H455" s="8"/>
      <c r="I455" s="8"/>
      <c r="J455" s="8" t="s">
        <v>1894</v>
      </c>
      <c r="K455" s="27" t="s">
        <v>1869</v>
      </c>
      <c r="L455" s="28">
        <f>_xlfn.NUMBERVALUE(LEFT(Activities[[#This Row],[Fiscal Year]], 4))</f>
        <v>2016</v>
      </c>
      <c r="M455" s="28" t="s">
        <v>1862</v>
      </c>
      <c r="N455" s="41">
        <v>7000</v>
      </c>
      <c r="O455" s="93">
        <f>IF(Activities[[#This Row],[Reference Year]]&gt;2018,Activities[[#This Row],[Value]],Activities[[#This Row],[Value]]*(1+VLOOKUP(Activities[[#This Row],[Reference Year]],Inflation[#All],3,FALSE)))</f>
        <v>7339.2375000000002</v>
      </c>
    </row>
    <row r="456" spans="1:15" ht="15" customHeight="1" x14ac:dyDescent="0.25">
      <c r="A456" s="9" t="s">
        <v>317</v>
      </c>
      <c r="B456" s="9" t="str">
        <f>INDEX(Places[Type],MATCH(Activities[[#This Row],[Jurisdiction]],Places[Jurisdiction],0))</f>
        <v>City</v>
      </c>
      <c r="C456" s="19" t="str">
        <f>INDEX(Places[County],MATCH(Activities[[#This Row],[Jurisdiction]],Places[Jurisdiction],0))</f>
        <v>San Diego</v>
      </c>
      <c r="D456" s="9" t="str">
        <f>INDEX(Places[Majority RB],MATCH(Activities[[#This Row],[Jurisdiction]],Places[Jurisdiction],0))</f>
        <v>San Diego</v>
      </c>
      <c r="E456" s="9">
        <f>INDEX(Places[Majority RB '#],MATCH(Activities[[#This Row],[Jurisdiction]],Places[Jurisdiction],0))</f>
        <v>9</v>
      </c>
      <c r="F456" s="28" t="str">
        <f>VLOOKUP(Activities[[#This Row],[Jurisdiction]],Places[#All],8,FALSE)</f>
        <v>Phase I MS4</v>
      </c>
      <c r="G456" s="48" t="s">
        <v>415</v>
      </c>
      <c r="H456" s="8" t="s">
        <v>603</v>
      </c>
      <c r="I456" s="8" t="s">
        <v>590</v>
      </c>
      <c r="J456" s="8" t="s">
        <v>1894</v>
      </c>
      <c r="K456" s="27" t="s">
        <v>1869</v>
      </c>
      <c r="L456" s="28">
        <f>_xlfn.NUMBERVALUE(LEFT(Activities[[#This Row],[Fiscal Year]], 4))</f>
        <v>2016</v>
      </c>
      <c r="M456" s="28" t="s">
        <v>1862</v>
      </c>
      <c r="N456" s="41">
        <v>8000</v>
      </c>
      <c r="O456" s="93">
        <f>IF(Activities[[#This Row],[Reference Year]]&gt;2018,Activities[[#This Row],[Value]],Activities[[#This Row],[Value]]*(1+VLOOKUP(Activities[[#This Row],[Reference Year]],Inflation[#All],3,FALSE)))</f>
        <v>8387.7000000000007</v>
      </c>
    </row>
    <row r="457" spans="1:15" ht="15" customHeight="1" x14ac:dyDescent="0.25">
      <c r="A457" s="9" t="s">
        <v>317</v>
      </c>
      <c r="B457" s="9" t="str">
        <f>INDEX(Places[Type],MATCH(Activities[[#This Row],[Jurisdiction]],Places[Jurisdiction],0))</f>
        <v>City</v>
      </c>
      <c r="C457" s="19" t="str">
        <f>INDEX(Places[County],MATCH(Activities[[#This Row],[Jurisdiction]],Places[Jurisdiction],0))</f>
        <v>San Diego</v>
      </c>
      <c r="D457" s="9" t="str">
        <f>INDEX(Places[Majority RB],MATCH(Activities[[#This Row],[Jurisdiction]],Places[Jurisdiction],0))</f>
        <v>San Diego</v>
      </c>
      <c r="E457" s="9">
        <f>INDEX(Places[Majority RB '#],MATCH(Activities[[#This Row],[Jurisdiction]],Places[Jurisdiction],0))</f>
        <v>9</v>
      </c>
      <c r="F457" s="28" t="str">
        <f>VLOOKUP(Activities[[#This Row],[Jurisdiction]],Places[#All],8,FALSE)</f>
        <v>Phase I MS4</v>
      </c>
      <c r="G457" s="48" t="s">
        <v>392</v>
      </c>
      <c r="H457" s="8"/>
      <c r="I457" s="8"/>
      <c r="J457" s="8" t="s">
        <v>1894</v>
      </c>
      <c r="K457" s="27" t="s">
        <v>1869</v>
      </c>
      <c r="L457" s="28">
        <f>_xlfn.NUMBERVALUE(LEFT(Activities[[#This Row],[Fiscal Year]], 4))</f>
        <v>2016</v>
      </c>
      <c r="M457" s="28" t="s">
        <v>1862</v>
      </c>
      <c r="N457" s="41">
        <v>8600</v>
      </c>
      <c r="O457" s="93">
        <f>IF(Activities[[#This Row],[Reference Year]]&gt;2018,Activities[[#This Row],[Value]],Activities[[#This Row],[Value]]*(1+VLOOKUP(Activities[[#This Row],[Reference Year]],Inflation[#All],3,FALSE)))</f>
        <v>9016.7775000000001</v>
      </c>
    </row>
    <row r="458" spans="1:15" ht="15" customHeight="1" x14ac:dyDescent="0.25">
      <c r="A458" s="9" t="s">
        <v>317</v>
      </c>
      <c r="B458" s="9" t="str">
        <f>INDEX(Places[Type],MATCH(Activities[[#This Row],[Jurisdiction]],Places[Jurisdiction],0))</f>
        <v>City</v>
      </c>
      <c r="C458" s="19" t="str">
        <f>INDEX(Places[County],MATCH(Activities[[#This Row],[Jurisdiction]],Places[Jurisdiction],0))</f>
        <v>San Diego</v>
      </c>
      <c r="D458" s="9" t="str">
        <f>INDEX(Places[Majority RB],MATCH(Activities[[#This Row],[Jurisdiction]],Places[Jurisdiction],0))</f>
        <v>San Diego</v>
      </c>
      <c r="E458" s="9">
        <f>INDEX(Places[Majority RB '#],MATCH(Activities[[#This Row],[Jurisdiction]],Places[Jurisdiction],0))</f>
        <v>9</v>
      </c>
      <c r="F458" s="28" t="str">
        <f>VLOOKUP(Activities[[#This Row],[Jurisdiction]],Places[#All],8,FALSE)</f>
        <v>Phase I MS4</v>
      </c>
      <c r="G458" s="48" t="s">
        <v>396</v>
      </c>
      <c r="H458" s="8"/>
      <c r="I458" s="8"/>
      <c r="J458" s="8" t="s">
        <v>1894</v>
      </c>
      <c r="K458" s="27" t="s">
        <v>1869</v>
      </c>
      <c r="L458" s="28">
        <f>_xlfn.NUMBERVALUE(LEFT(Activities[[#This Row],[Fiscal Year]], 4))</f>
        <v>2016</v>
      </c>
      <c r="M458" s="28" t="s">
        <v>1862</v>
      </c>
      <c r="N458" s="41">
        <v>10011</v>
      </c>
      <c r="O458" s="93">
        <f>IF(Activities[[#This Row],[Reference Year]]&gt;2018,Activities[[#This Row],[Value]],Activities[[#This Row],[Value]]*(1+VLOOKUP(Activities[[#This Row],[Reference Year]],Inflation[#All],3,FALSE)))</f>
        <v>10496.1580875</v>
      </c>
    </row>
    <row r="459" spans="1:15" ht="15" customHeight="1" x14ac:dyDescent="0.25">
      <c r="A459" s="9" t="s">
        <v>317</v>
      </c>
      <c r="B459" s="9" t="str">
        <f>INDEX(Places[Type],MATCH(Activities[[#This Row],[Jurisdiction]],Places[Jurisdiction],0))</f>
        <v>City</v>
      </c>
      <c r="C459" s="19" t="str">
        <f>INDEX(Places[County],MATCH(Activities[[#This Row],[Jurisdiction]],Places[Jurisdiction],0))</f>
        <v>San Diego</v>
      </c>
      <c r="D459" s="9" t="str">
        <f>INDEX(Places[Majority RB],MATCH(Activities[[#This Row],[Jurisdiction]],Places[Jurisdiction],0))</f>
        <v>San Diego</v>
      </c>
      <c r="E459" s="9">
        <f>INDEX(Places[Majority RB '#],MATCH(Activities[[#This Row],[Jurisdiction]],Places[Jurisdiction],0))</f>
        <v>9</v>
      </c>
      <c r="F459" s="28" t="str">
        <f>VLOOKUP(Activities[[#This Row],[Jurisdiction]],Places[#All],8,FALSE)</f>
        <v>Phase I MS4</v>
      </c>
      <c r="G459" s="48" t="s">
        <v>404</v>
      </c>
      <c r="H459" s="8"/>
      <c r="I459" s="8"/>
      <c r="J459" s="8" t="s">
        <v>1894</v>
      </c>
      <c r="K459" s="27" t="s">
        <v>1869</v>
      </c>
      <c r="L459" s="28">
        <f>_xlfn.NUMBERVALUE(LEFT(Activities[[#This Row],[Fiscal Year]], 4))</f>
        <v>2016</v>
      </c>
      <c r="M459" s="28" t="s">
        <v>1862</v>
      </c>
      <c r="N459" s="41">
        <v>25000</v>
      </c>
      <c r="O459" s="93">
        <f>IF(Activities[[#This Row],[Reference Year]]&gt;2018,Activities[[#This Row],[Value]],Activities[[#This Row],[Value]]*(1+VLOOKUP(Activities[[#This Row],[Reference Year]],Inflation[#All],3,FALSE)))</f>
        <v>26211.562500000004</v>
      </c>
    </row>
    <row r="460" spans="1:15" ht="15" customHeight="1" x14ac:dyDescent="0.25">
      <c r="A460" s="9" t="s">
        <v>317</v>
      </c>
      <c r="B460" s="9" t="str">
        <f>INDEX(Places[Type],MATCH(Activities[[#This Row],[Jurisdiction]],Places[Jurisdiction],0))</f>
        <v>City</v>
      </c>
      <c r="C460" s="19" t="str">
        <f>INDEX(Places[County],MATCH(Activities[[#This Row],[Jurisdiction]],Places[Jurisdiction],0))</f>
        <v>San Diego</v>
      </c>
      <c r="D460" s="9" t="str">
        <f>INDEX(Places[Majority RB],MATCH(Activities[[#This Row],[Jurisdiction]],Places[Jurisdiction],0))</f>
        <v>San Diego</v>
      </c>
      <c r="E460" s="9">
        <f>INDEX(Places[Majority RB '#],MATCH(Activities[[#This Row],[Jurisdiction]],Places[Jurisdiction],0))</f>
        <v>9</v>
      </c>
      <c r="F460" s="28" t="str">
        <f>VLOOKUP(Activities[[#This Row],[Jurisdiction]],Places[#All],8,FALSE)</f>
        <v>Phase I MS4</v>
      </c>
      <c r="G460" s="48" t="s">
        <v>391</v>
      </c>
      <c r="H460" s="8"/>
      <c r="I460" s="8"/>
      <c r="J460" s="8" t="s">
        <v>1894</v>
      </c>
      <c r="K460" s="27" t="s">
        <v>1869</v>
      </c>
      <c r="L460" s="28">
        <f>_xlfn.NUMBERVALUE(LEFT(Activities[[#This Row],[Fiscal Year]], 4))</f>
        <v>2016</v>
      </c>
      <c r="M460" s="28" t="s">
        <v>1862</v>
      </c>
      <c r="N460" s="41">
        <v>35304</v>
      </c>
      <c r="O460" s="93">
        <f>IF(Activities[[#This Row],[Reference Year]]&gt;2018,Activities[[#This Row],[Value]],Activities[[#This Row],[Value]]*(1+VLOOKUP(Activities[[#This Row],[Reference Year]],Inflation[#All],3,FALSE)))</f>
        <v>37014.920100000003</v>
      </c>
    </row>
    <row r="461" spans="1:15" ht="15" customHeight="1" x14ac:dyDescent="0.25">
      <c r="A461" s="9" t="s">
        <v>317</v>
      </c>
      <c r="B461" s="9" t="str">
        <f>INDEX(Places[Type],MATCH(Activities[[#This Row],[Jurisdiction]],Places[Jurisdiction],0))</f>
        <v>City</v>
      </c>
      <c r="C461" s="19" t="str">
        <f>INDEX(Places[County],MATCH(Activities[[#This Row],[Jurisdiction]],Places[Jurisdiction],0))</f>
        <v>San Diego</v>
      </c>
      <c r="D461" s="9" t="str">
        <f>INDEX(Places[Majority RB],MATCH(Activities[[#This Row],[Jurisdiction]],Places[Jurisdiction],0))</f>
        <v>San Diego</v>
      </c>
      <c r="E461" s="9">
        <f>INDEX(Places[Majority RB '#],MATCH(Activities[[#This Row],[Jurisdiction]],Places[Jurisdiction],0))</f>
        <v>9</v>
      </c>
      <c r="F461" s="28" t="str">
        <f>VLOOKUP(Activities[[#This Row],[Jurisdiction]],Places[#All],8,FALSE)</f>
        <v>Phase I MS4</v>
      </c>
      <c r="G461" s="48" t="s">
        <v>395</v>
      </c>
      <c r="H461" s="8"/>
      <c r="I461" s="8"/>
      <c r="J461" s="8" t="s">
        <v>1894</v>
      </c>
      <c r="K461" s="27" t="s">
        <v>1869</v>
      </c>
      <c r="L461" s="28">
        <f>_xlfn.NUMBERVALUE(LEFT(Activities[[#This Row],[Fiscal Year]], 4))</f>
        <v>2016</v>
      </c>
      <c r="M461" s="28" t="s">
        <v>1862</v>
      </c>
      <c r="N461" s="41">
        <v>35798</v>
      </c>
      <c r="O461" s="93">
        <f>IF(Activities[[#This Row],[Reference Year]]&gt;2018,Activities[[#This Row],[Value]],Activities[[#This Row],[Value]]*(1+VLOOKUP(Activities[[#This Row],[Reference Year]],Inflation[#All],3,FALSE)))</f>
        <v>37532.860575000006</v>
      </c>
    </row>
    <row r="462" spans="1:15" ht="15" customHeight="1" x14ac:dyDescent="0.25">
      <c r="A462" s="9" t="s">
        <v>317</v>
      </c>
      <c r="B462" s="9" t="str">
        <f>INDEX(Places[Type],MATCH(Activities[[#This Row],[Jurisdiction]],Places[Jurisdiction],0))</f>
        <v>City</v>
      </c>
      <c r="C462" s="19" t="str">
        <f>INDEX(Places[County],MATCH(Activities[[#This Row],[Jurisdiction]],Places[Jurisdiction],0))</f>
        <v>San Diego</v>
      </c>
      <c r="D462" s="9" t="str">
        <f>INDEX(Places[Majority RB],MATCH(Activities[[#This Row],[Jurisdiction]],Places[Jurisdiction],0))</f>
        <v>San Diego</v>
      </c>
      <c r="E462" s="9">
        <f>INDEX(Places[Majority RB '#],MATCH(Activities[[#This Row],[Jurisdiction]],Places[Jurisdiction],0))</f>
        <v>9</v>
      </c>
      <c r="F462" s="28" t="str">
        <f>VLOOKUP(Activities[[#This Row],[Jurisdiction]],Places[#All],8,FALSE)</f>
        <v>Phase I MS4</v>
      </c>
      <c r="G462" s="48" t="s">
        <v>410</v>
      </c>
      <c r="H462" s="8"/>
      <c r="I462" s="8"/>
      <c r="J462" s="8" t="s">
        <v>1894</v>
      </c>
      <c r="K462" s="27" t="s">
        <v>1869</v>
      </c>
      <c r="L462" s="28">
        <f>_xlfn.NUMBERVALUE(LEFT(Activities[[#This Row],[Fiscal Year]], 4))</f>
        <v>2016</v>
      </c>
      <c r="M462" s="28" t="s">
        <v>1862</v>
      </c>
      <c r="N462" s="41">
        <v>40000</v>
      </c>
      <c r="O462" s="93">
        <f>IF(Activities[[#This Row],[Reference Year]]&gt;2018,Activities[[#This Row],[Value]],Activities[[#This Row],[Value]]*(1+VLOOKUP(Activities[[#This Row],[Reference Year]],Inflation[#All],3,FALSE)))</f>
        <v>41938.5</v>
      </c>
    </row>
    <row r="463" spans="1:15" ht="15" customHeight="1" x14ac:dyDescent="0.25">
      <c r="A463" s="9" t="s">
        <v>317</v>
      </c>
      <c r="B463" s="9" t="str">
        <f>INDEX(Places[Type],MATCH(Activities[[#This Row],[Jurisdiction]],Places[Jurisdiction],0))</f>
        <v>City</v>
      </c>
      <c r="C463" s="19" t="str">
        <f>INDEX(Places[County],MATCH(Activities[[#This Row],[Jurisdiction]],Places[Jurisdiction],0))</f>
        <v>San Diego</v>
      </c>
      <c r="D463" s="9" t="str">
        <f>INDEX(Places[Majority RB],MATCH(Activities[[#This Row],[Jurisdiction]],Places[Jurisdiction],0))</f>
        <v>San Diego</v>
      </c>
      <c r="E463" s="9">
        <f>INDEX(Places[Majority RB '#],MATCH(Activities[[#This Row],[Jurisdiction]],Places[Jurisdiction],0))</f>
        <v>9</v>
      </c>
      <c r="F463" s="28" t="str">
        <f>VLOOKUP(Activities[[#This Row],[Jurisdiction]],Places[#All],8,FALSE)</f>
        <v>Phase I MS4</v>
      </c>
      <c r="G463" s="48" t="s">
        <v>414</v>
      </c>
      <c r="H463" s="8"/>
      <c r="I463" s="8"/>
      <c r="J463" s="8" t="s">
        <v>1894</v>
      </c>
      <c r="K463" s="27" t="s">
        <v>1869</v>
      </c>
      <c r="L463" s="28">
        <f>_xlfn.NUMBERVALUE(LEFT(Activities[[#This Row],[Fiscal Year]], 4))</f>
        <v>2016</v>
      </c>
      <c r="M463" s="28" t="s">
        <v>1862</v>
      </c>
      <c r="N463" s="41">
        <v>45000</v>
      </c>
      <c r="O463" s="93">
        <f>IF(Activities[[#This Row],[Reference Year]]&gt;2018,Activities[[#This Row],[Value]],Activities[[#This Row],[Value]]*(1+VLOOKUP(Activities[[#This Row],[Reference Year]],Inflation[#All],3,FALSE)))</f>
        <v>47180.8125</v>
      </c>
    </row>
    <row r="464" spans="1:15" ht="15" customHeight="1" x14ac:dyDescent="0.25">
      <c r="A464" s="9" t="s">
        <v>317</v>
      </c>
      <c r="B464" s="9" t="str">
        <f>INDEX(Places[Type],MATCH(Activities[[#This Row],[Jurisdiction]],Places[Jurisdiction],0))</f>
        <v>City</v>
      </c>
      <c r="C464" s="19" t="str">
        <f>INDEX(Places[County],MATCH(Activities[[#This Row],[Jurisdiction]],Places[Jurisdiction],0))</f>
        <v>San Diego</v>
      </c>
      <c r="D464" s="9" t="str">
        <f>INDEX(Places[Majority RB],MATCH(Activities[[#This Row],[Jurisdiction]],Places[Jurisdiction],0))</f>
        <v>San Diego</v>
      </c>
      <c r="E464" s="9">
        <f>INDEX(Places[Majority RB '#],MATCH(Activities[[#This Row],[Jurisdiction]],Places[Jurisdiction],0))</f>
        <v>9</v>
      </c>
      <c r="F464" s="28" t="str">
        <f>VLOOKUP(Activities[[#This Row],[Jurisdiction]],Places[#All],8,FALSE)</f>
        <v>Phase I MS4</v>
      </c>
      <c r="G464" s="48" t="s">
        <v>399</v>
      </c>
      <c r="H464" s="8"/>
      <c r="I464" s="8"/>
      <c r="J464" s="8" t="s">
        <v>1894</v>
      </c>
      <c r="K464" s="27" t="s">
        <v>1869</v>
      </c>
      <c r="L464" s="28">
        <f>_xlfn.NUMBERVALUE(LEFT(Activities[[#This Row],[Fiscal Year]], 4))</f>
        <v>2016</v>
      </c>
      <c r="M464" s="28" t="s">
        <v>1862</v>
      </c>
      <c r="N464" s="41">
        <v>58215</v>
      </c>
      <c r="O464" s="93">
        <f>IF(Activities[[#This Row],[Reference Year]]&gt;2018,Activities[[#This Row],[Value]],Activities[[#This Row],[Value]]*(1+VLOOKUP(Activities[[#This Row],[Reference Year]],Inflation[#All],3,FALSE)))</f>
        <v>61036.244437500005</v>
      </c>
    </row>
    <row r="465" spans="1:15" ht="15" customHeight="1" x14ac:dyDescent="0.25">
      <c r="A465" s="9" t="s">
        <v>317</v>
      </c>
      <c r="B465" s="9" t="str">
        <f>INDEX(Places[Type],MATCH(Activities[[#This Row],[Jurisdiction]],Places[Jurisdiction],0))</f>
        <v>City</v>
      </c>
      <c r="C465" s="19" t="str">
        <f>INDEX(Places[County],MATCH(Activities[[#This Row],[Jurisdiction]],Places[Jurisdiction],0))</f>
        <v>San Diego</v>
      </c>
      <c r="D465" s="9" t="str">
        <f>INDEX(Places[Majority RB],MATCH(Activities[[#This Row],[Jurisdiction]],Places[Jurisdiction],0))</f>
        <v>San Diego</v>
      </c>
      <c r="E465" s="9">
        <f>INDEX(Places[Majority RB '#],MATCH(Activities[[#This Row],[Jurisdiction]],Places[Jurisdiction],0))</f>
        <v>9</v>
      </c>
      <c r="F465" s="28" t="str">
        <f>VLOOKUP(Activities[[#This Row],[Jurisdiction]],Places[#All],8,FALSE)</f>
        <v>Phase I MS4</v>
      </c>
      <c r="G465" s="48" t="s">
        <v>397</v>
      </c>
      <c r="H465" s="8"/>
      <c r="I465" s="8"/>
      <c r="J465" s="8" t="s">
        <v>1894</v>
      </c>
      <c r="K465" s="27" t="s">
        <v>1869</v>
      </c>
      <c r="L465" s="28">
        <f>_xlfn.NUMBERVALUE(LEFT(Activities[[#This Row],[Fiscal Year]], 4))</f>
        <v>2016</v>
      </c>
      <c r="M465" s="28" t="s">
        <v>1862</v>
      </c>
      <c r="N465" s="41">
        <v>104873</v>
      </c>
      <c r="O465" s="93">
        <f>IF(Activities[[#This Row],[Reference Year]]&gt;2018,Activities[[#This Row],[Value]],Activities[[#This Row],[Value]]*(1+VLOOKUP(Activities[[#This Row],[Reference Year]],Inflation[#All],3,FALSE)))</f>
        <v>109955.40776250001</v>
      </c>
    </row>
    <row r="466" spans="1:15" ht="15" customHeight="1" x14ac:dyDescent="0.25">
      <c r="A466" s="9" t="s">
        <v>317</v>
      </c>
      <c r="B466" s="9" t="str">
        <f>INDEX(Places[Type],MATCH(Activities[[#This Row],[Jurisdiction]],Places[Jurisdiction],0))</f>
        <v>City</v>
      </c>
      <c r="C466" s="19" t="str">
        <f>INDEX(Places[County],MATCH(Activities[[#This Row],[Jurisdiction]],Places[Jurisdiction],0))</f>
        <v>San Diego</v>
      </c>
      <c r="D466" s="9" t="str">
        <f>INDEX(Places[Majority RB],MATCH(Activities[[#This Row],[Jurisdiction]],Places[Jurisdiction],0))</f>
        <v>San Diego</v>
      </c>
      <c r="E466" s="9">
        <f>INDEX(Places[Majority RB '#],MATCH(Activities[[#This Row],[Jurisdiction]],Places[Jurisdiction],0))</f>
        <v>9</v>
      </c>
      <c r="F466" s="28" t="str">
        <f>VLOOKUP(Activities[[#This Row],[Jurisdiction]],Places[#All],8,FALSE)</f>
        <v>Phase I MS4</v>
      </c>
      <c r="G466" s="48" t="s">
        <v>406</v>
      </c>
      <c r="H466" s="8"/>
      <c r="I466" s="8"/>
      <c r="J466" s="8" t="s">
        <v>1894</v>
      </c>
      <c r="K466" s="27" t="s">
        <v>1869</v>
      </c>
      <c r="L466" s="28">
        <f>_xlfn.NUMBERVALUE(LEFT(Activities[[#This Row],[Fiscal Year]], 4))</f>
        <v>2016</v>
      </c>
      <c r="M466" s="28" t="s">
        <v>1862</v>
      </c>
      <c r="N466" s="41">
        <v>219977</v>
      </c>
      <c r="O466" s="93">
        <f>IF(Activities[[#This Row],[Reference Year]]&gt;2018,Activities[[#This Row],[Value]],Activities[[#This Row],[Value]]*(1+VLOOKUP(Activities[[#This Row],[Reference Year]],Inflation[#All],3,FALSE)))</f>
        <v>230637.6353625</v>
      </c>
    </row>
    <row r="467" spans="1:15" ht="15" customHeight="1" x14ac:dyDescent="0.25">
      <c r="A467" s="9" t="s">
        <v>317</v>
      </c>
      <c r="B467" s="9" t="str">
        <f>INDEX(Places[Type],MATCH(Activities[[#This Row],[Jurisdiction]],Places[Jurisdiction],0))</f>
        <v>City</v>
      </c>
      <c r="C467" s="19" t="str">
        <f>INDEX(Places[County],MATCH(Activities[[#This Row],[Jurisdiction]],Places[Jurisdiction],0))</f>
        <v>San Diego</v>
      </c>
      <c r="D467" s="9" t="str">
        <f>INDEX(Places[Majority RB],MATCH(Activities[[#This Row],[Jurisdiction]],Places[Jurisdiction],0))</f>
        <v>San Diego</v>
      </c>
      <c r="E467" s="9">
        <f>INDEX(Places[Majority RB '#],MATCH(Activities[[#This Row],[Jurisdiction]],Places[Jurisdiction],0))</f>
        <v>9</v>
      </c>
      <c r="F467" s="28" t="str">
        <f>VLOOKUP(Activities[[#This Row],[Jurisdiction]],Places[#All],8,FALSE)</f>
        <v>Phase I MS4</v>
      </c>
      <c r="G467" s="48" t="s">
        <v>393</v>
      </c>
      <c r="H467" s="8"/>
      <c r="I467" s="8"/>
      <c r="J467" s="8" t="s">
        <v>1894</v>
      </c>
      <c r="K467" s="27" t="s">
        <v>1869</v>
      </c>
      <c r="L467" s="28">
        <f>_xlfn.NUMBERVALUE(LEFT(Activities[[#This Row],[Fiscal Year]], 4))</f>
        <v>2016</v>
      </c>
      <c r="M467" s="28" t="s">
        <v>1862</v>
      </c>
      <c r="N467" s="41">
        <v>239316</v>
      </c>
      <c r="O467" s="93">
        <f>IF(Activities[[#This Row],[Reference Year]]&gt;2018,Activities[[#This Row],[Value]],Activities[[#This Row],[Value]]*(1+VLOOKUP(Activities[[#This Row],[Reference Year]],Inflation[#All],3,FALSE)))</f>
        <v>250913.85165000003</v>
      </c>
    </row>
    <row r="468" spans="1:15" ht="15" customHeight="1" x14ac:dyDescent="0.25">
      <c r="A468" s="9" t="s">
        <v>317</v>
      </c>
      <c r="B468" s="9" t="str">
        <f>INDEX(Places[Type],MATCH(Activities[[#This Row],[Jurisdiction]],Places[Jurisdiction],0))</f>
        <v>City</v>
      </c>
      <c r="C468" s="19" t="str">
        <f>INDEX(Places[County],MATCH(Activities[[#This Row],[Jurisdiction]],Places[Jurisdiction],0))</f>
        <v>San Diego</v>
      </c>
      <c r="D468" s="9" t="str">
        <f>INDEX(Places[Majority RB],MATCH(Activities[[#This Row],[Jurisdiction]],Places[Jurisdiction],0))</f>
        <v>San Diego</v>
      </c>
      <c r="E468" s="9">
        <f>INDEX(Places[Majority RB '#],MATCH(Activities[[#This Row],[Jurisdiction]],Places[Jurisdiction],0))</f>
        <v>9</v>
      </c>
      <c r="F468" s="28" t="str">
        <f>VLOOKUP(Activities[[#This Row],[Jurisdiction]],Places[#All],8,FALSE)</f>
        <v>Phase I MS4</v>
      </c>
      <c r="G468" s="48" t="s">
        <v>368</v>
      </c>
      <c r="H468" s="8" t="s">
        <v>1905</v>
      </c>
      <c r="I468" s="8"/>
      <c r="J468" s="8" t="s">
        <v>1894</v>
      </c>
      <c r="K468" s="27" t="s">
        <v>1869</v>
      </c>
      <c r="L468" s="28">
        <f>_xlfn.NUMBERVALUE(LEFT(Activities[[#This Row],[Fiscal Year]], 4))</f>
        <v>2016</v>
      </c>
      <c r="M468" s="28" t="s">
        <v>1862</v>
      </c>
      <c r="N468" s="41">
        <v>611742</v>
      </c>
      <c r="O468" s="93">
        <f>IF(Activities[[#This Row],[Reference Year]]&gt;2018,Activities[[#This Row],[Value]],Activities[[#This Row],[Value]]*(1+VLOOKUP(Activities[[#This Row],[Reference Year]],Inflation[#All],3,FALSE)))</f>
        <v>641388.54667499999</v>
      </c>
    </row>
    <row r="469" spans="1:15" ht="15" customHeight="1" x14ac:dyDescent="0.25">
      <c r="A469" s="9" t="s">
        <v>317</v>
      </c>
      <c r="B469" s="9" t="str">
        <f>INDEX(Places[Type],MATCH(Activities[[#This Row],[Jurisdiction]],Places[Jurisdiction],0))</f>
        <v>City</v>
      </c>
      <c r="C469" s="19" t="str">
        <f>INDEX(Places[County],MATCH(Activities[[#This Row],[Jurisdiction]],Places[Jurisdiction],0))</f>
        <v>San Diego</v>
      </c>
      <c r="D469" s="9" t="str">
        <f>INDEX(Places[Majority RB],MATCH(Activities[[#This Row],[Jurisdiction]],Places[Jurisdiction],0))</f>
        <v>San Diego</v>
      </c>
      <c r="E469" s="9">
        <f>INDEX(Places[Majority RB '#],MATCH(Activities[[#This Row],[Jurisdiction]],Places[Jurisdiction],0))</f>
        <v>9</v>
      </c>
      <c r="F469" s="28" t="str">
        <f>VLOOKUP(Activities[[#This Row],[Jurisdiction]],Places[#All],8,FALSE)</f>
        <v>Phase I MS4</v>
      </c>
      <c r="G469" s="48" t="s">
        <v>344</v>
      </c>
      <c r="H469" s="8"/>
      <c r="I469" s="8"/>
      <c r="J469" s="8" t="s">
        <v>1896</v>
      </c>
      <c r="K469" s="27" t="s">
        <v>1869</v>
      </c>
      <c r="L469" s="28">
        <f>_xlfn.NUMBERVALUE(LEFT(Activities[[#This Row],[Fiscal Year]], 4))</f>
        <v>2016</v>
      </c>
      <c r="M469" s="28" t="s">
        <v>1862</v>
      </c>
      <c r="N469" s="41">
        <v>250</v>
      </c>
      <c r="O469" s="93">
        <f>IF(Activities[[#This Row],[Reference Year]]&gt;2018,Activities[[#This Row],[Value]],Activities[[#This Row],[Value]]*(1+VLOOKUP(Activities[[#This Row],[Reference Year]],Inflation[#All],3,FALSE)))</f>
        <v>262.11562500000002</v>
      </c>
    </row>
    <row r="470" spans="1:15" ht="15" customHeight="1" x14ac:dyDescent="0.25">
      <c r="A470" s="9" t="s">
        <v>317</v>
      </c>
      <c r="B470" s="9" t="str">
        <f>INDEX(Places[Type],MATCH(Activities[[#This Row],[Jurisdiction]],Places[Jurisdiction],0))</f>
        <v>City</v>
      </c>
      <c r="C470" s="19" t="str">
        <f>INDEX(Places[County],MATCH(Activities[[#This Row],[Jurisdiction]],Places[Jurisdiction],0))</f>
        <v>San Diego</v>
      </c>
      <c r="D470" s="9" t="str">
        <f>INDEX(Places[Majority RB],MATCH(Activities[[#This Row],[Jurisdiction]],Places[Jurisdiction],0))</f>
        <v>San Diego</v>
      </c>
      <c r="E470" s="9">
        <f>INDEX(Places[Majority RB '#],MATCH(Activities[[#This Row],[Jurisdiction]],Places[Jurisdiction],0))</f>
        <v>9</v>
      </c>
      <c r="F470" s="28" t="str">
        <f>VLOOKUP(Activities[[#This Row],[Jurisdiction]],Places[#All],8,FALSE)</f>
        <v>Phase I MS4</v>
      </c>
      <c r="G470" s="48" t="s">
        <v>408</v>
      </c>
      <c r="H470" s="8" t="s">
        <v>704</v>
      </c>
      <c r="I470" s="8"/>
      <c r="J470" s="8" t="s">
        <v>1896</v>
      </c>
      <c r="K470" s="27" t="s">
        <v>1869</v>
      </c>
      <c r="L470" s="28">
        <f>_xlfn.NUMBERVALUE(LEFT(Activities[[#This Row],[Fiscal Year]], 4))</f>
        <v>2016</v>
      </c>
      <c r="M470" s="28" t="s">
        <v>1862</v>
      </c>
      <c r="N470" s="41">
        <v>750</v>
      </c>
      <c r="O470" s="93">
        <f>IF(Activities[[#This Row],[Reference Year]]&gt;2018,Activities[[#This Row],[Value]],Activities[[#This Row],[Value]]*(1+VLOOKUP(Activities[[#This Row],[Reference Year]],Inflation[#All],3,FALSE)))</f>
        <v>786.34687500000007</v>
      </c>
    </row>
    <row r="471" spans="1:15" ht="15" customHeight="1" x14ac:dyDescent="0.25">
      <c r="A471" s="9" t="s">
        <v>317</v>
      </c>
      <c r="B471" s="9" t="str">
        <f>INDEX(Places[Type],MATCH(Activities[[#This Row],[Jurisdiction]],Places[Jurisdiction],0))</f>
        <v>City</v>
      </c>
      <c r="C471" s="19" t="str">
        <f>INDEX(Places[County],MATCH(Activities[[#This Row],[Jurisdiction]],Places[Jurisdiction],0))</f>
        <v>San Diego</v>
      </c>
      <c r="D471" s="9" t="str">
        <f>INDEX(Places[Majority RB],MATCH(Activities[[#This Row],[Jurisdiction]],Places[Jurisdiction],0))</f>
        <v>San Diego</v>
      </c>
      <c r="E471" s="9">
        <f>INDEX(Places[Majority RB '#],MATCH(Activities[[#This Row],[Jurisdiction]],Places[Jurisdiction],0))</f>
        <v>9</v>
      </c>
      <c r="F471" s="28" t="str">
        <f>VLOOKUP(Activities[[#This Row],[Jurisdiction]],Places[#All],8,FALSE)</f>
        <v>Phase I MS4</v>
      </c>
      <c r="G471" s="48" t="s">
        <v>405</v>
      </c>
      <c r="H471" s="8" t="s">
        <v>702</v>
      </c>
      <c r="I471" s="8" t="s">
        <v>703</v>
      </c>
      <c r="J471" s="8" t="s">
        <v>1896</v>
      </c>
      <c r="K471" s="27" t="s">
        <v>1869</v>
      </c>
      <c r="L471" s="28">
        <f>_xlfn.NUMBERVALUE(LEFT(Activities[[#This Row],[Fiscal Year]], 4))</f>
        <v>2016</v>
      </c>
      <c r="M471" s="28" t="s">
        <v>1862</v>
      </c>
      <c r="N471" s="41">
        <v>300000</v>
      </c>
      <c r="O471" s="93">
        <f>IF(Activities[[#This Row],[Reference Year]]&gt;2018,Activities[[#This Row],[Value]],Activities[[#This Row],[Value]]*(1+VLOOKUP(Activities[[#This Row],[Reference Year]],Inflation[#All],3,FALSE)))</f>
        <v>314538.75</v>
      </c>
    </row>
    <row r="472" spans="1:15" ht="15" customHeight="1" x14ac:dyDescent="0.25">
      <c r="A472" s="9" t="s">
        <v>9</v>
      </c>
      <c r="B472" s="9" t="str">
        <f>INDEX(Places[Type],MATCH(Activities[[#This Row],[Jurisdiction]],Places[Jurisdiction],0))</f>
        <v>City</v>
      </c>
      <c r="C472" s="19" t="str">
        <f>INDEX(Places[County],MATCH(Activities[[#This Row],[Jurisdiction]],Places[Jurisdiction],0))</f>
        <v>Los Angeles</v>
      </c>
      <c r="D472" s="19" t="str">
        <f>INDEX(Places[Majority RB],MATCH(Activities[[#This Row],[Jurisdiction]],Places[Jurisdiction],0))</f>
        <v>Los Angeles</v>
      </c>
      <c r="E472" s="9">
        <f>INDEX(Places[Majority RB '#],MATCH(Activities[[#This Row],[Jurisdiction]],Places[Jurisdiction],0))</f>
        <v>4</v>
      </c>
      <c r="F472" s="28" t="str">
        <f>VLOOKUP(Activities[[#This Row],[Jurisdiction]],Places[#All],8,FALSE)</f>
        <v>Phase I MS4</v>
      </c>
      <c r="G472" s="48" t="s">
        <v>837</v>
      </c>
      <c r="H472" s="8"/>
      <c r="I472" s="8"/>
      <c r="J472" s="8" t="s">
        <v>76</v>
      </c>
      <c r="K472" s="27" t="s">
        <v>1873</v>
      </c>
      <c r="L472" s="28">
        <f>_xlfn.NUMBERVALUE(LEFT(Activities[[#This Row],[Fiscal Year]], 4))</f>
        <v>2015</v>
      </c>
      <c r="M472" s="28" t="s">
        <v>1862</v>
      </c>
      <c r="N472" s="41">
        <v>137571</v>
      </c>
      <c r="O472" s="93">
        <f>IF(Activities[[#This Row],[Reference Year]]&gt;2018,Activities[[#This Row],[Value]],Activities[[#This Row],[Value]]*(1+VLOOKUP(Activities[[#This Row],[Reference Year]],Inflation[#All],3,FALSE)))</f>
        <v>146063.83249367087</v>
      </c>
    </row>
    <row r="473" spans="1:15" ht="15" customHeight="1" x14ac:dyDescent="0.25">
      <c r="A473" s="9" t="s">
        <v>9</v>
      </c>
      <c r="B473" s="9" t="str">
        <f>INDEX(Places[Type],MATCH(Activities[[#This Row],[Jurisdiction]],Places[Jurisdiction],0))</f>
        <v>City</v>
      </c>
      <c r="C473" s="19" t="str">
        <f>INDEX(Places[County],MATCH(Activities[[#This Row],[Jurisdiction]],Places[Jurisdiction],0))</f>
        <v>Los Angeles</v>
      </c>
      <c r="D473" s="19" t="str">
        <f>INDEX(Places[Majority RB],MATCH(Activities[[#This Row],[Jurisdiction]],Places[Jurisdiction],0))</f>
        <v>Los Angeles</v>
      </c>
      <c r="E473" s="9">
        <f>INDEX(Places[Majority RB '#],MATCH(Activities[[#This Row],[Jurisdiction]],Places[Jurisdiction],0))</f>
        <v>4</v>
      </c>
      <c r="F473" s="28" t="str">
        <f>VLOOKUP(Activities[[#This Row],[Jurisdiction]],Places[#All],8,FALSE)</f>
        <v>Phase I MS4</v>
      </c>
      <c r="G473" s="48" t="s">
        <v>841</v>
      </c>
      <c r="H473" s="8" t="s">
        <v>482</v>
      </c>
      <c r="I473" s="8" t="s">
        <v>644</v>
      </c>
      <c r="J473" s="8" t="s">
        <v>76</v>
      </c>
      <c r="K473" s="27" t="s">
        <v>1873</v>
      </c>
      <c r="L473" s="28">
        <f>_xlfn.NUMBERVALUE(LEFT(Activities[[#This Row],[Fiscal Year]], 4))</f>
        <v>2015</v>
      </c>
      <c r="M473" s="28" t="s">
        <v>1862</v>
      </c>
      <c r="N473" s="41">
        <v>684524</v>
      </c>
      <c r="O473" s="93">
        <f>IF(Activities[[#This Row],[Reference Year]]&gt;2018,Activities[[#This Row],[Value]],Activities[[#This Row],[Value]]*(1+VLOOKUP(Activities[[#This Row],[Reference Year]],Inflation[#All],3,FALSE)))</f>
        <v>726782.5259240506</v>
      </c>
    </row>
    <row r="474" spans="1:15" ht="15" customHeight="1" x14ac:dyDescent="0.25">
      <c r="A474" s="9" t="s">
        <v>9</v>
      </c>
      <c r="B474" s="9" t="str">
        <f>INDEX(Places[Type],MATCH(Activities[[#This Row],[Jurisdiction]],Places[Jurisdiction],0))</f>
        <v>City</v>
      </c>
      <c r="C474" s="19" t="str">
        <f>INDEX(Places[County],MATCH(Activities[[#This Row],[Jurisdiction]],Places[Jurisdiction],0))</f>
        <v>Los Angeles</v>
      </c>
      <c r="D474" s="19" t="str">
        <f>INDEX(Places[Majority RB],MATCH(Activities[[#This Row],[Jurisdiction]],Places[Jurisdiction],0))</f>
        <v>Los Angeles</v>
      </c>
      <c r="E474" s="9">
        <f>INDEX(Places[Majority RB '#],MATCH(Activities[[#This Row],[Jurisdiction]],Places[Jurisdiction],0))</f>
        <v>4</v>
      </c>
      <c r="F474" s="28" t="str">
        <f>VLOOKUP(Activities[[#This Row],[Jurisdiction]],Places[#All],8,FALSE)</f>
        <v>Phase I MS4</v>
      </c>
      <c r="G474" s="48" t="s">
        <v>835</v>
      </c>
      <c r="H474" s="8"/>
      <c r="I474" s="8"/>
      <c r="J474" s="8" t="s">
        <v>131</v>
      </c>
      <c r="K474" s="27" t="s">
        <v>1873</v>
      </c>
      <c r="L474" s="28">
        <f>_xlfn.NUMBERVALUE(LEFT(Activities[[#This Row],[Fiscal Year]], 4))</f>
        <v>2015</v>
      </c>
      <c r="M474" s="28" t="s">
        <v>1862</v>
      </c>
      <c r="N474" s="41">
        <v>1750</v>
      </c>
      <c r="O474" s="93">
        <f>IF(Activities[[#This Row],[Reference Year]]&gt;2018,Activities[[#This Row],[Value]],Activities[[#This Row],[Value]]*(1+VLOOKUP(Activities[[#This Row],[Reference Year]],Inflation[#All],3,FALSE)))</f>
        <v>1858.0348101265822</v>
      </c>
    </row>
    <row r="475" spans="1:15" ht="15" customHeight="1" x14ac:dyDescent="0.25">
      <c r="A475" s="9" t="s">
        <v>9</v>
      </c>
      <c r="B475" s="9" t="str">
        <f>INDEX(Places[Type],MATCH(Activities[[#This Row],[Jurisdiction]],Places[Jurisdiction],0))</f>
        <v>City</v>
      </c>
      <c r="C475" s="19" t="str">
        <f>INDEX(Places[County],MATCH(Activities[[#This Row],[Jurisdiction]],Places[Jurisdiction],0))</f>
        <v>Los Angeles</v>
      </c>
      <c r="D475" s="19" t="str">
        <f>INDEX(Places[Majority RB],MATCH(Activities[[#This Row],[Jurisdiction]],Places[Jurisdiction],0))</f>
        <v>Los Angeles</v>
      </c>
      <c r="E475" s="9">
        <f>INDEX(Places[Majority RB '#],MATCH(Activities[[#This Row],[Jurisdiction]],Places[Jurisdiction],0))</f>
        <v>4</v>
      </c>
      <c r="F475" s="28" t="str">
        <f>VLOOKUP(Activities[[#This Row],[Jurisdiction]],Places[#All],8,FALSE)</f>
        <v>Phase I MS4</v>
      </c>
      <c r="G475" s="48" t="s">
        <v>834</v>
      </c>
      <c r="H475" s="8" t="s">
        <v>478</v>
      </c>
      <c r="I475" s="8" t="s">
        <v>644</v>
      </c>
      <c r="J475" s="8" t="s">
        <v>1897</v>
      </c>
      <c r="K475" s="27" t="s">
        <v>1873</v>
      </c>
      <c r="L475" s="28">
        <f>_xlfn.NUMBERVALUE(LEFT(Activities[[#This Row],[Fiscal Year]], 4))</f>
        <v>2015</v>
      </c>
      <c r="M475" s="28" t="s">
        <v>1862</v>
      </c>
      <c r="N475" s="41">
        <v>14366</v>
      </c>
      <c r="O475" s="93">
        <f>IF(Activities[[#This Row],[Reference Year]]&gt;2018,Activities[[#This Row],[Value]],Activities[[#This Row],[Value]]*(1+VLOOKUP(Activities[[#This Row],[Reference Year]],Inflation[#All],3,FALSE)))</f>
        <v>15252.873189873417</v>
      </c>
    </row>
    <row r="476" spans="1:15" ht="15" customHeight="1" x14ac:dyDescent="0.25">
      <c r="A476" s="9" t="s">
        <v>9</v>
      </c>
      <c r="B476" s="9" t="str">
        <f>INDEX(Places[Type],MATCH(Activities[[#This Row],[Jurisdiction]],Places[Jurisdiction],0))</f>
        <v>City</v>
      </c>
      <c r="C476" s="19" t="str">
        <f>INDEX(Places[County],MATCH(Activities[[#This Row],[Jurisdiction]],Places[Jurisdiction],0))</f>
        <v>Los Angeles</v>
      </c>
      <c r="D476" s="19" t="str">
        <f>INDEX(Places[Majority RB],MATCH(Activities[[#This Row],[Jurisdiction]],Places[Jurisdiction],0))</f>
        <v>Los Angeles</v>
      </c>
      <c r="E476" s="9">
        <f>INDEX(Places[Majority RB '#],MATCH(Activities[[#This Row],[Jurisdiction]],Places[Jurisdiction],0))</f>
        <v>4</v>
      </c>
      <c r="F476" s="28" t="str">
        <f>VLOOKUP(Activities[[#This Row],[Jurisdiction]],Places[#All],8,FALSE)</f>
        <v>Phase I MS4</v>
      </c>
      <c r="G476" s="48" t="s">
        <v>842</v>
      </c>
      <c r="H476" s="8"/>
      <c r="I476" s="8"/>
      <c r="J476" s="8" t="s">
        <v>1897</v>
      </c>
      <c r="K476" s="27" t="s">
        <v>1873</v>
      </c>
      <c r="L476" s="28">
        <f>_xlfn.NUMBERVALUE(LEFT(Activities[[#This Row],[Fiscal Year]], 4))</f>
        <v>2015</v>
      </c>
      <c r="M476" s="28" t="s">
        <v>1862</v>
      </c>
      <c r="N476" s="41">
        <v>432360</v>
      </c>
      <c r="O476" s="93">
        <f>IF(Activities[[#This Row],[Reference Year]]&gt;2018,Activities[[#This Row],[Value]],Activities[[#This Row],[Value]]*(1+VLOOKUP(Activities[[#This Row],[Reference Year]],Inflation[#All],3,FALSE)))</f>
        <v>459051.38886075944</v>
      </c>
    </row>
    <row r="477" spans="1:15" ht="15" customHeight="1" x14ac:dyDescent="0.25">
      <c r="A477" s="9" t="s">
        <v>9</v>
      </c>
      <c r="B477" s="9" t="str">
        <f>INDEX(Places[Type],MATCH(Activities[[#This Row],[Jurisdiction]],Places[Jurisdiction],0))</f>
        <v>City</v>
      </c>
      <c r="C477" s="19" t="str">
        <f>INDEX(Places[County],MATCH(Activities[[#This Row],[Jurisdiction]],Places[Jurisdiction],0))</f>
        <v>Los Angeles</v>
      </c>
      <c r="D477" s="19" t="str">
        <f>INDEX(Places[Majority RB],MATCH(Activities[[#This Row],[Jurisdiction]],Places[Jurisdiction],0))</f>
        <v>Los Angeles</v>
      </c>
      <c r="E477" s="9">
        <f>INDEX(Places[Majority RB '#],MATCH(Activities[[#This Row],[Jurisdiction]],Places[Jurisdiction],0))</f>
        <v>4</v>
      </c>
      <c r="F477" s="28" t="str">
        <f>VLOOKUP(Activities[[#This Row],[Jurisdiction]],Places[#All],8,FALSE)</f>
        <v>Phase I MS4</v>
      </c>
      <c r="G477" s="48" t="s">
        <v>833</v>
      </c>
      <c r="H477" s="8"/>
      <c r="I477" s="8"/>
      <c r="J477" s="8" t="s">
        <v>1898</v>
      </c>
      <c r="K477" s="27" t="s">
        <v>1873</v>
      </c>
      <c r="L477" s="28">
        <f>_xlfn.NUMBERVALUE(LEFT(Activities[[#This Row],[Fiscal Year]], 4))</f>
        <v>2015</v>
      </c>
      <c r="M477" s="28" t="s">
        <v>1862</v>
      </c>
      <c r="N477" s="41">
        <v>24327</v>
      </c>
      <c r="O477" s="93">
        <f>IF(Activities[[#This Row],[Reference Year]]&gt;2018,Activities[[#This Row],[Value]],Activities[[#This Row],[Value]]*(1+VLOOKUP(Activities[[#This Row],[Reference Year]],Inflation[#All],3,FALSE)))</f>
        <v>25828.807329113923</v>
      </c>
    </row>
    <row r="478" spans="1:15" ht="15" customHeight="1" x14ac:dyDescent="0.25">
      <c r="A478" s="9" t="s">
        <v>9</v>
      </c>
      <c r="B478" s="9" t="str">
        <f>INDEX(Places[Type],MATCH(Activities[[#This Row],[Jurisdiction]],Places[Jurisdiction],0))</f>
        <v>City</v>
      </c>
      <c r="C478" s="19" t="str">
        <f>INDEX(Places[County],MATCH(Activities[[#This Row],[Jurisdiction]],Places[Jurisdiction],0))</f>
        <v>Los Angeles</v>
      </c>
      <c r="D478" s="19" t="str">
        <f>INDEX(Places[Majority RB],MATCH(Activities[[#This Row],[Jurisdiction]],Places[Jurisdiction],0))</f>
        <v>Los Angeles</v>
      </c>
      <c r="E478" s="9">
        <f>INDEX(Places[Majority RB '#],MATCH(Activities[[#This Row],[Jurisdiction]],Places[Jurisdiction],0))</f>
        <v>4</v>
      </c>
      <c r="F478" s="28" t="str">
        <f>VLOOKUP(Activities[[#This Row],[Jurisdiction]],Places[#All],8,FALSE)</f>
        <v>Phase I MS4</v>
      </c>
      <c r="G478" s="48" t="s">
        <v>832</v>
      </c>
      <c r="H478" s="8"/>
      <c r="I478" s="8"/>
      <c r="J478" s="8" t="s">
        <v>1898</v>
      </c>
      <c r="K478" s="27" t="s">
        <v>1873</v>
      </c>
      <c r="L478" s="28">
        <f>_xlfn.NUMBERVALUE(LEFT(Activities[[#This Row],[Fiscal Year]], 4))</f>
        <v>2015</v>
      </c>
      <c r="M478" s="28" t="s">
        <v>1862</v>
      </c>
      <c r="N478" s="41">
        <v>38203</v>
      </c>
      <c r="O478" s="93">
        <f>IF(Activities[[#This Row],[Reference Year]]&gt;2018,Activities[[#This Row],[Value]],Activities[[#This Row],[Value]]*(1+VLOOKUP(Activities[[#This Row],[Reference Year]],Inflation[#All],3,FALSE)))</f>
        <v>40561.4307721519</v>
      </c>
    </row>
    <row r="479" spans="1:15" ht="15" customHeight="1" x14ac:dyDescent="0.25">
      <c r="A479" s="9" t="s">
        <v>9</v>
      </c>
      <c r="B479" s="9" t="str">
        <f>INDEX(Places[Type],MATCH(Activities[[#This Row],[Jurisdiction]],Places[Jurisdiction],0))</f>
        <v>City</v>
      </c>
      <c r="C479" s="19" t="str">
        <f>INDEX(Places[County],MATCH(Activities[[#This Row],[Jurisdiction]],Places[Jurisdiction],0))</f>
        <v>Los Angeles</v>
      </c>
      <c r="D479" s="19" t="str">
        <f>INDEX(Places[Majority RB],MATCH(Activities[[#This Row],[Jurisdiction]],Places[Jurisdiction],0))</f>
        <v>Los Angeles</v>
      </c>
      <c r="E479" s="9">
        <f>INDEX(Places[Majority RB '#],MATCH(Activities[[#This Row],[Jurisdiction]],Places[Jurisdiction],0))</f>
        <v>4</v>
      </c>
      <c r="F479" s="28" t="str">
        <f>VLOOKUP(Activities[[#This Row],[Jurisdiction]],Places[#All],8,FALSE)</f>
        <v>Phase I MS4</v>
      </c>
      <c r="G479" s="48" t="s">
        <v>830</v>
      </c>
      <c r="H479" s="8" t="s">
        <v>477</v>
      </c>
      <c r="I479" s="8" t="s">
        <v>644</v>
      </c>
      <c r="J479" s="8" t="s">
        <v>1456</v>
      </c>
      <c r="K479" s="27" t="s">
        <v>1873</v>
      </c>
      <c r="L479" s="28">
        <f>_xlfn.NUMBERVALUE(LEFT(Activities[[#This Row],[Fiscal Year]], 4))</f>
        <v>2015</v>
      </c>
      <c r="M479" s="28" t="s">
        <v>1862</v>
      </c>
      <c r="N479" s="41">
        <v>1500</v>
      </c>
      <c r="O479" s="93">
        <f>IF(Activities[[#This Row],[Reference Year]]&gt;2018,Activities[[#This Row],[Value]],Activities[[#This Row],[Value]]*(1+VLOOKUP(Activities[[#This Row],[Reference Year]],Inflation[#All],3,FALSE)))</f>
        <v>1592.6012658227846</v>
      </c>
    </row>
    <row r="480" spans="1:15" ht="15" customHeight="1" x14ac:dyDescent="0.25">
      <c r="A480" s="9" t="s">
        <v>9</v>
      </c>
      <c r="B480" s="9" t="str">
        <f>INDEX(Places[Type],MATCH(Activities[[#This Row],[Jurisdiction]],Places[Jurisdiction],0))</f>
        <v>City</v>
      </c>
      <c r="C480" s="19" t="str">
        <f>INDEX(Places[County],MATCH(Activities[[#This Row],[Jurisdiction]],Places[Jurisdiction],0))</f>
        <v>Los Angeles</v>
      </c>
      <c r="D480" s="19" t="str">
        <f>INDEX(Places[Majority RB],MATCH(Activities[[#This Row],[Jurisdiction]],Places[Jurisdiction],0))</f>
        <v>Los Angeles</v>
      </c>
      <c r="E480" s="9">
        <f>INDEX(Places[Majority RB '#],MATCH(Activities[[#This Row],[Jurisdiction]],Places[Jurisdiction],0))</f>
        <v>4</v>
      </c>
      <c r="F480" s="28" t="str">
        <f>VLOOKUP(Activities[[#This Row],[Jurisdiction]],Places[#All],8,FALSE)</f>
        <v>Phase I MS4</v>
      </c>
      <c r="G480" s="56" t="s">
        <v>829</v>
      </c>
      <c r="H480" s="8"/>
      <c r="I480" s="8"/>
      <c r="J480" s="8" t="s">
        <v>1894</v>
      </c>
      <c r="K480" s="27" t="s">
        <v>1873</v>
      </c>
      <c r="L480" s="28">
        <f>_xlfn.NUMBERVALUE(LEFT(Activities[[#This Row],[Fiscal Year]], 4))</f>
        <v>2015</v>
      </c>
      <c r="M480" s="28" t="s">
        <v>1862</v>
      </c>
      <c r="N480" s="41">
        <v>16057</v>
      </c>
      <c r="O480" s="93">
        <f>IF(Activities[[#This Row],[Reference Year]]&gt;2018,Activities[[#This Row],[Value]],Activities[[#This Row],[Value]]*(1+VLOOKUP(Activities[[#This Row],[Reference Year]],Inflation[#All],3,FALSE)))</f>
        <v>17048.265683544301</v>
      </c>
    </row>
    <row r="481" spans="1:15" ht="15" customHeight="1" x14ac:dyDescent="0.25">
      <c r="A481" s="9" t="s">
        <v>9</v>
      </c>
      <c r="B481" s="9" t="str">
        <f>INDEX(Places[Type],MATCH(Activities[[#This Row],[Jurisdiction]],Places[Jurisdiction],0))</f>
        <v>City</v>
      </c>
      <c r="C481" s="19" t="str">
        <f>INDEX(Places[County],MATCH(Activities[[#This Row],[Jurisdiction]],Places[Jurisdiction],0))</f>
        <v>Los Angeles</v>
      </c>
      <c r="D481" s="19" t="str">
        <f>INDEX(Places[Majority RB],MATCH(Activities[[#This Row],[Jurisdiction]],Places[Jurisdiction],0))</f>
        <v>Los Angeles</v>
      </c>
      <c r="E481" s="9">
        <f>INDEX(Places[Majority RB '#],MATCH(Activities[[#This Row],[Jurisdiction]],Places[Jurisdiction],0))</f>
        <v>4</v>
      </c>
      <c r="F481" s="28" t="str">
        <f>VLOOKUP(Activities[[#This Row],[Jurisdiction]],Places[#All],8,FALSE)</f>
        <v>Phase I MS4</v>
      </c>
      <c r="G481" s="48" t="s">
        <v>840</v>
      </c>
      <c r="H481" s="8"/>
      <c r="I481" s="8"/>
      <c r="J481" s="8" t="s">
        <v>47</v>
      </c>
      <c r="K481" s="27" t="s">
        <v>1873</v>
      </c>
      <c r="L481" s="28">
        <f>_xlfn.NUMBERVALUE(LEFT(Activities[[#This Row],[Fiscal Year]], 4))</f>
        <v>2015</v>
      </c>
      <c r="M481" s="28" t="s">
        <v>1862</v>
      </c>
      <c r="N481" s="41">
        <v>51418</v>
      </c>
      <c r="O481" s="93">
        <f>IF(Activities[[#This Row],[Reference Year]]&gt;2018,Activities[[#This Row],[Value]],Activities[[#This Row],[Value]]*(1+VLOOKUP(Activities[[#This Row],[Reference Year]],Inflation[#All],3,FALSE)))</f>
        <v>54592.247924050629</v>
      </c>
    </row>
    <row r="482" spans="1:15" ht="15" customHeight="1" x14ac:dyDescent="0.25">
      <c r="A482" s="9" t="s">
        <v>10</v>
      </c>
      <c r="B482" s="9" t="str">
        <f>INDEX(Places[Type],MATCH(Activities[[#This Row],[Jurisdiction]],Places[Jurisdiction],0))</f>
        <v>City</v>
      </c>
      <c r="C482" s="19" t="str">
        <f>INDEX(Places[County],MATCH(Activities[[#This Row],[Jurisdiction]],Places[Jurisdiction],0))</f>
        <v>Los Angeles</v>
      </c>
      <c r="D482" s="19" t="str">
        <f>INDEX(Places[Majority RB],MATCH(Activities[[#This Row],[Jurisdiction]],Places[Jurisdiction],0))</f>
        <v>Los Angeles</v>
      </c>
      <c r="E482" s="9">
        <f>INDEX(Places[Majority RB '#],MATCH(Activities[[#This Row],[Jurisdiction]],Places[Jurisdiction],0))</f>
        <v>4</v>
      </c>
      <c r="F482" s="28" t="str">
        <f>VLOOKUP(Activities[[#This Row],[Jurisdiction]],Places[#All],8,FALSE)</f>
        <v>Phase I MS4</v>
      </c>
      <c r="G482" s="48" t="s">
        <v>62</v>
      </c>
      <c r="H482" s="8"/>
      <c r="I482" s="8"/>
      <c r="J482" s="8" t="s">
        <v>131</v>
      </c>
      <c r="K482" s="27" t="s">
        <v>1873</v>
      </c>
      <c r="L482" s="28">
        <f>_xlfn.NUMBERVALUE(LEFT(Activities[[#This Row],[Fiscal Year]], 4))</f>
        <v>2015</v>
      </c>
      <c r="M482" s="28" t="s">
        <v>1862</v>
      </c>
      <c r="N482" s="41">
        <v>15000</v>
      </c>
      <c r="O482" s="93">
        <f>IF(Activities[[#This Row],[Reference Year]]&gt;2018,Activities[[#This Row],[Value]],Activities[[#This Row],[Value]]*(1+VLOOKUP(Activities[[#This Row],[Reference Year]],Inflation[#All],3,FALSE)))</f>
        <v>15926.012658227848</v>
      </c>
    </row>
    <row r="483" spans="1:15" ht="15" customHeight="1" x14ac:dyDescent="0.25">
      <c r="A483" s="9" t="s">
        <v>10</v>
      </c>
      <c r="B483" s="9" t="str">
        <f>INDEX(Places[Type],MATCH(Activities[[#This Row],[Jurisdiction]],Places[Jurisdiction],0))</f>
        <v>City</v>
      </c>
      <c r="C483" s="19" t="str">
        <f>INDEX(Places[County],MATCH(Activities[[#This Row],[Jurisdiction]],Places[Jurisdiction],0))</f>
        <v>Los Angeles</v>
      </c>
      <c r="D483" s="19" t="str">
        <f>INDEX(Places[Majority RB],MATCH(Activities[[#This Row],[Jurisdiction]],Places[Jurisdiction],0))</f>
        <v>Los Angeles</v>
      </c>
      <c r="E483" s="9">
        <f>INDEX(Places[Majority RB '#],MATCH(Activities[[#This Row],[Jurisdiction]],Places[Jurisdiction],0))</f>
        <v>4</v>
      </c>
      <c r="F483" s="28" t="str">
        <f>VLOOKUP(Activities[[#This Row],[Jurisdiction]],Places[#All],8,FALSE)</f>
        <v>Phase I MS4</v>
      </c>
      <c r="G483" s="48" t="s">
        <v>208</v>
      </c>
      <c r="H483" s="8"/>
      <c r="I483" s="8"/>
      <c r="J483" s="8" t="s">
        <v>334</v>
      </c>
      <c r="K483" s="27" t="s">
        <v>1873</v>
      </c>
      <c r="L483" s="28">
        <f>_xlfn.NUMBERVALUE(LEFT(Activities[[#This Row],[Fiscal Year]], 4))</f>
        <v>2015</v>
      </c>
      <c r="M483" s="28" t="s">
        <v>1862</v>
      </c>
      <c r="N483" s="41">
        <v>14000</v>
      </c>
      <c r="O483" s="93">
        <f>IF(Activities[[#This Row],[Reference Year]]&gt;2018,Activities[[#This Row],[Value]],Activities[[#This Row],[Value]]*(1+VLOOKUP(Activities[[#This Row],[Reference Year]],Inflation[#All],3,FALSE)))</f>
        <v>14864.278481012658</v>
      </c>
    </row>
    <row r="484" spans="1:15" ht="15" customHeight="1" x14ac:dyDescent="0.25">
      <c r="A484" s="9" t="s">
        <v>10</v>
      </c>
      <c r="B484" s="9" t="str">
        <f>INDEX(Places[Type],MATCH(Activities[[#This Row],[Jurisdiction]],Places[Jurisdiction],0))</f>
        <v>City</v>
      </c>
      <c r="C484" s="19" t="str">
        <f>INDEX(Places[County],MATCH(Activities[[#This Row],[Jurisdiction]],Places[Jurisdiction],0))</f>
        <v>Los Angeles</v>
      </c>
      <c r="D484" s="19" t="str">
        <f>INDEX(Places[Majority RB],MATCH(Activities[[#This Row],[Jurisdiction]],Places[Jurisdiction],0))</f>
        <v>Los Angeles</v>
      </c>
      <c r="E484" s="9">
        <f>INDEX(Places[Majority RB '#],MATCH(Activities[[#This Row],[Jurisdiction]],Places[Jurisdiction],0))</f>
        <v>4</v>
      </c>
      <c r="F484" s="28" t="str">
        <f>VLOOKUP(Activities[[#This Row],[Jurisdiction]],Places[#All],8,FALSE)</f>
        <v>Phase I MS4</v>
      </c>
      <c r="G484" s="48" t="s">
        <v>61</v>
      </c>
      <c r="H484" s="8"/>
      <c r="I484" s="8"/>
      <c r="J484" s="8" t="s">
        <v>1897</v>
      </c>
      <c r="K484" s="27" t="s">
        <v>1873</v>
      </c>
      <c r="L484" s="28">
        <f>_xlfn.NUMBERVALUE(LEFT(Activities[[#This Row],[Fiscal Year]], 4))</f>
        <v>2015</v>
      </c>
      <c r="M484" s="28" t="s">
        <v>1862</v>
      </c>
      <c r="N484" s="41">
        <v>823000</v>
      </c>
      <c r="O484" s="93">
        <f>IF(Activities[[#This Row],[Reference Year]]&gt;2018,Activities[[#This Row],[Value]],Activities[[#This Row],[Value]]*(1+VLOOKUP(Activities[[#This Row],[Reference Year]],Inflation[#All],3,FALSE)))</f>
        <v>873807.22784810117</v>
      </c>
    </row>
    <row r="485" spans="1:15" ht="15" customHeight="1" x14ac:dyDescent="0.25">
      <c r="A485" s="9" t="s">
        <v>10</v>
      </c>
      <c r="B485" s="9" t="str">
        <f>INDEX(Places[Type],MATCH(Activities[[#This Row],[Jurisdiction]],Places[Jurisdiction],0))</f>
        <v>City</v>
      </c>
      <c r="C485" s="19" t="str">
        <f>INDEX(Places[County],MATCH(Activities[[#This Row],[Jurisdiction]],Places[Jurisdiction],0))</f>
        <v>Los Angeles</v>
      </c>
      <c r="D485" s="19" t="str">
        <f>INDEX(Places[Majority RB],MATCH(Activities[[#This Row],[Jurisdiction]],Places[Jurisdiction],0))</f>
        <v>Los Angeles</v>
      </c>
      <c r="E485" s="9">
        <f>INDEX(Places[Majority RB '#],MATCH(Activities[[#This Row],[Jurisdiction]],Places[Jurisdiction],0))</f>
        <v>4</v>
      </c>
      <c r="F485" s="28" t="str">
        <f>VLOOKUP(Activities[[#This Row],[Jurisdiction]],Places[#All],8,FALSE)</f>
        <v>Phase I MS4</v>
      </c>
      <c r="G485" s="48" t="s">
        <v>60</v>
      </c>
      <c r="H485" s="8"/>
      <c r="I485" s="8"/>
      <c r="J485" s="8" t="s">
        <v>1898</v>
      </c>
      <c r="K485" s="27" t="s">
        <v>1873</v>
      </c>
      <c r="L485" s="28">
        <f>_xlfn.NUMBERVALUE(LEFT(Activities[[#This Row],[Fiscal Year]], 4))</f>
        <v>2015</v>
      </c>
      <c r="M485" s="28" t="s">
        <v>1862</v>
      </c>
      <c r="N485" s="41">
        <v>250000</v>
      </c>
      <c r="O485" s="93">
        <f>IF(Activities[[#This Row],[Reference Year]]&gt;2018,Activities[[#This Row],[Value]],Activities[[#This Row],[Value]]*(1+VLOOKUP(Activities[[#This Row],[Reference Year]],Inflation[#All],3,FALSE)))</f>
        <v>265433.54430379748</v>
      </c>
    </row>
    <row r="486" spans="1:15" ht="15" customHeight="1" x14ac:dyDescent="0.25">
      <c r="A486" s="9" t="s">
        <v>10</v>
      </c>
      <c r="B486" s="9" t="str">
        <f>INDEX(Places[Type],MATCH(Activities[[#This Row],[Jurisdiction]],Places[Jurisdiction],0))</f>
        <v>City</v>
      </c>
      <c r="C486" s="19" t="str">
        <f>INDEX(Places[County],MATCH(Activities[[#This Row],[Jurisdiction]],Places[Jurisdiction],0))</f>
        <v>Los Angeles</v>
      </c>
      <c r="D486" s="19" t="str">
        <f>INDEX(Places[Majority RB],MATCH(Activities[[#This Row],[Jurisdiction]],Places[Jurisdiction],0))</f>
        <v>Los Angeles</v>
      </c>
      <c r="E486" s="9">
        <f>INDEX(Places[Majority RB '#],MATCH(Activities[[#This Row],[Jurisdiction]],Places[Jurisdiction],0))</f>
        <v>4</v>
      </c>
      <c r="F486" s="28" t="str">
        <f>VLOOKUP(Activities[[#This Row],[Jurisdiction]],Places[#All],8,FALSE)</f>
        <v>Phase I MS4</v>
      </c>
      <c r="G486" s="48" t="s">
        <v>59</v>
      </c>
      <c r="H486" s="8"/>
      <c r="I486" s="8"/>
      <c r="J486" s="8" t="s">
        <v>1898</v>
      </c>
      <c r="K486" s="27" t="s">
        <v>1873</v>
      </c>
      <c r="L486" s="28">
        <f>_xlfn.NUMBERVALUE(LEFT(Activities[[#This Row],[Fiscal Year]], 4))</f>
        <v>2015</v>
      </c>
      <c r="M486" s="28" t="s">
        <v>1862</v>
      </c>
      <c r="N486" s="41">
        <v>946600</v>
      </c>
      <c r="O486" s="93">
        <f>IF(Activities[[#This Row],[Reference Year]]&gt;2018,Activities[[#This Row],[Value]],Activities[[#This Row],[Value]]*(1+VLOOKUP(Activities[[#This Row],[Reference Year]],Inflation[#All],3,FALSE)))</f>
        <v>1005037.5721518986</v>
      </c>
    </row>
    <row r="487" spans="1:15" ht="15" customHeight="1" x14ac:dyDescent="0.25">
      <c r="A487" s="9" t="s">
        <v>10</v>
      </c>
      <c r="B487" s="9" t="str">
        <f>INDEX(Places[Type],MATCH(Activities[[#This Row],[Jurisdiction]],Places[Jurisdiction],0))</f>
        <v>City</v>
      </c>
      <c r="C487" s="19" t="str">
        <f>INDEX(Places[County],MATCH(Activities[[#This Row],[Jurisdiction]],Places[Jurisdiction],0))</f>
        <v>Los Angeles</v>
      </c>
      <c r="D487" s="19" t="str">
        <f>INDEX(Places[Majority RB],MATCH(Activities[[#This Row],[Jurisdiction]],Places[Jurisdiction],0))</f>
        <v>Los Angeles</v>
      </c>
      <c r="E487" s="9">
        <f>INDEX(Places[Majority RB '#],MATCH(Activities[[#This Row],[Jurisdiction]],Places[Jurisdiction],0))</f>
        <v>4</v>
      </c>
      <c r="F487" s="28" t="str">
        <f>VLOOKUP(Activities[[#This Row],[Jurisdiction]],Places[#All],8,FALSE)</f>
        <v>Phase I MS4</v>
      </c>
      <c r="G487" s="48" t="s">
        <v>58</v>
      </c>
      <c r="H487" s="8"/>
      <c r="I487" s="8"/>
      <c r="J487" s="8" t="s">
        <v>1456</v>
      </c>
      <c r="K487" s="27" t="s">
        <v>1873</v>
      </c>
      <c r="L487" s="28">
        <f>_xlfn.NUMBERVALUE(LEFT(Activities[[#This Row],[Fiscal Year]], 4))</f>
        <v>2015</v>
      </c>
      <c r="M487" s="28" t="s">
        <v>1862</v>
      </c>
      <c r="N487" s="41">
        <v>20000</v>
      </c>
      <c r="O487" s="93">
        <f>IF(Activities[[#This Row],[Reference Year]]&gt;2018,Activities[[#This Row],[Value]],Activities[[#This Row],[Value]]*(1+VLOOKUP(Activities[[#This Row],[Reference Year]],Inflation[#All],3,FALSE)))</f>
        <v>21234.683544303796</v>
      </c>
    </row>
    <row r="488" spans="1:15" ht="15" customHeight="1" x14ac:dyDescent="0.25">
      <c r="A488" s="9" t="s">
        <v>10</v>
      </c>
      <c r="B488" s="9" t="str">
        <f>INDEX(Places[Type],MATCH(Activities[[#This Row],[Jurisdiction]],Places[Jurisdiction],0))</f>
        <v>City</v>
      </c>
      <c r="C488" s="19" t="str">
        <f>INDEX(Places[County],MATCH(Activities[[#This Row],[Jurisdiction]],Places[Jurisdiction],0))</f>
        <v>Los Angeles</v>
      </c>
      <c r="D488" s="19" t="str">
        <f>INDEX(Places[Majority RB],MATCH(Activities[[#This Row],[Jurisdiction]],Places[Jurisdiction],0))</f>
        <v>Los Angeles</v>
      </c>
      <c r="E488" s="9">
        <f>INDEX(Places[Majority RB '#],MATCH(Activities[[#This Row],[Jurisdiction]],Places[Jurisdiction],0))</f>
        <v>4</v>
      </c>
      <c r="F488" s="28" t="str">
        <f>VLOOKUP(Activities[[#This Row],[Jurisdiction]],Places[#All],8,FALSE)</f>
        <v>Phase I MS4</v>
      </c>
      <c r="G488" s="48" t="s">
        <v>32</v>
      </c>
      <c r="H488" s="8"/>
      <c r="I488" s="8"/>
      <c r="J488" s="8" t="s">
        <v>1894</v>
      </c>
      <c r="K488" s="27" t="s">
        <v>1873</v>
      </c>
      <c r="L488" s="28">
        <f>_xlfn.NUMBERVALUE(LEFT(Activities[[#This Row],[Fiscal Year]], 4))</f>
        <v>2015</v>
      </c>
      <c r="M488" s="28" t="s">
        <v>1862</v>
      </c>
      <c r="N488" s="41">
        <v>150000</v>
      </c>
      <c r="O488" s="93">
        <f>IF(Activities[[#This Row],[Reference Year]]&gt;2018,Activities[[#This Row],[Value]],Activities[[#This Row],[Value]]*(1+VLOOKUP(Activities[[#This Row],[Reference Year]],Inflation[#All],3,FALSE)))</f>
        <v>159260.12658227846</v>
      </c>
    </row>
    <row r="489" spans="1:15" ht="15" customHeight="1" x14ac:dyDescent="0.25">
      <c r="A489" s="9" t="s">
        <v>10</v>
      </c>
      <c r="B489" s="9" t="str">
        <f>INDEX(Places[Type],MATCH(Activities[[#This Row],[Jurisdiction]],Places[Jurisdiction],0))</f>
        <v>City</v>
      </c>
      <c r="C489" s="19" t="str">
        <f>INDEX(Places[County],MATCH(Activities[[#This Row],[Jurisdiction]],Places[Jurisdiction],0))</f>
        <v>Los Angeles</v>
      </c>
      <c r="D489" s="19" t="str">
        <f>INDEX(Places[Majority RB],MATCH(Activities[[#This Row],[Jurisdiction]],Places[Jurisdiction],0))</f>
        <v>Los Angeles</v>
      </c>
      <c r="E489" s="9">
        <f>INDEX(Places[Majority RB '#],MATCH(Activities[[#This Row],[Jurisdiction]],Places[Jurisdiction],0))</f>
        <v>4</v>
      </c>
      <c r="F489" s="28" t="str">
        <f>VLOOKUP(Activities[[#This Row],[Jurisdiction]],Places[#All],8,FALSE)</f>
        <v>Phase I MS4</v>
      </c>
      <c r="G489" s="48" t="s">
        <v>33</v>
      </c>
      <c r="H489" s="8"/>
      <c r="I489" s="8"/>
      <c r="J489" s="8" t="s">
        <v>47</v>
      </c>
      <c r="K489" s="27" t="s">
        <v>1873</v>
      </c>
      <c r="L489" s="28">
        <f>_xlfn.NUMBERVALUE(LEFT(Activities[[#This Row],[Fiscal Year]], 4))</f>
        <v>2015</v>
      </c>
      <c r="M489" s="28" t="s">
        <v>1862</v>
      </c>
      <c r="N489" s="41">
        <v>66000</v>
      </c>
      <c r="O489" s="93">
        <f>IF(Activities[[#This Row],[Reference Year]]&gt;2018,Activities[[#This Row],[Value]],Activities[[#This Row],[Value]]*(1+VLOOKUP(Activities[[#This Row],[Reference Year]],Inflation[#All],3,FALSE)))</f>
        <v>70074.455696202524</v>
      </c>
    </row>
    <row r="490" spans="1:15" ht="15" customHeight="1" x14ac:dyDescent="0.25">
      <c r="A490" s="9" t="s">
        <v>125</v>
      </c>
      <c r="B490" s="9" t="str">
        <f>INDEX(Places[Type],MATCH(Activities[[#This Row],[Jurisdiction]],Places[Jurisdiction],0))</f>
        <v>City</v>
      </c>
      <c r="C490" s="19" t="str">
        <f>INDEX(Places[County],MATCH(Activities[[#This Row],[Jurisdiction]],Places[Jurisdiction],0))</f>
        <v>Sacramento</v>
      </c>
      <c r="D490" s="9" t="str">
        <f>INDEX(Places[Majority RB],MATCH(Activities[[#This Row],[Jurisdiction]],Places[Jurisdiction],0))</f>
        <v>Central Valley</v>
      </c>
      <c r="E490" s="9">
        <f>INDEX(Places[Majority RB '#],MATCH(Activities[[#This Row],[Jurisdiction]],Places[Jurisdiction],0))</f>
        <v>5</v>
      </c>
      <c r="F490" s="28" t="str">
        <f>VLOOKUP(Activities[[#This Row],[Jurisdiction]],Places[#All],8,FALSE)</f>
        <v>Phase I MS4</v>
      </c>
      <c r="G490" s="48" t="s">
        <v>130</v>
      </c>
      <c r="H490" s="8" t="s">
        <v>545</v>
      </c>
      <c r="I490" s="8" t="s">
        <v>536</v>
      </c>
      <c r="J490" s="8" t="s">
        <v>334</v>
      </c>
      <c r="K490" s="27" t="s">
        <v>1873</v>
      </c>
      <c r="L490" s="28">
        <f>_xlfn.NUMBERVALUE(LEFT(Activities[[#This Row],[Fiscal Year]], 4))</f>
        <v>2015</v>
      </c>
      <c r="M490" s="28" t="s">
        <v>1862</v>
      </c>
      <c r="N490" s="41">
        <v>30193</v>
      </c>
      <c r="O490" s="93">
        <f>IF(Activities[[#This Row],[Reference Year]]&gt;2018,Activities[[#This Row],[Value]],Activities[[#This Row],[Value]]*(1+VLOOKUP(Activities[[#This Row],[Reference Year]],Inflation[#All],3,FALSE)))</f>
        <v>32056.940012658226</v>
      </c>
    </row>
    <row r="491" spans="1:15" ht="15" customHeight="1" x14ac:dyDescent="0.25">
      <c r="A491" s="9" t="s">
        <v>125</v>
      </c>
      <c r="B491" s="9" t="str">
        <f>INDEX(Places[Type],MATCH(Activities[[#This Row],[Jurisdiction]],Places[Jurisdiction],0))</f>
        <v>City</v>
      </c>
      <c r="C491" s="19" t="str">
        <f>INDEX(Places[County],MATCH(Activities[[#This Row],[Jurisdiction]],Places[Jurisdiction],0))</f>
        <v>Sacramento</v>
      </c>
      <c r="D491" s="9" t="str">
        <f>INDEX(Places[Majority RB],MATCH(Activities[[#This Row],[Jurisdiction]],Places[Jurisdiction],0))</f>
        <v>Central Valley</v>
      </c>
      <c r="E491" s="9">
        <f>INDEX(Places[Majority RB '#],MATCH(Activities[[#This Row],[Jurisdiction]],Places[Jurisdiction],0))</f>
        <v>5</v>
      </c>
      <c r="F491" s="28" t="str">
        <f>VLOOKUP(Activities[[#This Row],[Jurisdiction]],Places[#All],8,FALSE)</f>
        <v>Phase I MS4</v>
      </c>
      <c r="G491" s="48" t="s">
        <v>137</v>
      </c>
      <c r="H491" s="8"/>
      <c r="I491" s="8"/>
      <c r="J491" s="8" t="s">
        <v>1897</v>
      </c>
      <c r="K491" s="27" t="s">
        <v>1873</v>
      </c>
      <c r="L491" s="28">
        <f>_xlfn.NUMBERVALUE(LEFT(Activities[[#This Row],[Fiscal Year]], 4))</f>
        <v>2015</v>
      </c>
      <c r="M491" s="28" t="s">
        <v>1862</v>
      </c>
      <c r="N491" s="41">
        <v>253616</v>
      </c>
      <c r="O491" s="93">
        <f>IF(Activities[[#This Row],[Reference Year]]&gt;2018,Activities[[#This Row],[Value]],Activities[[#This Row],[Value]]*(1+VLOOKUP(Activities[[#This Row],[Reference Year]],Inflation[#All],3,FALSE)))</f>
        <v>269272.77508860757</v>
      </c>
    </row>
    <row r="492" spans="1:15" ht="15" customHeight="1" x14ac:dyDescent="0.25">
      <c r="A492" s="9" t="s">
        <v>125</v>
      </c>
      <c r="B492" s="9" t="str">
        <f>INDEX(Places[Type],MATCH(Activities[[#This Row],[Jurisdiction]],Places[Jurisdiction],0))</f>
        <v>City</v>
      </c>
      <c r="C492" s="19" t="str">
        <f>INDEX(Places[County],MATCH(Activities[[#This Row],[Jurisdiction]],Places[Jurisdiction],0))</f>
        <v>Sacramento</v>
      </c>
      <c r="D492" s="9" t="str">
        <f>INDEX(Places[Majority RB],MATCH(Activities[[#This Row],[Jurisdiction]],Places[Jurisdiction],0))</f>
        <v>Central Valley</v>
      </c>
      <c r="E492" s="9">
        <f>INDEX(Places[Majority RB '#],MATCH(Activities[[#This Row],[Jurisdiction]],Places[Jurisdiction],0))</f>
        <v>5</v>
      </c>
      <c r="F492" s="28" t="str">
        <f>VLOOKUP(Activities[[#This Row],[Jurisdiction]],Places[#All],8,FALSE)</f>
        <v>Phase I MS4</v>
      </c>
      <c r="G492" s="48" t="s">
        <v>68</v>
      </c>
      <c r="H492" s="8" t="s">
        <v>546</v>
      </c>
      <c r="I492" s="8" t="s">
        <v>536</v>
      </c>
      <c r="J492" s="8" t="s">
        <v>1456</v>
      </c>
      <c r="K492" s="27" t="s">
        <v>1873</v>
      </c>
      <c r="L492" s="28">
        <f>_xlfn.NUMBERVALUE(LEFT(Activities[[#This Row],[Fiscal Year]], 4))</f>
        <v>2015</v>
      </c>
      <c r="M492" s="28" t="s">
        <v>1862</v>
      </c>
      <c r="N492" s="41">
        <v>28880</v>
      </c>
      <c r="O492" s="93">
        <f>IF(Activities[[#This Row],[Reference Year]]&gt;2018,Activities[[#This Row],[Value]],Activities[[#This Row],[Value]]*(1+VLOOKUP(Activities[[#This Row],[Reference Year]],Inflation[#All],3,FALSE)))</f>
        <v>30662.883037974683</v>
      </c>
    </row>
    <row r="493" spans="1:15" ht="15" customHeight="1" x14ac:dyDescent="0.25">
      <c r="A493" s="9" t="s">
        <v>125</v>
      </c>
      <c r="B493" s="9" t="str">
        <f>INDEX(Places[Type],MATCH(Activities[[#This Row],[Jurisdiction]],Places[Jurisdiction],0))</f>
        <v>City</v>
      </c>
      <c r="C493" s="19" t="str">
        <f>INDEX(Places[County],MATCH(Activities[[#This Row],[Jurisdiction]],Places[Jurisdiction],0))</f>
        <v>Sacramento</v>
      </c>
      <c r="D493" s="9" t="str">
        <f>INDEX(Places[Majority RB],MATCH(Activities[[#This Row],[Jurisdiction]],Places[Jurisdiction],0))</f>
        <v>Central Valley</v>
      </c>
      <c r="E493" s="9">
        <f>INDEX(Places[Majority RB '#],MATCH(Activities[[#This Row],[Jurisdiction]],Places[Jurisdiction],0))</f>
        <v>5</v>
      </c>
      <c r="F493" s="28" t="str">
        <f>VLOOKUP(Activities[[#This Row],[Jurisdiction]],Places[#All],8,FALSE)</f>
        <v>Phase I MS4</v>
      </c>
      <c r="G493" s="48" t="s">
        <v>32</v>
      </c>
      <c r="H493" s="8"/>
      <c r="I493" s="8"/>
      <c r="J493" s="8" t="s">
        <v>1894</v>
      </c>
      <c r="K493" s="27" t="s">
        <v>1873</v>
      </c>
      <c r="L493" s="28">
        <f>_xlfn.NUMBERVALUE(LEFT(Activities[[#This Row],[Fiscal Year]], 4))</f>
        <v>2015</v>
      </c>
      <c r="M493" s="28" t="s">
        <v>1862</v>
      </c>
      <c r="N493" s="41">
        <v>308495</v>
      </c>
      <c r="O493" s="93">
        <f>IF(Activities[[#This Row],[Reference Year]]&gt;2018,Activities[[#This Row],[Value]],Activities[[#This Row],[Value]]*(1+VLOOKUP(Activities[[#This Row],[Reference Year]],Inflation[#All],3,FALSE)))</f>
        <v>327539.685</v>
      </c>
    </row>
    <row r="494" spans="1:15" ht="15" customHeight="1" x14ac:dyDescent="0.25">
      <c r="A494" s="9" t="s">
        <v>125</v>
      </c>
      <c r="B494" s="9" t="str">
        <f>INDEX(Places[Type],MATCH(Activities[[#This Row],[Jurisdiction]],Places[Jurisdiction],0))</f>
        <v>City</v>
      </c>
      <c r="C494" s="19" t="str">
        <f>INDEX(Places[County],MATCH(Activities[[#This Row],[Jurisdiction]],Places[Jurisdiction],0))</f>
        <v>Sacramento</v>
      </c>
      <c r="D494" s="9" t="str">
        <f>INDEX(Places[Majority RB],MATCH(Activities[[#This Row],[Jurisdiction]],Places[Jurisdiction],0))</f>
        <v>Central Valley</v>
      </c>
      <c r="E494" s="9">
        <f>INDEX(Places[Majority RB '#],MATCH(Activities[[#This Row],[Jurisdiction]],Places[Jurisdiction],0))</f>
        <v>5</v>
      </c>
      <c r="F494" s="28" t="str">
        <f>VLOOKUP(Activities[[#This Row],[Jurisdiction]],Places[#All],8,FALSE)</f>
        <v>Phase I MS4</v>
      </c>
      <c r="G494" s="48" t="s">
        <v>135</v>
      </c>
      <c r="H494" s="8" t="s">
        <v>1906</v>
      </c>
      <c r="I494" s="8"/>
      <c r="J494" s="8" t="s">
        <v>1896</v>
      </c>
      <c r="K494" s="27" t="s">
        <v>1873</v>
      </c>
      <c r="L494" s="28">
        <f>_xlfn.NUMBERVALUE(LEFT(Activities[[#This Row],[Fiscal Year]], 4))</f>
        <v>2015</v>
      </c>
      <c r="M494" s="28" t="s">
        <v>1862</v>
      </c>
      <c r="N494" s="41">
        <v>39382</v>
      </c>
      <c r="O494" s="93">
        <f>IF(Activities[[#This Row],[Reference Year]]&gt;2018,Activities[[#This Row],[Value]],Activities[[#This Row],[Value]]*(1+VLOOKUP(Activities[[#This Row],[Reference Year]],Inflation[#All],3,FALSE)))</f>
        <v>41813.215367088604</v>
      </c>
    </row>
    <row r="495" spans="1:15" ht="15" customHeight="1" x14ac:dyDescent="0.25">
      <c r="A495" s="9" t="s">
        <v>125</v>
      </c>
      <c r="B495" s="9" t="str">
        <f>INDEX(Places[Type],MATCH(Activities[[#This Row],[Jurisdiction]],Places[Jurisdiction],0))</f>
        <v>City</v>
      </c>
      <c r="C495" s="19" t="str">
        <f>INDEX(Places[County],MATCH(Activities[[#This Row],[Jurisdiction]],Places[Jurisdiction],0))</f>
        <v>Sacramento</v>
      </c>
      <c r="D495" s="9" t="str">
        <f>INDEX(Places[Majority RB],MATCH(Activities[[#This Row],[Jurisdiction]],Places[Jurisdiction],0))</f>
        <v>Central Valley</v>
      </c>
      <c r="E495" s="9">
        <f>INDEX(Places[Majority RB '#],MATCH(Activities[[#This Row],[Jurisdiction]],Places[Jurisdiction],0))</f>
        <v>5</v>
      </c>
      <c r="F495" s="28" t="str">
        <f>VLOOKUP(Activities[[#This Row],[Jurisdiction]],Places[#All],8,FALSE)</f>
        <v>Phase I MS4</v>
      </c>
      <c r="G495" s="48" t="s">
        <v>136</v>
      </c>
      <c r="H495" s="62" t="s">
        <v>1907</v>
      </c>
      <c r="I495" s="8" t="s">
        <v>536</v>
      </c>
      <c r="J495" s="8" t="s">
        <v>1896</v>
      </c>
      <c r="K495" s="27" t="s">
        <v>1873</v>
      </c>
      <c r="L495" s="28">
        <f>_xlfn.NUMBERVALUE(LEFT(Activities[[#This Row],[Fiscal Year]], 4))</f>
        <v>2015</v>
      </c>
      <c r="M495" s="28" t="s">
        <v>1862</v>
      </c>
      <c r="N495" s="41">
        <v>249423</v>
      </c>
      <c r="O495" s="93">
        <f>IF(Activities[[#This Row],[Reference Year]]&gt;2018,Activities[[#This Row],[Value]],Activities[[#This Row],[Value]]*(1+VLOOKUP(Activities[[#This Row],[Reference Year]],Inflation[#All],3,FALSE)))</f>
        <v>264820.92368354427</v>
      </c>
    </row>
    <row r="496" spans="1:15" ht="15" customHeight="1" x14ac:dyDescent="0.25">
      <c r="A496" s="9" t="s">
        <v>303</v>
      </c>
      <c r="B496" s="9" t="str">
        <f>INDEX(Places[Type],MATCH(Activities[[#This Row],[Jurisdiction]],Places[Jurisdiction],0))</f>
        <v>City</v>
      </c>
      <c r="C496" s="19" t="str">
        <f>INDEX(Places[County],MATCH(Activities[[#This Row],[Jurisdiction]],Places[Jurisdiction],0))</f>
        <v>San Diego</v>
      </c>
      <c r="D496" s="9" t="str">
        <f>INDEX(Places[Majority RB],MATCH(Activities[[#This Row],[Jurisdiction]],Places[Jurisdiction],0))</f>
        <v>San Diego</v>
      </c>
      <c r="E496" s="9">
        <f>INDEX(Places[Majority RB '#],MATCH(Activities[[#This Row],[Jurisdiction]],Places[Jurisdiction],0))</f>
        <v>9</v>
      </c>
      <c r="F496" s="28" t="str">
        <f>VLOOKUP(Activities[[#This Row],[Jurisdiction]],Places[#All],8,FALSE)</f>
        <v>Phase I MS4</v>
      </c>
      <c r="G496" s="48" t="s">
        <v>1242</v>
      </c>
      <c r="H496" s="8" t="s">
        <v>666</v>
      </c>
      <c r="I496" s="8"/>
      <c r="J496" s="8" t="s">
        <v>1895</v>
      </c>
      <c r="K496" s="27" t="s">
        <v>1874</v>
      </c>
      <c r="L496" s="28">
        <f>_xlfn.NUMBERVALUE(LEFT(Activities[[#This Row],[Fiscal Year]], 4))</f>
        <v>2017</v>
      </c>
      <c r="M496" s="28" t="s">
        <v>1862</v>
      </c>
      <c r="N496" s="41">
        <v>181841</v>
      </c>
      <c r="O496" s="93">
        <f>IF(Activities[[#This Row],[Reference Year]]&gt;2018,Activities[[#This Row],[Value]],Activities[[#This Row],[Value]]*(1+VLOOKUP(Activities[[#This Row],[Reference Year]],Inflation[#All],3,FALSE)))</f>
        <v>186686.38380660958</v>
      </c>
    </row>
    <row r="497" spans="1:15" ht="15" customHeight="1" x14ac:dyDescent="0.25">
      <c r="A497" s="9" t="s">
        <v>303</v>
      </c>
      <c r="B497" s="9" t="str">
        <f>INDEX(Places[Type],MATCH(Activities[[#This Row],[Jurisdiction]],Places[Jurisdiction],0))</f>
        <v>City</v>
      </c>
      <c r="C497" s="19" t="str">
        <f>INDEX(Places[County],MATCH(Activities[[#This Row],[Jurisdiction]],Places[Jurisdiction],0))</f>
        <v>San Diego</v>
      </c>
      <c r="D497" s="9" t="str">
        <f>INDEX(Places[Majority RB],MATCH(Activities[[#This Row],[Jurisdiction]],Places[Jurisdiction],0))</f>
        <v>San Diego</v>
      </c>
      <c r="E497" s="9">
        <f>INDEX(Places[Majority RB '#],MATCH(Activities[[#This Row],[Jurisdiction]],Places[Jurisdiction],0))</f>
        <v>9</v>
      </c>
      <c r="F497" s="28" t="str">
        <f>VLOOKUP(Activities[[#This Row],[Jurisdiction]],Places[#All],8,FALSE)</f>
        <v>Phase I MS4</v>
      </c>
      <c r="G497" s="48" t="s">
        <v>1261</v>
      </c>
      <c r="H497" s="8"/>
      <c r="I497" s="8"/>
      <c r="J497" s="8" t="s">
        <v>131</v>
      </c>
      <c r="K497" s="27" t="s">
        <v>1874</v>
      </c>
      <c r="L497" s="28">
        <f>_xlfn.NUMBERVALUE(LEFT(Activities[[#This Row],[Fiscal Year]], 4))</f>
        <v>2017</v>
      </c>
      <c r="M497" s="28" t="s">
        <v>1862</v>
      </c>
      <c r="N497" s="41">
        <v>123182</v>
      </c>
      <c r="O497" s="93">
        <f>IF(Activities[[#This Row],[Reference Year]]&gt;2018,Activities[[#This Row],[Value]],Activities[[#This Row],[Value]]*(1+VLOOKUP(Activities[[#This Row],[Reference Year]],Inflation[#All],3,FALSE)))</f>
        <v>126464.34044063649</v>
      </c>
    </row>
    <row r="498" spans="1:15" ht="15" customHeight="1" x14ac:dyDescent="0.25">
      <c r="A498" s="9" t="s">
        <v>303</v>
      </c>
      <c r="B498" s="9" t="str">
        <f>INDEX(Places[Type],MATCH(Activities[[#This Row],[Jurisdiction]],Places[Jurisdiction],0))</f>
        <v>City</v>
      </c>
      <c r="C498" s="19" t="str">
        <f>INDEX(Places[County],MATCH(Activities[[#This Row],[Jurisdiction]],Places[Jurisdiction],0))</f>
        <v>San Diego</v>
      </c>
      <c r="D498" s="9" t="str">
        <f>INDEX(Places[Majority RB],MATCH(Activities[[#This Row],[Jurisdiction]],Places[Jurisdiction],0))</f>
        <v>San Diego</v>
      </c>
      <c r="E498" s="9">
        <f>INDEX(Places[Majority RB '#],MATCH(Activities[[#This Row],[Jurisdiction]],Places[Jurisdiction],0))</f>
        <v>9</v>
      </c>
      <c r="F498" s="28" t="str">
        <f>VLOOKUP(Activities[[#This Row],[Jurisdiction]],Places[#All],8,FALSE)</f>
        <v>Phase I MS4</v>
      </c>
      <c r="G498" s="48" t="s">
        <v>1257</v>
      </c>
      <c r="H498" s="8"/>
      <c r="I498" s="8"/>
      <c r="J498" s="8" t="s">
        <v>334</v>
      </c>
      <c r="K498" s="27" t="s">
        <v>1874</v>
      </c>
      <c r="L498" s="28">
        <f>_xlfn.NUMBERVALUE(LEFT(Activities[[#This Row],[Fiscal Year]], 4))</f>
        <v>2017</v>
      </c>
      <c r="M498" s="28" t="s">
        <v>1862</v>
      </c>
      <c r="N498" s="41">
        <v>98545</v>
      </c>
      <c r="O498" s="93">
        <f>IF(Activities[[#This Row],[Reference Year]]&gt;2018,Activities[[#This Row],[Value]],Activities[[#This Row],[Value]]*(1+VLOOKUP(Activities[[#This Row],[Reference Year]],Inflation[#All],3,FALSE)))</f>
        <v>101170.8563647491</v>
      </c>
    </row>
    <row r="499" spans="1:15" ht="15" customHeight="1" x14ac:dyDescent="0.25">
      <c r="A499" s="9" t="s">
        <v>303</v>
      </c>
      <c r="B499" s="9" t="str">
        <f>INDEX(Places[Type],MATCH(Activities[[#This Row],[Jurisdiction]],Places[Jurisdiction],0))</f>
        <v>City</v>
      </c>
      <c r="C499" s="19" t="str">
        <f>INDEX(Places[County],MATCH(Activities[[#This Row],[Jurisdiction]],Places[Jurisdiction],0))</f>
        <v>San Diego</v>
      </c>
      <c r="D499" s="9" t="str">
        <f>INDEX(Places[Majority RB],MATCH(Activities[[#This Row],[Jurisdiction]],Places[Jurisdiction],0))</f>
        <v>San Diego</v>
      </c>
      <c r="E499" s="9">
        <f>INDEX(Places[Majority RB '#],MATCH(Activities[[#This Row],[Jurisdiction]],Places[Jurisdiction],0))</f>
        <v>9</v>
      </c>
      <c r="F499" s="28" t="str">
        <f>VLOOKUP(Activities[[#This Row],[Jurisdiction]],Places[#All],8,FALSE)</f>
        <v>Phase I MS4</v>
      </c>
      <c r="G499" s="48" t="s">
        <v>1250</v>
      </c>
      <c r="H499" s="8" t="s">
        <v>665</v>
      </c>
      <c r="I499" s="94" t="s">
        <v>664</v>
      </c>
      <c r="J499" s="8" t="s">
        <v>1897</v>
      </c>
      <c r="K499" s="27" t="s">
        <v>1874</v>
      </c>
      <c r="L499" s="28">
        <f>_xlfn.NUMBERVALUE(LEFT(Activities[[#This Row],[Fiscal Year]], 4))</f>
        <v>2017</v>
      </c>
      <c r="M499" s="28" t="s">
        <v>1862</v>
      </c>
      <c r="N499" s="41">
        <v>12318</v>
      </c>
      <c r="O499" s="93">
        <f>IF(Activities[[#This Row],[Reference Year]]&gt;2018,Activities[[#This Row],[Value]],Activities[[#This Row],[Value]]*(1+VLOOKUP(Activities[[#This Row],[Reference Year]],Inflation[#All],3,FALSE)))</f>
        <v>12646.228714810282</v>
      </c>
    </row>
    <row r="500" spans="1:15" ht="15" customHeight="1" x14ac:dyDescent="0.25">
      <c r="A500" s="9" t="s">
        <v>303</v>
      </c>
      <c r="B500" s="9" t="str">
        <f>INDEX(Places[Type],MATCH(Activities[[#This Row],[Jurisdiction]],Places[Jurisdiction],0))</f>
        <v>City</v>
      </c>
      <c r="C500" s="19" t="str">
        <f>INDEX(Places[County],MATCH(Activities[[#This Row],[Jurisdiction]],Places[Jurisdiction],0))</f>
        <v>San Diego</v>
      </c>
      <c r="D500" s="9" t="str">
        <f>INDEX(Places[Majority RB],MATCH(Activities[[#This Row],[Jurisdiction]],Places[Jurisdiction],0))</f>
        <v>San Diego</v>
      </c>
      <c r="E500" s="9">
        <f>INDEX(Places[Majority RB '#],MATCH(Activities[[#This Row],[Jurisdiction]],Places[Jurisdiction],0))</f>
        <v>9</v>
      </c>
      <c r="F500" s="28" t="str">
        <f>VLOOKUP(Activities[[#This Row],[Jurisdiction]],Places[#All],8,FALSE)</f>
        <v>Phase I MS4</v>
      </c>
      <c r="G500" s="48" t="s">
        <v>1243</v>
      </c>
      <c r="H500" s="8"/>
      <c r="I500" s="8"/>
      <c r="J500" s="8" t="s">
        <v>1897</v>
      </c>
      <c r="K500" s="27" t="s">
        <v>1874</v>
      </c>
      <c r="L500" s="28">
        <f>_xlfn.NUMBERVALUE(LEFT(Activities[[#This Row],[Fiscal Year]], 4))</f>
        <v>2017</v>
      </c>
      <c r="M500" s="28" t="s">
        <v>1862</v>
      </c>
      <c r="N500" s="41">
        <v>1627820</v>
      </c>
      <c r="O500" s="93">
        <f>IF(Activities[[#This Row],[Reference Year]]&gt;2018,Activities[[#This Row],[Value]],Activities[[#This Row],[Value]]*(1+VLOOKUP(Activities[[#This Row],[Reference Year]],Inflation[#All],3,FALSE)))</f>
        <v>1671195.3260709916</v>
      </c>
    </row>
    <row r="501" spans="1:15" ht="15" customHeight="1" x14ac:dyDescent="0.25">
      <c r="A501" s="9" t="s">
        <v>303</v>
      </c>
      <c r="B501" s="9" t="str">
        <f>INDEX(Places[Type],MATCH(Activities[[#This Row],[Jurisdiction]],Places[Jurisdiction],0))</f>
        <v>City</v>
      </c>
      <c r="C501" s="19" t="str">
        <f>INDEX(Places[County],MATCH(Activities[[#This Row],[Jurisdiction]],Places[Jurisdiction],0))</f>
        <v>San Diego</v>
      </c>
      <c r="D501" s="9" t="str">
        <f>INDEX(Places[Majority RB],MATCH(Activities[[#This Row],[Jurisdiction]],Places[Jurisdiction],0))</f>
        <v>San Diego</v>
      </c>
      <c r="E501" s="9">
        <f>INDEX(Places[Majority RB '#],MATCH(Activities[[#This Row],[Jurisdiction]],Places[Jurisdiction],0))</f>
        <v>9</v>
      </c>
      <c r="F501" s="28" t="str">
        <f>VLOOKUP(Activities[[#This Row],[Jurisdiction]],Places[#All],8,FALSE)</f>
        <v>Phase I MS4</v>
      </c>
      <c r="G501" s="48" t="s">
        <v>1245</v>
      </c>
      <c r="H501" s="8"/>
      <c r="I501" s="8"/>
      <c r="J501" s="8" t="s">
        <v>1898</v>
      </c>
      <c r="K501" s="27" t="s">
        <v>1874</v>
      </c>
      <c r="L501" s="28">
        <f>_xlfn.NUMBERVALUE(LEFT(Activities[[#This Row],[Fiscal Year]], 4))</f>
        <v>2017</v>
      </c>
      <c r="M501" s="28" t="s">
        <v>1862</v>
      </c>
      <c r="N501" s="41">
        <v>24636</v>
      </c>
      <c r="O501" s="93">
        <f>IF(Activities[[#This Row],[Reference Year]]&gt;2018,Activities[[#This Row],[Value]],Activities[[#This Row],[Value]]*(1+VLOOKUP(Activities[[#This Row],[Reference Year]],Inflation[#All],3,FALSE)))</f>
        <v>25292.457429620565</v>
      </c>
    </row>
    <row r="502" spans="1:15" ht="15" customHeight="1" x14ac:dyDescent="0.25">
      <c r="A502" s="9" t="s">
        <v>303</v>
      </c>
      <c r="B502" s="9" t="str">
        <f>INDEX(Places[Type],MATCH(Activities[[#This Row],[Jurisdiction]],Places[Jurisdiction],0))</f>
        <v>City</v>
      </c>
      <c r="C502" s="19" t="str">
        <f>INDEX(Places[County],MATCH(Activities[[#This Row],[Jurisdiction]],Places[Jurisdiction],0))</f>
        <v>San Diego</v>
      </c>
      <c r="D502" s="9" t="str">
        <f>INDEX(Places[Majority RB],MATCH(Activities[[#This Row],[Jurisdiction]],Places[Jurisdiction],0))</f>
        <v>San Diego</v>
      </c>
      <c r="E502" s="9">
        <f>INDEX(Places[Majority RB '#],MATCH(Activities[[#This Row],[Jurisdiction]],Places[Jurisdiction],0))</f>
        <v>9</v>
      </c>
      <c r="F502" s="28" t="str">
        <f>VLOOKUP(Activities[[#This Row],[Jurisdiction]],Places[#All],8,FALSE)</f>
        <v>Phase I MS4</v>
      </c>
      <c r="G502" s="48" t="s">
        <v>1241</v>
      </c>
      <c r="H502" s="8"/>
      <c r="I502" s="8"/>
      <c r="J502" s="8" t="s">
        <v>1898</v>
      </c>
      <c r="K502" s="27" t="s">
        <v>1874</v>
      </c>
      <c r="L502" s="28">
        <f>_xlfn.NUMBERVALUE(LEFT(Activities[[#This Row],[Fiscal Year]], 4))</f>
        <v>2017</v>
      </c>
      <c r="M502" s="28" t="s">
        <v>1862</v>
      </c>
      <c r="N502" s="41">
        <v>275449</v>
      </c>
      <c r="O502" s="93">
        <f>IF(Activities[[#This Row],[Reference Year]]&gt;2018,Activities[[#This Row],[Value]],Activities[[#This Row],[Value]]*(1+VLOOKUP(Activities[[#This Row],[Reference Year]],Inflation[#All],3,FALSE)))</f>
        <v>282788.6875520196</v>
      </c>
    </row>
    <row r="503" spans="1:15" ht="15" customHeight="1" x14ac:dyDescent="0.25">
      <c r="A503" s="9" t="s">
        <v>303</v>
      </c>
      <c r="B503" s="9" t="str">
        <f>INDEX(Places[Type],MATCH(Activities[[#This Row],[Jurisdiction]],Places[Jurisdiction],0))</f>
        <v>City</v>
      </c>
      <c r="C503" s="19" t="str">
        <f>INDEX(Places[County],MATCH(Activities[[#This Row],[Jurisdiction]],Places[Jurisdiction],0))</f>
        <v>San Diego</v>
      </c>
      <c r="D503" s="9" t="str">
        <f>INDEX(Places[Majority RB],MATCH(Activities[[#This Row],[Jurisdiction]],Places[Jurisdiction],0))</f>
        <v>San Diego</v>
      </c>
      <c r="E503" s="9">
        <f>INDEX(Places[Majority RB '#],MATCH(Activities[[#This Row],[Jurisdiction]],Places[Jurisdiction],0))</f>
        <v>9</v>
      </c>
      <c r="F503" s="28" t="str">
        <f>VLOOKUP(Activities[[#This Row],[Jurisdiction]],Places[#All],8,FALSE)</f>
        <v>Phase I MS4</v>
      </c>
      <c r="G503" s="48" t="s">
        <v>1248</v>
      </c>
      <c r="H503" s="8"/>
      <c r="I503" s="8"/>
      <c r="J503" s="8" t="s">
        <v>1456</v>
      </c>
      <c r="K503" s="27" t="s">
        <v>1874</v>
      </c>
      <c r="L503" s="28">
        <f>_xlfn.NUMBERVALUE(LEFT(Activities[[#This Row],[Fiscal Year]], 4))</f>
        <v>2017</v>
      </c>
      <c r="M503" s="28" t="s">
        <v>1862</v>
      </c>
      <c r="N503" s="41">
        <v>12318</v>
      </c>
      <c r="O503" s="93">
        <f>IF(Activities[[#This Row],[Reference Year]]&gt;2018,Activities[[#This Row],[Value]],Activities[[#This Row],[Value]]*(1+VLOOKUP(Activities[[#This Row],[Reference Year]],Inflation[#All],3,FALSE)))</f>
        <v>12646.228714810282</v>
      </c>
    </row>
    <row r="504" spans="1:15" ht="15" customHeight="1" x14ac:dyDescent="0.25">
      <c r="A504" s="9" t="s">
        <v>303</v>
      </c>
      <c r="B504" s="9" t="str">
        <f>INDEX(Places[Type],MATCH(Activities[[#This Row],[Jurisdiction]],Places[Jurisdiction],0))</f>
        <v>City</v>
      </c>
      <c r="C504" s="19" t="str">
        <f>INDEX(Places[County],MATCH(Activities[[#This Row],[Jurisdiction]],Places[Jurisdiction],0))</f>
        <v>San Diego</v>
      </c>
      <c r="D504" s="9" t="str">
        <f>INDEX(Places[Majority RB],MATCH(Activities[[#This Row],[Jurisdiction]],Places[Jurisdiction],0))</f>
        <v>San Diego</v>
      </c>
      <c r="E504" s="9">
        <f>INDEX(Places[Majority RB '#],MATCH(Activities[[#This Row],[Jurisdiction]],Places[Jurisdiction],0))</f>
        <v>9</v>
      </c>
      <c r="F504" s="28" t="str">
        <f>VLOOKUP(Activities[[#This Row],[Jurisdiction]],Places[#All],8,FALSE)</f>
        <v>Phase I MS4</v>
      </c>
      <c r="G504" s="48" t="s">
        <v>1240</v>
      </c>
      <c r="H504" s="8"/>
      <c r="I504" s="8"/>
      <c r="J504" s="8" t="s">
        <v>1894</v>
      </c>
      <c r="K504" s="27" t="s">
        <v>1874</v>
      </c>
      <c r="L504" s="28">
        <f>_xlfn.NUMBERVALUE(LEFT(Activities[[#This Row],[Fiscal Year]], 4))</f>
        <v>2017</v>
      </c>
      <c r="M504" s="28" t="s">
        <v>1862</v>
      </c>
      <c r="N504" s="41">
        <v>130893</v>
      </c>
      <c r="O504" s="93">
        <f>IF(Activities[[#This Row],[Reference Year]]&gt;2018,Activities[[#This Row],[Value]],Activities[[#This Row],[Value]]*(1+VLOOKUP(Activities[[#This Row],[Reference Year]],Inflation[#All],3,FALSE)))</f>
        <v>134380.80980416157</v>
      </c>
    </row>
    <row r="505" spans="1:15" ht="15" customHeight="1" x14ac:dyDescent="0.25">
      <c r="A505" s="9" t="s">
        <v>303</v>
      </c>
      <c r="B505" s="9" t="str">
        <f>INDEX(Places[Type],MATCH(Activities[[#This Row],[Jurisdiction]],Places[Jurisdiction],0))</f>
        <v>City</v>
      </c>
      <c r="C505" s="19" t="str">
        <f>INDEX(Places[County],MATCH(Activities[[#This Row],[Jurisdiction]],Places[Jurisdiction],0))</f>
        <v>San Diego</v>
      </c>
      <c r="D505" s="9" t="str">
        <f>INDEX(Places[Majority RB],MATCH(Activities[[#This Row],[Jurisdiction]],Places[Jurisdiction],0))</f>
        <v>San Diego</v>
      </c>
      <c r="E505" s="9">
        <f>INDEX(Places[Majority RB '#],MATCH(Activities[[#This Row],[Jurisdiction]],Places[Jurisdiction],0))</f>
        <v>9</v>
      </c>
      <c r="F505" s="28" t="str">
        <f>VLOOKUP(Activities[[#This Row],[Jurisdiction]],Places[#All],8,FALSE)</f>
        <v>Phase I MS4</v>
      </c>
      <c r="G505" s="48" t="s">
        <v>1265</v>
      </c>
      <c r="H505" s="8"/>
      <c r="I505" s="8"/>
      <c r="J505" s="8" t="s">
        <v>1896</v>
      </c>
      <c r="K505" s="27" t="s">
        <v>1874</v>
      </c>
      <c r="L505" s="28">
        <f>_xlfn.NUMBERVALUE(LEFT(Activities[[#This Row],[Fiscal Year]], 4))</f>
        <v>2017</v>
      </c>
      <c r="M505" s="28" t="s">
        <v>1862</v>
      </c>
      <c r="N505" s="41">
        <v>4678</v>
      </c>
      <c r="O505" s="93">
        <f>IF(Activities[[#This Row],[Reference Year]]&gt;2018,Activities[[#This Row],[Value]],Activities[[#This Row],[Value]]*(1+VLOOKUP(Activities[[#This Row],[Reference Year]],Inflation[#All],3,FALSE)))</f>
        <v>4802.651236230111</v>
      </c>
    </row>
    <row r="506" spans="1:15" ht="15" customHeight="1" x14ac:dyDescent="0.25">
      <c r="A506" s="9" t="s">
        <v>303</v>
      </c>
      <c r="B506" s="9" t="str">
        <f>INDEX(Places[Type],MATCH(Activities[[#This Row],[Jurisdiction]],Places[Jurisdiction],0))</f>
        <v>City</v>
      </c>
      <c r="C506" s="19" t="str">
        <f>INDEX(Places[County],MATCH(Activities[[#This Row],[Jurisdiction]],Places[Jurisdiction],0))</f>
        <v>San Diego</v>
      </c>
      <c r="D506" s="9" t="str">
        <f>INDEX(Places[Majority RB],MATCH(Activities[[#This Row],[Jurisdiction]],Places[Jurisdiction],0))</f>
        <v>San Diego</v>
      </c>
      <c r="E506" s="9">
        <f>INDEX(Places[Majority RB '#],MATCH(Activities[[#This Row],[Jurisdiction]],Places[Jurisdiction],0))</f>
        <v>9</v>
      </c>
      <c r="F506" s="28" t="str">
        <f>VLOOKUP(Activities[[#This Row],[Jurisdiction]],Places[#All],8,FALSE)</f>
        <v>Phase I MS4</v>
      </c>
      <c r="G506" s="48" t="s">
        <v>1247</v>
      </c>
      <c r="H506" s="8" t="s">
        <v>667</v>
      </c>
      <c r="I506" s="8" t="s">
        <v>668</v>
      </c>
      <c r="J506" s="8" t="s">
        <v>1896</v>
      </c>
      <c r="K506" s="27" t="s">
        <v>1874</v>
      </c>
      <c r="L506" s="28">
        <f>_xlfn.NUMBERVALUE(LEFT(Activities[[#This Row],[Fiscal Year]], 4))</f>
        <v>2017</v>
      </c>
      <c r="M506" s="28" t="s">
        <v>1862</v>
      </c>
      <c r="N506" s="41">
        <v>24636</v>
      </c>
      <c r="O506" s="93">
        <f>IF(Activities[[#This Row],[Reference Year]]&gt;2018,Activities[[#This Row],[Value]],Activities[[#This Row],[Value]]*(1+VLOOKUP(Activities[[#This Row],[Reference Year]],Inflation[#All],3,FALSE)))</f>
        <v>25292.457429620565</v>
      </c>
    </row>
    <row r="507" spans="1:15" ht="15" customHeight="1" x14ac:dyDescent="0.25">
      <c r="A507" s="9" t="s">
        <v>303</v>
      </c>
      <c r="B507" s="9" t="str">
        <f>INDEX(Places[Type],MATCH(Activities[[#This Row],[Jurisdiction]],Places[Jurisdiction],0))</f>
        <v>City</v>
      </c>
      <c r="C507" s="19" t="str">
        <f>INDEX(Places[County],MATCH(Activities[[#This Row],[Jurisdiction]],Places[Jurisdiction],0))</f>
        <v>San Diego</v>
      </c>
      <c r="D507" s="9" t="str">
        <f>INDEX(Places[Majority RB],MATCH(Activities[[#This Row],[Jurisdiction]],Places[Jurisdiction],0))</f>
        <v>San Diego</v>
      </c>
      <c r="E507" s="9">
        <f>INDEX(Places[Majority RB '#],MATCH(Activities[[#This Row],[Jurisdiction]],Places[Jurisdiction],0))</f>
        <v>9</v>
      </c>
      <c r="F507" s="28" t="str">
        <f>VLOOKUP(Activities[[#This Row],[Jurisdiction]],Places[#All],8,FALSE)</f>
        <v>Phase I MS4</v>
      </c>
      <c r="G507" s="48" t="s">
        <v>1263</v>
      </c>
      <c r="H507" s="8"/>
      <c r="I507" s="8"/>
      <c r="J507" s="8" t="s">
        <v>47</v>
      </c>
      <c r="K507" s="27" t="s">
        <v>1874</v>
      </c>
      <c r="L507" s="28">
        <f>_xlfn.NUMBERVALUE(LEFT(Activities[[#This Row],[Fiscal Year]], 4))</f>
        <v>2017</v>
      </c>
      <c r="M507" s="28" t="s">
        <v>1862</v>
      </c>
      <c r="N507" s="41">
        <v>20542</v>
      </c>
      <c r="O507" s="93">
        <f>IF(Activities[[#This Row],[Reference Year]]&gt;2018,Activities[[#This Row],[Value]],Activities[[#This Row],[Value]]*(1+VLOOKUP(Activities[[#This Row],[Reference Year]],Inflation[#All],3,FALSE)))</f>
        <v>21089.367613219096</v>
      </c>
    </row>
    <row r="508" spans="1:15" ht="15" customHeight="1" x14ac:dyDescent="0.25">
      <c r="A508" s="9" t="s">
        <v>303</v>
      </c>
      <c r="B508" s="9" t="str">
        <f>INDEX(Places[Type],MATCH(Activities[[#This Row],[Jurisdiction]],Places[Jurisdiction],0))</f>
        <v>City</v>
      </c>
      <c r="C508" s="19" t="str">
        <f>INDEX(Places[County],MATCH(Activities[[#This Row],[Jurisdiction]],Places[Jurisdiction],0))</f>
        <v>San Diego</v>
      </c>
      <c r="D508" s="9" t="str">
        <f>INDEX(Places[Majority RB],MATCH(Activities[[#This Row],[Jurisdiction]],Places[Jurisdiction],0))</f>
        <v>San Diego</v>
      </c>
      <c r="E508" s="9">
        <f>INDEX(Places[Majority RB '#],MATCH(Activities[[#This Row],[Jurisdiction]],Places[Jurisdiction],0))</f>
        <v>9</v>
      </c>
      <c r="F508" s="28" t="str">
        <f>VLOOKUP(Activities[[#This Row],[Jurisdiction]],Places[#All],8,FALSE)</f>
        <v>Phase I MS4</v>
      </c>
      <c r="G508" s="48" t="s">
        <v>1264</v>
      </c>
      <c r="H508" s="8"/>
      <c r="I508" s="8"/>
      <c r="J508" s="8" t="s">
        <v>605</v>
      </c>
      <c r="K508" s="27" t="s">
        <v>1874</v>
      </c>
      <c r="L508" s="28">
        <f>_xlfn.NUMBERVALUE(LEFT(Activities[[#This Row],[Fiscal Year]], 4))</f>
        <v>2017</v>
      </c>
      <c r="M508" s="28" t="s">
        <v>1862</v>
      </c>
      <c r="N508" s="41">
        <v>6849</v>
      </c>
      <c r="O508" s="93">
        <f>IF(Activities[[#This Row],[Reference Year]]&gt;2018,Activities[[#This Row],[Value]],Activities[[#This Row],[Value]]*(1+VLOOKUP(Activities[[#This Row],[Reference Year]],Inflation[#All],3,FALSE)))</f>
        <v>7031.5002815177486</v>
      </c>
    </row>
    <row r="509" spans="1:15" ht="15" customHeight="1" x14ac:dyDescent="0.25">
      <c r="A509" s="9" t="s">
        <v>304</v>
      </c>
      <c r="B509" s="9" t="str">
        <f>INDEX(Places[Type],MATCH(Activities[[#This Row],[Jurisdiction]],Places[Jurisdiction],0))</f>
        <v>City</v>
      </c>
      <c r="C509" s="19" t="str">
        <f>INDEX(Places[County],MATCH(Activities[[#This Row],[Jurisdiction]],Places[Jurisdiction],0))</f>
        <v>San Diego</v>
      </c>
      <c r="D509" s="9" t="str">
        <f>INDEX(Places[Majority RB],MATCH(Activities[[#This Row],[Jurisdiction]],Places[Jurisdiction],0))</f>
        <v>San Diego</v>
      </c>
      <c r="E509" s="9">
        <f>INDEX(Places[Majority RB '#],MATCH(Activities[[#This Row],[Jurisdiction]],Places[Jurisdiction],0))</f>
        <v>9</v>
      </c>
      <c r="F509" s="28" t="str">
        <f>VLOOKUP(Activities[[#This Row],[Jurisdiction]],Places[#All],8,FALSE)</f>
        <v>Phase I MS4</v>
      </c>
      <c r="G509" s="56" t="s">
        <v>76</v>
      </c>
      <c r="H509" s="52"/>
      <c r="I509" s="52"/>
      <c r="J509" s="8" t="s">
        <v>76</v>
      </c>
      <c r="K509" s="27" t="s">
        <v>1874</v>
      </c>
      <c r="L509" s="28">
        <f>_xlfn.NUMBERVALUE(LEFT(Activities[[#This Row],[Fiscal Year]], 4))</f>
        <v>2017</v>
      </c>
      <c r="M509" s="28" t="s">
        <v>1862</v>
      </c>
      <c r="N509" s="41">
        <v>252098</v>
      </c>
      <c r="O509" s="93">
        <f>IF(Activities[[#This Row],[Reference Year]]&gt;2018,Activities[[#This Row],[Value]],Activities[[#This Row],[Value]]*(1+VLOOKUP(Activities[[#This Row],[Reference Year]],Inflation[#All],3,FALSE)))</f>
        <v>258815.47057527542</v>
      </c>
    </row>
    <row r="510" spans="1:15" ht="15" customHeight="1" x14ac:dyDescent="0.25">
      <c r="A510" s="9" t="s">
        <v>304</v>
      </c>
      <c r="B510" s="9" t="str">
        <f>INDEX(Places[Type],MATCH(Activities[[#This Row],[Jurisdiction]],Places[Jurisdiction],0))</f>
        <v>City</v>
      </c>
      <c r="C510" s="19" t="str">
        <f>INDEX(Places[County],MATCH(Activities[[#This Row],[Jurisdiction]],Places[Jurisdiction],0))</f>
        <v>San Diego</v>
      </c>
      <c r="D510" s="9" t="str">
        <f>INDEX(Places[Majority RB],MATCH(Activities[[#This Row],[Jurisdiction]],Places[Jurisdiction],0))</f>
        <v>San Diego</v>
      </c>
      <c r="E510" s="9">
        <f>INDEX(Places[Majority RB '#],MATCH(Activities[[#This Row],[Jurisdiction]],Places[Jurisdiction],0))</f>
        <v>9</v>
      </c>
      <c r="F510" s="28" t="str">
        <f>VLOOKUP(Activities[[#This Row],[Jurisdiction]],Places[#All],8,FALSE)</f>
        <v>Phase I MS4</v>
      </c>
      <c r="G510" s="56" t="s">
        <v>71</v>
      </c>
      <c r="H510" s="52"/>
      <c r="I510" s="52"/>
      <c r="J510" s="8" t="s">
        <v>71</v>
      </c>
      <c r="K510" s="27" t="s">
        <v>1874</v>
      </c>
      <c r="L510" s="28">
        <f>_xlfn.NUMBERVALUE(LEFT(Activities[[#This Row],[Fiscal Year]], 4))</f>
        <v>2017</v>
      </c>
      <c r="M510" s="28" t="s">
        <v>1862</v>
      </c>
      <c r="N510" s="41">
        <v>620809</v>
      </c>
      <c r="O510" s="93">
        <f>IF(Activities[[#This Row],[Reference Year]]&gt;2018,Activities[[#This Row],[Value]],Activities[[#This Row],[Value]]*(1+VLOOKUP(Activities[[#This Row],[Reference Year]],Inflation[#All],3,FALSE)))</f>
        <v>637351.24226438196</v>
      </c>
    </row>
    <row r="511" spans="1:15" ht="15" customHeight="1" x14ac:dyDescent="0.25">
      <c r="A511" s="9" t="s">
        <v>304</v>
      </c>
      <c r="B511" s="9" t="str">
        <f>INDEX(Places[Type],MATCH(Activities[[#This Row],[Jurisdiction]],Places[Jurisdiction],0))</f>
        <v>City</v>
      </c>
      <c r="C511" s="19" t="str">
        <f>INDEX(Places[County],MATCH(Activities[[#This Row],[Jurisdiction]],Places[Jurisdiction],0))</f>
        <v>San Diego</v>
      </c>
      <c r="D511" s="9" t="str">
        <f>INDEX(Places[Majority RB],MATCH(Activities[[#This Row],[Jurisdiction]],Places[Jurisdiction],0))</f>
        <v>San Diego</v>
      </c>
      <c r="E511" s="9">
        <f>INDEX(Places[Majority RB '#],MATCH(Activities[[#This Row],[Jurisdiction]],Places[Jurisdiction],0))</f>
        <v>9</v>
      </c>
      <c r="F511" s="28" t="str">
        <f>VLOOKUP(Activities[[#This Row],[Jurisdiction]],Places[#All],8,FALSE)</f>
        <v>Phase I MS4</v>
      </c>
      <c r="G511" s="48" t="s">
        <v>1269</v>
      </c>
      <c r="H511" s="8"/>
      <c r="I511" s="8"/>
      <c r="J511" s="8" t="s">
        <v>1894</v>
      </c>
      <c r="K511" s="27" t="s">
        <v>1874</v>
      </c>
      <c r="L511" s="28">
        <f>_xlfn.NUMBERVALUE(LEFT(Activities[[#This Row],[Fiscal Year]], 4))</f>
        <v>2017</v>
      </c>
      <c r="M511" s="28" t="s">
        <v>1862</v>
      </c>
      <c r="N511" s="41">
        <v>126732</v>
      </c>
      <c r="O511" s="93">
        <f>IF(Activities[[#This Row],[Reference Year]]&gt;2018,Activities[[#This Row],[Value]],Activities[[#This Row],[Value]]*(1+VLOOKUP(Activities[[#This Row],[Reference Year]],Inflation[#All],3,FALSE)))</f>
        <v>130108.93468788252</v>
      </c>
    </row>
    <row r="512" spans="1:15" ht="15" customHeight="1" x14ac:dyDescent="0.25">
      <c r="A512" s="9" t="s">
        <v>304</v>
      </c>
      <c r="B512" s="9" t="str">
        <f>INDEX(Places[Type],MATCH(Activities[[#This Row],[Jurisdiction]],Places[Jurisdiction],0))</f>
        <v>City</v>
      </c>
      <c r="C512" s="19" t="str">
        <f>INDEX(Places[County],MATCH(Activities[[#This Row],[Jurisdiction]],Places[Jurisdiction],0))</f>
        <v>San Diego</v>
      </c>
      <c r="D512" s="9" t="str">
        <f>INDEX(Places[Majority RB],MATCH(Activities[[#This Row],[Jurisdiction]],Places[Jurisdiction],0))</f>
        <v>San Diego</v>
      </c>
      <c r="E512" s="9">
        <f>INDEX(Places[Majority RB '#],MATCH(Activities[[#This Row],[Jurisdiction]],Places[Jurisdiction],0))</f>
        <v>9</v>
      </c>
      <c r="F512" s="28" t="str">
        <f>VLOOKUP(Activities[[#This Row],[Jurisdiction]],Places[#All],8,FALSE)</f>
        <v>Phase I MS4</v>
      </c>
      <c r="G512" s="48" t="s">
        <v>1270</v>
      </c>
      <c r="H512" s="8"/>
      <c r="I512" s="8"/>
      <c r="J512" s="8" t="s">
        <v>1894</v>
      </c>
      <c r="K512" s="27" t="s">
        <v>1874</v>
      </c>
      <c r="L512" s="28">
        <f>_xlfn.NUMBERVALUE(LEFT(Activities[[#This Row],[Fiscal Year]], 4))</f>
        <v>2017</v>
      </c>
      <c r="M512" s="28" t="s">
        <v>1862</v>
      </c>
      <c r="N512" s="41">
        <v>651453</v>
      </c>
      <c r="O512" s="93">
        <f>IF(Activities[[#This Row],[Reference Year]]&gt;2018,Activities[[#This Row],[Value]],Activities[[#This Row],[Value]]*(1+VLOOKUP(Activities[[#This Row],[Reference Year]],Inflation[#All],3,FALSE)))</f>
        <v>668811.79046511638</v>
      </c>
    </row>
    <row r="513" spans="1:15" ht="15" customHeight="1" x14ac:dyDescent="0.25">
      <c r="A513" s="9" t="s">
        <v>304</v>
      </c>
      <c r="B513" s="9" t="str">
        <f>INDEX(Places[Type],MATCH(Activities[[#This Row],[Jurisdiction]],Places[Jurisdiction],0))</f>
        <v>City</v>
      </c>
      <c r="C513" s="19" t="str">
        <f>INDEX(Places[County],MATCH(Activities[[#This Row],[Jurisdiction]],Places[Jurisdiction],0))</f>
        <v>San Diego</v>
      </c>
      <c r="D513" s="9" t="str">
        <f>INDEX(Places[Majority RB],MATCH(Activities[[#This Row],[Jurisdiction]],Places[Jurisdiction],0))</f>
        <v>San Diego</v>
      </c>
      <c r="E513" s="9">
        <f>INDEX(Places[Majority RB '#],MATCH(Activities[[#This Row],[Jurisdiction]],Places[Jurisdiction],0))</f>
        <v>9</v>
      </c>
      <c r="F513" s="28" t="str">
        <f>VLOOKUP(Activities[[#This Row],[Jurisdiction]],Places[#All],8,FALSE)</f>
        <v>Phase I MS4</v>
      </c>
      <c r="G513" s="48" t="s">
        <v>1268</v>
      </c>
      <c r="H513" s="8"/>
      <c r="I513" s="8"/>
      <c r="J513" s="8" t="s">
        <v>1896</v>
      </c>
      <c r="K513" s="27" t="s">
        <v>1874</v>
      </c>
      <c r="L513" s="28">
        <f>_xlfn.NUMBERVALUE(LEFT(Activities[[#This Row],[Fiscal Year]], 4))</f>
        <v>2017</v>
      </c>
      <c r="M513" s="28" t="s">
        <v>1862</v>
      </c>
      <c r="N513" s="41">
        <v>35462</v>
      </c>
      <c r="O513" s="93">
        <f>IF(Activities[[#This Row],[Reference Year]]&gt;2018,Activities[[#This Row],[Value]],Activities[[#This Row],[Value]]*(1+VLOOKUP(Activities[[#This Row],[Reference Year]],Inflation[#All],3,FALSE)))</f>
        <v>36406.929914320688</v>
      </c>
    </row>
    <row r="514" spans="1:15" ht="15" customHeight="1" x14ac:dyDescent="0.25">
      <c r="A514" s="9" t="s">
        <v>304</v>
      </c>
      <c r="B514" s="9" t="str">
        <f>INDEX(Places[Type],MATCH(Activities[[#This Row],[Jurisdiction]],Places[Jurisdiction],0))</f>
        <v>City</v>
      </c>
      <c r="C514" s="19" t="str">
        <f>INDEX(Places[County],MATCH(Activities[[#This Row],[Jurisdiction]],Places[Jurisdiction],0))</f>
        <v>San Diego</v>
      </c>
      <c r="D514" s="9" t="str">
        <f>INDEX(Places[Majority RB],MATCH(Activities[[#This Row],[Jurisdiction]],Places[Jurisdiction],0))</f>
        <v>San Diego</v>
      </c>
      <c r="E514" s="9">
        <f>INDEX(Places[Majority RB '#],MATCH(Activities[[#This Row],[Jurisdiction]],Places[Jurisdiction],0))</f>
        <v>9</v>
      </c>
      <c r="F514" s="28" t="str">
        <f>VLOOKUP(Activities[[#This Row],[Jurisdiction]],Places[#All],8,FALSE)</f>
        <v>Phase I MS4</v>
      </c>
      <c r="G514" s="48" t="s">
        <v>1271</v>
      </c>
      <c r="H514" s="8" t="s">
        <v>669</v>
      </c>
      <c r="I514" s="8" t="s">
        <v>670</v>
      </c>
      <c r="J514" s="8" t="s">
        <v>1896</v>
      </c>
      <c r="K514" s="27" t="s">
        <v>1874</v>
      </c>
      <c r="L514" s="28">
        <f>_xlfn.NUMBERVALUE(LEFT(Activities[[#This Row],[Fiscal Year]], 4))</f>
        <v>2017</v>
      </c>
      <c r="M514" s="28" t="s">
        <v>1862</v>
      </c>
      <c r="N514" s="41">
        <v>60138</v>
      </c>
      <c r="O514" s="93">
        <f>IF(Activities[[#This Row],[Reference Year]]&gt;2018,Activities[[#This Row],[Value]],Activities[[#This Row],[Value]]*(1+VLOOKUP(Activities[[#This Row],[Reference Year]],Inflation[#All],3,FALSE)))</f>
        <v>61740.453194614449</v>
      </c>
    </row>
    <row r="515" spans="1:15" ht="15" customHeight="1" x14ac:dyDescent="0.25">
      <c r="A515" s="9" t="s">
        <v>304</v>
      </c>
      <c r="B515" s="9" t="str">
        <f>INDEX(Places[Type],MATCH(Activities[[#This Row],[Jurisdiction]],Places[Jurisdiction],0))</f>
        <v>City</v>
      </c>
      <c r="C515" s="19" t="str">
        <f>INDEX(Places[County],MATCH(Activities[[#This Row],[Jurisdiction]],Places[Jurisdiction],0))</f>
        <v>San Diego</v>
      </c>
      <c r="D515" s="9" t="str">
        <f>INDEX(Places[Majority RB],MATCH(Activities[[#This Row],[Jurisdiction]],Places[Jurisdiction],0))</f>
        <v>San Diego</v>
      </c>
      <c r="E515" s="9">
        <f>INDEX(Places[Majority RB '#],MATCH(Activities[[#This Row],[Jurisdiction]],Places[Jurisdiction],0))</f>
        <v>9</v>
      </c>
      <c r="F515" s="28" t="str">
        <f>VLOOKUP(Activities[[#This Row],[Jurisdiction]],Places[#All],8,FALSE)</f>
        <v>Phase I MS4</v>
      </c>
      <c r="G515" s="64" t="s">
        <v>1266</v>
      </c>
      <c r="H515" s="50"/>
      <c r="I515" s="52"/>
      <c r="J515" s="8" t="s">
        <v>47</v>
      </c>
      <c r="K515" s="27" t="s">
        <v>1874</v>
      </c>
      <c r="L515" s="28">
        <f>_xlfn.NUMBERVALUE(LEFT(Activities[[#This Row],[Fiscal Year]], 4))</f>
        <v>2017</v>
      </c>
      <c r="M515" s="28" t="s">
        <v>1862</v>
      </c>
      <c r="N515" s="41">
        <v>59974</v>
      </c>
      <c r="O515" s="93">
        <f>IF(Activities[[#This Row],[Reference Year]]&gt;2018,Activities[[#This Row],[Value]],Activities[[#This Row],[Value]]*(1+VLOOKUP(Activities[[#This Row],[Reference Year]],Inflation[#All],3,FALSE)))</f>
        <v>61572.083206854353</v>
      </c>
    </row>
    <row r="516" spans="1:15" ht="15" customHeight="1" x14ac:dyDescent="0.25">
      <c r="A516" s="9" t="s">
        <v>304</v>
      </c>
      <c r="B516" s="9" t="str">
        <f>INDEX(Places[Type],MATCH(Activities[[#This Row],[Jurisdiction]],Places[Jurisdiction],0))</f>
        <v>City</v>
      </c>
      <c r="C516" s="19" t="str">
        <f>INDEX(Places[County],MATCH(Activities[[#This Row],[Jurisdiction]],Places[Jurisdiction],0))</f>
        <v>San Diego</v>
      </c>
      <c r="D516" s="9" t="str">
        <f>INDEX(Places[Majority RB],MATCH(Activities[[#This Row],[Jurisdiction]],Places[Jurisdiction],0))</f>
        <v>San Diego</v>
      </c>
      <c r="E516" s="9">
        <f>INDEX(Places[Majority RB '#],MATCH(Activities[[#This Row],[Jurisdiction]],Places[Jurisdiction],0))</f>
        <v>9</v>
      </c>
      <c r="F516" s="28" t="str">
        <f>VLOOKUP(Activities[[#This Row],[Jurisdiction]],Places[#All],8,FALSE)</f>
        <v>Phase I MS4</v>
      </c>
      <c r="G516" s="48" t="s">
        <v>1267</v>
      </c>
      <c r="H516" s="8"/>
      <c r="I516" s="8"/>
      <c r="J516" s="8" t="s">
        <v>605</v>
      </c>
      <c r="K516" s="27" t="s">
        <v>1874</v>
      </c>
      <c r="L516" s="28">
        <v>2017</v>
      </c>
      <c r="M516" s="28" t="s">
        <v>1862</v>
      </c>
      <c r="N516" s="41">
        <v>96452</v>
      </c>
      <c r="O516" s="93">
        <f>IF(Activities[[#This Row],[Reference Year]]&gt;2018,Activities[[#This Row],[Value]],Activities[[#This Row],[Value]]*(1+VLOOKUP(Activities[[#This Row],[Reference Year]],Inflation[#All],3,FALSE)))</f>
        <v>99022.085728274193</v>
      </c>
    </row>
    <row r="517" spans="1:15" ht="15" customHeight="1" x14ac:dyDescent="0.25">
      <c r="A517" s="9" t="s">
        <v>254</v>
      </c>
      <c r="B517" s="9" t="str">
        <f>INDEX(Places[Type],MATCH(Activities[[#This Row],[Jurisdiction]],Places[Jurisdiction],0))</f>
        <v>City</v>
      </c>
      <c r="C517" s="19" t="str">
        <f>INDEX(Places[County],MATCH(Activities[[#This Row],[Jurisdiction]],Places[Jurisdiction],0))</f>
        <v>Ventura</v>
      </c>
      <c r="D517" s="19" t="str">
        <f>INDEX(Places[Majority RB],MATCH(Activities[[#This Row],[Jurisdiction]],Places[Jurisdiction],0))</f>
        <v>Los Angeles</v>
      </c>
      <c r="E517" s="9">
        <f>INDEX(Places[Majority RB '#],MATCH(Activities[[#This Row],[Jurisdiction]],Places[Jurisdiction],0))</f>
        <v>4</v>
      </c>
      <c r="F517" s="28" t="str">
        <f>VLOOKUP(Activities[[#This Row],[Jurisdiction]],Places[#All],8,FALSE)</f>
        <v>Phase I MS4</v>
      </c>
      <c r="G517" s="48" t="s">
        <v>70</v>
      </c>
      <c r="H517" s="8"/>
      <c r="I517" s="8"/>
      <c r="J517" s="8" t="s">
        <v>1895</v>
      </c>
      <c r="K517" s="27" t="s">
        <v>1876</v>
      </c>
      <c r="L517" s="28">
        <f>_xlfn.NUMBERVALUE(LEFT(Activities[[#This Row],[Fiscal Year]], 4))</f>
        <v>2018</v>
      </c>
      <c r="M517" s="28" t="s">
        <v>1863</v>
      </c>
      <c r="N517" s="41">
        <v>4000</v>
      </c>
      <c r="O517" s="93">
        <f>IF(Activities[[#This Row],[Reference Year]]&gt;2018,Activities[[#This Row],[Value]],Activities[[#This Row],[Value]]*(1+VLOOKUP(Activities[[#This Row],[Reference Year]],Inflation[#All],3,FALSE)))</f>
        <v>4000</v>
      </c>
    </row>
    <row r="518" spans="1:15" ht="15" customHeight="1" x14ac:dyDescent="0.25">
      <c r="A518" s="9" t="s">
        <v>254</v>
      </c>
      <c r="B518" s="9" t="str">
        <f>INDEX(Places[Type],MATCH(Activities[[#This Row],[Jurisdiction]],Places[Jurisdiction],0))</f>
        <v>City</v>
      </c>
      <c r="C518" s="19" t="str">
        <f>INDEX(Places[County],MATCH(Activities[[#This Row],[Jurisdiction]],Places[Jurisdiction],0))</f>
        <v>Ventura</v>
      </c>
      <c r="D518" s="19" t="str">
        <f>INDEX(Places[Majority RB],MATCH(Activities[[#This Row],[Jurisdiction]],Places[Jurisdiction],0))</f>
        <v>Los Angeles</v>
      </c>
      <c r="E518" s="9">
        <f>INDEX(Places[Majority RB '#],MATCH(Activities[[#This Row],[Jurisdiction]],Places[Jurisdiction],0))</f>
        <v>4</v>
      </c>
      <c r="F518" s="28" t="str">
        <f>VLOOKUP(Activities[[#This Row],[Jurisdiction]],Places[#All],8,FALSE)</f>
        <v>Phase I MS4</v>
      </c>
      <c r="G518" s="48" t="s">
        <v>77</v>
      </c>
      <c r="H518" s="8"/>
      <c r="I518" s="8"/>
      <c r="J518" s="8" t="s">
        <v>131</v>
      </c>
      <c r="K518" s="27" t="s">
        <v>1876</v>
      </c>
      <c r="L518" s="28">
        <f>_xlfn.NUMBERVALUE(LEFT(Activities[[#This Row],[Fiscal Year]], 4))</f>
        <v>2018</v>
      </c>
      <c r="M518" s="28" t="s">
        <v>1863</v>
      </c>
      <c r="N518" s="41">
        <v>3000</v>
      </c>
      <c r="O518" s="93">
        <f>IF(Activities[[#This Row],[Reference Year]]&gt;2018,Activities[[#This Row],[Value]],Activities[[#This Row],[Value]]*(1+VLOOKUP(Activities[[#This Row],[Reference Year]],Inflation[#All],3,FALSE)))</f>
        <v>3000</v>
      </c>
    </row>
    <row r="519" spans="1:15" ht="15" customHeight="1" x14ac:dyDescent="0.25">
      <c r="A519" s="9" t="s">
        <v>254</v>
      </c>
      <c r="B519" s="9" t="str">
        <f>INDEX(Places[Type],MATCH(Activities[[#This Row],[Jurisdiction]],Places[Jurisdiction],0))</f>
        <v>City</v>
      </c>
      <c r="C519" s="19" t="str">
        <f>INDEX(Places[County],MATCH(Activities[[#This Row],[Jurisdiction]],Places[Jurisdiction],0))</f>
        <v>Ventura</v>
      </c>
      <c r="D519" s="19" t="str">
        <f>INDEX(Places[Majority RB],MATCH(Activities[[#This Row],[Jurisdiction]],Places[Jurisdiction],0))</f>
        <v>Los Angeles</v>
      </c>
      <c r="E519" s="9">
        <f>INDEX(Places[Majority RB '#],MATCH(Activities[[#This Row],[Jurisdiction]],Places[Jurisdiction],0))</f>
        <v>4</v>
      </c>
      <c r="F519" s="28" t="str">
        <f>VLOOKUP(Activities[[#This Row],[Jurisdiction]],Places[#All],8,FALSE)</f>
        <v>Phase I MS4</v>
      </c>
      <c r="G519" s="48" t="s">
        <v>69</v>
      </c>
      <c r="H519" s="8"/>
      <c r="I519" s="8"/>
      <c r="J519" s="8" t="s">
        <v>334</v>
      </c>
      <c r="K519" s="27" t="s">
        <v>1876</v>
      </c>
      <c r="L519" s="28">
        <f>_xlfn.NUMBERVALUE(LEFT(Activities[[#This Row],[Fiscal Year]], 4))</f>
        <v>2018</v>
      </c>
      <c r="M519" s="28" t="s">
        <v>1863</v>
      </c>
      <c r="N519" s="41">
        <v>6000</v>
      </c>
      <c r="O519" s="93">
        <f>IF(Activities[[#This Row],[Reference Year]]&gt;2018,Activities[[#This Row],[Value]],Activities[[#This Row],[Value]]*(1+VLOOKUP(Activities[[#This Row],[Reference Year]],Inflation[#All],3,FALSE)))</f>
        <v>6000</v>
      </c>
    </row>
    <row r="520" spans="1:15" ht="15" customHeight="1" x14ac:dyDescent="0.25">
      <c r="A520" s="9" t="s">
        <v>254</v>
      </c>
      <c r="B520" s="9" t="str">
        <f>INDEX(Places[Type],MATCH(Activities[[#This Row],[Jurisdiction]],Places[Jurisdiction],0))</f>
        <v>City</v>
      </c>
      <c r="C520" s="19" t="str">
        <f>INDEX(Places[County],MATCH(Activities[[#This Row],[Jurisdiction]],Places[Jurisdiction],0))</f>
        <v>Ventura</v>
      </c>
      <c r="D520" s="19" t="str">
        <f>INDEX(Places[Majority RB],MATCH(Activities[[#This Row],[Jurisdiction]],Places[Jurisdiction],0))</f>
        <v>Los Angeles</v>
      </c>
      <c r="E520" s="9">
        <f>INDEX(Places[Majority RB '#],MATCH(Activities[[#This Row],[Jurisdiction]],Places[Jurisdiction],0))</f>
        <v>4</v>
      </c>
      <c r="F520" s="28" t="str">
        <f>VLOOKUP(Activities[[#This Row],[Jurisdiction]],Places[#All],8,FALSE)</f>
        <v>Phase I MS4</v>
      </c>
      <c r="G520" s="48" t="s">
        <v>71</v>
      </c>
      <c r="H520" s="8" t="s">
        <v>484</v>
      </c>
      <c r="I520" s="8" t="s">
        <v>458</v>
      </c>
      <c r="J520" s="8" t="s">
        <v>71</v>
      </c>
      <c r="K520" s="27" t="s">
        <v>1876</v>
      </c>
      <c r="L520" s="28">
        <f>_xlfn.NUMBERVALUE(LEFT(Activities[[#This Row],[Fiscal Year]], 4))</f>
        <v>2018</v>
      </c>
      <c r="M520" s="28" t="s">
        <v>1863</v>
      </c>
      <c r="N520" s="41">
        <v>10000</v>
      </c>
      <c r="O520" s="93">
        <f>IF(Activities[[#This Row],[Reference Year]]&gt;2018,Activities[[#This Row],[Value]],Activities[[#This Row],[Value]]*(1+VLOOKUP(Activities[[#This Row],[Reference Year]],Inflation[#All],3,FALSE)))</f>
        <v>10000</v>
      </c>
    </row>
    <row r="521" spans="1:15" ht="15" customHeight="1" x14ac:dyDescent="0.25">
      <c r="A521" s="9" t="s">
        <v>254</v>
      </c>
      <c r="B521" s="9" t="str">
        <f>INDEX(Places[Type],MATCH(Activities[[#This Row],[Jurisdiction]],Places[Jurisdiction],0))</f>
        <v>City</v>
      </c>
      <c r="C521" s="19" t="str">
        <f>INDEX(Places[County],MATCH(Activities[[#This Row],[Jurisdiction]],Places[Jurisdiction],0))</f>
        <v>Ventura</v>
      </c>
      <c r="D521" s="19" t="str">
        <f>INDEX(Places[Majority RB],MATCH(Activities[[#This Row],[Jurisdiction]],Places[Jurisdiction],0))</f>
        <v>Los Angeles</v>
      </c>
      <c r="E521" s="9">
        <f>INDEX(Places[Majority RB '#],MATCH(Activities[[#This Row],[Jurisdiction]],Places[Jurisdiction],0))</f>
        <v>4</v>
      </c>
      <c r="F521" s="28" t="str">
        <f>VLOOKUP(Activities[[#This Row],[Jurisdiction]],Places[#All],8,FALSE)</f>
        <v>Phase I MS4</v>
      </c>
      <c r="G521" s="48" t="s">
        <v>75</v>
      </c>
      <c r="H521" s="8" t="s">
        <v>485</v>
      </c>
      <c r="I521" s="8" t="s">
        <v>458</v>
      </c>
      <c r="J521" s="8" t="s">
        <v>1897</v>
      </c>
      <c r="K521" s="27" t="s">
        <v>1876</v>
      </c>
      <c r="L521" s="28">
        <f>_xlfn.NUMBERVALUE(LEFT(Activities[[#This Row],[Fiscal Year]], 4))</f>
        <v>2018</v>
      </c>
      <c r="M521" s="28" t="s">
        <v>1863</v>
      </c>
      <c r="N521" s="41">
        <v>3000</v>
      </c>
      <c r="O521" s="93">
        <f>IF(Activities[[#This Row],[Reference Year]]&gt;2018,Activities[[#This Row],[Value]],Activities[[#This Row],[Value]]*(1+VLOOKUP(Activities[[#This Row],[Reference Year]],Inflation[#All],3,FALSE)))</f>
        <v>3000</v>
      </c>
    </row>
    <row r="522" spans="1:15" ht="15" customHeight="1" x14ac:dyDescent="0.25">
      <c r="A522" s="9" t="s">
        <v>254</v>
      </c>
      <c r="B522" s="9" t="str">
        <f>INDEX(Places[Type],MATCH(Activities[[#This Row],[Jurisdiction]],Places[Jurisdiction],0))</f>
        <v>City</v>
      </c>
      <c r="C522" s="19" t="str">
        <f>INDEX(Places[County],MATCH(Activities[[#This Row],[Jurisdiction]],Places[Jurisdiction],0))</f>
        <v>Ventura</v>
      </c>
      <c r="D522" s="19" t="str">
        <f>INDEX(Places[Majority RB],MATCH(Activities[[#This Row],[Jurisdiction]],Places[Jurisdiction],0))</f>
        <v>Los Angeles</v>
      </c>
      <c r="E522" s="9">
        <f>INDEX(Places[Majority RB '#],MATCH(Activities[[#This Row],[Jurisdiction]],Places[Jurisdiction],0))</f>
        <v>4</v>
      </c>
      <c r="F522" s="28" t="str">
        <f>VLOOKUP(Activities[[#This Row],[Jurisdiction]],Places[#All],8,FALSE)</f>
        <v>Phase I MS4</v>
      </c>
      <c r="G522" s="48" t="s">
        <v>74</v>
      </c>
      <c r="H522" s="8" t="s">
        <v>611</v>
      </c>
      <c r="I522" s="8" t="s">
        <v>458</v>
      </c>
      <c r="J522" s="8" t="s">
        <v>1897</v>
      </c>
      <c r="K522" s="27" t="s">
        <v>1876</v>
      </c>
      <c r="L522" s="28">
        <f>_xlfn.NUMBERVALUE(LEFT(Activities[[#This Row],[Fiscal Year]], 4))</f>
        <v>2018</v>
      </c>
      <c r="M522" s="28" t="s">
        <v>1863</v>
      </c>
      <c r="N522" s="41">
        <v>7000</v>
      </c>
      <c r="O522" s="93">
        <f>IF(Activities[[#This Row],[Reference Year]]&gt;2018,Activities[[#This Row],[Value]],Activities[[#This Row],[Value]]*(1+VLOOKUP(Activities[[#This Row],[Reference Year]],Inflation[#All],3,FALSE)))</f>
        <v>7000</v>
      </c>
    </row>
    <row r="523" spans="1:15" ht="15" customHeight="1" x14ac:dyDescent="0.25">
      <c r="A523" s="9" t="s">
        <v>254</v>
      </c>
      <c r="B523" s="9" t="str">
        <f>INDEX(Places[Type],MATCH(Activities[[#This Row],[Jurisdiction]],Places[Jurisdiction],0))</f>
        <v>City</v>
      </c>
      <c r="C523" s="19" t="str">
        <f>INDEX(Places[County],MATCH(Activities[[#This Row],[Jurisdiction]],Places[Jurisdiction],0))</f>
        <v>Ventura</v>
      </c>
      <c r="D523" s="19" t="str">
        <f>INDEX(Places[Majority RB],MATCH(Activities[[#This Row],[Jurisdiction]],Places[Jurisdiction],0))</f>
        <v>Los Angeles</v>
      </c>
      <c r="E523" s="9">
        <f>INDEX(Places[Majority RB '#],MATCH(Activities[[#This Row],[Jurisdiction]],Places[Jurisdiction],0))</f>
        <v>4</v>
      </c>
      <c r="F523" s="28" t="str">
        <f>VLOOKUP(Activities[[#This Row],[Jurisdiction]],Places[#All],8,FALSE)</f>
        <v>Phase I MS4</v>
      </c>
      <c r="G523" s="48" t="s">
        <v>59</v>
      </c>
      <c r="H523" s="8"/>
      <c r="I523" s="8"/>
      <c r="J523" s="8" t="s">
        <v>1898</v>
      </c>
      <c r="K523" s="27" t="s">
        <v>1876</v>
      </c>
      <c r="L523" s="28">
        <f>_xlfn.NUMBERVALUE(LEFT(Activities[[#This Row],[Fiscal Year]], 4))</f>
        <v>2018</v>
      </c>
      <c r="M523" s="28" t="s">
        <v>1863</v>
      </c>
      <c r="N523" s="41">
        <v>5000</v>
      </c>
      <c r="O523" s="93">
        <f>IF(Activities[[#This Row],[Reference Year]]&gt;2018,Activities[[#This Row],[Value]],Activities[[#This Row],[Value]]*(1+VLOOKUP(Activities[[#This Row],[Reference Year]],Inflation[#All],3,FALSE)))</f>
        <v>5000</v>
      </c>
    </row>
    <row r="524" spans="1:15" ht="15" customHeight="1" x14ac:dyDescent="0.25">
      <c r="A524" s="9" t="s">
        <v>254</v>
      </c>
      <c r="B524" s="9" t="str">
        <f>INDEX(Places[Type],MATCH(Activities[[#This Row],[Jurisdiction]],Places[Jurisdiction],0))</f>
        <v>City</v>
      </c>
      <c r="C524" s="19" t="str">
        <f>INDEX(Places[County],MATCH(Activities[[#This Row],[Jurisdiction]],Places[Jurisdiction],0))</f>
        <v>Ventura</v>
      </c>
      <c r="D524" s="19" t="str">
        <f>INDEX(Places[Majority RB],MATCH(Activities[[#This Row],[Jurisdiction]],Places[Jurisdiction],0))</f>
        <v>Los Angeles</v>
      </c>
      <c r="E524" s="9">
        <f>INDEX(Places[Majority RB '#],MATCH(Activities[[#This Row],[Jurisdiction]],Places[Jurisdiction],0))</f>
        <v>4</v>
      </c>
      <c r="F524" s="28" t="str">
        <f>VLOOKUP(Activities[[#This Row],[Jurisdiction]],Places[#All],8,FALSE)</f>
        <v>Phase I MS4</v>
      </c>
      <c r="G524" s="48" t="s">
        <v>68</v>
      </c>
      <c r="H524" s="8"/>
      <c r="I524" s="8"/>
      <c r="J524" s="8" t="s">
        <v>1456</v>
      </c>
      <c r="K524" s="27" t="s">
        <v>1876</v>
      </c>
      <c r="L524" s="28">
        <f>_xlfn.NUMBERVALUE(LEFT(Activities[[#This Row],[Fiscal Year]], 4))</f>
        <v>2018</v>
      </c>
      <c r="M524" s="28" t="s">
        <v>1863</v>
      </c>
      <c r="N524" s="41">
        <v>4000</v>
      </c>
      <c r="O524" s="93">
        <f>IF(Activities[[#This Row],[Reference Year]]&gt;2018,Activities[[#This Row],[Value]],Activities[[#This Row],[Value]]*(1+VLOOKUP(Activities[[#This Row],[Reference Year]],Inflation[#All],3,FALSE)))</f>
        <v>4000</v>
      </c>
    </row>
    <row r="525" spans="1:15" ht="15" customHeight="1" x14ac:dyDescent="0.25">
      <c r="A525" s="9" t="s">
        <v>254</v>
      </c>
      <c r="B525" s="9" t="str">
        <f>INDEX(Places[Type],MATCH(Activities[[#This Row],[Jurisdiction]],Places[Jurisdiction],0))</f>
        <v>City</v>
      </c>
      <c r="C525" s="19" t="str">
        <f>INDEX(Places[County],MATCH(Activities[[#This Row],[Jurisdiction]],Places[Jurisdiction],0))</f>
        <v>Ventura</v>
      </c>
      <c r="D525" s="19" t="str">
        <f>INDEX(Places[Majority RB],MATCH(Activities[[#This Row],[Jurisdiction]],Places[Jurisdiction],0))</f>
        <v>Los Angeles</v>
      </c>
      <c r="E525" s="9">
        <f>INDEX(Places[Majority RB '#],MATCH(Activities[[#This Row],[Jurisdiction]],Places[Jurisdiction],0))</f>
        <v>4</v>
      </c>
      <c r="F525" s="28" t="str">
        <f>VLOOKUP(Activities[[#This Row],[Jurisdiction]],Places[#All],8,FALSE)</f>
        <v>Phase I MS4</v>
      </c>
      <c r="G525" s="48" t="s">
        <v>32</v>
      </c>
      <c r="H525" s="8" t="s">
        <v>608</v>
      </c>
      <c r="I525" s="94" t="s">
        <v>609</v>
      </c>
      <c r="J525" s="8" t="s">
        <v>1894</v>
      </c>
      <c r="K525" s="27" t="s">
        <v>1876</v>
      </c>
      <c r="L525" s="28">
        <f>_xlfn.NUMBERVALUE(LEFT(Activities[[#This Row],[Fiscal Year]], 4))</f>
        <v>2018</v>
      </c>
      <c r="M525" s="28" t="s">
        <v>1863</v>
      </c>
      <c r="N525" s="41">
        <v>10456</v>
      </c>
      <c r="O525" s="93">
        <f>IF(Activities[[#This Row],[Reference Year]]&gt;2018,Activities[[#This Row],[Value]],Activities[[#This Row],[Value]]*(1+VLOOKUP(Activities[[#This Row],[Reference Year]],Inflation[#All],3,FALSE)))</f>
        <v>10456</v>
      </c>
    </row>
    <row r="526" spans="1:15" ht="15" customHeight="1" x14ac:dyDescent="0.25">
      <c r="A526" s="9" t="s">
        <v>254</v>
      </c>
      <c r="B526" s="9" t="str">
        <f>INDEX(Places[Type],MATCH(Activities[[#This Row],[Jurisdiction]],Places[Jurisdiction],0))</f>
        <v>City</v>
      </c>
      <c r="C526" s="19" t="str">
        <f>INDEX(Places[County],MATCH(Activities[[#This Row],[Jurisdiction]],Places[Jurisdiction],0))</f>
        <v>Ventura</v>
      </c>
      <c r="D526" s="19" t="str">
        <f>INDEX(Places[Majority RB],MATCH(Activities[[#This Row],[Jurisdiction]],Places[Jurisdiction],0))</f>
        <v>Los Angeles</v>
      </c>
      <c r="E526" s="9">
        <f>INDEX(Places[Majority RB '#],MATCH(Activities[[#This Row],[Jurisdiction]],Places[Jurisdiction],0))</f>
        <v>4</v>
      </c>
      <c r="F526" s="28" t="str">
        <f>VLOOKUP(Activities[[#This Row],[Jurisdiction]],Places[#All],8,FALSE)</f>
        <v>Phase I MS4</v>
      </c>
      <c r="G526" s="48" t="s">
        <v>79</v>
      </c>
      <c r="H526" s="8" t="s">
        <v>483</v>
      </c>
      <c r="I526" s="8" t="s">
        <v>458</v>
      </c>
      <c r="J526" s="8" t="s">
        <v>1896</v>
      </c>
      <c r="K526" s="27" t="s">
        <v>1876</v>
      </c>
      <c r="L526" s="28">
        <f>_xlfn.NUMBERVALUE(LEFT(Activities[[#This Row],[Fiscal Year]], 4))</f>
        <v>2018</v>
      </c>
      <c r="M526" s="28" t="s">
        <v>1863</v>
      </c>
      <c r="N526" s="41">
        <v>14600</v>
      </c>
      <c r="O526" s="93">
        <f>IF(Activities[[#This Row],[Reference Year]]&gt;2018,Activities[[#This Row],[Value]],Activities[[#This Row],[Value]]*(1+VLOOKUP(Activities[[#This Row],[Reference Year]],Inflation[#All],3,FALSE)))</f>
        <v>14600</v>
      </c>
    </row>
    <row r="527" spans="1:15" ht="15" customHeight="1" x14ac:dyDescent="0.25">
      <c r="A527" s="9" t="s">
        <v>254</v>
      </c>
      <c r="B527" s="9" t="str">
        <f>INDEX(Places[Type],MATCH(Activities[[#This Row],[Jurisdiction]],Places[Jurisdiction],0))</f>
        <v>City</v>
      </c>
      <c r="C527" s="19" t="str">
        <f>INDEX(Places[County],MATCH(Activities[[#This Row],[Jurisdiction]],Places[Jurisdiction],0))</f>
        <v>Ventura</v>
      </c>
      <c r="D527" s="19" t="str">
        <f>INDEX(Places[Majority RB],MATCH(Activities[[#This Row],[Jurisdiction]],Places[Jurisdiction],0))</f>
        <v>Los Angeles</v>
      </c>
      <c r="E527" s="9">
        <f>INDEX(Places[Majority RB '#],MATCH(Activities[[#This Row],[Jurisdiction]],Places[Jurisdiction],0))</f>
        <v>4</v>
      </c>
      <c r="F527" s="28" t="str">
        <f>VLOOKUP(Activities[[#This Row],[Jurisdiction]],Places[#All],8,FALSE)</f>
        <v>Phase I MS4</v>
      </c>
      <c r="G527" s="48" t="s">
        <v>67</v>
      </c>
      <c r="H527" s="8"/>
      <c r="I527" s="8"/>
      <c r="J527" s="8" t="s">
        <v>1896</v>
      </c>
      <c r="K527" s="27" t="s">
        <v>1876</v>
      </c>
      <c r="L527" s="28">
        <f>_xlfn.NUMBERVALUE(LEFT(Activities[[#This Row],[Fiscal Year]], 4))</f>
        <v>2018</v>
      </c>
      <c r="M527" s="28" t="s">
        <v>1863</v>
      </c>
      <c r="N527" s="41">
        <v>15600</v>
      </c>
      <c r="O527" s="93">
        <f>IF(Activities[[#This Row],[Reference Year]]&gt;2018,Activities[[#This Row],[Value]],Activities[[#This Row],[Value]]*(1+VLOOKUP(Activities[[#This Row],[Reference Year]],Inflation[#All],3,FALSE)))</f>
        <v>15600</v>
      </c>
    </row>
    <row r="528" spans="1:15" ht="15" customHeight="1" x14ac:dyDescent="0.25">
      <c r="A528" s="9" t="s">
        <v>254</v>
      </c>
      <c r="B528" s="9" t="str">
        <f>INDEX(Places[Type],MATCH(Activities[[#This Row],[Jurisdiction]],Places[Jurisdiction],0))</f>
        <v>City</v>
      </c>
      <c r="C528" s="19" t="str">
        <f>INDEX(Places[County],MATCH(Activities[[#This Row],[Jurisdiction]],Places[Jurisdiction],0))</f>
        <v>Ventura</v>
      </c>
      <c r="D528" s="19" t="str">
        <f>INDEX(Places[Majority RB],MATCH(Activities[[#This Row],[Jurisdiction]],Places[Jurisdiction],0))</f>
        <v>Los Angeles</v>
      </c>
      <c r="E528" s="9">
        <f>INDEX(Places[Majority RB '#],MATCH(Activities[[#This Row],[Jurisdiction]],Places[Jurisdiction],0))</f>
        <v>4</v>
      </c>
      <c r="F528" s="28" t="str">
        <f>VLOOKUP(Activities[[#This Row],[Jurisdiction]],Places[#All],8,FALSE)</f>
        <v>Phase I MS4</v>
      </c>
      <c r="G528" s="48" t="s">
        <v>80</v>
      </c>
      <c r="H528" s="8"/>
      <c r="I528" s="8"/>
      <c r="J528" s="8" t="s">
        <v>605</v>
      </c>
      <c r="K528" s="27" t="s">
        <v>1876</v>
      </c>
      <c r="L528" s="28">
        <f>_xlfn.NUMBERVALUE(LEFT(Activities[[#This Row],[Fiscal Year]], 4))</f>
        <v>2018</v>
      </c>
      <c r="M528" s="28" t="s">
        <v>1863</v>
      </c>
      <c r="N528" s="41">
        <v>23418</v>
      </c>
      <c r="O528" s="93">
        <f>IF(Activities[[#This Row],[Reference Year]]&gt;2018,Activities[[#This Row],[Value]],Activities[[#This Row],[Value]]*(1+VLOOKUP(Activities[[#This Row],[Reference Year]],Inflation[#All],3,FALSE)))</f>
        <v>23418</v>
      </c>
    </row>
    <row r="529" spans="1:15" ht="15" customHeight="1" x14ac:dyDescent="0.25">
      <c r="A529" s="9" t="s">
        <v>126</v>
      </c>
      <c r="B529" s="9" t="str">
        <f>INDEX(Places[Type],MATCH(Activities[[#This Row],[Jurisdiction]],Places[Jurisdiction],0))</f>
        <v>City</v>
      </c>
      <c r="C529" s="19" t="str">
        <f>INDEX(Places[County],MATCH(Activities[[#This Row],[Jurisdiction]],Places[Jurisdiction],0))</f>
        <v>Sacramento</v>
      </c>
      <c r="D529" s="9" t="str">
        <f>INDEX(Places[Majority RB],MATCH(Activities[[#This Row],[Jurisdiction]],Places[Jurisdiction],0))</f>
        <v>Central Valley</v>
      </c>
      <c r="E529" s="9">
        <f>INDEX(Places[Majority RB '#],MATCH(Activities[[#This Row],[Jurisdiction]],Places[Jurisdiction],0))</f>
        <v>5</v>
      </c>
      <c r="F529" s="28" t="str">
        <f>VLOOKUP(Activities[[#This Row],[Jurisdiction]],Places[#All],8,FALSE)</f>
        <v>Phase I MS4</v>
      </c>
      <c r="G529" s="48" t="s">
        <v>1099</v>
      </c>
      <c r="H529" s="8"/>
      <c r="I529" s="8"/>
      <c r="J529" s="8" t="s">
        <v>76</v>
      </c>
      <c r="K529" s="27" t="s">
        <v>1873</v>
      </c>
      <c r="L529" s="28">
        <f>_xlfn.NUMBERVALUE(LEFT(Activities[[#This Row],[Fiscal Year]], 4))</f>
        <v>2015</v>
      </c>
      <c r="M529" s="28" t="s">
        <v>1862</v>
      </c>
      <c r="N529" s="41">
        <v>12941</v>
      </c>
      <c r="O529" s="93">
        <f>IF(Activities[[#This Row],[Reference Year]]&gt;2018,Activities[[#This Row],[Value]],Activities[[#This Row],[Value]]*(1+VLOOKUP(Activities[[#This Row],[Reference Year]],Inflation[#All],3,FALSE)))</f>
        <v>13739.901987341771</v>
      </c>
    </row>
    <row r="530" spans="1:15" ht="15" customHeight="1" x14ac:dyDescent="0.25">
      <c r="A530" s="9" t="s">
        <v>126</v>
      </c>
      <c r="B530" s="9" t="str">
        <f>INDEX(Places[Type],MATCH(Activities[[#This Row],[Jurisdiction]],Places[Jurisdiction],0))</f>
        <v>City</v>
      </c>
      <c r="C530" s="19" t="str">
        <f>INDEX(Places[County],MATCH(Activities[[#This Row],[Jurisdiction]],Places[Jurisdiction],0))</f>
        <v>Sacramento</v>
      </c>
      <c r="D530" s="9" t="str">
        <f>INDEX(Places[Majority RB],MATCH(Activities[[#This Row],[Jurisdiction]],Places[Jurisdiction],0))</f>
        <v>Central Valley</v>
      </c>
      <c r="E530" s="9">
        <f>INDEX(Places[Majority RB '#],MATCH(Activities[[#This Row],[Jurisdiction]],Places[Jurisdiction],0))</f>
        <v>5</v>
      </c>
      <c r="F530" s="28" t="str">
        <f>VLOOKUP(Activities[[#This Row],[Jurisdiction]],Places[#All],8,FALSE)</f>
        <v>Phase I MS4</v>
      </c>
      <c r="G530" s="48" t="s">
        <v>1100</v>
      </c>
      <c r="H530" s="62" t="s">
        <v>1908</v>
      </c>
      <c r="I530" s="8" t="s">
        <v>536</v>
      </c>
      <c r="J530" s="8" t="s">
        <v>71</v>
      </c>
      <c r="K530" s="27" t="s">
        <v>1873</v>
      </c>
      <c r="L530" s="28">
        <f>_xlfn.NUMBERVALUE(LEFT(Activities[[#This Row],[Fiscal Year]], 4))</f>
        <v>2015</v>
      </c>
      <c r="M530" s="28" t="s">
        <v>1862</v>
      </c>
      <c r="N530" s="41">
        <v>304570</v>
      </c>
      <c r="O530" s="93">
        <f>IF(Activities[[#This Row],[Reference Year]]&gt;2018,Activities[[#This Row],[Value]],Activities[[#This Row],[Value]]*(1+VLOOKUP(Activities[[#This Row],[Reference Year]],Inflation[#All],3,FALSE)))</f>
        <v>323372.37835443037</v>
      </c>
    </row>
    <row r="531" spans="1:15" ht="15" customHeight="1" x14ac:dyDescent="0.25">
      <c r="A531" s="9" t="s">
        <v>126</v>
      </c>
      <c r="B531" s="9" t="str">
        <f>INDEX(Places[Type],MATCH(Activities[[#This Row],[Jurisdiction]],Places[Jurisdiction],0))</f>
        <v>City</v>
      </c>
      <c r="C531" s="19" t="str">
        <f>INDEX(Places[County],MATCH(Activities[[#This Row],[Jurisdiction]],Places[Jurisdiction],0))</f>
        <v>Sacramento</v>
      </c>
      <c r="D531" s="9" t="str">
        <f>INDEX(Places[Majority RB],MATCH(Activities[[#This Row],[Jurisdiction]],Places[Jurisdiction],0))</f>
        <v>Central Valley</v>
      </c>
      <c r="E531" s="9">
        <f>INDEX(Places[Majority RB '#],MATCH(Activities[[#This Row],[Jurisdiction]],Places[Jurisdiction],0))</f>
        <v>5</v>
      </c>
      <c r="F531" s="28" t="str">
        <f>VLOOKUP(Activities[[#This Row],[Jurisdiction]],Places[#All],8,FALSE)</f>
        <v>Phase I MS4</v>
      </c>
      <c r="G531" s="48" t="s">
        <v>1101</v>
      </c>
      <c r="H531" s="8"/>
      <c r="I531" s="8"/>
      <c r="J531" s="8" t="s">
        <v>1897</v>
      </c>
      <c r="K531" s="27" t="s">
        <v>1873</v>
      </c>
      <c r="L531" s="28">
        <f>_xlfn.NUMBERVALUE(LEFT(Activities[[#This Row],[Fiscal Year]], 4))</f>
        <v>2015</v>
      </c>
      <c r="M531" s="28" t="s">
        <v>1862</v>
      </c>
      <c r="N531" s="41">
        <v>222614</v>
      </c>
      <c r="O531" s="93">
        <f>IF(Activities[[#This Row],[Reference Year]]&gt;2018,Activities[[#This Row],[Value]],Activities[[#This Row],[Value]]*(1+VLOOKUP(Activities[[#This Row],[Reference Year]],Inflation[#All],3,FALSE)))</f>
        <v>236356.89212658227</v>
      </c>
    </row>
    <row r="532" spans="1:15" ht="15" customHeight="1" x14ac:dyDescent="0.25">
      <c r="A532" s="9" t="s">
        <v>126</v>
      </c>
      <c r="B532" s="9" t="str">
        <f>INDEX(Places[Type],MATCH(Activities[[#This Row],[Jurisdiction]],Places[Jurisdiction],0))</f>
        <v>City</v>
      </c>
      <c r="C532" s="19" t="str">
        <f>INDEX(Places[County],MATCH(Activities[[#This Row],[Jurisdiction]],Places[Jurisdiction],0))</f>
        <v>Sacramento</v>
      </c>
      <c r="D532" s="9" t="str">
        <f>INDEX(Places[Majority RB],MATCH(Activities[[#This Row],[Jurisdiction]],Places[Jurisdiction],0))</f>
        <v>Central Valley</v>
      </c>
      <c r="E532" s="9">
        <f>INDEX(Places[Majority RB '#],MATCH(Activities[[#This Row],[Jurisdiction]],Places[Jurisdiction],0))</f>
        <v>5</v>
      </c>
      <c r="F532" s="28" t="str">
        <f>VLOOKUP(Activities[[#This Row],[Jurisdiction]],Places[#All],8,FALSE)</f>
        <v>Phase I MS4</v>
      </c>
      <c r="G532" s="48" t="s">
        <v>1108</v>
      </c>
      <c r="H532" s="8"/>
      <c r="I532" s="8"/>
      <c r="J532" s="8" t="s">
        <v>1456</v>
      </c>
      <c r="K532" s="27" t="s">
        <v>1873</v>
      </c>
      <c r="L532" s="28">
        <f>_xlfn.NUMBERVALUE(LEFT(Activities[[#This Row],[Fiscal Year]], 4))</f>
        <v>2015</v>
      </c>
      <c r="M532" s="28" t="s">
        <v>1862</v>
      </c>
      <c r="N532" s="41">
        <v>1000</v>
      </c>
      <c r="O532" s="93">
        <f>IF(Activities[[#This Row],[Reference Year]]&gt;2018,Activities[[#This Row],[Value]],Activities[[#This Row],[Value]]*(1+VLOOKUP(Activities[[#This Row],[Reference Year]],Inflation[#All],3,FALSE)))</f>
        <v>1061.7341772151899</v>
      </c>
    </row>
    <row r="533" spans="1:15" ht="15" customHeight="1" x14ac:dyDescent="0.25">
      <c r="A533" s="9" t="s">
        <v>126</v>
      </c>
      <c r="B533" s="9" t="str">
        <f>INDEX(Places[Type],MATCH(Activities[[#This Row],[Jurisdiction]],Places[Jurisdiction],0))</f>
        <v>City</v>
      </c>
      <c r="C533" s="19" t="str">
        <f>INDEX(Places[County],MATCH(Activities[[#This Row],[Jurisdiction]],Places[Jurisdiction],0))</f>
        <v>Sacramento</v>
      </c>
      <c r="D533" s="9" t="str">
        <f>INDEX(Places[Majority RB],MATCH(Activities[[#This Row],[Jurisdiction]],Places[Jurisdiction],0))</f>
        <v>Central Valley</v>
      </c>
      <c r="E533" s="9">
        <f>INDEX(Places[Majority RB '#],MATCH(Activities[[#This Row],[Jurisdiction]],Places[Jurisdiction],0))</f>
        <v>5</v>
      </c>
      <c r="F533" s="28" t="str">
        <f>VLOOKUP(Activities[[#This Row],[Jurisdiction]],Places[#All],8,FALSE)</f>
        <v>Phase I MS4</v>
      </c>
      <c r="G533" s="48" t="s">
        <v>1105</v>
      </c>
      <c r="H533" s="8"/>
      <c r="I533" s="8"/>
      <c r="J533" s="8" t="s">
        <v>1456</v>
      </c>
      <c r="K533" s="27" t="s">
        <v>1873</v>
      </c>
      <c r="L533" s="28">
        <f>_xlfn.NUMBERVALUE(LEFT(Activities[[#This Row],[Fiscal Year]], 4))</f>
        <v>2015</v>
      </c>
      <c r="M533" s="28" t="s">
        <v>1862</v>
      </c>
      <c r="N533" s="41">
        <v>12695</v>
      </c>
      <c r="O533" s="93">
        <f>IF(Activities[[#This Row],[Reference Year]]&gt;2018,Activities[[#This Row],[Value]],Activities[[#This Row],[Value]]*(1+VLOOKUP(Activities[[#This Row],[Reference Year]],Inflation[#All],3,FALSE)))</f>
        <v>13478.715379746835</v>
      </c>
    </row>
    <row r="534" spans="1:15" ht="15" customHeight="1" x14ac:dyDescent="0.25">
      <c r="A534" s="9" t="s">
        <v>126</v>
      </c>
      <c r="B534" s="9" t="str">
        <f>INDEX(Places[Type],MATCH(Activities[[#This Row],[Jurisdiction]],Places[Jurisdiction],0))</f>
        <v>City</v>
      </c>
      <c r="C534" s="19" t="str">
        <f>INDEX(Places[County],MATCH(Activities[[#This Row],[Jurisdiction]],Places[Jurisdiction],0))</f>
        <v>Sacramento</v>
      </c>
      <c r="D534" s="9" t="str">
        <f>INDEX(Places[Majority RB],MATCH(Activities[[#This Row],[Jurisdiction]],Places[Jurisdiction],0))</f>
        <v>Central Valley</v>
      </c>
      <c r="E534" s="9">
        <f>INDEX(Places[Majority RB '#],MATCH(Activities[[#This Row],[Jurisdiction]],Places[Jurisdiction],0))</f>
        <v>5</v>
      </c>
      <c r="F534" s="28" t="str">
        <f>VLOOKUP(Activities[[#This Row],[Jurisdiction]],Places[#All],8,FALSE)</f>
        <v>Phase I MS4</v>
      </c>
      <c r="G534" s="48" t="s">
        <v>1102</v>
      </c>
      <c r="H534" s="8"/>
      <c r="I534" s="8"/>
      <c r="J534" s="8" t="s">
        <v>1894</v>
      </c>
      <c r="K534" s="27" t="s">
        <v>1873</v>
      </c>
      <c r="L534" s="28">
        <f>_xlfn.NUMBERVALUE(LEFT(Activities[[#This Row],[Fiscal Year]], 4))</f>
        <v>2015</v>
      </c>
      <c r="M534" s="28" t="s">
        <v>1862</v>
      </c>
      <c r="N534" s="41">
        <v>325</v>
      </c>
      <c r="O534" s="93">
        <f>IF(Activities[[#This Row],[Reference Year]]&gt;2018,Activities[[#This Row],[Value]],Activities[[#This Row],[Value]]*(1+VLOOKUP(Activities[[#This Row],[Reference Year]],Inflation[#All],3,FALSE)))</f>
        <v>345.06360759493668</v>
      </c>
    </row>
    <row r="535" spans="1:15" ht="15" customHeight="1" x14ac:dyDescent="0.25">
      <c r="A535" s="9" t="s">
        <v>126</v>
      </c>
      <c r="B535" s="9" t="str">
        <f>INDEX(Places[Type],MATCH(Activities[[#This Row],[Jurisdiction]],Places[Jurisdiction],0))</f>
        <v>City</v>
      </c>
      <c r="C535" s="19" t="str">
        <f>INDEX(Places[County],MATCH(Activities[[#This Row],[Jurisdiction]],Places[Jurisdiction],0))</f>
        <v>Sacramento</v>
      </c>
      <c r="D535" s="9" t="str">
        <f>INDEX(Places[Majority RB],MATCH(Activities[[#This Row],[Jurisdiction]],Places[Jurisdiction],0))</f>
        <v>Central Valley</v>
      </c>
      <c r="E535" s="9">
        <f>INDEX(Places[Majority RB '#],MATCH(Activities[[#This Row],[Jurisdiction]],Places[Jurisdiction],0))</f>
        <v>5</v>
      </c>
      <c r="F535" s="28" t="str">
        <f>VLOOKUP(Activities[[#This Row],[Jurisdiction]],Places[#All],8,FALSE)</f>
        <v>Phase I MS4</v>
      </c>
      <c r="G535" s="48" t="s">
        <v>1109</v>
      </c>
      <c r="H535" s="8"/>
      <c r="I535" s="8"/>
      <c r="J535" s="8" t="s">
        <v>1894</v>
      </c>
      <c r="K535" s="27" t="s">
        <v>1873</v>
      </c>
      <c r="L535" s="28">
        <f>_xlfn.NUMBERVALUE(LEFT(Activities[[#This Row],[Fiscal Year]], 4))</f>
        <v>2015</v>
      </c>
      <c r="M535" s="28" t="s">
        <v>1862</v>
      </c>
      <c r="N535" s="41">
        <v>1155</v>
      </c>
      <c r="O535" s="93">
        <f>IF(Activities[[#This Row],[Reference Year]]&gt;2018,Activities[[#This Row],[Value]],Activities[[#This Row],[Value]]*(1+VLOOKUP(Activities[[#This Row],[Reference Year]],Inflation[#All],3,FALSE)))</f>
        <v>1226.3029746835443</v>
      </c>
    </row>
    <row r="536" spans="1:15" ht="15" customHeight="1" x14ac:dyDescent="0.25">
      <c r="A536" s="9" t="s">
        <v>126</v>
      </c>
      <c r="B536" s="9" t="str">
        <f>INDEX(Places[Type],MATCH(Activities[[#This Row],[Jurisdiction]],Places[Jurisdiction],0))</f>
        <v>City</v>
      </c>
      <c r="C536" s="19" t="str">
        <f>INDEX(Places[County],MATCH(Activities[[#This Row],[Jurisdiction]],Places[Jurisdiction],0))</f>
        <v>Sacramento</v>
      </c>
      <c r="D536" s="9" t="str">
        <f>INDEX(Places[Majority RB],MATCH(Activities[[#This Row],[Jurisdiction]],Places[Jurisdiction],0))</f>
        <v>Central Valley</v>
      </c>
      <c r="E536" s="9">
        <f>INDEX(Places[Majority RB '#],MATCH(Activities[[#This Row],[Jurisdiction]],Places[Jurisdiction],0))</f>
        <v>5</v>
      </c>
      <c r="F536" s="28" t="str">
        <f>VLOOKUP(Activities[[#This Row],[Jurisdiction]],Places[#All],8,FALSE)</f>
        <v>Phase I MS4</v>
      </c>
      <c r="G536" s="48" t="s">
        <v>1107</v>
      </c>
      <c r="H536" s="8" t="s">
        <v>549</v>
      </c>
      <c r="I536" s="8"/>
      <c r="J536" s="8" t="s">
        <v>1894</v>
      </c>
      <c r="K536" s="27" t="s">
        <v>1873</v>
      </c>
      <c r="L536" s="28">
        <f>_xlfn.NUMBERVALUE(LEFT(Activities[[#This Row],[Fiscal Year]], 4))</f>
        <v>2015</v>
      </c>
      <c r="M536" s="28" t="s">
        <v>1862</v>
      </c>
      <c r="N536" s="41">
        <v>23982</v>
      </c>
      <c r="O536" s="93">
        <f>IF(Activities[[#This Row],[Reference Year]]&gt;2018,Activities[[#This Row],[Value]],Activities[[#This Row],[Value]]*(1+VLOOKUP(Activities[[#This Row],[Reference Year]],Inflation[#All],3,FALSE)))</f>
        <v>25462.509037974683</v>
      </c>
    </row>
    <row r="537" spans="1:15" ht="15" customHeight="1" x14ac:dyDescent="0.25">
      <c r="A537" s="9" t="s">
        <v>126</v>
      </c>
      <c r="B537" s="9" t="str">
        <f>INDEX(Places[Type],MATCH(Activities[[#This Row],[Jurisdiction]],Places[Jurisdiction],0))</f>
        <v>City</v>
      </c>
      <c r="C537" s="19" t="str">
        <f>INDEX(Places[County],MATCH(Activities[[#This Row],[Jurisdiction]],Places[Jurisdiction],0))</f>
        <v>Sacramento</v>
      </c>
      <c r="D537" s="9" t="str">
        <f>INDEX(Places[Majority RB],MATCH(Activities[[#This Row],[Jurisdiction]],Places[Jurisdiction],0))</f>
        <v>Central Valley</v>
      </c>
      <c r="E537" s="9">
        <f>INDEX(Places[Majority RB '#],MATCH(Activities[[#This Row],[Jurisdiction]],Places[Jurisdiction],0))</f>
        <v>5</v>
      </c>
      <c r="F537" s="28" t="str">
        <f>VLOOKUP(Activities[[#This Row],[Jurisdiction]],Places[#All],8,FALSE)</f>
        <v>Phase I MS4</v>
      </c>
      <c r="G537" s="48" t="s">
        <v>1098</v>
      </c>
      <c r="H537" s="8"/>
      <c r="I537" s="8"/>
      <c r="J537" s="8" t="s">
        <v>1894</v>
      </c>
      <c r="K537" s="27" t="s">
        <v>1873</v>
      </c>
      <c r="L537" s="28">
        <f>_xlfn.NUMBERVALUE(LEFT(Activities[[#This Row],[Fiscal Year]], 4))</f>
        <v>2015</v>
      </c>
      <c r="M537" s="28" t="s">
        <v>1862</v>
      </c>
      <c r="N537" s="41">
        <v>50695</v>
      </c>
      <c r="O537" s="93">
        <f>IF(Activities[[#This Row],[Reference Year]]&gt;2018,Activities[[#This Row],[Value]],Activities[[#This Row],[Value]]*(1+VLOOKUP(Activities[[#This Row],[Reference Year]],Inflation[#All],3,FALSE)))</f>
        <v>53824.61411392405</v>
      </c>
    </row>
    <row r="538" spans="1:15" ht="15" customHeight="1" x14ac:dyDescent="0.25">
      <c r="A538" s="9" t="s">
        <v>126</v>
      </c>
      <c r="B538" s="9" t="str">
        <f>INDEX(Places[Type],MATCH(Activities[[#This Row],[Jurisdiction]],Places[Jurisdiction],0))</f>
        <v>City</v>
      </c>
      <c r="C538" s="19" t="str">
        <f>INDEX(Places[County],MATCH(Activities[[#This Row],[Jurisdiction]],Places[Jurisdiction],0))</f>
        <v>Sacramento</v>
      </c>
      <c r="D538" s="9" t="str">
        <f>INDEX(Places[Majority RB],MATCH(Activities[[#This Row],[Jurisdiction]],Places[Jurisdiction],0))</f>
        <v>Central Valley</v>
      </c>
      <c r="E538" s="9">
        <f>INDEX(Places[Majority RB '#],MATCH(Activities[[#This Row],[Jurisdiction]],Places[Jurisdiction],0))</f>
        <v>5</v>
      </c>
      <c r="F538" s="28" t="str">
        <f>VLOOKUP(Activities[[#This Row],[Jurisdiction]],Places[#All],8,FALSE)</f>
        <v>Phase I MS4</v>
      </c>
      <c r="G538" s="48" t="s">
        <v>1097</v>
      </c>
      <c r="H538" s="8" t="s">
        <v>547</v>
      </c>
      <c r="I538" s="8" t="s">
        <v>536</v>
      </c>
      <c r="J538" s="8" t="s">
        <v>1894</v>
      </c>
      <c r="K538" s="27" t="s">
        <v>1873</v>
      </c>
      <c r="L538" s="28">
        <f>_xlfn.NUMBERVALUE(LEFT(Activities[[#This Row],[Fiscal Year]], 4))</f>
        <v>2015</v>
      </c>
      <c r="M538" s="28" t="s">
        <v>1862</v>
      </c>
      <c r="N538" s="41">
        <v>170081</v>
      </c>
      <c r="O538" s="93">
        <f>IF(Activities[[#This Row],[Reference Year]]&gt;2018,Activities[[#This Row],[Value]],Activities[[#This Row],[Value]]*(1+VLOOKUP(Activities[[#This Row],[Reference Year]],Inflation[#All],3,FALSE)))</f>
        <v>180580.81059493669</v>
      </c>
    </row>
    <row r="539" spans="1:15" ht="15" customHeight="1" x14ac:dyDescent="0.25">
      <c r="A539" s="9" t="s">
        <v>126</v>
      </c>
      <c r="B539" s="9" t="str">
        <f>INDEX(Places[Type],MATCH(Activities[[#This Row],[Jurisdiction]],Places[Jurisdiction],0))</f>
        <v>City</v>
      </c>
      <c r="C539" s="19" t="str">
        <f>INDEX(Places[County],MATCH(Activities[[#This Row],[Jurisdiction]],Places[Jurisdiction],0))</f>
        <v>Sacramento</v>
      </c>
      <c r="D539" s="9" t="str">
        <f>INDEX(Places[Majority RB],MATCH(Activities[[#This Row],[Jurisdiction]],Places[Jurisdiction],0))</f>
        <v>Central Valley</v>
      </c>
      <c r="E539" s="9">
        <f>INDEX(Places[Majority RB '#],MATCH(Activities[[#This Row],[Jurisdiction]],Places[Jurisdiction],0))</f>
        <v>5</v>
      </c>
      <c r="F539" s="28" t="str">
        <f>VLOOKUP(Activities[[#This Row],[Jurisdiction]],Places[#All],8,FALSE)</f>
        <v>Phase I MS4</v>
      </c>
      <c r="G539" s="48" t="s">
        <v>1104</v>
      </c>
      <c r="H539" s="8" t="s">
        <v>529</v>
      </c>
      <c r="I539" s="8"/>
      <c r="J539" s="8" t="s">
        <v>47</v>
      </c>
      <c r="K539" s="27" t="s">
        <v>1873</v>
      </c>
      <c r="L539" s="28">
        <f>_xlfn.NUMBERVALUE(LEFT(Activities[[#This Row],[Fiscal Year]], 4))</f>
        <v>2015</v>
      </c>
      <c r="M539" s="28" t="s">
        <v>1862</v>
      </c>
      <c r="N539" s="41">
        <v>24210</v>
      </c>
      <c r="O539" s="93">
        <f>IF(Activities[[#This Row],[Reference Year]]&gt;2018,Activities[[#This Row],[Value]],Activities[[#This Row],[Value]]*(1+VLOOKUP(Activities[[#This Row],[Reference Year]],Inflation[#All],3,FALSE)))</f>
        <v>25704.584430379746</v>
      </c>
    </row>
    <row r="540" spans="1:15" ht="15" customHeight="1" x14ac:dyDescent="0.25">
      <c r="A540" s="9" t="s">
        <v>271</v>
      </c>
      <c r="B540" s="9" t="str">
        <f>INDEX(Places[Type],MATCH(Activities[[#This Row],[Jurisdiction]],Places[Jurisdiction],0))</f>
        <v>City</v>
      </c>
      <c r="C540" s="19" t="str">
        <f>INDEX(Places[County],MATCH(Activities[[#This Row],[Jurisdiction]],Places[Jurisdiction],0))</f>
        <v>Orange</v>
      </c>
      <c r="D540" s="9" t="str">
        <f>INDEX(Places[Majority RB],MATCH(Activities[[#This Row],[Jurisdiction]],Places[Jurisdiction],0))</f>
        <v>Santa Ana</v>
      </c>
      <c r="E540" s="9">
        <f>INDEX(Places[Majority RB '#],MATCH(Activities[[#This Row],[Jurisdiction]],Places[Jurisdiction],0))</f>
        <v>8</v>
      </c>
      <c r="F540" s="28" t="str">
        <f>VLOOKUP(Activities[[#This Row],[Jurisdiction]],Places[#All],8,FALSE)</f>
        <v>Phase I MS4</v>
      </c>
      <c r="G540" s="48" t="s">
        <v>1006</v>
      </c>
      <c r="H540" s="8"/>
      <c r="I540" s="8"/>
      <c r="J540" s="8" t="s">
        <v>1895</v>
      </c>
      <c r="K540" s="27" t="s">
        <v>1875</v>
      </c>
      <c r="L540" s="28">
        <f>_xlfn.NUMBERVALUE(LEFT(Activities[[#This Row],[Fiscal Year]], 4))</f>
        <v>2001</v>
      </c>
      <c r="M540" s="28" t="s">
        <v>1862</v>
      </c>
      <c r="N540" s="41">
        <v>4724</v>
      </c>
      <c r="O540" s="93">
        <f>IF(Activities[[#This Row],[Reference Year]]&gt;2018,Activities[[#This Row],[Value]],Activities[[#This Row],[Value]]*(1+VLOOKUP(Activities[[#This Row],[Reference Year]],Inflation[#All],3,FALSE)))</f>
        <v>6712.0544551101075</v>
      </c>
    </row>
    <row r="541" spans="1:15" ht="15" customHeight="1" x14ac:dyDescent="0.25">
      <c r="A541" s="9" t="s">
        <v>271</v>
      </c>
      <c r="B541" s="9" t="str">
        <f>INDEX(Places[Type],MATCH(Activities[[#This Row],[Jurisdiction]],Places[Jurisdiction],0))</f>
        <v>City</v>
      </c>
      <c r="C541" s="19" t="str">
        <f>INDEX(Places[County],MATCH(Activities[[#This Row],[Jurisdiction]],Places[Jurisdiction],0))</f>
        <v>Orange</v>
      </c>
      <c r="D541" s="9" t="str">
        <f>INDEX(Places[Majority RB],MATCH(Activities[[#This Row],[Jurisdiction]],Places[Jurisdiction],0))</f>
        <v>Santa Ana</v>
      </c>
      <c r="E541" s="9">
        <f>INDEX(Places[Majority RB '#],MATCH(Activities[[#This Row],[Jurisdiction]],Places[Jurisdiction],0))</f>
        <v>8</v>
      </c>
      <c r="F541" s="28" t="str">
        <f>VLOOKUP(Activities[[#This Row],[Jurisdiction]],Places[#All],8,FALSE)</f>
        <v>Phase I MS4</v>
      </c>
      <c r="G541" s="48" t="s">
        <v>990</v>
      </c>
      <c r="H541" s="8" t="s">
        <v>506</v>
      </c>
      <c r="I541" s="8"/>
      <c r="J541" s="8" t="s">
        <v>131</v>
      </c>
      <c r="K541" s="27" t="s">
        <v>1875</v>
      </c>
      <c r="L541" s="28">
        <f>_xlfn.NUMBERVALUE(LEFT(Activities[[#This Row],[Fiscal Year]], 4))</f>
        <v>2001</v>
      </c>
      <c r="M541" s="28" t="s">
        <v>1862</v>
      </c>
      <c r="N541" s="41">
        <v>175000</v>
      </c>
      <c r="O541" s="93">
        <f>IF(Activities[[#This Row],[Reference Year]]&gt;2018,Activities[[#This Row],[Value]],Activities[[#This Row],[Value]]*(1+VLOOKUP(Activities[[#This Row],[Reference Year]],Inflation[#All],3,FALSE)))</f>
        <v>248647.23320158102</v>
      </c>
    </row>
    <row r="542" spans="1:15" ht="15" customHeight="1" x14ac:dyDescent="0.25">
      <c r="A542" s="9" t="s">
        <v>271</v>
      </c>
      <c r="B542" s="9" t="str">
        <f>INDEX(Places[Type],MATCH(Activities[[#This Row],[Jurisdiction]],Places[Jurisdiction],0))</f>
        <v>City</v>
      </c>
      <c r="C542" s="19" t="str">
        <f>INDEX(Places[County],MATCH(Activities[[#This Row],[Jurisdiction]],Places[Jurisdiction],0))</f>
        <v>Orange</v>
      </c>
      <c r="D542" s="9" t="str">
        <f>INDEX(Places[Majority RB],MATCH(Activities[[#This Row],[Jurisdiction]],Places[Jurisdiction],0))</f>
        <v>Santa Ana</v>
      </c>
      <c r="E542" s="9">
        <f>INDEX(Places[Majority RB '#],MATCH(Activities[[#This Row],[Jurisdiction]],Places[Jurisdiction],0))</f>
        <v>8</v>
      </c>
      <c r="F542" s="28" t="str">
        <f>VLOOKUP(Activities[[#This Row],[Jurisdiction]],Places[#All],8,FALSE)</f>
        <v>Phase I MS4</v>
      </c>
      <c r="G542" s="48" t="s">
        <v>1007</v>
      </c>
      <c r="H542" s="8"/>
      <c r="I542" s="8"/>
      <c r="J542" s="8" t="s">
        <v>71</v>
      </c>
      <c r="K542" s="27" t="s">
        <v>1875</v>
      </c>
      <c r="L542" s="28">
        <f>_xlfn.NUMBERVALUE(LEFT(Activities[[#This Row],[Fiscal Year]], 4))</f>
        <v>2001</v>
      </c>
      <c r="M542" s="28" t="s">
        <v>1862</v>
      </c>
      <c r="N542" s="41">
        <v>10000</v>
      </c>
      <c r="O542" s="93">
        <f>IF(Activities[[#This Row],[Reference Year]]&gt;2018,Activities[[#This Row],[Value]],Activities[[#This Row],[Value]]*(1+VLOOKUP(Activities[[#This Row],[Reference Year]],Inflation[#All],3,FALSE)))</f>
        <v>14208.413325804629</v>
      </c>
    </row>
    <row r="543" spans="1:15" ht="15" customHeight="1" x14ac:dyDescent="0.25">
      <c r="A543" s="9" t="s">
        <v>271</v>
      </c>
      <c r="B543" s="9" t="str">
        <f>INDEX(Places[Type],MATCH(Activities[[#This Row],[Jurisdiction]],Places[Jurisdiction],0))</f>
        <v>City</v>
      </c>
      <c r="C543" s="19" t="str">
        <f>INDEX(Places[County],MATCH(Activities[[#This Row],[Jurisdiction]],Places[Jurisdiction],0))</f>
        <v>Orange</v>
      </c>
      <c r="D543" s="19" t="str">
        <f>INDEX(Places[Majority RB],MATCH(Activities[[#This Row],[Jurisdiction]],Places[Jurisdiction],0))</f>
        <v>Santa Ana</v>
      </c>
      <c r="E543" s="9">
        <f>INDEX(Places[Majority RB '#],MATCH(Activities[[#This Row],[Jurisdiction]],Places[Jurisdiction],0))</f>
        <v>8</v>
      </c>
      <c r="F543" s="28" t="str">
        <f>VLOOKUP(Activities[[#This Row],[Jurisdiction]],Places[#All],8,FALSE)</f>
        <v>Phase I MS4</v>
      </c>
      <c r="G543" s="48" t="s">
        <v>979</v>
      </c>
      <c r="H543" s="8" t="s">
        <v>504</v>
      </c>
      <c r="I543" s="8"/>
      <c r="J543" s="8" t="s">
        <v>71</v>
      </c>
      <c r="K543" s="27" t="s">
        <v>1875</v>
      </c>
      <c r="L543" s="28">
        <f>_xlfn.NUMBERVALUE(LEFT(Activities[[#This Row],[Fiscal Year]], 4))</f>
        <v>2001</v>
      </c>
      <c r="M543" s="28" t="s">
        <v>1862</v>
      </c>
      <c r="N543" s="41">
        <v>20000</v>
      </c>
      <c r="O543" s="93">
        <f>IF(Activities[[#This Row],[Reference Year]]&gt;2018,Activities[[#This Row],[Value]],Activities[[#This Row],[Value]]*(1+VLOOKUP(Activities[[#This Row],[Reference Year]],Inflation[#All],3,FALSE)))</f>
        <v>28416.826651609259</v>
      </c>
    </row>
    <row r="544" spans="1:15" ht="15" customHeight="1" x14ac:dyDescent="0.25">
      <c r="A544" s="9" t="s">
        <v>271</v>
      </c>
      <c r="B544" s="9" t="str">
        <f>INDEX(Places[Type],MATCH(Activities[[#This Row],[Jurisdiction]],Places[Jurisdiction],0))</f>
        <v>City</v>
      </c>
      <c r="C544" s="19" t="str">
        <f>INDEX(Places[County],MATCH(Activities[[#This Row],[Jurisdiction]],Places[Jurisdiction],0))</f>
        <v>Orange</v>
      </c>
      <c r="D544" s="9" t="str">
        <f>INDEX(Places[Majority RB],MATCH(Activities[[#This Row],[Jurisdiction]],Places[Jurisdiction],0))</f>
        <v>Santa Ana</v>
      </c>
      <c r="E544" s="9">
        <f>INDEX(Places[Majority RB '#],MATCH(Activities[[#This Row],[Jurisdiction]],Places[Jurisdiction],0))</f>
        <v>8</v>
      </c>
      <c r="F544" s="28" t="str">
        <f>VLOOKUP(Activities[[#This Row],[Jurisdiction]],Places[#All],8,FALSE)</f>
        <v>Phase I MS4</v>
      </c>
      <c r="G544" s="48" t="s">
        <v>994</v>
      </c>
      <c r="H544" s="8" t="s">
        <v>504</v>
      </c>
      <c r="I544" s="8"/>
      <c r="J544" s="8" t="s">
        <v>71</v>
      </c>
      <c r="K544" s="27" t="s">
        <v>1875</v>
      </c>
      <c r="L544" s="28">
        <f>_xlfn.NUMBERVALUE(LEFT(Activities[[#This Row],[Fiscal Year]], 4))</f>
        <v>2001</v>
      </c>
      <c r="M544" s="28" t="s">
        <v>1862</v>
      </c>
      <c r="N544" s="41">
        <v>198016</v>
      </c>
      <c r="O544" s="93">
        <f>IF(Activities[[#This Row],[Reference Year]]&gt;2018,Activities[[#This Row],[Value]],Activities[[#This Row],[Value]]*(1+VLOOKUP(Activities[[#This Row],[Reference Year]],Inflation[#All],3,FALSE)))</f>
        <v>281349.31731225294</v>
      </c>
    </row>
    <row r="545" spans="1:15" ht="15" customHeight="1" x14ac:dyDescent="0.25">
      <c r="A545" s="9" t="s">
        <v>271</v>
      </c>
      <c r="B545" s="9" t="str">
        <f>INDEX(Places[Type],MATCH(Activities[[#This Row],[Jurisdiction]],Places[Jurisdiction],0))</f>
        <v>City</v>
      </c>
      <c r="C545" s="19" t="str">
        <f>INDEX(Places[County],MATCH(Activities[[#This Row],[Jurisdiction]],Places[Jurisdiction],0))</f>
        <v>Orange</v>
      </c>
      <c r="D545" s="9" t="str">
        <f>INDEX(Places[Majority RB],MATCH(Activities[[#This Row],[Jurisdiction]],Places[Jurisdiction],0))</f>
        <v>Santa Ana</v>
      </c>
      <c r="E545" s="9">
        <f>INDEX(Places[Majority RB '#],MATCH(Activities[[#This Row],[Jurisdiction]],Places[Jurisdiction],0))</f>
        <v>8</v>
      </c>
      <c r="F545" s="28" t="str">
        <f>VLOOKUP(Activities[[#This Row],[Jurisdiction]],Places[#All],8,FALSE)</f>
        <v>Phase I MS4</v>
      </c>
      <c r="G545" s="48" t="s">
        <v>995</v>
      </c>
      <c r="H545" s="8" t="s">
        <v>504</v>
      </c>
      <c r="I545" s="8"/>
      <c r="J545" s="8" t="s">
        <v>1897</v>
      </c>
      <c r="K545" s="27" t="s">
        <v>1875</v>
      </c>
      <c r="L545" s="28">
        <f>_xlfn.NUMBERVALUE(LEFT(Activities[[#This Row],[Fiscal Year]], 4))</f>
        <v>2001</v>
      </c>
      <c r="M545" s="28" t="s">
        <v>1862</v>
      </c>
      <c r="N545" s="41">
        <v>2100</v>
      </c>
      <c r="O545" s="93">
        <f>IF(Activities[[#This Row],[Reference Year]]&gt;2018,Activities[[#This Row],[Value]],Activities[[#This Row],[Value]]*(1+VLOOKUP(Activities[[#This Row],[Reference Year]],Inflation[#All],3,FALSE)))</f>
        <v>2983.766798418972</v>
      </c>
    </row>
    <row r="546" spans="1:15" ht="15" customHeight="1" x14ac:dyDescent="0.25">
      <c r="A546" s="9" t="s">
        <v>271</v>
      </c>
      <c r="B546" s="9" t="str">
        <f>INDEX(Places[Type],MATCH(Activities[[#This Row],[Jurisdiction]],Places[Jurisdiction],0))</f>
        <v>City</v>
      </c>
      <c r="C546" s="19" t="str">
        <f>INDEX(Places[County],MATCH(Activities[[#This Row],[Jurisdiction]],Places[Jurisdiction],0))</f>
        <v>Orange</v>
      </c>
      <c r="D546" s="9" t="str">
        <f>INDEX(Places[Majority RB],MATCH(Activities[[#This Row],[Jurisdiction]],Places[Jurisdiction],0))</f>
        <v>Santa Ana</v>
      </c>
      <c r="E546" s="9">
        <f>INDEX(Places[Majority RB '#],MATCH(Activities[[#This Row],[Jurisdiction]],Places[Jurisdiction],0))</f>
        <v>8</v>
      </c>
      <c r="F546" s="28" t="str">
        <f>VLOOKUP(Activities[[#This Row],[Jurisdiction]],Places[#All],8,FALSE)</f>
        <v>Phase I MS4</v>
      </c>
      <c r="G546" s="48" t="s">
        <v>1002</v>
      </c>
      <c r="H546" s="8" t="s">
        <v>597</v>
      </c>
      <c r="I546" s="8" t="s">
        <v>594</v>
      </c>
      <c r="J546" s="8" t="s">
        <v>1897</v>
      </c>
      <c r="K546" s="27" t="s">
        <v>1875</v>
      </c>
      <c r="L546" s="28">
        <f>_xlfn.NUMBERVALUE(LEFT(Activities[[#This Row],[Fiscal Year]], 4))</f>
        <v>2001</v>
      </c>
      <c r="M546" s="28" t="s">
        <v>1862</v>
      </c>
      <c r="N546" s="41">
        <v>9866</v>
      </c>
      <c r="O546" s="93">
        <f>IF(Activities[[#This Row],[Reference Year]]&gt;2018,Activities[[#This Row],[Value]],Activities[[#This Row],[Value]]*(1+VLOOKUP(Activities[[#This Row],[Reference Year]],Inflation[#All],3,FALSE)))</f>
        <v>14018.020587238847</v>
      </c>
    </row>
    <row r="547" spans="1:15" ht="15" customHeight="1" x14ac:dyDescent="0.25">
      <c r="A547" s="9" t="s">
        <v>271</v>
      </c>
      <c r="B547" s="9" t="str">
        <f>INDEX(Places[Type],MATCH(Activities[[#This Row],[Jurisdiction]],Places[Jurisdiction],0))</f>
        <v>City</v>
      </c>
      <c r="C547" s="19" t="str">
        <f>INDEX(Places[County],MATCH(Activities[[#This Row],[Jurisdiction]],Places[Jurisdiction],0))</f>
        <v>Orange</v>
      </c>
      <c r="D547" s="9" t="str">
        <f>INDEX(Places[Majority RB],MATCH(Activities[[#This Row],[Jurisdiction]],Places[Jurisdiction],0))</f>
        <v>Santa Ana</v>
      </c>
      <c r="E547" s="9">
        <f>INDEX(Places[Majority RB '#],MATCH(Activities[[#This Row],[Jurisdiction]],Places[Jurisdiction],0))</f>
        <v>8</v>
      </c>
      <c r="F547" s="28" t="str">
        <f>VLOOKUP(Activities[[#This Row],[Jurisdiction]],Places[#All],8,FALSE)</f>
        <v>Phase I MS4</v>
      </c>
      <c r="G547" s="48" t="s">
        <v>997</v>
      </c>
      <c r="H547" s="8" t="s">
        <v>593</v>
      </c>
      <c r="I547" s="8" t="s">
        <v>594</v>
      </c>
      <c r="J547" s="8" t="s">
        <v>1897</v>
      </c>
      <c r="K547" s="27" t="s">
        <v>1875</v>
      </c>
      <c r="L547" s="28">
        <f>_xlfn.NUMBERVALUE(LEFT(Activities[[#This Row],[Fiscal Year]], 4))</f>
        <v>2001</v>
      </c>
      <c r="M547" s="28" t="s">
        <v>1862</v>
      </c>
      <c r="N547" s="41">
        <v>10000</v>
      </c>
      <c r="O547" s="93">
        <f>IF(Activities[[#This Row],[Reference Year]]&gt;2018,Activities[[#This Row],[Value]],Activities[[#This Row],[Value]]*(1+VLOOKUP(Activities[[#This Row],[Reference Year]],Inflation[#All],3,FALSE)))</f>
        <v>14208.413325804629</v>
      </c>
    </row>
    <row r="548" spans="1:15" ht="15" customHeight="1" x14ac:dyDescent="0.25">
      <c r="A548" s="9" t="s">
        <v>271</v>
      </c>
      <c r="B548" s="9" t="str">
        <f>INDEX(Places[Type],MATCH(Activities[[#This Row],[Jurisdiction]],Places[Jurisdiction],0))</f>
        <v>City</v>
      </c>
      <c r="C548" s="19" t="str">
        <f>INDEX(Places[County],MATCH(Activities[[#This Row],[Jurisdiction]],Places[Jurisdiction],0))</f>
        <v>Orange</v>
      </c>
      <c r="D548" s="9" t="str">
        <f>INDEX(Places[Majority RB],MATCH(Activities[[#This Row],[Jurisdiction]],Places[Jurisdiction],0))</f>
        <v>Santa Ana</v>
      </c>
      <c r="E548" s="9">
        <f>INDEX(Places[Majority RB '#],MATCH(Activities[[#This Row],[Jurisdiction]],Places[Jurisdiction],0))</f>
        <v>8</v>
      </c>
      <c r="F548" s="28" t="str">
        <f>VLOOKUP(Activities[[#This Row],[Jurisdiction]],Places[#All],8,FALSE)</f>
        <v>Phase I MS4</v>
      </c>
      <c r="G548" s="48" t="s">
        <v>998</v>
      </c>
      <c r="H548" s="8" t="s">
        <v>504</v>
      </c>
      <c r="I548" s="8"/>
      <c r="J548" s="8" t="s">
        <v>1897</v>
      </c>
      <c r="K548" s="27" t="s">
        <v>1875</v>
      </c>
      <c r="L548" s="28">
        <f>_xlfn.NUMBERVALUE(LEFT(Activities[[#This Row],[Fiscal Year]], 4))</f>
        <v>2001</v>
      </c>
      <c r="M548" s="28" t="s">
        <v>1862</v>
      </c>
      <c r="N548" s="41">
        <v>20000</v>
      </c>
      <c r="O548" s="93">
        <f>IF(Activities[[#This Row],[Reference Year]]&gt;2018,Activities[[#This Row],[Value]],Activities[[#This Row],[Value]]*(1+VLOOKUP(Activities[[#This Row],[Reference Year]],Inflation[#All],3,FALSE)))</f>
        <v>28416.826651609259</v>
      </c>
    </row>
    <row r="549" spans="1:15" ht="15" customHeight="1" x14ac:dyDescent="0.25">
      <c r="A549" s="9" t="s">
        <v>271</v>
      </c>
      <c r="B549" s="9" t="str">
        <f>INDEX(Places[Type],MATCH(Activities[[#This Row],[Jurisdiction]],Places[Jurisdiction],0))</f>
        <v>City</v>
      </c>
      <c r="C549" s="19" t="str">
        <f>INDEX(Places[County],MATCH(Activities[[#This Row],[Jurisdiction]],Places[Jurisdiction],0))</f>
        <v>Orange</v>
      </c>
      <c r="D549" s="9" t="str">
        <f>INDEX(Places[Majority RB],MATCH(Activities[[#This Row],[Jurisdiction]],Places[Jurisdiction],0))</f>
        <v>Santa Ana</v>
      </c>
      <c r="E549" s="9">
        <f>INDEX(Places[Majority RB '#],MATCH(Activities[[#This Row],[Jurisdiction]],Places[Jurisdiction],0))</f>
        <v>8</v>
      </c>
      <c r="F549" s="28" t="str">
        <f>VLOOKUP(Activities[[#This Row],[Jurisdiction]],Places[#All],8,FALSE)</f>
        <v>Phase I MS4</v>
      </c>
      <c r="G549" s="48" t="s">
        <v>992</v>
      </c>
      <c r="H549" s="8" t="s">
        <v>504</v>
      </c>
      <c r="I549" s="8"/>
      <c r="J549" s="8" t="s">
        <v>1897</v>
      </c>
      <c r="K549" s="27" t="s">
        <v>1875</v>
      </c>
      <c r="L549" s="28">
        <f>_xlfn.NUMBERVALUE(LEFT(Activities[[#This Row],[Fiscal Year]], 4))</f>
        <v>2001</v>
      </c>
      <c r="M549" s="28" t="s">
        <v>1862</v>
      </c>
      <c r="N549" s="41">
        <v>61929</v>
      </c>
      <c r="O549" s="93">
        <f>IF(Activities[[#This Row],[Reference Year]]&gt;2018,Activities[[#This Row],[Value]],Activities[[#This Row],[Value]]*(1+VLOOKUP(Activities[[#This Row],[Reference Year]],Inflation[#All],3,FALSE)))</f>
        <v>87991.282885375491</v>
      </c>
    </row>
    <row r="550" spans="1:15" ht="15" customHeight="1" x14ac:dyDescent="0.25">
      <c r="A550" s="9" t="s">
        <v>271</v>
      </c>
      <c r="B550" s="9" t="str">
        <f>INDEX(Places[Type],MATCH(Activities[[#This Row],[Jurisdiction]],Places[Jurisdiction],0))</f>
        <v>City</v>
      </c>
      <c r="C550" s="19" t="str">
        <f>INDEX(Places[County],MATCH(Activities[[#This Row],[Jurisdiction]],Places[Jurisdiction],0))</f>
        <v>Orange</v>
      </c>
      <c r="D550" s="9" t="str">
        <f>INDEX(Places[Majority RB],MATCH(Activities[[#This Row],[Jurisdiction]],Places[Jurisdiction],0))</f>
        <v>Santa Ana</v>
      </c>
      <c r="E550" s="9">
        <f>INDEX(Places[Majority RB '#],MATCH(Activities[[#This Row],[Jurisdiction]],Places[Jurisdiction],0))</f>
        <v>8</v>
      </c>
      <c r="F550" s="28" t="str">
        <f>VLOOKUP(Activities[[#This Row],[Jurisdiction]],Places[#All],8,FALSE)</f>
        <v>Phase I MS4</v>
      </c>
      <c r="G550" s="48" t="s">
        <v>999</v>
      </c>
      <c r="H550" s="8" t="s">
        <v>504</v>
      </c>
      <c r="I550" s="8"/>
      <c r="J550" s="8" t="s">
        <v>1897</v>
      </c>
      <c r="K550" s="27" t="s">
        <v>1875</v>
      </c>
      <c r="L550" s="28">
        <f>_xlfn.NUMBERVALUE(LEFT(Activities[[#This Row],[Fiscal Year]], 4))</f>
        <v>2001</v>
      </c>
      <c r="M550" s="28" t="s">
        <v>1862</v>
      </c>
      <c r="N550" s="41">
        <v>213581</v>
      </c>
      <c r="O550" s="93">
        <f>IF(Activities[[#This Row],[Reference Year]]&gt;2018,Activities[[#This Row],[Value]],Activities[[#This Row],[Value]]*(1+VLOOKUP(Activities[[#This Row],[Reference Year]],Inflation[#All],3,FALSE)))</f>
        <v>303464.71265386784</v>
      </c>
    </row>
    <row r="551" spans="1:15" ht="15" customHeight="1" x14ac:dyDescent="0.25">
      <c r="A551" s="9" t="s">
        <v>271</v>
      </c>
      <c r="B551" s="9" t="str">
        <f>INDEX(Places[Type],MATCH(Activities[[#This Row],[Jurisdiction]],Places[Jurisdiction],0))</f>
        <v>City</v>
      </c>
      <c r="C551" s="19" t="str">
        <f>INDEX(Places[County],MATCH(Activities[[#This Row],[Jurisdiction]],Places[Jurisdiction],0))</f>
        <v>Orange</v>
      </c>
      <c r="D551" s="9" t="str">
        <f>INDEX(Places[Majority RB],MATCH(Activities[[#This Row],[Jurisdiction]],Places[Jurisdiction],0))</f>
        <v>Santa Ana</v>
      </c>
      <c r="E551" s="9">
        <f>INDEX(Places[Majority RB '#],MATCH(Activities[[#This Row],[Jurisdiction]],Places[Jurisdiction],0))</f>
        <v>8</v>
      </c>
      <c r="F551" s="28" t="str">
        <f>VLOOKUP(Activities[[#This Row],[Jurisdiction]],Places[#All],8,FALSE)</f>
        <v>Phase I MS4</v>
      </c>
      <c r="G551" s="48" t="s">
        <v>996</v>
      </c>
      <c r="H551" s="8" t="s">
        <v>504</v>
      </c>
      <c r="I551" s="8"/>
      <c r="J551" s="8" t="s">
        <v>1897</v>
      </c>
      <c r="K551" s="27" t="s">
        <v>1875</v>
      </c>
      <c r="L551" s="28">
        <f>_xlfn.NUMBERVALUE(LEFT(Activities[[#This Row],[Fiscal Year]], 4))</f>
        <v>2001</v>
      </c>
      <c r="M551" s="28" t="s">
        <v>1862</v>
      </c>
      <c r="N551" s="41">
        <v>291180</v>
      </c>
      <c r="O551" s="93">
        <f>IF(Activities[[#This Row],[Reference Year]]&gt;2018,Activities[[#This Row],[Value]],Activities[[#This Row],[Value]]*(1+VLOOKUP(Activities[[#This Row],[Reference Year]],Inflation[#All],3,FALSE)))</f>
        <v>413720.57922077918</v>
      </c>
    </row>
    <row r="552" spans="1:15" ht="15" customHeight="1" x14ac:dyDescent="0.25">
      <c r="A552" s="9" t="s">
        <v>271</v>
      </c>
      <c r="B552" s="9" t="str">
        <f>INDEX(Places[Type],MATCH(Activities[[#This Row],[Jurisdiction]],Places[Jurisdiction],0))</f>
        <v>City</v>
      </c>
      <c r="C552" s="19" t="str">
        <f>INDEX(Places[County],MATCH(Activities[[#This Row],[Jurisdiction]],Places[Jurisdiction],0))</f>
        <v>Orange</v>
      </c>
      <c r="D552" s="9" t="str">
        <f>INDEX(Places[Majority RB],MATCH(Activities[[#This Row],[Jurisdiction]],Places[Jurisdiction],0))</f>
        <v>Santa Ana</v>
      </c>
      <c r="E552" s="9">
        <f>INDEX(Places[Majority RB '#],MATCH(Activities[[#This Row],[Jurisdiction]],Places[Jurisdiction],0))</f>
        <v>8</v>
      </c>
      <c r="F552" s="28" t="str">
        <f>VLOOKUP(Activities[[#This Row],[Jurisdiction]],Places[#All],8,FALSE)</f>
        <v>Phase I MS4</v>
      </c>
      <c r="G552" s="48" t="s">
        <v>989</v>
      </c>
      <c r="H552" s="8" t="s">
        <v>597</v>
      </c>
      <c r="I552" s="8" t="s">
        <v>594</v>
      </c>
      <c r="J552" s="8" t="s">
        <v>1897</v>
      </c>
      <c r="K552" s="27" t="s">
        <v>1875</v>
      </c>
      <c r="L552" s="28">
        <f>_xlfn.NUMBERVALUE(LEFT(Activities[[#This Row],[Fiscal Year]], 4))</f>
        <v>2001</v>
      </c>
      <c r="M552" s="28" t="s">
        <v>1862</v>
      </c>
      <c r="N552" s="41">
        <v>295000</v>
      </c>
      <c r="O552" s="93">
        <f>IF(Activities[[#This Row],[Reference Year]]&gt;2018,Activities[[#This Row],[Value]],Activities[[#This Row],[Value]]*(1+VLOOKUP(Activities[[#This Row],[Reference Year]],Inflation[#All],3,FALSE)))</f>
        <v>419148.19311123656</v>
      </c>
    </row>
    <row r="553" spans="1:15" ht="15" customHeight="1" x14ac:dyDescent="0.25">
      <c r="A553" s="9" t="s">
        <v>271</v>
      </c>
      <c r="B553" s="9" t="str">
        <f>INDEX(Places[Type],MATCH(Activities[[#This Row],[Jurisdiction]],Places[Jurisdiction],0))</f>
        <v>City</v>
      </c>
      <c r="C553" s="19" t="str">
        <f>INDEX(Places[County],MATCH(Activities[[#This Row],[Jurisdiction]],Places[Jurisdiction],0))</f>
        <v>Orange</v>
      </c>
      <c r="D553" s="9" t="str">
        <f>INDEX(Places[Majority RB],MATCH(Activities[[#This Row],[Jurisdiction]],Places[Jurisdiction],0))</f>
        <v>Santa Ana</v>
      </c>
      <c r="E553" s="9">
        <f>INDEX(Places[Majority RB '#],MATCH(Activities[[#This Row],[Jurisdiction]],Places[Jurisdiction],0))</f>
        <v>8</v>
      </c>
      <c r="F553" s="28" t="str">
        <f>VLOOKUP(Activities[[#This Row],[Jurisdiction]],Places[#All],8,FALSE)</f>
        <v>Phase I MS4</v>
      </c>
      <c r="G553" s="48" t="s">
        <v>993</v>
      </c>
      <c r="H553" s="8" t="s">
        <v>602</v>
      </c>
      <c r="I553" s="8"/>
      <c r="J553" s="8" t="s">
        <v>1897</v>
      </c>
      <c r="K553" s="27" t="s">
        <v>1875</v>
      </c>
      <c r="L553" s="28">
        <f>_xlfn.NUMBERVALUE(LEFT(Activities[[#This Row],[Fiscal Year]], 4))</f>
        <v>2001</v>
      </c>
      <c r="M553" s="28" t="s">
        <v>1862</v>
      </c>
      <c r="N553" s="41">
        <v>457574</v>
      </c>
      <c r="O553" s="93">
        <f>IF(Activities[[#This Row],[Reference Year]]&gt;2018,Activities[[#This Row],[Value]],Activities[[#This Row],[Value]]*(1+VLOOKUP(Activities[[#This Row],[Reference Year]],Inflation[#All],3,FALSE)))</f>
        <v>650140.05191417271</v>
      </c>
    </row>
    <row r="554" spans="1:15" ht="15" customHeight="1" x14ac:dyDescent="0.25">
      <c r="A554" s="9" t="s">
        <v>271</v>
      </c>
      <c r="B554" s="9" t="str">
        <f>INDEX(Places[Type],MATCH(Activities[[#This Row],[Jurisdiction]],Places[Jurisdiction],0))</f>
        <v>City</v>
      </c>
      <c r="C554" s="19" t="str">
        <f>INDEX(Places[County],MATCH(Activities[[#This Row],[Jurisdiction]],Places[Jurisdiction],0))</f>
        <v>Orange</v>
      </c>
      <c r="D554" s="9" t="str">
        <f>INDEX(Places[Majority RB],MATCH(Activities[[#This Row],[Jurisdiction]],Places[Jurisdiction],0))</f>
        <v>Santa Ana</v>
      </c>
      <c r="E554" s="9">
        <f>INDEX(Places[Majority RB '#],MATCH(Activities[[#This Row],[Jurisdiction]],Places[Jurisdiction],0))</f>
        <v>8</v>
      </c>
      <c r="F554" s="28" t="str">
        <f>VLOOKUP(Activities[[#This Row],[Jurisdiction]],Places[#All],8,FALSE)</f>
        <v>Phase I MS4</v>
      </c>
      <c r="G554" s="48" t="s">
        <v>1005</v>
      </c>
      <c r="H554" s="8"/>
      <c r="I554" s="8"/>
      <c r="J554" s="8" t="s">
        <v>1898</v>
      </c>
      <c r="K554" s="27" t="s">
        <v>1875</v>
      </c>
      <c r="L554" s="28">
        <f>_xlfn.NUMBERVALUE(LEFT(Activities[[#This Row],[Fiscal Year]], 4))</f>
        <v>2001</v>
      </c>
      <c r="M554" s="28" t="s">
        <v>1862</v>
      </c>
      <c r="N554" s="41">
        <v>6406</v>
      </c>
      <c r="O554" s="93">
        <f>IF(Activities[[#This Row],[Reference Year]]&gt;2018,Activities[[#This Row],[Value]],Activities[[#This Row],[Value]]*(1+VLOOKUP(Activities[[#This Row],[Reference Year]],Inflation[#All],3,FALSE)))</f>
        <v>9101.9095765104466</v>
      </c>
    </row>
    <row r="555" spans="1:15" ht="15" customHeight="1" x14ac:dyDescent="0.25">
      <c r="A555" s="9" t="s">
        <v>271</v>
      </c>
      <c r="B555" s="9" t="str">
        <f>INDEX(Places[Type],MATCH(Activities[[#This Row],[Jurisdiction]],Places[Jurisdiction],0))</f>
        <v>City</v>
      </c>
      <c r="C555" s="19" t="str">
        <f>INDEX(Places[County],MATCH(Activities[[#This Row],[Jurisdiction]],Places[Jurisdiction],0))</f>
        <v>Orange</v>
      </c>
      <c r="D555" s="9" t="str">
        <f>INDEX(Places[Majority RB],MATCH(Activities[[#This Row],[Jurisdiction]],Places[Jurisdiction],0))</f>
        <v>Santa Ana</v>
      </c>
      <c r="E555" s="9">
        <f>INDEX(Places[Majority RB '#],MATCH(Activities[[#This Row],[Jurisdiction]],Places[Jurisdiction],0))</f>
        <v>8</v>
      </c>
      <c r="F555" s="28" t="str">
        <f>VLOOKUP(Activities[[#This Row],[Jurisdiction]],Places[#All],8,FALSE)</f>
        <v>Phase I MS4</v>
      </c>
      <c r="G555" s="48" t="s">
        <v>1000</v>
      </c>
      <c r="H555" s="8" t="s">
        <v>505</v>
      </c>
      <c r="I555" s="8"/>
      <c r="J555" s="8" t="s">
        <v>1456</v>
      </c>
      <c r="K555" s="27" t="s">
        <v>1875</v>
      </c>
      <c r="L555" s="28">
        <f>_xlfn.NUMBERVALUE(LEFT(Activities[[#This Row],[Fiscal Year]], 4))</f>
        <v>2001</v>
      </c>
      <c r="M555" s="28" t="s">
        <v>1862</v>
      </c>
      <c r="N555" s="41">
        <v>1000</v>
      </c>
      <c r="O555" s="93">
        <f>IF(Activities[[#This Row],[Reference Year]]&gt;2018,Activities[[#This Row],[Value]],Activities[[#This Row],[Value]]*(1+VLOOKUP(Activities[[#This Row],[Reference Year]],Inflation[#All],3,FALSE)))</f>
        <v>1420.8413325804629</v>
      </c>
    </row>
    <row r="556" spans="1:15" ht="15" customHeight="1" x14ac:dyDescent="0.25">
      <c r="A556" s="9" t="s">
        <v>271</v>
      </c>
      <c r="B556" s="9" t="str">
        <f>INDEX(Places[Type],MATCH(Activities[[#This Row],[Jurisdiction]],Places[Jurisdiction],0))</f>
        <v>City</v>
      </c>
      <c r="C556" s="19" t="str">
        <f>INDEX(Places[County],MATCH(Activities[[#This Row],[Jurisdiction]],Places[Jurisdiction],0))</f>
        <v>Orange</v>
      </c>
      <c r="D556" s="9" t="str">
        <f>INDEX(Places[Majority RB],MATCH(Activities[[#This Row],[Jurisdiction]],Places[Jurisdiction],0))</f>
        <v>Santa Ana</v>
      </c>
      <c r="E556" s="9">
        <f>INDEX(Places[Majority RB '#],MATCH(Activities[[#This Row],[Jurisdiction]],Places[Jurisdiction],0))</f>
        <v>8</v>
      </c>
      <c r="F556" s="28" t="str">
        <f>VLOOKUP(Activities[[#This Row],[Jurisdiction]],Places[#All],8,FALSE)</f>
        <v>Phase I MS4</v>
      </c>
      <c r="G556" s="48" t="s">
        <v>985</v>
      </c>
      <c r="H556" s="8" t="s">
        <v>505</v>
      </c>
      <c r="I556" s="8"/>
      <c r="J556" s="8" t="s">
        <v>1456</v>
      </c>
      <c r="K556" s="27" t="s">
        <v>1875</v>
      </c>
      <c r="L556" s="28">
        <f>_xlfn.NUMBERVALUE(LEFT(Activities[[#This Row],[Fiscal Year]], 4))</f>
        <v>2001</v>
      </c>
      <c r="M556" s="28" t="s">
        <v>1862</v>
      </c>
      <c r="N556" s="41">
        <v>4000</v>
      </c>
      <c r="O556" s="93">
        <f>IF(Activities[[#This Row],[Reference Year]]&gt;2018,Activities[[#This Row],[Value]],Activities[[#This Row],[Value]]*(1+VLOOKUP(Activities[[#This Row],[Reference Year]],Inflation[#All],3,FALSE)))</f>
        <v>5683.3653303218516</v>
      </c>
    </row>
    <row r="557" spans="1:15" ht="15" customHeight="1" x14ac:dyDescent="0.25">
      <c r="A557" s="9" t="s">
        <v>271</v>
      </c>
      <c r="B557" s="9" t="str">
        <f>INDEX(Places[Type],MATCH(Activities[[#This Row],[Jurisdiction]],Places[Jurisdiction],0))</f>
        <v>City</v>
      </c>
      <c r="C557" s="19" t="str">
        <f>INDEX(Places[County],MATCH(Activities[[#This Row],[Jurisdiction]],Places[Jurisdiction],0))</f>
        <v>Orange</v>
      </c>
      <c r="D557" s="9" t="str">
        <f>INDEX(Places[Majority RB],MATCH(Activities[[#This Row],[Jurisdiction]],Places[Jurisdiction],0))</f>
        <v>Santa Ana</v>
      </c>
      <c r="E557" s="9">
        <f>INDEX(Places[Majority RB '#],MATCH(Activities[[#This Row],[Jurisdiction]],Places[Jurisdiction],0))</f>
        <v>8</v>
      </c>
      <c r="F557" s="28" t="str">
        <f>VLOOKUP(Activities[[#This Row],[Jurisdiction]],Places[#All],8,FALSE)</f>
        <v>Phase I MS4</v>
      </c>
      <c r="G557" s="48" t="s">
        <v>986</v>
      </c>
      <c r="H557" s="8" t="s">
        <v>599</v>
      </c>
      <c r="I557" s="8"/>
      <c r="J557" s="8" t="s">
        <v>1456</v>
      </c>
      <c r="K557" s="27" t="s">
        <v>1875</v>
      </c>
      <c r="L557" s="28">
        <f>_xlfn.NUMBERVALUE(LEFT(Activities[[#This Row],[Fiscal Year]], 4))</f>
        <v>2001</v>
      </c>
      <c r="M557" s="28" t="s">
        <v>1862</v>
      </c>
      <c r="N557" s="41">
        <v>4000</v>
      </c>
      <c r="O557" s="93">
        <f>IF(Activities[[#This Row],[Reference Year]]&gt;2018,Activities[[#This Row],[Value]],Activities[[#This Row],[Value]]*(1+VLOOKUP(Activities[[#This Row],[Reference Year]],Inflation[#All],3,FALSE)))</f>
        <v>5683.3653303218516</v>
      </c>
    </row>
    <row r="558" spans="1:15" ht="15" customHeight="1" x14ac:dyDescent="0.25">
      <c r="A558" s="9" t="s">
        <v>271</v>
      </c>
      <c r="B558" s="9" t="str">
        <f>INDEX(Places[Type],MATCH(Activities[[#This Row],[Jurisdiction]],Places[Jurisdiction],0))</f>
        <v>City</v>
      </c>
      <c r="C558" s="19" t="str">
        <f>INDEX(Places[County],MATCH(Activities[[#This Row],[Jurisdiction]],Places[Jurisdiction],0))</f>
        <v>Orange</v>
      </c>
      <c r="D558" s="9" t="str">
        <f>INDEX(Places[Majority RB],MATCH(Activities[[#This Row],[Jurisdiction]],Places[Jurisdiction],0))</f>
        <v>Santa Ana</v>
      </c>
      <c r="E558" s="9">
        <f>INDEX(Places[Majority RB '#],MATCH(Activities[[#This Row],[Jurisdiction]],Places[Jurisdiction],0))</f>
        <v>8</v>
      </c>
      <c r="F558" s="28" t="str">
        <f>VLOOKUP(Activities[[#This Row],[Jurisdiction]],Places[#All],8,FALSE)</f>
        <v>Phase I MS4</v>
      </c>
      <c r="G558" s="48" t="s">
        <v>1001</v>
      </c>
      <c r="H558" s="8" t="s">
        <v>599</v>
      </c>
      <c r="I558" s="8"/>
      <c r="J558" s="8" t="s">
        <v>1456</v>
      </c>
      <c r="K558" s="27" t="s">
        <v>1875</v>
      </c>
      <c r="L558" s="28">
        <f>_xlfn.NUMBERVALUE(LEFT(Activities[[#This Row],[Fiscal Year]], 4))</f>
        <v>2001</v>
      </c>
      <c r="M558" s="28" t="s">
        <v>1862</v>
      </c>
      <c r="N558" s="41">
        <v>26000</v>
      </c>
      <c r="O558" s="93">
        <f>IF(Activities[[#This Row],[Reference Year]]&gt;2018,Activities[[#This Row],[Value]],Activities[[#This Row],[Value]]*(1+VLOOKUP(Activities[[#This Row],[Reference Year]],Inflation[#All],3,FALSE)))</f>
        <v>36941.874647092038</v>
      </c>
    </row>
    <row r="559" spans="1:15" ht="15" customHeight="1" x14ac:dyDescent="0.25">
      <c r="A559" s="9" t="s">
        <v>271</v>
      </c>
      <c r="B559" s="9" t="str">
        <f>INDEX(Places[Type],MATCH(Activities[[#This Row],[Jurisdiction]],Places[Jurisdiction],0))</f>
        <v>City</v>
      </c>
      <c r="C559" s="19" t="str">
        <f>INDEX(Places[County],MATCH(Activities[[#This Row],[Jurisdiction]],Places[Jurisdiction],0))</f>
        <v>Orange</v>
      </c>
      <c r="D559" s="9" t="str">
        <f>INDEX(Places[Majority RB],MATCH(Activities[[#This Row],[Jurisdiction]],Places[Jurisdiction],0))</f>
        <v>Santa Ana</v>
      </c>
      <c r="E559" s="9">
        <f>INDEX(Places[Majority RB '#],MATCH(Activities[[#This Row],[Jurisdiction]],Places[Jurisdiction],0))</f>
        <v>8</v>
      </c>
      <c r="F559" s="28" t="str">
        <f>VLOOKUP(Activities[[#This Row],[Jurisdiction]],Places[#All],8,FALSE)</f>
        <v>Phase I MS4</v>
      </c>
      <c r="G559" s="48" t="s">
        <v>991</v>
      </c>
      <c r="H559" s="8" t="s">
        <v>503</v>
      </c>
      <c r="I559" s="8"/>
      <c r="J559" s="8" t="s">
        <v>1894</v>
      </c>
      <c r="K559" s="27" t="s">
        <v>1875</v>
      </c>
      <c r="L559" s="28">
        <f>_xlfn.NUMBERVALUE(LEFT(Activities[[#This Row],[Fiscal Year]], 4))</f>
        <v>2001</v>
      </c>
      <c r="M559" s="28" t="s">
        <v>1862</v>
      </c>
      <c r="N559" s="41">
        <v>26438</v>
      </c>
      <c r="O559" s="93">
        <f>IF(Activities[[#This Row],[Reference Year]]&gt;2018,Activities[[#This Row],[Value]],Activities[[#This Row],[Value]]*(1+VLOOKUP(Activities[[#This Row],[Reference Year]],Inflation[#All],3,FALSE)))</f>
        <v>37564.203150762281</v>
      </c>
    </row>
    <row r="560" spans="1:15" ht="15" customHeight="1" x14ac:dyDescent="0.25">
      <c r="A560" s="9" t="s">
        <v>121</v>
      </c>
      <c r="B560" s="9" t="str">
        <f>INDEX(Places[Type],MATCH(Activities[[#This Row],[Jurisdiction]],Places[Jurisdiction],0))</f>
        <v>City</v>
      </c>
      <c r="C560" s="19" t="str">
        <f>INDEX(Places[County],MATCH(Activities[[#This Row],[Jurisdiction]],Places[Jurisdiction],0))</f>
        <v>Fresno</v>
      </c>
      <c r="D560" s="9" t="str">
        <f>INDEX(Places[Majority RB],MATCH(Activities[[#This Row],[Jurisdiction]],Places[Jurisdiction],0))</f>
        <v>Central Valley</v>
      </c>
      <c r="E560" s="9">
        <f>INDEX(Places[Majority RB '#],MATCH(Activities[[#This Row],[Jurisdiction]],Places[Jurisdiction],0))</f>
        <v>5</v>
      </c>
      <c r="F560" s="28" t="str">
        <f>VLOOKUP(Activities[[#This Row],[Jurisdiction]],Places[#All],8,FALSE)</f>
        <v>Phase I MS4</v>
      </c>
      <c r="G560" s="48" t="s">
        <v>70</v>
      </c>
      <c r="H560" s="8" t="s">
        <v>520</v>
      </c>
      <c r="I560" s="8" t="s">
        <v>458</v>
      </c>
      <c r="J560" s="8" t="s">
        <v>1895</v>
      </c>
      <c r="K560" s="27" t="s">
        <v>1873</v>
      </c>
      <c r="L560" s="28">
        <f>_xlfn.NUMBERVALUE(LEFT(Activities[[#This Row],[Fiscal Year]], 4))</f>
        <v>2015</v>
      </c>
      <c r="M560" s="28" t="s">
        <v>1862</v>
      </c>
      <c r="N560" s="41">
        <v>60873</v>
      </c>
      <c r="O560" s="93">
        <f>IF(Activities[[#This Row],[Reference Year]]&gt;2018,Activities[[#This Row],[Value]],Activities[[#This Row],[Value]]*(1+VLOOKUP(Activities[[#This Row],[Reference Year]],Inflation[#All],3,FALSE)))</f>
        <v>64630.944569620253</v>
      </c>
    </row>
    <row r="561" spans="1:15" ht="15" customHeight="1" x14ac:dyDescent="0.25">
      <c r="A561" s="9" t="s">
        <v>121</v>
      </c>
      <c r="B561" s="9" t="str">
        <f>INDEX(Places[Type],MATCH(Activities[[#This Row],[Jurisdiction]],Places[Jurisdiction],0))</f>
        <v>City</v>
      </c>
      <c r="C561" s="19" t="str">
        <f>INDEX(Places[County],MATCH(Activities[[#This Row],[Jurisdiction]],Places[Jurisdiction],0))</f>
        <v>Fresno</v>
      </c>
      <c r="D561" s="9" t="str">
        <f>INDEX(Places[Majority RB],MATCH(Activities[[#This Row],[Jurisdiction]],Places[Jurisdiction],0))</f>
        <v>Central Valley</v>
      </c>
      <c r="E561" s="9">
        <f>INDEX(Places[Majority RB '#],MATCH(Activities[[#This Row],[Jurisdiction]],Places[Jurisdiction],0))</f>
        <v>5</v>
      </c>
      <c r="F561" s="28" t="str">
        <f>VLOOKUP(Activities[[#This Row],[Jurisdiction]],Places[#All],8,FALSE)</f>
        <v>Phase I MS4</v>
      </c>
      <c r="G561" s="48" t="s">
        <v>128</v>
      </c>
      <c r="H561" s="8"/>
      <c r="I561" s="8"/>
      <c r="J561" s="8" t="s">
        <v>131</v>
      </c>
      <c r="K561" s="27" t="s">
        <v>1873</v>
      </c>
      <c r="L561" s="28">
        <f>_xlfn.NUMBERVALUE(LEFT(Activities[[#This Row],[Fiscal Year]], 4))</f>
        <v>2015</v>
      </c>
      <c r="M561" s="28" t="s">
        <v>1862</v>
      </c>
      <c r="N561" s="41">
        <v>5851327</v>
      </c>
      <c r="O561" s="93">
        <f>IF(Activities[[#This Row],[Reference Year]]&gt;2018,Activities[[#This Row],[Value]],Activities[[#This Row],[Value]]*(1+VLOOKUP(Activities[[#This Row],[Reference Year]],Inflation[#All],3,FALSE)))</f>
        <v>6212553.8579620253</v>
      </c>
    </row>
    <row r="562" spans="1:15" ht="15" customHeight="1" x14ac:dyDescent="0.25">
      <c r="A562" s="9" t="s">
        <v>121</v>
      </c>
      <c r="B562" s="9" t="str">
        <f>INDEX(Places[Type],MATCH(Activities[[#This Row],[Jurisdiction]],Places[Jurisdiction],0))</f>
        <v>City</v>
      </c>
      <c r="C562" s="19" t="str">
        <f>INDEX(Places[County],MATCH(Activities[[#This Row],[Jurisdiction]],Places[Jurisdiction],0))</f>
        <v>Fresno</v>
      </c>
      <c r="D562" s="9" t="str">
        <f>INDEX(Places[Majority RB],MATCH(Activities[[#This Row],[Jurisdiction]],Places[Jurisdiction],0))</f>
        <v>Central Valley</v>
      </c>
      <c r="E562" s="9">
        <f>INDEX(Places[Majority RB '#],MATCH(Activities[[#This Row],[Jurisdiction]],Places[Jurisdiction],0))</f>
        <v>5</v>
      </c>
      <c r="F562" s="28" t="str">
        <f>VLOOKUP(Activities[[#This Row],[Jurisdiction]],Places[#All],8,FALSE)</f>
        <v>Phase I MS4</v>
      </c>
      <c r="G562" s="48" t="s">
        <v>69</v>
      </c>
      <c r="H562" s="8" t="s">
        <v>521</v>
      </c>
      <c r="I562" s="8" t="s">
        <v>458</v>
      </c>
      <c r="J562" s="8" t="s">
        <v>334</v>
      </c>
      <c r="K562" s="27" t="s">
        <v>1873</v>
      </c>
      <c r="L562" s="28">
        <f>_xlfn.NUMBERVALUE(LEFT(Activities[[#This Row],[Fiscal Year]], 4))</f>
        <v>2015</v>
      </c>
      <c r="M562" s="28" t="s">
        <v>1862</v>
      </c>
      <c r="N562" s="41">
        <v>117111</v>
      </c>
      <c r="O562" s="93">
        <f>IF(Activities[[#This Row],[Reference Year]]&gt;2018,Activities[[#This Row],[Value]],Activities[[#This Row],[Value]]*(1+VLOOKUP(Activities[[#This Row],[Reference Year]],Inflation[#All],3,FALSE)))</f>
        <v>124340.7512278481</v>
      </c>
    </row>
    <row r="563" spans="1:15" ht="15" customHeight="1" x14ac:dyDescent="0.25">
      <c r="A563" s="9" t="s">
        <v>121</v>
      </c>
      <c r="B563" s="9" t="str">
        <f>INDEX(Places[Type],MATCH(Activities[[#This Row],[Jurisdiction]],Places[Jurisdiction],0))</f>
        <v>City</v>
      </c>
      <c r="C563" s="19" t="str">
        <f>INDEX(Places[County],MATCH(Activities[[#This Row],[Jurisdiction]],Places[Jurisdiction],0))</f>
        <v>Fresno</v>
      </c>
      <c r="D563" s="9" t="str">
        <f>INDEX(Places[Majority RB],MATCH(Activities[[#This Row],[Jurisdiction]],Places[Jurisdiction],0))</f>
        <v>Central Valley</v>
      </c>
      <c r="E563" s="9">
        <f>INDEX(Places[Majority RB '#],MATCH(Activities[[#This Row],[Jurisdiction]],Places[Jurisdiction],0))</f>
        <v>5</v>
      </c>
      <c r="F563" s="28" t="str">
        <f>VLOOKUP(Activities[[#This Row],[Jurisdiction]],Places[#All],8,FALSE)</f>
        <v>Phase I MS4</v>
      </c>
      <c r="G563" s="48" t="s">
        <v>127</v>
      </c>
      <c r="H563" s="8"/>
      <c r="I563" s="8"/>
      <c r="J563" s="8" t="s">
        <v>1897</v>
      </c>
      <c r="K563" s="27" t="s">
        <v>1873</v>
      </c>
      <c r="L563" s="28">
        <f>_xlfn.NUMBERVALUE(LEFT(Activities[[#This Row],[Fiscal Year]], 4))</f>
        <v>2015</v>
      </c>
      <c r="M563" s="28" t="s">
        <v>1862</v>
      </c>
      <c r="N563" s="41">
        <v>4163775</v>
      </c>
      <c r="O563" s="93">
        <f>IF(Activities[[#This Row],[Reference Year]]&gt;2018,Activities[[#This Row],[Value]],Activities[[#This Row],[Value]]*(1+VLOOKUP(Activities[[#This Row],[Reference Year]],Inflation[#All],3,FALSE)))</f>
        <v>4420822.2237341767</v>
      </c>
    </row>
    <row r="564" spans="1:15" ht="15" customHeight="1" x14ac:dyDescent="0.25">
      <c r="A564" s="9" t="s">
        <v>121</v>
      </c>
      <c r="B564" s="9" t="str">
        <f>INDEX(Places[Type],MATCH(Activities[[#This Row],[Jurisdiction]],Places[Jurisdiction],0))</f>
        <v>City</v>
      </c>
      <c r="C564" s="19" t="str">
        <f>INDEX(Places[County],MATCH(Activities[[#This Row],[Jurisdiction]],Places[Jurisdiction],0))</f>
        <v>Fresno</v>
      </c>
      <c r="D564" s="9" t="str">
        <f>INDEX(Places[Majority RB],MATCH(Activities[[#This Row],[Jurisdiction]],Places[Jurisdiction],0))</f>
        <v>Central Valley</v>
      </c>
      <c r="E564" s="9">
        <f>INDEX(Places[Majority RB '#],MATCH(Activities[[#This Row],[Jurisdiction]],Places[Jurisdiction],0))</f>
        <v>5</v>
      </c>
      <c r="F564" s="28" t="str">
        <f>VLOOKUP(Activities[[#This Row],[Jurisdiction]],Places[#All],8,FALSE)</f>
        <v>Phase I MS4</v>
      </c>
      <c r="G564" s="48" t="s">
        <v>59</v>
      </c>
      <c r="H564" s="8"/>
      <c r="I564" s="8"/>
      <c r="J564" s="8" t="s">
        <v>1898</v>
      </c>
      <c r="K564" s="27" t="s">
        <v>1873</v>
      </c>
      <c r="L564" s="28">
        <f>_xlfn.NUMBERVALUE(LEFT(Activities[[#This Row],[Fiscal Year]], 4))</f>
        <v>2015</v>
      </c>
      <c r="M564" s="28" t="s">
        <v>1862</v>
      </c>
      <c r="N564" s="41">
        <v>13287</v>
      </c>
      <c r="O564" s="93">
        <f>IF(Activities[[#This Row],[Reference Year]]&gt;2018,Activities[[#This Row],[Value]],Activities[[#This Row],[Value]]*(1+VLOOKUP(Activities[[#This Row],[Reference Year]],Inflation[#All],3,FALSE)))</f>
        <v>14107.262012658228</v>
      </c>
    </row>
    <row r="565" spans="1:15" ht="15" customHeight="1" x14ac:dyDescent="0.25">
      <c r="A565" s="9" t="s">
        <v>121</v>
      </c>
      <c r="B565" s="9" t="str">
        <f>INDEX(Places[Type],MATCH(Activities[[#This Row],[Jurisdiction]],Places[Jurisdiction],0))</f>
        <v>City</v>
      </c>
      <c r="C565" s="19" t="str">
        <f>INDEX(Places[County],MATCH(Activities[[#This Row],[Jurisdiction]],Places[Jurisdiction],0))</f>
        <v>Fresno</v>
      </c>
      <c r="D565" s="9" t="str">
        <f>INDEX(Places[Majority RB],MATCH(Activities[[#This Row],[Jurisdiction]],Places[Jurisdiction],0))</f>
        <v>Central Valley</v>
      </c>
      <c r="E565" s="9">
        <f>INDEX(Places[Majority RB '#],MATCH(Activities[[#This Row],[Jurisdiction]],Places[Jurisdiction],0))</f>
        <v>5</v>
      </c>
      <c r="F565" s="28" t="str">
        <f>VLOOKUP(Activities[[#This Row],[Jurisdiction]],Places[#All],8,FALSE)</f>
        <v>Phase I MS4</v>
      </c>
      <c r="G565" s="48" t="s">
        <v>129</v>
      </c>
      <c r="H565" s="8" t="s">
        <v>522</v>
      </c>
      <c r="I565" s="8" t="s">
        <v>458</v>
      </c>
      <c r="J565" s="8" t="s">
        <v>1456</v>
      </c>
      <c r="K565" s="27" t="s">
        <v>1873</v>
      </c>
      <c r="L565" s="28">
        <f>_xlfn.NUMBERVALUE(LEFT(Activities[[#This Row],[Fiscal Year]], 4))</f>
        <v>2015</v>
      </c>
      <c r="M565" s="28" t="s">
        <v>1862</v>
      </c>
      <c r="N565" s="41">
        <v>43157</v>
      </c>
      <c r="O565" s="93">
        <f>IF(Activities[[#This Row],[Reference Year]]&gt;2018,Activities[[#This Row],[Value]],Activities[[#This Row],[Value]]*(1+VLOOKUP(Activities[[#This Row],[Reference Year]],Inflation[#All],3,FALSE)))</f>
        <v>45821.261886075947</v>
      </c>
    </row>
    <row r="566" spans="1:15" ht="15" customHeight="1" x14ac:dyDescent="0.25">
      <c r="A566" s="9" t="s">
        <v>121</v>
      </c>
      <c r="B566" s="9" t="str">
        <f>INDEX(Places[Type],MATCH(Activities[[#This Row],[Jurisdiction]],Places[Jurisdiction],0))</f>
        <v>City</v>
      </c>
      <c r="C566" s="19" t="str">
        <f>INDEX(Places[County],MATCH(Activities[[#This Row],[Jurisdiction]],Places[Jurisdiction],0))</f>
        <v>Fresno</v>
      </c>
      <c r="D566" s="9" t="str">
        <f>INDEX(Places[Majority RB],MATCH(Activities[[#This Row],[Jurisdiction]],Places[Jurisdiction],0))</f>
        <v>Central Valley</v>
      </c>
      <c r="E566" s="9">
        <f>INDEX(Places[Majority RB '#],MATCH(Activities[[#This Row],[Jurisdiction]],Places[Jurisdiction],0))</f>
        <v>5</v>
      </c>
      <c r="F566" s="28" t="str">
        <f>VLOOKUP(Activities[[#This Row],[Jurisdiction]],Places[#All],8,FALSE)</f>
        <v>Phase I MS4</v>
      </c>
      <c r="G566" s="48" t="s">
        <v>32</v>
      </c>
      <c r="H566" s="8" t="s">
        <v>519</v>
      </c>
      <c r="I566" s="8" t="s">
        <v>458</v>
      </c>
      <c r="J566" s="8" t="s">
        <v>1894</v>
      </c>
      <c r="K566" s="27" t="s">
        <v>1873</v>
      </c>
      <c r="L566" s="28">
        <f>_xlfn.NUMBERVALUE(LEFT(Activities[[#This Row],[Fiscal Year]], 4))</f>
        <v>2015</v>
      </c>
      <c r="M566" s="28" t="s">
        <v>1862</v>
      </c>
      <c r="N566" s="41">
        <v>3914</v>
      </c>
      <c r="O566" s="93">
        <f>IF(Activities[[#This Row],[Reference Year]]&gt;2018,Activities[[#This Row],[Value]],Activities[[#This Row],[Value]]*(1+VLOOKUP(Activities[[#This Row],[Reference Year]],Inflation[#All],3,FALSE)))</f>
        <v>4155.6275696202529</v>
      </c>
    </row>
    <row r="567" spans="1:15" ht="15" customHeight="1" x14ac:dyDescent="0.25">
      <c r="A567" s="9" t="s">
        <v>1439</v>
      </c>
      <c r="B567" s="9" t="str">
        <f>INDEX(Places[Type],MATCH(Activities[[#This Row],[Jurisdiction]],Places[Jurisdiction],0))</f>
        <v>FCD</v>
      </c>
      <c r="C567" s="19" t="str">
        <f>INDEX(Places[County],MATCH(Activities[[#This Row],[Jurisdiction]],Places[Jurisdiction],0))</f>
        <v>Fresno</v>
      </c>
      <c r="D567" s="9" t="str">
        <f>INDEX(Places[Majority RB],MATCH(Activities[[#This Row],[Jurisdiction]],Places[Jurisdiction],0))</f>
        <v>Central Valley</v>
      </c>
      <c r="E567" s="9">
        <f>INDEX(Places[Majority RB '#],MATCH(Activities[[#This Row],[Jurisdiction]],Places[Jurisdiction],0))</f>
        <v>5</v>
      </c>
      <c r="F567" s="28" t="str">
        <f>VLOOKUP(Activities[[#This Row],[Jurisdiction]],Places[#All],8,FALSE)</f>
        <v>Phase I MS4</v>
      </c>
      <c r="G567" s="48" t="s">
        <v>70</v>
      </c>
      <c r="H567" s="62" t="s">
        <v>1909</v>
      </c>
      <c r="I567" s="8" t="s">
        <v>458</v>
      </c>
      <c r="J567" s="8" t="s">
        <v>1895</v>
      </c>
      <c r="K567" s="27" t="s">
        <v>1873</v>
      </c>
      <c r="L567" s="28">
        <f>_xlfn.NUMBERVALUE(LEFT(Activities[[#This Row],[Fiscal Year]], 4))</f>
        <v>2015</v>
      </c>
      <c r="M567" s="28" t="s">
        <v>1862</v>
      </c>
      <c r="N567" s="41">
        <v>1930923</v>
      </c>
      <c r="O567" s="93">
        <f>IF(Activities[[#This Row],[Reference Year]]&gt;2018,Activities[[#This Row],[Value]],Activities[[#This Row],[Value]]*(1+VLOOKUP(Activities[[#This Row],[Reference Year]],Inflation[#All],3,FALSE)))</f>
        <v>2050126.9426708859</v>
      </c>
    </row>
    <row r="568" spans="1:15" ht="15" customHeight="1" x14ac:dyDescent="0.25">
      <c r="A568" s="9" t="s">
        <v>1439</v>
      </c>
      <c r="B568" s="9" t="str">
        <f>INDEX(Places[Type],MATCH(Activities[[#This Row],[Jurisdiction]],Places[Jurisdiction],0))</f>
        <v>FCD</v>
      </c>
      <c r="C568" s="19" t="str">
        <f>INDEX(Places[County],MATCH(Activities[[#This Row],[Jurisdiction]],Places[Jurisdiction],0))</f>
        <v>Fresno</v>
      </c>
      <c r="D568" s="9" t="str">
        <f>INDEX(Places[Majority RB],MATCH(Activities[[#This Row],[Jurisdiction]],Places[Jurisdiction],0))</f>
        <v>Central Valley</v>
      </c>
      <c r="E568" s="9">
        <f>INDEX(Places[Majority RB '#],MATCH(Activities[[#This Row],[Jurisdiction]],Places[Jurisdiction],0))</f>
        <v>5</v>
      </c>
      <c r="F568" s="28" t="str">
        <f>VLOOKUP(Activities[[#This Row],[Jurisdiction]],Places[#All],8,FALSE)</f>
        <v>Phase I MS4</v>
      </c>
      <c r="G568" s="48" t="s">
        <v>128</v>
      </c>
      <c r="H568" s="8"/>
      <c r="I568" s="8"/>
      <c r="J568" s="8" t="s">
        <v>131</v>
      </c>
      <c r="K568" s="27" t="s">
        <v>1873</v>
      </c>
      <c r="L568" s="28">
        <f>_xlfn.NUMBERVALUE(LEFT(Activities[[#This Row],[Fiscal Year]], 4))</f>
        <v>2015</v>
      </c>
      <c r="M568" s="28" t="s">
        <v>1862</v>
      </c>
      <c r="N568" s="41">
        <v>64653</v>
      </c>
      <c r="O568" s="93">
        <f>IF(Activities[[#This Row],[Reference Year]]&gt;2018,Activities[[#This Row],[Value]],Activities[[#This Row],[Value]]*(1+VLOOKUP(Activities[[#This Row],[Reference Year]],Inflation[#All],3,FALSE)))</f>
        <v>68644.299759493661</v>
      </c>
    </row>
    <row r="569" spans="1:15" ht="15" customHeight="1" x14ac:dyDescent="0.25">
      <c r="A569" s="9" t="s">
        <v>1439</v>
      </c>
      <c r="B569" s="9" t="str">
        <f>INDEX(Places[Type],MATCH(Activities[[#This Row],[Jurisdiction]],Places[Jurisdiction],0))</f>
        <v>FCD</v>
      </c>
      <c r="C569" s="19" t="str">
        <f>INDEX(Places[County],MATCH(Activities[[#This Row],[Jurisdiction]],Places[Jurisdiction],0))</f>
        <v>Fresno</v>
      </c>
      <c r="D569" s="9" t="str">
        <f>INDEX(Places[Majority RB],MATCH(Activities[[#This Row],[Jurisdiction]],Places[Jurisdiction],0))</f>
        <v>Central Valley</v>
      </c>
      <c r="E569" s="9">
        <f>INDEX(Places[Majority RB '#],MATCH(Activities[[#This Row],[Jurisdiction]],Places[Jurisdiction],0))</f>
        <v>5</v>
      </c>
      <c r="F569" s="28" t="str">
        <f>VLOOKUP(Activities[[#This Row],[Jurisdiction]],Places[#All],8,FALSE)</f>
        <v>Phase I MS4</v>
      </c>
      <c r="G569" s="48" t="s">
        <v>69</v>
      </c>
      <c r="H569" s="8" t="s">
        <v>520</v>
      </c>
      <c r="I569" s="8" t="s">
        <v>458</v>
      </c>
      <c r="J569" s="8" t="s">
        <v>334</v>
      </c>
      <c r="K569" s="27" t="s">
        <v>1873</v>
      </c>
      <c r="L569" s="28">
        <f>_xlfn.NUMBERVALUE(LEFT(Activities[[#This Row],[Fiscal Year]], 4))</f>
        <v>2015</v>
      </c>
      <c r="M569" s="28" t="s">
        <v>1862</v>
      </c>
      <c r="N569" s="41">
        <v>121558</v>
      </c>
      <c r="O569" s="93">
        <f>IF(Activities[[#This Row],[Reference Year]]&gt;2018,Activities[[#This Row],[Value]],Activities[[#This Row],[Value]]*(1+VLOOKUP(Activities[[#This Row],[Reference Year]],Inflation[#All],3,FALSE)))</f>
        <v>129062.28311392404</v>
      </c>
    </row>
    <row r="570" spans="1:15" ht="15" customHeight="1" x14ac:dyDescent="0.25">
      <c r="A570" s="9" t="s">
        <v>1439</v>
      </c>
      <c r="B570" s="9" t="str">
        <f>INDEX(Places[Type],MATCH(Activities[[#This Row],[Jurisdiction]],Places[Jurisdiction],0))</f>
        <v>FCD</v>
      </c>
      <c r="C570" s="19" t="str">
        <f>INDEX(Places[County],MATCH(Activities[[#This Row],[Jurisdiction]],Places[Jurisdiction],0))</f>
        <v>Fresno</v>
      </c>
      <c r="D570" s="9" t="str">
        <f>INDEX(Places[Majority RB],MATCH(Activities[[#This Row],[Jurisdiction]],Places[Jurisdiction],0))</f>
        <v>Central Valley</v>
      </c>
      <c r="E570" s="9">
        <f>INDEX(Places[Majority RB '#],MATCH(Activities[[#This Row],[Jurisdiction]],Places[Jurisdiction],0))</f>
        <v>5</v>
      </c>
      <c r="F570" s="28" t="str">
        <f>VLOOKUP(Activities[[#This Row],[Jurisdiction]],Places[#All],8,FALSE)</f>
        <v>Phase I MS4</v>
      </c>
      <c r="G570" s="48" t="s">
        <v>127</v>
      </c>
      <c r="H570" s="8" t="s">
        <v>521</v>
      </c>
      <c r="I570" s="8" t="s">
        <v>458</v>
      </c>
      <c r="J570" s="8" t="s">
        <v>1897</v>
      </c>
      <c r="K570" s="27" t="s">
        <v>1873</v>
      </c>
      <c r="L570" s="28">
        <f>_xlfn.NUMBERVALUE(LEFT(Activities[[#This Row],[Fiscal Year]], 4))</f>
        <v>2015</v>
      </c>
      <c r="M570" s="28" t="s">
        <v>1862</v>
      </c>
      <c r="N570" s="41">
        <v>20962406</v>
      </c>
      <c r="O570" s="93">
        <f>IF(Activities[[#This Row],[Reference Year]]&gt;2018,Activities[[#This Row],[Value]],Activities[[#This Row],[Value]]*(1+VLOOKUP(Activities[[#This Row],[Reference Year]],Inflation[#All],3,FALSE)))</f>
        <v>22256502.886860758</v>
      </c>
    </row>
    <row r="571" spans="1:15" ht="15" customHeight="1" x14ac:dyDescent="0.25">
      <c r="A571" s="9" t="s">
        <v>1439</v>
      </c>
      <c r="B571" s="9" t="str">
        <f>INDEX(Places[Type],MATCH(Activities[[#This Row],[Jurisdiction]],Places[Jurisdiction],0))</f>
        <v>FCD</v>
      </c>
      <c r="C571" s="19" t="str">
        <f>INDEX(Places[County],MATCH(Activities[[#This Row],[Jurisdiction]],Places[Jurisdiction],0))</f>
        <v>Fresno</v>
      </c>
      <c r="D571" s="9" t="str">
        <f>INDEX(Places[Majority RB],MATCH(Activities[[#This Row],[Jurisdiction]],Places[Jurisdiction],0))</f>
        <v>Central Valley</v>
      </c>
      <c r="E571" s="9">
        <f>INDEX(Places[Majority RB '#],MATCH(Activities[[#This Row],[Jurisdiction]],Places[Jurisdiction],0))</f>
        <v>5</v>
      </c>
      <c r="F571" s="28" t="str">
        <f>VLOOKUP(Activities[[#This Row],[Jurisdiction]],Places[#All],8,FALSE)</f>
        <v>Phase I MS4</v>
      </c>
      <c r="G571" s="48" t="s">
        <v>59</v>
      </c>
      <c r="H571" s="8"/>
      <c r="I571" s="8"/>
      <c r="J571" s="8" t="s">
        <v>1898</v>
      </c>
      <c r="K571" s="27" t="s">
        <v>1873</v>
      </c>
      <c r="L571" s="28">
        <f>_xlfn.NUMBERVALUE(LEFT(Activities[[#This Row],[Fiscal Year]], 4))</f>
        <v>2015</v>
      </c>
      <c r="M571" s="28" t="s">
        <v>1862</v>
      </c>
      <c r="N571" s="41">
        <v>1894011</v>
      </c>
      <c r="O571" s="93">
        <f>IF(Activities[[#This Row],[Reference Year]]&gt;2018,Activities[[#This Row],[Value]],Activities[[#This Row],[Value]]*(1+VLOOKUP(Activities[[#This Row],[Reference Year]],Inflation[#All],3,FALSE)))</f>
        <v>2010936.2107215188</v>
      </c>
    </row>
    <row r="572" spans="1:15" ht="15" customHeight="1" x14ac:dyDescent="0.25">
      <c r="A572" s="9" t="s">
        <v>1439</v>
      </c>
      <c r="B572" s="9" t="str">
        <f>INDEX(Places[Type],MATCH(Activities[[#This Row],[Jurisdiction]],Places[Jurisdiction],0))</f>
        <v>FCD</v>
      </c>
      <c r="C572" s="19" t="str">
        <f>INDEX(Places[County],MATCH(Activities[[#This Row],[Jurisdiction]],Places[Jurisdiction],0))</f>
        <v>Fresno</v>
      </c>
      <c r="D572" s="9" t="str">
        <f>INDEX(Places[Majority RB],MATCH(Activities[[#This Row],[Jurisdiction]],Places[Jurisdiction],0))</f>
        <v>Central Valley</v>
      </c>
      <c r="E572" s="9">
        <f>INDEX(Places[Majority RB '#],MATCH(Activities[[#This Row],[Jurisdiction]],Places[Jurisdiction],0))</f>
        <v>5</v>
      </c>
      <c r="F572" s="28" t="str">
        <f>VLOOKUP(Activities[[#This Row],[Jurisdiction]],Places[#All],8,FALSE)</f>
        <v>Phase I MS4</v>
      </c>
      <c r="G572" s="48" t="s">
        <v>129</v>
      </c>
      <c r="H572" s="8" t="s">
        <v>522</v>
      </c>
      <c r="I572" s="8" t="s">
        <v>458</v>
      </c>
      <c r="J572" s="8" t="s">
        <v>1456</v>
      </c>
      <c r="K572" s="27" t="s">
        <v>1873</v>
      </c>
      <c r="L572" s="28">
        <f>_xlfn.NUMBERVALUE(LEFT(Activities[[#This Row],[Fiscal Year]], 4))</f>
        <v>2015</v>
      </c>
      <c r="M572" s="28" t="s">
        <v>1862</v>
      </c>
      <c r="N572" s="41">
        <v>381672</v>
      </c>
      <c r="O572" s="93">
        <f>IF(Activities[[#This Row],[Reference Year]]&gt;2018,Activities[[#This Row],[Value]],Activities[[#This Row],[Value]]*(1+VLOOKUP(Activities[[#This Row],[Reference Year]],Inflation[#All],3,FALSE)))</f>
        <v>405234.2068860759</v>
      </c>
    </row>
    <row r="573" spans="1:15" ht="15" customHeight="1" x14ac:dyDescent="0.25">
      <c r="A573" s="9" t="s">
        <v>1439</v>
      </c>
      <c r="B573" s="9" t="str">
        <f>INDEX(Places[Type],MATCH(Activities[[#This Row],[Jurisdiction]],Places[Jurisdiction],0))</f>
        <v>FCD</v>
      </c>
      <c r="C573" s="19" t="str">
        <f>INDEX(Places[County],MATCH(Activities[[#This Row],[Jurisdiction]],Places[Jurisdiction],0))</f>
        <v>Fresno</v>
      </c>
      <c r="D573" s="9" t="str">
        <f>INDEX(Places[Majority RB],MATCH(Activities[[#This Row],[Jurisdiction]],Places[Jurisdiction],0))</f>
        <v>Central Valley</v>
      </c>
      <c r="E573" s="9">
        <f>INDEX(Places[Majority RB '#],MATCH(Activities[[#This Row],[Jurisdiction]],Places[Jurisdiction],0))</f>
        <v>5</v>
      </c>
      <c r="F573" s="28" t="str">
        <f>VLOOKUP(Activities[[#This Row],[Jurisdiction]],Places[#All],8,FALSE)</f>
        <v>Phase I MS4</v>
      </c>
      <c r="G573" s="48" t="s">
        <v>32</v>
      </c>
      <c r="H573" s="8"/>
      <c r="I573" s="8"/>
      <c r="J573" s="8" t="s">
        <v>1894</v>
      </c>
      <c r="K573" s="27" t="s">
        <v>1873</v>
      </c>
      <c r="L573" s="28">
        <f>_xlfn.NUMBERVALUE(LEFT(Activities[[#This Row],[Fiscal Year]], 4))</f>
        <v>2015</v>
      </c>
      <c r="M573" s="28" t="s">
        <v>1862</v>
      </c>
      <c r="N573" s="41">
        <v>177456</v>
      </c>
      <c r="O573" s="93">
        <f>IF(Activities[[#This Row],[Reference Year]]&gt;2018,Activities[[#This Row],[Value]],Activities[[#This Row],[Value]]*(1+VLOOKUP(Activities[[#This Row],[Reference Year]],Inflation[#All],3,FALSE)))</f>
        <v>188411.10015189872</v>
      </c>
    </row>
    <row r="574" spans="1:15" ht="15" customHeight="1" x14ac:dyDescent="0.25">
      <c r="A574" s="9" t="s">
        <v>1439</v>
      </c>
      <c r="B574" s="9" t="str">
        <f>INDEX(Places[Type],MATCH(Activities[[#This Row],[Jurisdiction]],Places[Jurisdiction],0))</f>
        <v>FCD</v>
      </c>
      <c r="C574" s="19" t="str">
        <f>INDEX(Places[County],MATCH(Activities[[#This Row],[Jurisdiction]],Places[Jurisdiction],0))</f>
        <v>Fresno</v>
      </c>
      <c r="D574" s="9" t="str">
        <f>INDEX(Places[Majority RB],MATCH(Activities[[#This Row],[Jurisdiction]],Places[Jurisdiction],0))</f>
        <v>Central Valley</v>
      </c>
      <c r="E574" s="9">
        <f>INDEX(Places[Majority RB '#],MATCH(Activities[[#This Row],[Jurisdiction]],Places[Jurisdiction],0))</f>
        <v>5</v>
      </c>
      <c r="F574" s="28" t="str">
        <f>VLOOKUP(Activities[[#This Row],[Jurisdiction]],Places[#All],8,FALSE)</f>
        <v>Phase I MS4</v>
      </c>
      <c r="G574" s="48" t="s">
        <v>33</v>
      </c>
      <c r="H574" s="8" t="s">
        <v>524</v>
      </c>
      <c r="I574" s="47" t="s">
        <v>523</v>
      </c>
      <c r="J574" s="8" t="s">
        <v>47</v>
      </c>
      <c r="K574" s="27" t="s">
        <v>1873</v>
      </c>
      <c r="L574" s="28">
        <f>_xlfn.NUMBERVALUE(LEFT(Activities[[#This Row],[Fiscal Year]], 4))</f>
        <v>2015</v>
      </c>
      <c r="M574" s="28" t="s">
        <v>1862</v>
      </c>
      <c r="N574" s="41">
        <v>158637</v>
      </c>
      <c r="O574" s="93">
        <f>IF(Activities[[#This Row],[Reference Year]]&gt;2018,Activities[[#This Row],[Value]],Activities[[#This Row],[Value]]*(1+VLOOKUP(Activities[[#This Row],[Reference Year]],Inflation[#All],3,FALSE)))</f>
        <v>168430.32467088607</v>
      </c>
    </row>
    <row r="575" spans="1:15" ht="15" customHeight="1" x14ac:dyDescent="0.25">
      <c r="A575" s="9" t="s">
        <v>272</v>
      </c>
      <c r="B575" s="9" t="str">
        <f>INDEX(Places[Type],MATCH(Activities[[#This Row],[Jurisdiction]],Places[Jurisdiction],0))</f>
        <v>City</v>
      </c>
      <c r="C575" s="19" t="str">
        <f>INDEX(Places[County],MATCH(Activities[[#This Row],[Jurisdiction]],Places[Jurisdiction],0))</f>
        <v>Orange</v>
      </c>
      <c r="D575" s="9" t="str">
        <f>INDEX(Places[Majority RB],MATCH(Activities[[#This Row],[Jurisdiction]],Places[Jurisdiction],0))</f>
        <v>Santa Ana</v>
      </c>
      <c r="E575" s="9">
        <f>INDEX(Places[Majority RB '#],MATCH(Activities[[#This Row],[Jurisdiction]],Places[Jurisdiction],0))</f>
        <v>8</v>
      </c>
      <c r="F575" s="28" t="str">
        <f>VLOOKUP(Activities[[#This Row],[Jurisdiction]],Places[#All],8,FALSE)</f>
        <v>Phase I MS4</v>
      </c>
      <c r="G575" s="48" t="s">
        <v>1006</v>
      </c>
      <c r="H575" s="8"/>
      <c r="I575" s="8"/>
      <c r="J575" s="8" t="s">
        <v>1895</v>
      </c>
      <c r="K575" s="27" t="s">
        <v>1875</v>
      </c>
      <c r="L575" s="28">
        <f>_xlfn.NUMBERVALUE(LEFT(Activities[[#This Row],[Fiscal Year]], 4))</f>
        <v>2001</v>
      </c>
      <c r="M575" s="28" t="s">
        <v>1862</v>
      </c>
      <c r="N575" s="41">
        <v>10000</v>
      </c>
      <c r="O575" s="93">
        <f>IF(Activities[[#This Row],[Reference Year]]&gt;2018,Activities[[#This Row],[Value]],Activities[[#This Row],[Value]]*(1+VLOOKUP(Activities[[#This Row],[Reference Year]],Inflation[#All],3,FALSE)))</f>
        <v>14208.413325804629</v>
      </c>
    </row>
    <row r="576" spans="1:15" ht="15" customHeight="1" x14ac:dyDescent="0.25">
      <c r="A576" s="9" t="s">
        <v>272</v>
      </c>
      <c r="B576" s="9" t="str">
        <f>INDEX(Places[Type],MATCH(Activities[[#This Row],[Jurisdiction]],Places[Jurisdiction],0))</f>
        <v>City</v>
      </c>
      <c r="C576" s="19" t="str">
        <f>INDEX(Places[County],MATCH(Activities[[#This Row],[Jurisdiction]],Places[Jurisdiction],0))</f>
        <v>Orange</v>
      </c>
      <c r="D576" s="9" t="str">
        <f>INDEX(Places[Majority RB],MATCH(Activities[[#This Row],[Jurisdiction]],Places[Jurisdiction],0))</f>
        <v>Santa Ana</v>
      </c>
      <c r="E576" s="9">
        <f>INDEX(Places[Majority RB '#],MATCH(Activities[[#This Row],[Jurisdiction]],Places[Jurisdiction],0))</f>
        <v>8</v>
      </c>
      <c r="F576" s="28" t="str">
        <f>VLOOKUP(Activities[[#This Row],[Jurisdiction]],Places[#All],8,FALSE)</f>
        <v>Phase I MS4</v>
      </c>
      <c r="G576" s="48" t="s">
        <v>994</v>
      </c>
      <c r="H576" s="8" t="s">
        <v>504</v>
      </c>
      <c r="I576" s="8"/>
      <c r="J576" s="8" t="s">
        <v>71</v>
      </c>
      <c r="K576" s="27" t="s">
        <v>1875</v>
      </c>
      <c r="L576" s="28">
        <f>_xlfn.NUMBERVALUE(LEFT(Activities[[#This Row],[Fiscal Year]], 4))</f>
        <v>2001</v>
      </c>
      <c r="M576" s="28" t="s">
        <v>1862</v>
      </c>
      <c r="N576" s="41">
        <v>579100</v>
      </c>
      <c r="O576" s="93">
        <f>IF(Activities[[#This Row],[Reference Year]]&gt;2018,Activities[[#This Row],[Value]],Activities[[#This Row],[Value]]*(1+VLOOKUP(Activities[[#This Row],[Reference Year]],Inflation[#All],3,FALSE)))</f>
        <v>822809.21569734614</v>
      </c>
    </row>
    <row r="577" spans="1:15" ht="15" customHeight="1" x14ac:dyDescent="0.25">
      <c r="A577" s="9" t="s">
        <v>272</v>
      </c>
      <c r="B577" s="9" t="str">
        <f>INDEX(Places[Type],MATCH(Activities[[#This Row],[Jurisdiction]],Places[Jurisdiction],0))</f>
        <v>City</v>
      </c>
      <c r="C577" s="19" t="str">
        <f>INDEX(Places[County],MATCH(Activities[[#This Row],[Jurisdiction]],Places[Jurisdiction],0))</f>
        <v>Orange</v>
      </c>
      <c r="D577" s="9" t="str">
        <f>INDEX(Places[Majority RB],MATCH(Activities[[#This Row],[Jurisdiction]],Places[Jurisdiction],0))</f>
        <v>Santa Ana</v>
      </c>
      <c r="E577" s="9">
        <f>INDEX(Places[Majority RB '#],MATCH(Activities[[#This Row],[Jurisdiction]],Places[Jurisdiction],0))</f>
        <v>8</v>
      </c>
      <c r="F577" s="28" t="str">
        <f>VLOOKUP(Activities[[#This Row],[Jurisdiction]],Places[#All],8,FALSE)</f>
        <v>Phase I MS4</v>
      </c>
      <c r="G577" s="48" t="s">
        <v>992</v>
      </c>
      <c r="H577" s="8" t="s">
        <v>504</v>
      </c>
      <c r="I577" s="8"/>
      <c r="J577" s="8" t="s">
        <v>1897</v>
      </c>
      <c r="K577" s="27" t="s">
        <v>1875</v>
      </c>
      <c r="L577" s="28">
        <f>_xlfn.NUMBERVALUE(LEFT(Activities[[#This Row],[Fiscal Year]], 4))</f>
        <v>2001</v>
      </c>
      <c r="M577" s="28" t="s">
        <v>1862</v>
      </c>
      <c r="N577" s="41">
        <v>73730</v>
      </c>
      <c r="O577" s="93">
        <f>IF(Activities[[#This Row],[Reference Year]]&gt;2018,Activities[[#This Row],[Value]],Activities[[#This Row],[Value]]*(1+VLOOKUP(Activities[[#This Row],[Reference Year]],Inflation[#All],3,FALSE)))</f>
        <v>104758.63145115753</v>
      </c>
    </row>
    <row r="578" spans="1:15" ht="15" customHeight="1" x14ac:dyDescent="0.25">
      <c r="A578" s="9" t="s">
        <v>272</v>
      </c>
      <c r="B578" s="9" t="str">
        <f>INDEX(Places[Type],MATCH(Activities[[#This Row],[Jurisdiction]],Places[Jurisdiction],0))</f>
        <v>City</v>
      </c>
      <c r="C578" s="19" t="str">
        <f>INDEX(Places[County],MATCH(Activities[[#This Row],[Jurisdiction]],Places[Jurisdiction],0))</f>
        <v>Orange</v>
      </c>
      <c r="D578" s="9" t="str">
        <f>INDEX(Places[Majority RB],MATCH(Activities[[#This Row],[Jurisdiction]],Places[Jurisdiction],0))</f>
        <v>Santa Ana</v>
      </c>
      <c r="E578" s="9">
        <f>INDEX(Places[Majority RB '#],MATCH(Activities[[#This Row],[Jurisdiction]],Places[Jurisdiction],0))</f>
        <v>8</v>
      </c>
      <c r="F578" s="28" t="str">
        <f>VLOOKUP(Activities[[#This Row],[Jurisdiction]],Places[#All],8,FALSE)</f>
        <v>Phase I MS4</v>
      </c>
      <c r="G578" s="48" t="s">
        <v>998</v>
      </c>
      <c r="H578" s="8" t="s">
        <v>504</v>
      </c>
      <c r="I578" s="8"/>
      <c r="J578" s="8" t="s">
        <v>1897</v>
      </c>
      <c r="K578" s="27" t="s">
        <v>1875</v>
      </c>
      <c r="L578" s="28">
        <f>_xlfn.NUMBERVALUE(LEFT(Activities[[#This Row],[Fiscal Year]], 4))</f>
        <v>2001</v>
      </c>
      <c r="M578" s="28" t="s">
        <v>1862</v>
      </c>
      <c r="N578" s="41">
        <v>90380</v>
      </c>
      <c r="O578" s="93">
        <f>IF(Activities[[#This Row],[Reference Year]]&gt;2018,Activities[[#This Row],[Value]],Activities[[#This Row],[Value]]*(1+VLOOKUP(Activities[[#This Row],[Reference Year]],Inflation[#All],3,FALSE)))</f>
        <v>128415.63963862225</v>
      </c>
    </row>
    <row r="579" spans="1:15" ht="15" customHeight="1" x14ac:dyDescent="0.25">
      <c r="A579" s="9" t="s">
        <v>272</v>
      </c>
      <c r="B579" s="9" t="str">
        <f>INDEX(Places[Type],MATCH(Activities[[#This Row],[Jurisdiction]],Places[Jurisdiction],0))</f>
        <v>City</v>
      </c>
      <c r="C579" s="19" t="str">
        <f>INDEX(Places[County],MATCH(Activities[[#This Row],[Jurisdiction]],Places[Jurisdiction],0))</f>
        <v>Orange</v>
      </c>
      <c r="D579" s="9" t="str">
        <f>INDEX(Places[Majority RB],MATCH(Activities[[#This Row],[Jurisdiction]],Places[Jurisdiction],0))</f>
        <v>Santa Ana</v>
      </c>
      <c r="E579" s="9">
        <f>INDEX(Places[Majority RB '#],MATCH(Activities[[#This Row],[Jurisdiction]],Places[Jurisdiction],0))</f>
        <v>8</v>
      </c>
      <c r="F579" s="28" t="str">
        <f>VLOOKUP(Activities[[#This Row],[Jurisdiction]],Places[#All],8,FALSE)</f>
        <v>Phase I MS4</v>
      </c>
      <c r="G579" s="48" t="s">
        <v>999</v>
      </c>
      <c r="H579" s="8" t="s">
        <v>504</v>
      </c>
      <c r="I579" s="8"/>
      <c r="J579" s="8" t="s">
        <v>1897</v>
      </c>
      <c r="K579" s="27" t="s">
        <v>1875</v>
      </c>
      <c r="L579" s="28">
        <f>_xlfn.NUMBERVALUE(LEFT(Activities[[#This Row],[Fiscal Year]], 4))</f>
        <v>2001</v>
      </c>
      <c r="M579" s="28" t="s">
        <v>1862</v>
      </c>
      <c r="N579" s="41">
        <v>138590</v>
      </c>
      <c r="O579" s="93">
        <f>IF(Activities[[#This Row],[Reference Year]]&gt;2018,Activities[[#This Row],[Value]],Activities[[#This Row],[Value]]*(1+VLOOKUP(Activities[[#This Row],[Reference Year]],Inflation[#All],3,FALSE)))</f>
        <v>196914.40028232636</v>
      </c>
    </row>
    <row r="580" spans="1:15" ht="15" customHeight="1" x14ac:dyDescent="0.25">
      <c r="A580" s="9" t="s">
        <v>272</v>
      </c>
      <c r="B580" s="9" t="str">
        <f>INDEX(Places[Type],MATCH(Activities[[#This Row],[Jurisdiction]],Places[Jurisdiction],0))</f>
        <v>City</v>
      </c>
      <c r="C580" s="19" t="str">
        <f>INDEX(Places[County],MATCH(Activities[[#This Row],[Jurisdiction]],Places[Jurisdiction],0))</f>
        <v>Orange</v>
      </c>
      <c r="D580" s="9" t="str">
        <f>INDEX(Places[Majority RB],MATCH(Activities[[#This Row],[Jurisdiction]],Places[Jurisdiction],0))</f>
        <v>Santa Ana</v>
      </c>
      <c r="E580" s="9">
        <f>INDEX(Places[Majority RB '#],MATCH(Activities[[#This Row],[Jurisdiction]],Places[Jurisdiction],0))</f>
        <v>8</v>
      </c>
      <c r="F580" s="28" t="str">
        <f>VLOOKUP(Activities[[#This Row],[Jurisdiction]],Places[#All],8,FALSE)</f>
        <v>Phase I MS4</v>
      </c>
      <c r="G580" s="48" t="s">
        <v>996</v>
      </c>
      <c r="H580" s="8" t="s">
        <v>504</v>
      </c>
      <c r="I580" s="8"/>
      <c r="J580" s="8" t="s">
        <v>1897</v>
      </c>
      <c r="K580" s="27" t="s">
        <v>1875</v>
      </c>
      <c r="L580" s="28">
        <f>_xlfn.NUMBERVALUE(LEFT(Activities[[#This Row],[Fiscal Year]], 4))</f>
        <v>2001</v>
      </c>
      <c r="M580" s="28" t="s">
        <v>1862</v>
      </c>
      <c r="N580" s="41">
        <v>519130</v>
      </c>
      <c r="O580" s="93">
        <f>IF(Activities[[#This Row],[Reference Year]]&gt;2018,Activities[[#This Row],[Value]],Activities[[#This Row],[Value]]*(1+VLOOKUP(Activities[[#This Row],[Reference Year]],Inflation[#All],3,FALSE)))</f>
        <v>737601.36098249571</v>
      </c>
    </row>
    <row r="581" spans="1:15" ht="15" customHeight="1" x14ac:dyDescent="0.25">
      <c r="A581" s="9" t="s">
        <v>272</v>
      </c>
      <c r="B581" s="9" t="str">
        <f>INDEX(Places[Type],MATCH(Activities[[#This Row],[Jurisdiction]],Places[Jurisdiction],0))</f>
        <v>City</v>
      </c>
      <c r="C581" s="19" t="str">
        <f>INDEX(Places[County],MATCH(Activities[[#This Row],[Jurisdiction]],Places[Jurisdiction],0))</f>
        <v>Orange</v>
      </c>
      <c r="D581" s="9" t="str">
        <f>INDEX(Places[Majority RB],MATCH(Activities[[#This Row],[Jurisdiction]],Places[Jurisdiction],0))</f>
        <v>Santa Ana</v>
      </c>
      <c r="E581" s="9">
        <f>INDEX(Places[Majority RB '#],MATCH(Activities[[#This Row],[Jurisdiction]],Places[Jurisdiction],0))</f>
        <v>8</v>
      </c>
      <c r="F581" s="28" t="str">
        <f>VLOOKUP(Activities[[#This Row],[Jurisdiction]],Places[#All],8,FALSE)</f>
        <v>Phase I MS4</v>
      </c>
      <c r="G581" s="48" t="s">
        <v>991</v>
      </c>
      <c r="H581" s="8" t="s">
        <v>503</v>
      </c>
      <c r="I581" s="8"/>
      <c r="J581" s="8" t="s">
        <v>1894</v>
      </c>
      <c r="K581" s="27" t="s">
        <v>1875</v>
      </c>
      <c r="L581" s="28">
        <f>_xlfn.NUMBERVALUE(LEFT(Activities[[#This Row],[Fiscal Year]], 4))</f>
        <v>2001</v>
      </c>
      <c r="M581" s="28" t="s">
        <v>1862</v>
      </c>
      <c r="N581" s="41">
        <v>249309</v>
      </c>
      <c r="O581" s="93">
        <f>IF(Activities[[#This Row],[Reference Year]]&gt;2018,Activities[[#This Row],[Value]],Activities[[#This Row],[Value]]*(1+VLOOKUP(Activities[[#This Row],[Reference Year]],Inflation[#All],3,FALSE)))</f>
        <v>354228.53178430261</v>
      </c>
    </row>
    <row r="582" spans="1:15" ht="15" customHeight="1" x14ac:dyDescent="0.25">
      <c r="A582" s="9" t="s">
        <v>273</v>
      </c>
      <c r="B582" s="9" t="str">
        <f>INDEX(Places[Type],MATCH(Activities[[#This Row],[Jurisdiction]],Places[Jurisdiction],0))</f>
        <v>City</v>
      </c>
      <c r="C582" s="19" t="str">
        <f>INDEX(Places[County],MATCH(Activities[[#This Row],[Jurisdiction]],Places[Jurisdiction],0))</f>
        <v>Orange</v>
      </c>
      <c r="D582" s="9" t="str">
        <f>INDEX(Places[Majority RB],MATCH(Activities[[#This Row],[Jurisdiction]],Places[Jurisdiction],0))</f>
        <v>Santa Ana</v>
      </c>
      <c r="E582" s="9">
        <f>INDEX(Places[Majority RB '#],MATCH(Activities[[#This Row],[Jurisdiction]],Places[Jurisdiction],0))</f>
        <v>8</v>
      </c>
      <c r="F582" s="28" t="str">
        <f>VLOOKUP(Activities[[#This Row],[Jurisdiction]],Places[#All],8,FALSE)</f>
        <v>Phase I MS4</v>
      </c>
      <c r="G582" s="48" t="s">
        <v>1006</v>
      </c>
      <c r="H582" s="8"/>
      <c r="I582" s="8"/>
      <c r="J582" s="8" t="s">
        <v>1895</v>
      </c>
      <c r="K582" s="27" t="s">
        <v>1875</v>
      </c>
      <c r="L582" s="28">
        <f>_xlfn.NUMBERVALUE(LEFT(Activities[[#This Row],[Fiscal Year]], 4))</f>
        <v>2001</v>
      </c>
      <c r="M582" s="28" t="s">
        <v>1862</v>
      </c>
      <c r="N582" s="41">
        <v>40000</v>
      </c>
      <c r="O582" s="93">
        <f>IF(Activities[[#This Row],[Reference Year]]&gt;2018,Activities[[#This Row],[Value]],Activities[[#This Row],[Value]]*(1+VLOOKUP(Activities[[#This Row],[Reference Year]],Inflation[#All],3,FALSE)))</f>
        <v>56833.653303218518</v>
      </c>
    </row>
    <row r="583" spans="1:15" ht="15" customHeight="1" x14ac:dyDescent="0.25">
      <c r="A583" s="9" t="s">
        <v>273</v>
      </c>
      <c r="B583" s="9" t="str">
        <f>INDEX(Places[Type],MATCH(Activities[[#This Row],[Jurisdiction]],Places[Jurisdiction],0))</f>
        <v>City</v>
      </c>
      <c r="C583" s="19" t="str">
        <f>INDEX(Places[County],MATCH(Activities[[#This Row],[Jurisdiction]],Places[Jurisdiction],0))</f>
        <v>Orange</v>
      </c>
      <c r="D583" s="9" t="str">
        <f>INDEX(Places[Majority RB],MATCH(Activities[[#This Row],[Jurisdiction]],Places[Jurisdiction],0))</f>
        <v>Santa Ana</v>
      </c>
      <c r="E583" s="9">
        <f>INDEX(Places[Majority RB '#],MATCH(Activities[[#This Row],[Jurisdiction]],Places[Jurisdiction],0))</f>
        <v>8</v>
      </c>
      <c r="F583" s="28" t="str">
        <f>VLOOKUP(Activities[[#This Row],[Jurisdiction]],Places[#All],8,FALSE)</f>
        <v>Phase I MS4</v>
      </c>
      <c r="G583" s="48" t="s">
        <v>1003</v>
      </c>
      <c r="H583" s="8" t="s">
        <v>506</v>
      </c>
      <c r="I583" s="8"/>
      <c r="J583" s="8" t="s">
        <v>131</v>
      </c>
      <c r="K583" s="27" t="s">
        <v>1875</v>
      </c>
      <c r="L583" s="28">
        <f>_xlfn.NUMBERVALUE(LEFT(Activities[[#This Row],[Fiscal Year]], 4))</f>
        <v>2001</v>
      </c>
      <c r="M583" s="28" t="s">
        <v>1862</v>
      </c>
      <c r="N583" s="41">
        <v>1600</v>
      </c>
      <c r="O583" s="93">
        <f>IF(Activities[[#This Row],[Reference Year]]&gt;2018,Activities[[#This Row],[Value]],Activities[[#This Row],[Value]]*(1+VLOOKUP(Activities[[#This Row],[Reference Year]],Inflation[#All],3,FALSE)))</f>
        <v>2273.3461321287409</v>
      </c>
    </row>
    <row r="584" spans="1:15" ht="15" customHeight="1" x14ac:dyDescent="0.25">
      <c r="A584" s="9" t="s">
        <v>273</v>
      </c>
      <c r="B584" s="9" t="str">
        <f>INDEX(Places[Type],MATCH(Activities[[#This Row],[Jurisdiction]],Places[Jurisdiction],0))</f>
        <v>City</v>
      </c>
      <c r="C584" s="19" t="str">
        <f>INDEX(Places[County],MATCH(Activities[[#This Row],[Jurisdiction]],Places[Jurisdiction],0))</f>
        <v>Orange</v>
      </c>
      <c r="D584" s="9" t="str">
        <f>INDEX(Places[Majority RB],MATCH(Activities[[#This Row],[Jurisdiction]],Places[Jurisdiction],0))</f>
        <v>Santa Ana</v>
      </c>
      <c r="E584" s="9">
        <f>INDEX(Places[Majority RB '#],MATCH(Activities[[#This Row],[Jurisdiction]],Places[Jurisdiction],0))</f>
        <v>8</v>
      </c>
      <c r="F584" s="28" t="str">
        <f>VLOOKUP(Activities[[#This Row],[Jurisdiction]],Places[#All],8,FALSE)</f>
        <v>Phase I MS4</v>
      </c>
      <c r="G584" s="48" t="s">
        <v>1007</v>
      </c>
      <c r="H584" s="8"/>
      <c r="I584" s="8"/>
      <c r="J584" s="8" t="s">
        <v>71</v>
      </c>
      <c r="K584" s="27" t="s">
        <v>1875</v>
      </c>
      <c r="L584" s="28">
        <f>_xlfn.NUMBERVALUE(LEFT(Activities[[#This Row],[Fiscal Year]], 4))</f>
        <v>2001</v>
      </c>
      <c r="M584" s="28" t="s">
        <v>1862</v>
      </c>
      <c r="N584" s="41">
        <v>70000</v>
      </c>
      <c r="O584" s="93">
        <f>IF(Activities[[#This Row],[Reference Year]]&gt;2018,Activities[[#This Row],[Value]],Activities[[#This Row],[Value]]*(1+VLOOKUP(Activities[[#This Row],[Reference Year]],Inflation[#All],3,FALSE)))</f>
        <v>99458.893280632401</v>
      </c>
    </row>
    <row r="585" spans="1:15" ht="15" customHeight="1" x14ac:dyDescent="0.25">
      <c r="A585" s="9" t="s">
        <v>273</v>
      </c>
      <c r="B585" s="9" t="str">
        <f>INDEX(Places[Type],MATCH(Activities[[#This Row],[Jurisdiction]],Places[Jurisdiction],0))</f>
        <v>City</v>
      </c>
      <c r="C585" s="19" t="str">
        <f>INDEX(Places[County],MATCH(Activities[[#This Row],[Jurisdiction]],Places[Jurisdiction],0))</f>
        <v>Orange</v>
      </c>
      <c r="D585" s="9" t="str">
        <f>INDEX(Places[Majority RB],MATCH(Activities[[#This Row],[Jurisdiction]],Places[Jurisdiction],0))</f>
        <v>Santa Ana</v>
      </c>
      <c r="E585" s="9">
        <f>INDEX(Places[Majority RB '#],MATCH(Activities[[#This Row],[Jurisdiction]],Places[Jurisdiction],0))</f>
        <v>8</v>
      </c>
      <c r="F585" s="28" t="str">
        <f>VLOOKUP(Activities[[#This Row],[Jurisdiction]],Places[#All],8,FALSE)</f>
        <v>Phase I MS4</v>
      </c>
      <c r="G585" s="48" t="s">
        <v>994</v>
      </c>
      <c r="H585" s="8" t="s">
        <v>504</v>
      </c>
      <c r="I585" s="8"/>
      <c r="J585" s="8" t="s">
        <v>71</v>
      </c>
      <c r="K585" s="27" t="s">
        <v>1875</v>
      </c>
      <c r="L585" s="28">
        <f>_xlfn.NUMBERVALUE(LEFT(Activities[[#This Row],[Fiscal Year]], 4))</f>
        <v>2001</v>
      </c>
      <c r="M585" s="28" t="s">
        <v>1862</v>
      </c>
      <c r="N585" s="41">
        <v>219027</v>
      </c>
      <c r="O585" s="93">
        <f>IF(Activities[[#This Row],[Reference Year]]&gt;2018,Activities[[#This Row],[Value]],Activities[[#This Row],[Value]]*(1+VLOOKUP(Activities[[#This Row],[Reference Year]],Inflation[#All],3,FALSE)))</f>
        <v>311202.61455110105</v>
      </c>
    </row>
    <row r="586" spans="1:15" ht="15" customHeight="1" x14ac:dyDescent="0.25">
      <c r="A586" s="9" t="s">
        <v>273</v>
      </c>
      <c r="B586" s="9" t="str">
        <f>INDEX(Places[Type],MATCH(Activities[[#This Row],[Jurisdiction]],Places[Jurisdiction],0))</f>
        <v>City</v>
      </c>
      <c r="C586" s="19" t="str">
        <f>INDEX(Places[County],MATCH(Activities[[#This Row],[Jurisdiction]],Places[Jurisdiction],0))</f>
        <v>Orange</v>
      </c>
      <c r="D586" s="9" t="str">
        <f>INDEX(Places[Majority RB],MATCH(Activities[[#This Row],[Jurisdiction]],Places[Jurisdiction],0))</f>
        <v>Santa Ana</v>
      </c>
      <c r="E586" s="9">
        <f>INDEX(Places[Majority RB '#],MATCH(Activities[[#This Row],[Jurisdiction]],Places[Jurisdiction],0))</f>
        <v>8</v>
      </c>
      <c r="F586" s="28" t="str">
        <f>VLOOKUP(Activities[[#This Row],[Jurisdiction]],Places[#All],8,FALSE)</f>
        <v>Phase I MS4</v>
      </c>
      <c r="G586" s="48" t="s">
        <v>999</v>
      </c>
      <c r="H586" s="8" t="s">
        <v>504</v>
      </c>
      <c r="I586" s="8"/>
      <c r="J586" s="8" t="s">
        <v>1897</v>
      </c>
      <c r="K586" s="27" t="s">
        <v>1875</v>
      </c>
      <c r="L586" s="28">
        <f>_xlfn.NUMBERVALUE(LEFT(Activities[[#This Row],[Fiscal Year]], 4))</f>
        <v>2001</v>
      </c>
      <c r="M586" s="28" t="s">
        <v>1862</v>
      </c>
      <c r="N586" s="41">
        <v>5500</v>
      </c>
      <c r="O586" s="93">
        <f>IF(Activities[[#This Row],[Reference Year]]&gt;2018,Activities[[#This Row],[Value]],Activities[[#This Row],[Value]]*(1+VLOOKUP(Activities[[#This Row],[Reference Year]],Inflation[#All],3,FALSE)))</f>
        <v>7814.6273291925463</v>
      </c>
    </row>
    <row r="587" spans="1:15" ht="15" customHeight="1" x14ac:dyDescent="0.25">
      <c r="A587" s="9" t="s">
        <v>273</v>
      </c>
      <c r="B587" s="9" t="str">
        <f>INDEX(Places[Type],MATCH(Activities[[#This Row],[Jurisdiction]],Places[Jurisdiction],0))</f>
        <v>City</v>
      </c>
      <c r="C587" s="19" t="str">
        <f>INDEX(Places[County],MATCH(Activities[[#This Row],[Jurisdiction]],Places[Jurisdiction],0))</f>
        <v>Orange</v>
      </c>
      <c r="D587" s="9" t="str">
        <f>INDEX(Places[Majority RB],MATCH(Activities[[#This Row],[Jurisdiction]],Places[Jurisdiction],0))</f>
        <v>Santa Ana</v>
      </c>
      <c r="E587" s="9">
        <f>INDEX(Places[Majority RB '#],MATCH(Activities[[#This Row],[Jurisdiction]],Places[Jurisdiction],0))</f>
        <v>8</v>
      </c>
      <c r="F587" s="28" t="str">
        <f>VLOOKUP(Activities[[#This Row],[Jurisdiction]],Places[#All],8,FALSE)</f>
        <v>Phase I MS4</v>
      </c>
      <c r="G587" s="48" t="s">
        <v>1002</v>
      </c>
      <c r="H587" s="8" t="s">
        <v>597</v>
      </c>
      <c r="I587" s="8" t="s">
        <v>594</v>
      </c>
      <c r="J587" s="8" t="s">
        <v>1897</v>
      </c>
      <c r="K587" s="27" t="s">
        <v>1875</v>
      </c>
      <c r="L587" s="28">
        <f>_xlfn.NUMBERVALUE(LEFT(Activities[[#This Row],[Fiscal Year]], 4))</f>
        <v>2001</v>
      </c>
      <c r="M587" s="28" t="s">
        <v>1862</v>
      </c>
      <c r="N587" s="41">
        <v>16000</v>
      </c>
      <c r="O587" s="93">
        <f>IF(Activities[[#This Row],[Reference Year]]&gt;2018,Activities[[#This Row],[Value]],Activities[[#This Row],[Value]]*(1+VLOOKUP(Activities[[#This Row],[Reference Year]],Inflation[#All],3,FALSE)))</f>
        <v>22733.461321287406</v>
      </c>
    </row>
    <row r="588" spans="1:15" ht="15" customHeight="1" x14ac:dyDescent="0.25">
      <c r="A588" s="9" t="s">
        <v>273</v>
      </c>
      <c r="B588" s="9" t="str">
        <f>INDEX(Places[Type],MATCH(Activities[[#This Row],[Jurisdiction]],Places[Jurisdiction],0))</f>
        <v>City</v>
      </c>
      <c r="C588" s="19" t="str">
        <f>INDEX(Places[County],MATCH(Activities[[#This Row],[Jurisdiction]],Places[Jurisdiction],0))</f>
        <v>Orange</v>
      </c>
      <c r="D588" s="9" t="str">
        <f>INDEX(Places[Majority RB],MATCH(Activities[[#This Row],[Jurisdiction]],Places[Jurisdiction],0))</f>
        <v>Santa Ana</v>
      </c>
      <c r="E588" s="9">
        <f>INDEX(Places[Majority RB '#],MATCH(Activities[[#This Row],[Jurisdiction]],Places[Jurisdiction],0))</f>
        <v>8</v>
      </c>
      <c r="F588" s="28" t="str">
        <f>VLOOKUP(Activities[[#This Row],[Jurisdiction]],Places[#All],8,FALSE)</f>
        <v>Phase I MS4</v>
      </c>
      <c r="G588" s="48" t="s">
        <v>981</v>
      </c>
      <c r="H588" s="8" t="s">
        <v>504</v>
      </c>
      <c r="I588" s="8"/>
      <c r="J588" s="8" t="s">
        <v>1897</v>
      </c>
      <c r="K588" s="27" t="s">
        <v>1875</v>
      </c>
      <c r="L588" s="28">
        <f>_xlfn.NUMBERVALUE(LEFT(Activities[[#This Row],[Fiscal Year]], 4))</f>
        <v>2001</v>
      </c>
      <c r="M588" s="28" t="s">
        <v>1862</v>
      </c>
      <c r="N588" s="41">
        <v>38995</v>
      </c>
      <c r="O588" s="93">
        <f>IF(Activities[[#This Row],[Reference Year]]&gt;2018,Activities[[#This Row],[Value]],Activities[[#This Row],[Value]]*(1+VLOOKUP(Activities[[#This Row],[Reference Year]],Inflation[#All],3,FALSE)))</f>
        <v>55405.707763975151</v>
      </c>
    </row>
    <row r="589" spans="1:15" ht="15" customHeight="1" x14ac:dyDescent="0.25">
      <c r="A589" s="9" t="s">
        <v>273</v>
      </c>
      <c r="B589" s="9" t="str">
        <f>INDEX(Places[Type],MATCH(Activities[[#This Row],[Jurisdiction]],Places[Jurisdiction],0))</f>
        <v>City</v>
      </c>
      <c r="C589" s="19" t="str">
        <f>INDEX(Places[County],MATCH(Activities[[#This Row],[Jurisdiction]],Places[Jurisdiction],0))</f>
        <v>Orange</v>
      </c>
      <c r="D589" s="9" t="str">
        <f>INDEX(Places[Majority RB],MATCH(Activities[[#This Row],[Jurisdiction]],Places[Jurisdiction],0))</f>
        <v>Santa Ana</v>
      </c>
      <c r="E589" s="9">
        <f>INDEX(Places[Majority RB '#],MATCH(Activities[[#This Row],[Jurisdiction]],Places[Jurisdiction],0))</f>
        <v>8</v>
      </c>
      <c r="F589" s="28" t="str">
        <f>VLOOKUP(Activities[[#This Row],[Jurisdiction]],Places[#All],8,FALSE)</f>
        <v>Phase I MS4</v>
      </c>
      <c r="G589" s="48" t="s">
        <v>993</v>
      </c>
      <c r="H589" s="8" t="s">
        <v>602</v>
      </c>
      <c r="I589" s="8"/>
      <c r="J589" s="8" t="s">
        <v>1897</v>
      </c>
      <c r="K589" s="27" t="s">
        <v>1875</v>
      </c>
      <c r="L589" s="28">
        <f>_xlfn.NUMBERVALUE(LEFT(Activities[[#This Row],[Fiscal Year]], 4))</f>
        <v>2001</v>
      </c>
      <c r="M589" s="28" t="s">
        <v>1862</v>
      </c>
      <c r="N589" s="41">
        <v>66693</v>
      </c>
      <c r="O589" s="93">
        <f>IF(Activities[[#This Row],[Reference Year]]&gt;2018,Activities[[#This Row],[Value]],Activities[[#This Row],[Value]]*(1+VLOOKUP(Activities[[#This Row],[Reference Year]],Inflation[#All],3,FALSE)))</f>
        <v>94760.170993788823</v>
      </c>
    </row>
    <row r="590" spans="1:15" ht="15" customHeight="1" x14ac:dyDescent="0.25">
      <c r="A590" s="9" t="s">
        <v>273</v>
      </c>
      <c r="B590" s="9" t="str">
        <f>INDEX(Places[Type],MATCH(Activities[[#This Row],[Jurisdiction]],Places[Jurisdiction],0))</f>
        <v>City</v>
      </c>
      <c r="C590" s="19" t="str">
        <f>INDEX(Places[County],MATCH(Activities[[#This Row],[Jurisdiction]],Places[Jurisdiction],0))</f>
        <v>Orange</v>
      </c>
      <c r="D590" s="9" t="str">
        <f>INDEX(Places[Majority RB],MATCH(Activities[[#This Row],[Jurisdiction]],Places[Jurisdiction],0))</f>
        <v>Santa Ana</v>
      </c>
      <c r="E590" s="9">
        <f>INDEX(Places[Majority RB '#],MATCH(Activities[[#This Row],[Jurisdiction]],Places[Jurisdiction],0))</f>
        <v>8</v>
      </c>
      <c r="F590" s="28" t="str">
        <f>VLOOKUP(Activities[[#This Row],[Jurisdiction]],Places[#All],8,FALSE)</f>
        <v>Phase I MS4</v>
      </c>
      <c r="G590" s="48" t="s">
        <v>998</v>
      </c>
      <c r="H590" s="8" t="s">
        <v>504</v>
      </c>
      <c r="I590" s="8"/>
      <c r="J590" s="8" t="s">
        <v>1897</v>
      </c>
      <c r="K590" s="27" t="s">
        <v>1875</v>
      </c>
      <c r="L590" s="28">
        <f>_xlfn.NUMBERVALUE(LEFT(Activities[[#This Row],[Fiscal Year]], 4))</f>
        <v>2001</v>
      </c>
      <c r="M590" s="28" t="s">
        <v>1862</v>
      </c>
      <c r="N590" s="41">
        <v>95390</v>
      </c>
      <c r="O590" s="93">
        <f>IF(Activities[[#This Row],[Reference Year]]&gt;2018,Activities[[#This Row],[Value]],Activities[[#This Row],[Value]]*(1+VLOOKUP(Activities[[#This Row],[Reference Year]],Inflation[#All],3,FALSE)))</f>
        <v>135534.05471485035</v>
      </c>
    </row>
    <row r="591" spans="1:15" ht="15" customHeight="1" x14ac:dyDescent="0.25">
      <c r="A591" s="9" t="s">
        <v>273</v>
      </c>
      <c r="B591" s="9" t="str">
        <f>INDEX(Places[Type],MATCH(Activities[[#This Row],[Jurisdiction]],Places[Jurisdiction],0))</f>
        <v>City</v>
      </c>
      <c r="C591" s="19" t="str">
        <f>INDEX(Places[County],MATCH(Activities[[#This Row],[Jurisdiction]],Places[Jurisdiction],0))</f>
        <v>Orange</v>
      </c>
      <c r="D591" s="9" t="str">
        <f>INDEX(Places[Majority RB],MATCH(Activities[[#This Row],[Jurisdiction]],Places[Jurisdiction],0))</f>
        <v>Santa Ana</v>
      </c>
      <c r="E591" s="9">
        <f>INDEX(Places[Majority RB '#],MATCH(Activities[[#This Row],[Jurisdiction]],Places[Jurisdiction],0))</f>
        <v>8</v>
      </c>
      <c r="F591" s="28" t="str">
        <f>VLOOKUP(Activities[[#This Row],[Jurisdiction]],Places[#All],8,FALSE)</f>
        <v>Phase I MS4</v>
      </c>
      <c r="G591" s="48" t="s">
        <v>996</v>
      </c>
      <c r="H591" s="8" t="s">
        <v>504</v>
      </c>
      <c r="I591" s="8"/>
      <c r="J591" s="8" t="s">
        <v>1897</v>
      </c>
      <c r="K591" s="27" t="s">
        <v>1875</v>
      </c>
      <c r="L591" s="28">
        <f>_xlfn.NUMBERVALUE(LEFT(Activities[[#This Row],[Fiscal Year]], 4))</f>
        <v>2001</v>
      </c>
      <c r="M591" s="28" t="s">
        <v>1862</v>
      </c>
      <c r="N591" s="41">
        <v>565638</v>
      </c>
      <c r="O591" s="93">
        <f>IF(Activities[[#This Row],[Reference Year]]&gt;2018,Activities[[#This Row],[Value]],Activities[[#This Row],[Value]]*(1+VLOOKUP(Activities[[#This Row],[Reference Year]],Inflation[#All],3,FALSE)))</f>
        <v>803681.84967814793</v>
      </c>
    </row>
    <row r="592" spans="1:15" ht="15" customHeight="1" x14ac:dyDescent="0.25">
      <c r="A592" s="9" t="s">
        <v>273</v>
      </c>
      <c r="B592" s="9" t="str">
        <f>INDEX(Places[Type],MATCH(Activities[[#This Row],[Jurisdiction]],Places[Jurisdiction],0))</f>
        <v>City</v>
      </c>
      <c r="C592" s="19" t="str">
        <f>INDEX(Places[County],MATCH(Activities[[#This Row],[Jurisdiction]],Places[Jurisdiction],0))</f>
        <v>Orange</v>
      </c>
      <c r="D592" s="9" t="str">
        <f>INDEX(Places[Majority RB],MATCH(Activities[[#This Row],[Jurisdiction]],Places[Jurisdiction],0))</f>
        <v>Santa Ana</v>
      </c>
      <c r="E592" s="9">
        <f>INDEX(Places[Majority RB '#],MATCH(Activities[[#This Row],[Jurisdiction]],Places[Jurisdiction],0))</f>
        <v>8</v>
      </c>
      <c r="F592" s="28" t="str">
        <f>VLOOKUP(Activities[[#This Row],[Jurisdiction]],Places[#All],8,FALSE)</f>
        <v>Phase I MS4</v>
      </c>
      <c r="G592" s="48" t="s">
        <v>1005</v>
      </c>
      <c r="H592" s="8"/>
      <c r="I592" s="8"/>
      <c r="J592" s="8" t="s">
        <v>1898</v>
      </c>
      <c r="K592" s="27" t="s">
        <v>1875</v>
      </c>
      <c r="L592" s="28">
        <f>_xlfn.NUMBERVALUE(LEFT(Activities[[#This Row],[Fiscal Year]], 4))</f>
        <v>2001</v>
      </c>
      <c r="M592" s="28" t="s">
        <v>1862</v>
      </c>
      <c r="N592" s="41">
        <v>6000</v>
      </c>
      <c r="O592" s="93">
        <f>IF(Activities[[#This Row],[Reference Year]]&gt;2018,Activities[[#This Row],[Value]],Activities[[#This Row],[Value]]*(1+VLOOKUP(Activities[[#This Row],[Reference Year]],Inflation[#All],3,FALSE)))</f>
        <v>8525.047995482777</v>
      </c>
    </row>
    <row r="593" spans="1:15" ht="15" customHeight="1" x14ac:dyDescent="0.25">
      <c r="A593" s="9" t="s">
        <v>273</v>
      </c>
      <c r="B593" s="9" t="str">
        <f>INDEX(Places[Type],MATCH(Activities[[#This Row],[Jurisdiction]],Places[Jurisdiction],0))</f>
        <v>City</v>
      </c>
      <c r="C593" s="19" t="str">
        <f>INDEX(Places[County],MATCH(Activities[[#This Row],[Jurisdiction]],Places[Jurisdiction],0))</f>
        <v>Orange</v>
      </c>
      <c r="D593" s="9" t="str">
        <f>INDEX(Places[Majority RB],MATCH(Activities[[#This Row],[Jurisdiction]],Places[Jurisdiction],0))</f>
        <v>Santa Ana</v>
      </c>
      <c r="E593" s="9">
        <f>INDEX(Places[Majority RB '#],MATCH(Activities[[#This Row],[Jurisdiction]],Places[Jurisdiction],0))</f>
        <v>8</v>
      </c>
      <c r="F593" s="28" t="str">
        <f>VLOOKUP(Activities[[#This Row],[Jurisdiction]],Places[#All],8,FALSE)</f>
        <v>Phase I MS4</v>
      </c>
      <c r="G593" s="48" t="s">
        <v>1000</v>
      </c>
      <c r="H593" s="8" t="s">
        <v>505</v>
      </c>
      <c r="I593" s="8"/>
      <c r="J593" s="8" t="s">
        <v>1456</v>
      </c>
      <c r="K593" s="27" t="s">
        <v>1875</v>
      </c>
      <c r="L593" s="28">
        <f>_xlfn.NUMBERVALUE(LEFT(Activities[[#This Row],[Fiscal Year]], 4))</f>
        <v>2001</v>
      </c>
      <c r="M593" s="28" t="s">
        <v>1862</v>
      </c>
      <c r="N593" s="41">
        <v>5000</v>
      </c>
      <c r="O593" s="93">
        <f>IF(Activities[[#This Row],[Reference Year]]&gt;2018,Activities[[#This Row],[Value]],Activities[[#This Row],[Value]]*(1+VLOOKUP(Activities[[#This Row],[Reference Year]],Inflation[#All],3,FALSE)))</f>
        <v>7104.2066629023147</v>
      </c>
    </row>
    <row r="594" spans="1:15" ht="15" customHeight="1" x14ac:dyDescent="0.25">
      <c r="A594" s="9" t="s">
        <v>273</v>
      </c>
      <c r="B594" s="9" t="str">
        <f>INDEX(Places[Type],MATCH(Activities[[#This Row],[Jurisdiction]],Places[Jurisdiction],0))</f>
        <v>City</v>
      </c>
      <c r="C594" s="19" t="str">
        <f>INDEX(Places[County],MATCH(Activities[[#This Row],[Jurisdiction]],Places[Jurisdiction],0))</f>
        <v>Orange</v>
      </c>
      <c r="D594" s="9" t="str">
        <f>INDEX(Places[Majority RB],MATCH(Activities[[#This Row],[Jurisdiction]],Places[Jurisdiction],0))</f>
        <v>Santa Ana</v>
      </c>
      <c r="E594" s="9">
        <f>INDEX(Places[Majority RB '#],MATCH(Activities[[#This Row],[Jurisdiction]],Places[Jurisdiction],0))</f>
        <v>8</v>
      </c>
      <c r="F594" s="28" t="str">
        <f>VLOOKUP(Activities[[#This Row],[Jurisdiction]],Places[#All],8,FALSE)</f>
        <v>Phase I MS4</v>
      </c>
      <c r="G594" s="48" t="s">
        <v>1001</v>
      </c>
      <c r="H594" s="8" t="s">
        <v>599</v>
      </c>
      <c r="I594" s="8"/>
      <c r="J594" s="8" t="s">
        <v>1456</v>
      </c>
      <c r="K594" s="27" t="s">
        <v>1875</v>
      </c>
      <c r="L594" s="28">
        <f>_xlfn.NUMBERVALUE(LEFT(Activities[[#This Row],[Fiscal Year]], 4))</f>
        <v>2001</v>
      </c>
      <c r="M594" s="28" t="s">
        <v>1862</v>
      </c>
      <c r="N594" s="41">
        <v>46608</v>
      </c>
      <c r="O594" s="93">
        <f>IF(Activities[[#This Row],[Reference Year]]&gt;2018,Activities[[#This Row],[Value]],Activities[[#This Row],[Value]]*(1+VLOOKUP(Activities[[#This Row],[Reference Year]],Inflation[#All],3,FALSE)))</f>
        <v>66222.572828910212</v>
      </c>
    </row>
    <row r="595" spans="1:15" ht="15" customHeight="1" x14ac:dyDescent="0.25">
      <c r="A595" s="9" t="s">
        <v>273</v>
      </c>
      <c r="B595" s="9" t="str">
        <f>INDEX(Places[Type],MATCH(Activities[[#This Row],[Jurisdiction]],Places[Jurisdiction],0))</f>
        <v>City</v>
      </c>
      <c r="C595" s="19" t="str">
        <f>INDEX(Places[County],MATCH(Activities[[#This Row],[Jurisdiction]],Places[Jurisdiction],0))</f>
        <v>Orange</v>
      </c>
      <c r="D595" s="9" t="str">
        <f>INDEX(Places[Majority RB],MATCH(Activities[[#This Row],[Jurisdiction]],Places[Jurisdiction],0))</f>
        <v>Santa Ana</v>
      </c>
      <c r="E595" s="9">
        <f>INDEX(Places[Majority RB '#],MATCH(Activities[[#This Row],[Jurisdiction]],Places[Jurisdiction],0))</f>
        <v>8</v>
      </c>
      <c r="F595" s="28" t="str">
        <f>VLOOKUP(Activities[[#This Row],[Jurisdiction]],Places[#All],8,FALSE)</f>
        <v>Phase I MS4</v>
      </c>
      <c r="G595" s="48" t="s">
        <v>991</v>
      </c>
      <c r="H595" s="8" t="s">
        <v>503</v>
      </c>
      <c r="I595" s="8"/>
      <c r="J595" s="8" t="s">
        <v>1894</v>
      </c>
      <c r="K595" s="27" t="s">
        <v>1875</v>
      </c>
      <c r="L595" s="28">
        <f>_xlfn.NUMBERVALUE(LEFT(Activities[[#This Row],[Fiscal Year]], 4))</f>
        <v>2001</v>
      </c>
      <c r="M595" s="28" t="s">
        <v>1862</v>
      </c>
      <c r="N595" s="41">
        <v>8355</v>
      </c>
      <c r="O595" s="93">
        <f>IF(Activities[[#This Row],[Reference Year]]&gt;2018,Activities[[#This Row],[Value]],Activities[[#This Row],[Value]]*(1+VLOOKUP(Activities[[#This Row],[Reference Year]],Inflation[#All],3,FALSE)))</f>
        <v>11871.129333709769</v>
      </c>
    </row>
    <row r="596" spans="1:15" ht="15" customHeight="1" x14ac:dyDescent="0.25">
      <c r="A596" s="9" t="s">
        <v>155</v>
      </c>
      <c r="B596" s="9" t="str">
        <f>INDEX(Places[Type],MATCH(Activities[[#This Row],[Jurisdiction]],Places[Jurisdiction],0))</f>
        <v>City</v>
      </c>
      <c r="C596" s="19" t="str">
        <f>INDEX(Places[County],MATCH(Activities[[#This Row],[Jurisdiction]],Places[Jurisdiction],0))</f>
        <v>Los Angeles</v>
      </c>
      <c r="D596" s="19" t="str">
        <f>INDEX(Places[Majority RB],MATCH(Activities[[#This Row],[Jurisdiction]],Places[Jurisdiction],0))</f>
        <v>Los Angeles</v>
      </c>
      <c r="E596" s="9">
        <f>INDEX(Places[Majority RB '#],MATCH(Activities[[#This Row],[Jurisdiction]],Places[Jurisdiction],0))</f>
        <v>4</v>
      </c>
      <c r="F596" s="28" t="str">
        <f>VLOOKUP(Activities[[#This Row],[Jurisdiction]],Places[#All],8,FALSE)</f>
        <v>Phase I MS4</v>
      </c>
      <c r="G596" s="48" t="s">
        <v>849</v>
      </c>
      <c r="H596" s="8"/>
      <c r="I596" s="8"/>
      <c r="J596" s="8" t="s">
        <v>131</v>
      </c>
      <c r="K596" s="27" t="s">
        <v>1873</v>
      </c>
      <c r="L596" s="28">
        <f>_xlfn.NUMBERVALUE(LEFT(Activities[[#This Row],[Fiscal Year]], 4))</f>
        <v>2015</v>
      </c>
      <c r="M596" s="28" t="s">
        <v>1862</v>
      </c>
      <c r="N596" s="41">
        <v>16000</v>
      </c>
      <c r="O596" s="93">
        <f>IF(Activities[[#This Row],[Reference Year]]&gt;2018,Activities[[#This Row],[Value]],Activities[[#This Row],[Value]]*(1+VLOOKUP(Activities[[#This Row],[Reference Year]],Inflation[#All],3,FALSE)))</f>
        <v>16987.746835443038</v>
      </c>
    </row>
    <row r="597" spans="1:15" ht="15" customHeight="1" x14ac:dyDescent="0.25">
      <c r="A597" s="9" t="s">
        <v>155</v>
      </c>
      <c r="B597" s="9" t="str">
        <f>INDEX(Places[Type],MATCH(Activities[[#This Row],[Jurisdiction]],Places[Jurisdiction],0))</f>
        <v>City</v>
      </c>
      <c r="C597" s="19" t="str">
        <f>INDEX(Places[County],MATCH(Activities[[#This Row],[Jurisdiction]],Places[Jurisdiction],0))</f>
        <v>Los Angeles</v>
      </c>
      <c r="D597" s="19" t="str">
        <f>INDEX(Places[Majority RB],MATCH(Activities[[#This Row],[Jurisdiction]],Places[Jurisdiction],0))</f>
        <v>Los Angeles</v>
      </c>
      <c r="E597" s="9">
        <f>INDEX(Places[Majority RB '#],MATCH(Activities[[#This Row],[Jurisdiction]],Places[Jurisdiction],0))</f>
        <v>4</v>
      </c>
      <c r="F597" s="28" t="str">
        <f>VLOOKUP(Activities[[#This Row],[Jurisdiction]],Places[#All],8,FALSE)</f>
        <v>Phase I MS4</v>
      </c>
      <c r="G597" s="48" t="s">
        <v>857</v>
      </c>
      <c r="H597" s="8"/>
      <c r="I597" s="8"/>
      <c r="J597" s="8" t="s">
        <v>1897</v>
      </c>
      <c r="K597" s="27" t="s">
        <v>1873</v>
      </c>
      <c r="L597" s="28">
        <f>_xlfn.NUMBERVALUE(LEFT(Activities[[#This Row],[Fiscal Year]], 4))</f>
        <v>2015</v>
      </c>
      <c r="M597" s="28" t="s">
        <v>1862</v>
      </c>
      <c r="N597" s="41">
        <v>637442</v>
      </c>
      <c r="O597" s="93">
        <f>IF(Activities[[#This Row],[Reference Year]]&gt;2018,Activities[[#This Row],[Value]],Activities[[#This Row],[Value]]*(1+VLOOKUP(Activities[[#This Row],[Reference Year]],Inflation[#All],3,FALSE)))</f>
        <v>676793.95739240502</v>
      </c>
    </row>
    <row r="598" spans="1:15" ht="15" customHeight="1" x14ac:dyDescent="0.25">
      <c r="A598" s="9" t="s">
        <v>155</v>
      </c>
      <c r="B598" s="9" t="str">
        <f>INDEX(Places[Type],MATCH(Activities[[#This Row],[Jurisdiction]],Places[Jurisdiction],0))</f>
        <v>City</v>
      </c>
      <c r="C598" s="19" t="str">
        <f>INDEX(Places[County],MATCH(Activities[[#This Row],[Jurisdiction]],Places[Jurisdiction],0))</f>
        <v>Los Angeles</v>
      </c>
      <c r="D598" s="19" t="str">
        <f>INDEX(Places[Majority RB],MATCH(Activities[[#This Row],[Jurisdiction]],Places[Jurisdiction],0))</f>
        <v>Los Angeles</v>
      </c>
      <c r="E598" s="9">
        <f>INDEX(Places[Majority RB '#],MATCH(Activities[[#This Row],[Jurisdiction]],Places[Jurisdiction],0))</f>
        <v>4</v>
      </c>
      <c r="F598" s="28" t="str">
        <f>VLOOKUP(Activities[[#This Row],[Jurisdiction]],Places[#All],8,FALSE)</f>
        <v>Phase I MS4</v>
      </c>
      <c r="G598" s="48" t="s">
        <v>847</v>
      </c>
      <c r="H598" s="8"/>
      <c r="I598" s="8"/>
      <c r="J598" s="8" t="s">
        <v>1898</v>
      </c>
      <c r="K598" s="27" t="s">
        <v>1873</v>
      </c>
      <c r="L598" s="28">
        <f>_xlfn.NUMBERVALUE(LEFT(Activities[[#This Row],[Fiscal Year]], 4))</f>
        <v>2015</v>
      </c>
      <c r="M598" s="28" t="s">
        <v>1862</v>
      </c>
      <c r="N598" s="41">
        <v>10000</v>
      </c>
      <c r="O598" s="93">
        <f>IF(Activities[[#This Row],[Reference Year]]&gt;2018,Activities[[#This Row],[Value]],Activities[[#This Row],[Value]]*(1+VLOOKUP(Activities[[#This Row],[Reference Year]],Inflation[#All],3,FALSE)))</f>
        <v>10617.341772151898</v>
      </c>
    </row>
    <row r="599" spans="1:15" ht="15" customHeight="1" x14ac:dyDescent="0.25">
      <c r="A599" s="9" t="s">
        <v>155</v>
      </c>
      <c r="B599" s="9" t="str">
        <f>INDEX(Places[Type],MATCH(Activities[[#This Row],[Jurisdiction]],Places[Jurisdiction],0))</f>
        <v>City</v>
      </c>
      <c r="C599" s="19" t="str">
        <f>INDEX(Places[County],MATCH(Activities[[#This Row],[Jurisdiction]],Places[Jurisdiction],0))</f>
        <v>Los Angeles</v>
      </c>
      <c r="D599" s="19" t="str">
        <f>INDEX(Places[Majority RB],MATCH(Activities[[#This Row],[Jurisdiction]],Places[Jurisdiction],0))</f>
        <v>Los Angeles</v>
      </c>
      <c r="E599" s="9">
        <f>INDEX(Places[Majority RB '#],MATCH(Activities[[#This Row],[Jurisdiction]],Places[Jurisdiction],0))</f>
        <v>4</v>
      </c>
      <c r="F599" s="28" t="str">
        <f>VLOOKUP(Activities[[#This Row],[Jurisdiction]],Places[#All],8,FALSE)</f>
        <v>Phase I MS4</v>
      </c>
      <c r="G599" s="48" t="s">
        <v>846</v>
      </c>
      <c r="H599" s="8"/>
      <c r="I599" s="8"/>
      <c r="J599" s="8" t="s">
        <v>1898</v>
      </c>
      <c r="K599" s="27" t="s">
        <v>1873</v>
      </c>
      <c r="L599" s="28">
        <f>_xlfn.NUMBERVALUE(LEFT(Activities[[#This Row],[Fiscal Year]], 4))</f>
        <v>2015</v>
      </c>
      <c r="M599" s="28" t="s">
        <v>1862</v>
      </c>
      <c r="N599" s="41">
        <v>25000</v>
      </c>
      <c r="O599" s="93">
        <f>IF(Activities[[#This Row],[Reference Year]]&gt;2018,Activities[[#This Row],[Value]],Activities[[#This Row],[Value]]*(1+VLOOKUP(Activities[[#This Row],[Reference Year]],Inflation[#All],3,FALSE)))</f>
        <v>26543.354430379746</v>
      </c>
    </row>
    <row r="600" spans="1:15" ht="15" customHeight="1" x14ac:dyDescent="0.25">
      <c r="A600" s="9" t="s">
        <v>155</v>
      </c>
      <c r="B600" s="9" t="str">
        <f>INDEX(Places[Type],MATCH(Activities[[#This Row],[Jurisdiction]],Places[Jurisdiction],0))</f>
        <v>City</v>
      </c>
      <c r="C600" s="19" t="str">
        <f>INDEX(Places[County],MATCH(Activities[[#This Row],[Jurisdiction]],Places[Jurisdiction],0))</f>
        <v>Los Angeles</v>
      </c>
      <c r="D600" s="19" t="str">
        <f>INDEX(Places[Majority RB],MATCH(Activities[[#This Row],[Jurisdiction]],Places[Jurisdiction],0))</f>
        <v>Los Angeles</v>
      </c>
      <c r="E600" s="9">
        <f>INDEX(Places[Majority RB '#],MATCH(Activities[[#This Row],[Jurisdiction]],Places[Jurisdiction],0))</f>
        <v>4</v>
      </c>
      <c r="F600" s="28" t="str">
        <f>VLOOKUP(Activities[[#This Row],[Jurisdiction]],Places[#All],8,FALSE)</f>
        <v>Phase I MS4</v>
      </c>
      <c r="G600" s="48" t="s">
        <v>844</v>
      </c>
      <c r="H600" s="8"/>
      <c r="I600" s="8"/>
      <c r="J600" s="8" t="s">
        <v>1456</v>
      </c>
      <c r="K600" s="27" t="s">
        <v>1873</v>
      </c>
      <c r="L600" s="28">
        <f>_xlfn.NUMBERVALUE(LEFT(Activities[[#This Row],[Fiscal Year]], 4))</f>
        <v>2015</v>
      </c>
      <c r="M600" s="28" t="s">
        <v>1862</v>
      </c>
      <c r="N600" s="41">
        <v>10000</v>
      </c>
      <c r="O600" s="93">
        <f>IF(Activities[[#This Row],[Reference Year]]&gt;2018,Activities[[#This Row],[Value]],Activities[[#This Row],[Value]]*(1+VLOOKUP(Activities[[#This Row],[Reference Year]],Inflation[#All],3,FALSE)))</f>
        <v>10617.341772151898</v>
      </c>
    </row>
    <row r="601" spans="1:15" ht="15" customHeight="1" x14ac:dyDescent="0.25">
      <c r="A601" s="9" t="s">
        <v>155</v>
      </c>
      <c r="B601" s="9" t="str">
        <f>INDEX(Places[Type],MATCH(Activities[[#This Row],[Jurisdiction]],Places[Jurisdiction],0))</f>
        <v>City</v>
      </c>
      <c r="C601" s="19" t="str">
        <f>INDEX(Places[County],MATCH(Activities[[#This Row],[Jurisdiction]],Places[Jurisdiction],0))</f>
        <v>Los Angeles</v>
      </c>
      <c r="D601" s="19" t="str">
        <f>INDEX(Places[Majority RB],MATCH(Activities[[#This Row],[Jurisdiction]],Places[Jurisdiction],0))</f>
        <v>Los Angeles</v>
      </c>
      <c r="E601" s="9">
        <f>INDEX(Places[Majority RB '#],MATCH(Activities[[#This Row],[Jurisdiction]],Places[Jurisdiction],0))</f>
        <v>4</v>
      </c>
      <c r="F601" s="28" t="str">
        <f>VLOOKUP(Activities[[#This Row],[Jurisdiction]],Places[#All],8,FALSE)</f>
        <v>Phase I MS4</v>
      </c>
      <c r="G601" s="56" t="s">
        <v>829</v>
      </c>
      <c r="H601" s="8"/>
      <c r="I601" s="8"/>
      <c r="J601" s="8" t="s">
        <v>1894</v>
      </c>
      <c r="K601" s="27" t="s">
        <v>1873</v>
      </c>
      <c r="L601" s="28">
        <f>_xlfn.NUMBERVALUE(LEFT(Activities[[#This Row],[Fiscal Year]], 4))</f>
        <v>2015</v>
      </c>
      <c r="M601" s="28" t="s">
        <v>1862</v>
      </c>
      <c r="N601" s="41">
        <v>50000</v>
      </c>
      <c r="O601" s="93">
        <f>IF(Activities[[#This Row],[Reference Year]]&gt;2018,Activities[[#This Row],[Value]],Activities[[#This Row],[Value]]*(1+VLOOKUP(Activities[[#This Row],[Reference Year]],Inflation[#All],3,FALSE)))</f>
        <v>53086.708860759492</v>
      </c>
    </row>
    <row r="602" spans="1:15" ht="15" customHeight="1" x14ac:dyDescent="0.25">
      <c r="A602" s="9" t="s">
        <v>155</v>
      </c>
      <c r="B602" s="9" t="str">
        <f>INDEX(Places[Type],MATCH(Activities[[#This Row],[Jurisdiction]],Places[Jurisdiction],0))</f>
        <v>City</v>
      </c>
      <c r="C602" s="19" t="str">
        <f>INDEX(Places[County],MATCH(Activities[[#This Row],[Jurisdiction]],Places[Jurisdiction],0))</f>
        <v>Los Angeles</v>
      </c>
      <c r="D602" s="19" t="str">
        <f>INDEX(Places[Majority RB],MATCH(Activities[[#This Row],[Jurisdiction]],Places[Jurisdiction],0))</f>
        <v>Los Angeles</v>
      </c>
      <c r="E602" s="9">
        <f>INDEX(Places[Majority RB '#],MATCH(Activities[[#This Row],[Jurisdiction]],Places[Jurisdiction],0))</f>
        <v>4</v>
      </c>
      <c r="F602" s="28" t="str">
        <f>VLOOKUP(Activities[[#This Row],[Jurisdiction]],Places[#All],8,FALSE)</f>
        <v>Phase I MS4</v>
      </c>
      <c r="G602" s="56" t="s">
        <v>854</v>
      </c>
      <c r="H602" s="8"/>
      <c r="I602" s="8"/>
      <c r="J602" s="8" t="s">
        <v>47</v>
      </c>
      <c r="K602" s="27" t="s">
        <v>1873</v>
      </c>
      <c r="L602" s="28">
        <f>_xlfn.NUMBERVALUE(LEFT(Activities[[#This Row],[Fiscal Year]], 4))</f>
        <v>2015</v>
      </c>
      <c r="M602" s="28" t="s">
        <v>1862</v>
      </c>
      <c r="N602" s="41">
        <v>50000</v>
      </c>
      <c r="O602" s="93">
        <f>IF(Activities[[#This Row],[Reference Year]]&gt;2018,Activities[[#This Row],[Value]],Activities[[#This Row],[Value]]*(1+VLOOKUP(Activities[[#This Row],[Reference Year]],Inflation[#All],3,FALSE)))</f>
        <v>53086.708860759492</v>
      </c>
    </row>
    <row r="603" spans="1:15" ht="15" customHeight="1" x14ac:dyDescent="0.25">
      <c r="A603" s="25" t="s">
        <v>189</v>
      </c>
      <c r="B603" s="9" t="str">
        <f>INDEX(Places[Type],MATCH(Activities[[#This Row],[Jurisdiction]],Places[Jurisdiction],0))</f>
        <v>City</v>
      </c>
      <c r="C603" s="19" t="str">
        <f>INDEX(Places[County],MATCH(Activities[[#This Row],[Jurisdiction]],Places[Jurisdiction],0))</f>
        <v>Los Angeles</v>
      </c>
      <c r="D603" s="19" t="str">
        <f>INDEX(Places[Majority RB],MATCH(Activities[[#This Row],[Jurisdiction]],Places[Jurisdiction],0))</f>
        <v>Los Angeles</v>
      </c>
      <c r="E603" s="9">
        <f>INDEX(Places[Majority RB '#],MATCH(Activities[[#This Row],[Jurisdiction]],Places[Jurisdiction],0))</f>
        <v>4</v>
      </c>
      <c r="F603" s="28" t="str">
        <f>VLOOKUP(Activities[[#This Row],[Jurisdiction]],Places[#All],8,FALSE)</f>
        <v>Phase I MS4</v>
      </c>
      <c r="G603" s="48" t="s">
        <v>62</v>
      </c>
      <c r="H603" s="8"/>
      <c r="I603" s="8"/>
      <c r="J603" s="8" t="s">
        <v>131</v>
      </c>
      <c r="K603" s="27" t="s">
        <v>1873</v>
      </c>
      <c r="L603" s="28">
        <f>_xlfn.NUMBERVALUE(LEFT(Activities[[#This Row],[Fiscal Year]], 4))</f>
        <v>2015</v>
      </c>
      <c r="M603" s="28" t="s">
        <v>1862</v>
      </c>
      <c r="N603" s="41">
        <v>10000</v>
      </c>
      <c r="O603" s="93">
        <f>IF(Activities[[#This Row],[Reference Year]]&gt;2018,Activities[[#This Row],[Value]],Activities[[#This Row],[Value]]*(1+VLOOKUP(Activities[[#This Row],[Reference Year]],Inflation[#All],3,FALSE)))</f>
        <v>10617.341772151898</v>
      </c>
    </row>
    <row r="604" spans="1:15" ht="15" customHeight="1" x14ac:dyDescent="0.25">
      <c r="A604" s="25" t="s">
        <v>189</v>
      </c>
      <c r="B604" s="9" t="str">
        <f>INDEX(Places[Type],MATCH(Activities[[#This Row],[Jurisdiction]],Places[Jurisdiction],0))</f>
        <v>City</v>
      </c>
      <c r="C604" s="19" t="str">
        <f>INDEX(Places[County],MATCH(Activities[[#This Row],[Jurisdiction]],Places[Jurisdiction],0))</f>
        <v>Los Angeles</v>
      </c>
      <c r="D604" s="19" t="str">
        <f>INDEX(Places[Majority RB],MATCH(Activities[[#This Row],[Jurisdiction]],Places[Jurisdiction],0))</f>
        <v>Los Angeles</v>
      </c>
      <c r="E604" s="9">
        <f>INDEX(Places[Majority RB '#],MATCH(Activities[[#This Row],[Jurisdiction]],Places[Jurisdiction],0))</f>
        <v>4</v>
      </c>
      <c r="F604" s="28" t="str">
        <f>VLOOKUP(Activities[[#This Row],[Jurisdiction]],Places[#All],8,FALSE)</f>
        <v>Phase I MS4</v>
      </c>
      <c r="G604" s="48" t="s">
        <v>208</v>
      </c>
      <c r="H604" s="8"/>
      <c r="I604" s="8"/>
      <c r="J604" s="8" t="s">
        <v>334</v>
      </c>
      <c r="K604" s="27" t="s">
        <v>1873</v>
      </c>
      <c r="L604" s="28">
        <f>_xlfn.NUMBERVALUE(LEFT(Activities[[#This Row],[Fiscal Year]], 4))</f>
        <v>2015</v>
      </c>
      <c r="M604" s="28" t="s">
        <v>1862</v>
      </c>
      <c r="N604" s="41">
        <v>30000</v>
      </c>
      <c r="O604" s="93">
        <f>IF(Activities[[#This Row],[Reference Year]]&gt;2018,Activities[[#This Row],[Value]],Activities[[#This Row],[Value]]*(1+VLOOKUP(Activities[[#This Row],[Reference Year]],Inflation[#All],3,FALSE)))</f>
        <v>31852.025316455696</v>
      </c>
    </row>
    <row r="605" spans="1:15" ht="15" customHeight="1" x14ac:dyDescent="0.25">
      <c r="A605" s="25" t="s">
        <v>189</v>
      </c>
      <c r="B605" s="9" t="str">
        <f>INDEX(Places[Type],MATCH(Activities[[#This Row],[Jurisdiction]],Places[Jurisdiction],0))</f>
        <v>City</v>
      </c>
      <c r="C605" s="19" t="str">
        <f>INDEX(Places[County],MATCH(Activities[[#This Row],[Jurisdiction]],Places[Jurisdiction],0))</f>
        <v>Los Angeles</v>
      </c>
      <c r="D605" s="19" t="str">
        <f>INDEX(Places[Majority RB],MATCH(Activities[[#This Row],[Jurisdiction]],Places[Jurisdiction],0))</f>
        <v>Los Angeles</v>
      </c>
      <c r="E605" s="9">
        <f>INDEX(Places[Majority RB '#],MATCH(Activities[[#This Row],[Jurisdiction]],Places[Jurisdiction],0))</f>
        <v>4</v>
      </c>
      <c r="F605" s="28" t="str">
        <f>VLOOKUP(Activities[[#This Row],[Jurisdiction]],Places[#All],8,FALSE)</f>
        <v>Phase I MS4</v>
      </c>
      <c r="G605" s="48" t="s">
        <v>61</v>
      </c>
      <c r="H605" s="8"/>
      <c r="I605" s="8"/>
      <c r="J605" s="8" t="s">
        <v>1897</v>
      </c>
      <c r="K605" s="27" t="s">
        <v>1873</v>
      </c>
      <c r="L605" s="28">
        <f>_xlfn.NUMBERVALUE(LEFT(Activities[[#This Row],[Fiscal Year]], 4))</f>
        <v>2015</v>
      </c>
      <c r="M605" s="28" t="s">
        <v>1862</v>
      </c>
      <c r="N605" s="41">
        <v>200000</v>
      </c>
      <c r="O605" s="93">
        <f>IF(Activities[[#This Row],[Reference Year]]&gt;2018,Activities[[#This Row],[Value]],Activities[[#This Row],[Value]]*(1+VLOOKUP(Activities[[#This Row],[Reference Year]],Inflation[#All],3,FALSE)))</f>
        <v>212346.83544303797</v>
      </c>
    </row>
    <row r="606" spans="1:15" ht="15" customHeight="1" x14ac:dyDescent="0.25">
      <c r="A606" s="25" t="s">
        <v>189</v>
      </c>
      <c r="B606" s="9" t="str">
        <f>INDEX(Places[Type],MATCH(Activities[[#This Row],[Jurisdiction]],Places[Jurisdiction],0))</f>
        <v>City</v>
      </c>
      <c r="C606" s="19" t="str">
        <f>INDEX(Places[County],MATCH(Activities[[#This Row],[Jurisdiction]],Places[Jurisdiction],0))</f>
        <v>Los Angeles</v>
      </c>
      <c r="D606" s="19" t="str">
        <f>INDEX(Places[Majority RB],MATCH(Activities[[#This Row],[Jurisdiction]],Places[Jurisdiction],0))</f>
        <v>Los Angeles</v>
      </c>
      <c r="E606" s="9">
        <f>INDEX(Places[Majority RB '#],MATCH(Activities[[#This Row],[Jurisdiction]],Places[Jurisdiction],0))</f>
        <v>4</v>
      </c>
      <c r="F606" s="28" t="str">
        <f>VLOOKUP(Activities[[#This Row],[Jurisdiction]],Places[#All],8,FALSE)</f>
        <v>Phase I MS4</v>
      </c>
      <c r="G606" s="48" t="s">
        <v>60</v>
      </c>
      <c r="H606" s="8"/>
      <c r="I606" s="8"/>
      <c r="J606" s="8" t="s">
        <v>1898</v>
      </c>
      <c r="K606" s="27" t="s">
        <v>1873</v>
      </c>
      <c r="L606" s="28">
        <f>_xlfn.NUMBERVALUE(LEFT(Activities[[#This Row],[Fiscal Year]], 4))</f>
        <v>2015</v>
      </c>
      <c r="M606" s="28" t="s">
        <v>1862</v>
      </c>
      <c r="N606" s="41">
        <v>20000</v>
      </c>
      <c r="O606" s="93">
        <f>IF(Activities[[#This Row],[Reference Year]]&gt;2018,Activities[[#This Row],[Value]],Activities[[#This Row],[Value]]*(1+VLOOKUP(Activities[[#This Row],[Reference Year]],Inflation[#All],3,FALSE)))</f>
        <v>21234.683544303796</v>
      </c>
    </row>
    <row r="607" spans="1:15" ht="15" customHeight="1" x14ac:dyDescent="0.25">
      <c r="A607" s="25" t="s">
        <v>189</v>
      </c>
      <c r="B607" s="9" t="str">
        <f>INDEX(Places[Type],MATCH(Activities[[#This Row],[Jurisdiction]],Places[Jurisdiction],0))</f>
        <v>City</v>
      </c>
      <c r="C607" s="19" t="str">
        <f>INDEX(Places[County],MATCH(Activities[[#This Row],[Jurisdiction]],Places[Jurisdiction],0))</f>
        <v>Los Angeles</v>
      </c>
      <c r="D607" s="19" t="str">
        <f>INDEX(Places[Majority RB],MATCH(Activities[[#This Row],[Jurisdiction]],Places[Jurisdiction],0))</f>
        <v>Los Angeles</v>
      </c>
      <c r="E607" s="9">
        <f>INDEX(Places[Majority RB '#],MATCH(Activities[[#This Row],[Jurisdiction]],Places[Jurisdiction],0))</f>
        <v>4</v>
      </c>
      <c r="F607" s="28" t="str">
        <f>VLOOKUP(Activities[[#This Row],[Jurisdiction]],Places[#All],8,FALSE)</f>
        <v>Phase I MS4</v>
      </c>
      <c r="G607" s="48" t="s">
        <v>59</v>
      </c>
      <c r="H607" s="8"/>
      <c r="I607" s="8"/>
      <c r="J607" s="8" t="s">
        <v>1898</v>
      </c>
      <c r="K607" s="27" t="s">
        <v>1873</v>
      </c>
      <c r="L607" s="28">
        <f>_xlfn.NUMBERVALUE(LEFT(Activities[[#This Row],[Fiscal Year]], 4))</f>
        <v>2015</v>
      </c>
      <c r="M607" s="28" t="s">
        <v>1862</v>
      </c>
      <c r="N607" s="41">
        <v>30000</v>
      </c>
      <c r="O607" s="93">
        <f>IF(Activities[[#This Row],[Reference Year]]&gt;2018,Activities[[#This Row],[Value]],Activities[[#This Row],[Value]]*(1+VLOOKUP(Activities[[#This Row],[Reference Year]],Inflation[#All],3,FALSE)))</f>
        <v>31852.025316455696</v>
      </c>
    </row>
    <row r="608" spans="1:15" ht="15" customHeight="1" x14ac:dyDescent="0.25">
      <c r="A608" s="25" t="s">
        <v>189</v>
      </c>
      <c r="B608" s="9" t="str">
        <f>INDEX(Places[Type],MATCH(Activities[[#This Row],[Jurisdiction]],Places[Jurisdiction],0))</f>
        <v>City</v>
      </c>
      <c r="C608" s="19" t="str">
        <f>INDEX(Places[County],MATCH(Activities[[#This Row],[Jurisdiction]],Places[Jurisdiction],0))</f>
        <v>Los Angeles</v>
      </c>
      <c r="D608" s="19" t="str">
        <f>INDEX(Places[Majority RB],MATCH(Activities[[#This Row],[Jurisdiction]],Places[Jurisdiction],0))</f>
        <v>Los Angeles</v>
      </c>
      <c r="E608" s="9">
        <f>INDEX(Places[Majority RB '#],MATCH(Activities[[#This Row],[Jurisdiction]],Places[Jurisdiction],0))</f>
        <v>4</v>
      </c>
      <c r="F608" s="28" t="str">
        <f>VLOOKUP(Activities[[#This Row],[Jurisdiction]],Places[#All],8,FALSE)</f>
        <v>Phase I MS4</v>
      </c>
      <c r="G608" s="48" t="s">
        <v>58</v>
      </c>
      <c r="H608" s="8"/>
      <c r="I608" s="8"/>
      <c r="J608" s="8" t="s">
        <v>1456</v>
      </c>
      <c r="K608" s="27" t="s">
        <v>1873</v>
      </c>
      <c r="L608" s="28">
        <f>_xlfn.NUMBERVALUE(LEFT(Activities[[#This Row],[Fiscal Year]], 4))</f>
        <v>2015</v>
      </c>
      <c r="M608" s="28" t="s">
        <v>1862</v>
      </c>
      <c r="N608" s="41">
        <v>1000</v>
      </c>
      <c r="O608" s="93">
        <f>IF(Activities[[#This Row],[Reference Year]]&gt;2018,Activities[[#This Row],[Value]],Activities[[#This Row],[Value]]*(1+VLOOKUP(Activities[[#This Row],[Reference Year]],Inflation[#All],3,FALSE)))</f>
        <v>1061.7341772151899</v>
      </c>
    </row>
    <row r="609" spans="1:15" ht="15" customHeight="1" x14ac:dyDescent="0.25">
      <c r="A609" s="25" t="s">
        <v>189</v>
      </c>
      <c r="B609" s="9" t="str">
        <f>INDEX(Places[Type],MATCH(Activities[[#This Row],[Jurisdiction]],Places[Jurisdiction],0))</f>
        <v>City</v>
      </c>
      <c r="C609" s="19" t="str">
        <f>INDEX(Places[County],MATCH(Activities[[#This Row],[Jurisdiction]],Places[Jurisdiction],0))</f>
        <v>Los Angeles</v>
      </c>
      <c r="D609" s="19" t="str">
        <f>INDEX(Places[Majority RB],MATCH(Activities[[#This Row],[Jurisdiction]],Places[Jurisdiction],0))</f>
        <v>Los Angeles</v>
      </c>
      <c r="E609" s="9">
        <f>INDEX(Places[Majority RB '#],MATCH(Activities[[#This Row],[Jurisdiction]],Places[Jurisdiction],0))</f>
        <v>4</v>
      </c>
      <c r="F609" s="28" t="str">
        <f>VLOOKUP(Activities[[#This Row],[Jurisdiction]],Places[#All],8,FALSE)</f>
        <v>Phase I MS4</v>
      </c>
      <c r="G609" s="48" t="s">
        <v>32</v>
      </c>
      <c r="H609" s="8"/>
      <c r="I609" s="8"/>
      <c r="J609" s="8" t="s">
        <v>1894</v>
      </c>
      <c r="K609" s="27" t="s">
        <v>1873</v>
      </c>
      <c r="L609" s="28">
        <f>_xlfn.NUMBERVALUE(LEFT(Activities[[#This Row],[Fiscal Year]], 4))</f>
        <v>2015</v>
      </c>
      <c r="M609" s="28" t="s">
        <v>1862</v>
      </c>
      <c r="N609" s="41">
        <v>300000</v>
      </c>
      <c r="O609" s="93">
        <f>IF(Activities[[#This Row],[Reference Year]]&gt;2018,Activities[[#This Row],[Value]],Activities[[#This Row],[Value]]*(1+VLOOKUP(Activities[[#This Row],[Reference Year]],Inflation[#All],3,FALSE)))</f>
        <v>318520.25316455693</v>
      </c>
    </row>
    <row r="610" spans="1:15" ht="15" customHeight="1" x14ac:dyDescent="0.25">
      <c r="A610" s="25" t="s">
        <v>189</v>
      </c>
      <c r="B610" s="9" t="str">
        <f>INDEX(Places[Type],MATCH(Activities[[#This Row],[Jurisdiction]],Places[Jurisdiction],0))</f>
        <v>City</v>
      </c>
      <c r="C610" s="19" t="str">
        <f>INDEX(Places[County],MATCH(Activities[[#This Row],[Jurisdiction]],Places[Jurisdiction],0))</f>
        <v>Los Angeles</v>
      </c>
      <c r="D610" s="19" t="str">
        <f>INDEX(Places[Majority RB],MATCH(Activities[[#This Row],[Jurisdiction]],Places[Jurisdiction],0))</f>
        <v>Los Angeles</v>
      </c>
      <c r="E610" s="9">
        <f>INDEX(Places[Majority RB '#],MATCH(Activities[[#This Row],[Jurisdiction]],Places[Jurisdiction],0))</f>
        <v>4</v>
      </c>
      <c r="F610" s="28" t="str">
        <f>VLOOKUP(Activities[[#This Row],[Jurisdiction]],Places[#All],8,FALSE)</f>
        <v>Phase I MS4</v>
      </c>
      <c r="G610" s="48" t="s">
        <v>211</v>
      </c>
      <c r="H610" s="8"/>
      <c r="I610" s="8"/>
      <c r="J610" s="8" t="s">
        <v>1896</v>
      </c>
      <c r="K610" s="27" t="s">
        <v>1873</v>
      </c>
      <c r="L610" s="28">
        <f>_xlfn.NUMBERVALUE(LEFT(Activities[[#This Row],[Fiscal Year]], 4))</f>
        <v>2015</v>
      </c>
      <c r="M610" s="28" t="s">
        <v>1862</v>
      </c>
      <c r="N610" s="41">
        <v>5000</v>
      </c>
      <c r="O610" s="93">
        <f>IF(Activities[[#This Row],[Reference Year]]&gt;2018,Activities[[#This Row],[Value]],Activities[[#This Row],[Value]]*(1+VLOOKUP(Activities[[#This Row],[Reference Year]],Inflation[#All],3,FALSE)))</f>
        <v>5308.6708860759491</v>
      </c>
    </row>
    <row r="611" spans="1:15" ht="15" customHeight="1" x14ac:dyDescent="0.25">
      <c r="A611" s="25" t="s">
        <v>189</v>
      </c>
      <c r="B611" s="9" t="str">
        <f>INDEX(Places[Type],MATCH(Activities[[#This Row],[Jurisdiction]],Places[Jurisdiction],0))</f>
        <v>City</v>
      </c>
      <c r="C611" s="19" t="str">
        <f>INDEX(Places[County],MATCH(Activities[[#This Row],[Jurisdiction]],Places[Jurisdiction],0))</f>
        <v>Los Angeles</v>
      </c>
      <c r="D611" s="19" t="str">
        <f>INDEX(Places[Majority RB],MATCH(Activities[[#This Row],[Jurisdiction]],Places[Jurisdiction],0))</f>
        <v>Los Angeles</v>
      </c>
      <c r="E611" s="9">
        <f>INDEX(Places[Majority RB '#],MATCH(Activities[[#This Row],[Jurisdiction]],Places[Jurisdiction],0))</f>
        <v>4</v>
      </c>
      <c r="F611" s="28" t="str">
        <f>VLOOKUP(Activities[[#This Row],[Jurisdiction]],Places[#All],8,FALSE)</f>
        <v>Phase I MS4</v>
      </c>
      <c r="G611" s="48" t="s">
        <v>67</v>
      </c>
      <c r="H611" s="8"/>
      <c r="I611" s="8"/>
      <c r="J611" s="8" t="s">
        <v>1896</v>
      </c>
      <c r="K611" s="27" t="s">
        <v>1873</v>
      </c>
      <c r="L611" s="28">
        <f>_xlfn.NUMBERVALUE(LEFT(Activities[[#This Row],[Fiscal Year]], 4))</f>
        <v>2015</v>
      </c>
      <c r="M611" s="28" t="s">
        <v>1862</v>
      </c>
      <c r="N611" s="41">
        <v>30000</v>
      </c>
      <c r="O611" s="93">
        <f>IF(Activities[[#This Row],[Reference Year]]&gt;2018,Activities[[#This Row],[Value]],Activities[[#This Row],[Value]]*(1+VLOOKUP(Activities[[#This Row],[Reference Year]],Inflation[#All],3,FALSE)))</f>
        <v>31852.025316455696</v>
      </c>
    </row>
    <row r="612" spans="1:15" ht="15" customHeight="1" x14ac:dyDescent="0.25">
      <c r="A612" s="25" t="s">
        <v>189</v>
      </c>
      <c r="B612" s="9" t="str">
        <f>INDEX(Places[Type],MATCH(Activities[[#This Row],[Jurisdiction]],Places[Jurisdiction],0))</f>
        <v>City</v>
      </c>
      <c r="C612" s="19" t="str">
        <f>INDEX(Places[County],MATCH(Activities[[#This Row],[Jurisdiction]],Places[Jurisdiction],0))</f>
        <v>Los Angeles</v>
      </c>
      <c r="D612" s="19" t="str">
        <f>INDEX(Places[Majority RB],MATCH(Activities[[#This Row],[Jurisdiction]],Places[Jurisdiction],0))</f>
        <v>Los Angeles</v>
      </c>
      <c r="E612" s="9">
        <f>INDEX(Places[Majority RB '#],MATCH(Activities[[#This Row],[Jurisdiction]],Places[Jurisdiction],0))</f>
        <v>4</v>
      </c>
      <c r="F612" s="28" t="str">
        <f>VLOOKUP(Activities[[#This Row],[Jurisdiction]],Places[#All],8,FALSE)</f>
        <v>Phase I MS4</v>
      </c>
      <c r="G612" s="48" t="s">
        <v>33</v>
      </c>
      <c r="H612" s="8"/>
      <c r="I612" s="8"/>
      <c r="J612" s="8" t="s">
        <v>47</v>
      </c>
      <c r="K612" s="27" t="s">
        <v>1873</v>
      </c>
      <c r="L612" s="28">
        <f>_xlfn.NUMBERVALUE(LEFT(Activities[[#This Row],[Fiscal Year]], 4))</f>
        <v>2015</v>
      </c>
      <c r="M612" s="28" t="s">
        <v>1862</v>
      </c>
      <c r="N612" s="41">
        <v>97000</v>
      </c>
      <c r="O612" s="93">
        <f>IF(Activities[[#This Row],[Reference Year]]&gt;2018,Activities[[#This Row],[Value]],Activities[[#This Row],[Value]]*(1+VLOOKUP(Activities[[#This Row],[Reference Year]],Inflation[#All],3,FALSE)))</f>
        <v>102988.21518987342</v>
      </c>
    </row>
    <row r="613" spans="1:15" ht="15" customHeight="1" x14ac:dyDescent="0.25">
      <c r="A613" s="9" t="s">
        <v>202</v>
      </c>
      <c r="B613" s="9" t="str">
        <f>INDEX(Places[Type],MATCH(Activities[[#This Row],[Jurisdiction]],Places[Jurisdiction],0))</f>
        <v>City</v>
      </c>
      <c r="C613" s="19" t="str">
        <f>INDEX(Places[County],MATCH(Activities[[#This Row],[Jurisdiction]],Places[Jurisdiction],0))</f>
        <v>Los Angeles</v>
      </c>
      <c r="D613" s="19" t="str">
        <f>INDEX(Places[Majority RB],MATCH(Activities[[#This Row],[Jurisdiction]],Places[Jurisdiction],0))</f>
        <v>Los Angeles</v>
      </c>
      <c r="E613" s="9">
        <f>INDEX(Places[Majority RB '#],MATCH(Activities[[#This Row],[Jurisdiction]],Places[Jurisdiction],0))</f>
        <v>4</v>
      </c>
      <c r="F613" s="28" t="str">
        <f>VLOOKUP(Activities[[#This Row],[Jurisdiction]],Places[#All],8,FALSE)</f>
        <v>Phase I MS4</v>
      </c>
      <c r="G613" s="48" t="s">
        <v>64</v>
      </c>
      <c r="H613" s="8"/>
      <c r="I613" s="8"/>
      <c r="J613" s="8" t="s">
        <v>76</v>
      </c>
      <c r="K613" s="27" t="s">
        <v>1873</v>
      </c>
      <c r="L613" s="28">
        <f>_xlfn.NUMBERVALUE(LEFT(Activities[[#This Row],[Fiscal Year]], 4))</f>
        <v>2015</v>
      </c>
      <c r="M613" s="28" t="s">
        <v>1862</v>
      </c>
      <c r="N613" s="41">
        <v>12000</v>
      </c>
      <c r="O613" s="93">
        <f>IF(Activities[[#This Row],[Reference Year]]&gt;2018,Activities[[#This Row],[Value]],Activities[[#This Row],[Value]]*(1+VLOOKUP(Activities[[#This Row],[Reference Year]],Inflation[#All],3,FALSE)))</f>
        <v>12740.810126582277</v>
      </c>
    </row>
    <row r="614" spans="1:15" ht="15" customHeight="1" x14ac:dyDescent="0.25">
      <c r="A614" s="9" t="s">
        <v>202</v>
      </c>
      <c r="B614" s="9" t="str">
        <f>INDEX(Places[Type],MATCH(Activities[[#This Row],[Jurisdiction]],Places[Jurisdiction],0))</f>
        <v>City</v>
      </c>
      <c r="C614" s="19" t="str">
        <f>INDEX(Places[County],MATCH(Activities[[#This Row],[Jurisdiction]],Places[Jurisdiction],0))</f>
        <v>Los Angeles</v>
      </c>
      <c r="D614" s="19" t="str">
        <f>INDEX(Places[Majority RB],MATCH(Activities[[#This Row],[Jurisdiction]],Places[Jurisdiction],0))</f>
        <v>Los Angeles</v>
      </c>
      <c r="E614" s="9">
        <f>INDEX(Places[Majority RB '#],MATCH(Activities[[#This Row],[Jurisdiction]],Places[Jurisdiction],0))</f>
        <v>4</v>
      </c>
      <c r="F614" s="28" t="str">
        <f>VLOOKUP(Activities[[#This Row],[Jurisdiction]],Places[#All],8,FALSE)</f>
        <v>Phase I MS4</v>
      </c>
      <c r="G614" s="48" t="s">
        <v>62</v>
      </c>
      <c r="H614" s="8"/>
      <c r="I614" s="8"/>
      <c r="J614" s="8" t="s">
        <v>131</v>
      </c>
      <c r="K614" s="27" t="s">
        <v>1873</v>
      </c>
      <c r="L614" s="28">
        <f>_xlfn.NUMBERVALUE(LEFT(Activities[[#This Row],[Fiscal Year]], 4))</f>
        <v>2015</v>
      </c>
      <c r="M614" s="28" t="s">
        <v>1862</v>
      </c>
      <c r="N614" s="41">
        <v>50000</v>
      </c>
      <c r="O614" s="93">
        <f>IF(Activities[[#This Row],[Reference Year]]&gt;2018,Activities[[#This Row],[Value]],Activities[[#This Row],[Value]]*(1+VLOOKUP(Activities[[#This Row],[Reference Year]],Inflation[#All],3,FALSE)))</f>
        <v>53086.708860759492</v>
      </c>
    </row>
    <row r="615" spans="1:15" ht="15" customHeight="1" x14ac:dyDescent="0.25">
      <c r="A615" s="9" t="s">
        <v>202</v>
      </c>
      <c r="B615" s="9" t="str">
        <f>INDEX(Places[Type],MATCH(Activities[[#This Row],[Jurisdiction]],Places[Jurisdiction],0))</f>
        <v>City</v>
      </c>
      <c r="C615" s="19" t="str">
        <f>INDEX(Places[County],MATCH(Activities[[#This Row],[Jurisdiction]],Places[Jurisdiction],0))</f>
        <v>Los Angeles</v>
      </c>
      <c r="D615" s="19" t="str">
        <f>INDEX(Places[Majority RB],MATCH(Activities[[#This Row],[Jurisdiction]],Places[Jurisdiction],0))</f>
        <v>Los Angeles</v>
      </c>
      <c r="E615" s="9">
        <f>INDEX(Places[Majority RB '#],MATCH(Activities[[#This Row],[Jurisdiction]],Places[Jurisdiction],0))</f>
        <v>4</v>
      </c>
      <c r="F615" s="28" t="str">
        <f>VLOOKUP(Activities[[#This Row],[Jurisdiction]],Places[#All],8,FALSE)</f>
        <v>Phase I MS4</v>
      </c>
      <c r="G615" s="48" t="s">
        <v>208</v>
      </c>
      <c r="H615" s="8"/>
      <c r="I615" s="8"/>
      <c r="J615" s="8" t="s">
        <v>334</v>
      </c>
      <c r="K615" s="27" t="s">
        <v>1873</v>
      </c>
      <c r="L615" s="28">
        <f>_xlfn.NUMBERVALUE(LEFT(Activities[[#This Row],[Fiscal Year]], 4))</f>
        <v>2015</v>
      </c>
      <c r="M615" s="28" t="s">
        <v>1862</v>
      </c>
      <c r="N615" s="41">
        <v>25000</v>
      </c>
      <c r="O615" s="93">
        <f>IF(Activities[[#This Row],[Reference Year]]&gt;2018,Activities[[#This Row],[Value]],Activities[[#This Row],[Value]]*(1+VLOOKUP(Activities[[#This Row],[Reference Year]],Inflation[#All],3,FALSE)))</f>
        <v>26543.354430379746</v>
      </c>
    </row>
    <row r="616" spans="1:15" ht="15" customHeight="1" x14ac:dyDescent="0.25">
      <c r="A616" s="9" t="s">
        <v>202</v>
      </c>
      <c r="B616" s="9" t="str">
        <f>INDEX(Places[Type],MATCH(Activities[[#This Row],[Jurisdiction]],Places[Jurisdiction],0))</f>
        <v>City</v>
      </c>
      <c r="C616" s="19" t="str">
        <f>INDEX(Places[County],MATCH(Activities[[#This Row],[Jurisdiction]],Places[Jurisdiction],0))</f>
        <v>Los Angeles</v>
      </c>
      <c r="D616" s="19" t="str">
        <f>INDEX(Places[Majority RB],MATCH(Activities[[#This Row],[Jurisdiction]],Places[Jurisdiction],0))</f>
        <v>Los Angeles</v>
      </c>
      <c r="E616" s="9">
        <f>INDEX(Places[Majority RB '#],MATCH(Activities[[#This Row],[Jurisdiction]],Places[Jurisdiction],0))</f>
        <v>4</v>
      </c>
      <c r="F616" s="28" t="str">
        <f>VLOOKUP(Activities[[#This Row],[Jurisdiction]],Places[#All],8,FALSE)</f>
        <v>Phase I MS4</v>
      </c>
      <c r="G616" s="48" t="s">
        <v>61</v>
      </c>
      <c r="H616" s="8" t="s">
        <v>947</v>
      </c>
      <c r="I616" s="8" t="s">
        <v>429</v>
      </c>
      <c r="J616" s="8" t="s">
        <v>1897</v>
      </c>
      <c r="K616" s="27" t="s">
        <v>1873</v>
      </c>
      <c r="L616" s="28">
        <f>_xlfn.NUMBERVALUE(LEFT(Activities[[#This Row],[Fiscal Year]], 4))</f>
        <v>2015</v>
      </c>
      <c r="M616" s="28" t="s">
        <v>1862</v>
      </c>
      <c r="N616" s="41">
        <v>26500</v>
      </c>
      <c r="O616" s="93">
        <f>IF(Activities[[#This Row],[Reference Year]]&gt;2018,Activities[[#This Row],[Value]],Activities[[#This Row],[Value]]*(1+VLOOKUP(Activities[[#This Row],[Reference Year]],Inflation[#All],3,FALSE)))</f>
        <v>28135.955696202531</v>
      </c>
    </row>
    <row r="617" spans="1:15" ht="15" customHeight="1" x14ac:dyDescent="0.25">
      <c r="A617" s="9" t="s">
        <v>202</v>
      </c>
      <c r="B617" s="9" t="str">
        <f>INDEX(Places[Type],MATCH(Activities[[#This Row],[Jurisdiction]],Places[Jurisdiction],0))</f>
        <v>City</v>
      </c>
      <c r="C617" s="19" t="str">
        <f>INDEX(Places[County],MATCH(Activities[[#This Row],[Jurisdiction]],Places[Jurisdiction],0))</f>
        <v>Los Angeles</v>
      </c>
      <c r="D617" s="19" t="str">
        <f>INDEX(Places[Majority RB],MATCH(Activities[[#This Row],[Jurisdiction]],Places[Jurisdiction],0))</f>
        <v>Los Angeles</v>
      </c>
      <c r="E617" s="9">
        <f>INDEX(Places[Majority RB '#],MATCH(Activities[[#This Row],[Jurisdiction]],Places[Jurisdiction],0))</f>
        <v>4</v>
      </c>
      <c r="F617" s="28" t="str">
        <f>VLOOKUP(Activities[[#This Row],[Jurisdiction]],Places[#All],8,FALSE)</f>
        <v>Phase I MS4</v>
      </c>
      <c r="G617" s="48" t="s">
        <v>59</v>
      </c>
      <c r="H617" s="8"/>
      <c r="I617" s="8"/>
      <c r="J617" s="8" t="s">
        <v>1898</v>
      </c>
      <c r="K617" s="27" t="s">
        <v>1873</v>
      </c>
      <c r="L617" s="28">
        <f>_xlfn.NUMBERVALUE(LEFT(Activities[[#This Row],[Fiscal Year]], 4))</f>
        <v>2015</v>
      </c>
      <c r="M617" s="28" t="s">
        <v>1862</v>
      </c>
      <c r="N617" s="41">
        <v>20000</v>
      </c>
      <c r="O617" s="93">
        <f>IF(Activities[[#This Row],[Reference Year]]&gt;2018,Activities[[#This Row],[Value]],Activities[[#This Row],[Value]]*(1+VLOOKUP(Activities[[#This Row],[Reference Year]],Inflation[#All],3,FALSE)))</f>
        <v>21234.683544303796</v>
      </c>
    </row>
    <row r="618" spans="1:15" ht="15" customHeight="1" x14ac:dyDescent="0.25">
      <c r="A618" s="9" t="s">
        <v>202</v>
      </c>
      <c r="B618" s="9" t="str">
        <f>INDEX(Places[Type],MATCH(Activities[[#This Row],[Jurisdiction]],Places[Jurisdiction],0))</f>
        <v>City</v>
      </c>
      <c r="C618" s="19" t="str">
        <f>INDEX(Places[County],MATCH(Activities[[#This Row],[Jurisdiction]],Places[Jurisdiction],0))</f>
        <v>Los Angeles</v>
      </c>
      <c r="D618" s="19" t="str">
        <f>INDEX(Places[Majority RB],MATCH(Activities[[#This Row],[Jurisdiction]],Places[Jurisdiction],0))</f>
        <v>Los Angeles</v>
      </c>
      <c r="E618" s="9">
        <f>INDEX(Places[Majority RB '#],MATCH(Activities[[#This Row],[Jurisdiction]],Places[Jurisdiction],0))</f>
        <v>4</v>
      </c>
      <c r="F618" s="28" t="str">
        <f>VLOOKUP(Activities[[#This Row],[Jurisdiction]],Places[#All],8,FALSE)</f>
        <v>Phase I MS4</v>
      </c>
      <c r="G618" s="48" t="s">
        <v>60</v>
      </c>
      <c r="H618" s="8"/>
      <c r="I618" s="8"/>
      <c r="J618" s="8" t="s">
        <v>1898</v>
      </c>
      <c r="K618" s="27" t="s">
        <v>1873</v>
      </c>
      <c r="L618" s="28">
        <f>_xlfn.NUMBERVALUE(LEFT(Activities[[#This Row],[Fiscal Year]], 4))</f>
        <v>2015</v>
      </c>
      <c r="M618" s="28" t="s">
        <v>1862</v>
      </c>
      <c r="N618" s="41">
        <v>30000</v>
      </c>
      <c r="O618" s="93">
        <f>IF(Activities[[#This Row],[Reference Year]]&gt;2018,Activities[[#This Row],[Value]],Activities[[#This Row],[Value]]*(1+VLOOKUP(Activities[[#This Row],[Reference Year]],Inflation[#All],3,FALSE)))</f>
        <v>31852.025316455696</v>
      </c>
    </row>
    <row r="619" spans="1:15" ht="15" customHeight="1" x14ac:dyDescent="0.25">
      <c r="A619" s="9" t="s">
        <v>202</v>
      </c>
      <c r="B619" s="9" t="str">
        <f>INDEX(Places[Type],MATCH(Activities[[#This Row],[Jurisdiction]],Places[Jurisdiction],0))</f>
        <v>City</v>
      </c>
      <c r="C619" s="19" t="str">
        <f>INDEX(Places[County],MATCH(Activities[[#This Row],[Jurisdiction]],Places[Jurisdiction],0))</f>
        <v>Los Angeles</v>
      </c>
      <c r="D619" s="19" t="str">
        <f>INDEX(Places[Majority RB],MATCH(Activities[[#This Row],[Jurisdiction]],Places[Jurisdiction],0))</f>
        <v>Los Angeles</v>
      </c>
      <c r="E619" s="9">
        <f>INDEX(Places[Majority RB '#],MATCH(Activities[[#This Row],[Jurisdiction]],Places[Jurisdiction],0))</f>
        <v>4</v>
      </c>
      <c r="F619" s="28" t="str">
        <f>VLOOKUP(Activities[[#This Row],[Jurisdiction]],Places[#All],8,FALSE)</f>
        <v>Phase I MS4</v>
      </c>
      <c r="G619" s="48" t="s">
        <v>58</v>
      </c>
      <c r="H619" s="8"/>
      <c r="I619" s="8"/>
      <c r="J619" s="8" t="s">
        <v>1456</v>
      </c>
      <c r="K619" s="27" t="s">
        <v>1873</v>
      </c>
      <c r="L619" s="28">
        <f>_xlfn.NUMBERVALUE(LEFT(Activities[[#This Row],[Fiscal Year]], 4))</f>
        <v>2015</v>
      </c>
      <c r="M619" s="28" t="s">
        <v>1862</v>
      </c>
      <c r="N619" s="41">
        <v>1000</v>
      </c>
      <c r="O619" s="93">
        <f>IF(Activities[[#This Row],[Reference Year]]&gt;2018,Activities[[#This Row],[Value]],Activities[[#This Row],[Value]]*(1+VLOOKUP(Activities[[#This Row],[Reference Year]],Inflation[#All],3,FALSE)))</f>
        <v>1061.7341772151899</v>
      </c>
    </row>
    <row r="620" spans="1:15" ht="15" customHeight="1" x14ac:dyDescent="0.25">
      <c r="A620" s="9" t="s">
        <v>202</v>
      </c>
      <c r="B620" s="9" t="str">
        <f>INDEX(Places[Type],MATCH(Activities[[#This Row],[Jurisdiction]],Places[Jurisdiction],0))</f>
        <v>City</v>
      </c>
      <c r="C620" s="19" t="str">
        <f>INDEX(Places[County],MATCH(Activities[[#This Row],[Jurisdiction]],Places[Jurisdiction],0))</f>
        <v>Los Angeles</v>
      </c>
      <c r="D620" s="19" t="str">
        <f>INDEX(Places[Majority RB],MATCH(Activities[[#This Row],[Jurisdiction]],Places[Jurisdiction],0))</f>
        <v>Los Angeles</v>
      </c>
      <c r="E620" s="9">
        <f>INDEX(Places[Majority RB '#],MATCH(Activities[[#This Row],[Jurisdiction]],Places[Jurisdiction],0))</f>
        <v>4</v>
      </c>
      <c r="F620" s="28" t="str">
        <f>VLOOKUP(Activities[[#This Row],[Jurisdiction]],Places[#All],8,FALSE)</f>
        <v>Phase I MS4</v>
      </c>
      <c r="G620" s="48" t="s">
        <v>32</v>
      </c>
      <c r="H620" s="8"/>
      <c r="I620" s="8"/>
      <c r="J620" s="8" t="s">
        <v>1894</v>
      </c>
      <c r="K620" s="27" t="s">
        <v>1873</v>
      </c>
      <c r="L620" s="28">
        <f>_xlfn.NUMBERVALUE(LEFT(Activities[[#This Row],[Fiscal Year]], 4))</f>
        <v>2015</v>
      </c>
      <c r="M620" s="28" t="s">
        <v>1862</v>
      </c>
      <c r="N620" s="41">
        <v>100000</v>
      </c>
      <c r="O620" s="93">
        <f>IF(Activities[[#This Row],[Reference Year]]&gt;2018,Activities[[#This Row],[Value]],Activities[[#This Row],[Value]]*(1+VLOOKUP(Activities[[#This Row],[Reference Year]],Inflation[#All],3,FALSE)))</f>
        <v>106173.41772151898</v>
      </c>
    </row>
    <row r="621" spans="1:15" ht="15" customHeight="1" x14ac:dyDescent="0.25">
      <c r="A621" s="9" t="s">
        <v>202</v>
      </c>
      <c r="B621" s="9" t="str">
        <f>INDEX(Places[Type],MATCH(Activities[[#This Row],[Jurisdiction]],Places[Jurisdiction],0))</f>
        <v>City</v>
      </c>
      <c r="C621" s="19" t="str">
        <f>INDEX(Places[County],MATCH(Activities[[#This Row],[Jurisdiction]],Places[Jurisdiction],0))</f>
        <v>Los Angeles</v>
      </c>
      <c r="D621" s="19" t="str">
        <f>INDEX(Places[Majority RB],MATCH(Activities[[#This Row],[Jurisdiction]],Places[Jurisdiction],0))</f>
        <v>Los Angeles</v>
      </c>
      <c r="E621" s="9">
        <f>INDEX(Places[Majority RB '#],MATCH(Activities[[#This Row],[Jurisdiction]],Places[Jurisdiction],0))</f>
        <v>4</v>
      </c>
      <c r="F621" s="28" t="str">
        <f>VLOOKUP(Activities[[#This Row],[Jurisdiction]],Places[#All],8,FALSE)</f>
        <v>Phase I MS4</v>
      </c>
      <c r="G621" s="48" t="s">
        <v>67</v>
      </c>
      <c r="H621" s="8" t="s">
        <v>948</v>
      </c>
      <c r="I621" s="8" t="s">
        <v>429</v>
      </c>
      <c r="J621" s="8" t="s">
        <v>1896</v>
      </c>
      <c r="K621" s="27" t="s">
        <v>1873</v>
      </c>
      <c r="L621" s="28">
        <f>_xlfn.NUMBERVALUE(LEFT(Activities[[#This Row],[Fiscal Year]], 4))</f>
        <v>2015</v>
      </c>
      <c r="M621" s="28" t="s">
        <v>1862</v>
      </c>
      <c r="N621" s="41">
        <v>200000</v>
      </c>
      <c r="O621" s="93">
        <f>IF(Activities[[#This Row],[Reference Year]]&gt;2018,Activities[[#This Row],[Value]],Activities[[#This Row],[Value]]*(1+VLOOKUP(Activities[[#This Row],[Reference Year]],Inflation[#All],3,FALSE)))</f>
        <v>212346.83544303797</v>
      </c>
    </row>
    <row r="622" spans="1:15" ht="15" customHeight="1" x14ac:dyDescent="0.25">
      <c r="A622" s="9" t="s">
        <v>202</v>
      </c>
      <c r="B622" s="9" t="str">
        <f>INDEX(Places[Type],MATCH(Activities[[#This Row],[Jurisdiction]],Places[Jurisdiction],0))</f>
        <v>City</v>
      </c>
      <c r="C622" s="19" t="str">
        <f>INDEX(Places[County],MATCH(Activities[[#This Row],[Jurisdiction]],Places[Jurisdiction],0))</f>
        <v>Los Angeles</v>
      </c>
      <c r="D622" s="19" t="str">
        <f>INDEX(Places[Majority RB],MATCH(Activities[[#This Row],[Jurisdiction]],Places[Jurisdiction],0))</f>
        <v>Los Angeles</v>
      </c>
      <c r="E622" s="9">
        <f>INDEX(Places[Majority RB '#],MATCH(Activities[[#This Row],[Jurisdiction]],Places[Jurisdiction],0))</f>
        <v>4</v>
      </c>
      <c r="F622" s="28" t="str">
        <f>VLOOKUP(Activities[[#This Row],[Jurisdiction]],Places[#All],8,FALSE)</f>
        <v>Phase I MS4</v>
      </c>
      <c r="G622" s="48" t="s">
        <v>33</v>
      </c>
      <c r="H622" s="8"/>
      <c r="I622" s="8"/>
      <c r="J622" s="8" t="s">
        <v>47</v>
      </c>
      <c r="K622" s="27" t="s">
        <v>1873</v>
      </c>
      <c r="L622" s="28">
        <f>_xlfn.NUMBERVALUE(LEFT(Activities[[#This Row],[Fiscal Year]], 4))</f>
        <v>2015</v>
      </c>
      <c r="M622" s="28" t="s">
        <v>1862</v>
      </c>
      <c r="N622" s="41">
        <v>5000</v>
      </c>
      <c r="O622" s="93">
        <f>IF(Activities[[#This Row],[Reference Year]]&gt;2018,Activities[[#This Row],[Value]],Activities[[#This Row],[Value]]*(1+VLOOKUP(Activities[[#This Row],[Reference Year]],Inflation[#All],3,FALSE)))</f>
        <v>5308.6708860759491</v>
      </c>
    </row>
    <row r="623" spans="1:15" ht="15" customHeight="1" x14ac:dyDescent="0.25">
      <c r="A623" s="25" t="s">
        <v>168</v>
      </c>
      <c r="B623" s="9" t="str">
        <f>INDEX(Places[Type],MATCH(Activities[[#This Row],[Jurisdiction]],Places[Jurisdiction],0))</f>
        <v>City</v>
      </c>
      <c r="C623" s="19" t="str">
        <f>INDEX(Places[County],MATCH(Activities[[#This Row],[Jurisdiction]],Places[Jurisdiction],0))</f>
        <v>Los Angeles</v>
      </c>
      <c r="D623" s="19" t="str">
        <f>INDEX(Places[Majority RB],MATCH(Activities[[#This Row],[Jurisdiction]],Places[Jurisdiction],0))</f>
        <v>Los Angeles</v>
      </c>
      <c r="E623" s="9">
        <f>INDEX(Places[Majority RB '#],MATCH(Activities[[#This Row],[Jurisdiction]],Places[Jurisdiction],0))</f>
        <v>4</v>
      </c>
      <c r="F623" s="28" t="str">
        <f>VLOOKUP(Activities[[#This Row],[Jurisdiction]],Places[#All],8,FALSE)</f>
        <v>Phase I MS4</v>
      </c>
      <c r="G623" s="48" t="s">
        <v>208</v>
      </c>
      <c r="H623" s="8"/>
      <c r="I623" s="8"/>
      <c r="J623" s="8" t="s">
        <v>334</v>
      </c>
      <c r="K623" s="27" t="s">
        <v>1873</v>
      </c>
      <c r="L623" s="28">
        <f>_xlfn.NUMBERVALUE(LEFT(Activities[[#This Row],[Fiscal Year]], 4))</f>
        <v>2015</v>
      </c>
      <c r="M623" s="28" t="s">
        <v>1862</v>
      </c>
      <c r="N623" s="41">
        <v>8000</v>
      </c>
      <c r="O623" s="93">
        <f>IF(Activities[[#This Row],[Reference Year]]&gt;2018,Activities[[#This Row],[Value]],Activities[[#This Row],[Value]]*(1+VLOOKUP(Activities[[#This Row],[Reference Year]],Inflation[#All],3,FALSE)))</f>
        <v>8493.8734177215192</v>
      </c>
    </row>
    <row r="624" spans="1:15" ht="15" customHeight="1" x14ac:dyDescent="0.25">
      <c r="A624" s="25" t="s">
        <v>168</v>
      </c>
      <c r="B624" s="9" t="str">
        <f>INDEX(Places[Type],MATCH(Activities[[#This Row],[Jurisdiction]],Places[Jurisdiction],0))</f>
        <v>City</v>
      </c>
      <c r="C624" s="19" t="str">
        <f>INDEX(Places[County],MATCH(Activities[[#This Row],[Jurisdiction]],Places[Jurisdiction],0))</f>
        <v>Los Angeles</v>
      </c>
      <c r="D624" s="19" t="str">
        <f>INDEX(Places[Majority RB],MATCH(Activities[[#This Row],[Jurisdiction]],Places[Jurisdiction],0))</f>
        <v>Los Angeles</v>
      </c>
      <c r="E624" s="9">
        <f>INDEX(Places[Majority RB '#],MATCH(Activities[[#This Row],[Jurisdiction]],Places[Jurisdiction],0))</f>
        <v>4</v>
      </c>
      <c r="F624" s="28" t="str">
        <f>VLOOKUP(Activities[[#This Row],[Jurisdiction]],Places[#All],8,FALSE)</f>
        <v>Phase I MS4</v>
      </c>
      <c r="G624" s="48" t="s">
        <v>61</v>
      </c>
      <c r="H624" s="8"/>
      <c r="I624" s="8"/>
      <c r="J624" s="8" t="s">
        <v>1897</v>
      </c>
      <c r="K624" s="27" t="s">
        <v>1873</v>
      </c>
      <c r="L624" s="28">
        <f>_xlfn.NUMBERVALUE(LEFT(Activities[[#This Row],[Fiscal Year]], 4))</f>
        <v>2015</v>
      </c>
      <c r="M624" s="28" t="s">
        <v>1862</v>
      </c>
      <c r="N624" s="41">
        <v>32000</v>
      </c>
      <c r="O624" s="93">
        <f>IF(Activities[[#This Row],[Reference Year]]&gt;2018,Activities[[#This Row],[Value]],Activities[[#This Row],[Value]]*(1+VLOOKUP(Activities[[#This Row],[Reference Year]],Inflation[#All],3,FALSE)))</f>
        <v>33975.493670886077</v>
      </c>
    </row>
    <row r="625" spans="1:15" ht="15" customHeight="1" x14ac:dyDescent="0.25">
      <c r="A625" s="25" t="s">
        <v>168</v>
      </c>
      <c r="B625" s="9" t="str">
        <f>INDEX(Places[Type],MATCH(Activities[[#This Row],[Jurisdiction]],Places[Jurisdiction],0))</f>
        <v>City</v>
      </c>
      <c r="C625" s="19" t="str">
        <f>INDEX(Places[County],MATCH(Activities[[#This Row],[Jurisdiction]],Places[Jurisdiction],0))</f>
        <v>Los Angeles</v>
      </c>
      <c r="D625" s="19" t="str">
        <f>INDEX(Places[Majority RB],MATCH(Activities[[#This Row],[Jurisdiction]],Places[Jurisdiction],0))</f>
        <v>Los Angeles</v>
      </c>
      <c r="E625" s="9">
        <f>INDEX(Places[Majority RB '#],MATCH(Activities[[#This Row],[Jurisdiction]],Places[Jurisdiction],0))</f>
        <v>4</v>
      </c>
      <c r="F625" s="28" t="str">
        <f>VLOOKUP(Activities[[#This Row],[Jurisdiction]],Places[#All],8,FALSE)</f>
        <v>Phase I MS4</v>
      </c>
      <c r="G625" s="48" t="s">
        <v>59</v>
      </c>
      <c r="H625" s="8"/>
      <c r="I625" s="8"/>
      <c r="J625" s="8" t="s">
        <v>1898</v>
      </c>
      <c r="K625" s="27" t="s">
        <v>1873</v>
      </c>
      <c r="L625" s="28">
        <f>_xlfn.NUMBERVALUE(LEFT(Activities[[#This Row],[Fiscal Year]], 4))</f>
        <v>2015</v>
      </c>
      <c r="M625" s="28" t="s">
        <v>1862</v>
      </c>
      <c r="N625" s="41">
        <v>1500</v>
      </c>
      <c r="O625" s="93">
        <f>IF(Activities[[#This Row],[Reference Year]]&gt;2018,Activities[[#This Row],[Value]],Activities[[#This Row],[Value]]*(1+VLOOKUP(Activities[[#This Row],[Reference Year]],Inflation[#All],3,FALSE)))</f>
        <v>1592.6012658227846</v>
      </c>
    </row>
    <row r="626" spans="1:15" ht="15" customHeight="1" x14ac:dyDescent="0.25">
      <c r="A626" s="25" t="s">
        <v>168</v>
      </c>
      <c r="B626" s="9" t="str">
        <f>INDEX(Places[Type],MATCH(Activities[[#This Row],[Jurisdiction]],Places[Jurisdiction],0))</f>
        <v>City</v>
      </c>
      <c r="C626" s="19" t="str">
        <f>INDEX(Places[County],MATCH(Activities[[#This Row],[Jurisdiction]],Places[Jurisdiction],0))</f>
        <v>Los Angeles</v>
      </c>
      <c r="D626" s="19" t="str">
        <f>INDEX(Places[Majority RB],MATCH(Activities[[#This Row],[Jurisdiction]],Places[Jurisdiction],0))</f>
        <v>Los Angeles</v>
      </c>
      <c r="E626" s="9">
        <f>INDEX(Places[Majority RB '#],MATCH(Activities[[#This Row],[Jurisdiction]],Places[Jurisdiction],0))</f>
        <v>4</v>
      </c>
      <c r="F626" s="28" t="str">
        <f>VLOOKUP(Activities[[#This Row],[Jurisdiction]],Places[#All],8,FALSE)</f>
        <v>Phase I MS4</v>
      </c>
      <c r="G626" s="48" t="s">
        <v>60</v>
      </c>
      <c r="H626" s="8"/>
      <c r="I626" s="8"/>
      <c r="J626" s="8" t="s">
        <v>1898</v>
      </c>
      <c r="K626" s="27" t="s">
        <v>1873</v>
      </c>
      <c r="L626" s="28">
        <f>_xlfn.NUMBERVALUE(LEFT(Activities[[#This Row],[Fiscal Year]], 4))</f>
        <v>2015</v>
      </c>
      <c r="M626" s="28" t="s">
        <v>1862</v>
      </c>
      <c r="N626" s="41">
        <v>6000</v>
      </c>
      <c r="O626" s="93">
        <f>IF(Activities[[#This Row],[Reference Year]]&gt;2018,Activities[[#This Row],[Value]],Activities[[#This Row],[Value]]*(1+VLOOKUP(Activities[[#This Row],[Reference Year]],Inflation[#All],3,FALSE)))</f>
        <v>6370.4050632911385</v>
      </c>
    </row>
    <row r="627" spans="1:15" ht="15" customHeight="1" x14ac:dyDescent="0.25">
      <c r="A627" s="25" t="s">
        <v>168</v>
      </c>
      <c r="B627" s="9" t="str">
        <f>INDEX(Places[Type],MATCH(Activities[[#This Row],[Jurisdiction]],Places[Jurisdiction],0))</f>
        <v>City</v>
      </c>
      <c r="C627" s="19" t="str">
        <f>INDEX(Places[County],MATCH(Activities[[#This Row],[Jurisdiction]],Places[Jurisdiction],0))</f>
        <v>Los Angeles</v>
      </c>
      <c r="D627" s="19" t="str">
        <f>INDEX(Places[Majority RB],MATCH(Activities[[#This Row],[Jurisdiction]],Places[Jurisdiction],0))</f>
        <v>Los Angeles</v>
      </c>
      <c r="E627" s="9">
        <f>INDEX(Places[Majority RB '#],MATCH(Activities[[#This Row],[Jurisdiction]],Places[Jurisdiction],0))</f>
        <v>4</v>
      </c>
      <c r="F627" s="28" t="str">
        <f>VLOOKUP(Activities[[#This Row],[Jurisdiction]],Places[#All],8,FALSE)</f>
        <v>Phase I MS4</v>
      </c>
      <c r="G627" s="48" t="s">
        <v>58</v>
      </c>
      <c r="H627" s="8"/>
      <c r="I627" s="8"/>
      <c r="J627" s="8" t="s">
        <v>1456</v>
      </c>
      <c r="K627" s="27" t="s">
        <v>1873</v>
      </c>
      <c r="L627" s="28">
        <f>_xlfn.NUMBERVALUE(LEFT(Activities[[#This Row],[Fiscal Year]], 4))</f>
        <v>2015</v>
      </c>
      <c r="M627" s="28" t="s">
        <v>1862</v>
      </c>
      <c r="N627" s="41">
        <v>3500</v>
      </c>
      <c r="O627" s="93">
        <f>IF(Activities[[#This Row],[Reference Year]]&gt;2018,Activities[[#This Row],[Value]],Activities[[#This Row],[Value]]*(1+VLOOKUP(Activities[[#This Row],[Reference Year]],Inflation[#All],3,FALSE)))</f>
        <v>3716.0696202531644</v>
      </c>
    </row>
    <row r="628" spans="1:15" ht="15" customHeight="1" x14ac:dyDescent="0.25">
      <c r="A628" s="25" t="s">
        <v>168</v>
      </c>
      <c r="B628" s="9" t="str">
        <f>INDEX(Places[Type],MATCH(Activities[[#This Row],[Jurisdiction]],Places[Jurisdiction],0))</f>
        <v>City</v>
      </c>
      <c r="C628" s="19" t="str">
        <f>INDEX(Places[County],MATCH(Activities[[#This Row],[Jurisdiction]],Places[Jurisdiction],0))</f>
        <v>Los Angeles</v>
      </c>
      <c r="D628" s="19" t="str">
        <f>INDEX(Places[Majority RB],MATCH(Activities[[#This Row],[Jurisdiction]],Places[Jurisdiction],0))</f>
        <v>Los Angeles</v>
      </c>
      <c r="E628" s="9">
        <f>INDEX(Places[Majority RB '#],MATCH(Activities[[#This Row],[Jurisdiction]],Places[Jurisdiction],0))</f>
        <v>4</v>
      </c>
      <c r="F628" s="28" t="str">
        <f>VLOOKUP(Activities[[#This Row],[Jurisdiction]],Places[#All],8,FALSE)</f>
        <v>Phase I MS4</v>
      </c>
      <c r="G628" s="48" t="s">
        <v>32</v>
      </c>
      <c r="H628" s="8"/>
      <c r="I628" s="8"/>
      <c r="J628" s="8" t="s">
        <v>1894</v>
      </c>
      <c r="K628" s="27" t="s">
        <v>1873</v>
      </c>
      <c r="L628" s="28">
        <f>_xlfn.NUMBERVALUE(LEFT(Activities[[#This Row],[Fiscal Year]], 4))</f>
        <v>2015</v>
      </c>
      <c r="M628" s="28" t="s">
        <v>1862</v>
      </c>
      <c r="N628" s="41">
        <v>2500</v>
      </c>
      <c r="O628" s="93">
        <f>IF(Activities[[#This Row],[Reference Year]]&gt;2018,Activities[[#This Row],[Value]],Activities[[#This Row],[Value]]*(1+VLOOKUP(Activities[[#This Row],[Reference Year]],Inflation[#All],3,FALSE)))</f>
        <v>2654.3354430379745</v>
      </c>
    </row>
    <row r="629" spans="1:15" ht="15" customHeight="1" x14ac:dyDescent="0.25">
      <c r="A629" s="25" t="s">
        <v>168</v>
      </c>
      <c r="B629" s="9" t="str">
        <f>INDEX(Places[Type],MATCH(Activities[[#This Row],[Jurisdiction]],Places[Jurisdiction],0))</f>
        <v>City</v>
      </c>
      <c r="C629" s="19" t="str">
        <f>INDEX(Places[County],MATCH(Activities[[#This Row],[Jurisdiction]],Places[Jurisdiction],0))</f>
        <v>Los Angeles</v>
      </c>
      <c r="D629" s="19" t="str">
        <f>INDEX(Places[Majority RB],MATCH(Activities[[#This Row],[Jurisdiction]],Places[Jurisdiction],0))</f>
        <v>Los Angeles</v>
      </c>
      <c r="E629" s="9">
        <f>INDEX(Places[Majority RB '#],MATCH(Activities[[#This Row],[Jurisdiction]],Places[Jurisdiction],0))</f>
        <v>4</v>
      </c>
      <c r="F629" s="28" t="str">
        <f>VLOOKUP(Activities[[#This Row],[Jurisdiction]],Places[#All],8,FALSE)</f>
        <v>Phase I MS4</v>
      </c>
      <c r="G629" s="48" t="s">
        <v>67</v>
      </c>
      <c r="H629" s="8" t="s">
        <v>917</v>
      </c>
      <c r="I629" s="8" t="s">
        <v>429</v>
      </c>
      <c r="J629" s="8" t="s">
        <v>1896</v>
      </c>
      <c r="K629" s="27" t="s">
        <v>1873</v>
      </c>
      <c r="L629" s="28">
        <f>_xlfn.NUMBERVALUE(LEFT(Activities[[#This Row],[Fiscal Year]], 4))</f>
        <v>2015</v>
      </c>
      <c r="M629" s="28" t="s">
        <v>1862</v>
      </c>
      <c r="N629" s="41">
        <v>4000</v>
      </c>
      <c r="O629" s="93">
        <f>IF(Activities[[#This Row],[Reference Year]]&gt;2018,Activities[[#This Row],[Value]],Activities[[#This Row],[Value]]*(1+VLOOKUP(Activities[[#This Row],[Reference Year]],Inflation[#All],3,FALSE)))</f>
        <v>4246.9367088607596</v>
      </c>
    </row>
    <row r="630" spans="1:15" ht="15" customHeight="1" x14ac:dyDescent="0.25">
      <c r="A630" s="25" t="s">
        <v>168</v>
      </c>
      <c r="B630" s="9" t="str">
        <f>INDEX(Places[Type],MATCH(Activities[[#This Row],[Jurisdiction]],Places[Jurisdiction],0))</f>
        <v>City</v>
      </c>
      <c r="C630" s="19" t="str">
        <f>INDEX(Places[County],MATCH(Activities[[#This Row],[Jurisdiction]],Places[Jurisdiction],0))</f>
        <v>Los Angeles</v>
      </c>
      <c r="D630" s="19" t="str">
        <f>INDEX(Places[Majority RB],MATCH(Activities[[#This Row],[Jurisdiction]],Places[Jurisdiction],0))</f>
        <v>Los Angeles</v>
      </c>
      <c r="E630" s="9">
        <f>INDEX(Places[Majority RB '#],MATCH(Activities[[#This Row],[Jurisdiction]],Places[Jurisdiction],0))</f>
        <v>4</v>
      </c>
      <c r="F630" s="28" t="str">
        <f>VLOOKUP(Activities[[#This Row],[Jurisdiction]],Places[#All],8,FALSE)</f>
        <v>Phase I MS4</v>
      </c>
      <c r="G630" s="48" t="s">
        <v>33</v>
      </c>
      <c r="H630" s="8"/>
      <c r="I630" s="8"/>
      <c r="J630" s="8" t="s">
        <v>47</v>
      </c>
      <c r="K630" s="27" t="s">
        <v>1873</v>
      </c>
      <c r="L630" s="28">
        <f>_xlfn.NUMBERVALUE(LEFT(Activities[[#This Row],[Fiscal Year]], 4))</f>
        <v>2015</v>
      </c>
      <c r="M630" s="28" t="s">
        <v>1862</v>
      </c>
      <c r="N630" s="41">
        <v>55000</v>
      </c>
      <c r="O630" s="93">
        <f>IF(Activities[[#This Row],[Reference Year]]&gt;2018,Activities[[#This Row],[Value]],Activities[[#This Row],[Value]]*(1+VLOOKUP(Activities[[#This Row],[Reference Year]],Inflation[#All],3,FALSE)))</f>
        <v>58395.379746835439</v>
      </c>
    </row>
    <row r="631" spans="1:15" ht="15" customHeight="1" x14ac:dyDescent="0.25">
      <c r="A631" s="9" t="s">
        <v>222</v>
      </c>
      <c r="B631" s="9" t="str">
        <f>INDEX(Places[Type],MATCH(Activities[[#This Row],[Jurisdiction]],Places[Jurisdiction],0))</f>
        <v>City</v>
      </c>
      <c r="C631" s="19" t="str">
        <f>INDEX(Places[County],MATCH(Activities[[#This Row],[Jurisdiction]],Places[Jurisdiction],0))</f>
        <v>Los Angeles</v>
      </c>
      <c r="D631" s="19" t="str">
        <f>INDEX(Places[Majority RB],MATCH(Activities[[#This Row],[Jurisdiction]],Places[Jurisdiction],0))</f>
        <v>Los Angeles</v>
      </c>
      <c r="E631" s="9">
        <f>INDEX(Places[Majority RB '#],MATCH(Activities[[#This Row],[Jurisdiction]],Places[Jurisdiction],0))</f>
        <v>4</v>
      </c>
      <c r="F631" s="28" t="str">
        <f>VLOOKUP(Activities[[#This Row],[Jurisdiction]],Places[#All],8,FALSE)</f>
        <v>Phase I MS4</v>
      </c>
      <c r="G631" s="48" t="s">
        <v>62</v>
      </c>
      <c r="H631" s="8"/>
      <c r="I631" s="8"/>
      <c r="J631" s="8" t="s">
        <v>131</v>
      </c>
      <c r="K631" s="27" t="s">
        <v>1873</v>
      </c>
      <c r="L631" s="28">
        <f>_xlfn.NUMBERVALUE(LEFT(Activities[[#This Row],[Fiscal Year]], 4))</f>
        <v>2015</v>
      </c>
      <c r="M631" s="28" t="s">
        <v>1862</v>
      </c>
      <c r="N631" s="41">
        <v>5000</v>
      </c>
      <c r="O631" s="93">
        <f>IF(Activities[[#This Row],[Reference Year]]&gt;2018,Activities[[#This Row],[Value]],Activities[[#This Row],[Value]]*(1+VLOOKUP(Activities[[#This Row],[Reference Year]],Inflation[#All],3,FALSE)))</f>
        <v>5308.6708860759491</v>
      </c>
    </row>
    <row r="632" spans="1:15" ht="15" customHeight="1" x14ac:dyDescent="0.25">
      <c r="A632" s="9" t="s">
        <v>222</v>
      </c>
      <c r="B632" s="9" t="str">
        <f>INDEX(Places[Type],MATCH(Activities[[#This Row],[Jurisdiction]],Places[Jurisdiction],0))</f>
        <v>City</v>
      </c>
      <c r="C632" s="19" t="str">
        <f>INDEX(Places[County],MATCH(Activities[[#This Row],[Jurisdiction]],Places[Jurisdiction],0))</f>
        <v>Los Angeles</v>
      </c>
      <c r="D632" s="19" t="str">
        <f>INDEX(Places[Majority RB],MATCH(Activities[[#This Row],[Jurisdiction]],Places[Jurisdiction],0))</f>
        <v>Los Angeles</v>
      </c>
      <c r="E632" s="9">
        <f>INDEX(Places[Majority RB '#],MATCH(Activities[[#This Row],[Jurisdiction]],Places[Jurisdiction],0))</f>
        <v>4</v>
      </c>
      <c r="F632" s="28" t="str">
        <f>VLOOKUP(Activities[[#This Row],[Jurisdiction]],Places[#All],8,FALSE)</f>
        <v>Phase I MS4</v>
      </c>
      <c r="G632" s="48" t="s">
        <v>208</v>
      </c>
      <c r="H632" s="8"/>
      <c r="I632" s="8"/>
      <c r="J632" s="8" t="s">
        <v>334</v>
      </c>
      <c r="K632" s="27" t="s">
        <v>1873</v>
      </c>
      <c r="L632" s="28">
        <f>_xlfn.NUMBERVALUE(LEFT(Activities[[#This Row],[Fiscal Year]], 4))</f>
        <v>2015</v>
      </c>
      <c r="M632" s="28" t="s">
        <v>1862</v>
      </c>
      <c r="N632" s="41">
        <v>50000</v>
      </c>
      <c r="O632" s="93">
        <f>IF(Activities[[#This Row],[Reference Year]]&gt;2018,Activities[[#This Row],[Value]],Activities[[#This Row],[Value]]*(1+VLOOKUP(Activities[[#This Row],[Reference Year]],Inflation[#All],3,FALSE)))</f>
        <v>53086.708860759492</v>
      </c>
    </row>
    <row r="633" spans="1:15" ht="15" customHeight="1" x14ac:dyDescent="0.25">
      <c r="A633" s="9" t="s">
        <v>222</v>
      </c>
      <c r="B633" s="9" t="str">
        <f>INDEX(Places[Type],MATCH(Activities[[#This Row],[Jurisdiction]],Places[Jurisdiction],0))</f>
        <v>City</v>
      </c>
      <c r="C633" s="19" t="str">
        <f>INDEX(Places[County],MATCH(Activities[[#This Row],[Jurisdiction]],Places[Jurisdiction],0))</f>
        <v>Los Angeles</v>
      </c>
      <c r="D633" s="19" t="str">
        <f>INDEX(Places[Majority RB],MATCH(Activities[[#This Row],[Jurisdiction]],Places[Jurisdiction],0))</f>
        <v>Los Angeles</v>
      </c>
      <c r="E633" s="9">
        <f>INDEX(Places[Majority RB '#],MATCH(Activities[[#This Row],[Jurisdiction]],Places[Jurisdiction],0))</f>
        <v>4</v>
      </c>
      <c r="F633" s="28" t="str">
        <f>VLOOKUP(Activities[[#This Row],[Jurisdiction]],Places[#All],8,FALSE)</f>
        <v>Phase I MS4</v>
      </c>
      <c r="G633" s="48" t="s">
        <v>61</v>
      </c>
      <c r="H633" s="8"/>
      <c r="I633" s="8"/>
      <c r="J633" s="8" t="s">
        <v>1897</v>
      </c>
      <c r="K633" s="27" t="s">
        <v>1873</v>
      </c>
      <c r="L633" s="28">
        <f>_xlfn.NUMBERVALUE(LEFT(Activities[[#This Row],[Fiscal Year]], 4))</f>
        <v>2015</v>
      </c>
      <c r="M633" s="28" t="s">
        <v>1862</v>
      </c>
      <c r="N633" s="41">
        <v>320000</v>
      </c>
      <c r="O633" s="93">
        <f>IF(Activities[[#This Row],[Reference Year]]&gt;2018,Activities[[#This Row],[Value]],Activities[[#This Row],[Value]]*(1+VLOOKUP(Activities[[#This Row],[Reference Year]],Inflation[#All],3,FALSE)))</f>
        <v>339754.93670886074</v>
      </c>
    </row>
    <row r="634" spans="1:15" ht="15" customHeight="1" x14ac:dyDescent="0.25">
      <c r="A634" s="9" t="s">
        <v>222</v>
      </c>
      <c r="B634" s="9" t="str">
        <f>INDEX(Places[Type],MATCH(Activities[[#This Row],[Jurisdiction]],Places[Jurisdiction],0))</f>
        <v>City</v>
      </c>
      <c r="C634" s="19" t="str">
        <f>INDEX(Places[County],MATCH(Activities[[#This Row],[Jurisdiction]],Places[Jurisdiction],0))</f>
        <v>Los Angeles</v>
      </c>
      <c r="D634" s="19" t="str">
        <f>INDEX(Places[Majority RB],MATCH(Activities[[#This Row],[Jurisdiction]],Places[Jurisdiction],0))</f>
        <v>Los Angeles</v>
      </c>
      <c r="E634" s="9">
        <f>INDEX(Places[Majority RB '#],MATCH(Activities[[#This Row],[Jurisdiction]],Places[Jurisdiction],0))</f>
        <v>4</v>
      </c>
      <c r="F634" s="28" t="str">
        <f>VLOOKUP(Activities[[#This Row],[Jurisdiction]],Places[#All],8,FALSE)</f>
        <v>Phase I MS4</v>
      </c>
      <c r="G634" s="48" t="s">
        <v>59</v>
      </c>
      <c r="H634" s="8"/>
      <c r="I634" s="8"/>
      <c r="J634" s="8" t="s">
        <v>1898</v>
      </c>
      <c r="K634" s="27" t="s">
        <v>1873</v>
      </c>
      <c r="L634" s="28">
        <f>_xlfn.NUMBERVALUE(LEFT(Activities[[#This Row],[Fiscal Year]], 4))</f>
        <v>2015</v>
      </c>
      <c r="M634" s="28" t="s">
        <v>1862</v>
      </c>
      <c r="N634" s="41">
        <v>7000</v>
      </c>
      <c r="O634" s="93">
        <f>IF(Activities[[#This Row],[Reference Year]]&gt;2018,Activities[[#This Row],[Value]],Activities[[#This Row],[Value]]*(1+VLOOKUP(Activities[[#This Row],[Reference Year]],Inflation[#All],3,FALSE)))</f>
        <v>7432.1392405063289</v>
      </c>
    </row>
    <row r="635" spans="1:15" ht="15" customHeight="1" x14ac:dyDescent="0.25">
      <c r="A635" s="9" t="s">
        <v>222</v>
      </c>
      <c r="B635" s="9" t="str">
        <f>INDEX(Places[Type],MATCH(Activities[[#This Row],[Jurisdiction]],Places[Jurisdiction],0))</f>
        <v>City</v>
      </c>
      <c r="C635" s="19" t="str">
        <f>INDEX(Places[County],MATCH(Activities[[#This Row],[Jurisdiction]],Places[Jurisdiction],0))</f>
        <v>Los Angeles</v>
      </c>
      <c r="D635" s="19" t="str">
        <f>INDEX(Places[Majority RB],MATCH(Activities[[#This Row],[Jurisdiction]],Places[Jurisdiction],0))</f>
        <v>Los Angeles</v>
      </c>
      <c r="E635" s="9">
        <f>INDEX(Places[Majority RB '#],MATCH(Activities[[#This Row],[Jurisdiction]],Places[Jurisdiction],0))</f>
        <v>4</v>
      </c>
      <c r="F635" s="28" t="str">
        <f>VLOOKUP(Activities[[#This Row],[Jurisdiction]],Places[#All],8,FALSE)</f>
        <v>Phase I MS4</v>
      </c>
      <c r="G635" s="48" t="s">
        <v>60</v>
      </c>
      <c r="H635" s="8"/>
      <c r="I635" s="8"/>
      <c r="J635" s="8" t="s">
        <v>1898</v>
      </c>
      <c r="K635" s="27" t="s">
        <v>1873</v>
      </c>
      <c r="L635" s="28">
        <f>_xlfn.NUMBERVALUE(LEFT(Activities[[#This Row],[Fiscal Year]], 4))</f>
        <v>2015</v>
      </c>
      <c r="M635" s="28" t="s">
        <v>1862</v>
      </c>
      <c r="N635" s="41">
        <v>20000</v>
      </c>
      <c r="O635" s="93">
        <f>IF(Activities[[#This Row],[Reference Year]]&gt;2018,Activities[[#This Row],[Value]],Activities[[#This Row],[Value]]*(1+VLOOKUP(Activities[[#This Row],[Reference Year]],Inflation[#All],3,FALSE)))</f>
        <v>21234.683544303796</v>
      </c>
    </row>
    <row r="636" spans="1:15" ht="15" customHeight="1" x14ac:dyDescent="0.25">
      <c r="A636" s="9" t="s">
        <v>222</v>
      </c>
      <c r="B636" s="9" t="str">
        <f>INDEX(Places[Type],MATCH(Activities[[#This Row],[Jurisdiction]],Places[Jurisdiction],0))</f>
        <v>City</v>
      </c>
      <c r="C636" s="19" t="str">
        <f>INDEX(Places[County],MATCH(Activities[[#This Row],[Jurisdiction]],Places[Jurisdiction],0))</f>
        <v>Los Angeles</v>
      </c>
      <c r="D636" s="19" t="str">
        <f>INDEX(Places[Majority RB],MATCH(Activities[[#This Row],[Jurisdiction]],Places[Jurisdiction],0))</f>
        <v>Los Angeles</v>
      </c>
      <c r="E636" s="9">
        <f>INDEX(Places[Majority RB '#],MATCH(Activities[[#This Row],[Jurisdiction]],Places[Jurisdiction],0))</f>
        <v>4</v>
      </c>
      <c r="F636" s="28" t="str">
        <f>VLOOKUP(Activities[[#This Row],[Jurisdiction]],Places[#All],8,FALSE)</f>
        <v>Phase I MS4</v>
      </c>
      <c r="G636" s="48" t="s">
        <v>58</v>
      </c>
      <c r="H636" s="8"/>
      <c r="I636" s="8"/>
      <c r="J636" s="8" t="s">
        <v>1456</v>
      </c>
      <c r="K636" s="27" t="s">
        <v>1873</v>
      </c>
      <c r="L636" s="28">
        <f>_xlfn.NUMBERVALUE(LEFT(Activities[[#This Row],[Fiscal Year]], 4))</f>
        <v>2015</v>
      </c>
      <c r="M636" s="28" t="s">
        <v>1862</v>
      </c>
      <c r="N636" s="41">
        <v>20000</v>
      </c>
      <c r="O636" s="93">
        <f>IF(Activities[[#This Row],[Reference Year]]&gt;2018,Activities[[#This Row],[Value]],Activities[[#This Row],[Value]]*(1+VLOOKUP(Activities[[#This Row],[Reference Year]],Inflation[#All],3,FALSE)))</f>
        <v>21234.683544303796</v>
      </c>
    </row>
    <row r="637" spans="1:15" ht="15" customHeight="1" x14ac:dyDescent="0.25">
      <c r="A637" s="9" t="s">
        <v>222</v>
      </c>
      <c r="B637" s="9" t="str">
        <f>INDEX(Places[Type],MATCH(Activities[[#This Row],[Jurisdiction]],Places[Jurisdiction],0))</f>
        <v>City</v>
      </c>
      <c r="C637" s="19" t="str">
        <f>INDEX(Places[County],MATCH(Activities[[#This Row],[Jurisdiction]],Places[Jurisdiction],0))</f>
        <v>Los Angeles</v>
      </c>
      <c r="D637" s="19" t="str">
        <f>INDEX(Places[Majority RB],MATCH(Activities[[#This Row],[Jurisdiction]],Places[Jurisdiction],0))</f>
        <v>Los Angeles</v>
      </c>
      <c r="E637" s="9">
        <f>INDEX(Places[Majority RB '#],MATCH(Activities[[#This Row],[Jurisdiction]],Places[Jurisdiction],0))</f>
        <v>4</v>
      </c>
      <c r="F637" s="28" t="str">
        <f>VLOOKUP(Activities[[#This Row],[Jurisdiction]],Places[#All],8,FALSE)</f>
        <v>Phase I MS4</v>
      </c>
      <c r="G637" s="48" t="s">
        <v>32</v>
      </c>
      <c r="H637" s="8"/>
      <c r="I637" s="8"/>
      <c r="J637" s="8" t="s">
        <v>1894</v>
      </c>
      <c r="K637" s="27" t="s">
        <v>1873</v>
      </c>
      <c r="L637" s="28">
        <f>_xlfn.NUMBERVALUE(LEFT(Activities[[#This Row],[Fiscal Year]], 4))</f>
        <v>2015</v>
      </c>
      <c r="M637" s="28" t="s">
        <v>1862</v>
      </c>
      <c r="N637" s="41">
        <v>540000</v>
      </c>
      <c r="O637" s="93">
        <f>IF(Activities[[#This Row],[Reference Year]]&gt;2018,Activities[[#This Row],[Value]],Activities[[#This Row],[Value]]*(1+VLOOKUP(Activities[[#This Row],[Reference Year]],Inflation[#All],3,FALSE)))</f>
        <v>573336.45569620247</v>
      </c>
    </row>
    <row r="638" spans="1:15" ht="15" customHeight="1" x14ac:dyDescent="0.25">
      <c r="A638" s="9" t="s">
        <v>222</v>
      </c>
      <c r="B638" s="9" t="str">
        <f>INDEX(Places[Type],MATCH(Activities[[#This Row],[Jurisdiction]],Places[Jurisdiction],0))</f>
        <v>City</v>
      </c>
      <c r="C638" s="19" t="str">
        <f>INDEX(Places[County],MATCH(Activities[[#This Row],[Jurisdiction]],Places[Jurisdiction],0))</f>
        <v>Los Angeles</v>
      </c>
      <c r="D638" s="19" t="str">
        <f>INDEX(Places[Majority RB],MATCH(Activities[[#This Row],[Jurisdiction]],Places[Jurisdiction],0))</f>
        <v>Los Angeles</v>
      </c>
      <c r="E638" s="9">
        <f>INDEX(Places[Majority RB '#],MATCH(Activities[[#This Row],[Jurisdiction]],Places[Jurisdiction],0))</f>
        <v>4</v>
      </c>
      <c r="F638" s="28" t="str">
        <f>VLOOKUP(Activities[[#This Row],[Jurisdiction]],Places[#All],8,FALSE)</f>
        <v>Phase I MS4</v>
      </c>
      <c r="G638" s="48" t="s">
        <v>33</v>
      </c>
      <c r="H638" s="8"/>
      <c r="I638" s="8"/>
      <c r="J638" s="8" t="s">
        <v>47</v>
      </c>
      <c r="K638" s="27" t="s">
        <v>1873</v>
      </c>
      <c r="L638" s="28">
        <f>_xlfn.NUMBERVALUE(LEFT(Activities[[#This Row],[Fiscal Year]], 4))</f>
        <v>2015</v>
      </c>
      <c r="M638" s="28" t="s">
        <v>1862</v>
      </c>
      <c r="N638" s="41">
        <v>180000</v>
      </c>
      <c r="O638" s="93">
        <f>IF(Activities[[#This Row],[Reference Year]]&gt;2018,Activities[[#This Row],[Value]],Activities[[#This Row],[Value]]*(1+VLOOKUP(Activities[[#This Row],[Reference Year]],Inflation[#All],3,FALSE)))</f>
        <v>191112.15189873416</v>
      </c>
    </row>
    <row r="639" spans="1:15" ht="15" customHeight="1" x14ac:dyDescent="0.25">
      <c r="A639" s="9" t="s">
        <v>146</v>
      </c>
      <c r="B639" s="9" t="str">
        <f>INDEX(Places[Type],MATCH(Activities[[#This Row],[Jurisdiction]],Places[Jurisdiction],0))</f>
        <v>City</v>
      </c>
      <c r="C639" s="19" t="str">
        <f>INDEX(Places[County],MATCH(Activities[[#This Row],[Jurisdiction]],Places[Jurisdiction],0))</f>
        <v>Los Angeles</v>
      </c>
      <c r="D639" s="19" t="str">
        <f>INDEX(Places[Majority RB],MATCH(Activities[[#This Row],[Jurisdiction]],Places[Jurisdiction],0))</f>
        <v>Los Angeles</v>
      </c>
      <c r="E639" s="9">
        <f>INDEX(Places[Majority RB '#],MATCH(Activities[[#This Row],[Jurisdiction]],Places[Jurisdiction],0))</f>
        <v>4</v>
      </c>
      <c r="F639" s="28" t="str">
        <f>VLOOKUP(Activities[[#This Row],[Jurisdiction]],Places[#All],8,FALSE)</f>
        <v>Phase I MS4</v>
      </c>
      <c r="G639" s="48" t="s">
        <v>851</v>
      </c>
      <c r="H639" s="8"/>
      <c r="I639" s="8"/>
      <c r="J639" s="8" t="s">
        <v>76</v>
      </c>
      <c r="K639" s="27" t="s">
        <v>1873</v>
      </c>
      <c r="L639" s="28">
        <f>_xlfn.NUMBERVALUE(LEFT(Activities[[#This Row],[Fiscal Year]], 4))</f>
        <v>2015</v>
      </c>
      <c r="M639" s="28" t="s">
        <v>1862</v>
      </c>
      <c r="N639" s="41">
        <v>36037</v>
      </c>
      <c r="O639" s="93">
        <f>IF(Activities[[#This Row],[Reference Year]]&gt;2018,Activities[[#This Row],[Value]],Activities[[#This Row],[Value]]*(1+VLOOKUP(Activities[[#This Row],[Reference Year]],Inflation[#All],3,FALSE)))</f>
        <v>38261.714544303795</v>
      </c>
    </row>
    <row r="640" spans="1:15" ht="15" customHeight="1" x14ac:dyDescent="0.25">
      <c r="A640" s="9" t="s">
        <v>146</v>
      </c>
      <c r="B640" s="9" t="str">
        <f>INDEX(Places[Type],MATCH(Activities[[#This Row],[Jurisdiction]],Places[Jurisdiction],0))</f>
        <v>City</v>
      </c>
      <c r="C640" s="19" t="str">
        <f>INDEX(Places[County],MATCH(Activities[[#This Row],[Jurisdiction]],Places[Jurisdiction],0))</f>
        <v>Los Angeles</v>
      </c>
      <c r="D640" s="19" t="str">
        <f>INDEX(Places[Majority RB],MATCH(Activities[[#This Row],[Jurisdiction]],Places[Jurisdiction],0))</f>
        <v>Los Angeles</v>
      </c>
      <c r="E640" s="9">
        <f>INDEX(Places[Majority RB '#],MATCH(Activities[[#This Row],[Jurisdiction]],Places[Jurisdiction],0))</f>
        <v>4</v>
      </c>
      <c r="F640" s="28" t="str">
        <f>VLOOKUP(Activities[[#This Row],[Jurisdiction]],Places[#All],8,FALSE)</f>
        <v>Phase I MS4</v>
      </c>
      <c r="G640" s="48" t="s">
        <v>849</v>
      </c>
      <c r="H640" s="8"/>
      <c r="I640" s="8"/>
      <c r="J640" s="8" t="s">
        <v>131</v>
      </c>
      <c r="K640" s="27" t="s">
        <v>1873</v>
      </c>
      <c r="L640" s="28">
        <f>_xlfn.NUMBERVALUE(LEFT(Activities[[#This Row],[Fiscal Year]], 4))</f>
        <v>2015</v>
      </c>
      <c r="M640" s="28" t="s">
        <v>1862</v>
      </c>
      <c r="N640" s="41">
        <v>253000</v>
      </c>
      <c r="O640" s="93">
        <f>IF(Activities[[#This Row],[Reference Year]]&gt;2018,Activities[[#This Row],[Value]],Activities[[#This Row],[Value]]*(1+VLOOKUP(Activities[[#This Row],[Reference Year]],Inflation[#All],3,FALSE)))</f>
        <v>268618.74683544302</v>
      </c>
    </row>
    <row r="641" spans="1:15" ht="15" customHeight="1" x14ac:dyDescent="0.25">
      <c r="A641" s="9" t="s">
        <v>146</v>
      </c>
      <c r="B641" s="9" t="str">
        <f>INDEX(Places[Type],MATCH(Activities[[#This Row],[Jurisdiction]],Places[Jurisdiction],0))</f>
        <v>City</v>
      </c>
      <c r="C641" s="19" t="str">
        <f>INDEX(Places[County],MATCH(Activities[[#This Row],[Jurisdiction]],Places[Jurisdiction],0))</f>
        <v>Los Angeles</v>
      </c>
      <c r="D641" s="19" t="str">
        <f>INDEX(Places[Majority RB],MATCH(Activities[[#This Row],[Jurisdiction]],Places[Jurisdiction],0))</f>
        <v>Los Angeles</v>
      </c>
      <c r="E641" s="9">
        <f>INDEX(Places[Majority RB '#],MATCH(Activities[[#This Row],[Jurisdiction]],Places[Jurisdiction],0))</f>
        <v>4</v>
      </c>
      <c r="F641" s="28" t="str">
        <f>VLOOKUP(Activities[[#This Row],[Jurisdiction]],Places[#All],8,FALSE)</f>
        <v>Phase I MS4</v>
      </c>
      <c r="G641" s="48" t="s">
        <v>857</v>
      </c>
      <c r="H641" s="8"/>
      <c r="I641" s="8"/>
      <c r="J641" s="8" t="s">
        <v>1897</v>
      </c>
      <c r="K641" s="27" t="s">
        <v>1873</v>
      </c>
      <c r="L641" s="28">
        <f>_xlfn.NUMBERVALUE(LEFT(Activities[[#This Row],[Fiscal Year]], 4))</f>
        <v>2015</v>
      </c>
      <c r="M641" s="28" t="s">
        <v>1862</v>
      </c>
      <c r="N641" s="41">
        <v>324215</v>
      </c>
      <c r="O641" s="93">
        <f>IF(Activities[[#This Row],[Reference Year]]&gt;2018,Activities[[#This Row],[Value]],Activities[[#This Row],[Value]]*(1+VLOOKUP(Activities[[#This Row],[Reference Year]],Inflation[#All],3,FALSE)))</f>
        <v>344230.14626582275</v>
      </c>
    </row>
    <row r="642" spans="1:15" ht="15" customHeight="1" x14ac:dyDescent="0.25">
      <c r="A642" s="9" t="s">
        <v>146</v>
      </c>
      <c r="B642" s="9" t="str">
        <f>INDEX(Places[Type],MATCH(Activities[[#This Row],[Jurisdiction]],Places[Jurisdiction],0))</f>
        <v>City</v>
      </c>
      <c r="C642" s="19" t="str">
        <f>INDEX(Places[County],MATCH(Activities[[#This Row],[Jurisdiction]],Places[Jurisdiction],0))</f>
        <v>Los Angeles</v>
      </c>
      <c r="D642" s="19" t="str">
        <f>INDEX(Places[Majority RB],MATCH(Activities[[#This Row],[Jurisdiction]],Places[Jurisdiction],0))</f>
        <v>Los Angeles</v>
      </c>
      <c r="E642" s="9">
        <f>INDEX(Places[Majority RB '#],MATCH(Activities[[#This Row],[Jurisdiction]],Places[Jurisdiction],0))</f>
        <v>4</v>
      </c>
      <c r="F642" s="28" t="str">
        <f>VLOOKUP(Activities[[#This Row],[Jurisdiction]],Places[#All],8,FALSE)</f>
        <v>Phase I MS4</v>
      </c>
      <c r="G642" s="48" t="s">
        <v>847</v>
      </c>
      <c r="H642" s="8"/>
      <c r="I642" s="8"/>
      <c r="J642" s="8" t="s">
        <v>1898</v>
      </c>
      <c r="K642" s="27" t="s">
        <v>1873</v>
      </c>
      <c r="L642" s="28">
        <f>_xlfn.NUMBERVALUE(LEFT(Activities[[#This Row],[Fiscal Year]], 4))</f>
        <v>2015</v>
      </c>
      <c r="M642" s="28" t="s">
        <v>1862</v>
      </c>
      <c r="N642" s="41">
        <v>60</v>
      </c>
      <c r="O642" s="93">
        <f>IF(Activities[[#This Row],[Reference Year]]&gt;2018,Activities[[#This Row],[Value]],Activities[[#This Row],[Value]]*(1+VLOOKUP(Activities[[#This Row],[Reference Year]],Inflation[#All],3,FALSE)))</f>
        <v>63.70405063291139</v>
      </c>
    </row>
    <row r="643" spans="1:15" ht="15" customHeight="1" x14ac:dyDescent="0.25">
      <c r="A643" s="9" t="s">
        <v>146</v>
      </c>
      <c r="B643" s="9" t="str">
        <f>INDEX(Places[Type],MATCH(Activities[[#This Row],[Jurisdiction]],Places[Jurisdiction],0))</f>
        <v>City</v>
      </c>
      <c r="C643" s="19" t="str">
        <f>INDEX(Places[County],MATCH(Activities[[#This Row],[Jurisdiction]],Places[Jurisdiction],0))</f>
        <v>Los Angeles</v>
      </c>
      <c r="D643" s="19" t="str">
        <f>INDEX(Places[Majority RB],MATCH(Activities[[#This Row],[Jurisdiction]],Places[Jurisdiction],0))</f>
        <v>Los Angeles</v>
      </c>
      <c r="E643" s="9">
        <f>INDEX(Places[Majority RB '#],MATCH(Activities[[#This Row],[Jurisdiction]],Places[Jurisdiction],0))</f>
        <v>4</v>
      </c>
      <c r="F643" s="28" t="str">
        <f>VLOOKUP(Activities[[#This Row],[Jurisdiction]],Places[#All],8,FALSE)</f>
        <v>Phase I MS4</v>
      </c>
      <c r="G643" s="48" t="s">
        <v>846</v>
      </c>
      <c r="H643" s="8"/>
      <c r="I643" s="8"/>
      <c r="J643" s="8" t="s">
        <v>1898</v>
      </c>
      <c r="K643" s="27" t="s">
        <v>1873</v>
      </c>
      <c r="L643" s="28">
        <f>_xlfn.NUMBERVALUE(LEFT(Activities[[#This Row],[Fiscal Year]], 4))</f>
        <v>2015</v>
      </c>
      <c r="M643" s="28" t="s">
        <v>1862</v>
      </c>
      <c r="N643" s="41">
        <v>330</v>
      </c>
      <c r="O643" s="93">
        <f>IF(Activities[[#This Row],[Reference Year]]&gt;2018,Activities[[#This Row],[Value]],Activities[[#This Row],[Value]]*(1+VLOOKUP(Activities[[#This Row],[Reference Year]],Inflation[#All],3,FALSE)))</f>
        <v>350.37227848101264</v>
      </c>
    </row>
    <row r="644" spans="1:15" ht="15" customHeight="1" x14ac:dyDescent="0.25">
      <c r="A644" s="9" t="s">
        <v>146</v>
      </c>
      <c r="B644" s="9" t="str">
        <f>INDEX(Places[Type],MATCH(Activities[[#This Row],[Jurisdiction]],Places[Jurisdiction],0))</f>
        <v>City</v>
      </c>
      <c r="C644" s="19" t="str">
        <f>INDEX(Places[County],MATCH(Activities[[#This Row],[Jurisdiction]],Places[Jurisdiction],0))</f>
        <v>Los Angeles</v>
      </c>
      <c r="D644" s="19" t="str">
        <f>INDEX(Places[Majority RB],MATCH(Activities[[#This Row],[Jurisdiction]],Places[Jurisdiction],0))</f>
        <v>Los Angeles</v>
      </c>
      <c r="E644" s="9">
        <f>INDEX(Places[Majority RB '#],MATCH(Activities[[#This Row],[Jurisdiction]],Places[Jurisdiction],0))</f>
        <v>4</v>
      </c>
      <c r="F644" s="28" t="str">
        <f>VLOOKUP(Activities[[#This Row],[Jurisdiction]],Places[#All],8,FALSE)</f>
        <v>Phase I MS4</v>
      </c>
      <c r="G644" s="48" t="s">
        <v>844</v>
      </c>
      <c r="H644" s="8"/>
      <c r="I644" s="8"/>
      <c r="J644" s="8" t="s">
        <v>1456</v>
      </c>
      <c r="K644" s="27" t="s">
        <v>1873</v>
      </c>
      <c r="L644" s="28">
        <f>_xlfn.NUMBERVALUE(LEFT(Activities[[#This Row],[Fiscal Year]], 4))</f>
        <v>2015</v>
      </c>
      <c r="M644" s="28" t="s">
        <v>1862</v>
      </c>
      <c r="N644" s="41">
        <v>14414</v>
      </c>
      <c r="O644" s="93">
        <f>IF(Activities[[#This Row],[Reference Year]]&gt;2018,Activities[[#This Row],[Value]],Activities[[#This Row],[Value]]*(1+VLOOKUP(Activities[[#This Row],[Reference Year]],Inflation[#All],3,FALSE)))</f>
        <v>15303.836430379746</v>
      </c>
    </row>
    <row r="645" spans="1:15" ht="15" customHeight="1" x14ac:dyDescent="0.25">
      <c r="A645" s="9" t="s">
        <v>146</v>
      </c>
      <c r="B645" s="9" t="str">
        <f>INDEX(Places[Type],MATCH(Activities[[#This Row],[Jurisdiction]],Places[Jurisdiction],0))</f>
        <v>City</v>
      </c>
      <c r="C645" s="19" t="str">
        <f>INDEX(Places[County],MATCH(Activities[[#This Row],[Jurisdiction]],Places[Jurisdiction],0))</f>
        <v>Los Angeles</v>
      </c>
      <c r="D645" s="19" t="str">
        <f>INDEX(Places[Majority RB],MATCH(Activities[[#This Row],[Jurisdiction]],Places[Jurisdiction],0))</f>
        <v>Los Angeles</v>
      </c>
      <c r="E645" s="9">
        <f>INDEX(Places[Majority RB '#],MATCH(Activities[[#This Row],[Jurisdiction]],Places[Jurisdiction],0))</f>
        <v>4</v>
      </c>
      <c r="F645" s="28" t="str">
        <f>VLOOKUP(Activities[[#This Row],[Jurisdiction]],Places[#All],8,FALSE)</f>
        <v>Phase I MS4</v>
      </c>
      <c r="G645" s="56" t="s">
        <v>829</v>
      </c>
      <c r="H645" s="8"/>
      <c r="I645" s="8"/>
      <c r="J645" s="8" t="s">
        <v>1894</v>
      </c>
      <c r="K645" s="27" t="s">
        <v>1873</v>
      </c>
      <c r="L645" s="28">
        <f>_xlfn.NUMBERVALUE(LEFT(Activities[[#This Row],[Fiscal Year]], 4))</f>
        <v>2015</v>
      </c>
      <c r="M645" s="28" t="s">
        <v>1862</v>
      </c>
      <c r="N645" s="41">
        <v>38937</v>
      </c>
      <c r="O645" s="93">
        <f>IF(Activities[[#This Row],[Reference Year]]&gt;2018,Activities[[#This Row],[Value]],Activities[[#This Row],[Value]]*(1+VLOOKUP(Activities[[#This Row],[Reference Year]],Inflation[#All],3,FALSE)))</f>
        <v>41340.743658227846</v>
      </c>
    </row>
    <row r="646" spans="1:15" ht="15" customHeight="1" x14ac:dyDescent="0.25">
      <c r="A646" s="9" t="s">
        <v>146</v>
      </c>
      <c r="B646" s="9" t="str">
        <f>INDEX(Places[Type],MATCH(Activities[[#This Row],[Jurisdiction]],Places[Jurisdiction],0))</f>
        <v>City</v>
      </c>
      <c r="C646" s="19" t="str">
        <f>INDEX(Places[County],MATCH(Activities[[#This Row],[Jurisdiction]],Places[Jurisdiction],0))</f>
        <v>Los Angeles</v>
      </c>
      <c r="D646" s="19" t="str">
        <f>INDEX(Places[Majority RB],MATCH(Activities[[#This Row],[Jurisdiction]],Places[Jurisdiction],0))</f>
        <v>Los Angeles</v>
      </c>
      <c r="E646" s="9">
        <f>INDEX(Places[Majority RB '#],MATCH(Activities[[#This Row],[Jurisdiction]],Places[Jurisdiction],0))</f>
        <v>4</v>
      </c>
      <c r="F646" s="28" t="str">
        <f>VLOOKUP(Activities[[#This Row],[Jurisdiction]],Places[#All],8,FALSE)</f>
        <v>Phase I MS4</v>
      </c>
      <c r="G646" s="48" t="s">
        <v>859</v>
      </c>
      <c r="H646" s="8"/>
      <c r="I646" s="8"/>
      <c r="J646" s="8" t="s">
        <v>1896</v>
      </c>
      <c r="K646" s="27" t="s">
        <v>1873</v>
      </c>
      <c r="L646" s="28">
        <f>_xlfn.NUMBERVALUE(LEFT(Activities[[#This Row],[Fiscal Year]], 4))</f>
        <v>2015</v>
      </c>
      <c r="M646" s="28" t="s">
        <v>1862</v>
      </c>
      <c r="N646" s="41">
        <v>7560</v>
      </c>
      <c r="O646" s="93">
        <f>IF(Activities[[#This Row],[Reference Year]]&gt;2018,Activities[[#This Row],[Value]],Activities[[#This Row],[Value]]*(1+VLOOKUP(Activities[[#This Row],[Reference Year]],Inflation[#All],3,FALSE)))</f>
        <v>8026.7103797468353</v>
      </c>
    </row>
    <row r="647" spans="1:15" ht="15" customHeight="1" x14ac:dyDescent="0.25">
      <c r="A647" s="9" t="s">
        <v>146</v>
      </c>
      <c r="B647" s="9" t="str">
        <f>INDEX(Places[Type],MATCH(Activities[[#This Row],[Jurisdiction]],Places[Jurisdiction],0))</f>
        <v>City</v>
      </c>
      <c r="C647" s="19" t="str">
        <f>INDEX(Places[County],MATCH(Activities[[#This Row],[Jurisdiction]],Places[Jurisdiction],0))</f>
        <v>Los Angeles</v>
      </c>
      <c r="D647" s="19" t="str">
        <f>INDEX(Places[Majority RB],MATCH(Activities[[#This Row],[Jurisdiction]],Places[Jurisdiction],0))</f>
        <v>Los Angeles</v>
      </c>
      <c r="E647" s="9">
        <f>INDEX(Places[Majority RB '#],MATCH(Activities[[#This Row],[Jurisdiction]],Places[Jurisdiction],0))</f>
        <v>4</v>
      </c>
      <c r="F647" s="28" t="str">
        <f>VLOOKUP(Activities[[#This Row],[Jurisdiction]],Places[#All],8,FALSE)</f>
        <v>Phase I MS4</v>
      </c>
      <c r="G647" s="48" t="s">
        <v>861</v>
      </c>
      <c r="H647" s="8"/>
      <c r="I647" s="8"/>
      <c r="J647" s="8" t="s">
        <v>605</v>
      </c>
      <c r="K647" s="27" t="s">
        <v>1873</v>
      </c>
      <c r="L647" s="28">
        <f>_xlfn.NUMBERVALUE(LEFT(Activities[[#This Row],[Fiscal Year]], 4))</f>
        <v>2015</v>
      </c>
      <c r="M647" s="28" t="s">
        <v>1862</v>
      </c>
      <c r="N647" s="41">
        <v>2818</v>
      </c>
      <c r="O647" s="93">
        <f>IF(Activities[[#This Row],[Reference Year]]&gt;2018,Activities[[#This Row],[Value]],Activities[[#This Row],[Value]]*(1+VLOOKUP(Activities[[#This Row],[Reference Year]],Inflation[#All],3,FALSE)))</f>
        <v>2991.9669113924051</v>
      </c>
    </row>
    <row r="648" spans="1:15" ht="15" customHeight="1" x14ac:dyDescent="0.25">
      <c r="A648" s="9" t="s">
        <v>146</v>
      </c>
      <c r="B648" s="9" t="str">
        <f>INDEX(Places[Type],MATCH(Activities[[#This Row],[Jurisdiction]],Places[Jurisdiction],0))</f>
        <v>City</v>
      </c>
      <c r="C648" s="19" t="str">
        <f>INDEX(Places[County],MATCH(Activities[[#This Row],[Jurisdiction]],Places[Jurisdiction],0))</f>
        <v>Los Angeles</v>
      </c>
      <c r="D648" s="19" t="str">
        <f>INDEX(Places[Majority RB],MATCH(Activities[[#This Row],[Jurisdiction]],Places[Jurisdiction],0))</f>
        <v>Los Angeles</v>
      </c>
      <c r="E648" s="9">
        <f>INDEX(Places[Majority RB '#],MATCH(Activities[[#This Row],[Jurisdiction]],Places[Jurisdiction],0))</f>
        <v>4</v>
      </c>
      <c r="F648" s="28" t="str">
        <f>VLOOKUP(Activities[[#This Row],[Jurisdiction]],Places[#All],8,FALSE)</f>
        <v>Phase I MS4</v>
      </c>
      <c r="G648" s="48" t="s">
        <v>862</v>
      </c>
      <c r="H648" s="8"/>
      <c r="I648" s="8"/>
      <c r="J648" s="8" t="s">
        <v>605</v>
      </c>
      <c r="K648" s="27" t="s">
        <v>1873</v>
      </c>
      <c r="L648" s="28">
        <f>_xlfn.NUMBERVALUE(LEFT(Activities[[#This Row],[Fiscal Year]], 4))</f>
        <v>2015</v>
      </c>
      <c r="M648" s="28" t="s">
        <v>1862</v>
      </c>
      <c r="N648" s="41">
        <v>5573</v>
      </c>
      <c r="O648" s="93">
        <f>IF(Activities[[#This Row],[Reference Year]]&gt;2018,Activities[[#This Row],[Value]],Activities[[#This Row],[Value]]*(1+VLOOKUP(Activities[[#This Row],[Reference Year]],Inflation[#All],3,FALSE)))</f>
        <v>5917.0445696202532</v>
      </c>
    </row>
    <row r="649" spans="1:15" ht="15" customHeight="1" x14ac:dyDescent="0.25">
      <c r="A649" s="9" t="s">
        <v>146</v>
      </c>
      <c r="B649" s="9" t="str">
        <f>INDEX(Places[Type],MATCH(Activities[[#This Row],[Jurisdiction]],Places[Jurisdiction],0))</f>
        <v>City</v>
      </c>
      <c r="C649" s="19" t="str">
        <f>INDEX(Places[County],MATCH(Activities[[#This Row],[Jurisdiction]],Places[Jurisdiction],0))</f>
        <v>Los Angeles</v>
      </c>
      <c r="D649" s="19" t="str">
        <f>INDEX(Places[Majority RB],MATCH(Activities[[#This Row],[Jurisdiction]],Places[Jurisdiction],0))</f>
        <v>Los Angeles</v>
      </c>
      <c r="E649" s="9">
        <f>INDEX(Places[Majority RB '#],MATCH(Activities[[#This Row],[Jurisdiction]],Places[Jurisdiction],0))</f>
        <v>4</v>
      </c>
      <c r="F649" s="28" t="str">
        <f>VLOOKUP(Activities[[#This Row],[Jurisdiction]],Places[#All],8,FALSE)</f>
        <v>Phase I MS4</v>
      </c>
      <c r="G649" s="48" t="s">
        <v>860</v>
      </c>
      <c r="H649" s="8"/>
      <c r="I649" s="8"/>
      <c r="J649" s="8" t="s">
        <v>605</v>
      </c>
      <c r="K649" s="27" t="s">
        <v>1873</v>
      </c>
      <c r="L649" s="28">
        <f>_xlfn.NUMBERVALUE(LEFT(Activities[[#This Row],[Fiscal Year]], 4))</f>
        <v>2015</v>
      </c>
      <c r="M649" s="28" t="s">
        <v>1862</v>
      </c>
      <c r="N649" s="41">
        <v>27420</v>
      </c>
      <c r="O649" s="93">
        <f>IF(Activities[[#This Row],[Reference Year]]&gt;2018,Activities[[#This Row],[Value]],Activities[[#This Row],[Value]]*(1+VLOOKUP(Activities[[#This Row],[Reference Year]],Inflation[#All],3,FALSE)))</f>
        <v>29112.751139240503</v>
      </c>
    </row>
    <row r="650" spans="1:15" ht="15" customHeight="1" x14ac:dyDescent="0.25">
      <c r="A650" s="9" t="s">
        <v>173</v>
      </c>
      <c r="B650" s="9" t="str">
        <f>INDEX(Places[Type],MATCH(Activities[[#This Row],[Jurisdiction]],Places[Jurisdiction],0))</f>
        <v>City</v>
      </c>
      <c r="C650" s="19" t="str">
        <f>INDEX(Places[County],MATCH(Activities[[#This Row],[Jurisdiction]],Places[Jurisdiction],0))</f>
        <v>Los Angeles</v>
      </c>
      <c r="D650" s="19" t="str">
        <f>INDEX(Places[Majority RB],MATCH(Activities[[#This Row],[Jurisdiction]],Places[Jurisdiction],0))</f>
        <v>Los Angeles</v>
      </c>
      <c r="E650" s="9">
        <f>INDEX(Places[Majority RB '#],MATCH(Activities[[#This Row],[Jurisdiction]],Places[Jurisdiction],0))</f>
        <v>4</v>
      </c>
      <c r="F650" s="28" t="str">
        <f>VLOOKUP(Activities[[#This Row],[Jurisdiction]],Places[#All],8,FALSE)</f>
        <v>Phase I MS4</v>
      </c>
      <c r="G650" s="48" t="s">
        <v>61</v>
      </c>
      <c r="H650" s="8"/>
      <c r="I650" s="8"/>
      <c r="J650" s="8" t="s">
        <v>1897</v>
      </c>
      <c r="K650" s="27" t="s">
        <v>1873</v>
      </c>
      <c r="L650" s="28">
        <f>_xlfn.NUMBERVALUE(LEFT(Activities[[#This Row],[Fiscal Year]], 4))</f>
        <v>2015</v>
      </c>
      <c r="M650" s="28" t="s">
        <v>1862</v>
      </c>
      <c r="N650" s="41">
        <v>2556</v>
      </c>
      <c r="O650" s="93">
        <f>IF(Activities[[#This Row],[Reference Year]]&gt;2018,Activities[[#This Row],[Value]],Activities[[#This Row],[Value]]*(1+VLOOKUP(Activities[[#This Row],[Reference Year]],Inflation[#All],3,FALSE)))</f>
        <v>2713.7925569620252</v>
      </c>
    </row>
    <row r="651" spans="1:15" ht="15" customHeight="1" x14ac:dyDescent="0.25">
      <c r="A651" s="9" t="s">
        <v>173</v>
      </c>
      <c r="B651" s="9" t="str">
        <f>INDEX(Places[Type],MATCH(Activities[[#This Row],[Jurisdiction]],Places[Jurisdiction],0))</f>
        <v>City</v>
      </c>
      <c r="C651" s="19" t="str">
        <f>INDEX(Places[County],MATCH(Activities[[#This Row],[Jurisdiction]],Places[Jurisdiction],0))</f>
        <v>Los Angeles</v>
      </c>
      <c r="D651" s="19" t="str">
        <f>INDEX(Places[Majority RB],MATCH(Activities[[#This Row],[Jurisdiction]],Places[Jurisdiction],0))</f>
        <v>Los Angeles</v>
      </c>
      <c r="E651" s="9">
        <f>INDEX(Places[Majority RB '#],MATCH(Activities[[#This Row],[Jurisdiction]],Places[Jurisdiction],0))</f>
        <v>4</v>
      </c>
      <c r="F651" s="28" t="str">
        <f>VLOOKUP(Activities[[#This Row],[Jurisdiction]],Places[#All],8,FALSE)</f>
        <v>Phase I MS4</v>
      </c>
      <c r="G651" s="48" t="s">
        <v>60</v>
      </c>
      <c r="H651" s="8"/>
      <c r="I651" s="8"/>
      <c r="J651" s="8" t="s">
        <v>1898</v>
      </c>
      <c r="K651" s="27" t="s">
        <v>1873</v>
      </c>
      <c r="L651" s="28">
        <f>_xlfn.NUMBERVALUE(LEFT(Activities[[#This Row],[Fiscal Year]], 4))</f>
        <v>2015</v>
      </c>
      <c r="M651" s="28" t="s">
        <v>1862</v>
      </c>
      <c r="N651" s="41">
        <v>750</v>
      </c>
      <c r="O651" s="93">
        <f>IF(Activities[[#This Row],[Reference Year]]&gt;2018,Activities[[#This Row],[Value]],Activities[[#This Row],[Value]]*(1+VLOOKUP(Activities[[#This Row],[Reference Year]],Inflation[#All],3,FALSE)))</f>
        <v>796.30063291139231</v>
      </c>
    </row>
    <row r="652" spans="1:15" ht="15" customHeight="1" x14ac:dyDescent="0.25">
      <c r="A652" s="9" t="s">
        <v>173</v>
      </c>
      <c r="B652" s="9" t="str">
        <f>INDEX(Places[Type],MATCH(Activities[[#This Row],[Jurisdiction]],Places[Jurisdiction],0))</f>
        <v>City</v>
      </c>
      <c r="C652" s="19" t="str">
        <f>INDEX(Places[County],MATCH(Activities[[#This Row],[Jurisdiction]],Places[Jurisdiction],0))</f>
        <v>Los Angeles</v>
      </c>
      <c r="D652" s="19" t="str">
        <f>INDEX(Places[Majority RB],MATCH(Activities[[#This Row],[Jurisdiction]],Places[Jurisdiction],0))</f>
        <v>Los Angeles</v>
      </c>
      <c r="E652" s="9">
        <f>INDEX(Places[Majority RB '#],MATCH(Activities[[#This Row],[Jurisdiction]],Places[Jurisdiction],0))</f>
        <v>4</v>
      </c>
      <c r="F652" s="28" t="str">
        <f>VLOOKUP(Activities[[#This Row],[Jurisdiction]],Places[#All],8,FALSE)</f>
        <v>Phase I MS4</v>
      </c>
      <c r="G652" s="48" t="s">
        <v>58</v>
      </c>
      <c r="H652" s="8"/>
      <c r="I652" s="8"/>
      <c r="J652" s="8" t="s">
        <v>1456</v>
      </c>
      <c r="K652" s="27" t="s">
        <v>1873</v>
      </c>
      <c r="L652" s="28">
        <f>_xlfn.NUMBERVALUE(LEFT(Activities[[#This Row],[Fiscal Year]], 4))</f>
        <v>2015</v>
      </c>
      <c r="M652" s="28" t="s">
        <v>1862</v>
      </c>
      <c r="N652" s="41">
        <v>550</v>
      </c>
      <c r="O652" s="93">
        <f>IF(Activities[[#This Row],[Reference Year]]&gt;2018,Activities[[#This Row],[Value]],Activities[[#This Row],[Value]]*(1+VLOOKUP(Activities[[#This Row],[Reference Year]],Inflation[#All],3,FALSE)))</f>
        <v>583.95379746835442</v>
      </c>
    </row>
    <row r="653" spans="1:15" ht="15" customHeight="1" x14ac:dyDescent="0.25">
      <c r="A653" s="9" t="s">
        <v>173</v>
      </c>
      <c r="B653" s="9" t="str">
        <f>INDEX(Places[Type],MATCH(Activities[[#This Row],[Jurisdiction]],Places[Jurisdiction],0))</f>
        <v>City</v>
      </c>
      <c r="C653" s="19" t="str">
        <f>INDEX(Places[County],MATCH(Activities[[#This Row],[Jurisdiction]],Places[Jurisdiction],0))</f>
        <v>Los Angeles</v>
      </c>
      <c r="D653" s="19" t="str">
        <f>INDEX(Places[Majority RB],MATCH(Activities[[#This Row],[Jurisdiction]],Places[Jurisdiction],0))</f>
        <v>Los Angeles</v>
      </c>
      <c r="E653" s="9">
        <f>INDEX(Places[Majority RB '#],MATCH(Activities[[#This Row],[Jurisdiction]],Places[Jurisdiction],0))</f>
        <v>4</v>
      </c>
      <c r="F653" s="28" t="str">
        <f>VLOOKUP(Activities[[#This Row],[Jurisdiction]],Places[#All],8,FALSE)</f>
        <v>Phase I MS4</v>
      </c>
      <c r="G653" s="48" t="s">
        <v>32</v>
      </c>
      <c r="H653" s="8"/>
      <c r="I653" s="8"/>
      <c r="J653" s="8" t="s">
        <v>1894</v>
      </c>
      <c r="K653" s="27" t="s">
        <v>1873</v>
      </c>
      <c r="L653" s="28">
        <f>_xlfn.NUMBERVALUE(LEFT(Activities[[#This Row],[Fiscal Year]], 4))</f>
        <v>2015</v>
      </c>
      <c r="M653" s="28" t="s">
        <v>1862</v>
      </c>
      <c r="N653" s="41">
        <v>45425</v>
      </c>
      <c r="O653" s="93">
        <f>IF(Activities[[#This Row],[Reference Year]]&gt;2018,Activities[[#This Row],[Value]],Activities[[#This Row],[Value]]*(1+VLOOKUP(Activities[[#This Row],[Reference Year]],Inflation[#All],3,FALSE)))</f>
        <v>48229.274999999994</v>
      </c>
    </row>
    <row r="654" spans="1:15" ht="15" customHeight="1" x14ac:dyDescent="0.25">
      <c r="A654" s="9" t="s">
        <v>173</v>
      </c>
      <c r="B654" s="9" t="str">
        <f>INDEX(Places[Type],MATCH(Activities[[#This Row],[Jurisdiction]],Places[Jurisdiction],0))</f>
        <v>City</v>
      </c>
      <c r="C654" s="19" t="str">
        <f>INDEX(Places[County],MATCH(Activities[[#This Row],[Jurisdiction]],Places[Jurisdiction],0))</f>
        <v>Los Angeles</v>
      </c>
      <c r="D654" s="19" t="str">
        <f>INDEX(Places[Majority RB],MATCH(Activities[[#This Row],[Jurisdiction]],Places[Jurisdiction],0))</f>
        <v>Los Angeles</v>
      </c>
      <c r="E654" s="9">
        <f>INDEX(Places[Majority RB '#],MATCH(Activities[[#This Row],[Jurisdiction]],Places[Jurisdiction],0))</f>
        <v>4</v>
      </c>
      <c r="F654" s="28" t="str">
        <f>VLOOKUP(Activities[[#This Row],[Jurisdiction]],Places[#All],8,FALSE)</f>
        <v>Phase I MS4</v>
      </c>
      <c r="G654" s="48" t="s">
        <v>67</v>
      </c>
      <c r="H654" s="8"/>
      <c r="I654" s="8"/>
      <c r="J654" s="8" t="s">
        <v>1896</v>
      </c>
      <c r="K654" s="27" t="s">
        <v>1873</v>
      </c>
      <c r="L654" s="28">
        <f>_xlfn.NUMBERVALUE(LEFT(Activities[[#This Row],[Fiscal Year]], 4))</f>
        <v>2015</v>
      </c>
      <c r="M654" s="28" t="s">
        <v>1862</v>
      </c>
      <c r="N654" s="41">
        <v>22100</v>
      </c>
      <c r="O654" s="93">
        <f>IF(Activities[[#This Row],[Reference Year]]&gt;2018,Activities[[#This Row],[Value]],Activities[[#This Row],[Value]]*(1+VLOOKUP(Activities[[#This Row],[Reference Year]],Inflation[#All],3,FALSE)))</f>
        <v>23464.325316455695</v>
      </c>
    </row>
    <row r="655" spans="1:15" ht="15" customHeight="1" x14ac:dyDescent="0.25">
      <c r="A655" s="9" t="s">
        <v>173</v>
      </c>
      <c r="B655" s="9" t="str">
        <f>INDEX(Places[Type],MATCH(Activities[[#This Row],[Jurisdiction]],Places[Jurisdiction],0))</f>
        <v>City</v>
      </c>
      <c r="C655" s="19" t="str">
        <f>INDEX(Places[County],MATCH(Activities[[#This Row],[Jurisdiction]],Places[Jurisdiction],0))</f>
        <v>Los Angeles</v>
      </c>
      <c r="D655" s="19" t="str">
        <f>INDEX(Places[Majority RB],MATCH(Activities[[#This Row],[Jurisdiction]],Places[Jurisdiction],0))</f>
        <v>Los Angeles</v>
      </c>
      <c r="E655" s="9">
        <f>INDEX(Places[Majority RB '#],MATCH(Activities[[#This Row],[Jurisdiction]],Places[Jurisdiction],0))</f>
        <v>4</v>
      </c>
      <c r="F655" s="28" t="str">
        <f>VLOOKUP(Activities[[#This Row],[Jurisdiction]],Places[#All],8,FALSE)</f>
        <v>Phase I MS4</v>
      </c>
      <c r="G655" s="48" t="s">
        <v>33</v>
      </c>
      <c r="H655" s="8"/>
      <c r="I655" s="8"/>
      <c r="J655" s="8" t="s">
        <v>47</v>
      </c>
      <c r="K655" s="27" t="s">
        <v>1873</v>
      </c>
      <c r="L655" s="28">
        <f>_xlfn.NUMBERVALUE(LEFT(Activities[[#This Row],[Fiscal Year]], 4))</f>
        <v>2015</v>
      </c>
      <c r="M655" s="28" t="s">
        <v>1862</v>
      </c>
      <c r="N655" s="41">
        <v>41200</v>
      </c>
      <c r="O655" s="93">
        <f>IF(Activities[[#This Row],[Reference Year]]&gt;2018,Activities[[#This Row],[Value]],Activities[[#This Row],[Value]]*(1+VLOOKUP(Activities[[#This Row],[Reference Year]],Inflation[#All],3,FALSE)))</f>
        <v>43743.448101265822</v>
      </c>
    </row>
    <row r="656" spans="1:15" ht="15" customHeight="1" x14ac:dyDescent="0.25">
      <c r="A656" s="9" t="s">
        <v>274</v>
      </c>
      <c r="B656" s="9" t="str">
        <f>INDEX(Places[Type],MATCH(Activities[[#This Row],[Jurisdiction]],Places[Jurisdiction],0))</f>
        <v>City</v>
      </c>
      <c r="C656" s="19" t="str">
        <f>INDEX(Places[County],MATCH(Activities[[#This Row],[Jurisdiction]],Places[Jurisdiction],0))</f>
        <v>Orange</v>
      </c>
      <c r="D656" s="9" t="str">
        <f>INDEX(Places[Majority RB],MATCH(Activities[[#This Row],[Jurisdiction]],Places[Jurisdiction],0))</f>
        <v>Santa Ana</v>
      </c>
      <c r="E656" s="9">
        <f>INDEX(Places[Majority RB '#],MATCH(Activities[[#This Row],[Jurisdiction]],Places[Jurisdiction],0))</f>
        <v>8</v>
      </c>
      <c r="F656" s="28" t="str">
        <f>VLOOKUP(Activities[[#This Row],[Jurisdiction]],Places[#All],8,FALSE)</f>
        <v>Phase I MS4</v>
      </c>
      <c r="G656" s="48" t="s">
        <v>1004</v>
      </c>
      <c r="H656" s="8"/>
      <c r="I656" s="8"/>
      <c r="J656" s="8" t="s">
        <v>76</v>
      </c>
      <c r="K656" s="27" t="s">
        <v>1875</v>
      </c>
      <c r="L656" s="28">
        <f>_xlfn.NUMBERVALUE(LEFT(Activities[[#This Row],[Fiscal Year]], 4))</f>
        <v>2001</v>
      </c>
      <c r="M656" s="28" t="s">
        <v>1862</v>
      </c>
      <c r="N656" s="41">
        <v>400000</v>
      </c>
      <c r="O656" s="93">
        <f>IF(Activities[[#This Row],[Reference Year]]&gt;2018,Activities[[#This Row],[Value]],Activities[[#This Row],[Value]]*(1+VLOOKUP(Activities[[#This Row],[Reference Year]],Inflation[#All],3,FALSE)))</f>
        <v>568336.53303218517</v>
      </c>
    </row>
    <row r="657" spans="1:15" ht="15" customHeight="1" x14ac:dyDescent="0.25">
      <c r="A657" s="9" t="s">
        <v>274</v>
      </c>
      <c r="B657" s="9" t="str">
        <f>INDEX(Places[Type],MATCH(Activities[[#This Row],[Jurisdiction]],Places[Jurisdiction],0))</f>
        <v>City</v>
      </c>
      <c r="C657" s="19" t="str">
        <f>INDEX(Places[County],MATCH(Activities[[#This Row],[Jurisdiction]],Places[Jurisdiction],0))</f>
        <v>Orange</v>
      </c>
      <c r="D657" s="9" t="str">
        <f>INDEX(Places[Majority RB],MATCH(Activities[[#This Row],[Jurisdiction]],Places[Jurisdiction],0))</f>
        <v>Santa Ana</v>
      </c>
      <c r="E657" s="9">
        <f>INDEX(Places[Majority RB '#],MATCH(Activities[[#This Row],[Jurisdiction]],Places[Jurisdiction],0))</f>
        <v>8</v>
      </c>
      <c r="F657" s="28" t="str">
        <f>VLOOKUP(Activities[[#This Row],[Jurisdiction]],Places[#All],8,FALSE)</f>
        <v>Phase I MS4</v>
      </c>
      <c r="G657" s="48" t="s">
        <v>1006</v>
      </c>
      <c r="H657" s="8"/>
      <c r="I657" s="8"/>
      <c r="J657" s="8" t="s">
        <v>1895</v>
      </c>
      <c r="K657" s="27" t="s">
        <v>1875</v>
      </c>
      <c r="L657" s="28">
        <f>_xlfn.NUMBERVALUE(LEFT(Activities[[#This Row],[Fiscal Year]], 4))</f>
        <v>2001</v>
      </c>
      <c r="M657" s="28" t="s">
        <v>1862</v>
      </c>
      <c r="N657" s="41">
        <v>60000</v>
      </c>
      <c r="O657" s="93">
        <f>IF(Activities[[#This Row],[Reference Year]]&gt;2018,Activities[[#This Row],[Value]],Activities[[#This Row],[Value]]*(1+VLOOKUP(Activities[[#This Row],[Reference Year]],Inflation[#All],3,FALSE)))</f>
        <v>85250.479954827781</v>
      </c>
    </row>
    <row r="658" spans="1:15" ht="15" customHeight="1" x14ac:dyDescent="0.25">
      <c r="A658" s="9" t="s">
        <v>274</v>
      </c>
      <c r="B658" s="9" t="str">
        <f>INDEX(Places[Type],MATCH(Activities[[#This Row],[Jurisdiction]],Places[Jurisdiction],0))</f>
        <v>City</v>
      </c>
      <c r="C658" s="19" t="str">
        <f>INDEX(Places[County],MATCH(Activities[[#This Row],[Jurisdiction]],Places[Jurisdiction],0))</f>
        <v>Orange</v>
      </c>
      <c r="D658" s="9" t="str">
        <f>INDEX(Places[Majority RB],MATCH(Activities[[#This Row],[Jurisdiction]],Places[Jurisdiction],0))</f>
        <v>Santa Ana</v>
      </c>
      <c r="E658" s="9">
        <f>INDEX(Places[Majority RB '#],MATCH(Activities[[#This Row],[Jurisdiction]],Places[Jurisdiction],0))</f>
        <v>8</v>
      </c>
      <c r="F658" s="28" t="str">
        <f>VLOOKUP(Activities[[#This Row],[Jurisdiction]],Places[#All],8,FALSE)</f>
        <v>Phase I MS4</v>
      </c>
      <c r="G658" s="48" t="s">
        <v>1003</v>
      </c>
      <c r="H658" s="8" t="s">
        <v>506</v>
      </c>
      <c r="I658" s="8"/>
      <c r="J658" s="8" t="s">
        <v>131</v>
      </c>
      <c r="K658" s="27" t="s">
        <v>1875</v>
      </c>
      <c r="L658" s="28">
        <f>_xlfn.NUMBERVALUE(LEFT(Activities[[#This Row],[Fiscal Year]], 4))</f>
        <v>2001</v>
      </c>
      <c r="M658" s="28" t="s">
        <v>1862</v>
      </c>
      <c r="N658" s="41">
        <v>4000</v>
      </c>
      <c r="O658" s="93">
        <f>IF(Activities[[#This Row],[Reference Year]]&gt;2018,Activities[[#This Row],[Value]],Activities[[#This Row],[Value]]*(1+VLOOKUP(Activities[[#This Row],[Reference Year]],Inflation[#All],3,FALSE)))</f>
        <v>5683.3653303218516</v>
      </c>
    </row>
    <row r="659" spans="1:15" ht="15" customHeight="1" x14ac:dyDescent="0.25">
      <c r="A659" s="9" t="s">
        <v>274</v>
      </c>
      <c r="B659" s="9" t="str">
        <f>INDEX(Places[Type],MATCH(Activities[[#This Row],[Jurisdiction]],Places[Jurisdiction],0))</f>
        <v>City</v>
      </c>
      <c r="C659" s="19" t="str">
        <f>INDEX(Places[County],MATCH(Activities[[#This Row],[Jurisdiction]],Places[Jurisdiction],0))</f>
        <v>Orange</v>
      </c>
      <c r="D659" s="9" t="str">
        <f>INDEX(Places[Majority RB],MATCH(Activities[[#This Row],[Jurisdiction]],Places[Jurisdiction],0))</f>
        <v>Santa Ana</v>
      </c>
      <c r="E659" s="9">
        <f>INDEX(Places[Majority RB '#],MATCH(Activities[[#This Row],[Jurisdiction]],Places[Jurisdiction],0))</f>
        <v>8</v>
      </c>
      <c r="F659" s="28" t="str">
        <f>VLOOKUP(Activities[[#This Row],[Jurisdiction]],Places[#All],8,FALSE)</f>
        <v>Phase I MS4</v>
      </c>
      <c r="G659" s="48" t="s">
        <v>994</v>
      </c>
      <c r="H659" s="8" t="s">
        <v>504</v>
      </c>
      <c r="I659" s="8"/>
      <c r="J659" s="8" t="s">
        <v>71</v>
      </c>
      <c r="K659" s="27" t="s">
        <v>1875</v>
      </c>
      <c r="L659" s="28">
        <f>_xlfn.NUMBERVALUE(LEFT(Activities[[#This Row],[Fiscal Year]], 4))</f>
        <v>2001</v>
      </c>
      <c r="M659" s="28" t="s">
        <v>1862</v>
      </c>
      <c r="N659" s="41">
        <v>1250000</v>
      </c>
      <c r="O659" s="93">
        <f>IF(Activities[[#This Row],[Reference Year]]&gt;2018,Activities[[#This Row],[Value]],Activities[[#This Row],[Value]]*(1+VLOOKUP(Activities[[#This Row],[Reference Year]],Inflation[#All],3,FALSE)))</f>
        <v>1776051.6657255788</v>
      </c>
    </row>
    <row r="660" spans="1:15" ht="15" customHeight="1" x14ac:dyDescent="0.25">
      <c r="A660" s="9" t="s">
        <v>274</v>
      </c>
      <c r="B660" s="9" t="str">
        <f>INDEX(Places[Type],MATCH(Activities[[#This Row],[Jurisdiction]],Places[Jurisdiction],0))</f>
        <v>City</v>
      </c>
      <c r="C660" s="19" t="str">
        <f>INDEX(Places[County],MATCH(Activities[[#This Row],[Jurisdiction]],Places[Jurisdiction],0))</f>
        <v>Orange</v>
      </c>
      <c r="D660" s="9" t="str">
        <f>INDEX(Places[Majority RB],MATCH(Activities[[#This Row],[Jurisdiction]],Places[Jurisdiction],0))</f>
        <v>Santa Ana</v>
      </c>
      <c r="E660" s="9">
        <f>INDEX(Places[Majority RB '#],MATCH(Activities[[#This Row],[Jurisdiction]],Places[Jurisdiction],0))</f>
        <v>8</v>
      </c>
      <c r="F660" s="28" t="str">
        <f>VLOOKUP(Activities[[#This Row],[Jurisdiction]],Places[#All],8,FALSE)</f>
        <v>Phase I MS4</v>
      </c>
      <c r="G660" s="48" t="s">
        <v>979</v>
      </c>
      <c r="H660" s="8" t="s">
        <v>504</v>
      </c>
      <c r="I660" s="8"/>
      <c r="J660" s="8" t="s">
        <v>71</v>
      </c>
      <c r="K660" s="27" t="s">
        <v>1875</v>
      </c>
      <c r="L660" s="28">
        <f>_xlfn.NUMBERVALUE(LEFT(Activities[[#This Row],[Fiscal Year]], 4))</f>
        <v>2001</v>
      </c>
      <c r="M660" s="28" t="s">
        <v>1862</v>
      </c>
      <c r="N660" s="41">
        <v>2265000</v>
      </c>
      <c r="O660" s="93">
        <f>IF(Activities[[#This Row],[Reference Year]]&gt;2018,Activities[[#This Row],[Value]],Activities[[#This Row],[Value]]*(1+VLOOKUP(Activities[[#This Row],[Reference Year]],Inflation[#All],3,FALSE)))</f>
        <v>3218205.6182947485</v>
      </c>
    </row>
    <row r="661" spans="1:15" ht="15" customHeight="1" x14ac:dyDescent="0.25">
      <c r="A661" s="9" t="s">
        <v>274</v>
      </c>
      <c r="B661" s="9" t="str">
        <f>INDEX(Places[Type],MATCH(Activities[[#This Row],[Jurisdiction]],Places[Jurisdiction],0))</f>
        <v>City</v>
      </c>
      <c r="C661" s="19" t="str">
        <f>INDEX(Places[County],MATCH(Activities[[#This Row],[Jurisdiction]],Places[Jurisdiction],0))</f>
        <v>Orange</v>
      </c>
      <c r="D661" s="9" t="str">
        <f>INDEX(Places[Majority RB],MATCH(Activities[[#This Row],[Jurisdiction]],Places[Jurisdiction],0))</f>
        <v>Santa Ana</v>
      </c>
      <c r="E661" s="9">
        <f>INDEX(Places[Majority RB '#],MATCH(Activities[[#This Row],[Jurisdiction]],Places[Jurisdiction],0))</f>
        <v>8</v>
      </c>
      <c r="F661" s="28" t="str">
        <f>VLOOKUP(Activities[[#This Row],[Jurisdiction]],Places[#All],8,FALSE)</f>
        <v>Phase I MS4</v>
      </c>
      <c r="G661" s="48" t="s">
        <v>995</v>
      </c>
      <c r="H661" s="8" t="s">
        <v>504</v>
      </c>
      <c r="I661" s="8"/>
      <c r="J661" s="8" t="s">
        <v>1897</v>
      </c>
      <c r="K661" s="27" t="s">
        <v>1875</v>
      </c>
      <c r="L661" s="28">
        <f>_xlfn.NUMBERVALUE(LEFT(Activities[[#This Row],[Fiscal Year]], 4))</f>
        <v>2001</v>
      </c>
      <c r="M661" s="28" t="s">
        <v>1862</v>
      </c>
      <c r="N661" s="41">
        <v>10000</v>
      </c>
      <c r="O661" s="93">
        <f>IF(Activities[[#This Row],[Reference Year]]&gt;2018,Activities[[#This Row],[Value]],Activities[[#This Row],[Value]]*(1+VLOOKUP(Activities[[#This Row],[Reference Year]],Inflation[#All],3,FALSE)))</f>
        <v>14208.413325804629</v>
      </c>
    </row>
    <row r="662" spans="1:15" ht="15" customHeight="1" x14ac:dyDescent="0.25">
      <c r="A662" s="9" t="s">
        <v>274</v>
      </c>
      <c r="B662" s="9" t="str">
        <f>INDEX(Places[Type],MATCH(Activities[[#This Row],[Jurisdiction]],Places[Jurisdiction],0))</f>
        <v>City</v>
      </c>
      <c r="C662" s="19" t="str">
        <f>INDEX(Places[County],MATCH(Activities[[#This Row],[Jurisdiction]],Places[Jurisdiction],0))</f>
        <v>Orange</v>
      </c>
      <c r="D662" s="9" t="str">
        <f>INDEX(Places[Majority RB],MATCH(Activities[[#This Row],[Jurisdiction]],Places[Jurisdiction],0))</f>
        <v>Santa Ana</v>
      </c>
      <c r="E662" s="9">
        <f>INDEX(Places[Majority RB '#],MATCH(Activities[[#This Row],[Jurisdiction]],Places[Jurisdiction],0))</f>
        <v>8</v>
      </c>
      <c r="F662" s="28" t="str">
        <f>VLOOKUP(Activities[[#This Row],[Jurisdiction]],Places[#All],8,FALSE)</f>
        <v>Phase I MS4</v>
      </c>
      <c r="G662" s="48" t="s">
        <v>999</v>
      </c>
      <c r="H662" s="8" t="s">
        <v>504</v>
      </c>
      <c r="I662" s="8"/>
      <c r="J662" s="8" t="s">
        <v>1897</v>
      </c>
      <c r="K662" s="27" t="s">
        <v>1875</v>
      </c>
      <c r="L662" s="28">
        <f>_xlfn.NUMBERVALUE(LEFT(Activities[[#This Row],[Fiscal Year]], 4))</f>
        <v>2001</v>
      </c>
      <c r="M662" s="28" t="s">
        <v>1862</v>
      </c>
      <c r="N662" s="41">
        <v>10000</v>
      </c>
      <c r="O662" s="93">
        <f>IF(Activities[[#This Row],[Reference Year]]&gt;2018,Activities[[#This Row],[Value]],Activities[[#This Row],[Value]]*(1+VLOOKUP(Activities[[#This Row],[Reference Year]],Inflation[#All],3,FALSE)))</f>
        <v>14208.413325804629</v>
      </c>
    </row>
    <row r="663" spans="1:15" ht="15" customHeight="1" x14ac:dyDescent="0.25">
      <c r="A663" s="9" t="s">
        <v>274</v>
      </c>
      <c r="B663" s="9" t="str">
        <f>INDEX(Places[Type],MATCH(Activities[[#This Row],[Jurisdiction]],Places[Jurisdiction],0))</f>
        <v>City</v>
      </c>
      <c r="C663" s="19" t="str">
        <f>INDEX(Places[County],MATCH(Activities[[#This Row],[Jurisdiction]],Places[Jurisdiction],0))</f>
        <v>Orange</v>
      </c>
      <c r="D663" s="9" t="str">
        <f>INDEX(Places[Majority RB],MATCH(Activities[[#This Row],[Jurisdiction]],Places[Jurisdiction],0))</f>
        <v>Santa Ana</v>
      </c>
      <c r="E663" s="9">
        <f>INDEX(Places[Majority RB '#],MATCH(Activities[[#This Row],[Jurisdiction]],Places[Jurisdiction],0))</f>
        <v>8</v>
      </c>
      <c r="F663" s="28" t="str">
        <f>VLOOKUP(Activities[[#This Row],[Jurisdiction]],Places[#All],8,FALSE)</f>
        <v>Phase I MS4</v>
      </c>
      <c r="G663" s="48" t="s">
        <v>1002</v>
      </c>
      <c r="H663" s="8" t="s">
        <v>597</v>
      </c>
      <c r="I663" s="8" t="s">
        <v>594</v>
      </c>
      <c r="J663" s="8" t="s">
        <v>1897</v>
      </c>
      <c r="K663" s="27" t="s">
        <v>1875</v>
      </c>
      <c r="L663" s="28">
        <f>_xlfn.NUMBERVALUE(LEFT(Activities[[#This Row],[Fiscal Year]], 4))</f>
        <v>2001</v>
      </c>
      <c r="M663" s="28" t="s">
        <v>1862</v>
      </c>
      <c r="N663" s="41">
        <v>15000</v>
      </c>
      <c r="O663" s="93">
        <f>IF(Activities[[#This Row],[Reference Year]]&gt;2018,Activities[[#This Row],[Value]],Activities[[#This Row],[Value]]*(1+VLOOKUP(Activities[[#This Row],[Reference Year]],Inflation[#All],3,FALSE)))</f>
        <v>21312.619988706945</v>
      </c>
    </row>
    <row r="664" spans="1:15" ht="15" customHeight="1" x14ac:dyDescent="0.25">
      <c r="A664" s="9" t="s">
        <v>274</v>
      </c>
      <c r="B664" s="9" t="str">
        <f>INDEX(Places[Type],MATCH(Activities[[#This Row],[Jurisdiction]],Places[Jurisdiction],0))</f>
        <v>City</v>
      </c>
      <c r="C664" s="19" t="str">
        <f>INDEX(Places[County],MATCH(Activities[[#This Row],[Jurisdiction]],Places[Jurisdiction],0))</f>
        <v>Orange</v>
      </c>
      <c r="D664" s="9" t="str">
        <f>INDEX(Places[Majority RB],MATCH(Activities[[#This Row],[Jurisdiction]],Places[Jurisdiction],0))</f>
        <v>Santa Ana</v>
      </c>
      <c r="E664" s="9">
        <f>INDEX(Places[Majority RB '#],MATCH(Activities[[#This Row],[Jurisdiction]],Places[Jurisdiction],0))</f>
        <v>8</v>
      </c>
      <c r="F664" s="28" t="str">
        <f>VLOOKUP(Activities[[#This Row],[Jurisdiction]],Places[#All],8,FALSE)</f>
        <v>Phase I MS4</v>
      </c>
      <c r="G664" s="48" t="s">
        <v>997</v>
      </c>
      <c r="H664" s="8" t="s">
        <v>593</v>
      </c>
      <c r="I664" s="8" t="s">
        <v>594</v>
      </c>
      <c r="J664" s="8" t="s">
        <v>1897</v>
      </c>
      <c r="K664" s="27" t="s">
        <v>1875</v>
      </c>
      <c r="L664" s="28">
        <f>_xlfn.NUMBERVALUE(LEFT(Activities[[#This Row],[Fiscal Year]], 4))</f>
        <v>2001</v>
      </c>
      <c r="M664" s="28" t="s">
        <v>1862</v>
      </c>
      <c r="N664" s="41">
        <v>255000</v>
      </c>
      <c r="O664" s="93">
        <f>IF(Activities[[#This Row],[Reference Year]]&gt;2018,Activities[[#This Row],[Value]],Activities[[#This Row],[Value]]*(1+VLOOKUP(Activities[[#This Row],[Reference Year]],Inflation[#All],3,FALSE)))</f>
        <v>362314.53980801807</v>
      </c>
    </row>
    <row r="665" spans="1:15" ht="15" customHeight="1" x14ac:dyDescent="0.25">
      <c r="A665" s="9" t="s">
        <v>274</v>
      </c>
      <c r="B665" s="9" t="str">
        <f>INDEX(Places[Type],MATCH(Activities[[#This Row],[Jurisdiction]],Places[Jurisdiction],0))</f>
        <v>City</v>
      </c>
      <c r="C665" s="19" t="str">
        <f>INDEX(Places[County],MATCH(Activities[[#This Row],[Jurisdiction]],Places[Jurisdiction],0))</f>
        <v>Orange</v>
      </c>
      <c r="D665" s="9" t="str">
        <f>INDEX(Places[Majority RB],MATCH(Activities[[#This Row],[Jurisdiction]],Places[Jurisdiction],0))</f>
        <v>Santa Ana</v>
      </c>
      <c r="E665" s="9">
        <f>INDEX(Places[Majority RB '#],MATCH(Activities[[#This Row],[Jurisdiction]],Places[Jurisdiction],0))</f>
        <v>8</v>
      </c>
      <c r="F665" s="28" t="str">
        <f>VLOOKUP(Activities[[#This Row],[Jurisdiction]],Places[#All],8,FALSE)</f>
        <v>Phase I MS4</v>
      </c>
      <c r="G665" s="48" t="s">
        <v>996</v>
      </c>
      <c r="H665" s="8" t="s">
        <v>504</v>
      </c>
      <c r="I665" s="8"/>
      <c r="J665" s="8" t="s">
        <v>1897</v>
      </c>
      <c r="K665" s="27" t="s">
        <v>1875</v>
      </c>
      <c r="L665" s="28">
        <f>_xlfn.NUMBERVALUE(LEFT(Activities[[#This Row],[Fiscal Year]], 4))</f>
        <v>2001</v>
      </c>
      <c r="M665" s="28" t="s">
        <v>1862</v>
      </c>
      <c r="N665" s="41">
        <v>815000</v>
      </c>
      <c r="O665" s="93">
        <f>IF(Activities[[#This Row],[Reference Year]]&gt;2018,Activities[[#This Row],[Value]],Activities[[#This Row],[Value]]*(1+VLOOKUP(Activities[[#This Row],[Reference Year]],Inflation[#All],3,FALSE)))</f>
        <v>1157985.6860530772</v>
      </c>
    </row>
    <row r="666" spans="1:15" ht="15" customHeight="1" x14ac:dyDescent="0.25">
      <c r="A666" s="9" t="s">
        <v>274</v>
      </c>
      <c r="B666" s="9" t="str">
        <f>INDEX(Places[Type],MATCH(Activities[[#This Row],[Jurisdiction]],Places[Jurisdiction],0))</f>
        <v>City</v>
      </c>
      <c r="C666" s="19" t="str">
        <f>INDEX(Places[County],MATCH(Activities[[#This Row],[Jurisdiction]],Places[Jurisdiction],0))</f>
        <v>Orange</v>
      </c>
      <c r="D666" s="9" t="str">
        <f>INDEX(Places[Majority RB],MATCH(Activities[[#This Row],[Jurisdiction]],Places[Jurisdiction],0))</f>
        <v>Santa Ana</v>
      </c>
      <c r="E666" s="9">
        <f>INDEX(Places[Majority RB '#],MATCH(Activities[[#This Row],[Jurisdiction]],Places[Jurisdiction],0))</f>
        <v>8</v>
      </c>
      <c r="F666" s="28" t="str">
        <f>VLOOKUP(Activities[[#This Row],[Jurisdiction]],Places[#All],8,FALSE)</f>
        <v>Phase I MS4</v>
      </c>
      <c r="G666" s="48" t="s">
        <v>998</v>
      </c>
      <c r="H666" s="8" t="s">
        <v>504</v>
      </c>
      <c r="I666" s="8"/>
      <c r="J666" s="8" t="s">
        <v>1897</v>
      </c>
      <c r="K666" s="27" t="s">
        <v>1875</v>
      </c>
      <c r="L666" s="28">
        <f>_xlfn.NUMBERVALUE(LEFT(Activities[[#This Row],[Fiscal Year]], 4))</f>
        <v>2001</v>
      </c>
      <c r="M666" s="28" t="s">
        <v>1862</v>
      </c>
      <c r="N666" s="41">
        <v>1200000</v>
      </c>
      <c r="O666" s="93">
        <f>IF(Activities[[#This Row],[Reference Year]]&gt;2018,Activities[[#This Row],[Value]],Activities[[#This Row],[Value]]*(1+VLOOKUP(Activities[[#This Row],[Reference Year]],Inflation[#All],3,FALSE)))</f>
        <v>1705009.5990965555</v>
      </c>
    </row>
    <row r="667" spans="1:15" ht="15" customHeight="1" x14ac:dyDescent="0.25">
      <c r="A667" s="9" t="s">
        <v>274</v>
      </c>
      <c r="B667" s="9" t="str">
        <f>INDEX(Places[Type],MATCH(Activities[[#This Row],[Jurisdiction]],Places[Jurisdiction],0))</f>
        <v>City</v>
      </c>
      <c r="C667" s="19" t="str">
        <f>INDEX(Places[County],MATCH(Activities[[#This Row],[Jurisdiction]],Places[Jurisdiction],0))</f>
        <v>Orange</v>
      </c>
      <c r="D667" s="9" t="str">
        <f>INDEX(Places[Majority RB],MATCH(Activities[[#This Row],[Jurisdiction]],Places[Jurisdiction],0))</f>
        <v>Santa Ana</v>
      </c>
      <c r="E667" s="9">
        <f>INDEX(Places[Majority RB '#],MATCH(Activities[[#This Row],[Jurisdiction]],Places[Jurisdiction],0))</f>
        <v>8</v>
      </c>
      <c r="F667" s="28" t="str">
        <f>VLOOKUP(Activities[[#This Row],[Jurisdiction]],Places[#All],8,FALSE)</f>
        <v>Phase I MS4</v>
      </c>
      <c r="G667" s="48" t="s">
        <v>993</v>
      </c>
      <c r="H667" s="8" t="s">
        <v>602</v>
      </c>
      <c r="I667" s="8"/>
      <c r="J667" s="8" t="s">
        <v>1897</v>
      </c>
      <c r="K667" s="27" t="s">
        <v>1875</v>
      </c>
      <c r="L667" s="28">
        <f>_xlfn.NUMBERVALUE(LEFT(Activities[[#This Row],[Fiscal Year]], 4))</f>
        <v>2001</v>
      </c>
      <c r="M667" s="28" t="s">
        <v>1862</v>
      </c>
      <c r="N667" s="41">
        <v>2000000</v>
      </c>
      <c r="O667" s="93">
        <f>IF(Activities[[#This Row],[Reference Year]]&gt;2018,Activities[[#This Row],[Value]],Activities[[#This Row],[Value]]*(1+VLOOKUP(Activities[[#This Row],[Reference Year]],Inflation[#All],3,FALSE)))</f>
        <v>2841682.6651609261</v>
      </c>
    </row>
    <row r="668" spans="1:15" ht="15" customHeight="1" x14ac:dyDescent="0.25">
      <c r="A668" s="9" t="s">
        <v>274</v>
      </c>
      <c r="B668" s="9" t="str">
        <f>INDEX(Places[Type],MATCH(Activities[[#This Row],[Jurisdiction]],Places[Jurisdiction],0))</f>
        <v>City</v>
      </c>
      <c r="C668" s="19" t="str">
        <f>INDEX(Places[County],MATCH(Activities[[#This Row],[Jurisdiction]],Places[Jurisdiction],0))</f>
        <v>Orange</v>
      </c>
      <c r="D668" s="9" t="str">
        <f>INDEX(Places[Majority RB],MATCH(Activities[[#This Row],[Jurisdiction]],Places[Jurisdiction],0))</f>
        <v>Santa Ana</v>
      </c>
      <c r="E668" s="9">
        <f>INDEX(Places[Majority RB '#],MATCH(Activities[[#This Row],[Jurisdiction]],Places[Jurisdiction],0))</f>
        <v>8</v>
      </c>
      <c r="F668" s="28" t="str">
        <f>VLOOKUP(Activities[[#This Row],[Jurisdiction]],Places[#All],8,FALSE)</f>
        <v>Phase I MS4</v>
      </c>
      <c r="G668" s="48" t="s">
        <v>1005</v>
      </c>
      <c r="H668" s="8"/>
      <c r="I668" s="8"/>
      <c r="J668" s="8" t="s">
        <v>1898</v>
      </c>
      <c r="K668" s="27" t="s">
        <v>1875</v>
      </c>
      <c r="L668" s="28">
        <f>_xlfn.NUMBERVALUE(LEFT(Activities[[#This Row],[Fiscal Year]], 4))</f>
        <v>2001</v>
      </c>
      <c r="M668" s="28" t="s">
        <v>1862</v>
      </c>
      <c r="N668" s="41">
        <v>25000</v>
      </c>
      <c r="O668" s="93">
        <f>IF(Activities[[#This Row],[Reference Year]]&gt;2018,Activities[[#This Row],[Value]],Activities[[#This Row],[Value]]*(1+VLOOKUP(Activities[[#This Row],[Reference Year]],Inflation[#All],3,FALSE)))</f>
        <v>35521.033314511573</v>
      </c>
    </row>
    <row r="669" spans="1:15" ht="15" customHeight="1" x14ac:dyDescent="0.25">
      <c r="A669" s="9" t="s">
        <v>274</v>
      </c>
      <c r="B669" s="9" t="str">
        <f>INDEX(Places[Type],MATCH(Activities[[#This Row],[Jurisdiction]],Places[Jurisdiction],0))</f>
        <v>City</v>
      </c>
      <c r="C669" s="19" t="str">
        <f>INDEX(Places[County],MATCH(Activities[[#This Row],[Jurisdiction]],Places[Jurisdiction],0))</f>
        <v>Orange</v>
      </c>
      <c r="D669" s="9" t="str">
        <f>INDEX(Places[Majority RB],MATCH(Activities[[#This Row],[Jurisdiction]],Places[Jurisdiction],0))</f>
        <v>Santa Ana</v>
      </c>
      <c r="E669" s="9">
        <f>INDEX(Places[Majority RB '#],MATCH(Activities[[#This Row],[Jurisdiction]],Places[Jurisdiction],0))</f>
        <v>8</v>
      </c>
      <c r="F669" s="28" t="str">
        <f>VLOOKUP(Activities[[#This Row],[Jurisdiction]],Places[#All],8,FALSE)</f>
        <v>Phase I MS4</v>
      </c>
      <c r="G669" s="48" t="s">
        <v>1000</v>
      </c>
      <c r="H669" s="8" t="s">
        <v>505</v>
      </c>
      <c r="I669" s="8"/>
      <c r="J669" s="8" t="s">
        <v>1456</v>
      </c>
      <c r="K669" s="27" t="s">
        <v>1875</v>
      </c>
      <c r="L669" s="28">
        <f>_xlfn.NUMBERVALUE(LEFT(Activities[[#This Row],[Fiscal Year]], 4))</f>
        <v>2001</v>
      </c>
      <c r="M669" s="28" t="s">
        <v>1862</v>
      </c>
      <c r="N669" s="41">
        <v>5000</v>
      </c>
      <c r="O669" s="93">
        <f>IF(Activities[[#This Row],[Reference Year]]&gt;2018,Activities[[#This Row],[Value]],Activities[[#This Row],[Value]]*(1+VLOOKUP(Activities[[#This Row],[Reference Year]],Inflation[#All],3,FALSE)))</f>
        <v>7104.2066629023147</v>
      </c>
    </row>
    <row r="670" spans="1:15" ht="15" customHeight="1" x14ac:dyDescent="0.25">
      <c r="A670" s="9" t="s">
        <v>274</v>
      </c>
      <c r="B670" s="9" t="str">
        <f>INDEX(Places[Type],MATCH(Activities[[#This Row],[Jurisdiction]],Places[Jurisdiction],0))</f>
        <v>City</v>
      </c>
      <c r="C670" s="19" t="str">
        <f>INDEX(Places[County],MATCH(Activities[[#This Row],[Jurisdiction]],Places[Jurisdiction],0))</f>
        <v>Orange</v>
      </c>
      <c r="D670" s="9" t="str">
        <f>INDEX(Places[Majority RB],MATCH(Activities[[#This Row],[Jurisdiction]],Places[Jurisdiction],0))</f>
        <v>Santa Ana</v>
      </c>
      <c r="E670" s="9">
        <f>INDEX(Places[Majority RB '#],MATCH(Activities[[#This Row],[Jurisdiction]],Places[Jurisdiction],0))</f>
        <v>8</v>
      </c>
      <c r="F670" s="28" t="str">
        <f>VLOOKUP(Activities[[#This Row],[Jurisdiction]],Places[#All],8,FALSE)</f>
        <v>Phase I MS4</v>
      </c>
      <c r="G670" s="48" t="s">
        <v>991</v>
      </c>
      <c r="H670" s="8" t="s">
        <v>503</v>
      </c>
      <c r="I670" s="8"/>
      <c r="J670" s="8" t="s">
        <v>1894</v>
      </c>
      <c r="K670" s="27" t="s">
        <v>1875</v>
      </c>
      <c r="L670" s="28">
        <f>_xlfn.NUMBERVALUE(LEFT(Activities[[#This Row],[Fiscal Year]], 4))</f>
        <v>2001</v>
      </c>
      <c r="M670" s="28" t="s">
        <v>1862</v>
      </c>
      <c r="N670" s="41">
        <v>500000</v>
      </c>
      <c r="O670" s="93">
        <f>IF(Activities[[#This Row],[Reference Year]]&gt;2018,Activities[[#This Row],[Value]],Activities[[#This Row],[Value]]*(1+VLOOKUP(Activities[[#This Row],[Reference Year]],Inflation[#All],3,FALSE)))</f>
        <v>710420.66629023151</v>
      </c>
    </row>
    <row r="671" spans="1:15" ht="15" customHeight="1" x14ac:dyDescent="0.25">
      <c r="A671" s="9" t="s">
        <v>312</v>
      </c>
      <c r="B671" s="9" t="str">
        <f>INDEX(Places[Type],MATCH(Activities[[#This Row],[Jurisdiction]],Places[Jurisdiction],0))</f>
        <v>City</v>
      </c>
      <c r="C671" s="19" t="str">
        <f>INDEX(Places[County],MATCH(Activities[[#This Row],[Jurisdiction]],Places[Jurisdiction],0))</f>
        <v>San Diego</v>
      </c>
      <c r="D671" s="9" t="str">
        <f>INDEX(Places[Majority RB],MATCH(Activities[[#This Row],[Jurisdiction]],Places[Jurisdiction],0))</f>
        <v>San Diego</v>
      </c>
      <c r="E671" s="9">
        <f>INDEX(Places[Majority RB '#],MATCH(Activities[[#This Row],[Jurisdiction]],Places[Jurisdiction],0))</f>
        <v>9</v>
      </c>
      <c r="F671" s="28" t="str">
        <f>VLOOKUP(Activities[[#This Row],[Jurisdiction]],Places[#All],8,FALSE)</f>
        <v>Phase I MS4</v>
      </c>
      <c r="G671" s="48" t="s">
        <v>1339</v>
      </c>
      <c r="H671" s="8"/>
      <c r="I671" s="8"/>
      <c r="J671" s="8" t="s">
        <v>76</v>
      </c>
      <c r="K671" s="27" t="s">
        <v>1874</v>
      </c>
      <c r="L671" s="28">
        <f>_xlfn.NUMBERVALUE(LEFT(Activities[[#This Row],[Fiscal Year]], 4))</f>
        <v>2017</v>
      </c>
      <c r="M671" s="28" t="s">
        <v>1862</v>
      </c>
      <c r="N671" s="41">
        <v>1923696</v>
      </c>
      <c r="O671" s="93">
        <f>IF(Activities[[#This Row],[Reference Year]]&gt;2018,Activities[[#This Row],[Value]],Activities[[#This Row],[Value]]*(1+VLOOKUP(Activities[[#This Row],[Reference Year]],Inflation[#All],3,FALSE)))</f>
        <v>1974955.3169155449</v>
      </c>
    </row>
    <row r="672" spans="1:15" ht="15" customHeight="1" x14ac:dyDescent="0.25">
      <c r="A672" s="9" t="s">
        <v>312</v>
      </c>
      <c r="B672" s="9" t="str">
        <f>INDEX(Places[Type],MATCH(Activities[[#This Row],[Jurisdiction]],Places[Jurisdiction],0))</f>
        <v>City</v>
      </c>
      <c r="C672" s="19" t="str">
        <f>INDEX(Places[County],MATCH(Activities[[#This Row],[Jurisdiction]],Places[Jurisdiction],0))</f>
        <v>San Diego</v>
      </c>
      <c r="D672" s="9" t="str">
        <f>INDEX(Places[Majority RB],MATCH(Activities[[#This Row],[Jurisdiction]],Places[Jurisdiction],0))</f>
        <v>San Diego</v>
      </c>
      <c r="E672" s="9">
        <f>INDEX(Places[Majority RB '#],MATCH(Activities[[#This Row],[Jurisdiction]],Places[Jurisdiction],0))</f>
        <v>9</v>
      </c>
      <c r="F672" s="28" t="str">
        <f>VLOOKUP(Activities[[#This Row],[Jurisdiction]],Places[#All],8,FALSE)</f>
        <v>Phase I MS4</v>
      </c>
      <c r="G672" s="48" t="s">
        <v>1336</v>
      </c>
      <c r="H672" s="8"/>
      <c r="I672" s="8"/>
      <c r="J672" s="8" t="s">
        <v>1895</v>
      </c>
      <c r="K672" s="27" t="s">
        <v>1874</v>
      </c>
      <c r="L672" s="28">
        <f>_xlfn.NUMBERVALUE(LEFT(Activities[[#This Row],[Fiscal Year]], 4))</f>
        <v>2017</v>
      </c>
      <c r="M672" s="28" t="s">
        <v>1862</v>
      </c>
      <c r="N672" s="41">
        <v>81011</v>
      </c>
      <c r="O672" s="93">
        <f>IF(Activities[[#This Row],[Reference Year]]&gt;2018,Activities[[#This Row],[Value]],Activities[[#This Row],[Value]]*(1+VLOOKUP(Activities[[#This Row],[Reference Year]],Inflation[#All],3,FALSE)))</f>
        <v>83169.640722154232</v>
      </c>
    </row>
    <row r="673" spans="1:15" ht="15" customHeight="1" x14ac:dyDescent="0.25">
      <c r="A673" s="9" t="s">
        <v>312</v>
      </c>
      <c r="B673" s="9" t="str">
        <f>INDEX(Places[Type],MATCH(Activities[[#This Row],[Jurisdiction]],Places[Jurisdiction],0))</f>
        <v>City</v>
      </c>
      <c r="C673" s="19" t="str">
        <f>INDEX(Places[County],MATCH(Activities[[#This Row],[Jurisdiction]],Places[Jurisdiction],0))</f>
        <v>San Diego</v>
      </c>
      <c r="D673" s="9" t="str">
        <f>INDEX(Places[Majority RB],MATCH(Activities[[#This Row],[Jurisdiction]],Places[Jurisdiction],0))</f>
        <v>San Diego</v>
      </c>
      <c r="E673" s="9">
        <f>INDEX(Places[Majority RB '#],MATCH(Activities[[#This Row],[Jurisdiction]],Places[Jurisdiction],0))</f>
        <v>9</v>
      </c>
      <c r="F673" s="28" t="str">
        <f>VLOOKUP(Activities[[#This Row],[Jurisdiction]],Places[#All],8,FALSE)</f>
        <v>Phase I MS4</v>
      </c>
      <c r="G673" s="48" t="s">
        <v>374</v>
      </c>
      <c r="H673" s="8"/>
      <c r="I673" s="8"/>
      <c r="J673" s="8" t="s">
        <v>1897</v>
      </c>
      <c r="K673" s="27" t="s">
        <v>1874</v>
      </c>
      <c r="L673" s="28">
        <f>_xlfn.NUMBERVALUE(LEFT(Activities[[#This Row],[Fiscal Year]], 4))</f>
        <v>2017</v>
      </c>
      <c r="M673" s="28" t="s">
        <v>1862</v>
      </c>
      <c r="N673" s="41">
        <v>6916</v>
      </c>
      <c r="O673" s="93">
        <f>IF(Activities[[#This Row],[Reference Year]]&gt;2018,Activities[[#This Row],[Value]],Activities[[#This Row],[Value]]*(1+VLOOKUP(Activities[[#This Row],[Reference Year]],Inflation[#All],3,FALSE)))</f>
        <v>7100.2855813953493</v>
      </c>
    </row>
    <row r="674" spans="1:15" ht="15" customHeight="1" x14ac:dyDescent="0.25">
      <c r="A674" s="9" t="s">
        <v>312</v>
      </c>
      <c r="B674" s="9" t="str">
        <f>INDEX(Places[Type],MATCH(Activities[[#This Row],[Jurisdiction]],Places[Jurisdiction],0))</f>
        <v>City</v>
      </c>
      <c r="C674" s="19" t="str">
        <f>INDEX(Places[County],MATCH(Activities[[#This Row],[Jurisdiction]],Places[Jurisdiction],0))</f>
        <v>San Diego</v>
      </c>
      <c r="D674" s="9" t="str">
        <f>INDEX(Places[Majority RB],MATCH(Activities[[#This Row],[Jurisdiction]],Places[Jurisdiction],0))</f>
        <v>San Diego</v>
      </c>
      <c r="E674" s="9">
        <f>INDEX(Places[Majority RB '#],MATCH(Activities[[#This Row],[Jurisdiction]],Places[Jurisdiction],0))</f>
        <v>9</v>
      </c>
      <c r="F674" s="28" t="str">
        <f>VLOOKUP(Activities[[#This Row],[Jurisdiction]],Places[#All],8,FALSE)</f>
        <v>Phase I MS4</v>
      </c>
      <c r="G674" s="48" t="s">
        <v>375</v>
      </c>
      <c r="H674" s="8"/>
      <c r="I674" s="8"/>
      <c r="J674" s="8" t="s">
        <v>1897</v>
      </c>
      <c r="K674" s="27" t="s">
        <v>1874</v>
      </c>
      <c r="L674" s="28">
        <f>_xlfn.NUMBERVALUE(LEFT(Activities[[#This Row],[Fiscal Year]], 4))</f>
        <v>2017</v>
      </c>
      <c r="M674" s="28" t="s">
        <v>1862</v>
      </c>
      <c r="N674" s="41">
        <v>23467</v>
      </c>
      <c r="O674" s="93">
        <f>IF(Activities[[#This Row],[Reference Year]]&gt;2018,Activities[[#This Row],[Value]],Activities[[#This Row],[Value]]*(1+VLOOKUP(Activities[[#This Row],[Reference Year]],Inflation[#All],3,FALSE)))</f>
        <v>24092.307943696454</v>
      </c>
    </row>
    <row r="675" spans="1:15" ht="15" customHeight="1" x14ac:dyDescent="0.25">
      <c r="A675" s="9" t="s">
        <v>312</v>
      </c>
      <c r="B675" s="9" t="str">
        <f>INDEX(Places[Type],MATCH(Activities[[#This Row],[Jurisdiction]],Places[Jurisdiction],0))</f>
        <v>City</v>
      </c>
      <c r="C675" s="19" t="str">
        <f>INDEX(Places[County],MATCH(Activities[[#This Row],[Jurisdiction]],Places[Jurisdiction],0))</f>
        <v>San Diego</v>
      </c>
      <c r="D675" s="9" t="str">
        <f>INDEX(Places[Majority RB],MATCH(Activities[[#This Row],[Jurisdiction]],Places[Jurisdiction],0))</f>
        <v>San Diego</v>
      </c>
      <c r="E675" s="9">
        <f>INDEX(Places[Majority RB '#],MATCH(Activities[[#This Row],[Jurisdiction]],Places[Jurisdiction],0))</f>
        <v>9</v>
      </c>
      <c r="F675" s="28" t="str">
        <f>VLOOKUP(Activities[[#This Row],[Jurisdiction]],Places[#All],8,FALSE)</f>
        <v>Phase I MS4</v>
      </c>
      <c r="G675" s="48" t="s">
        <v>373</v>
      </c>
      <c r="H675" s="8"/>
      <c r="I675" s="8"/>
      <c r="J675" s="8" t="s">
        <v>1897</v>
      </c>
      <c r="K675" s="27" t="s">
        <v>1874</v>
      </c>
      <c r="L675" s="28">
        <f>_xlfn.NUMBERVALUE(LEFT(Activities[[#This Row],[Fiscal Year]], 4))</f>
        <v>2017</v>
      </c>
      <c r="M675" s="28" t="s">
        <v>1862</v>
      </c>
      <c r="N675" s="41">
        <v>58031</v>
      </c>
      <c r="O675" s="93">
        <f>IF(Activities[[#This Row],[Reference Year]]&gt;2018,Activities[[#This Row],[Value]],Activities[[#This Row],[Value]]*(1+VLOOKUP(Activities[[#This Row],[Reference Year]],Inflation[#All],3,FALSE)))</f>
        <v>59577.309510403924</v>
      </c>
    </row>
    <row r="676" spans="1:15" ht="15" customHeight="1" x14ac:dyDescent="0.25">
      <c r="A676" s="9" t="s">
        <v>312</v>
      </c>
      <c r="B676" s="9" t="str">
        <f>INDEX(Places[Type],MATCH(Activities[[#This Row],[Jurisdiction]],Places[Jurisdiction],0))</f>
        <v>City</v>
      </c>
      <c r="C676" s="19" t="str">
        <f>INDEX(Places[County],MATCH(Activities[[#This Row],[Jurisdiction]],Places[Jurisdiction],0))</f>
        <v>San Diego</v>
      </c>
      <c r="D676" s="9" t="str">
        <f>INDEX(Places[Majority RB],MATCH(Activities[[#This Row],[Jurisdiction]],Places[Jurisdiction],0))</f>
        <v>San Diego</v>
      </c>
      <c r="E676" s="9">
        <f>INDEX(Places[Majority RB '#],MATCH(Activities[[#This Row],[Jurisdiction]],Places[Jurisdiction],0))</f>
        <v>9</v>
      </c>
      <c r="F676" s="28" t="str">
        <f>VLOOKUP(Activities[[#This Row],[Jurisdiction]],Places[#All],8,FALSE)</f>
        <v>Phase I MS4</v>
      </c>
      <c r="G676" s="48" t="s">
        <v>371</v>
      </c>
      <c r="H676" s="8"/>
      <c r="I676" s="8"/>
      <c r="J676" s="8" t="s">
        <v>1897</v>
      </c>
      <c r="K676" s="27" t="s">
        <v>1874</v>
      </c>
      <c r="L676" s="28">
        <f>_xlfn.NUMBERVALUE(LEFT(Activities[[#This Row],[Fiscal Year]], 4))</f>
        <v>2017</v>
      </c>
      <c r="M676" s="28" t="s">
        <v>1862</v>
      </c>
      <c r="N676" s="41">
        <v>207751</v>
      </c>
      <c r="O676" s="93">
        <f>IF(Activities[[#This Row],[Reference Year]]&gt;2018,Activities[[#This Row],[Value]],Activities[[#This Row],[Value]]*(1+VLOOKUP(Activities[[#This Row],[Reference Year]],Inflation[#All],3,FALSE)))</f>
        <v>213286.78858017139</v>
      </c>
    </row>
    <row r="677" spans="1:15" ht="15" customHeight="1" x14ac:dyDescent="0.25">
      <c r="A677" s="9" t="s">
        <v>312</v>
      </c>
      <c r="B677" s="9" t="str">
        <f>INDEX(Places[Type],MATCH(Activities[[#This Row],[Jurisdiction]],Places[Jurisdiction],0))</f>
        <v>City</v>
      </c>
      <c r="C677" s="19" t="str">
        <f>INDEX(Places[County],MATCH(Activities[[#This Row],[Jurisdiction]],Places[Jurisdiction],0))</f>
        <v>San Diego</v>
      </c>
      <c r="D677" s="9" t="str">
        <f>INDEX(Places[Majority RB],MATCH(Activities[[#This Row],[Jurisdiction]],Places[Jurisdiction],0))</f>
        <v>San Diego</v>
      </c>
      <c r="E677" s="9">
        <f>INDEX(Places[Majority RB '#],MATCH(Activities[[#This Row],[Jurisdiction]],Places[Jurisdiction],0))</f>
        <v>9</v>
      </c>
      <c r="F677" s="28" t="str">
        <f>VLOOKUP(Activities[[#This Row],[Jurisdiction]],Places[#All],8,FALSE)</f>
        <v>Phase I MS4</v>
      </c>
      <c r="G677" s="48" t="s">
        <v>376</v>
      </c>
      <c r="H677" s="8"/>
      <c r="I677" s="8"/>
      <c r="J677" s="8" t="s">
        <v>1897</v>
      </c>
      <c r="K677" s="27" t="s">
        <v>1874</v>
      </c>
      <c r="L677" s="28">
        <f>_xlfn.NUMBERVALUE(LEFT(Activities[[#This Row],[Fiscal Year]], 4))</f>
        <v>2017</v>
      </c>
      <c r="M677" s="28" t="s">
        <v>1862</v>
      </c>
      <c r="N677" s="41">
        <v>410055</v>
      </c>
      <c r="O677" s="93">
        <f>IF(Activities[[#This Row],[Reference Year]]&gt;2018,Activities[[#This Row],[Value]],Activities[[#This Row],[Value]]*(1+VLOOKUP(Activities[[#This Row],[Reference Year]],Inflation[#All],3,FALSE)))</f>
        <v>420981.43494492047</v>
      </c>
    </row>
    <row r="678" spans="1:15" ht="15" customHeight="1" x14ac:dyDescent="0.25">
      <c r="A678" s="9" t="s">
        <v>312</v>
      </c>
      <c r="B678" s="9" t="str">
        <f>INDEX(Places[Type],MATCH(Activities[[#This Row],[Jurisdiction]],Places[Jurisdiction],0))</f>
        <v>City</v>
      </c>
      <c r="C678" s="19" t="str">
        <f>INDEX(Places[County],MATCH(Activities[[#This Row],[Jurisdiction]],Places[Jurisdiction],0))</f>
        <v>San Diego</v>
      </c>
      <c r="D678" s="9" t="str">
        <f>INDEX(Places[Majority RB],MATCH(Activities[[#This Row],[Jurisdiction]],Places[Jurisdiction],0))</f>
        <v>San Diego</v>
      </c>
      <c r="E678" s="9">
        <f>INDEX(Places[Majority RB '#],MATCH(Activities[[#This Row],[Jurisdiction]],Places[Jurisdiction],0))</f>
        <v>9</v>
      </c>
      <c r="F678" s="28" t="str">
        <f>VLOOKUP(Activities[[#This Row],[Jurisdiction]],Places[#All],8,FALSE)</f>
        <v>Phase I MS4</v>
      </c>
      <c r="G678" s="48" t="s">
        <v>1337</v>
      </c>
      <c r="H678" s="8"/>
      <c r="I678" s="8"/>
      <c r="J678" s="8" t="s">
        <v>1897</v>
      </c>
      <c r="K678" s="27" t="s">
        <v>1874</v>
      </c>
      <c r="L678" s="28">
        <f>_xlfn.NUMBERVALUE(LEFT(Activities[[#This Row],[Fiscal Year]], 4))</f>
        <v>2017</v>
      </c>
      <c r="M678" s="28" t="s">
        <v>1862</v>
      </c>
      <c r="N678" s="41">
        <v>1256152</v>
      </c>
      <c r="O678" s="93">
        <f>IF(Activities[[#This Row],[Reference Year]]&gt;2018,Activities[[#This Row],[Value]],Activities[[#This Row],[Value]]*(1+VLOOKUP(Activities[[#This Row],[Reference Year]],Inflation[#All],3,FALSE)))</f>
        <v>1289623.7613708691</v>
      </c>
    </row>
    <row r="679" spans="1:15" ht="15" customHeight="1" x14ac:dyDescent="0.25">
      <c r="A679" s="9" t="s">
        <v>312</v>
      </c>
      <c r="B679" s="9" t="str">
        <f>INDEX(Places[Type],MATCH(Activities[[#This Row],[Jurisdiction]],Places[Jurisdiction],0))</f>
        <v>City</v>
      </c>
      <c r="C679" s="19" t="str">
        <f>INDEX(Places[County],MATCH(Activities[[#This Row],[Jurisdiction]],Places[Jurisdiction],0))</f>
        <v>San Diego</v>
      </c>
      <c r="D679" s="9" t="str">
        <f>INDEX(Places[Majority RB],MATCH(Activities[[#This Row],[Jurisdiction]],Places[Jurisdiction],0))</f>
        <v>San Diego</v>
      </c>
      <c r="E679" s="9">
        <f>INDEX(Places[Majority RB '#],MATCH(Activities[[#This Row],[Jurisdiction]],Places[Jurisdiction],0))</f>
        <v>9</v>
      </c>
      <c r="F679" s="28" t="str">
        <f>VLOOKUP(Activities[[#This Row],[Jurisdiction]],Places[#All],8,FALSE)</f>
        <v>Phase I MS4</v>
      </c>
      <c r="G679" s="48" t="s">
        <v>1338</v>
      </c>
      <c r="H679" s="8"/>
      <c r="I679" s="8"/>
      <c r="J679" s="8" t="s">
        <v>1456</v>
      </c>
      <c r="K679" s="27" t="s">
        <v>1874</v>
      </c>
      <c r="L679" s="28">
        <f>_xlfn.NUMBERVALUE(LEFT(Activities[[#This Row],[Fiscal Year]], 4))</f>
        <v>2017</v>
      </c>
      <c r="M679" s="28" t="s">
        <v>1862</v>
      </c>
      <c r="N679" s="41">
        <v>15000</v>
      </c>
      <c r="O679" s="93">
        <f>IF(Activities[[#This Row],[Reference Year]]&gt;2018,Activities[[#This Row],[Value]],Activities[[#This Row],[Value]]*(1+VLOOKUP(Activities[[#This Row],[Reference Year]],Inflation[#All],3,FALSE)))</f>
        <v>15399.694002447983</v>
      </c>
    </row>
    <row r="680" spans="1:15" ht="15" customHeight="1" x14ac:dyDescent="0.25">
      <c r="A680" s="9" t="s">
        <v>312</v>
      </c>
      <c r="B680" s="9" t="str">
        <f>INDEX(Places[Type],MATCH(Activities[[#This Row],[Jurisdiction]],Places[Jurisdiction],0))</f>
        <v>City</v>
      </c>
      <c r="C680" s="19" t="str">
        <f>INDEX(Places[County],MATCH(Activities[[#This Row],[Jurisdiction]],Places[Jurisdiction],0))</f>
        <v>San Diego</v>
      </c>
      <c r="D680" s="9" t="str">
        <f>INDEX(Places[Majority RB],MATCH(Activities[[#This Row],[Jurisdiction]],Places[Jurisdiction],0))</f>
        <v>San Diego</v>
      </c>
      <c r="E680" s="9">
        <f>INDEX(Places[Majority RB '#],MATCH(Activities[[#This Row],[Jurisdiction]],Places[Jurisdiction],0))</f>
        <v>9</v>
      </c>
      <c r="F680" s="28" t="str">
        <f>VLOOKUP(Activities[[#This Row],[Jurisdiction]],Places[#All],8,FALSE)</f>
        <v>Phase I MS4</v>
      </c>
      <c r="G680" s="48" t="s">
        <v>377</v>
      </c>
      <c r="H680" s="8"/>
      <c r="I680" s="8"/>
      <c r="J680" s="8" t="s">
        <v>1894</v>
      </c>
      <c r="K680" s="27" t="s">
        <v>1874</v>
      </c>
      <c r="L680" s="28">
        <f>_xlfn.NUMBERVALUE(LEFT(Activities[[#This Row],[Fiscal Year]], 4))</f>
        <v>2017</v>
      </c>
      <c r="M680" s="28" t="s">
        <v>1862</v>
      </c>
      <c r="N680" s="41">
        <v>8055</v>
      </c>
      <c r="O680" s="93">
        <f>IF(Activities[[#This Row],[Reference Year]]&gt;2018,Activities[[#This Row],[Value]],Activities[[#This Row],[Value]]*(1+VLOOKUP(Activities[[#This Row],[Reference Year]],Inflation[#All],3,FALSE)))</f>
        <v>8269.635679314566</v>
      </c>
    </row>
    <row r="681" spans="1:15" ht="15" customHeight="1" x14ac:dyDescent="0.25">
      <c r="A681" s="9" t="s">
        <v>312</v>
      </c>
      <c r="B681" s="9" t="str">
        <f>INDEX(Places[Type],MATCH(Activities[[#This Row],[Jurisdiction]],Places[Jurisdiction],0))</f>
        <v>City</v>
      </c>
      <c r="C681" s="19" t="str">
        <f>INDEX(Places[County],MATCH(Activities[[#This Row],[Jurisdiction]],Places[Jurisdiction],0))</f>
        <v>San Diego</v>
      </c>
      <c r="D681" s="9" t="str">
        <f>INDEX(Places[Majority RB],MATCH(Activities[[#This Row],[Jurisdiction]],Places[Jurisdiction],0))</f>
        <v>San Diego</v>
      </c>
      <c r="E681" s="9">
        <f>INDEX(Places[Majority RB '#],MATCH(Activities[[#This Row],[Jurisdiction]],Places[Jurisdiction],0))</f>
        <v>9</v>
      </c>
      <c r="F681" s="28" t="str">
        <f>VLOOKUP(Activities[[#This Row],[Jurisdiction]],Places[#All],8,FALSE)</f>
        <v>Phase I MS4</v>
      </c>
      <c r="G681" s="48" t="s">
        <v>381</v>
      </c>
      <c r="H681" s="8"/>
      <c r="I681" s="8"/>
      <c r="J681" s="8" t="s">
        <v>1894</v>
      </c>
      <c r="K681" s="27" t="s">
        <v>1874</v>
      </c>
      <c r="L681" s="28">
        <f>_xlfn.NUMBERVALUE(LEFT(Activities[[#This Row],[Fiscal Year]], 4))</f>
        <v>2017</v>
      </c>
      <c r="M681" s="28" t="s">
        <v>1862</v>
      </c>
      <c r="N681" s="41">
        <v>8313</v>
      </c>
      <c r="O681" s="93">
        <f>IF(Activities[[#This Row],[Reference Year]]&gt;2018,Activities[[#This Row],[Value]],Activities[[#This Row],[Value]]*(1+VLOOKUP(Activities[[#This Row],[Reference Year]],Inflation[#All],3,FALSE)))</f>
        <v>8534.5104161566724</v>
      </c>
    </row>
    <row r="682" spans="1:15" ht="15" customHeight="1" x14ac:dyDescent="0.25">
      <c r="A682" s="9" t="s">
        <v>312</v>
      </c>
      <c r="B682" s="9" t="str">
        <f>INDEX(Places[Type],MATCH(Activities[[#This Row],[Jurisdiction]],Places[Jurisdiction],0))</f>
        <v>City</v>
      </c>
      <c r="C682" s="19" t="str">
        <f>INDEX(Places[County],MATCH(Activities[[#This Row],[Jurisdiction]],Places[Jurisdiction],0))</f>
        <v>San Diego</v>
      </c>
      <c r="D682" s="9" t="str">
        <f>INDEX(Places[Majority RB],MATCH(Activities[[#This Row],[Jurisdiction]],Places[Jurisdiction],0))</f>
        <v>San Diego</v>
      </c>
      <c r="E682" s="9">
        <f>INDEX(Places[Majority RB '#],MATCH(Activities[[#This Row],[Jurisdiction]],Places[Jurisdiction],0))</f>
        <v>9</v>
      </c>
      <c r="F682" s="28" t="str">
        <f>VLOOKUP(Activities[[#This Row],[Jurisdiction]],Places[#All],8,FALSE)</f>
        <v>Phase I MS4</v>
      </c>
      <c r="G682" s="48" t="s">
        <v>380</v>
      </c>
      <c r="H682" s="8"/>
      <c r="I682" s="8"/>
      <c r="J682" s="8" t="s">
        <v>1894</v>
      </c>
      <c r="K682" s="27" t="s">
        <v>1874</v>
      </c>
      <c r="L682" s="28">
        <f>_xlfn.NUMBERVALUE(LEFT(Activities[[#This Row],[Fiscal Year]], 4))</f>
        <v>2017</v>
      </c>
      <c r="M682" s="28" t="s">
        <v>1862</v>
      </c>
      <c r="N682" s="41">
        <v>16904</v>
      </c>
      <c r="O682" s="93">
        <f>IF(Activities[[#This Row],[Reference Year]]&gt;2018,Activities[[#This Row],[Value]],Activities[[#This Row],[Value]]*(1+VLOOKUP(Activities[[#This Row],[Reference Year]],Inflation[#All],3,FALSE)))</f>
        <v>17354.428494492047</v>
      </c>
    </row>
    <row r="683" spans="1:15" ht="15" customHeight="1" x14ac:dyDescent="0.25">
      <c r="A683" s="9" t="s">
        <v>312</v>
      </c>
      <c r="B683" s="9" t="str">
        <f>INDEX(Places[Type],MATCH(Activities[[#This Row],[Jurisdiction]],Places[Jurisdiction],0))</f>
        <v>City</v>
      </c>
      <c r="C683" s="19" t="str">
        <f>INDEX(Places[County],MATCH(Activities[[#This Row],[Jurisdiction]],Places[Jurisdiction],0))</f>
        <v>San Diego</v>
      </c>
      <c r="D683" s="9" t="str">
        <f>INDEX(Places[Majority RB],MATCH(Activities[[#This Row],[Jurisdiction]],Places[Jurisdiction],0))</f>
        <v>San Diego</v>
      </c>
      <c r="E683" s="9">
        <f>INDEX(Places[Majority RB '#],MATCH(Activities[[#This Row],[Jurisdiction]],Places[Jurisdiction],0))</f>
        <v>9</v>
      </c>
      <c r="F683" s="28" t="str">
        <f>VLOOKUP(Activities[[#This Row],[Jurisdiction]],Places[#All],8,FALSE)</f>
        <v>Phase I MS4</v>
      </c>
      <c r="G683" s="48" t="s">
        <v>370</v>
      </c>
      <c r="H683" s="8"/>
      <c r="I683" s="8"/>
      <c r="J683" s="8" t="s">
        <v>1894</v>
      </c>
      <c r="K683" s="27" t="s">
        <v>1874</v>
      </c>
      <c r="L683" s="28">
        <f>_xlfn.NUMBERVALUE(LEFT(Activities[[#This Row],[Fiscal Year]], 4))</f>
        <v>2017</v>
      </c>
      <c r="M683" s="28" t="s">
        <v>1862</v>
      </c>
      <c r="N683" s="41">
        <v>18882</v>
      </c>
      <c r="O683" s="93">
        <f>IF(Activities[[#This Row],[Reference Year]]&gt;2018,Activities[[#This Row],[Value]],Activities[[#This Row],[Value]]*(1+VLOOKUP(Activities[[#This Row],[Reference Year]],Inflation[#All],3,FALSE)))</f>
        <v>19385.134810281521</v>
      </c>
    </row>
    <row r="684" spans="1:15" ht="15" customHeight="1" x14ac:dyDescent="0.25">
      <c r="A684" s="9" t="s">
        <v>312</v>
      </c>
      <c r="B684" s="9" t="str">
        <f>INDEX(Places[Type],MATCH(Activities[[#This Row],[Jurisdiction]],Places[Jurisdiction],0))</f>
        <v>City</v>
      </c>
      <c r="C684" s="19" t="str">
        <f>INDEX(Places[County],MATCH(Activities[[#This Row],[Jurisdiction]],Places[Jurisdiction],0))</f>
        <v>San Diego</v>
      </c>
      <c r="D684" s="9" t="str">
        <f>INDEX(Places[Majority RB],MATCH(Activities[[#This Row],[Jurisdiction]],Places[Jurisdiction],0))</f>
        <v>San Diego</v>
      </c>
      <c r="E684" s="9">
        <f>INDEX(Places[Majority RB '#],MATCH(Activities[[#This Row],[Jurisdiction]],Places[Jurisdiction],0))</f>
        <v>9</v>
      </c>
      <c r="F684" s="28" t="str">
        <f>VLOOKUP(Activities[[#This Row],[Jurisdiction]],Places[#All],8,FALSE)</f>
        <v>Phase I MS4</v>
      </c>
      <c r="G684" s="48" t="s">
        <v>379</v>
      </c>
      <c r="H684" s="8"/>
      <c r="I684" s="8"/>
      <c r="J684" s="8" t="s">
        <v>1894</v>
      </c>
      <c r="K684" s="27" t="s">
        <v>1874</v>
      </c>
      <c r="L684" s="28">
        <f>_xlfn.NUMBERVALUE(LEFT(Activities[[#This Row],[Fiscal Year]], 4))</f>
        <v>2017</v>
      </c>
      <c r="M684" s="28" t="s">
        <v>1862</v>
      </c>
      <c r="N684" s="41">
        <v>21056</v>
      </c>
      <c r="O684" s="93">
        <f>IF(Activities[[#This Row],[Reference Year]]&gt;2018,Activities[[#This Row],[Value]],Activities[[#This Row],[Value]]*(1+VLOOKUP(Activities[[#This Row],[Reference Year]],Inflation[#All],3,FALSE)))</f>
        <v>21617.063794369649</v>
      </c>
    </row>
    <row r="685" spans="1:15" ht="15" customHeight="1" x14ac:dyDescent="0.25">
      <c r="A685" s="9" t="s">
        <v>312</v>
      </c>
      <c r="B685" s="9" t="str">
        <f>INDEX(Places[Type],MATCH(Activities[[#This Row],[Jurisdiction]],Places[Jurisdiction],0))</f>
        <v>City</v>
      </c>
      <c r="C685" s="19" t="str">
        <f>INDEX(Places[County],MATCH(Activities[[#This Row],[Jurisdiction]],Places[Jurisdiction],0))</f>
        <v>San Diego</v>
      </c>
      <c r="D685" s="9" t="str">
        <f>INDEX(Places[Majority RB],MATCH(Activities[[#This Row],[Jurisdiction]],Places[Jurisdiction],0))</f>
        <v>San Diego</v>
      </c>
      <c r="E685" s="9">
        <f>INDEX(Places[Majority RB '#],MATCH(Activities[[#This Row],[Jurisdiction]],Places[Jurisdiction],0))</f>
        <v>9</v>
      </c>
      <c r="F685" s="28" t="str">
        <f>VLOOKUP(Activities[[#This Row],[Jurisdiction]],Places[#All],8,FALSE)</f>
        <v>Phase I MS4</v>
      </c>
      <c r="G685" s="48" t="s">
        <v>378</v>
      </c>
      <c r="H685" s="8"/>
      <c r="I685" s="8"/>
      <c r="J685" s="8" t="s">
        <v>1894</v>
      </c>
      <c r="K685" s="27" t="s">
        <v>1874</v>
      </c>
      <c r="L685" s="28">
        <f>_xlfn.NUMBERVALUE(LEFT(Activities[[#This Row],[Fiscal Year]], 4))</f>
        <v>2017</v>
      </c>
      <c r="M685" s="28" t="s">
        <v>1862</v>
      </c>
      <c r="N685" s="41">
        <v>24552</v>
      </c>
      <c r="O685" s="93">
        <f>IF(Activities[[#This Row],[Reference Year]]&gt;2018,Activities[[#This Row],[Value]],Activities[[#This Row],[Value]]*(1+VLOOKUP(Activities[[#This Row],[Reference Year]],Inflation[#All],3,FALSE)))</f>
        <v>25206.219143206858</v>
      </c>
    </row>
    <row r="686" spans="1:15" ht="15" customHeight="1" x14ac:dyDescent="0.25">
      <c r="A686" s="9" t="s">
        <v>312</v>
      </c>
      <c r="B686" s="9" t="str">
        <f>INDEX(Places[Type],MATCH(Activities[[#This Row],[Jurisdiction]],Places[Jurisdiction],0))</f>
        <v>City</v>
      </c>
      <c r="C686" s="19" t="str">
        <f>INDEX(Places[County],MATCH(Activities[[#This Row],[Jurisdiction]],Places[Jurisdiction],0))</f>
        <v>San Diego</v>
      </c>
      <c r="D686" s="9" t="str">
        <f>INDEX(Places[Majority RB],MATCH(Activities[[#This Row],[Jurisdiction]],Places[Jurisdiction],0))</f>
        <v>San Diego</v>
      </c>
      <c r="E686" s="9">
        <f>INDEX(Places[Majority RB '#],MATCH(Activities[[#This Row],[Jurisdiction]],Places[Jurisdiction],0))</f>
        <v>9</v>
      </c>
      <c r="F686" s="28" t="str">
        <f>VLOOKUP(Activities[[#This Row],[Jurisdiction]],Places[#All],8,FALSE)</f>
        <v>Phase I MS4</v>
      </c>
      <c r="G686" s="48" t="s">
        <v>384</v>
      </c>
      <c r="H686" s="8" t="s">
        <v>591</v>
      </c>
      <c r="I686" s="8" t="s">
        <v>590</v>
      </c>
      <c r="J686" s="8" t="s">
        <v>1894</v>
      </c>
      <c r="K686" s="27" t="s">
        <v>1874</v>
      </c>
      <c r="L686" s="28">
        <f>_xlfn.NUMBERVALUE(LEFT(Activities[[#This Row],[Fiscal Year]], 4))</f>
        <v>2017</v>
      </c>
      <c r="M686" s="28" t="s">
        <v>1862</v>
      </c>
      <c r="N686" s="41">
        <v>36046</v>
      </c>
      <c r="O686" s="93">
        <f>IF(Activities[[#This Row],[Reference Year]]&gt;2018,Activities[[#This Row],[Value]],Activities[[#This Row],[Value]]*(1+VLOOKUP(Activities[[#This Row],[Reference Year]],Inflation[#All],3,FALSE)))</f>
        <v>37006.49133414933</v>
      </c>
    </row>
    <row r="687" spans="1:15" ht="15" customHeight="1" x14ac:dyDescent="0.25">
      <c r="A687" s="9" t="s">
        <v>312</v>
      </c>
      <c r="B687" s="9" t="str">
        <f>INDEX(Places[Type],MATCH(Activities[[#This Row],[Jurisdiction]],Places[Jurisdiction],0))</f>
        <v>City</v>
      </c>
      <c r="C687" s="19" t="str">
        <f>INDEX(Places[County],MATCH(Activities[[#This Row],[Jurisdiction]],Places[Jurisdiction],0))</f>
        <v>San Diego</v>
      </c>
      <c r="D687" s="9" t="str">
        <f>INDEX(Places[Majority RB],MATCH(Activities[[#This Row],[Jurisdiction]],Places[Jurisdiction],0))</f>
        <v>San Diego</v>
      </c>
      <c r="E687" s="9">
        <f>INDEX(Places[Majority RB '#],MATCH(Activities[[#This Row],[Jurisdiction]],Places[Jurisdiction],0))</f>
        <v>9</v>
      </c>
      <c r="F687" s="28" t="str">
        <f>VLOOKUP(Activities[[#This Row],[Jurisdiction]],Places[#All],8,FALSE)</f>
        <v>Phase I MS4</v>
      </c>
      <c r="G687" s="48" t="s">
        <v>454</v>
      </c>
      <c r="H687" s="8" t="s">
        <v>589</v>
      </c>
      <c r="I687" s="8" t="s">
        <v>590</v>
      </c>
      <c r="J687" s="8" t="s">
        <v>1894</v>
      </c>
      <c r="K687" s="27" t="s">
        <v>1874</v>
      </c>
      <c r="L687" s="28">
        <f>_xlfn.NUMBERVALUE(LEFT(Activities[[#This Row],[Fiscal Year]], 4))</f>
        <v>2017</v>
      </c>
      <c r="M687" s="28" t="s">
        <v>1862</v>
      </c>
      <c r="N687" s="41">
        <v>79847</v>
      </c>
      <c r="O687" s="93">
        <f>IF(Activities[[#This Row],[Reference Year]]&gt;2018,Activities[[#This Row],[Value]],Activities[[#This Row],[Value]]*(1+VLOOKUP(Activities[[#This Row],[Reference Year]],Inflation[#All],3,FALSE)))</f>
        <v>81974.624467564267</v>
      </c>
    </row>
    <row r="688" spans="1:15" ht="15" customHeight="1" x14ac:dyDescent="0.25">
      <c r="A688" s="9" t="s">
        <v>312</v>
      </c>
      <c r="B688" s="9" t="str">
        <f>INDEX(Places[Type],MATCH(Activities[[#This Row],[Jurisdiction]],Places[Jurisdiction],0))</f>
        <v>City</v>
      </c>
      <c r="C688" s="19" t="str">
        <f>INDEX(Places[County],MATCH(Activities[[#This Row],[Jurisdiction]],Places[Jurisdiction],0))</f>
        <v>San Diego</v>
      </c>
      <c r="D688" s="9" t="str">
        <f>INDEX(Places[Majority RB],MATCH(Activities[[#This Row],[Jurisdiction]],Places[Jurisdiction],0))</f>
        <v>San Diego</v>
      </c>
      <c r="E688" s="9">
        <f>INDEX(Places[Majority RB '#],MATCH(Activities[[#This Row],[Jurisdiction]],Places[Jurisdiction],0))</f>
        <v>9</v>
      </c>
      <c r="F688" s="28" t="str">
        <f>VLOOKUP(Activities[[#This Row],[Jurisdiction]],Places[#All],8,FALSE)</f>
        <v>Phase I MS4</v>
      </c>
      <c r="G688" s="48" t="s">
        <v>1335</v>
      </c>
      <c r="H688" s="8"/>
      <c r="I688" s="8"/>
      <c r="J688" s="8" t="s">
        <v>1894</v>
      </c>
      <c r="K688" s="27" t="s">
        <v>1874</v>
      </c>
      <c r="L688" s="28">
        <f>_xlfn.NUMBERVALUE(LEFT(Activities[[#This Row],[Fiscal Year]], 4))</f>
        <v>2017</v>
      </c>
      <c r="M688" s="28" t="s">
        <v>1862</v>
      </c>
      <c r="N688" s="41">
        <v>107603</v>
      </c>
      <c r="O688" s="93">
        <f>IF(Activities[[#This Row],[Reference Year]]&gt;2018,Activities[[#This Row],[Value]],Activities[[#This Row],[Value]]*(1+VLOOKUP(Activities[[#This Row],[Reference Year]],Inflation[#All],3,FALSE)))</f>
        <v>110470.21824969402</v>
      </c>
    </row>
    <row r="689" spans="1:15" ht="15" customHeight="1" x14ac:dyDescent="0.25">
      <c r="A689" s="9" t="s">
        <v>312</v>
      </c>
      <c r="B689" s="9" t="str">
        <f>INDEX(Places[Type],MATCH(Activities[[#This Row],[Jurisdiction]],Places[Jurisdiction],0))</f>
        <v>City</v>
      </c>
      <c r="C689" s="19" t="str">
        <f>INDEX(Places[County],MATCH(Activities[[#This Row],[Jurisdiction]],Places[Jurisdiction],0))</f>
        <v>San Diego</v>
      </c>
      <c r="D689" s="9" t="str">
        <f>INDEX(Places[Majority RB],MATCH(Activities[[#This Row],[Jurisdiction]],Places[Jurisdiction],0))</f>
        <v>San Diego</v>
      </c>
      <c r="E689" s="9">
        <f>INDEX(Places[Majority RB '#],MATCH(Activities[[#This Row],[Jurisdiction]],Places[Jurisdiction],0))</f>
        <v>9</v>
      </c>
      <c r="F689" s="28" t="str">
        <f>VLOOKUP(Activities[[#This Row],[Jurisdiction]],Places[#All],8,FALSE)</f>
        <v>Phase I MS4</v>
      </c>
      <c r="G689" s="48" t="s">
        <v>382</v>
      </c>
      <c r="H689" s="8" t="s">
        <v>690</v>
      </c>
      <c r="I689" s="8" t="s">
        <v>691</v>
      </c>
      <c r="J689" s="8" t="s">
        <v>1896</v>
      </c>
      <c r="K689" s="27" t="s">
        <v>1874</v>
      </c>
      <c r="L689" s="28">
        <f>_xlfn.NUMBERVALUE(LEFT(Activities[[#This Row],[Fiscal Year]], 4))</f>
        <v>2017</v>
      </c>
      <c r="M689" s="28" t="s">
        <v>1862</v>
      </c>
      <c r="N689" s="41">
        <v>6596</v>
      </c>
      <c r="O689" s="93">
        <f>IF(Activities[[#This Row],[Reference Year]]&gt;2018,Activities[[#This Row],[Value]],Activities[[#This Row],[Value]]*(1+VLOOKUP(Activities[[#This Row],[Reference Year]],Inflation[#All],3,FALSE)))</f>
        <v>6771.7587760097931</v>
      </c>
    </row>
    <row r="690" spans="1:15" ht="15" customHeight="1" x14ac:dyDescent="0.25">
      <c r="A690" s="9" t="s">
        <v>312</v>
      </c>
      <c r="B690" s="9" t="str">
        <f>INDEX(Places[Type],MATCH(Activities[[#This Row],[Jurisdiction]],Places[Jurisdiction],0))</f>
        <v>City</v>
      </c>
      <c r="C690" s="19" t="str">
        <f>INDEX(Places[County],MATCH(Activities[[#This Row],[Jurisdiction]],Places[Jurisdiction],0))</f>
        <v>San Diego</v>
      </c>
      <c r="D690" s="9" t="str">
        <f>INDEX(Places[Majority RB],MATCH(Activities[[#This Row],[Jurisdiction]],Places[Jurisdiction],0))</f>
        <v>San Diego</v>
      </c>
      <c r="E690" s="9">
        <f>INDEX(Places[Majority RB '#],MATCH(Activities[[#This Row],[Jurisdiction]],Places[Jurisdiction],0))</f>
        <v>9</v>
      </c>
      <c r="F690" s="28" t="str">
        <f>VLOOKUP(Activities[[#This Row],[Jurisdiction]],Places[#All],8,FALSE)</f>
        <v>Phase I MS4</v>
      </c>
      <c r="G690" s="48" t="s">
        <v>96</v>
      </c>
      <c r="H690" s="8"/>
      <c r="I690" s="8"/>
      <c r="J690" s="8" t="s">
        <v>1896</v>
      </c>
      <c r="K690" s="27" t="s">
        <v>1874</v>
      </c>
      <c r="L690" s="28">
        <f>_xlfn.NUMBERVALUE(LEFT(Activities[[#This Row],[Fiscal Year]], 4))</f>
        <v>2017</v>
      </c>
      <c r="M690" s="28" t="s">
        <v>1862</v>
      </c>
      <c r="N690" s="41">
        <v>161511</v>
      </c>
      <c r="O690" s="93">
        <f>IF(Activities[[#This Row],[Reference Year]]&gt;2018,Activities[[#This Row],[Value]],Activities[[#This Row],[Value]]*(1+VLOOKUP(Activities[[#This Row],[Reference Year]],Inflation[#All],3,FALSE)))</f>
        <v>165814.66520195841</v>
      </c>
    </row>
    <row r="691" spans="1:15" ht="15" customHeight="1" x14ac:dyDescent="0.25">
      <c r="A691" s="9" t="s">
        <v>312</v>
      </c>
      <c r="B691" s="9" t="str">
        <f>INDEX(Places[Type],MATCH(Activities[[#This Row],[Jurisdiction]],Places[Jurisdiction],0))</f>
        <v>City</v>
      </c>
      <c r="C691" s="19" t="str">
        <f>INDEX(Places[County],MATCH(Activities[[#This Row],[Jurisdiction]],Places[Jurisdiction],0))</f>
        <v>San Diego</v>
      </c>
      <c r="D691" s="9" t="str">
        <f>INDEX(Places[Majority RB],MATCH(Activities[[#This Row],[Jurisdiction]],Places[Jurisdiction],0))</f>
        <v>San Diego</v>
      </c>
      <c r="E691" s="9">
        <f>INDEX(Places[Majority RB '#],MATCH(Activities[[#This Row],[Jurisdiction]],Places[Jurisdiction],0))</f>
        <v>9</v>
      </c>
      <c r="F691" s="28" t="str">
        <f>VLOOKUP(Activities[[#This Row],[Jurisdiction]],Places[#All],8,FALSE)</f>
        <v>Phase I MS4</v>
      </c>
      <c r="G691" s="48" t="s">
        <v>1341</v>
      </c>
      <c r="H691" s="8"/>
      <c r="I691" s="8"/>
      <c r="J691" s="8" t="s">
        <v>605</v>
      </c>
      <c r="K691" s="27" t="s">
        <v>1874</v>
      </c>
      <c r="L691" s="28">
        <f>_xlfn.NUMBERVALUE(LEFT(Activities[[#This Row],[Fiscal Year]], 4))</f>
        <v>2017</v>
      </c>
      <c r="M691" s="28" t="s">
        <v>1862</v>
      </c>
      <c r="N691" s="41">
        <v>234001</v>
      </c>
      <c r="O691" s="93">
        <f>IF(Activities[[#This Row],[Reference Year]]&gt;2018,Activities[[#This Row],[Value]],Activities[[#This Row],[Value]]*(1+VLOOKUP(Activities[[#This Row],[Reference Year]],Inflation[#All],3,FALSE)))</f>
        <v>240236.25308445535</v>
      </c>
    </row>
    <row r="692" spans="1:15" ht="15" customHeight="1" x14ac:dyDescent="0.25">
      <c r="A692" s="9" t="s">
        <v>312</v>
      </c>
      <c r="B692" s="9" t="str">
        <f>INDEX(Places[Type],MATCH(Activities[[#This Row],[Jurisdiction]],Places[Jurisdiction],0))</f>
        <v>City</v>
      </c>
      <c r="C692" s="19" t="str">
        <f>INDEX(Places[County],MATCH(Activities[[#This Row],[Jurisdiction]],Places[Jurisdiction],0))</f>
        <v>San Diego</v>
      </c>
      <c r="D692" s="9" t="str">
        <f>INDEX(Places[Majority RB],MATCH(Activities[[#This Row],[Jurisdiction]],Places[Jurisdiction],0))</f>
        <v>San Diego</v>
      </c>
      <c r="E692" s="9">
        <f>INDEX(Places[Majority RB '#],MATCH(Activities[[#This Row],[Jurisdiction]],Places[Jurisdiction],0))</f>
        <v>9</v>
      </c>
      <c r="F692" s="28" t="str">
        <f>VLOOKUP(Activities[[#This Row],[Jurisdiction]],Places[#All],8,FALSE)</f>
        <v>Phase I MS4</v>
      </c>
      <c r="G692" s="48" t="s">
        <v>1340</v>
      </c>
      <c r="H692" s="8"/>
      <c r="I692" s="8"/>
      <c r="J692" s="8" t="s">
        <v>605</v>
      </c>
      <c r="K692" s="27" t="s">
        <v>1874</v>
      </c>
      <c r="L692" s="28">
        <f>_xlfn.NUMBERVALUE(LEFT(Activities[[#This Row],[Fiscal Year]], 4))</f>
        <v>2017</v>
      </c>
      <c r="M692" s="28" t="s">
        <v>1862</v>
      </c>
      <c r="N692" s="41">
        <v>284571</v>
      </c>
      <c r="O692" s="93">
        <f>IF(Activities[[#This Row],[Reference Year]]&gt;2018,Activities[[#This Row],[Value]],Activities[[#This Row],[Value]]*(1+VLOOKUP(Activities[[#This Row],[Reference Year]],Inflation[#All],3,FALSE)))</f>
        <v>292153.75479804166</v>
      </c>
    </row>
    <row r="693" spans="1:15" ht="15" customHeight="1" x14ac:dyDescent="0.25">
      <c r="A693" s="9" t="s">
        <v>312</v>
      </c>
      <c r="B693" s="9" t="str">
        <f>INDEX(Places[Type],MATCH(Activities[[#This Row],[Jurisdiction]],Places[Jurisdiction],0))</f>
        <v>City</v>
      </c>
      <c r="C693" s="19" t="str">
        <f>INDEX(Places[County],MATCH(Activities[[#This Row],[Jurisdiction]],Places[Jurisdiction],0))</f>
        <v>San Diego</v>
      </c>
      <c r="D693" s="9" t="str">
        <f>INDEX(Places[Majority RB],MATCH(Activities[[#This Row],[Jurisdiction]],Places[Jurisdiction],0))</f>
        <v>San Diego</v>
      </c>
      <c r="E693" s="9">
        <f>INDEX(Places[Majority RB '#],MATCH(Activities[[#This Row],[Jurisdiction]],Places[Jurisdiction],0))</f>
        <v>9</v>
      </c>
      <c r="F693" s="28" t="str">
        <f>VLOOKUP(Activities[[#This Row],[Jurisdiction]],Places[#All],8,FALSE)</f>
        <v>Phase I MS4</v>
      </c>
      <c r="G693" s="48" t="s">
        <v>372</v>
      </c>
      <c r="H693" s="8"/>
      <c r="I693" s="8"/>
      <c r="J693" s="8" t="s">
        <v>605</v>
      </c>
      <c r="K693" s="27" t="s">
        <v>1874</v>
      </c>
      <c r="L693" s="28">
        <f>_xlfn.NUMBERVALUE(LEFT(Activities[[#This Row],[Fiscal Year]], 4))</f>
        <v>2017</v>
      </c>
      <c r="M693" s="28" t="s">
        <v>1862</v>
      </c>
      <c r="N693" s="41">
        <v>304075</v>
      </c>
      <c r="O693" s="93">
        <f>IF(Activities[[#This Row],[Reference Year]]&gt;2018,Activities[[#This Row],[Value]],Activities[[#This Row],[Value]]*(1+VLOOKUP(Activities[[#This Row],[Reference Year]],Inflation[#All],3,FALSE)))</f>
        <v>312177.46358629136</v>
      </c>
    </row>
    <row r="694" spans="1:15" ht="15" customHeight="1" x14ac:dyDescent="0.25">
      <c r="A694" s="9" t="s">
        <v>203</v>
      </c>
      <c r="B694" s="9" t="str">
        <f>INDEX(Places[Type],MATCH(Activities[[#This Row],[Jurisdiction]],Places[Jurisdiction],0))</f>
        <v>City</v>
      </c>
      <c r="C694" s="19" t="str">
        <f>INDEX(Places[County],MATCH(Activities[[#This Row],[Jurisdiction]],Places[Jurisdiction],0))</f>
        <v>Los Angeles</v>
      </c>
      <c r="D694" s="19" t="str">
        <f>INDEX(Places[Majority RB],MATCH(Activities[[#This Row],[Jurisdiction]],Places[Jurisdiction],0))</f>
        <v>Los Angeles</v>
      </c>
      <c r="E694" s="9">
        <f>INDEX(Places[Majority RB '#],MATCH(Activities[[#This Row],[Jurisdiction]],Places[Jurisdiction],0))</f>
        <v>4</v>
      </c>
      <c r="F694" s="28" t="str">
        <f>VLOOKUP(Activities[[#This Row],[Jurisdiction]],Places[#All],8,FALSE)</f>
        <v>Phase I MS4</v>
      </c>
      <c r="G694" s="48" t="s">
        <v>62</v>
      </c>
      <c r="H694" s="8"/>
      <c r="I694" s="8"/>
      <c r="J694" s="8" t="s">
        <v>131</v>
      </c>
      <c r="K694" s="27" t="s">
        <v>1873</v>
      </c>
      <c r="L694" s="28">
        <f>_xlfn.NUMBERVALUE(LEFT(Activities[[#This Row],[Fiscal Year]], 4))</f>
        <v>2015</v>
      </c>
      <c r="M694" s="28" t="s">
        <v>1862</v>
      </c>
      <c r="N694" s="41">
        <v>5864</v>
      </c>
      <c r="O694" s="93">
        <f>IF(Activities[[#This Row],[Reference Year]]&gt;2018,Activities[[#This Row],[Value]],Activities[[#This Row],[Value]]*(1+VLOOKUP(Activities[[#This Row],[Reference Year]],Inflation[#All],3,FALSE)))</f>
        <v>6226.0092151898734</v>
      </c>
    </row>
    <row r="695" spans="1:15" ht="15" customHeight="1" x14ac:dyDescent="0.25">
      <c r="A695" s="9" t="s">
        <v>203</v>
      </c>
      <c r="B695" s="9" t="str">
        <f>INDEX(Places[Type],MATCH(Activities[[#This Row],[Jurisdiction]],Places[Jurisdiction],0))</f>
        <v>City</v>
      </c>
      <c r="C695" s="19" t="str">
        <f>INDEX(Places[County],MATCH(Activities[[#This Row],[Jurisdiction]],Places[Jurisdiction],0))</f>
        <v>Los Angeles</v>
      </c>
      <c r="D695" s="19" t="str">
        <f>INDEX(Places[Majority RB],MATCH(Activities[[#This Row],[Jurisdiction]],Places[Jurisdiction],0))</f>
        <v>Los Angeles</v>
      </c>
      <c r="E695" s="9">
        <f>INDEX(Places[Majority RB '#],MATCH(Activities[[#This Row],[Jurisdiction]],Places[Jurisdiction],0))</f>
        <v>4</v>
      </c>
      <c r="F695" s="28" t="str">
        <f>VLOOKUP(Activities[[#This Row],[Jurisdiction]],Places[#All],8,FALSE)</f>
        <v>Phase I MS4</v>
      </c>
      <c r="G695" s="48" t="s">
        <v>208</v>
      </c>
      <c r="H695" s="8"/>
      <c r="I695" s="8"/>
      <c r="J695" s="8" t="s">
        <v>334</v>
      </c>
      <c r="K695" s="27" t="s">
        <v>1873</v>
      </c>
      <c r="L695" s="28">
        <f>_xlfn.NUMBERVALUE(LEFT(Activities[[#This Row],[Fiscal Year]], 4))</f>
        <v>2015</v>
      </c>
      <c r="M695" s="28" t="s">
        <v>1862</v>
      </c>
      <c r="N695" s="41">
        <v>92952</v>
      </c>
      <c r="O695" s="93">
        <f>IF(Activities[[#This Row],[Reference Year]]&gt;2018,Activities[[#This Row],[Value]],Activities[[#This Row],[Value]]*(1+VLOOKUP(Activities[[#This Row],[Reference Year]],Inflation[#All],3,FALSE)))</f>
        <v>98690.31524050633</v>
      </c>
    </row>
    <row r="696" spans="1:15" ht="15" customHeight="1" x14ac:dyDescent="0.25">
      <c r="A696" s="9" t="s">
        <v>203</v>
      </c>
      <c r="B696" s="9" t="str">
        <f>INDEX(Places[Type],MATCH(Activities[[#This Row],[Jurisdiction]],Places[Jurisdiction],0))</f>
        <v>City</v>
      </c>
      <c r="C696" s="19" t="str">
        <f>INDEX(Places[County],MATCH(Activities[[#This Row],[Jurisdiction]],Places[Jurisdiction],0))</f>
        <v>Los Angeles</v>
      </c>
      <c r="D696" s="19" t="str">
        <f>INDEX(Places[Majority RB],MATCH(Activities[[#This Row],[Jurisdiction]],Places[Jurisdiction],0))</f>
        <v>Los Angeles</v>
      </c>
      <c r="E696" s="9">
        <f>INDEX(Places[Majority RB '#],MATCH(Activities[[#This Row],[Jurisdiction]],Places[Jurisdiction],0))</f>
        <v>4</v>
      </c>
      <c r="F696" s="28" t="str">
        <f>VLOOKUP(Activities[[#This Row],[Jurisdiction]],Places[#All],8,FALSE)</f>
        <v>Phase I MS4</v>
      </c>
      <c r="G696" s="48" t="s">
        <v>61</v>
      </c>
      <c r="H696" s="8"/>
      <c r="I696" s="8"/>
      <c r="J696" s="8" t="s">
        <v>1897</v>
      </c>
      <c r="K696" s="27" t="s">
        <v>1873</v>
      </c>
      <c r="L696" s="28">
        <f>_xlfn.NUMBERVALUE(LEFT(Activities[[#This Row],[Fiscal Year]], 4))</f>
        <v>2015</v>
      </c>
      <c r="M696" s="28" t="s">
        <v>1862</v>
      </c>
      <c r="N696" s="41">
        <v>4443527</v>
      </c>
      <c r="O696" s="93">
        <f>IF(Activities[[#This Row],[Reference Year]]&gt;2018,Activities[[#This Row],[Value]],Activities[[#This Row],[Value]]*(1+VLOOKUP(Activities[[#This Row],[Reference Year]],Inflation[#All],3,FALSE)))</f>
        <v>4717844.4832784804</v>
      </c>
    </row>
    <row r="697" spans="1:15" ht="15" customHeight="1" x14ac:dyDescent="0.25">
      <c r="A697" s="9" t="s">
        <v>203</v>
      </c>
      <c r="B697" s="9" t="str">
        <f>INDEX(Places[Type],MATCH(Activities[[#This Row],[Jurisdiction]],Places[Jurisdiction],0))</f>
        <v>City</v>
      </c>
      <c r="C697" s="19" t="str">
        <f>INDEX(Places[County],MATCH(Activities[[#This Row],[Jurisdiction]],Places[Jurisdiction],0))</f>
        <v>Los Angeles</v>
      </c>
      <c r="D697" s="19" t="str">
        <f>INDEX(Places[Majority RB],MATCH(Activities[[#This Row],[Jurisdiction]],Places[Jurisdiction],0))</f>
        <v>Los Angeles</v>
      </c>
      <c r="E697" s="9">
        <f>INDEX(Places[Majority RB '#],MATCH(Activities[[#This Row],[Jurisdiction]],Places[Jurisdiction],0))</f>
        <v>4</v>
      </c>
      <c r="F697" s="28" t="str">
        <f>VLOOKUP(Activities[[#This Row],[Jurisdiction]],Places[#All],8,FALSE)</f>
        <v>Phase I MS4</v>
      </c>
      <c r="G697" s="48" t="s">
        <v>59</v>
      </c>
      <c r="H697" s="8"/>
      <c r="I697" s="8"/>
      <c r="J697" s="8" t="s">
        <v>1898</v>
      </c>
      <c r="K697" s="27" t="s">
        <v>1873</v>
      </c>
      <c r="L697" s="28">
        <f>_xlfn.NUMBERVALUE(LEFT(Activities[[#This Row],[Fiscal Year]], 4))</f>
        <v>2015</v>
      </c>
      <c r="M697" s="28" t="s">
        <v>1862</v>
      </c>
      <c r="N697" s="41">
        <v>48281</v>
      </c>
      <c r="O697" s="93">
        <f>IF(Activities[[#This Row],[Reference Year]]&gt;2018,Activities[[#This Row],[Value]],Activities[[#This Row],[Value]]*(1+VLOOKUP(Activities[[#This Row],[Reference Year]],Inflation[#All],3,FALSE)))</f>
        <v>51261.587810126577</v>
      </c>
    </row>
    <row r="698" spans="1:15" ht="15" customHeight="1" x14ac:dyDescent="0.25">
      <c r="A698" s="9" t="s">
        <v>203</v>
      </c>
      <c r="B698" s="9" t="str">
        <f>INDEX(Places[Type],MATCH(Activities[[#This Row],[Jurisdiction]],Places[Jurisdiction],0))</f>
        <v>City</v>
      </c>
      <c r="C698" s="19" t="str">
        <f>INDEX(Places[County],MATCH(Activities[[#This Row],[Jurisdiction]],Places[Jurisdiction],0))</f>
        <v>Los Angeles</v>
      </c>
      <c r="D698" s="19" t="str">
        <f>INDEX(Places[Majority RB],MATCH(Activities[[#This Row],[Jurisdiction]],Places[Jurisdiction],0))</f>
        <v>Los Angeles</v>
      </c>
      <c r="E698" s="9">
        <f>INDEX(Places[Majority RB '#],MATCH(Activities[[#This Row],[Jurisdiction]],Places[Jurisdiction],0))</f>
        <v>4</v>
      </c>
      <c r="F698" s="28" t="str">
        <f>VLOOKUP(Activities[[#This Row],[Jurisdiction]],Places[#All],8,FALSE)</f>
        <v>Phase I MS4</v>
      </c>
      <c r="G698" s="48" t="s">
        <v>60</v>
      </c>
      <c r="H698" s="8"/>
      <c r="I698" s="8"/>
      <c r="J698" s="8" t="s">
        <v>1898</v>
      </c>
      <c r="K698" s="27" t="s">
        <v>1873</v>
      </c>
      <c r="L698" s="28">
        <f>_xlfn.NUMBERVALUE(LEFT(Activities[[#This Row],[Fiscal Year]], 4))</f>
        <v>2015</v>
      </c>
      <c r="M698" s="28" t="s">
        <v>1862</v>
      </c>
      <c r="N698" s="41">
        <v>80022</v>
      </c>
      <c r="O698" s="93">
        <f>IF(Activities[[#This Row],[Reference Year]]&gt;2018,Activities[[#This Row],[Value]],Activities[[#This Row],[Value]]*(1+VLOOKUP(Activities[[#This Row],[Reference Year]],Inflation[#All],3,FALSE)))</f>
        <v>84962.092329113919</v>
      </c>
    </row>
    <row r="699" spans="1:15" ht="15" customHeight="1" x14ac:dyDescent="0.25">
      <c r="A699" s="9" t="s">
        <v>203</v>
      </c>
      <c r="B699" s="9" t="str">
        <f>INDEX(Places[Type],MATCH(Activities[[#This Row],[Jurisdiction]],Places[Jurisdiction],0))</f>
        <v>City</v>
      </c>
      <c r="C699" s="19" t="str">
        <f>INDEX(Places[County],MATCH(Activities[[#This Row],[Jurisdiction]],Places[Jurisdiction],0))</f>
        <v>Los Angeles</v>
      </c>
      <c r="D699" s="19" t="str">
        <f>INDEX(Places[Majority RB],MATCH(Activities[[#This Row],[Jurisdiction]],Places[Jurisdiction],0))</f>
        <v>Los Angeles</v>
      </c>
      <c r="E699" s="9">
        <f>INDEX(Places[Majority RB '#],MATCH(Activities[[#This Row],[Jurisdiction]],Places[Jurisdiction],0))</f>
        <v>4</v>
      </c>
      <c r="F699" s="28" t="str">
        <f>VLOOKUP(Activities[[#This Row],[Jurisdiction]],Places[#All],8,FALSE)</f>
        <v>Phase I MS4</v>
      </c>
      <c r="G699" s="48" t="s">
        <v>58</v>
      </c>
      <c r="H699" s="8"/>
      <c r="I699" s="8"/>
      <c r="J699" s="8" t="s">
        <v>1456</v>
      </c>
      <c r="K699" s="27" t="s">
        <v>1873</v>
      </c>
      <c r="L699" s="28">
        <f>_xlfn.NUMBERVALUE(LEFT(Activities[[#This Row],[Fiscal Year]], 4))</f>
        <v>2015</v>
      </c>
      <c r="M699" s="28" t="s">
        <v>1862</v>
      </c>
      <c r="N699" s="41">
        <v>2071</v>
      </c>
      <c r="O699" s="93">
        <f>IF(Activities[[#This Row],[Reference Year]]&gt;2018,Activities[[#This Row],[Value]],Activities[[#This Row],[Value]]*(1+VLOOKUP(Activities[[#This Row],[Reference Year]],Inflation[#All],3,FALSE)))</f>
        <v>2198.851481012658</v>
      </c>
    </row>
    <row r="700" spans="1:15" ht="15" customHeight="1" x14ac:dyDescent="0.25">
      <c r="A700" s="9" t="s">
        <v>203</v>
      </c>
      <c r="B700" s="9" t="str">
        <f>INDEX(Places[Type],MATCH(Activities[[#This Row],[Jurisdiction]],Places[Jurisdiction],0))</f>
        <v>City</v>
      </c>
      <c r="C700" s="19" t="str">
        <f>INDEX(Places[County],MATCH(Activities[[#This Row],[Jurisdiction]],Places[Jurisdiction],0))</f>
        <v>Los Angeles</v>
      </c>
      <c r="D700" s="19" t="str">
        <f>INDEX(Places[Majority RB],MATCH(Activities[[#This Row],[Jurisdiction]],Places[Jurisdiction],0))</f>
        <v>Los Angeles</v>
      </c>
      <c r="E700" s="9">
        <f>INDEX(Places[Majority RB '#],MATCH(Activities[[#This Row],[Jurisdiction]],Places[Jurisdiction],0))</f>
        <v>4</v>
      </c>
      <c r="F700" s="28" t="str">
        <f>VLOOKUP(Activities[[#This Row],[Jurisdiction]],Places[#All],8,FALSE)</f>
        <v>Phase I MS4</v>
      </c>
      <c r="G700" s="48" t="s">
        <v>32</v>
      </c>
      <c r="H700" s="8"/>
      <c r="I700" s="8"/>
      <c r="J700" s="8" t="s">
        <v>1894</v>
      </c>
      <c r="K700" s="27" t="s">
        <v>1873</v>
      </c>
      <c r="L700" s="28">
        <f>_xlfn.NUMBERVALUE(LEFT(Activities[[#This Row],[Fiscal Year]], 4))</f>
        <v>2015</v>
      </c>
      <c r="M700" s="28" t="s">
        <v>1862</v>
      </c>
      <c r="N700" s="41">
        <v>197502</v>
      </c>
      <c r="O700" s="93">
        <f>IF(Activities[[#This Row],[Reference Year]]&gt;2018,Activities[[#This Row],[Value]],Activities[[#This Row],[Value]]*(1+VLOOKUP(Activities[[#This Row],[Reference Year]],Inflation[#All],3,FALSE)))</f>
        <v>209694.62346835443</v>
      </c>
    </row>
    <row r="701" spans="1:15" ht="15" customHeight="1" x14ac:dyDescent="0.25">
      <c r="A701" s="9" t="s">
        <v>203</v>
      </c>
      <c r="B701" s="9" t="str">
        <f>INDEX(Places[Type],MATCH(Activities[[#This Row],[Jurisdiction]],Places[Jurisdiction],0))</f>
        <v>City</v>
      </c>
      <c r="C701" s="19" t="str">
        <f>INDEX(Places[County],MATCH(Activities[[#This Row],[Jurisdiction]],Places[Jurisdiction],0))</f>
        <v>Los Angeles</v>
      </c>
      <c r="D701" s="19" t="str">
        <f>INDEX(Places[Majority RB],MATCH(Activities[[#This Row],[Jurisdiction]],Places[Jurisdiction],0))</f>
        <v>Los Angeles</v>
      </c>
      <c r="E701" s="9">
        <f>INDEX(Places[Majority RB '#],MATCH(Activities[[#This Row],[Jurisdiction]],Places[Jurisdiction],0))</f>
        <v>4</v>
      </c>
      <c r="F701" s="28" t="str">
        <f>VLOOKUP(Activities[[#This Row],[Jurisdiction]],Places[#All],8,FALSE)</f>
        <v>Phase I MS4</v>
      </c>
      <c r="G701" s="48" t="s">
        <v>211</v>
      </c>
      <c r="H701" s="8"/>
      <c r="I701" s="8"/>
      <c r="J701" s="8" t="s">
        <v>1896</v>
      </c>
      <c r="K701" s="27" t="s">
        <v>1873</v>
      </c>
      <c r="L701" s="28">
        <f>_xlfn.NUMBERVALUE(LEFT(Activities[[#This Row],[Fiscal Year]], 4))</f>
        <v>2015</v>
      </c>
      <c r="M701" s="28" t="s">
        <v>1862</v>
      </c>
      <c r="N701" s="41">
        <v>8796</v>
      </c>
      <c r="O701" s="93">
        <f>IF(Activities[[#This Row],[Reference Year]]&gt;2018,Activities[[#This Row],[Value]],Activities[[#This Row],[Value]]*(1+VLOOKUP(Activities[[#This Row],[Reference Year]],Inflation[#All],3,FALSE)))</f>
        <v>9339.0138227848092</v>
      </c>
    </row>
    <row r="702" spans="1:15" ht="15" customHeight="1" x14ac:dyDescent="0.25">
      <c r="A702" s="9" t="s">
        <v>203</v>
      </c>
      <c r="B702" s="9" t="str">
        <f>INDEX(Places[Type],MATCH(Activities[[#This Row],[Jurisdiction]],Places[Jurisdiction],0))</f>
        <v>City</v>
      </c>
      <c r="C702" s="19" t="str">
        <f>INDEX(Places[County],MATCH(Activities[[#This Row],[Jurisdiction]],Places[Jurisdiction],0))</f>
        <v>Los Angeles</v>
      </c>
      <c r="D702" s="19" t="str">
        <f>INDEX(Places[Majority RB],MATCH(Activities[[#This Row],[Jurisdiction]],Places[Jurisdiction],0))</f>
        <v>Los Angeles</v>
      </c>
      <c r="E702" s="9">
        <f>INDEX(Places[Majority RB '#],MATCH(Activities[[#This Row],[Jurisdiction]],Places[Jurisdiction],0))</f>
        <v>4</v>
      </c>
      <c r="F702" s="28" t="str">
        <f>VLOOKUP(Activities[[#This Row],[Jurisdiction]],Places[#All],8,FALSE)</f>
        <v>Phase I MS4</v>
      </c>
      <c r="G702" s="48" t="s">
        <v>33</v>
      </c>
      <c r="H702" s="8"/>
      <c r="I702" s="8"/>
      <c r="J702" s="8" t="s">
        <v>47</v>
      </c>
      <c r="K702" s="27" t="s">
        <v>1873</v>
      </c>
      <c r="L702" s="28">
        <f>_xlfn.NUMBERVALUE(LEFT(Activities[[#This Row],[Fiscal Year]], 4))</f>
        <v>2015</v>
      </c>
      <c r="M702" s="28" t="s">
        <v>1862</v>
      </c>
      <c r="N702" s="41">
        <v>108500</v>
      </c>
      <c r="O702" s="93">
        <f>IF(Activities[[#This Row],[Reference Year]]&gt;2018,Activities[[#This Row],[Value]],Activities[[#This Row],[Value]]*(1+VLOOKUP(Activities[[#This Row],[Reference Year]],Inflation[#All],3,FALSE)))</f>
        <v>115198.15822784809</v>
      </c>
    </row>
    <row r="703" spans="1:15" ht="15" customHeight="1" x14ac:dyDescent="0.25">
      <c r="A703" s="9" t="s">
        <v>223</v>
      </c>
      <c r="B703" s="9" t="str">
        <f>INDEX(Places[Type],MATCH(Activities[[#This Row],[Jurisdiction]],Places[Jurisdiction],0))</f>
        <v>City</v>
      </c>
      <c r="C703" s="19" t="str">
        <f>INDEX(Places[County],MATCH(Activities[[#This Row],[Jurisdiction]],Places[Jurisdiction],0))</f>
        <v>Los Angeles</v>
      </c>
      <c r="D703" s="19" t="str">
        <f>INDEX(Places[Majority RB],MATCH(Activities[[#This Row],[Jurisdiction]],Places[Jurisdiction],0))</f>
        <v>Los Angeles</v>
      </c>
      <c r="E703" s="9">
        <f>INDEX(Places[Majority RB '#],MATCH(Activities[[#This Row],[Jurisdiction]],Places[Jurisdiction],0))</f>
        <v>4</v>
      </c>
      <c r="F703" s="28" t="str">
        <f>VLOOKUP(Activities[[#This Row],[Jurisdiction]],Places[#All],8,FALSE)</f>
        <v>Phase I MS4</v>
      </c>
      <c r="G703" s="48" t="s">
        <v>64</v>
      </c>
      <c r="H703" s="8"/>
      <c r="I703" s="8"/>
      <c r="J703" s="8" t="s">
        <v>76</v>
      </c>
      <c r="K703" s="27" t="s">
        <v>1873</v>
      </c>
      <c r="L703" s="28">
        <f>_xlfn.NUMBERVALUE(LEFT(Activities[[#This Row],[Fiscal Year]], 4))</f>
        <v>2015</v>
      </c>
      <c r="M703" s="28" t="s">
        <v>1862</v>
      </c>
      <c r="N703" s="41">
        <v>44000</v>
      </c>
      <c r="O703" s="93">
        <f>IF(Activities[[#This Row],[Reference Year]]&gt;2018,Activities[[#This Row],[Value]],Activities[[#This Row],[Value]]*(1+VLOOKUP(Activities[[#This Row],[Reference Year]],Inflation[#All],3,FALSE)))</f>
        <v>46716.303797468354</v>
      </c>
    </row>
    <row r="704" spans="1:15" ht="15" customHeight="1" x14ac:dyDescent="0.25">
      <c r="A704" s="9" t="s">
        <v>223</v>
      </c>
      <c r="B704" s="9" t="str">
        <f>INDEX(Places[Type],MATCH(Activities[[#This Row],[Jurisdiction]],Places[Jurisdiction],0))</f>
        <v>City</v>
      </c>
      <c r="C704" s="19" t="str">
        <f>INDEX(Places[County],MATCH(Activities[[#This Row],[Jurisdiction]],Places[Jurisdiction],0))</f>
        <v>Los Angeles</v>
      </c>
      <c r="D704" s="19" t="str">
        <f>INDEX(Places[Majority RB],MATCH(Activities[[#This Row],[Jurisdiction]],Places[Jurisdiction],0))</f>
        <v>Los Angeles</v>
      </c>
      <c r="E704" s="9">
        <f>INDEX(Places[Majority RB '#],MATCH(Activities[[#This Row],[Jurisdiction]],Places[Jurisdiction],0))</f>
        <v>4</v>
      </c>
      <c r="F704" s="28" t="str">
        <f>VLOOKUP(Activities[[#This Row],[Jurisdiction]],Places[#All],8,FALSE)</f>
        <v>Phase I MS4</v>
      </c>
      <c r="G704" s="48" t="s">
        <v>62</v>
      </c>
      <c r="H704" s="8"/>
      <c r="I704" s="8"/>
      <c r="J704" s="8" t="s">
        <v>131</v>
      </c>
      <c r="K704" s="27" t="s">
        <v>1873</v>
      </c>
      <c r="L704" s="28">
        <f>_xlfn.NUMBERVALUE(LEFT(Activities[[#This Row],[Fiscal Year]], 4))</f>
        <v>2015</v>
      </c>
      <c r="M704" s="28" t="s">
        <v>1862</v>
      </c>
      <c r="N704" s="41">
        <v>272400</v>
      </c>
      <c r="O704" s="93">
        <f>IF(Activities[[#This Row],[Reference Year]]&gt;2018,Activities[[#This Row],[Value]],Activities[[#This Row],[Value]]*(1+VLOOKUP(Activities[[#This Row],[Reference Year]],Inflation[#All],3,FALSE)))</f>
        <v>289216.38987341768</v>
      </c>
    </row>
    <row r="705" spans="1:15" ht="15" customHeight="1" x14ac:dyDescent="0.25">
      <c r="A705" s="9" t="s">
        <v>223</v>
      </c>
      <c r="B705" s="9" t="str">
        <f>INDEX(Places[Type],MATCH(Activities[[#This Row],[Jurisdiction]],Places[Jurisdiction],0))</f>
        <v>City</v>
      </c>
      <c r="C705" s="19" t="str">
        <f>INDEX(Places[County],MATCH(Activities[[#This Row],[Jurisdiction]],Places[Jurisdiction],0))</f>
        <v>Los Angeles</v>
      </c>
      <c r="D705" s="19" t="str">
        <f>INDEX(Places[Majority RB],MATCH(Activities[[#This Row],[Jurisdiction]],Places[Jurisdiction],0))</f>
        <v>Los Angeles</v>
      </c>
      <c r="E705" s="9">
        <f>INDEX(Places[Majority RB '#],MATCH(Activities[[#This Row],[Jurisdiction]],Places[Jurisdiction],0))</f>
        <v>4</v>
      </c>
      <c r="F705" s="28" t="str">
        <f>VLOOKUP(Activities[[#This Row],[Jurisdiction]],Places[#All],8,FALSE)</f>
        <v>Phase I MS4</v>
      </c>
      <c r="G705" s="48" t="s">
        <v>208</v>
      </c>
      <c r="H705" s="8"/>
      <c r="I705" s="8"/>
      <c r="J705" s="8" t="s">
        <v>334</v>
      </c>
      <c r="K705" s="27" t="s">
        <v>1873</v>
      </c>
      <c r="L705" s="28">
        <f>_xlfn.NUMBERVALUE(LEFT(Activities[[#This Row],[Fiscal Year]], 4))</f>
        <v>2015</v>
      </c>
      <c r="M705" s="28" t="s">
        <v>1862</v>
      </c>
      <c r="N705" s="41">
        <v>42750</v>
      </c>
      <c r="O705" s="93">
        <f>IF(Activities[[#This Row],[Reference Year]]&gt;2018,Activities[[#This Row],[Value]],Activities[[#This Row],[Value]]*(1+VLOOKUP(Activities[[#This Row],[Reference Year]],Inflation[#All],3,FALSE)))</f>
        <v>45389.136075949362</v>
      </c>
    </row>
    <row r="706" spans="1:15" ht="15" customHeight="1" x14ac:dyDescent="0.25">
      <c r="A706" s="9" t="s">
        <v>223</v>
      </c>
      <c r="B706" s="9" t="str">
        <f>INDEX(Places[Type],MATCH(Activities[[#This Row],[Jurisdiction]],Places[Jurisdiction],0))</f>
        <v>City</v>
      </c>
      <c r="C706" s="19" t="str">
        <f>INDEX(Places[County],MATCH(Activities[[#This Row],[Jurisdiction]],Places[Jurisdiction],0))</f>
        <v>Los Angeles</v>
      </c>
      <c r="D706" s="19" t="str">
        <f>INDEX(Places[Majority RB],MATCH(Activities[[#This Row],[Jurisdiction]],Places[Jurisdiction],0))</f>
        <v>Los Angeles</v>
      </c>
      <c r="E706" s="9">
        <f>INDEX(Places[Majority RB '#],MATCH(Activities[[#This Row],[Jurisdiction]],Places[Jurisdiction],0))</f>
        <v>4</v>
      </c>
      <c r="F706" s="28" t="str">
        <f>VLOOKUP(Activities[[#This Row],[Jurisdiction]],Places[#All],8,FALSE)</f>
        <v>Phase I MS4</v>
      </c>
      <c r="G706" s="48" t="s">
        <v>61</v>
      </c>
      <c r="H706" s="8"/>
      <c r="I706" s="8"/>
      <c r="J706" s="8" t="s">
        <v>1897</v>
      </c>
      <c r="K706" s="27" t="s">
        <v>1873</v>
      </c>
      <c r="L706" s="28">
        <f>_xlfn.NUMBERVALUE(LEFT(Activities[[#This Row],[Fiscal Year]], 4))</f>
        <v>2015</v>
      </c>
      <c r="M706" s="28" t="s">
        <v>1862</v>
      </c>
      <c r="N706" s="41">
        <v>586500</v>
      </c>
      <c r="O706" s="93">
        <f>IF(Activities[[#This Row],[Reference Year]]&gt;2018,Activities[[#This Row],[Value]],Activities[[#This Row],[Value]]*(1+VLOOKUP(Activities[[#This Row],[Reference Year]],Inflation[#All],3,FALSE)))</f>
        <v>622707.0949367088</v>
      </c>
    </row>
    <row r="707" spans="1:15" ht="15" customHeight="1" x14ac:dyDescent="0.25">
      <c r="A707" s="9" t="s">
        <v>223</v>
      </c>
      <c r="B707" s="9" t="str">
        <f>INDEX(Places[Type],MATCH(Activities[[#This Row],[Jurisdiction]],Places[Jurisdiction],0))</f>
        <v>City</v>
      </c>
      <c r="C707" s="19" t="str">
        <f>INDEX(Places[County],MATCH(Activities[[#This Row],[Jurisdiction]],Places[Jurisdiction],0))</f>
        <v>Los Angeles</v>
      </c>
      <c r="D707" s="19" t="str">
        <f>INDEX(Places[Majority RB],MATCH(Activities[[#This Row],[Jurisdiction]],Places[Jurisdiction],0))</f>
        <v>Los Angeles</v>
      </c>
      <c r="E707" s="9">
        <f>INDEX(Places[Majority RB '#],MATCH(Activities[[#This Row],[Jurisdiction]],Places[Jurisdiction],0))</f>
        <v>4</v>
      </c>
      <c r="F707" s="28" t="str">
        <f>VLOOKUP(Activities[[#This Row],[Jurisdiction]],Places[#All],8,FALSE)</f>
        <v>Phase I MS4</v>
      </c>
      <c r="G707" s="48" t="s">
        <v>59</v>
      </c>
      <c r="H707" s="8"/>
      <c r="I707" s="8"/>
      <c r="J707" s="8" t="s">
        <v>1898</v>
      </c>
      <c r="K707" s="27" t="s">
        <v>1873</v>
      </c>
      <c r="L707" s="28">
        <f>_xlfn.NUMBERVALUE(LEFT(Activities[[#This Row],[Fiscal Year]], 4))</f>
        <v>2015</v>
      </c>
      <c r="M707" s="28" t="s">
        <v>1862</v>
      </c>
      <c r="N707" s="41">
        <v>15000</v>
      </c>
      <c r="O707" s="93">
        <f>IF(Activities[[#This Row],[Reference Year]]&gt;2018,Activities[[#This Row],[Value]],Activities[[#This Row],[Value]]*(1+VLOOKUP(Activities[[#This Row],[Reference Year]],Inflation[#All],3,FALSE)))</f>
        <v>15926.012658227848</v>
      </c>
    </row>
    <row r="708" spans="1:15" ht="15" customHeight="1" x14ac:dyDescent="0.25">
      <c r="A708" s="9" t="s">
        <v>223</v>
      </c>
      <c r="B708" s="9" t="str">
        <f>INDEX(Places[Type],MATCH(Activities[[#This Row],[Jurisdiction]],Places[Jurisdiction],0))</f>
        <v>City</v>
      </c>
      <c r="C708" s="19" t="str">
        <f>INDEX(Places[County],MATCH(Activities[[#This Row],[Jurisdiction]],Places[Jurisdiction],0))</f>
        <v>Los Angeles</v>
      </c>
      <c r="D708" s="19" t="str">
        <f>INDEX(Places[Majority RB],MATCH(Activities[[#This Row],[Jurisdiction]],Places[Jurisdiction],0))</f>
        <v>Los Angeles</v>
      </c>
      <c r="E708" s="9">
        <f>INDEX(Places[Majority RB '#],MATCH(Activities[[#This Row],[Jurisdiction]],Places[Jurisdiction],0))</f>
        <v>4</v>
      </c>
      <c r="F708" s="28" t="str">
        <f>VLOOKUP(Activities[[#This Row],[Jurisdiction]],Places[#All],8,FALSE)</f>
        <v>Phase I MS4</v>
      </c>
      <c r="G708" s="48" t="s">
        <v>60</v>
      </c>
      <c r="H708" s="8"/>
      <c r="I708" s="8"/>
      <c r="J708" s="8" t="s">
        <v>1898</v>
      </c>
      <c r="K708" s="27" t="s">
        <v>1873</v>
      </c>
      <c r="L708" s="28">
        <f>_xlfn.NUMBERVALUE(LEFT(Activities[[#This Row],[Fiscal Year]], 4))</f>
        <v>2015</v>
      </c>
      <c r="M708" s="28" t="s">
        <v>1862</v>
      </c>
      <c r="N708" s="41">
        <v>15000</v>
      </c>
      <c r="O708" s="93">
        <f>IF(Activities[[#This Row],[Reference Year]]&gt;2018,Activities[[#This Row],[Value]],Activities[[#This Row],[Value]]*(1+VLOOKUP(Activities[[#This Row],[Reference Year]],Inflation[#All],3,FALSE)))</f>
        <v>15926.012658227848</v>
      </c>
    </row>
    <row r="709" spans="1:15" ht="15" customHeight="1" x14ac:dyDescent="0.25">
      <c r="A709" s="9" t="s">
        <v>223</v>
      </c>
      <c r="B709" s="9" t="str">
        <f>INDEX(Places[Type],MATCH(Activities[[#This Row],[Jurisdiction]],Places[Jurisdiction],0))</f>
        <v>City</v>
      </c>
      <c r="C709" s="19" t="str">
        <f>INDEX(Places[County],MATCH(Activities[[#This Row],[Jurisdiction]],Places[Jurisdiction],0))</f>
        <v>Los Angeles</v>
      </c>
      <c r="D709" s="19" t="str">
        <f>INDEX(Places[Majority RB],MATCH(Activities[[#This Row],[Jurisdiction]],Places[Jurisdiction],0))</f>
        <v>Los Angeles</v>
      </c>
      <c r="E709" s="9">
        <f>INDEX(Places[Majority RB '#],MATCH(Activities[[#This Row],[Jurisdiction]],Places[Jurisdiction],0))</f>
        <v>4</v>
      </c>
      <c r="F709" s="28" t="str">
        <f>VLOOKUP(Activities[[#This Row],[Jurisdiction]],Places[#All],8,FALSE)</f>
        <v>Phase I MS4</v>
      </c>
      <c r="G709" s="48" t="s">
        <v>58</v>
      </c>
      <c r="H709" s="8"/>
      <c r="I709" s="8"/>
      <c r="J709" s="8" t="s">
        <v>1456</v>
      </c>
      <c r="K709" s="27" t="s">
        <v>1873</v>
      </c>
      <c r="L709" s="28">
        <f>_xlfn.NUMBERVALUE(LEFT(Activities[[#This Row],[Fiscal Year]], 4))</f>
        <v>2015</v>
      </c>
      <c r="M709" s="28" t="s">
        <v>1862</v>
      </c>
      <c r="N709" s="41">
        <v>27250</v>
      </c>
      <c r="O709" s="93">
        <f>IF(Activities[[#This Row],[Reference Year]]&gt;2018,Activities[[#This Row],[Value]],Activities[[#This Row],[Value]]*(1+VLOOKUP(Activities[[#This Row],[Reference Year]],Inflation[#All],3,FALSE)))</f>
        <v>28932.256329113923</v>
      </c>
    </row>
    <row r="710" spans="1:15" ht="15" customHeight="1" x14ac:dyDescent="0.25">
      <c r="A710" s="9" t="s">
        <v>223</v>
      </c>
      <c r="B710" s="9" t="str">
        <f>INDEX(Places[Type],MATCH(Activities[[#This Row],[Jurisdiction]],Places[Jurisdiction],0))</f>
        <v>City</v>
      </c>
      <c r="C710" s="19" t="str">
        <f>INDEX(Places[County],MATCH(Activities[[#This Row],[Jurisdiction]],Places[Jurisdiction],0))</f>
        <v>Los Angeles</v>
      </c>
      <c r="D710" s="19" t="str">
        <f>INDEX(Places[Majority RB],MATCH(Activities[[#This Row],[Jurisdiction]],Places[Jurisdiction],0))</f>
        <v>Los Angeles</v>
      </c>
      <c r="E710" s="9">
        <f>INDEX(Places[Majority RB '#],MATCH(Activities[[#This Row],[Jurisdiction]],Places[Jurisdiction],0))</f>
        <v>4</v>
      </c>
      <c r="F710" s="28" t="str">
        <f>VLOOKUP(Activities[[#This Row],[Jurisdiction]],Places[#All],8,FALSE)</f>
        <v>Phase I MS4</v>
      </c>
      <c r="G710" s="48" t="s">
        <v>32</v>
      </c>
      <c r="H710" s="8"/>
      <c r="I710" s="8"/>
      <c r="J710" s="8" t="s">
        <v>1894</v>
      </c>
      <c r="K710" s="27" t="s">
        <v>1873</v>
      </c>
      <c r="L710" s="28">
        <f>_xlfn.NUMBERVALUE(LEFT(Activities[[#This Row],[Fiscal Year]], 4))</f>
        <v>2015</v>
      </c>
      <c r="M710" s="28" t="s">
        <v>1862</v>
      </c>
      <c r="N710" s="41">
        <v>679600</v>
      </c>
      <c r="O710" s="93">
        <f>IF(Activities[[#This Row],[Reference Year]]&gt;2018,Activities[[#This Row],[Value]],Activities[[#This Row],[Value]]*(1+VLOOKUP(Activities[[#This Row],[Reference Year]],Inflation[#All],3,FALSE)))</f>
        <v>721554.546835443</v>
      </c>
    </row>
    <row r="711" spans="1:15" ht="15" customHeight="1" x14ac:dyDescent="0.25">
      <c r="A711" s="9" t="s">
        <v>223</v>
      </c>
      <c r="B711" s="9" t="str">
        <f>INDEX(Places[Type],MATCH(Activities[[#This Row],[Jurisdiction]],Places[Jurisdiction],0))</f>
        <v>City</v>
      </c>
      <c r="C711" s="19" t="str">
        <f>INDEX(Places[County],MATCH(Activities[[#This Row],[Jurisdiction]],Places[Jurisdiction],0))</f>
        <v>Los Angeles</v>
      </c>
      <c r="D711" s="19" t="str">
        <f>INDEX(Places[Majority RB],MATCH(Activities[[#This Row],[Jurisdiction]],Places[Jurisdiction],0))</f>
        <v>Los Angeles</v>
      </c>
      <c r="E711" s="9">
        <f>INDEX(Places[Majority RB '#],MATCH(Activities[[#This Row],[Jurisdiction]],Places[Jurisdiction],0))</f>
        <v>4</v>
      </c>
      <c r="F711" s="28" t="str">
        <f>VLOOKUP(Activities[[#This Row],[Jurisdiction]],Places[#All],8,FALSE)</f>
        <v>Phase I MS4</v>
      </c>
      <c r="G711" s="48" t="s">
        <v>67</v>
      </c>
      <c r="H711" s="8"/>
      <c r="I711" s="8"/>
      <c r="J711" s="8" t="s">
        <v>1896</v>
      </c>
      <c r="K711" s="27" t="s">
        <v>1873</v>
      </c>
      <c r="L711" s="28">
        <f>_xlfn.NUMBERVALUE(LEFT(Activities[[#This Row],[Fiscal Year]], 4))</f>
        <v>2015</v>
      </c>
      <c r="M711" s="28" t="s">
        <v>1862</v>
      </c>
      <c r="N711" s="41">
        <v>747650</v>
      </c>
      <c r="O711" s="93">
        <f>IF(Activities[[#This Row],[Reference Year]]&gt;2018,Activities[[#This Row],[Value]],Activities[[#This Row],[Value]]*(1+VLOOKUP(Activities[[#This Row],[Reference Year]],Inflation[#All],3,FALSE)))</f>
        <v>793805.55759493669</v>
      </c>
    </row>
    <row r="712" spans="1:15" ht="15" customHeight="1" x14ac:dyDescent="0.25">
      <c r="A712" s="9" t="s">
        <v>223</v>
      </c>
      <c r="B712" s="9" t="str">
        <f>INDEX(Places[Type],MATCH(Activities[[#This Row],[Jurisdiction]],Places[Jurisdiction],0))</f>
        <v>City</v>
      </c>
      <c r="C712" s="19" t="str">
        <f>INDEX(Places[County],MATCH(Activities[[#This Row],[Jurisdiction]],Places[Jurisdiction],0))</f>
        <v>Los Angeles</v>
      </c>
      <c r="D712" s="19" t="str">
        <f>INDEX(Places[Majority RB],MATCH(Activities[[#This Row],[Jurisdiction]],Places[Jurisdiction],0))</f>
        <v>Los Angeles</v>
      </c>
      <c r="E712" s="9">
        <f>INDEX(Places[Majority RB '#],MATCH(Activities[[#This Row],[Jurisdiction]],Places[Jurisdiction],0))</f>
        <v>4</v>
      </c>
      <c r="F712" s="28" t="str">
        <f>VLOOKUP(Activities[[#This Row],[Jurisdiction]],Places[#All],8,FALSE)</f>
        <v>Phase I MS4</v>
      </c>
      <c r="G712" s="48" t="s">
        <v>33</v>
      </c>
      <c r="H712" s="8"/>
      <c r="I712" s="8"/>
      <c r="J712" s="8" t="s">
        <v>47</v>
      </c>
      <c r="K712" s="27" t="s">
        <v>1873</v>
      </c>
      <c r="L712" s="28">
        <f>_xlfn.NUMBERVALUE(LEFT(Activities[[#This Row],[Fiscal Year]], 4))</f>
        <v>2015</v>
      </c>
      <c r="M712" s="28" t="s">
        <v>1862</v>
      </c>
      <c r="N712" s="41">
        <v>67400</v>
      </c>
      <c r="O712" s="93">
        <f>IF(Activities[[#This Row],[Reference Year]]&gt;2018,Activities[[#This Row],[Value]],Activities[[#This Row],[Value]]*(1+VLOOKUP(Activities[[#This Row],[Reference Year]],Inflation[#All],3,FALSE)))</f>
        <v>71560.883544303797</v>
      </c>
    </row>
    <row r="713" spans="1:15" ht="15" customHeight="1" x14ac:dyDescent="0.25">
      <c r="A713" s="9" t="s">
        <v>275</v>
      </c>
      <c r="B713" s="9" t="str">
        <f>INDEX(Places[Type],MATCH(Activities[[#This Row],[Jurisdiction]],Places[Jurisdiction],0))</f>
        <v>City</v>
      </c>
      <c r="C713" s="19" t="str">
        <f>INDEX(Places[County],MATCH(Activities[[#This Row],[Jurisdiction]],Places[Jurisdiction],0))</f>
        <v>Orange</v>
      </c>
      <c r="D713" s="9" t="str">
        <f>INDEX(Places[Majority RB],MATCH(Activities[[#This Row],[Jurisdiction]],Places[Jurisdiction],0))</f>
        <v>Santa Ana</v>
      </c>
      <c r="E713" s="9">
        <f>INDEX(Places[Majority RB '#],MATCH(Activities[[#This Row],[Jurisdiction]],Places[Jurisdiction],0))</f>
        <v>8</v>
      </c>
      <c r="F713" s="28" t="str">
        <f>VLOOKUP(Activities[[#This Row],[Jurisdiction]],Places[#All],8,FALSE)</f>
        <v>Phase I MS4</v>
      </c>
      <c r="G713" s="48" t="s">
        <v>994</v>
      </c>
      <c r="H713" s="8" t="s">
        <v>504</v>
      </c>
      <c r="I713" s="8"/>
      <c r="J713" s="8" t="s">
        <v>71</v>
      </c>
      <c r="K713" s="27" t="s">
        <v>1875</v>
      </c>
      <c r="L713" s="28">
        <f>_xlfn.NUMBERVALUE(LEFT(Activities[[#This Row],[Fiscal Year]], 4))</f>
        <v>2001</v>
      </c>
      <c r="M713" s="28" t="s">
        <v>1862</v>
      </c>
      <c r="N713" s="41">
        <v>512631</v>
      </c>
      <c r="O713" s="93">
        <f>IF(Activities[[#This Row],[Reference Year]]&gt;2018,Activities[[#This Row],[Value]],Activities[[#This Row],[Value]]*(1+VLOOKUP(Activities[[#This Row],[Reference Year]],Inflation[#All],3,FALSE)))</f>
        <v>728367.31316205533</v>
      </c>
    </row>
    <row r="714" spans="1:15" ht="15" customHeight="1" x14ac:dyDescent="0.25">
      <c r="A714" s="9" t="s">
        <v>275</v>
      </c>
      <c r="B714" s="9" t="str">
        <f>INDEX(Places[Type],MATCH(Activities[[#This Row],[Jurisdiction]],Places[Jurisdiction],0))</f>
        <v>City</v>
      </c>
      <c r="C714" s="19" t="str">
        <f>INDEX(Places[County],MATCH(Activities[[#This Row],[Jurisdiction]],Places[Jurisdiction],0))</f>
        <v>Orange</v>
      </c>
      <c r="D714" s="9" t="str">
        <f>INDEX(Places[Majority RB],MATCH(Activities[[#This Row],[Jurisdiction]],Places[Jurisdiction],0))</f>
        <v>Santa Ana</v>
      </c>
      <c r="E714" s="9">
        <f>INDEX(Places[Majority RB '#],MATCH(Activities[[#This Row],[Jurisdiction]],Places[Jurisdiction],0))</f>
        <v>8</v>
      </c>
      <c r="F714" s="28" t="str">
        <f>VLOOKUP(Activities[[#This Row],[Jurisdiction]],Places[#All],8,FALSE)</f>
        <v>Phase I MS4</v>
      </c>
      <c r="G714" s="48" t="s">
        <v>979</v>
      </c>
      <c r="H714" s="8" t="s">
        <v>504</v>
      </c>
      <c r="I714" s="8"/>
      <c r="J714" s="8" t="s">
        <v>71</v>
      </c>
      <c r="K714" s="27" t="s">
        <v>1875</v>
      </c>
      <c r="L714" s="28">
        <f>_xlfn.NUMBERVALUE(LEFT(Activities[[#This Row],[Fiscal Year]], 4))</f>
        <v>2001</v>
      </c>
      <c r="M714" s="28" t="s">
        <v>1862</v>
      </c>
      <c r="N714" s="41">
        <v>625979</v>
      </c>
      <c r="O714" s="93">
        <f>IF(Activities[[#This Row],[Reference Year]]&gt;2018,Activities[[#This Row],[Value]],Activities[[#This Row],[Value]]*(1+VLOOKUP(Activities[[#This Row],[Reference Year]],Inflation[#All],3,FALSE)))</f>
        <v>889416.83652738563</v>
      </c>
    </row>
    <row r="715" spans="1:15" ht="15" customHeight="1" x14ac:dyDescent="0.25">
      <c r="A715" s="9" t="s">
        <v>275</v>
      </c>
      <c r="B715" s="9" t="str">
        <f>INDEX(Places[Type],MATCH(Activities[[#This Row],[Jurisdiction]],Places[Jurisdiction],0))</f>
        <v>City</v>
      </c>
      <c r="C715" s="19" t="str">
        <f>INDEX(Places[County],MATCH(Activities[[#This Row],[Jurisdiction]],Places[Jurisdiction],0))</f>
        <v>Orange</v>
      </c>
      <c r="D715" s="9" t="str">
        <f>INDEX(Places[Majority RB],MATCH(Activities[[#This Row],[Jurisdiction]],Places[Jurisdiction],0))</f>
        <v>Santa Ana</v>
      </c>
      <c r="E715" s="9">
        <f>INDEX(Places[Majority RB '#],MATCH(Activities[[#This Row],[Jurisdiction]],Places[Jurisdiction],0))</f>
        <v>8</v>
      </c>
      <c r="F715" s="28" t="str">
        <f>VLOOKUP(Activities[[#This Row],[Jurisdiction]],Places[#All],8,FALSE)</f>
        <v>Phase I MS4</v>
      </c>
      <c r="G715" s="48" t="s">
        <v>980</v>
      </c>
      <c r="H715" s="8" t="s">
        <v>504</v>
      </c>
      <c r="I715" s="8"/>
      <c r="J715" s="8" t="s">
        <v>1897</v>
      </c>
      <c r="K715" s="27" t="s">
        <v>1875</v>
      </c>
      <c r="L715" s="28">
        <f>_xlfn.NUMBERVALUE(LEFT(Activities[[#This Row],[Fiscal Year]], 4))</f>
        <v>2001</v>
      </c>
      <c r="M715" s="28" t="s">
        <v>1862</v>
      </c>
      <c r="N715" s="41">
        <v>5000</v>
      </c>
      <c r="O715" s="93">
        <f>IF(Activities[[#This Row],[Reference Year]]&gt;2018,Activities[[#This Row],[Value]],Activities[[#This Row],[Value]]*(1+VLOOKUP(Activities[[#This Row],[Reference Year]],Inflation[#All],3,FALSE)))</f>
        <v>7104.2066629023147</v>
      </c>
    </row>
    <row r="716" spans="1:15" ht="15" customHeight="1" x14ac:dyDescent="0.25">
      <c r="A716" s="9" t="s">
        <v>275</v>
      </c>
      <c r="B716" s="9" t="str">
        <f>INDEX(Places[Type],MATCH(Activities[[#This Row],[Jurisdiction]],Places[Jurisdiction],0))</f>
        <v>City</v>
      </c>
      <c r="C716" s="19" t="str">
        <f>INDEX(Places[County],MATCH(Activities[[#This Row],[Jurisdiction]],Places[Jurisdiction],0))</f>
        <v>Orange</v>
      </c>
      <c r="D716" s="9" t="str">
        <f>INDEX(Places[Majority RB],MATCH(Activities[[#This Row],[Jurisdiction]],Places[Jurisdiction],0))</f>
        <v>Santa Ana</v>
      </c>
      <c r="E716" s="9">
        <f>INDEX(Places[Majority RB '#],MATCH(Activities[[#This Row],[Jurisdiction]],Places[Jurisdiction],0))</f>
        <v>8</v>
      </c>
      <c r="F716" s="28" t="str">
        <f>VLOOKUP(Activities[[#This Row],[Jurisdiction]],Places[#All],8,FALSE)</f>
        <v>Phase I MS4</v>
      </c>
      <c r="G716" s="48" t="s">
        <v>995</v>
      </c>
      <c r="H716" s="8" t="s">
        <v>504</v>
      </c>
      <c r="I716" s="8"/>
      <c r="J716" s="8" t="s">
        <v>1897</v>
      </c>
      <c r="K716" s="27" t="s">
        <v>1875</v>
      </c>
      <c r="L716" s="28">
        <f>_xlfn.NUMBERVALUE(LEFT(Activities[[#This Row],[Fiscal Year]], 4))</f>
        <v>2001</v>
      </c>
      <c r="M716" s="28" t="s">
        <v>1862</v>
      </c>
      <c r="N716" s="41">
        <v>5000</v>
      </c>
      <c r="O716" s="93">
        <f>IF(Activities[[#This Row],[Reference Year]]&gt;2018,Activities[[#This Row],[Value]],Activities[[#This Row],[Value]]*(1+VLOOKUP(Activities[[#This Row],[Reference Year]],Inflation[#All],3,FALSE)))</f>
        <v>7104.2066629023147</v>
      </c>
    </row>
    <row r="717" spans="1:15" ht="15" customHeight="1" x14ac:dyDescent="0.25">
      <c r="A717" s="9" t="s">
        <v>275</v>
      </c>
      <c r="B717" s="9" t="str">
        <f>INDEX(Places[Type],MATCH(Activities[[#This Row],[Jurisdiction]],Places[Jurisdiction],0))</f>
        <v>City</v>
      </c>
      <c r="C717" s="19" t="str">
        <f>INDEX(Places[County],MATCH(Activities[[#This Row],[Jurisdiction]],Places[Jurisdiction],0))</f>
        <v>Orange</v>
      </c>
      <c r="D717" s="9" t="str">
        <f>INDEX(Places[Majority RB],MATCH(Activities[[#This Row],[Jurisdiction]],Places[Jurisdiction],0))</f>
        <v>Santa Ana</v>
      </c>
      <c r="E717" s="9">
        <f>INDEX(Places[Majority RB '#],MATCH(Activities[[#This Row],[Jurisdiction]],Places[Jurisdiction],0))</f>
        <v>8</v>
      </c>
      <c r="F717" s="28" t="str">
        <f>VLOOKUP(Activities[[#This Row],[Jurisdiction]],Places[#All],8,FALSE)</f>
        <v>Phase I MS4</v>
      </c>
      <c r="G717" s="48" t="s">
        <v>981</v>
      </c>
      <c r="H717" s="8" t="s">
        <v>504</v>
      </c>
      <c r="I717" s="8"/>
      <c r="J717" s="8" t="s">
        <v>1897</v>
      </c>
      <c r="K717" s="27" t="s">
        <v>1875</v>
      </c>
      <c r="L717" s="28">
        <f>_xlfn.NUMBERVALUE(LEFT(Activities[[#This Row],[Fiscal Year]], 4))</f>
        <v>2001</v>
      </c>
      <c r="M717" s="28" t="s">
        <v>1862</v>
      </c>
      <c r="N717" s="41">
        <v>661792</v>
      </c>
      <c r="O717" s="93">
        <f>IF(Activities[[#This Row],[Reference Year]]&gt;2018,Activities[[#This Row],[Value]],Activities[[#This Row],[Value]]*(1+VLOOKUP(Activities[[#This Row],[Reference Year]],Inflation[#All],3,FALSE)))</f>
        <v>940301.4271710898</v>
      </c>
    </row>
    <row r="718" spans="1:15" ht="15" customHeight="1" x14ac:dyDescent="0.25">
      <c r="A718" s="9" t="s">
        <v>275</v>
      </c>
      <c r="B718" s="9" t="str">
        <f>INDEX(Places[Type],MATCH(Activities[[#This Row],[Jurisdiction]],Places[Jurisdiction],0))</f>
        <v>City</v>
      </c>
      <c r="C718" s="19" t="str">
        <f>INDEX(Places[County],MATCH(Activities[[#This Row],[Jurisdiction]],Places[Jurisdiction],0))</f>
        <v>Orange</v>
      </c>
      <c r="D718" s="9" t="str">
        <f>INDEX(Places[Majority RB],MATCH(Activities[[#This Row],[Jurisdiction]],Places[Jurisdiction],0))</f>
        <v>Santa Ana</v>
      </c>
      <c r="E718" s="9">
        <f>INDEX(Places[Majority RB '#],MATCH(Activities[[#This Row],[Jurisdiction]],Places[Jurisdiction],0))</f>
        <v>8</v>
      </c>
      <c r="F718" s="28" t="str">
        <f>VLOOKUP(Activities[[#This Row],[Jurisdiction]],Places[#All],8,FALSE)</f>
        <v>Phase I MS4</v>
      </c>
      <c r="G718" s="48" t="s">
        <v>996</v>
      </c>
      <c r="H718" s="8" t="s">
        <v>504</v>
      </c>
      <c r="I718" s="8"/>
      <c r="J718" s="8" t="s">
        <v>1897</v>
      </c>
      <c r="K718" s="27" t="s">
        <v>1875</v>
      </c>
      <c r="L718" s="28">
        <f>_xlfn.NUMBERVALUE(LEFT(Activities[[#This Row],[Fiscal Year]], 4))</f>
        <v>2001</v>
      </c>
      <c r="M718" s="28" t="s">
        <v>1862</v>
      </c>
      <c r="N718" s="41">
        <v>703874</v>
      </c>
      <c r="O718" s="93">
        <f>IF(Activities[[#This Row],[Reference Year]]&gt;2018,Activities[[#This Row],[Value]],Activities[[#This Row],[Value]]*(1+VLOOKUP(Activities[[#This Row],[Reference Year]],Inflation[#All],3,FALSE)))</f>
        <v>1000093.2721287408</v>
      </c>
    </row>
    <row r="719" spans="1:15" ht="15" customHeight="1" x14ac:dyDescent="0.25">
      <c r="A719" s="9" t="s">
        <v>156</v>
      </c>
      <c r="B719" s="9" t="str">
        <f>INDEX(Places[Type],MATCH(Activities[[#This Row],[Jurisdiction]],Places[Jurisdiction],0))</f>
        <v>City</v>
      </c>
      <c r="C719" s="19" t="str">
        <f>INDEX(Places[County],MATCH(Activities[[#This Row],[Jurisdiction]],Places[Jurisdiction],0))</f>
        <v>Los Angeles</v>
      </c>
      <c r="D719" s="19" t="str">
        <f>INDEX(Places[Majority RB],MATCH(Activities[[#This Row],[Jurisdiction]],Places[Jurisdiction],0))</f>
        <v>Los Angeles</v>
      </c>
      <c r="E719" s="9">
        <f>INDEX(Places[Majority RB '#],MATCH(Activities[[#This Row],[Jurisdiction]],Places[Jurisdiction],0))</f>
        <v>4</v>
      </c>
      <c r="F719" s="28" t="str">
        <f>VLOOKUP(Activities[[#This Row],[Jurisdiction]],Places[#All],8,FALSE)</f>
        <v>Phase I MS4</v>
      </c>
      <c r="G719" s="48" t="s">
        <v>849</v>
      </c>
      <c r="H719" s="8"/>
      <c r="I719" s="8"/>
      <c r="J719" s="8" t="s">
        <v>131</v>
      </c>
      <c r="K719" s="27" t="s">
        <v>1873</v>
      </c>
      <c r="L719" s="28">
        <f>_xlfn.NUMBERVALUE(LEFT(Activities[[#This Row],[Fiscal Year]], 4))</f>
        <v>2015</v>
      </c>
      <c r="M719" s="28" t="s">
        <v>1862</v>
      </c>
      <c r="N719" s="41">
        <v>1855</v>
      </c>
      <c r="O719" s="93">
        <f>IF(Activities[[#This Row],[Reference Year]]&gt;2018,Activities[[#This Row],[Value]],Activities[[#This Row],[Value]]*(1+VLOOKUP(Activities[[#This Row],[Reference Year]],Inflation[#All],3,FALSE)))</f>
        <v>1969.5168987341772</v>
      </c>
    </row>
    <row r="720" spans="1:15" ht="15" customHeight="1" x14ac:dyDescent="0.25">
      <c r="A720" s="9" t="s">
        <v>156</v>
      </c>
      <c r="B720" s="9" t="str">
        <f>INDEX(Places[Type],MATCH(Activities[[#This Row],[Jurisdiction]],Places[Jurisdiction],0))</f>
        <v>City</v>
      </c>
      <c r="C720" s="19" t="str">
        <f>INDEX(Places[County],MATCH(Activities[[#This Row],[Jurisdiction]],Places[Jurisdiction],0))</f>
        <v>Los Angeles</v>
      </c>
      <c r="D720" s="19" t="str">
        <f>INDEX(Places[Majority RB],MATCH(Activities[[#This Row],[Jurisdiction]],Places[Jurisdiction],0))</f>
        <v>Los Angeles</v>
      </c>
      <c r="E720" s="9">
        <f>INDEX(Places[Majority RB '#],MATCH(Activities[[#This Row],[Jurisdiction]],Places[Jurisdiction],0))</f>
        <v>4</v>
      </c>
      <c r="F720" s="28" t="str">
        <f>VLOOKUP(Activities[[#This Row],[Jurisdiction]],Places[#All],8,FALSE)</f>
        <v>Phase I MS4</v>
      </c>
      <c r="G720" s="48" t="s">
        <v>845</v>
      </c>
      <c r="H720" s="8"/>
      <c r="I720" s="8"/>
      <c r="J720" s="8" t="s">
        <v>334</v>
      </c>
      <c r="K720" s="27" t="s">
        <v>1873</v>
      </c>
      <c r="L720" s="28">
        <f>_xlfn.NUMBERVALUE(LEFT(Activities[[#This Row],[Fiscal Year]], 4))</f>
        <v>2015</v>
      </c>
      <c r="M720" s="28" t="s">
        <v>1862</v>
      </c>
      <c r="N720" s="41">
        <v>37833</v>
      </c>
      <c r="O720" s="93">
        <f>IF(Activities[[#This Row],[Reference Year]]&gt;2018,Activities[[#This Row],[Value]],Activities[[#This Row],[Value]]*(1+VLOOKUP(Activities[[#This Row],[Reference Year]],Inflation[#All],3,FALSE)))</f>
        <v>40168.589126582279</v>
      </c>
    </row>
    <row r="721" spans="1:15" ht="15" customHeight="1" x14ac:dyDescent="0.25">
      <c r="A721" s="9" t="s">
        <v>156</v>
      </c>
      <c r="B721" s="9" t="str">
        <f>INDEX(Places[Type],MATCH(Activities[[#This Row],[Jurisdiction]],Places[Jurisdiction],0))</f>
        <v>City</v>
      </c>
      <c r="C721" s="19" t="str">
        <f>INDEX(Places[County],MATCH(Activities[[#This Row],[Jurisdiction]],Places[Jurisdiction],0))</f>
        <v>Los Angeles</v>
      </c>
      <c r="D721" s="19" t="str">
        <f>INDEX(Places[Majority RB],MATCH(Activities[[#This Row],[Jurisdiction]],Places[Jurisdiction],0))</f>
        <v>Los Angeles</v>
      </c>
      <c r="E721" s="9">
        <f>INDEX(Places[Majority RB '#],MATCH(Activities[[#This Row],[Jurisdiction]],Places[Jurisdiction],0))</f>
        <v>4</v>
      </c>
      <c r="F721" s="28" t="str">
        <f>VLOOKUP(Activities[[#This Row],[Jurisdiction]],Places[#All],8,FALSE)</f>
        <v>Phase I MS4</v>
      </c>
      <c r="G721" s="48" t="s">
        <v>857</v>
      </c>
      <c r="H721" s="8"/>
      <c r="I721" s="8"/>
      <c r="J721" s="8" t="s">
        <v>1897</v>
      </c>
      <c r="K721" s="27" t="s">
        <v>1873</v>
      </c>
      <c r="L721" s="28">
        <f>_xlfn.NUMBERVALUE(LEFT(Activities[[#This Row],[Fiscal Year]], 4))</f>
        <v>2015</v>
      </c>
      <c r="M721" s="28" t="s">
        <v>1862</v>
      </c>
      <c r="N721" s="41">
        <v>168545.02</v>
      </c>
      <c r="O721" s="93">
        <f>IF(Activities[[#This Row],[Reference Year]]&gt;2018,Activities[[#This Row],[Value]],Activities[[#This Row],[Value]]*(1+VLOOKUP(Activities[[#This Row],[Reference Year]],Inflation[#All],3,FALSE)))</f>
        <v>178950.00813341769</v>
      </c>
    </row>
    <row r="722" spans="1:15" ht="15" customHeight="1" x14ac:dyDescent="0.25">
      <c r="A722" s="9" t="s">
        <v>156</v>
      </c>
      <c r="B722" s="9" t="str">
        <f>INDEX(Places[Type],MATCH(Activities[[#This Row],[Jurisdiction]],Places[Jurisdiction],0))</f>
        <v>City</v>
      </c>
      <c r="C722" s="19" t="str">
        <f>INDEX(Places[County],MATCH(Activities[[#This Row],[Jurisdiction]],Places[Jurisdiction],0))</f>
        <v>Los Angeles</v>
      </c>
      <c r="D722" s="19" t="str">
        <f>INDEX(Places[Majority RB],MATCH(Activities[[#This Row],[Jurisdiction]],Places[Jurisdiction],0))</f>
        <v>Los Angeles</v>
      </c>
      <c r="E722" s="9">
        <f>INDEX(Places[Majority RB '#],MATCH(Activities[[#This Row],[Jurisdiction]],Places[Jurisdiction],0))</f>
        <v>4</v>
      </c>
      <c r="F722" s="28" t="str">
        <f>VLOOKUP(Activities[[#This Row],[Jurisdiction]],Places[#All],8,FALSE)</f>
        <v>Phase I MS4</v>
      </c>
      <c r="G722" s="48" t="s">
        <v>846</v>
      </c>
      <c r="H722" s="8"/>
      <c r="I722" s="8"/>
      <c r="J722" s="8" t="s">
        <v>1898</v>
      </c>
      <c r="K722" s="27" t="s">
        <v>1873</v>
      </c>
      <c r="L722" s="28">
        <f>_xlfn.NUMBERVALUE(LEFT(Activities[[#This Row],[Fiscal Year]], 4))</f>
        <v>2015</v>
      </c>
      <c r="M722" s="28" t="s">
        <v>1862</v>
      </c>
      <c r="N722" s="41">
        <v>7285</v>
      </c>
      <c r="O722" s="93">
        <f>IF(Activities[[#This Row],[Reference Year]]&gt;2018,Activities[[#This Row],[Value]],Activities[[#This Row],[Value]]*(1+VLOOKUP(Activities[[#This Row],[Reference Year]],Inflation[#All],3,FALSE)))</f>
        <v>7734.7334810126576</v>
      </c>
    </row>
    <row r="723" spans="1:15" ht="15" customHeight="1" x14ac:dyDescent="0.25">
      <c r="A723" s="9" t="s">
        <v>156</v>
      </c>
      <c r="B723" s="9" t="str">
        <f>INDEX(Places[Type],MATCH(Activities[[#This Row],[Jurisdiction]],Places[Jurisdiction],0))</f>
        <v>City</v>
      </c>
      <c r="C723" s="19" t="str">
        <f>INDEX(Places[County],MATCH(Activities[[#This Row],[Jurisdiction]],Places[Jurisdiction],0))</f>
        <v>Los Angeles</v>
      </c>
      <c r="D723" s="19" t="str">
        <f>INDEX(Places[Majority RB],MATCH(Activities[[#This Row],[Jurisdiction]],Places[Jurisdiction],0))</f>
        <v>Los Angeles</v>
      </c>
      <c r="E723" s="9">
        <f>INDEX(Places[Majority RB '#],MATCH(Activities[[#This Row],[Jurisdiction]],Places[Jurisdiction],0))</f>
        <v>4</v>
      </c>
      <c r="F723" s="28" t="str">
        <f>VLOOKUP(Activities[[#This Row],[Jurisdiction]],Places[#All],8,FALSE)</f>
        <v>Phase I MS4</v>
      </c>
      <c r="G723" s="48" t="s">
        <v>847</v>
      </c>
      <c r="H723" s="8"/>
      <c r="I723" s="8"/>
      <c r="J723" s="8" t="s">
        <v>1898</v>
      </c>
      <c r="K723" s="27" t="s">
        <v>1873</v>
      </c>
      <c r="L723" s="28">
        <f>_xlfn.NUMBERVALUE(LEFT(Activities[[#This Row],[Fiscal Year]], 4))</f>
        <v>2015</v>
      </c>
      <c r="M723" s="28" t="s">
        <v>1862</v>
      </c>
      <c r="N723" s="41">
        <v>24697.4</v>
      </c>
      <c r="O723" s="93">
        <f>IF(Activities[[#This Row],[Reference Year]]&gt;2018,Activities[[#This Row],[Value]],Activities[[#This Row],[Value]]*(1+VLOOKUP(Activities[[#This Row],[Reference Year]],Inflation[#All],3,FALSE)))</f>
        <v>26222.073668354431</v>
      </c>
    </row>
    <row r="724" spans="1:15" ht="15" customHeight="1" x14ac:dyDescent="0.25">
      <c r="A724" s="9" t="s">
        <v>156</v>
      </c>
      <c r="B724" s="9" t="str">
        <f>INDEX(Places[Type],MATCH(Activities[[#This Row],[Jurisdiction]],Places[Jurisdiction],0))</f>
        <v>City</v>
      </c>
      <c r="C724" s="19" t="str">
        <f>INDEX(Places[County],MATCH(Activities[[#This Row],[Jurisdiction]],Places[Jurisdiction],0))</f>
        <v>Los Angeles</v>
      </c>
      <c r="D724" s="19" t="str">
        <f>INDEX(Places[Majority RB],MATCH(Activities[[#This Row],[Jurisdiction]],Places[Jurisdiction],0))</f>
        <v>Los Angeles</v>
      </c>
      <c r="E724" s="9">
        <f>INDEX(Places[Majority RB '#],MATCH(Activities[[#This Row],[Jurisdiction]],Places[Jurisdiction],0))</f>
        <v>4</v>
      </c>
      <c r="F724" s="28" t="str">
        <f>VLOOKUP(Activities[[#This Row],[Jurisdiction]],Places[#All],8,FALSE)</f>
        <v>Phase I MS4</v>
      </c>
      <c r="G724" s="48" t="s">
        <v>844</v>
      </c>
      <c r="H724" s="8"/>
      <c r="I724" s="8"/>
      <c r="J724" s="8" t="s">
        <v>1456</v>
      </c>
      <c r="K724" s="27" t="s">
        <v>1873</v>
      </c>
      <c r="L724" s="28">
        <f>_xlfn.NUMBERVALUE(LEFT(Activities[[#This Row],[Fiscal Year]], 4))</f>
        <v>2015</v>
      </c>
      <c r="M724" s="28" t="s">
        <v>1862</v>
      </c>
      <c r="N724" s="41">
        <v>14125.06</v>
      </c>
      <c r="O724" s="93">
        <f>IF(Activities[[#This Row],[Reference Year]]&gt;2018,Activities[[#This Row],[Value]],Activities[[#This Row],[Value]]*(1+VLOOKUP(Activities[[#This Row],[Reference Year]],Inflation[#All],3,FALSE)))</f>
        <v>14997.058957215189</v>
      </c>
    </row>
    <row r="725" spans="1:15" ht="15" customHeight="1" x14ac:dyDescent="0.25">
      <c r="A725" s="9" t="s">
        <v>156</v>
      </c>
      <c r="B725" s="9" t="str">
        <f>INDEX(Places[Type],MATCH(Activities[[#This Row],[Jurisdiction]],Places[Jurisdiction],0))</f>
        <v>City</v>
      </c>
      <c r="C725" s="19" t="str">
        <f>INDEX(Places[County],MATCH(Activities[[#This Row],[Jurisdiction]],Places[Jurisdiction],0))</f>
        <v>Los Angeles</v>
      </c>
      <c r="D725" s="19" t="str">
        <f>INDEX(Places[Majority RB],MATCH(Activities[[#This Row],[Jurisdiction]],Places[Jurisdiction],0))</f>
        <v>Los Angeles</v>
      </c>
      <c r="E725" s="9">
        <f>INDEX(Places[Majority RB '#],MATCH(Activities[[#This Row],[Jurisdiction]],Places[Jurisdiction],0))</f>
        <v>4</v>
      </c>
      <c r="F725" s="28" t="str">
        <f>VLOOKUP(Activities[[#This Row],[Jurisdiction]],Places[#All],8,FALSE)</f>
        <v>Phase I MS4</v>
      </c>
      <c r="G725" s="56" t="s">
        <v>829</v>
      </c>
      <c r="H725" s="8"/>
      <c r="I725" s="8"/>
      <c r="J725" s="8" t="s">
        <v>1894</v>
      </c>
      <c r="K725" s="27" t="s">
        <v>1873</v>
      </c>
      <c r="L725" s="28">
        <f>_xlfn.NUMBERVALUE(LEFT(Activities[[#This Row],[Fiscal Year]], 4))</f>
        <v>2015</v>
      </c>
      <c r="M725" s="28" t="s">
        <v>1862</v>
      </c>
      <c r="N725" s="41">
        <v>104916.5</v>
      </c>
      <c r="O725" s="93">
        <f>IF(Activities[[#This Row],[Reference Year]]&gt;2018,Activities[[#This Row],[Value]],Activities[[#This Row],[Value]]*(1+VLOOKUP(Activities[[#This Row],[Reference Year]],Inflation[#All],3,FALSE)))</f>
        <v>111393.43380379747</v>
      </c>
    </row>
    <row r="726" spans="1:15" ht="15" customHeight="1" x14ac:dyDescent="0.25">
      <c r="A726" s="9" t="s">
        <v>156</v>
      </c>
      <c r="B726" s="9" t="str">
        <f>INDEX(Places[Type],MATCH(Activities[[#This Row],[Jurisdiction]],Places[Jurisdiction],0))</f>
        <v>City</v>
      </c>
      <c r="C726" s="19" t="str">
        <f>INDEX(Places[County],MATCH(Activities[[#This Row],[Jurisdiction]],Places[Jurisdiction],0))</f>
        <v>Los Angeles</v>
      </c>
      <c r="D726" s="19" t="str">
        <f>INDEX(Places[Majority RB],MATCH(Activities[[#This Row],[Jurisdiction]],Places[Jurisdiction],0))</f>
        <v>Los Angeles</v>
      </c>
      <c r="E726" s="9">
        <f>INDEX(Places[Majority RB '#],MATCH(Activities[[#This Row],[Jurisdiction]],Places[Jurisdiction],0))</f>
        <v>4</v>
      </c>
      <c r="F726" s="28" t="str">
        <f>VLOOKUP(Activities[[#This Row],[Jurisdiction]],Places[#All],8,FALSE)</f>
        <v>Phase I MS4</v>
      </c>
      <c r="G726" s="56" t="s">
        <v>905</v>
      </c>
      <c r="H726" s="8" t="s">
        <v>904</v>
      </c>
      <c r="I726" s="8" t="s">
        <v>429</v>
      </c>
      <c r="J726" s="8" t="s">
        <v>1896</v>
      </c>
      <c r="K726" s="27" t="s">
        <v>1873</v>
      </c>
      <c r="L726" s="28">
        <f>_xlfn.NUMBERVALUE(LEFT(Activities[[#This Row],[Fiscal Year]], 4))</f>
        <v>2015</v>
      </c>
      <c r="M726" s="28" t="s">
        <v>1862</v>
      </c>
      <c r="N726" s="41">
        <v>15000</v>
      </c>
      <c r="O726" s="93">
        <f>IF(Activities[[#This Row],[Reference Year]]&gt;2018,Activities[[#This Row],[Value]],Activities[[#This Row],[Value]]*(1+VLOOKUP(Activities[[#This Row],[Reference Year]],Inflation[#All],3,FALSE)))</f>
        <v>15926.012658227848</v>
      </c>
    </row>
    <row r="727" spans="1:15" ht="15" customHeight="1" x14ac:dyDescent="0.25">
      <c r="A727" s="9" t="s">
        <v>156</v>
      </c>
      <c r="B727" s="9" t="str">
        <f>INDEX(Places[Type],MATCH(Activities[[#This Row],[Jurisdiction]],Places[Jurisdiction],0))</f>
        <v>City</v>
      </c>
      <c r="C727" s="19" t="str">
        <f>INDEX(Places[County],MATCH(Activities[[#This Row],[Jurisdiction]],Places[Jurisdiction],0))</f>
        <v>Los Angeles</v>
      </c>
      <c r="D727" s="19" t="str">
        <f>INDEX(Places[Majority RB],MATCH(Activities[[#This Row],[Jurisdiction]],Places[Jurisdiction],0))</f>
        <v>Los Angeles</v>
      </c>
      <c r="E727" s="9">
        <f>INDEX(Places[Majority RB '#],MATCH(Activities[[#This Row],[Jurisdiction]],Places[Jurisdiction],0))</f>
        <v>4</v>
      </c>
      <c r="F727" s="28" t="str">
        <f>VLOOKUP(Activities[[#This Row],[Jurisdiction]],Places[#All],8,FALSE)</f>
        <v>Phase I MS4</v>
      </c>
      <c r="G727" s="48" t="s">
        <v>850</v>
      </c>
      <c r="H727" s="8"/>
      <c r="I727" s="8"/>
      <c r="J727" s="8" t="s">
        <v>1896</v>
      </c>
      <c r="K727" s="27" t="s">
        <v>1873</v>
      </c>
      <c r="L727" s="28">
        <f>_xlfn.NUMBERVALUE(LEFT(Activities[[#This Row],[Fiscal Year]], 4))</f>
        <v>2015</v>
      </c>
      <c r="M727" s="28" t="s">
        <v>1862</v>
      </c>
      <c r="N727" s="41">
        <v>58954</v>
      </c>
      <c r="O727" s="93">
        <f>IF(Activities[[#This Row],[Reference Year]]&gt;2018,Activities[[#This Row],[Value]],Activities[[#This Row],[Value]]*(1+VLOOKUP(Activities[[#This Row],[Reference Year]],Inflation[#All],3,FALSE)))</f>
        <v>62593.476683544301</v>
      </c>
    </row>
    <row r="728" spans="1:15" ht="15" customHeight="1" x14ac:dyDescent="0.25">
      <c r="A728" s="9" t="s">
        <v>156</v>
      </c>
      <c r="B728" s="9" t="str">
        <f>INDEX(Places[Type],MATCH(Activities[[#This Row],[Jurisdiction]],Places[Jurisdiction],0))</f>
        <v>City</v>
      </c>
      <c r="C728" s="19" t="str">
        <f>INDEX(Places[County],MATCH(Activities[[#This Row],[Jurisdiction]],Places[Jurisdiction],0))</f>
        <v>Los Angeles</v>
      </c>
      <c r="D728" s="19" t="str">
        <f>INDEX(Places[Majority RB],MATCH(Activities[[#This Row],[Jurisdiction]],Places[Jurisdiction],0))</f>
        <v>Los Angeles</v>
      </c>
      <c r="E728" s="9">
        <f>INDEX(Places[Majority RB '#],MATCH(Activities[[#This Row],[Jurisdiction]],Places[Jurisdiction],0))</f>
        <v>4</v>
      </c>
      <c r="F728" s="28" t="str">
        <f>VLOOKUP(Activities[[#This Row],[Jurisdiction]],Places[#All],8,FALSE)</f>
        <v>Phase I MS4</v>
      </c>
      <c r="G728" s="56" t="s">
        <v>854</v>
      </c>
      <c r="H728" s="8"/>
      <c r="I728" s="8"/>
      <c r="J728" s="8" t="s">
        <v>47</v>
      </c>
      <c r="K728" s="27" t="s">
        <v>1873</v>
      </c>
      <c r="L728" s="28">
        <f>_xlfn.NUMBERVALUE(LEFT(Activities[[#This Row],[Fiscal Year]], 4))</f>
        <v>2015</v>
      </c>
      <c r="M728" s="28" t="s">
        <v>1862</v>
      </c>
      <c r="N728" s="41">
        <v>66881.67</v>
      </c>
      <c r="O728" s="93">
        <f>IF(Activities[[#This Row],[Reference Year]]&gt;2018,Activities[[#This Row],[Value]],Activities[[#This Row],[Value]]*(1+VLOOKUP(Activities[[#This Row],[Reference Year]],Inflation[#All],3,FALSE)))</f>
        <v>71010.554868227846</v>
      </c>
    </row>
    <row r="729" spans="1:15" ht="15" customHeight="1" x14ac:dyDescent="0.25">
      <c r="A729" s="9" t="s">
        <v>1445</v>
      </c>
      <c r="B729" s="9" t="str">
        <f>INDEX(Places[Type],MATCH(Activities[[#This Row],[Jurisdiction]],Places[Jurisdiction],0))</f>
        <v>County</v>
      </c>
      <c r="C729" s="19" t="str">
        <f>INDEX(Places[County],MATCH(Activities[[#This Row],[Jurisdiction]],Places[Jurisdiction],0))</f>
        <v>Kern</v>
      </c>
      <c r="D729" s="9" t="str">
        <f>INDEX(Places[Majority RB],MATCH(Activities[[#This Row],[Jurisdiction]],Places[Jurisdiction],0))</f>
        <v>Central Valley</v>
      </c>
      <c r="E729" s="9">
        <f>INDEX(Places[Majority RB '#],MATCH(Activities[[#This Row],[Jurisdiction]],Places[Jurisdiction],0))</f>
        <v>5</v>
      </c>
      <c r="F729" s="28" t="str">
        <f>VLOOKUP(Activities[[#This Row],[Jurisdiction]],Places[#All],8,FALSE)</f>
        <v>Phase I MS4</v>
      </c>
      <c r="G729" s="48" t="s">
        <v>91</v>
      </c>
      <c r="H729" s="8"/>
      <c r="I729" s="8"/>
      <c r="J729" s="8" t="s">
        <v>1895</v>
      </c>
      <c r="K729" s="27" t="s">
        <v>1876</v>
      </c>
      <c r="L729" s="28">
        <f>_xlfn.NUMBERVALUE(LEFT(Activities[[#This Row],[Fiscal Year]], 4))</f>
        <v>2018</v>
      </c>
      <c r="M729" s="28" t="s">
        <v>1862</v>
      </c>
      <c r="N729" s="41">
        <v>22000</v>
      </c>
      <c r="O729" s="93">
        <f>IF(Activities[[#This Row],[Reference Year]]&gt;2018,Activities[[#This Row],[Value]],Activities[[#This Row],[Value]]*(1+VLOOKUP(Activities[[#This Row],[Reference Year]],Inflation[#All],3,FALSE)))</f>
        <v>22000</v>
      </c>
    </row>
    <row r="730" spans="1:15" ht="15" customHeight="1" x14ac:dyDescent="0.25">
      <c r="A730" s="9" t="s">
        <v>1445</v>
      </c>
      <c r="B730" s="9" t="str">
        <f>INDEX(Places[Type],MATCH(Activities[[#This Row],[Jurisdiction]],Places[Jurisdiction],0))</f>
        <v>County</v>
      </c>
      <c r="C730" s="19" t="str">
        <f>INDEX(Places[County],MATCH(Activities[[#This Row],[Jurisdiction]],Places[Jurisdiction],0))</f>
        <v>Kern</v>
      </c>
      <c r="D730" s="9" t="str">
        <f>INDEX(Places[Majority RB],MATCH(Activities[[#This Row],[Jurisdiction]],Places[Jurisdiction],0))</f>
        <v>Central Valley</v>
      </c>
      <c r="E730" s="9">
        <f>INDEX(Places[Majority RB '#],MATCH(Activities[[#This Row],[Jurisdiction]],Places[Jurisdiction],0))</f>
        <v>5</v>
      </c>
      <c r="F730" s="28" t="str">
        <f>VLOOKUP(Activities[[#This Row],[Jurisdiction]],Places[#All],8,FALSE)</f>
        <v>Phase I MS4</v>
      </c>
      <c r="G730" s="48" t="s">
        <v>88</v>
      </c>
      <c r="H730" s="8"/>
      <c r="I730" s="8"/>
      <c r="J730" s="8" t="s">
        <v>131</v>
      </c>
      <c r="K730" s="27" t="s">
        <v>1876</v>
      </c>
      <c r="L730" s="28">
        <f>_xlfn.NUMBERVALUE(LEFT(Activities[[#This Row],[Fiscal Year]], 4))</f>
        <v>2018</v>
      </c>
      <c r="M730" s="28" t="s">
        <v>1862</v>
      </c>
      <c r="N730" s="41">
        <v>3000</v>
      </c>
      <c r="O730" s="93">
        <f>IF(Activities[[#This Row],[Reference Year]]&gt;2018,Activities[[#This Row],[Value]],Activities[[#This Row],[Value]]*(1+VLOOKUP(Activities[[#This Row],[Reference Year]],Inflation[#All],3,FALSE)))</f>
        <v>3000</v>
      </c>
    </row>
    <row r="731" spans="1:15" ht="15" customHeight="1" x14ac:dyDescent="0.25">
      <c r="A731" s="9" t="s">
        <v>1445</v>
      </c>
      <c r="B731" s="9" t="str">
        <f>INDEX(Places[Type],MATCH(Activities[[#This Row],[Jurisdiction]],Places[Jurisdiction],0))</f>
        <v>County</v>
      </c>
      <c r="C731" s="19" t="str">
        <f>INDEX(Places[County],MATCH(Activities[[#This Row],[Jurisdiction]],Places[Jurisdiction],0))</f>
        <v>Kern</v>
      </c>
      <c r="D731" s="9" t="str">
        <f>INDEX(Places[Majority RB],MATCH(Activities[[#This Row],[Jurisdiction]],Places[Jurisdiction],0))</f>
        <v>Central Valley</v>
      </c>
      <c r="E731" s="9">
        <f>INDEX(Places[Majority RB '#],MATCH(Activities[[#This Row],[Jurisdiction]],Places[Jurisdiction],0))</f>
        <v>5</v>
      </c>
      <c r="F731" s="28" t="str">
        <f>VLOOKUP(Activities[[#This Row],[Jurisdiction]],Places[#All],8,FALSE)</f>
        <v>Phase I MS4</v>
      </c>
      <c r="G731" s="48" t="s">
        <v>86</v>
      </c>
      <c r="H731" s="8"/>
      <c r="I731" s="8"/>
      <c r="J731" s="8" t="s">
        <v>131</v>
      </c>
      <c r="K731" s="27" t="s">
        <v>1876</v>
      </c>
      <c r="L731" s="28">
        <f>_xlfn.NUMBERVALUE(LEFT(Activities[[#This Row],[Fiscal Year]], 4))</f>
        <v>2018</v>
      </c>
      <c r="M731" s="28" t="s">
        <v>1862</v>
      </c>
      <c r="N731" s="41">
        <v>8000</v>
      </c>
      <c r="O731" s="93">
        <f>IF(Activities[[#This Row],[Reference Year]]&gt;2018,Activities[[#This Row],[Value]],Activities[[#This Row],[Value]]*(1+VLOOKUP(Activities[[#This Row],[Reference Year]],Inflation[#All],3,FALSE)))</f>
        <v>8000</v>
      </c>
    </row>
    <row r="732" spans="1:15" ht="15" customHeight="1" x14ac:dyDescent="0.25">
      <c r="A732" s="9" t="s">
        <v>1445</v>
      </c>
      <c r="B732" s="9" t="str">
        <f>INDEX(Places[Type],MATCH(Activities[[#This Row],[Jurisdiction]],Places[Jurisdiction],0))</f>
        <v>County</v>
      </c>
      <c r="C732" s="19" t="str">
        <f>INDEX(Places[County],MATCH(Activities[[#This Row],[Jurisdiction]],Places[Jurisdiction],0))</f>
        <v>Kern</v>
      </c>
      <c r="D732" s="9" t="str">
        <f>INDEX(Places[Majority RB],MATCH(Activities[[#This Row],[Jurisdiction]],Places[Jurisdiction],0))</f>
        <v>Central Valley</v>
      </c>
      <c r="E732" s="9">
        <f>INDEX(Places[Majority RB '#],MATCH(Activities[[#This Row],[Jurisdiction]],Places[Jurisdiction],0))</f>
        <v>5</v>
      </c>
      <c r="F732" s="28" t="str">
        <f>VLOOKUP(Activities[[#This Row],[Jurisdiction]],Places[#All],8,FALSE)</f>
        <v>Phase I MS4</v>
      </c>
      <c r="G732" s="48" t="s">
        <v>95</v>
      </c>
      <c r="H732" s="8"/>
      <c r="I732" s="8"/>
      <c r="J732" s="8" t="s">
        <v>334</v>
      </c>
      <c r="K732" s="27" t="s">
        <v>1876</v>
      </c>
      <c r="L732" s="28">
        <f>_xlfn.NUMBERVALUE(LEFT(Activities[[#This Row],[Fiscal Year]], 4))</f>
        <v>2018</v>
      </c>
      <c r="M732" s="28" t="s">
        <v>1862</v>
      </c>
      <c r="N732" s="41">
        <v>300000</v>
      </c>
      <c r="O732" s="93">
        <f>IF(Activities[[#This Row],[Reference Year]]&gt;2018,Activities[[#This Row],[Value]],Activities[[#This Row],[Value]]*(1+VLOOKUP(Activities[[#This Row],[Reference Year]],Inflation[#All],3,FALSE)))</f>
        <v>300000</v>
      </c>
    </row>
    <row r="733" spans="1:15" ht="15" customHeight="1" x14ac:dyDescent="0.25">
      <c r="A733" s="9" t="s">
        <v>1445</v>
      </c>
      <c r="B733" s="9" t="str">
        <f>INDEX(Places[Type],MATCH(Activities[[#This Row],[Jurisdiction]],Places[Jurisdiction],0))</f>
        <v>County</v>
      </c>
      <c r="C733" s="19" t="str">
        <f>INDEX(Places[County],MATCH(Activities[[#This Row],[Jurisdiction]],Places[Jurisdiction],0))</f>
        <v>Kern</v>
      </c>
      <c r="D733" s="9" t="str">
        <f>INDEX(Places[Majority RB],MATCH(Activities[[#This Row],[Jurisdiction]],Places[Jurisdiction],0))</f>
        <v>Central Valley</v>
      </c>
      <c r="E733" s="9">
        <f>INDEX(Places[Majority RB '#],MATCH(Activities[[#This Row],[Jurisdiction]],Places[Jurisdiction],0))</f>
        <v>5</v>
      </c>
      <c r="F733" s="28" t="str">
        <f>VLOOKUP(Activities[[#This Row],[Jurisdiction]],Places[#All],8,FALSE)</f>
        <v>Phase I MS4</v>
      </c>
      <c r="G733" s="48" t="s">
        <v>81</v>
      </c>
      <c r="H733" s="8" t="s">
        <v>514</v>
      </c>
      <c r="I733" s="8" t="s">
        <v>458</v>
      </c>
      <c r="J733" s="8" t="s">
        <v>71</v>
      </c>
      <c r="K733" s="27" t="s">
        <v>1876</v>
      </c>
      <c r="L733" s="28">
        <f>_xlfn.NUMBERVALUE(LEFT(Activities[[#This Row],[Fiscal Year]], 4))</f>
        <v>2018</v>
      </c>
      <c r="M733" s="28" t="s">
        <v>1862</v>
      </c>
      <c r="N733" s="41">
        <v>250000</v>
      </c>
      <c r="O733" s="93">
        <f>IF(Activities[[#This Row],[Reference Year]]&gt;2018,Activities[[#This Row],[Value]],Activities[[#This Row],[Value]]*(1+VLOOKUP(Activities[[#This Row],[Reference Year]],Inflation[#All],3,FALSE)))</f>
        <v>250000</v>
      </c>
    </row>
    <row r="734" spans="1:15" ht="15" customHeight="1" x14ac:dyDescent="0.25">
      <c r="A734" s="9" t="s">
        <v>1445</v>
      </c>
      <c r="B734" s="9" t="str">
        <f>INDEX(Places[Type],MATCH(Activities[[#This Row],[Jurisdiction]],Places[Jurisdiction],0))</f>
        <v>County</v>
      </c>
      <c r="C734" s="19" t="str">
        <f>INDEX(Places[County],MATCH(Activities[[#This Row],[Jurisdiction]],Places[Jurisdiction],0))</f>
        <v>Kern</v>
      </c>
      <c r="D734" s="9" t="str">
        <f>INDEX(Places[Majority RB],MATCH(Activities[[#This Row],[Jurisdiction]],Places[Jurisdiction],0))</f>
        <v>Central Valley</v>
      </c>
      <c r="E734" s="9">
        <f>INDEX(Places[Majority RB '#],MATCH(Activities[[#This Row],[Jurisdiction]],Places[Jurisdiction],0))</f>
        <v>5</v>
      </c>
      <c r="F734" s="28" t="str">
        <f>VLOOKUP(Activities[[#This Row],[Jurisdiction]],Places[#All],8,FALSE)</f>
        <v>Phase I MS4</v>
      </c>
      <c r="G734" s="48" t="s">
        <v>82</v>
      </c>
      <c r="H734" s="8"/>
      <c r="I734" s="8"/>
      <c r="J734" s="8" t="s">
        <v>71</v>
      </c>
      <c r="K734" s="27" t="s">
        <v>1876</v>
      </c>
      <c r="L734" s="28">
        <f>_xlfn.NUMBERVALUE(LEFT(Activities[[#This Row],[Fiscal Year]], 4))</f>
        <v>2018</v>
      </c>
      <c r="M734" s="28" t="s">
        <v>1862</v>
      </c>
      <c r="N734" s="41">
        <v>5500000</v>
      </c>
      <c r="O734" s="93">
        <f>IF(Activities[[#This Row],[Reference Year]]&gt;2018,Activities[[#This Row],[Value]],Activities[[#This Row],[Value]]*(1+VLOOKUP(Activities[[#This Row],[Reference Year]],Inflation[#All],3,FALSE)))</f>
        <v>5500000</v>
      </c>
    </row>
    <row r="735" spans="1:15" ht="15" customHeight="1" x14ac:dyDescent="0.25">
      <c r="A735" s="9" t="s">
        <v>1445</v>
      </c>
      <c r="B735" s="9" t="str">
        <f>INDEX(Places[Type],MATCH(Activities[[#This Row],[Jurisdiction]],Places[Jurisdiction],0))</f>
        <v>County</v>
      </c>
      <c r="C735" s="19" t="str">
        <f>INDEX(Places[County],MATCH(Activities[[#This Row],[Jurisdiction]],Places[Jurisdiction],0))</f>
        <v>Kern</v>
      </c>
      <c r="D735" s="9" t="str">
        <f>INDEX(Places[Majority RB],MATCH(Activities[[#This Row],[Jurisdiction]],Places[Jurisdiction],0))</f>
        <v>Central Valley</v>
      </c>
      <c r="E735" s="9">
        <f>INDEX(Places[Majority RB '#],MATCH(Activities[[#This Row],[Jurisdiction]],Places[Jurisdiction],0))</f>
        <v>5</v>
      </c>
      <c r="F735" s="28" t="str">
        <f>VLOOKUP(Activities[[#This Row],[Jurisdiction]],Places[#All],8,FALSE)</f>
        <v>Phase I MS4</v>
      </c>
      <c r="G735" s="48" t="s">
        <v>87</v>
      </c>
      <c r="H735" s="8"/>
      <c r="I735" s="8"/>
      <c r="J735" s="8" t="s">
        <v>1897</v>
      </c>
      <c r="K735" s="27" t="s">
        <v>1876</v>
      </c>
      <c r="L735" s="28">
        <f>_xlfn.NUMBERVALUE(LEFT(Activities[[#This Row],[Fiscal Year]], 4))</f>
        <v>2018</v>
      </c>
      <c r="M735" s="28" t="s">
        <v>1862</v>
      </c>
      <c r="N735" s="41">
        <v>435000</v>
      </c>
      <c r="O735" s="93">
        <f>IF(Activities[[#This Row],[Reference Year]]&gt;2018,Activities[[#This Row],[Value]],Activities[[#This Row],[Value]]*(1+VLOOKUP(Activities[[#This Row],[Reference Year]],Inflation[#All],3,FALSE)))</f>
        <v>435000</v>
      </c>
    </row>
    <row r="736" spans="1:15" ht="15" customHeight="1" x14ac:dyDescent="0.25">
      <c r="A736" s="9" t="s">
        <v>1445</v>
      </c>
      <c r="B736" s="9" t="str">
        <f>INDEX(Places[Type],MATCH(Activities[[#This Row],[Jurisdiction]],Places[Jurisdiction],0))</f>
        <v>County</v>
      </c>
      <c r="C736" s="19" t="str">
        <f>INDEX(Places[County],MATCH(Activities[[#This Row],[Jurisdiction]],Places[Jurisdiction],0))</f>
        <v>Kern</v>
      </c>
      <c r="D736" s="9" t="str">
        <f>INDEX(Places[Majority RB],MATCH(Activities[[#This Row],[Jurisdiction]],Places[Jurisdiction],0))</f>
        <v>Central Valley</v>
      </c>
      <c r="E736" s="9">
        <f>INDEX(Places[Majority RB '#],MATCH(Activities[[#This Row],[Jurisdiction]],Places[Jurisdiction],0))</f>
        <v>5</v>
      </c>
      <c r="F736" s="28" t="str">
        <f>VLOOKUP(Activities[[#This Row],[Jurisdiction]],Places[#All],8,FALSE)</f>
        <v>Phase I MS4</v>
      </c>
      <c r="G736" s="48" t="s">
        <v>84</v>
      </c>
      <c r="H736" s="8"/>
      <c r="I736" s="8"/>
      <c r="J736" s="8" t="s">
        <v>1897</v>
      </c>
      <c r="K736" s="27" t="s">
        <v>1876</v>
      </c>
      <c r="L736" s="28">
        <f>_xlfn.NUMBERVALUE(LEFT(Activities[[#This Row],[Fiscal Year]], 4))</f>
        <v>2018</v>
      </c>
      <c r="M736" s="28" t="s">
        <v>1862</v>
      </c>
      <c r="N736" s="41">
        <v>1323000</v>
      </c>
      <c r="O736" s="93">
        <f>IF(Activities[[#This Row],[Reference Year]]&gt;2018,Activities[[#This Row],[Value]],Activities[[#This Row],[Value]]*(1+VLOOKUP(Activities[[#This Row],[Reference Year]],Inflation[#All],3,FALSE)))</f>
        <v>1323000</v>
      </c>
    </row>
    <row r="737" spans="1:15" ht="15" customHeight="1" x14ac:dyDescent="0.25">
      <c r="A737" s="9" t="s">
        <v>1445</v>
      </c>
      <c r="B737" s="9" t="str">
        <f>INDEX(Places[Type],MATCH(Activities[[#This Row],[Jurisdiction]],Places[Jurisdiction],0))</f>
        <v>County</v>
      </c>
      <c r="C737" s="19" t="str">
        <f>INDEX(Places[County],MATCH(Activities[[#This Row],[Jurisdiction]],Places[Jurisdiction],0))</f>
        <v>Kern</v>
      </c>
      <c r="D737" s="9" t="str">
        <f>INDEX(Places[Majority RB],MATCH(Activities[[#This Row],[Jurisdiction]],Places[Jurisdiction],0))</f>
        <v>Central Valley</v>
      </c>
      <c r="E737" s="9">
        <f>INDEX(Places[Majority RB '#],MATCH(Activities[[#This Row],[Jurisdiction]],Places[Jurisdiction],0))</f>
        <v>5</v>
      </c>
      <c r="F737" s="28" t="str">
        <f>VLOOKUP(Activities[[#This Row],[Jurisdiction]],Places[#All],8,FALSE)</f>
        <v>Phase I MS4</v>
      </c>
      <c r="G737" s="48" t="s">
        <v>89</v>
      </c>
      <c r="H737" s="8"/>
      <c r="I737" s="8"/>
      <c r="J737" s="8" t="s">
        <v>1898</v>
      </c>
      <c r="K737" s="27" t="s">
        <v>1876</v>
      </c>
      <c r="L737" s="28">
        <f>_xlfn.NUMBERVALUE(LEFT(Activities[[#This Row],[Fiscal Year]], 4))</f>
        <v>2018</v>
      </c>
      <c r="M737" s="28" t="s">
        <v>1862</v>
      </c>
      <c r="N737" s="41">
        <v>250000</v>
      </c>
      <c r="O737" s="93">
        <f>IF(Activities[[#This Row],[Reference Year]]&gt;2018,Activities[[#This Row],[Value]],Activities[[#This Row],[Value]]*(1+VLOOKUP(Activities[[#This Row],[Reference Year]],Inflation[#All],3,FALSE)))</f>
        <v>250000</v>
      </c>
    </row>
    <row r="738" spans="1:15" ht="15" customHeight="1" x14ac:dyDescent="0.25">
      <c r="A738" s="9" t="s">
        <v>1445</v>
      </c>
      <c r="B738" s="9" t="str">
        <f>INDEX(Places[Type],MATCH(Activities[[#This Row],[Jurisdiction]],Places[Jurisdiction],0))</f>
        <v>County</v>
      </c>
      <c r="C738" s="19" t="str">
        <f>INDEX(Places[County],MATCH(Activities[[#This Row],[Jurisdiction]],Places[Jurisdiction],0))</f>
        <v>Kern</v>
      </c>
      <c r="D738" s="9" t="str">
        <f>INDEX(Places[Majority RB],MATCH(Activities[[#This Row],[Jurisdiction]],Places[Jurisdiction],0))</f>
        <v>Central Valley</v>
      </c>
      <c r="E738" s="9">
        <f>INDEX(Places[Majority RB '#],MATCH(Activities[[#This Row],[Jurisdiction]],Places[Jurisdiction],0))</f>
        <v>5</v>
      </c>
      <c r="F738" s="28" t="str">
        <f>VLOOKUP(Activities[[#This Row],[Jurisdiction]],Places[#All],8,FALSE)</f>
        <v>Phase I MS4</v>
      </c>
      <c r="G738" s="48" t="s">
        <v>90</v>
      </c>
      <c r="H738" s="8" t="s">
        <v>615</v>
      </c>
      <c r="I738" s="8"/>
      <c r="J738" s="8" t="s">
        <v>1896</v>
      </c>
      <c r="K738" s="27" t="s">
        <v>1876</v>
      </c>
      <c r="L738" s="28">
        <f>_xlfn.NUMBERVALUE(LEFT(Activities[[#This Row],[Fiscal Year]], 4))</f>
        <v>2018</v>
      </c>
      <c r="M738" s="28" t="s">
        <v>1862</v>
      </c>
      <c r="N738" s="41">
        <v>26000</v>
      </c>
      <c r="O738" s="93">
        <f>IF(Activities[[#This Row],[Reference Year]]&gt;2018,Activities[[#This Row],[Value]],Activities[[#This Row],[Value]]*(1+VLOOKUP(Activities[[#This Row],[Reference Year]],Inflation[#All],3,FALSE)))</f>
        <v>26000</v>
      </c>
    </row>
    <row r="739" spans="1:15" ht="15" customHeight="1" x14ac:dyDescent="0.25">
      <c r="A739" s="9" t="s">
        <v>1445</v>
      </c>
      <c r="B739" s="9" t="str">
        <f>INDEX(Places[Type],MATCH(Activities[[#This Row],[Jurisdiction]],Places[Jurisdiction],0))</f>
        <v>County</v>
      </c>
      <c r="C739" s="19" t="str">
        <f>INDEX(Places[County],MATCH(Activities[[#This Row],[Jurisdiction]],Places[Jurisdiction],0))</f>
        <v>Kern</v>
      </c>
      <c r="D739" s="9" t="str">
        <f>INDEX(Places[Majority RB],MATCH(Activities[[#This Row],[Jurisdiction]],Places[Jurisdiction],0))</f>
        <v>Central Valley</v>
      </c>
      <c r="E739" s="9">
        <f>INDEX(Places[Majority RB '#],MATCH(Activities[[#This Row],[Jurisdiction]],Places[Jurisdiction],0))</f>
        <v>5</v>
      </c>
      <c r="F739" s="28" t="str">
        <f>VLOOKUP(Activities[[#This Row],[Jurisdiction]],Places[#All],8,FALSE)</f>
        <v>Phase I MS4</v>
      </c>
      <c r="G739" s="48" t="s">
        <v>113</v>
      </c>
      <c r="H739" s="8" t="s">
        <v>516</v>
      </c>
      <c r="I739" s="47" t="s">
        <v>517</v>
      </c>
      <c r="J739" s="8" t="s">
        <v>1896</v>
      </c>
      <c r="K739" s="27" t="s">
        <v>1876</v>
      </c>
      <c r="L739" s="28">
        <f>_xlfn.NUMBERVALUE(LEFT(Activities[[#This Row],[Fiscal Year]], 4))</f>
        <v>2018</v>
      </c>
      <c r="M739" s="28" t="s">
        <v>1862</v>
      </c>
      <c r="N739" s="41">
        <v>33000</v>
      </c>
      <c r="O739" s="93">
        <f>IF(Activities[[#This Row],[Reference Year]]&gt;2018,Activities[[#This Row],[Value]],Activities[[#This Row],[Value]]*(1+VLOOKUP(Activities[[#This Row],[Reference Year]],Inflation[#All],3,FALSE)))</f>
        <v>33000</v>
      </c>
    </row>
    <row r="740" spans="1:15" ht="15" customHeight="1" x14ac:dyDescent="0.25">
      <c r="A740" s="9" t="s">
        <v>1445</v>
      </c>
      <c r="B740" s="9" t="str">
        <f>INDEX(Places[Type],MATCH(Activities[[#This Row],[Jurisdiction]],Places[Jurisdiction],0))</f>
        <v>County</v>
      </c>
      <c r="C740" s="19" t="str">
        <f>INDEX(Places[County],MATCH(Activities[[#This Row],[Jurisdiction]],Places[Jurisdiction],0))</f>
        <v>Kern</v>
      </c>
      <c r="D740" s="9" t="str">
        <f>INDEX(Places[Majority RB],MATCH(Activities[[#This Row],[Jurisdiction]],Places[Jurisdiction],0))</f>
        <v>Central Valley</v>
      </c>
      <c r="E740" s="9">
        <f>INDEX(Places[Majority RB '#],MATCH(Activities[[#This Row],[Jurisdiction]],Places[Jurisdiction],0))</f>
        <v>5</v>
      </c>
      <c r="F740" s="28" t="str">
        <f>VLOOKUP(Activities[[#This Row],[Jurisdiction]],Places[#All],8,FALSE)</f>
        <v>Phase I MS4</v>
      </c>
      <c r="G740" s="48" t="s">
        <v>94</v>
      </c>
      <c r="H740" s="8"/>
      <c r="I740" s="8"/>
      <c r="J740" s="8" t="s">
        <v>47</v>
      </c>
      <c r="K740" s="27" t="s">
        <v>1876</v>
      </c>
      <c r="L740" s="28">
        <f>_xlfn.NUMBERVALUE(LEFT(Activities[[#This Row],[Fiscal Year]], 4))</f>
        <v>2018</v>
      </c>
      <c r="M740" s="28" t="s">
        <v>1862</v>
      </c>
      <c r="N740" s="41">
        <v>45000</v>
      </c>
      <c r="O740" s="93">
        <f>IF(Activities[[#This Row],[Reference Year]]&gt;2018,Activities[[#This Row],[Value]],Activities[[#This Row],[Value]]*(1+VLOOKUP(Activities[[#This Row],[Reference Year]],Inflation[#All],3,FALSE)))</f>
        <v>45000</v>
      </c>
    </row>
    <row r="741" spans="1:15" ht="15" customHeight="1" x14ac:dyDescent="0.25">
      <c r="A741" s="9" t="s">
        <v>1445</v>
      </c>
      <c r="B741" s="9" t="str">
        <f>INDEX(Places[Type],MATCH(Activities[[#This Row],[Jurisdiction]],Places[Jurisdiction],0))</f>
        <v>County</v>
      </c>
      <c r="C741" s="19" t="str">
        <f>INDEX(Places[County],MATCH(Activities[[#This Row],[Jurisdiction]],Places[Jurisdiction],0))</f>
        <v>Kern</v>
      </c>
      <c r="D741" s="9" t="str">
        <f>INDEX(Places[Majority RB],MATCH(Activities[[#This Row],[Jurisdiction]],Places[Jurisdiction],0))</f>
        <v>Central Valley</v>
      </c>
      <c r="E741" s="9">
        <f>INDEX(Places[Majority RB '#],MATCH(Activities[[#This Row],[Jurisdiction]],Places[Jurisdiction],0))</f>
        <v>5</v>
      </c>
      <c r="F741" s="28" t="str">
        <f>VLOOKUP(Activities[[#This Row],[Jurisdiction]],Places[#All],8,FALSE)</f>
        <v>Phase I MS4</v>
      </c>
      <c r="G741" s="48" t="s">
        <v>94</v>
      </c>
      <c r="H741" s="8"/>
      <c r="I741" s="8"/>
      <c r="J741" s="8" t="s">
        <v>47</v>
      </c>
      <c r="K741" s="27" t="s">
        <v>1876</v>
      </c>
      <c r="L741" s="28">
        <f>_xlfn.NUMBERVALUE(LEFT(Activities[[#This Row],[Fiscal Year]], 4))</f>
        <v>2018</v>
      </c>
      <c r="M741" s="28" t="s">
        <v>1862</v>
      </c>
      <c r="N741" s="41">
        <v>200000</v>
      </c>
      <c r="O741" s="93">
        <f>IF(Activities[[#This Row],[Reference Year]]&gt;2018,Activities[[#This Row],[Value]],Activities[[#This Row],[Value]]*(1+VLOOKUP(Activities[[#This Row],[Reference Year]],Inflation[#All],3,FALSE)))</f>
        <v>200000</v>
      </c>
    </row>
    <row r="742" spans="1:15" ht="15" customHeight="1" x14ac:dyDescent="0.25">
      <c r="A742" s="9" t="s">
        <v>1445</v>
      </c>
      <c r="B742" s="9" t="str">
        <f>INDEX(Places[Type],MATCH(Activities[[#This Row],[Jurisdiction]],Places[Jurisdiction],0))</f>
        <v>County</v>
      </c>
      <c r="C742" s="19" t="str">
        <f>INDEX(Places[County],MATCH(Activities[[#This Row],[Jurisdiction]],Places[Jurisdiction],0))</f>
        <v>Kern</v>
      </c>
      <c r="D742" s="9" t="str">
        <f>INDEX(Places[Majority RB],MATCH(Activities[[#This Row],[Jurisdiction]],Places[Jurisdiction],0))</f>
        <v>Central Valley</v>
      </c>
      <c r="E742" s="9">
        <f>INDEX(Places[Majority RB '#],MATCH(Activities[[#This Row],[Jurisdiction]],Places[Jurisdiction],0))</f>
        <v>5</v>
      </c>
      <c r="F742" s="28" t="str">
        <f>VLOOKUP(Activities[[#This Row],[Jurisdiction]],Places[#All],8,FALSE)</f>
        <v>Phase I MS4</v>
      </c>
      <c r="G742" s="48" t="s">
        <v>93</v>
      </c>
      <c r="H742" s="8"/>
      <c r="I742" s="8"/>
      <c r="J742" s="8" t="s">
        <v>605</v>
      </c>
      <c r="K742" s="27" t="s">
        <v>1876</v>
      </c>
      <c r="L742" s="28">
        <f>_xlfn.NUMBERVALUE(LEFT(Activities[[#This Row],[Fiscal Year]], 4))</f>
        <v>2018</v>
      </c>
      <c r="M742" s="28" t="s">
        <v>1862</v>
      </c>
      <c r="N742" s="41">
        <v>8000</v>
      </c>
      <c r="O742" s="93">
        <f>IF(Activities[[#This Row],[Reference Year]]&gt;2018,Activities[[#This Row],[Value]],Activities[[#This Row],[Value]]*(1+VLOOKUP(Activities[[#This Row],[Reference Year]],Inflation[#All],3,FALSE)))</f>
        <v>8000</v>
      </c>
    </row>
    <row r="743" spans="1:15" ht="15" customHeight="1" x14ac:dyDescent="0.25">
      <c r="A743" s="9" t="s">
        <v>1445</v>
      </c>
      <c r="B743" s="9" t="str">
        <f>INDEX(Places[Type],MATCH(Activities[[#This Row],[Jurisdiction]],Places[Jurisdiction],0))</f>
        <v>County</v>
      </c>
      <c r="C743" s="19" t="str">
        <f>INDEX(Places[County],MATCH(Activities[[#This Row],[Jurisdiction]],Places[Jurisdiction],0))</f>
        <v>Kern</v>
      </c>
      <c r="D743" s="9" t="str">
        <f>INDEX(Places[Majority RB],MATCH(Activities[[#This Row],[Jurisdiction]],Places[Jurisdiction],0))</f>
        <v>Central Valley</v>
      </c>
      <c r="E743" s="9">
        <f>INDEX(Places[Majority RB '#],MATCH(Activities[[#This Row],[Jurisdiction]],Places[Jurisdiction],0))</f>
        <v>5</v>
      </c>
      <c r="F743" s="28" t="str">
        <f>VLOOKUP(Activities[[#This Row],[Jurisdiction]],Places[#All],8,FALSE)</f>
        <v>Phase I MS4</v>
      </c>
      <c r="G743" s="48" t="s">
        <v>93</v>
      </c>
      <c r="H743" s="8"/>
      <c r="I743" s="8"/>
      <c r="J743" s="8" t="s">
        <v>605</v>
      </c>
      <c r="K743" s="27" t="s">
        <v>1876</v>
      </c>
      <c r="L743" s="28">
        <f>_xlfn.NUMBERVALUE(LEFT(Activities[[#This Row],[Fiscal Year]], 4))</f>
        <v>2018</v>
      </c>
      <c r="M743" s="28" t="s">
        <v>1862</v>
      </c>
      <c r="N743" s="41">
        <v>10600</v>
      </c>
      <c r="O743" s="93">
        <f>IF(Activities[[#This Row],[Reference Year]]&gt;2018,Activities[[#This Row],[Value]],Activities[[#This Row],[Value]]*(1+VLOOKUP(Activities[[#This Row],[Reference Year]],Inflation[#All],3,FALSE)))</f>
        <v>10600</v>
      </c>
    </row>
    <row r="744" spans="1:15" ht="15" customHeight="1" x14ac:dyDescent="0.25">
      <c r="A744" s="9" t="s">
        <v>190</v>
      </c>
      <c r="B744" s="9" t="str">
        <f>INDEX(Places[Type],MATCH(Activities[[#This Row],[Jurisdiction]],Places[Jurisdiction],0))</f>
        <v>City</v>
      </c>
      <c r="C744" s="19" t="str">
        <f>INDEX(Places[County],MATCH(Activities[[#This Row],[Jurisdiction]],Places[Jurisdiction],0))</f>
        <v>Los Angeles</v>
      </c>
      <c r="D744" s="19" t="str">
        <f>INDEX(Places[Majority RB],MATCH(Activities[[#This Row],[Jurisdiction]],Places[Jurisdiction],0))</f>
        <v>Los Angeles</v>
      </c>
      <c r="E744" s="9">
        <f>INDEX(Places[Majority RB '#],MATCH(Activities[[#This Row],[Jurisdiction]],Places[Jurisdiction],0))</f>
        <v>4</v>
      </c>
      <c r="F744" s="28" t="str">
        <f>VLOOKUP(Activities[[#This Row],[Jurisdiction]],Places[#All],8,FALSE)</f>
        <v>Phase I MS4</v>
      </c>
      <c r="G744" s="48" t="s">
        <v>64</v>
      </c>
      <c r="H744" s="8"/>
      <c r="I744" s="8"/>
      <c r="J744" s="8" t="s">
        <v>76</v>
      </c>
      <c r="K744" s="27" t="s">
        <v>1873</v>
      </c>
      <c r="L744" s="28">
        <f>_xlfn.NUMBERVALUE(LEFT(Activities[[#This Row],[Fiscal Year]], 4))</f>
        <v>2015</v>
      </c>
      <c r="M744" s="28" t="s">
        <v>1862</v>
      </c>
      <c r="N744" s="41">
        <v>25000</v>
      </c>
      <c r="O744" s="93">
        <f>IF(Activities[[#This Row],[Reference Year]]&gt;2018,Activities[[#This Row],[Value]],Activities[[#This Row],[Value]]*(1+VLOOKUP(Activities[[#This Row],[Reference Year]],Inflation[#All],3,FALSE)))</f>
        <v>26543.354430379746</v>
      </c>
    </row>
    <row r="745" spans="1:15" ht="15" customHeight="1" x14ac:dyDescent="0.25">
      <c r="A745" s="9" t="s">
        <v>190</v>
      </c>
      <c r="B745" s="9" t="str">
        <f>INDEX(Places[Type],MATCH(Activities[[#This Row],[Jurisdiction]],Places[Jurisdiction],0))</f>
        <v>City</v>
      </c>
      <c r="C745" s="19" t="str">
        <f>INDEX(Places[County],MATCH(Activities[[#This Row],[Jurisdiction]],Places[Jurisdiction],0))</f>
        <v>Los Angeles</v>
      </c>
      <c r="D745" s="19" t="str">
        <f>INDEX(Places[Majority RB],MATCH(Activities[[#This Row],[Jurisdiction]],Places[Jurisdiction],0))</f>
        <v>Los Angeles</v>
      </c>
      <c r="E745" s="9">
        <f>INDEX(Places[Majority RB '#],MATCH(Activities[[#This Row],[Jurisdiction]],Places[Jurisdiction],0))</f>
        <v>4</v>
      </c>
      <c r="F745" s="28" t="str">
        <f>VLOOKUP(Activities[[#This Row],[Jurisdiction]],Places[#All],8,FALSE)</f>
        <v>Phase I MS4</v>
      </c>
      <c r="G745" s="48" t="s">
        <v>62</v>
      </c>
      <c r="H745" s="8"/>
      <c r="I745" s="8"/>
      <c r="J745" s="8" t="s">
        <v>131</v>
      </c>
      <c r="K745" s="27" t="s">
        <v>1873</v>
      </c>
      <c r="L745" s="28">
        <f>_xlfn.NUMBERVALUE(LEFT(Activities[[#This Row],[Fiscal Year]], 4))</f>
        <v>2015</v>
      </c>
      <c r="M745" s="28" t="s">
        <v>1862</v>
      </c>
      <c r="N745" s="41">
        <v>2500</v>
      </c>
      <c r="O745" s="93">
        <f>IF(Activities[[#This Row],[Reference Year]]&gt;2018,Activities[[#This Row],[Value]],Activities[[#This Row],[Value]]*(1+VLOOKUP(Activities[[#This Row],[Reference Year]],Inflation[#All],3,FALSE)))</f>
        <v>2654.3354430379745</v>
      </c>
    </row>
    <row r="746" spans="1:15" ht="15" customHeight="1" x14ac:dyDescent="0.25">
      <c r="A746" s="9" t="s">
        <v>190</v>
      </c>
      <c r="B746" s="9" t="str">
        <f>INDEX(Places[Type],MATCH(Activities[[#This Row],[Jurisdiction]],Places[Jurisdiction],0))</f>
        <v>City</v>
      </c>
      <c r="C746" s="19" t="str">
        <f>INDEX(Places[County],MATCH(Activities[[#This Row],[Jurisdiction]],Places[Jurisdiction],0))</f>
        <v>Los Angeles</v>
      </c>
      <c r="D746" s="19" t="str">
        <f>INDEX(Places[Majority RB],MATCH(Activities[[#This Row],[Jurisdiction]],Places[Jurisdiction],0))</f>
        <v>Los Angeles</v>
      </c>
      <c r="E746" s="9">
        <f>INDEX(Places[Majority RB '#],MATCH(Activities[[#This Row],[Jurisdiction]],Places[Jurisdiction],0))</f>
        <v>4</v>
      </c>
      <c r="F746" s="28" t="str">
        <f>VLOOKUP(Activities[[#This Row],[Jurisdiction]],Places[#All],8,FALSE)</f>
        <v>Phase I MS4</v>
      </c>
      <c r="G746" s="48" t="s">
        <v>208</v>
      </c>
      <c r="H746" s="8"/>
      <c r="I746" s="8"/>
      <c r="J746" s="8" t="s">
        <v>334</v>
      </c>
      <c r="K746" s="27" t="s">
        <v>1873</v>
      </c>
      <c r="L746" s="28">
        <f>_xlfn.NUMBERVALUE(LEFT(Activities[[#This Row],[Fiscal Year]], 4))</f>
        <v>2015</v>
      </c>
      <c r="M746" s="28" t="s">
        <v>1862</v>
      </c>
      <c r="N746" s="41">
        <v>16850</v>
      </c>
      <c r="O746" s="93">
        <f>IF(Activities[[#This Row],[Reference Year]]&gt;2018,Activities[[#This Row],[Value]],Activities[[#This Row],[Value]]*(1+VLOOKUP(Activities[[#This Row],[Reference Year]],Inflation[#All],3,FALSE)))</f>
        <v>17890.220886075949</v>
      </c>
    </row>
    <row r="747" spans="1:15" ht="15" customHeight="1" x14ac:dyDescent="0.25">
      <c r="A747" s="9" t="s">
        <v>190</v>
      </c>
      <c r="B747" s="9" t="str">
        <f>INDEX(Places[Type],MATCH(Activities[[#This Row],[Jurisdiction]],Places[Jurisdiction],0))</f>
        <v>City</v>
      </c>
      <c r="C747" s="19" t="str">
        <f>INDEX(Places[County],MATCH(Activities[[#This Row],[Jurisdiction]],Places[Jurisdiction],0))</f>
        <v>Los Angeles</v>
      </c>
      <c r="D747" s="19" t="str">
        <f>INDEX(Places[Majority RB],MATCH(Activities[[#This Row],[Jurisdiction]],Places[Jurisdiction],0))</f>
        <v>Los Angeles</v>
      </c>
      <c r="E747" s="9">
        <f>INDEX(Places[Majority RB '#],MATCH(Activities[[#This Row],[Jurisdiction]],Places[Jurisdiction],0))</f>
        <v>4</v>
      </c>
      <c r="F747" s="28" t="str">
        <f>VLOOKUP(Activities[[#This Row],[Jurisdiction]],Places[#All],8,FALSE)</f>
        <v>Phase I MS4</v>
      </c>
      <c r="G747" s="48" t="s">
        <v>61</v>
      </c>
      <c r="H747" s="8"/>
      <c r="I747" s="8"/>
      <c r="J747" s="8" t="s">
        <v>1897</v>
      </c>
      <c r="K747" s="27" t="s">
        <v>1873</v>
      </c>
      <c r="L747" s="28">
        <f>_xlfn.NUMBERVALUE(LEFT(Activities[[#This Row],[Fiscal Year]], 4))</f>
        <v>2015</v>
      </c>
      <c r="M747" s="28" t="s">
        <v>1862</v>
      </c>
      <c r="N747" s="41">
        <v>288000</v>
      </c>
      <c r="O747" s="93">
        <f>IF(Activities[[#This Row],[Reference Year]]&gt;2018,Activities[[#This Row],[Value]],Activities[[#This Row],[Value]]*(1+VLOOKUP(Activities[[#This Row],[Reference Year]],Inflation[#All],3,FALSE)))</f>
        <v>305779.44303797465</v>
      </c>
    </row>
    <row r="748" spans="1:15" ht="15" customHeight="1" x14ac:dyDescent="0.25">
      <c r="A748" s="9" t="s">
        <v>190</v>
      </c>
      <c r="B748" s="9" t="str">
        <f>INDEX(Places[Type],MATCH(Activities[[#This Row],[Jurisdiction]],Places[Jurisdiction],0))</f>
        <v>City</v>
      </c>
      <c r="C748" s="19" t="str">
        <f>INDEX(Places[County],MATCH(Activities[[#This Row],[Jurisdiction]],Places[Jurisdiction],0))</f>
        <v>Los Angeles</v>
      </c>
      <c r="D748" s="19" t="str">
        <f>INDEX(Places[Majority RB],MATCH(Activities[[#This Row],[Jurisdiction]],Places[Jurisdiction],0))</f>
        <v>Los Angeles</v>
      </c>
      <c r="E748" s="9">
        <f>INDEX(Places[Majority RB '#],MATCH(Activities[[#This Row],[Jurisdiction]],Places[Jurisdiction],0))</f>
        <v>4</v>
      </c>
      <c r="F748" s="28" t="str">
        <f>VLOOKUP(Activities[[#This Row],[Jurisdiction]],Places[#All],8,FALSE)</f>
        <v>Phase I MS4</v>
      </c>
      <c r="G748" s="48" t="s">
        <v>60</v>
      </c>
      <c r="H748" s="8"/>
      <c r="I748" s="8"/>
      <c r="J748" s="8" t="s">
        <v>1898</v>
      </c>
      <c r="K748" s="27" t="s">
        <v>1873</v>
      </c>
      <c r="L748" s="28">
        <f>_xlfn.NUMBERVALUE(LEFT(Activities[[#This Row],[Fiscal Year]], 4))</f>
        <v>2015</v>
      </c>
      <c r="M748" s="28" t="s">
        <v>1862</v>
      </c>
      <c r="N748" s="41">
        <v>50000</v>
      </c>
      <c r="O748" s="93">
        <f>IF(Activities[[#This Row],[Reference Year]]&gt;2018,Activities[[#This Row],[Value]],Activities[[#This Row],[Value]]*(1+VLOOKUP(Activities[[#This Row],[Reference Year]],Inflation[#All],3,FALSE)))</f>
        <v>53086.708860759492</v>
      </c>
    </row>
    <row r="749" spans="1:15" ht="15" customHeight="1" x14ac:dyDescent="0.25">
      <c r="A749" s="9" t="s">
        <v>190</v>
      </c>
      <c r="B749" s="9" t="str">
        <f>INDEX(Places[Type],MATCH(Activities[[#This Row],[Jurisdiction]],Places[Jurisdiction],0))</f>
        <v>City</v>
      </c>
      <c r="C749" s="19" t="str">
        <f>INDEX(Places[County],MATCH(Activities[[#This Row],[Jurisdiction]],Places[Jurisdiction],0))</f>
        <v>Los Angeles</v>
      </c>
      <c r="D749" s="19" t="str">
        <f>INDEX(Places[Majority RB],MATCH(Activities[[#This Row],[Jurisdiction]],Places[Jurisdiction],0))</f>
        <v>Los Angeles</v>
      </c>
      <c r="E749" s="9">
        <f>INDEX(Places[Majority RB '#],MATCH(Activities[[#This Row],[Jurisdiction]],Places[Jurisdiction],0))</f>
        <v>4</v>
      </c>
      <c r="F749" s="28" t="str">
        <f>VLOOKUP(Activities[[#This Row],[Jurisdiction]],Places[#All],8,FALSE)</f>
        <v>Phase I MS4</v>
      </c>
      <c r="G749" s="48" t="s">
        <v>58</v>
      </c>
      <c r="H749" s="8"/>
      <c r="I749" s="8"/>
      <c r="J749" s="8" t="s">
        <v>1456</v>
      </c>
      <c r="K749" s="27" t="s">
        <v>1873</v>
      </c>
      <c r="L749" s="28">
        <f>_xlfn.NUMBERVALUE(LEFT(Activities[[#This Row],[Fiscal Year]], 4))</f>
        <v>2015</v>
      </c>
      <c r="M749" s="28" t="s">
        <v>1862</v>
      </c>
      <c r="N749" s="41">
        <v>4565</v>
      </c>
      <c r="O749" s="93">
        <f>IF(Activities[[#This Row],[Reference Year]]&gt;2018,Activities[[#This Row],[Value]],Activities[[#This Row],[Value]]*(1+VLOOKUP(Activities[[#This Row],[Reference Year]],Inflation[#All],3,FALSE)))</f>
        <v>4846.8165189873416</v>
      </c>
    </row>
    <row r="750" spans="1:15" ht="15" customHeight="1" x14ac:dyDescent="0.25">
      <c r="A750" s="9" t="s">
        <v>190</v>
      </c>
      <c r="B750" s="9" t="str">
        <f>INDEX(Places[Type],MATCH(Activities[[#This Row],[Jurisdiction]],Places[Jurisdiction],0))</f>
        <v>City</v>
      </c>
      <c r="C750" s="19" t="str">
        <f>INDEX(Places[County],MATCH(Activities[[#This Row],[Jurisdiction]],Places[Jurisdiction],0))</f>
        <v>Los Angeles</v>
      </c>
      <c r="D750" s="19" t="str">
        <f>INDEX(Places[Majority RB],MATCH(Activities[[#This Row],[Jurisdiction]],Places[Jurisdiction],0))</f>
        <v>Los Angeles</v>
      </c>
      <c r="E750" s="9">
        <f>INDEX(Places[Majority RB '#],MATCH(Activities[[#This Row],[Jurisdiction]],Places[Jurisdiction],0))</f>
        <v>4</v>
      </c>
      <c r="F750" s="28" t="str">
        <f>VLOOKUP(Activities[[#This Row],[Jurisdiction]],Places[#All],8,FALSE)</f>
        <v>Phase I MS4</v>
      </c>
      <c r="G750" s="48" t="s">
        <v>32</v>
      </c>
      <c r="H750" s="8"/>
      <c r="I750" s="8"/>
      <c r="J750" s="8" t="s">
        <v>1894</v>
      </c>
      <c r="K750" s="27" t="s">
        <v>1873</v>
      </c>
      <c r="L750" s="28">
        <f>_xlfn.NUMBERVALUE(LEFT(Activities[[#This Row],[Fiscal Year]], 4))</f>
        <v>2015</v>
      </c>
      <c r="M750" s="28" t="s">
        <v>1862</v>
      </c>
      <c r="N750" s="41">
        <v>35000</v>
      </c>
      <c r="O750" s="93">
        <f>IF(Activities[[#This Row],[Reference Year]]&gt;2018,Activities[[#This Row],[Value]],Activities[[#This Row],[Value]]*(1+VLOOKUP(Activities[[#This Row],[Reference Year]],Inflation[#All],3,FALSE)))</f>
        <v>37160.696202531646</v>
      </c>
    </row>
    <row r="751" spans="1:15" ht="15" customHeight="1" x14ac:dyDescent="0.25">
      <c r="A751" s="9" t="s">
        <v>190</v>
      </c>
      <c r="B751" s="9" t="str">
        <f>INDEX(Places[Type],MATCH(Activities[[#This Row],[Jurisdiction]],Places[Jurisdiction],0))</f>
        <v>City</v>
      </c>
      <c r="C751" s="19" t="str">
        <f>INDEX(Places[County],MATCH(Activities[[#This Row],[Jurisdiction]],Places[Jurisdiction],0))</f>
        <v>Los Angeles</v>
      </c>
      <c r="D751" s="19" t="str">
        <f>INDEX(Places[Majority RB],MATCH(Activities[[#This Row],[Jurisdiction]],Places[Jurisdiction],0))</f>
        <v>Los Angeles</v>
      </c>
      <c r="E751" s="9">
        <f>INDEX(Places[Majority RB '#],MATCH(Activities[[#This Row],[Jurisdiction]],Places[Jurisdiction],0))</f>
        <v>4</v>
      </c>
      <c r="F751" s="28" t="str">
        <f>VLOOKUP(Activities[[#This Row],[Jurisdiction]],Places[#All],8,FALSE)</f>
        <v>Phase I MS4</v>
      </c>
      <c r="G751" s="48" t="s">
        <v>33</v>
      </c>
      <c r="H751" s="8"/>
      <c r="I751" s="8"/>
      <c r="J751" s="8" t="s">
        <v>47</v>
      </c>
      <c r="K751" s="27" t="s">
        <v>1873</v>
      </c>
      <c r="L751" s="28">
        <f>_xlfn.NUMBERVALUE(LEFT(Activities[[#This Row],[Fiscal Year]], 4))</f>
        <v>2015</v>
      </c>
      <c r="M751" s="28" t="s">
        <v>1862</v>
      </c>
      <c r="N751" s="41">
        <v>82421</v>
      </c>
      <c r="O751" s="93">
        <f>IF(Activities[[#This Row],[Reference Year]]&gt;2018,Activities[[#This Row],[Value]],Activities[[#This Row],[Value]]*(1+VLOOKUP(Activities[[#This Row],[Reference Year]],Inflation[#All],3,FALSE)))</f>
        <v>87509.192620253161</v>
      </c>
    </row>
    <row r="752" spans="1:15" ht="15" customHeight="1" x14ac:dyDescent="0.25">
      <c r="A752" s="9" t="s">
        <v>276</v>
      </c>
      <c r="B752" s="9" t="str">
        <f>INDEX(Places[Type],MATCH(Activities[[#This Row],[Jurisdiction]],Places[Jurisdiction],0))</f>
        <v>City</v>
      </c>
      <c r="C752" s="19" t="str">
        <f>INDEX(Places[County],MATCH(Activities[[#This Row],[Jurisdiction]],Places[Jurisdiction],0))</f>
        <v>Orange</v>
      </c>
      <c r="D752" s="9" t="str">
        <f>INDEX(Places[Majority RB],MATCH(Activities[[#This Row],[Jurisdiction]],Places[Jurisdiction],0))</f>
        <v>Santa Ana</v>
      </c>
      <c r="E752" s="9">
        <f>INDEX(Places[Majority RB '#],MATCH(Activities[[#This Row],[Jurisdiction]],Places[Jurisdiction],0))</f>
        <v>8</v>
      </c>
      <c r="F752" s="28" t="str">
        <f>VLOOKUP(Activities[[#This Row],[Jurisdiction]],Places[#All],8,FALSE)</f>
        <v>Phase I MS4</v>
      </c>
      <c r="G752" s="48" t="s">
        <v>1004</v>
      </c>
      <c r="H752" s="8"/>
      <c r="I752" s="8"/>
      <c r="J752" s="8" t="s">
        <v>76</v>
      </c>
      <c r="K752" s="27" t="s">
        <v>1875</v>
      </c>
      <c r="L752" s="28">
        <f>_xlfn.NUMBERVALUE(LEFT(Activities[[#This Row],[Fiscal Year]], 4))</f>
        <v>2001</v>
      </c>
      <c r="M752" s="28" t="s">
        <v>1862</v>
      </c>
      <c r="N752" s="41">
        <v>250000</v>
      </c>
      <c r="O752" s="93">
        <f>IF(Activities[[#This Row],[Reference Year]]&gt;2018,Activities[[#This Row],[Value]],Activities[[#This Row],[Value]]*(1+VLOOKUP(Activities[[#This Row],[Reference Year]],Inflation[#All],3,FALSE)))</f>
        <v>355210.33314511576</v>
      </c>
    </row>
    <row r="753" spans="1:15" ht="15" customHeight="1" x14ac:dyDescent="0.25">
      <c r="A753" s="9" t="s">
        <v>276</v>
      </c>
      <c r="B753" s="9" t="str">
        <f>INDEX(Places[Type],MATCH(Activities[[#This Row],[Jurisdiction]],Places[Jurisdiction],0))</f>
        <v>City</v>
      </c>
      <c r="C753" s="19" t="str">
        <f>INDEX(Places[County],MATCH(Activities[[#This Row],[Jurisdiction]],Places[Jurisdiction],0))</f>
        <v>Orange</v>
      </c>
      <c r="D753" s="9" t="str">
        <f>INDEX(Places[Majority RB],MATCH(Activities[[#This Row],[Jurisdiction]],Places[Jurisdiction],0))</f>
        <v>Santa Ana</v>
      </c>
      <c r="E753" s="9">
        <f>INDEX(Places[Majority RB '#],MATCH(Activities[[#This Row],[Jurisdiction]],Places[Jurisdiction],0))</f>
        <v>8</v>
      </c>
      <c r="F753" s="28" t="str">
        <f>VLOOKUP(Activities[[#This Row],[Jurisdiction]],Places[#All],8,FALSE)</f>
        <v>Phase I MS4</v>
      </c>
      <c r="G753" s="48" t="s">
        <v>994</v>
      </c>
      <c r="H753" s="8" t="s">
        <v>504</v>
      </c>
      <c r="I753" s="8"/>
      <c r="J753" s="8" t="s">
        <v>71</v>
      </c>
      <c r="K753" s="27" t="s">
        <v>1875</v>
      </c>
      <c r="L753" s="28">
        <f>_xlfn.NUMBERVALUE(LEFT(Activities[[#This Row],[Fiscal Year]], 4))</f>
        <v>2001</v>
      </c>
      <c r="M753" s="28" t="s">
        <v>1862</v>
      </c>
      <c r="N753" s="41">
        <v>12000</v>
      </c>
      <c r="O753" s="93">
        <f>IF(Activities[[#This Row],[Reference Year]]&gt;2018,Activities[[#This Row],[Value]],Activities[[#This Row],[Value]]*(1+VLOOKUP(Activities[[#This Row],[Reference Year]],Inflation[#All],3,FALSE)))</f>
        <v>17050.095990965554</v>
      </c>
    </row>
    <row r="754" spans="1:15" ht="15" customHeight="1" x14ac:dyDescent="0.25">
      <c r="A754" s="9" t="s">
        <v>276</v>
      </c>
      <c r="B754" s="9" t="str">
        <f>INDEX(Places[Type],MATCH(Activities[[#This Row],[Jurisdiction]],Places[Jurisdiction],0))</f>
        <v>City</v>
      </c>
      <c r="C754" s="19" t="str">
        <f>INDEX(Places[County],MATCH(Activities[[#This Row],[Jurisdiction]],Places[Jurisdiction],0))</f>
        <v>Orange</v>
      </c>
      <c r="D754" s="9" t="str">
        <f>INDEX(Places[Majority RB],MATCH(Activities[[#This Row],[Jurisdiction]],Places[Jurisdiction],0))</f>
        <v>Santa Ana</v>
      </c>
      <c r="E754" s="9">
        <f>INDEX(Places[Majority RB '#],MATCH(Activities[[#This Row],[Jurisdiction]],Places[Jurisdiction],0))</f>
        <v>8</v>
      </c>
      <c r="F754" s="28" t="str">
        <f>VLOOKUP(Activities[[#This Row],[Jurisdiction]],Places[#All],8,FALSE)</f>
        <v>Phase I MS4</v>
      </c>
      <c r="G754" s="48" t="s">
        <v>979</v>
      </c>
      <c r="H754" s="8" t="s">
        <v>504</v>
      </c>
      <c r="I754" s="8"/>
      <c r="J754" s="8" t="s">
        <v>71</v>
      </c>
      <c r="K754" s="27" t="s">
        <v>1875</v>
      </c>
      <c r="L754" s="28">
        <f>_xlfn.NUMBERVALUE(LEFT(Activities[[#This Row],[Fiscal Year]], 4))</f>
        <v>2001</v>
      </c>
      <c r="M754" s="28" t="s">
        <v>1862</v>
      </c>
      <c r="N754" s="41">
        <v>1352412</v>
      </c>
      <c r="O754" s="93">
        <f>IF(Activities[[#This Row],[Reference Year]]&gt;2018,Activities[[#This Row],[Value]],Activities[[#This Row],[Value]]*(1+VLOOKUP(Activities[[#This Row],[Reference Year]],Inflation[#All],3,FALSE)))</f>
        <v>1921562.8682778091</v>
      </c>
    </row>
    <row r="755" spans="1:15" ht="15" customHeight="1" x14ac:dyDescent="0.25">
      <c r="A755" s="9" t="s">
        <v>276</v>
      </c>
      <c r="B755" s="9" t="str">
        <f>INDEX(Places[Type],MATCH(Activities[[#This Row],[Jurisdiction]],Places[Jurisdiction],0))</f>
        <v>City</v>
      </c>
      <c r="C755" s="19" t="str">
        <f>INDEX(Places[County],MATCH(Activities[[#This Row],[Jurisdiction]],Places[Jurisdiction],0))</f>
        <v>Orange</v>
      </c>
      <c r="D755" s="9" t="str">
        <f>INDEX(Places[Majority RB],MATCH(Activities[[#This Row],[Jurisdiction]],Places[Jurisdiction],0))</f>
        <v>Santa Ana</v>
      </c>
      <c r="E755" s="9">
        <f>INDEX(Places[Majority RB '#],MATCH(Activities[[#This Row],[Jurisdiction]],Places[Jurisdiction],0))</f>
        <v>8</v>
      </c>
      <c r="F755" s="28" t="str">
        <f>VLOOKUP(Activities[[#This Row],[Jurisdiction]],Places[#All],8,FALSE)</f>
        <v>Phase I MS4</v>
      </c>
      <c r="G755" s="48" t="s">
        <v>995</v>
      </c>
      <c r="H755" s="8" t="s">
        <v>504</v>
      </c>
      <c r="I755" s="8"/>
      <c r="J755" s="8" t="s">
        <v>1897</v>
      </c>
      <c r="K755" s="27" t="s">
        <v>1875</v>
      </c>
      <c r="L755" s="28">
        <f>_xlfn.NUMBERVALUE(LEFT(Activities[[#This Row],[Fiscal Year]], 4))</f>
        <v>2001</v>
      </c>
      <c r="M755" s="28" t="s">
        <v>1862</v>
      </c>
      <c r="N755" s="41">
        <v>600</v>
      </c>
      <c r="O755" s="93">
        <f>IF(Activities[[#This Row],[Reference Year]]&gt;2018,Activities[[#This Row],[Value]],Activities[[#This Row],[Value]]*(1+VLOOKUP(Activities[[#This Row],[Reference Year]],Inflation[#All],3,FALSE)))</f>
        <v>852.50479954827779</v>
      </c>
    </row>
    <row r="756" spans="1:15" ht="15" customHeight="1" x14ac:dyDescent="0.25">
      <c r="A756" s="9" t="s">
        <v>276</v>
      </c>
      <c r="B756" s="9" t="str">
        <f>INDEX(Places[Type],MATCH(Activities[[#This Row],[Jurisdiction]],Places[Jurisdiction],0))</f>
        <v>City</v>
      </c>
      <c r="C756" s="19" t="str">
        <f>INDEX(Places[County],MATCH(Activities[[#This Row],[Jurisdiction]],Places[Jurisdiction],0))</f>
        <v>Orange</v>
      </c>
      <c r="D756" s="9" t="str">
        <f>INDEX(Places[Majority RB],MATCH(Activities[[#This Row],[Jurisdiction]],Places[Jurisdiction],0))</f>
        <v>Santa Ana</v>
      </c>
      <c r="E756" s="9">
        <f>INDEX(Places[Majority RB '#],MATCH(Activities[[#This Row],[Jurisdiction]],Places[Jurisdiction],0))</f>
        <v>8</v>
      </c>
      <c r="F756" s="28" t="str">
        <f>VLOOKUP(Activities[[#This Row],[Jurisdiction]],Places[#All],8,FALSE)</f>
        <v>Phase I MS4</v>
      </c>
      <c r="G756" s="48" t="s">
        <v>982</v>
      </c>
      <c r="H756" s="8" t="s">
        <v>593</v>
      </c>
      <c r="I756" s="8" t="s">
        <v>594</v>
      </c>
      <c r="J756" s="8" t="s">
        <v>1897</v>
      </c>
      <c r="K756" s="27" t="s">
        <v>1875</v>
      </c>
      <c r="L756" s="28">
        <f>_xlfn.NUMBERVALUE(LEFT(Activities[[#This Row],[Fiscal Year]], 4))</f>
        <v>2001</v>
      </c>
      <c r="M756" s="28" t="s">
        <v>1862</v>
      </c>
      <c r="N756" s="41">
        <v>6000</v>
      </c>
      <c r="O756" s="93">
        <f>IF(Activities[[#This Row],[Reference Year]]&gt;2018,Activities[[#This Row],[Value]],Activities[[#This Row],[Value]]*(1+VLOOKUP(Activities[[#This Row],[Reference Year]],Inflation[#All],3,FALSE)))</f>
        <v>8525.047995482777</v>
      </c>
    </row>
    <row r="757" spans="1:15" ht="15" customHeight="1" x14ac:dyDescent="0.25">
      <c r="A757" s="9" t="s">
        <v>276</v>
      </c>
      <c r="B757" s="9" t="str">
        <f>INDEX(Places[Type],MATCH(Activities[[#This Row],[Jurisdiction]],Places[Jurisdiction],0))</f>
        <v>City</v>
      </c>
      <c r="C757" s="19" t="str">
        <f>INDEX(Places[County],MATCH(Activities[[#This Row],[Jurisdiction]],Places[Jurisdiction],0))</f>
        <v>Orange</v>
      </c>
      <c r="D757" s="9" t="str">
        <f>INDEX(Places[Majority RB],MATCH(Activities[[#This Row],[Jurisdiction]],Places[Jurisdiction],0))</f>
        <v>Santa Ana</v>
      </c>
      <c r="E757" s="9">
        <f>INDEX(Places[Majority RB '#],MATCH(Activities[[#This Row],[Jurisdiction]],Places[Jurisdiction],0))</f>
        <v>8</v>
      </c>
      <c r="F757" s="28" t="str">
        <f>VLOOKUP(Activities[[#This Row],[Jurisdiction]],Places[#All],8,FALSE)</f>
        <v>Phase I MS4</v>
      </c>
      <c r="G757" s="48" t="s">
        <v>999</v>
      </c>
      <c r="H757" s="8" t="s">
        <v>504</v>
      </c>
      <c r="I757" s="8"/>
      <c r="J757" s="8" t="s">
        <v>1897</v>
      </c>
      <c r="K757" s="27" t="s">
        <v>1875</v>
      </c>
      <c r="L757" s="28">
        <f>_xlfn.NUMBERVALUE(LEFT(Activities[[#This Row],[Fiscal Year]], 4))</f>
        <v>2001</v>
      </c>
      <c r="M757" s="28" t="s">
        <v>1862</v>
      </c>
      <c r="N757" s="41">
        <v>18650</v>
      </c>
      <c r="O757" s="93">
        <f>IF(Activities[[#This Row],[Reference Year]]&gt;2018,Activities[[#This Row],[Value]],Activities[[#This Row],[Value]]*(1+VLOOKUP(Activities[[#This Row],[Reference Year]],Inflation[#All],3,FALSE)))</f>
        <v>26498.690852625634</v>
      </c>
    </row>
    <row r="758" spans="1:15" ht="15" customHeight="1" x14ac:dyDescent="0.25">
      <c r="A758" s="9" t="s">
        <v>276</v>
      </c>
      <c r="B758" s="9" t="str">
        <f>INDEX(Places[Type],MATCH(Activities[[#This Row],[Jurisdiction]],Places[Jurisdiction],0))</f>
        <v>City</v>
      </c>
      <c r="C758" s="19" t="str">
        <f>INDEX(Places[County],MATCH(Activities[[#This Row],[Jurisdiction]],Places[Jurisdiction],0))</f>
        <v>Orange</v>
      </c>
      <c r="D758" s="9" t="str">
        <f>INDEX(Places[Majority RB],MATCH(Activities[[#This Row],[Jurisdiction]],Places[Jurisdiction],0))</f>
        <v>Santa Ana</v>
      </c>
      <c r="E758" s="9">
        <f>INDEX(Places[Majority RB '#],MATCH(Activities[[#This Row],[Jurisdiction]],Places[Jurisdiction],0))</f>
        <v>8</v>
      </c>
      <c r="F758" s="28" t="str">
        <f>VLOOKUP(Activities[[#This Row],[Jurisdiction]],Places[#All],8,FALSE)</f>
        <v>Phase I MS4</v>
      </c>
      <c r="G758" s="48" t="s">
        <v>996</v>
      </c>
      <c r="H758" s="8" t="s">
        <v>504</v>
      </c>
      <c r="I758" s="8"/>
      <c r="J758" s="8" t="s">
        <v>1897</v>
      </c>
      <c r="K758" s="27" t="s">
        <v>1875</v>
      </c>
      <c r="L758" s="28">
        <f>_xlfn.NUMBERVALUE(LEFT(Activities[[#This Row],[Fiscal Year]], 4))</f>
        <v>2001</v>
      </c>
      <c r="M758" s="28" t="s">
        <v>1862</v>
      </c>
      <c r="N758" s="41">
        <v>57000</v>
      </c>
      <c r="O758" s="93">
        <f>IF(Activities[[#This Row],[Reference Year]]&gt;2018,Activities[[#This Row],[Value]],Activities[[#This Row],[Value]]*(1+VLOOKUP(Activities[[#This Row],[Reference Year]],Inflation[#All],3,FALSE)))</f>
        <v>80987.955957086393</v>
      </c>
    </row>
    <row r="759" spans="1:15" ht="15" customHeight="1" x14ac:dyDescent="0.25">
      <c r="A759" s="9" t="s">
        <v>276</v>
      </c>
      <c r="B759" s="9" t="str">
        <f>INDEX(Places[Type],MATCH(Activities[[#This Row],[Jurisdiction]],Places[Jurisdiction],0))</f>
        <v>City</v>
      </c>
      <c r="C759" s="19" t="str">
        <f>INDEX(Places[County],MATCH(Activities[[#This Row],[Jurisdiction]],Places[Jurisdiction],0))</f>
        <v>Orange</v>
      </c>
      <c r="D759" s="9" t="str">
        <f>INDEX(Places[Majority RB],MATCH(Activities[[#This Row],[Jurisdiction]],Places[Jurisdiction],0))</f>
        <v>Santa Ana</v>
      </c>
      <c r="E759" s="9">
        <f>INDEX(Places[Majority RB '#],MATCH(Activities[[#This Row],[Jurisdiction]],Places[Jurisdiction],0))</f>
        <v>8</v>
      </c>
      <c r="F759" s="28" t="str">
        <f>VLOOKUP(Activities[[#This Row],[Jurisdiction]],Places[#All],8,FALSE)</f>
        <v>Phase I MS4</v>
      </c>
      <c r="G759" s="48" t="s">
        <v>992</v>
      </c>
      <c r="H759" s="8" t="s">
        <v>504</v>
      </c>
      <c r="I759" s="8"/>
      <c r="J759" s="8" t="s">
        <v>1897</v>
      </c>
      <c r="K759" s="27" t="s">
        <v>1875</v>
      </c>
      <c r="L759" s="28">
        <f>_xlfn.NUMBERVALUE(LEFT(Activities[[#This Row],[Fiscal Year]], 4))</f>
        <v>2001</v>
      </c>
      <c r="M759" s="28" t="s">
        <v>1862</v>
      </c>
      <c r="N759" s="41">
        <v>88625</v>
      </c>
      <c r="O759" s="93">
        <f>IF(Activities[[#This Row],[Reference Year]]&gt;2018,Activities[[#This Row],[Value]],Activities[[#This Row],[Value]]*(1+VLOOKUP(Activities[[#This Row],[Reference Year]],Inflation[#All],3,FALSE)))</f>
        <v>125922.06309994352</v>
      </c>
    </row>
    <row r="760" spans="1:15" ht="15" customHeight="1" x14ac:dyDescent="0.25">
      <c r="A760" s="9" t="s">
        <v>276</v>
      </c>
      <c r="B760" s="9" t="str">
        <f>INDEX(Places[Type],MATCH(Activities[[#This Row],[Jurisdiction]],Places[Jurisdiction],0))</f>
        <v>City</v>
      </c>
      <c r="C760" s="19" t="str">
        <f>INDEX(Places[County],MATCH(Activities[[#This Row],[Jurisdiction]],Places[Jurisdiction],0))</f>
        <v>Orange</v>
      </c>
      <c r="D760" s="9" t="str">
        <f>INDEX(Places[Majority RB],MATCH(Activities[[#This Row],[Jurisdiction]],Places[Jurisdiction],0))</f>
        <v>Santa Ana</v>
      </c>
      <c r="E760" s="9">
        <f>INDEX(Places[Majority RB '#],MATCH(Activities[[#This Row],[Jurisdiction]],Places[Jurisdiction],0))</f>
        <v>8</v>
      </c>
      <c r="F760" s="28" t="str">
        <f>VLOOKUP(Activities[[#This Row],[Jurisdiction]],Places[#All],8,FALSE)</f>
        <v>Phase I MS4</v>
      </c>
      <c r="G760" s="48" t="s">
        <v>1000</v>
      </c>
      <c r="H760" s="8" t="s">
        <v>505</v>
      </c>
      <c r="I760" s="8"/>
      <c r="J760" s="8" t="s">
        <v>1456</v>
      </c>
      <c r="K760" s="27" t="s">
        <v>1875</v>
      </c>
      <c r="L760" s="28">
        <f>_xlfn.NUMBERVALUE(LEFT(Activities[[#This Row],[Fiscal Year]], 4))</f>
        <v>2001</v>
      </c>
      <c r="M760" s="28" t="s">
        <v>1862</v>
      </c>
      <c r="N760" s="41">
        <v>1000</v>
      </c>
      <c r="O760" s="93">
        <f>IF(Activities[[#This Row],[Reference Year]]&gt;2018,Activities[[#This Row],[Value]],Activities[[#This Row],[Value]]*(1+VLOOKUP(Activities[[#This Row],[Reference Year]],Inflation[#All],3,FALSE)))</f>
        <v>1420.8413325804629</v>
      </c>
    </row>
    <row r="761" spans="1:15" ht="15" customHeight="1" x14ac:dyDescent="0.25">
      <c r="A761" s="9" t="s">
        <v>276</v>
      </c>
      <c r="B761" s="9" t="str">
        <f>INDEX(Places[Type],MATCH(Activities[[#This Row],[Jurisdiction]],Places[Jurisdiction],0))</f>
        <v>City</v>
      </c>
      <c r="C761" s="19" t="str">
        <f>INDEX(Places[County],MATCH(Activities[[#This Row],[Jurisdiction]],Places[Jurisdiction],0))</f>
        <v>Orange</v>
      </c>
      <c r="D761" s="9" t="str">
        <f>INDEX(Places[Majority RB],MATCH(Activities[[#This Row],[Jurisdiction]],Places[Jurisdiction],0))</f>
        <v>Santa Ana</v>
      </c>
      <c r="E761" s="9">
        <f>INDEX(Places[Majority RB '#],MATCH(Activities[[#This Row],[Jurisdiction]],Places[Jurisdiction],0))</f>
        <v>8</v>
      </c>
      <c r="F761" s="28" t="str">
        <f>VLOOKUP(Activities[[#This Row],[Jurisdiction]],Places[#All],8,FALSE)</f>
        <v>Phase I MS4</v>
      </c>
      <c r="G761" s="48" t="s">
        <v>1001</v>
      </c>
      <c r="H761" s="8" t="s">
        <v>599</v>
      </c>
      <c r="I761" s="8"/>
      <c r="J761" s="8" t="s">
        <v>1456</v>
      </c>
      <c r="K761" s="27" t="s">
        <v>1875</v>
      </c>
      <c r="L761" s="28">
        <f>_xlfn.NUMBERVALUE(LEFT(Activities[[#This Row],[Fiscal Year]], 4))</f>
        <v>2001</v>
      </c>
      <c r="M761" s="28" t="s">
        <v>1862</v>
      </c>
      <c r="N761" s="41">
        <v>1000</v>
      </c>
      <c r="O761" s="93">
        <f>IF(Activities[[#This Row],[Reference Year]]&gt;2018,Activities[[#This Row],[Value]],Activities[[#This Row],[Value]]*(1+VLOOKUP(Activities[[#This Row],[Reference Year]],Inflation[#All],3,FALSE)))</f>
        <v>1420.8413325804629</v>
      </c>
    </row>
    <row r="762" spans="1:15" ht="15" customHeight="1" x14ac:dyDescent="0.25">
      <c r="A762" s="9" t="s">
        <v>157</v>
      </c>
      <c r="B762" s="9" t="str">
        <f>INDEX(Places[Type],MATCH(Activities[[#This Row],[Jurisdiction]],Places[Jurisdiction],0))</f>
        <v>City</v>
      </c>
      <c r="C762" s="19" t="str">
        <f>INDEX(Places[County],MATCH(Activities[[#This Row],[Jurisdiction]],Places[Jurisdiction],0))</f>
        <v>Los Angeles</v>
      </c>
      <c r="D762" s="19" t="str">
        <f>INDEX(Places[Majority RB],MATCH(Activities[[#This Row],[Jurisdiction]],Places[Jurisdiction],0))</f>
        <v>Los Angeles</v>
      </c>
      <c r="E762" s="9">
        <f>INDEX(Places[Majority RB '#],MATCH(Activities[[#This Row],[Jurisdiction]],Places[Jurisdiction],0))</f>
        <v>4</v>
      </c>
      <c r="F762" s="28" t="str">
        <f>VLOOKUP(Activities[[#This Row],[Jurisdiction]],Places[#All],8,FALSE)</f>
        <v>Phase I MS4</v>
      </c>
      <c r="G762" s="48" t="s">
        <v>857</v>
      </c>
      <c r="H762" s="8"/>
      <c r="I762" s="8"/>
      <c r="J762" s="8" t="s">
        <v>1897</v>
      </c>
      <c r="K762" s="27" t="s">
        <v>1873</v>
      </c>
      <c r="L762" s="28">
        <f>_xlfn.NUMBERVALUE(LEFT(Activities[[#This Row],[Fiscal Year]], 4))</f>
        <v>2015</v>
      </c>
      <c r="M762" s="28" t="s">
        <v>1862</v>
      </c>
      <c r="N762" s="41">
        <v>1000</v>
      </c>
      <c r="O762" s="93">
        <f>IF(Activities[[#This Row],[Reference Year]]&gt;2018,Activities[[#This Row],[Value]],Activities[[#This Row],[Value]]*(1+VLOOKUP(Activities[[#This Row],[Reference Year]],Inflation[#All],3,FALSE)))</f>
        <v>1061.7341772151899</v>
      </c>
    </row>
    <row r="763" spans="1:15" ht="15" customHeight="1" x14ac:dyDescent="0.25">
      <c r="A763" s="9" t="s">
        <v>157</v>
      </c>
      <c r="B763" s="9" t="str">
        <f>INDEX(Places[Type],MATCH(Activities[[#This Row],[Jurisdiction]],Places[Jurisdiction],0))</f>
        <v>City</v>
      </c>
      <c r="C763" s="19" t="str">
        <f>INDEX(Places[County],MATCH(Activities[[#This Row],[Jurisdiction]],Places[Jurisdiction],0))</f>
        <v>Los Angeles</v>
      </c>
      <c r="D763" s="19" t="str">
        <f>INDEX(Places[Majority RB],MATCH(Activities[[#This Row],[Jurisdiction]],Places[Jurisdiction],0))</f>
        <v>Los Angeles</v>
      </c>
      <c r="E763" s="9">
        <f>INDEX(Places[Majority RB '#],MATCH(Activities[[#This Row],[Jurisdiction]],Places[Jurisdiction],0))</f>
        <v>4</v>
      </c>
      <c r="F763" s="28" t="str">
        <f>VLOOKUP(Activities[[#This Row],[Jurisdiction]],Places[#All],8,FALSE)</f>
        <v>Phase I MS4</v>
      </c>
      <c r="G763" s="48" t="s">
        <v>846</v>
      </c>
      <c r="H763" s="8"/>
      <c r="I763" s="8"/>
      <c r="J763" s="8" t="s">
        <v>1898</v>
      </c>
      <c r="K763" s="27" t="s">
        <v>1873</v>
      </c>
      <c r="L763" s="28">
        <f>_xlfn.NUMBERVALUE(LEFT(Activities[[#This Row],[Fiscal Year]], 4))</f>
        <v>2015</v>
      </c>
      <c r="M763" s="28" t="s">
        <v>1862</v>
      </c>
      <c r="N763" s="41">
        <v>6500</v>
      </c>
      <c r="O763" s="93">
        <f>IF(Activities[[#This Row],[Reference Year]]&gt;2018,Activities[[#This Row],[Value]],Activities[[#This Row],[Value]]*(1+VLOOKUP(Activities[[#This Row],[Reference Year]],Inflation[#All],3,FALSE)))</f>
        <v>6901.2721518987337</v>
      </c>
    </row>
    <row r="764" spans="1:15" ht="15" customHeight="1" x14ac:dyDescent="0.25">
      <c r="A764" s="9" t="s">
        <v>157</v>
      </c>
      <c r="B764" s="9" t="str">
        <f>INDEX(Places[Type],MATCH(Activities[[#This Row],[Jurisdiction]],Places[Jurisdiction],0))</f>
        <v>City</v>
      </c>
      <c r="C764" s="19" t="str">
        <f>INDEX(Places[County],MATCH(Activities[[#This Row],[Jurisdiction]],Places[Jurisdiction],0))</f>
        <v>Los Angeles</v>
      </c>
      <c r="D764" s="19" t="str">
        <f>INDEX(Places[Majority RB],MATCH(Activities[[#This Row],[Jurisdiction]],Places[Jurisdiction],0))</f>
        <v>Los Angeles</v>
      </c>
      <c r="E764" s="9">
        <f>INDEX(Places[Majority RB '#],MATCH(Activities[[#This Row],[Jurisdiction]],Places[Jurisdiction],0))</f>
        <v>4</v>
      </c>
      <c r="F764" s="28" t="str">
        <f>VLOOKUP(Activities[[#This Row],[Jurisdiction]],Places[#All],8,FALSE)</f>
        <v>Phase I MS4</v>
      </c>
      <c r="G764" s="48" t="s">
        <v>847</v>
      </c>
      <c r="H764" s="8"/>
      <c r="I764" s="8"/>
      <c r="J764" s="8" t="s">
        <v>1898</v>
      </c>
      <c r="K764" s="27" t="s">
        <v>1873</v>
      </c>
      <c r="L764" s="28">
        <f>_xlfn.NUMBERVALUE(LEFT(Activities[[#This Row],[Fiscal Year]], 4))</f>
        <v>2015</v>
      </c>
      <c r="M764" s="28" t="s">
        <v>1862</v>
      </c>
      <c r="N764" s="41">
        <v>7500</v>
      </c>
      <c r="O764" s="93">
        <f>IF(Activities[[#This Row],[Reference Year]]&gt;2018,Activities[[#This Row],[Value]],Activities[[#This Row],[Value]]*(1+VLOOKUP(Activities[[#This Row],[Reference Year]],Inflation[#All],3,FALSE)))</f>
        <v>7963.006329113924</v>
      </c>
    </row>
    <row r="765" spans="1:15" ht="15" customHeight="1" x14ac:dyDescent="0.25">
      <c r="A765" s="9" t="s">
        <v>157</v>
      </c>
      <c r="B765" s="9" t="str">
        <f>INDEX(Places[Type],MATCH(Activities[[#This Row],[Jurisdiction]],Places[Jurisdiction],0))</f>
        <v>City</v>
      </c>
      <c r="C765" s="19" t="str">
        <f>INDEX(Places[County],MATCH(Activities[[#This Row],[Jurisdiction]],Places[Jurisdiction],0))</f>
        <v>Los Angeles</v>
      </c>
      <c r="D765" s="19" t="str">
        <f>INDEX(Places[Majority RB],MATCH(Activities[[#This Row],[Jurisdiction]],Places[Jurisdiction],0))</f>
        <v>Los Angeles</v>
      </c>
      <c r="E765" s="9">
        <f>INDEX(Places[Majority RB '#],MATCH(Activities[[#This Row],[Jurisdiction]],Places[Jurisdiction],0))</f>
        <v>4</v>
      </c>
      <c r="F765" s="28" t="str">
        <f>VLOOKUP(Activities[[#This Row],[Jurisdiction]],Places[#All],8,FALSE)</f>
        <v>Phase I MS4</v>
      </c>
      <c r="G765" s="48" t="s">
        <v>844</v>
      </c>
      <c r="H765" s="8"/>
      <c r="I765" s="8"/>
      <c r="J765" s="8" t="s">
        <v>1456</v>
      </c>
      <c r="K765" s="27" t="s">
        <v>1873</v>
      </c>
      <c r="L765" s="28">
        <f>_xlfn.NUMBERVALUE(LEFT(Activities[[#This Row],[Fiscal Year]], 4))</f>
        <v>2015</v>
      </c>
      <c r="M765" s="28" t="s">
        <v>1862</v>
      </c>
      <c r="N765" s="41">
        <v>1500</v>
      </c>
      <c r="O765" s="93">
        <f>IF(Activities[[#This Row],[Reference Year]]&gt;2018,Activities[[#This Row],[Value]],Activities[[#This Row],[Value]]*(1+VLOOKUP(Activities[[#This Row],[Reference Year]],Inflation[#All],3,FALSE)))</f>
        <v>1592.6012658227846</v>
      </c>
    </row>
    <row r="766" spans="1:15" ht="15" customHeight="1" x14ac:dyDescent="0.25">
      <c r="A766" s="9" t="s">
        <v>157</v>
      </c>
      <c r="B766" s="9" t="str">
        <f>INDEX(Places[Type],MATCH(Activities[[#This Row],[Jurisdiction]],Places[Jurisdiction],0))</f>
        <v>City</v>
      </c>
      <c r="C766" s="19" t="str">
        <f>INDEX(Places[County],MATCH(Activities[[#This Row],[Jurisdiction]],Places[Jurisdiction],0))</f>
        <v>Los Angeles</v>
      </c>
      <c r="D766" s="19" t="str">
        <f>INDEX(Places[Majority RB],MATCH(Activities[[#This Row],[Jurisdiction]],Places[Jurisdiction],0))</f>
        <v>Los Angeles</v>
      </c>
      <c r="E766" s="9">
        <f>INDEX(Places[Majority RB '#],MATCH(Activities[[#This Row],[Jurisdiction]],Places[Jurisdiction],0))</f>
        <v>4</v>
      </c>
      <c r="F766" s="28" t="str">
        <f>VLOOKUP(Activities[[#This Row],[Jurisdiction]],Places[#All],8,FALSE)</f>
        <v>Phase I MS4</v>
      </c>
      <c r="G766" s="56" t="s">
        <v>829</v>
      </c>
      <c r="H766" s="8"/>
      <c r="I766" s="8"/>
      <c r="J766" s="8" t="s">
        <v>1894</v>
      </c>
      <c r="K766" s="27" t="s">
        <v>1873</v>
      </c>
      <c r="L766" s="28">
        <f>_xlfn.NUMBERVALUE(LEFT(Activities[[#This Row],[Fiscal Year]], 4))</f>
        <v>2015</v>
      </c>
      <c r="M766" s="28" t="s">
        <v>1862</v>
      </c>
      <c r="N766" s="41">
        <v>6927</v>
      </c>
      <c r="O766" s="93">
        <f>IF(Activities[[#This Row],[Reference Year]]&gt;2018,Activities[[#This Row],[Value]],Activities[[#This Row],[Value]]*(1+VLOOKUP(Activities[[#This Row],[Reference Year]],Inflation[#All],3,FALSE)))</f>
        <v>7354.6326455696199</v>
      </c>
    </row>
    <row r="767" spans="1:15" ht="15" customHeight="1" x14ac:dyDescent="0.25">
      <c r="A767" s="9" t="s">
        <v>157</v>
      </c>
      <c r="B767" s="9" t="str">
        <f>INDEX(Places[Type],MATCH(Activities[[#This Row],[Jurisdiction]],Places[Jurisdiction],0))</f>
        <v>City</v>
      </c>
      <c r="C767" s="19" t="str">
        <f>INDEX(Places[County],MATCH(Activities[[#This Row],[Jurisdiction]],Places[Jurisdiction],0))</f>
        <v>Los Angeles</v>
      </c>
      <c r="D767" s="19" t="str">
        <f>INDEX(Places[Majority RB],MATCH(Activities[[#This Row],[Jurisdiction]],Places[Jurisdiction],0))</f>
        <v>Los Angeles</v>
      </c>
      <c r="E767" s="9">
        <f>INDEX(Places[Majority RB '#],MATCH(Activities[[#This Row],[Jurisdiction]],Places[Jurisdiction],0))</f>
        <v>4</v>
      </c>
      <c r="F767" s="28" t="str">
        <f>VLOOKUP(Activities[[#This Row],[Jurisdiction]],Places[#All],8,FALSE)</f>
        <v>Phase I MS4</v>
      </c>
      <c r="G767" s="56" t="s">
        <v>907</v>
      </c>
      <c r="H767" s="8" t="s">
        <v>906</v>
      </c>
      <c r="I767" s="8" t="s">
        <v>429</v>
      </c>
      <c r="J767" s="8" t="s">
        <v>1896</v>
      </c>
      <c r="K767" s="27" t="s">
        <v>1873</v>
      </c>
      <c r="L767" s="28">
        <f>_xlfn.NUMBERVALUE(LEFT(Activities[[#This Row],[Fiscal Year]], 4))</f>
        <v>2015</v>
      </c>
      <c r="M767" s="28" t="s">
        <v>1862</v>
      </c>
      <c r="N767" s="41">
        <v>12489</v>
      </c>
      <c r="O767" s="93">
        <f>IF(Activities[[#This Row],[Reference Year]]&gt;2018,Activities[[#This Row],[Value]],Activities[[#This Row],[Value]]*(1+VLOOKUP(Activities[[#This Row],[Reference Year]],Inflation[#All],3,FALSE)))</f>
        <v>13259.998139240506</v>
      </c>
    </row>
    <row r="768" spans="1:15" ht="15" customHeight="1" x14ac:dyDescent="0.25">
      <c r="A768" s="9" t="s">
        <v>157</v>
      </c>
      <c r="B768" s="9" t="str">
        <f>INDEX(Places[Type],MATCH(Activities[[#This Row],[Jurisdiction]],Places[Jurisdiction],0))</f>
        <v>City</v>
      </c>
      <c r="C768" s="19" t="str">
        <f>INDEX(Places[County],MATCH(Activities[[#This Row],[Jurisdiction]],Places[Jurisdiction],0))</f>
        <v>Los Angeles</v>
      </c>
      <c r="D768" s="19" t="str">
        <f>INDEX(Places[Majority RB],MATCH(Activities[[#This Row],[Jurisdiction]],Places[Jurisdiction],0))</f>
        <v>Los Angeles</v>
      </c>
      <c r="E768" s="9">
        <f>INDEX(Places[Majority RB '#],MATCH(Activities[[#This Row],[Jurisdiction]],Places[Jurisdiction],0))</f>
        <v>4</v>
      </c>
      <c r="F768" s="28" t="str">
        <f>VLOOKUP(Activities[[#This Row],[Jurisdiction]],Places[#All],8,FALSE)</f>
        <v>Phase I MS4</v>
      </c>
      <c r="G768" s="56" t="s">
        <v>854</v>
      </c>
      <c r="H768" s="8"/>
      <c r="I768" s="8"/>
      <c r="J768" s="8" t="s">
        <v>47</v>
      </c>
      <c r="K768" s="27" t="s">
        <v>1873</v>
      </c>
      <c r="L768" s="28">
        <f>_xlfn.NUMBERVALUE(LEFT(Activities[[#This Row],[Fiscal Year]], 4))</f>
        <v>2015</v>
      </c>
      <c r="M768" s="28" t="s">
        <v>1862</v>
      </c>
      <c r="N768" s="41">
        <v>8978</v>
      </c>
      <c r="O768" s="93">
        <f>IF(Activities[[#This Row],[Reference Year]]&gt;2018,Activities[[#This Row],[Value]],Activities[[#This Row],[Value]]*(1+VLOOKUP(Activities[[#This Row],[Reference Year]],Inflation[#All],3,FALSE)))</f>
        <v>9532.2494430379738</v>
      </c>
    </row>
    <row r="769" spans="1:15" ht="15" customHeight="1" x14ac:dyDescent="0.25">
      <c r="A769" s="9" t="s">
        <v>313</v>
      </c>
      <c r="B769" s="9" t="str">
        <f>INDEX(Places[Type],MATCH(Activities[[#This Row],[Jurisdiction]],Places[Jurisdiction],0))</f>
        <v>City</v>
      </c>
      <c r="C769" s="19" t="str">
        <f>INDEX(Places[County],MATCH(Activities[[#This Row],[Jurisdiction]],Places[Jurisdiction],0))</f>
        <v>San Diego</v>
      </c>
      <c r="D769" s="9" t="str">
        <f>INDEX(Places[Majority RB],MATCH(Activities[[#This Row],[Jurisdiction]],Places[Jurisdiction],0))</f>
        <v>San Diego</v>
      </c>
      <c r="E769" s="9">
        <f>INDEX(Places[Majority RB '#],MATCH(Activities[[#This Row],[Jurisdiction]],Places[Jurisdiction],0))</f>
        <v>9</v>
      </c>
      <c r="F769" s="28" t="str">
        <f>VLOOKUP(Activities[[#This Row],[Jurisdiction]],Places[#All],8,FALSE)</f>
        <v>Phase I MS4</v>
      </c>
      <c r="G769" s="48" t="s">
        <v>1242</v>
      </c>
      <c r="H769" s="8"/>
      <c r="I769" s="8"/>
      <c r="J769" s="8" t="s">
        <v>1895</v>
      </c>
      <c r="K769" s="27" t="s">
        <v>1874</v>
      </c>
      <c r="L769" s="28">
        <f>_xlfn.NUMBERVALUE(LEFT(Activities[[#This Row],[Fiscal Year]], 4))</f>
        <v>2017</v>
      </c>
      <c r="M769" s="28" t="s">
        <v>1862</v>
      </c>
      <c r="N769" s="41">
        <v>33138</v>
      </c>
      <c r="O769" s="93">
        <f>IF(Activities[[#This Row],[Reference Year]]&gt;2018,Activities[[#This Row],[Value]],Activities[[#This Row],[Value]]*(1+VLOOKUP(Activities[[#This Row],[Reference Year]],Inflation[#All],3,FALSE)))</f>
        <v>34021.003990208083</v>
      </c>
    </row>
    <row r="770" spans="1:15" ht="15" customHeight="1" x14ac:dyDescent="0.25">
      <c r="A770" s="9" t="s">
        <v>313</v>
      </c>
      <c r="B770" s="9" t="str">
        <f>INDEX(Places[Type],MATCH(Activities[[#This Row],[Jurisdiction]],Places[Jurisdiction],0))</f>
        <v>City</v>
      </c>
      <c r="C770" s="19" t="str">
        <f>INDEX(Places[County],MATCH(Activities[[#This Row],[Jurisdiction]],Places[Jurisdiction],0))</f>
        <v>San Diego</v>
      </c>
      <c r="D770" s="9" t="str">
        <f>INDEX(Places[Majority RB],MATCH(Activities[[#This Row],[Jurisdiction]],Places[Jurisdiction],0))</f>
        <v>San Diego</v>
      </c>
      <c r="E770" s="9">
        <f>INDEX(Places[Majority RB '#],MATCH(Activities[[#This Row],[Jurisdiction]],Places[Jurisdiction],0))</f>
        <v>9</v>
      </c>
      <c r="F770" s="28" t="str">
        <f>VLOOKUP(Activities[[#This Row],[Jurisdiction]],Places[#All],8,FALSE)</f>
        <v>Phase I MS4</v>
      </c>
      <c r="G770" s="48" t="s">
        <v>1246</v>
      </c>
      <c r="H770" s="8"/>
      <c r="I770" s="8"/>
      <c r="J770" s="8" t="s">
        <v>131</v>
      </c>
      <c r="K770" s="27" t="s">
        <v>1874</v>
      </c>
      <c r="L770" s="28">
        <f>_xlfn.NUMBERVALUE(LEFT(Activities[[#This Row],[Fiscal Year]], 4))</f>
        <v>2017</v>
      </c>
      <c r="M770" s="28" t="s">
        <v>1862</v>
      </c>
      <c r="N770" s="41">
        <v>74860</v>
      </c>
      <c r="O770" s="93">
        <f>IF(Activities[[#This Row],[Reference Year]]&gt;2018,Activities[[#This Row],[Value]],Activities[[#This Row],[Value]]*(1+VLOOKUP(Activities[[#This Row],[Reference Year]],Inflation[#All],3,FALSE)))</f>
        <v>76854.739534883731</v>
      </c>
    </row>
    <row r="771" spans="1:15" ht="15" customHeight="1" x14ac:dyDescent="0.25">
      <c r="A771" s="9" t="s">
        <v>313</v>
      </c>
      <c r="B771" s="9" t="str">
        <f>INDEX(Places[Type],MATCH(Activities[[#This Row],[Jurisdiction]],Places[Jurisdiction],0))</f>
        <v>City</v>
      </c>
      <c r="C771" s="19" t="str">
        <f>INDEX(Places[County],MATCH(Activities[[#This Row],[Jurisdiction]],Places[Jurisdiction],0))</f>
        <v>San Diego</v>
      </c>
      <c r="D771" s="9" t="str">
        <f>INDEX(Places[Majority RB],MATCH(Activities[[#This Row],[Jurisdiction]],Places[Jurisdiction],0))</f>
        <v>San Diego</v>
      </c>
      <c r="E771" s="9">
        <f>INDEX(Places[Majority RB '#],MATCH(Activities[[#This Row],[Jurisdiction]],Places[Jurisdiction],0))</f>
        <v>9</v>
      </c>
      <c r="F771" s="28" t="str">
        <f>VLOOKUP(Activities[[#This Row],[Jurisdiction]],Places[#All],8,FALSE)</f>
        <v>Phase I MS4</v>
      </c>
      <c r="G771" s="48" t="s">
        <v>1257</v>
      </c>
      <c r="H771" s="8"/>
      <c r="I771" s="8"/>
      <c r="J771" s="8" t="s">
        <v>334</v>
      </c>
      <c r="K771" s="27" t="s">
        <v>1874</v>
      </c>
      <c r="L771" s="28">
        <f>_xlfn.NUMBERVALUE(LEFT(Activities[[#This Row],[Fiscal Year]], 4))</f>
        <v>2017</v>
      </c>
      <c r="M771" s="28" t="s">
        <v>1862</v>
      </c>
      <c r="N771" s="41">
        <v>75707</v>
      </c>
      <c r="O771" s="93">
        <f>IF(Activities[[#This Row],[Reference Year]]&gt;2018,Activities[[#This Row],[Value]],Activities[[#This Row],[Value]]*(1+VLOOKUP(Activities[[#This Row],[Reference Year]],Inflation[#All],3,FALSE)))</f>
        <v>77724.308922888624</v>
      </c>
    </row>
    <row r="772" spans="1:15" ht="15" customHeight="1" x14ac:dyDescent="0.25">
      <c r="A772" s="9" t="s">
        <v>313</v>
      </c>
      <c r="B772" s="9" t="str">
        <f>INDEX(Places[Type],MATCH(Activities[[#This Row],[Jurisdiction]],Places[Jurisdiction],0))</f>
        <v>City</v>
      </c>
      <c r="C772" s="19" t="str">
        <f>INDEX(Places[County],MATCH(Activities[[#This Row],[Jurisdiction]],Places[Jurisdiction],0))</f>
        <v>San Diego</v>
      </c>
      <c r="D772" s="9" t="str">
        <f>INDEX(Places[Majority RB],MATCH(Activities[[#This Row],[Jurisdiction]],Places[Jurisdiction],0))</f>
        <v>San Diego</v>
      </c>
      <c r="E772" s="9">
        <f>INDEX(Places[Majority RB '#],MATCH(Activities[[#This Row],[Jurisdiction]],Places[Jurisdiction],0))</f>
        <v>9</v>
      </c>
      <c r="F772" s="28" t="str">
        <f>VLOOKUP(Activities[[#This Row],[Jurisdiction]],Places[#All],8,FALSE)</f>
        <v>Phase I MS4</v>
      </c>
      <c r="G772" s="48" t="s">
        <v>1243</v>
      </c>
      <c r="H772" s="8"/>
      <c r="I772" s="8"/>
      <c r="J772" s="8" t="s">
        <v>1897</v>
      </c>
      <c r="K772" s="27" t="s">
        <v>1874</v>
      </c>
      <c r="L772" s="28">
        <f>_xlfn.NUMBERVALUE(LEFT(Activities[[#This Row],[Fiscal Year]], 4))</f>
        <v>2017</v>
      </c>
      <c r="M772" s="28" t="s">
        <v>1862</v>
      </c>
      <c r="N772" s="41">
        <v>4376</v>
      </c>
      <c r="O772" s="93">
        <f>IF(Activities[[#This Row],[Reference Year]]&gt;2018,Activities[[#This Row],[Value]],Activities[[#This Row],[Value]]*(1+VLOOKUP(Activities[[#This Row],[Reference Year]],Inflation[#All],3,FALSE)))</f>
        <v>4492.6040636474918</v>
      </c>
    </row>
    <row r="773" spans="1:15" ht="15" customHeight="1" x14ac:dyDescent="0.25">
      <c r="A773" s="9" t="s">
        <v>313</v>
      </c>
      <c r="B773" s="9" t="str">
        <f>INDEX(Places[Type],MATCH(Activities[[#This Row],[Jurisdiction]],Places[Jurisdiction],0))</f>
        <v>City</v>
      </c>
      <c r="C773" s="19" t="str">
        <f>INDEX(Places[County],MATCH(Activities[[#This Row],[Jurisdiction]],Places[Jurisdiction],0))</f>
        <v>San Diego</v>
      </c>
      <c r="D773" s="9" t="str">
        <f>INDEX(Places[Majority RB],MATCH(Activities[[#This Row],[Jurisdiction]],Places[Jurisdiction],0))</f>
        <v>San Diego</v>
      </c>
      <c r="E773" s="9">
        <f>INDEX(Places[Majority RB '#],MATCH(Activities[[#This Row],[Jurisdiction]],Places[Jurisdiction],0))</f>
        <v>9</v>
      </c>
      <c r="F773" s="28" t="str">
        <f>VLOOKUP(Activities[[#This Row],[Jurisdiction]],Places[#All],8,FALSE)</f>
        <v>Phase I MS4</v>
      </c>
      <c r="G773" s="48" t="s">
        <v>1245</v>
      </c>
      <c r="H773" s="8"/>
      <c r="I773" s="8"/>
      <c r="J773" s="8" t="s">
        <v>1898</v>
      </c>
      <c r="K773" s="27" t="s">
        <v>1874</v>
      </c>
      <c r="L773" s="28">
        <f>_xlfn.NUMBERVALUE(LEFT(Activities[[#This Row],[Fiscal Year]], 4))</f>
        <v>2017</v>
      </c>
      <c r="M773" s="28" t="s">
        <v>1862</v>
      </c>
      <c r="N773" s="41">
        <v>1139</v>
      </c>
      <c r="O773" s="93">
        <f>IF(Activities[[#This Row],[Reference Year]]&gt;2018,Activities[[#This Row],[Value]],Activities[[#This Row],[Value]]*(1+VLOOKUP(Activities[[#This Row],[Reference Year]],Inflation[#All],3,FALSE)))</f>
        <v>1169.3500979192168</v>
      </c>
    </row>
    <row r="774" spans="1:15" ht="15" customHeight="1" x14ac:dyDescent="0.25">
      <c r="A774" s="9" t="s">
        <v>313</v>
      </c>
      <c r="B774" s="9" t="str">
        <f>INDEX(Places[Type],MATCH(Activities[[#This Row],[Jurisdiction]],Places[Jurisdiction],0))</f>
        <v>City</v>
      </c>
      <c r="C774" s="19" t="str">
        <f>INDEX(Places[County],MATCH(Activities[[#This Row],[Jurisdiction]],Places[Jurisdiction],0))</f>
        <v>San Diego</v>
      </c>
      <c r="D774" s="9" t="str">
        <f>INDEX(Places[Majority RB],MATCH(Activities[[#This Row],[Jurisdiction]],Places[Jurisdiction],0))</f>
        <v>San Diego</v>
      </c>
      <c r="E774" s="9">
        <f>INDEX(Places[Majority RB '#],MATCH(Activities[[#This Row],[Jurisdiction]],Places[Jurisdiction],0))</f>
        <v>9</v>
      </c>
      <c r="F774" s="28" t="str">
        <f>VLOOKUP(Activities[[#This Row],[Jurisdiction]],Places[#All],8,FALSE)</f>
        <v>Phase I MS4</v>
      </c>
      <c r="G774" s="48" t="s">
        <v>1241</v>
      </c>
      <c r="H774" s="8"/>
      <c r="I774" s="8"/>
      <c r="J774" s="8" t="s">
        <v>1898</v>
      </c>
      <c r="K774" s="27" t="s">
        <v>1874</v>
      </c>
      <c r="L774" s="28">
        <f>_xlfn.NUMBERVALUE(LEFT(Activities[[#This Row],[Fiscal Year]], 4))</f>
        <v>2017</v>
      </c>
      <c r="M774" s="28" t="s">
        <v>1862</v>
      </c>
      <c r="N774" s="41">
        <v>18827</v>
      </c>
      <c r="O774" s="93">
        <f>IF(Activities[[#This Row],[Reference Year]]&gt;2018,Activities[[#This Row],[Value]],Activities[[#This Row],[Value]]*(1+VLOOKUP(Activities[[#This Row],[Reference Year]],Inflation[#All],3,FALSE)))</f>
        <v>19328.669265605877</v>
      </c>
    </row>
    <row r="775" spans="1:15" ht="15" customHeight="1" x14ac:dyDescent="0.25">
      <c r="A775" s="9" t="s">
        <v>313</v>
      </c>
      <c r="B775" s="9" t="str">
        <f>INDEX(Places[Type],MATCH(Activities[[#This Row],[Jurisdiction]],Places[Jurisdiction],0))</f>
        <v>City</v>
      </c>
      <c r="C775" s="19" t="str">
        <f>INDEX(Places[County],MATCH(Activities[[#This Row],[Jurisdiction]],Places[Jurisdiction],0))</f>
        <v>San Diego</v>
      </c>
      <c r="D775" s="9" t="str">
        <f>INDEX(Places[Majority RB],MATCH(Activities[[#This Row],[Jurisdiction]],Places[Jurisdiction],0))</f>
        <v>San Diego</v>
      </c>
      <c r="E775" s="9">
        <f>INDEX(Places[Majority RB '#],MATCH(Activities[[#This Row],[Jurisdiction]],Places[Jurisdiction],0))</f>
        <v>9</v>
      </c>
      <c r="F775" s="28" t="str">
        <f>VLOOKUP(Activities[[#This Row],[Jurisdiction]],Places[#All],8,FALSE)</f>
        <v>Phase I MS4</v>
      </c>
      <c r="G775" s="48" t="s">
        <v>1342</v>
      </c>
      <c r="H775" s="8"/>
      <c r="I775" s="8"/>
      <c r="J775" s="8" t="s">
        <v>1456</v>
      </c>
      <c r="K775" s="27" t="s">
        <v>1874</v>
      </c>
      <c r="L775" s="28">
        <f>_xlfn.NUMBERVALUE(LEFT(Activities[[#This Row],[Fiscal Year]], 4))</f>
        <v>2017</v>
      </c>
      <c r="M775" s="28" t="s">
        <v>1862</v>
      </c>
      <c r="N775" s="41">
        <v>13376</v>
      </c>
      <c r="O775" s="93">
        <f>IF(Activities[[#This Row],[Reference Year]]&gt;2018,Activities[[#This Row],[Value]],Activities[[#This Row],[Value]]*(1+VLOOKUP(Activities[[#This Row],[Reference Year]],Inflation[#All],3,FALSE)))</f>
        <v>13732.42046511628</v>
      </c>
    </row>
    <row r="776" spans="1:15" ht="15" customHeight="1" x14ac:dyDescent="0.25">
      <c r="A776" s="9" t="s">
        <v>313</v>
      </c>
      <c r="B776" s="9" t="str">
        <f>INDEX(Places[Type],MATCH(Activities[[#This Row],[Jurisdiction]],Places[Jurisdiction],0))</f>
        <v>City</v>
      </c>
      <c r="C776" s="19" t="str">
        <f>INDEX(Places[County],MATCH(Activities[[#This Row],[Jurisdiction]],Places[Jurisdiction],0))</f>
        <v>San Diego</v>
      </c>
      <c r="D776" s="9" t="str">
        <f>INDEX(Places[Majority RB],MATCH(Activities[[#This Row],[Jurisdiction]],Places[Jurisdiction],0))</f>
        <v>San Diego</v>
      </c>
      <c r="E776" s="9">
        <f>INDEX(Places[Majority RB '#],MATCH(Activities[[#This Row],[Jurisdiction]],Places[Jurisdiction],0))</f>
        <v>9</v>
      </c>
      <c r="F776" s="28" t="str">
        <f>VLOOKUP(Activities[[#This Row],[Jurisdiction]],Places[#All],8,FALSE)</f>
        <v>Phase I MS4</v>
      </c>
      <c r="G776" s="56" t="s">
        <v>1347</v>
      </c>
      <c r="H776" s="8"/>
      <c r="I776" s="8"/>
      <c r="J776" s="8" t="s">
        <v>1894</v>
      </c>
      <c r="K776" s="27" t="s">
        <v>1874</v>
      </c>
      <c r="L776" s="28">
        <v>2017</v>
      </c>
      <c r="M776" s="28" t="s">
        <v>1862</v>
      </c>
      <c r="N776" s="41">
        <v>11392</v>
      </c>
      <c r="O776" s="93">
        <f>IF(Activities[[#This Row],[Reference Year]]&gt;2018,Activities[[#This Row],[Value]],Activities[[#This Row],[Value]]*(1+VLOOKUP(Activities[[#This Row],[Reference Year]],Inflation[#All],3,FALSE)))</f>
        <v>11695.554271725827</v>
      </c>
    </row>
    <row r="777" spans="1:15" ht="15" customHeight="1" x14ac:dyDescent="0.25">
      <c r="A777" s="9" t="s">
        <v>313</v>
      </c>
      <c r="B777" s="9" t="str">
        <f>INDEX(Places[Type],MATCH(Activities[[#This Row],[Jurisdiction]],Places[Jurisdiction],0))</f>
        <v>City</v>
      </c>
      <c r="C777" s="19" t="str">
        <f>INDEX(Places[County],MATCH(Activities[[#This Row],[Jurisdiction]],Places[Jurisdiction],0))</f>
        <v>San Diego</v>
      </c>
      <c r="D777" s="9" t="str">
        <f>INDEX(Places[Majority RB],MATCH(Activities[[#This Row],[Jurisdiction]],Places[Jurisdiction],0))</f>
        <v>San Diego</v>
      </c>
      <c r="E777" s="9">
        <f>INDEX(Places[Majority RB '#],MATCH(Activities[[#This Row],[Jurisdiction]],Places[Jurisdiction],0))</f>
        <v>9</v>
      </c>
      <c r="F777" s="28" t="str">
        <f>VLOOKUP(Activities[[#This Row],[Jurisdiction]],Places[#All],8,FALSE)</f>
        <v>Phase I MS4</v>
      </c>
      <c r="G777" s="48" t="s">
        <v>1345</v>
      </c>
      <c r="H777" s="8"/>
      <c r="I777" s="8"/>
      <c r="J777" s="8" t="s">
        <v>1894</v>
      </c>
      <c r="K777" s="27" t="s">
        <v>1874</v>
      </c>
      <c r="L777" s="28">
        <f>_xlfn.NUMBERVALUE(LEFT(Activities[[#This Row],[Fiscal Year]], 4))</f>
        <v>2017</v>
      </c>
      <c r="M777" s="28" t="s">
        <v>1862</v>
      </c>
      <c r="N777" s="41">
        <v>21344</v>
      </c>
      <c r="O777" s="93">
        <f>IF(Activities[[#This Row],[Reference Year]]&gt;2018,Activities[[#This Row],[Value]],Activities[[#This Row],[Value]]*(1+VLOOKUP(Activities[[#This Row],[Reference Year]],Inflation[#All],3,FALSE)))</f>
        <v>21912.737919216648</v>
      </c>
    </row>
    <row r="778" spans="1:15" ht="15" customHeight="1" x14ac:dyDescent="0.25">
      <c r="A778" s="9" t="s">
        <v>313</v>
      </c>
      <c r="B778" s="9" t="str">
        <f>INDEX(Places[Type],MATCH(Activities[[#This Row],[Jurisdiction]],Places[Jurisdiction],0))</f>
        <v>City</v>
      </c>
      <c r="C778" s="19" t="str">
        <f>INDEX(Places[County],MATCH(Activities[[#This Row],[Jurisdiction]],Places[Jurisdiction],0))</f>
        <v>San Diego</v>
      </c>
      <c r="D778" s="9" t="str">
        <f>INDEX(Places[Majority RB],MATCH(Activities[[#This Row],[Jurisdiction]],Places[Jurisdiction],0))</f>
        <v>San Diego</v>
      </c>
      <c r="E778" s="9">
        <f>INDEX(Places[Majority RB '#],MATCH(Activities[[#This Row],[Jurisdiction]],Places[Jurisdiction],0))</f>
        <v>9</v>
      </c>
      <c r="F778" s="28" t="str">
        <f>VLOOKUP(Activities[[#This Row],[Jurisdiction]],Places[#All],8,FALSE)</f>
        <v>Phase I MS4</v>
      </c>
      <c r="G778" s="56" t="s">
        <v>1348</v>
      </c>
      <c r="H778" s="8"/>
      <c r="I778" s="8"/>
      <c r="J778" s="8" t="s">
        <v>1894</v>
      </c>
      <c r="K778" s="27" t="s">
        <v>1874</v>
      </c>
      <c r="L778" s="28">
        <v>2017</v>
      </c>
      <c r="M778" s="28" t="s">
        <v>1862</v>
      </c>
      <c r="N778" s="41">
        <v>71167</v>
      </c>
      <c r="O778" s="93">
        <f>IF(Activities[[#This Row],[Reference Year]]&gt;2018,Activities[[#This Row],[Value]],Activities[[#This Row],[Value]]*(1+VLOOKUP(Activities[[#This Row],[Reference Year]],Inflation[#All],3,FALSE)))</f>
        <v>73063.334871481042</v>
      </c>
    </row>
    <row r="779" spans="1:15" ht="15" customHeight="1" x14ac:dyDescent="0.25">
      <c r="A779" s="9" t="s">
        <v>313</v>
      </c>
      <c r="B779" s="9" t="str">
        <f>INDEX(Places[Type],MATCH(Activities[[#This Row],[Jurisdiction]],Places[Jurisdiction],0))</f>
        <v>City</v>
      </c>
      <c r="C779" s="19" t="str">
        <f>INDEX(Places[County],MATCH(Activities[[#This Row],[Jurisdiction]],Places[Jurisdiction],0))</f>
        <v>San Diego</v>
      </c>
      <c r="D779" s="9" t="str">
        <f>INDEX(Places[Majority RB],MATCH(Activities[[#This Row],[Jurisdiction]],Places[Jurisdiction],0))</f>
        <v>San Diego</v>
      </c>
      <c r="E779" s="9">
        <f>INDEX(Places[Majority RB '#],MATCH(Activities[[#This Row],[Jurisdiction]],Places[Jurisdiction],0))</f>
        <v>9</v>
      </c>
      <c r="F779" s="28" t="str">
        <f>VLOOKUP(Activities[[#This Row],[Jurisdiction]],Places[#All],8,FALSE)</f>
        <v>Phase I MS4</v>
      </c>
      <c r="G779" s="48" t="s">
        <v>1240</v>
      </c>
      <c r="H779" s="8"/>
      <c r="I779" s="8"/>
      <c r="J779" s="8" t="s">
        <v>1894</v>
      </c>
      <c r="K779" s="27" t="s">
        <v>1874</v>
      </c>
      <c r="L779" s="28">
        <f>_xlfn.NUMBERVALUE(LEFT(Activities[[#This Row],[Fiscal Year]], 4))</f>
        <v>2017</v>
      </c>
      <c r="M779" s="28" t="s">
        <v>1862</v>
      </c>
      <c r="N779" s="41">
        <v>79682</v>
      </c>
      <c r="O779" s="93">
        <f>IF(Activities[[#This Row],[Reference Year]]&gt;2018,Activities[[#This Row],[Value]],Activities[[#This Row],[Value]]*(1+VLOOKUP(Activities[[#This Row],[Reference Year]],Inflation[#All],3,FALSE)))</f>
        <v>81805.227833537341</v>
      </c>
    </row>
    <row r="780" spans="1:15" ht="15" customHeight="1" x14ac:dyDescent="0.25">
      <c r="A780" s="9" t="s">
        <v>313</v>
      </c>
      <c r="B780" s="9" t="str">
        <f>INDEX(Places[Type],MATCH(Activities[[#This Row],[Jurisdiction]],Places[Jurisdiction],0))</f>
        <v>City</v>
      </c>
      <c r="C780" s="19" t="str">
        <f>INDEX(Places[County],MATCH(Activities[[#This Row],[Jurisdiction]],Places[Jurisdiction],0))</f>
        <v>San Diego</v>
      </c>
      <c r="D780" s="9" t="str">
        <f>INDEX(Places[Majority RB],MATCH(Activities[[#This Row],[Jurisdiction]],Places[Jurisdiction],0))</f>
        <v>San Diego</v>
      </c>
      <c r="E780" s="9">
        <f>INDEX(Places[Majority RB '#],MATCH(Activities[[#This Row],[Jurisdiction]],Places[Jurisdiction],0))</f>
        <v>9</v>
      </c>
      <c r="F780" s="28" t="str">
        <f>VLOOKUP(Activities[[#This Row],[Jurisdiction]],Places[#All],8,FALSE)</f>
        <v>Phase I MS4</v>
      </c>
      <c r="G780" s="48" t="s">
        <v>1346</v>
      </c>
      <c r="H780" s="8"/>
      <c r="I780" s="8"/>
      <c r="J780" s="8" t="s">
        <v>1896</v>
      </c>
      <c r="K780" s="27" t="s">
        <v>1874</v>
      </c>
      <c r="L780" s="28">
        <f>_xlfn.NUMBERVALUE(LEFT(Activities[[#This Row],[Fiscal Year]], 4))</f>
        <v>2017</v>
      </c>
      <c r="M780" s="28" t="s">
        <v>1862</v>
      </c>
      <c r="N780" s="41">
        <v>3917</v>
      </c>
      <c r="O780" s="93">
        <f>IF(Activities[[#This Row],[Reference Year]]&gt;2018,Activities[[#This Row],[Value]],Activities[[#This Row],[Value]]*(1+VLOOKUP(Activities[[#This Row],[Reference Year]],Inflation[#All],3,FALSE)))</f>
        <v>4021.373427172583</v>
      </c>
    </row>
    <row r="781" spans="1:15" ht="15" customHeight="1" x14ac:dyDescent="0.25">
      <c r="A781" s="9" t="s">
        <v>313</v>
      </c>
      <c r="B781" s="9" t="str">
        <f>INDEX(Places[Type],MATCH(Activities[[#This Row],[Jurisdiction]],Places[Jurisdiction],0))</f>
        <v>City</v>
      </c>
      <c r="C781" s="19" t="str">
        <f>INDEX(Places[County],MATCH(Activities[[#This Row],[Jurisdiction]],Places[Jurisdiction],0))</f>
        <v>San Diego</v>
      </c>
      <c r="D781" s="9" t="str">
        <f>INDEX(Places[Majority RB],MATCH(Activities[[#This Row],[Jurisdiction]],Places[Jurisdiction],0))</f>
        <v>San Diego</v>
      </c>
      <c r="E781" s="9">
        <f>INDEX(Places[Majority RB '#],MATCH(Activities[[#This Row],[Jurisdiction]],Places[Jurisdiction],0))</f>
        <v>9</v>
      </c>
      <c r="F781" s="28" t="str">
        <f>VLOOKUP(Activities[[#This Row],[Jurisdiction]],Places[#All],8,FALSE)</f>
        <v>Phase I MS4</v>
      </c>
      <c r="G781" s="48" t="s">
        <v>1249</v>
      </c>
      <c r="H781" s="8" t="s">
        <v>692</v>
      </c>
      <c r="I781" s="8"/>
      <c r="J781" s="8" t="s">
        <v>1896</v>
      </c>
      <c r="K781" s="27" t="s">
        <v>1874</v>
      </c>
      <c r="L781" s="28">
        <f>_xlfn.NUMBERVALUE(LEFT(Activities[[#This Row],[Fiscal Year]], 4))</f>
        <v>2017</v>
      </c>
      <c r="M781" s="28" t="s">
        <v>1862</v>
      </c>
      <c r="N781" s="41">
        <v>31836</v>
      </c>
      <c r="O781" s="93">
        <f>IF(Activities[[#This Row],[Reference Year]]&gt;2018,Activities[[#This Row],[Value]],Activities[[#This Row],[Value]]*(1+VLOOKUP(Activities[[#This Row],[Reference Year]],Inflation[#All],3,FALSE)))</f>
        <v>32684.310550795599</v>
      </c>
    </row>
    <row r="782" spans="1:15" ht="15" customHeight="1" x14ac:dyDescent="0.25">
      <c r="A782" s="9" t="s">
        <v>313</v>
      </c>
      <c r="B782" s="9" t="str">
        <f>INDEX(Places[Type],MATCH(Activities[[#This Row],[Jurisdiction]],Places[Jurisdiction],0))</f>
        <v>City</v>
      </c>
      <c r="C782" s="19" t="str">
        <f>INDEX(Places[County],MATCH(Activities[[#This Row],[Jurisdiction]],Places[Jurisdiction],0))</f>
        <v>San Diego</v>
      </c>
      <c r="D782" s="9" t="str">
        <f>INDEX(Places[Majority RB],MATCH(Activities[[#This Row],[Jurisdiction]],Places[Jurisdiction],0))</f>
        <v>San Diego</v>
      </c>
      <c r="E782" s="9">
        <f>INDEX(Places[Majority RB '#],MATCH(Activities[[#This Row],[Jurisdiction]],Places[Jurisdiction],0))</f>
        <v>9</v>
      </c>
      <c r="F782" s="28" t="str">
        <f>VLOOKUP(Activities[[#This Row],[Jurisdiction]],Places[#All],8,FALSE)</f>
        <v>Phase I MS4</v>
      </c>
      <c r="G782" s="48" t="s">
        <v>1343</v>
      </c>
      <c r="H782" s="8"/>
      <c r="I782" s="8"/>
      <c r="J782" s="8" t="s">
        <v>605</v>
      </c>
      <c r="K782" s="27" t="s">
        <v>1874</v>
      </c>
      <c r="L782" s="28">
        <f>_xlfn.NUMBERVALUE(LEFT(Activities[[#This Row],[Fiscal Year]], 4))</f>
        <v>2017</v>
      </c>
      <c r="M782" s="28" t="s">
        <v>1862</v>
      </c>
      <c r="N782" s="41">
        <v>9672</v>
      </c>
      <c r="O782" s="93">
        <f>IF(Activities[[#This Row],[Reference Year]]&gt;2018,Activities[[#This Row],[Value]],Activities[[#This Row],[Value]]*(1+VLOOKUP(Activities[[#This Row],[Reference Year]],Inflation[#All],3,FALSE)))</f>
        <v>9929.7226927784595</v>
      </c>
    </row>
    <row r="783" spans="1:15" ht="15" customHeight="1" x14ac:dyDescent="0.25">
      <c r="A783" s="9" t="s">
        <v>313</v>
      </c>
      <c r="B783" s="9" t="str">
        <f>INDEX(Places[Type],MATCH(Activities[[#This Row],[Jurisdiction]],Places[Jurisdiction],0))</f>
        <v>City</v>
      </c>
      <c r="C783" s="19" t="str">
        <f>INDEX(Places[County],MATCH(Activities[[#This Row],[Jurisdiction]],Places[Jurisdiction],0))</f>
        <v>San Diego</v>
      </c>
      <c r="D783" s="9" t="str">
        <f>INDEX(Places[Majority RB],MATCH(Activities[[#This Row],[Jurisdiction]],Places[Jurisdiction],0))</f>
        <v>San Diego</v>
      </c>
      <c r="E783" s="9">
        <f>INDEX(Places[Majority RB '#],MATCH(Activities[[#This Row],[Jurisdiction]],Places[Jurisdiction],0))</f>
        <v>9</v>
      </c>
      <c r="F783" s="28" t="str">
        <f>VLOOKUP(Activities[[#This Row],[Jurisdiction]],Places[#All],8,FALSE)</f>
        <v>Phase I MS4</v>
      </c>
      <c r="G783" s="48" t="s">
        <v>1344</v>
      </c>
      <c r="H783" s="8"/>
      <c r="I783" s="8"/>
      <c r="J783" s="8" t="s">
        <v>605</v>
      </c>
      <c r="K783" s="27" t="s">
        <v>1874</v>
      </c>
      <c r="L783" s="28">
        <f>_xlfn.NUMBERVALUE(LEFT(Activities[[#This Row],[Fiscal Year]], 4))</f>
        <v>2017</v>
      </c>
      <c r="M783" s="28" t="s">
        <v>1862</v>
      </c>
      <c r="N783" s="41">
        <v>84251</v>
      </c>
      <c r="O783" s="93">
        <f>IF(Activities[[#This Row],[Reference Year]]&gt;2018,Activities[[#This Row],[Value]],Activities[[#This Row],[Value]]*(1+VLOOKUP(Activities[[#This Row],[Reference Year]],Inflation[#All],3,FALSE)))</f>
        <v>86495.97462668299</v>
      </c>
    </row>
    <row r="784" spans="1:15" ht="15" customHeight="1" x14ac:dyDescent="0.25">
      <c r="A784" s="9" t="s">
        <v>165</v>
      </c>
      <c r="B784" s="9" t="str">
        <f>INDEX(Places[Type],MATCH(Activities[[#This Row],[Jurisdiction]],Places[Jurisdiction],0))</f>
        <v>City</v>
      </c>
      <c r="C784" s="19" t="str">
        <f>INDEX(Places[County],MATCH(Activities[[#This Row],[Jurisdiction]],Places[Jurisdiction],0))</f>
        <v>Los Angeles</v>
      </c>
      <c r="D784" s="19" t="str">
        <f>INDEX(Places[Majority RB],MATCH(Activities[[#This Row],[Jurisdiction]],Places[Jurisdiction],0))</f>
        <v>Los Angeles</v>
      </c>
      <c r="E784" s="9">
        <f>INDEX(Places[Majority RB '#],MATCH(Activities[[#This Row],[Jurisdiction]],Places[Jurisdiction],0))</f>
        <v>4</v>
      </c>
      <c r="F784" s="28" t="str">
        <f>VLOOKUP(Activities[[#This Row],[Jurisdiction]],Places[#All],8,FALSE)</f>
        <v>Phase I MS4</v>
      </c>
      <c r="G784" s="48" t="s">
        <v>64</v>
      </c>
      <c r="H784" s="8"/>
      <c r="I784" s="8"/>
      <c r="J784" s="8" t="s">
        <v>76</v>
      </c>
      <c r="K784" s="27" t="s">
        <v>1873</v>
      </c>
      <c r="L784" s="28">
        <f>_xlfn.NUMBERVALUE(LEFT(Activities[[#This Row],[Fiscal Year]], 4))</f>
        <v>2015</v>
      </c>
      <c r="M784" s="28" t="s">
        <v>1862</v>
      </c>
      <c r="N784" s="41">
        <v>30000</v>
      </c>
      <c r="O784" s="93">
        <f>IF(Activities[[#This Row],[Reference Year]]&gt;2018,Activities[[#This Row],[Value]],Activities[[#This Row],[Value]]*(1+VLOOKUP(Activities[[#This Row],[Reference Year]],Inflation[#All],3,FALSE)))</f>
        <v>31852.025316455696</v>
      </c>
    </row>
    <row r="785" spans="1:15" ht="15" customHeight="1" x14ac:dyDescent="0.25">
      <c r="A785" s="9" t="s">
        <v>165</v>
      </c>
      <c r="B785" s="9" t="str">
        <f>INDEX(Places[Type],MATCH(Activities[[#This Row],[Jurisdiction]],Places[Jurisdiction],0))</f>
        <v>City</v>
      </c>
      <c r="C785" s="19" t="str">
        <f>INDEX(Places[County],MATCH(Activities[[#This Row],[Jurisdiction]],Places[Jurisdiction],0))</f>
        <v>Los Angeles</v>
      </c>
      <c r="D785" s="19" t="str">
        <f>INDEX(Places[Majority RB],MATCH(Activities[[#This Row],[Jurisdiction]],Places[Jurisdiction],0))</f>
        <v>Los Angeles</v>
      </c>
      <c r="E785" s="9">
        <f>INDEX(Places[Majority RB '#],MATCH(Activities[[#This Row],[Jurisdiction]],Places[Jurisdiction],0))</f>
        <v>4</v>
      </c>
      <c r="F785" s="28" t="str">
        <f>VLOOKUP(Activities[[#This Row],[Jurisdiction]],Places[#All],8,FALSE)</f>
        <v>Phase I MS4</v>
      </c>
      <c r="G785" s="48" t="s">
        <v>62</v>
      </c>
      <c r="H785" s="8"/>
      <c r="I785" s="8"/>
      <c r="J785" s="8" t="s">
        <v>131</v>
      </c>
      <c r="K785" s="27" t="s">
        <v>1873</v>
      </c>
      <c r="L785" s="28">
        <f>_xlfn.NUMBERVALUE(LEFT(Activities[[#This Row],[Fiscal Year]], 4))</f>
        <v>2015</v>
      </c>
      <c r="M785" s="28" t="s">
        <v>1862</v>
      </c>
      <c r="N785" s="41">
        <v>80000</v>
      </c>
      <c r="O785" s="93">
        <f>IF(Activities[[#This Row],[Reference Year]]&gt;2018,Activities[[#This Row],[Value]],Activities[[#This Row],[Value]]*(1+VLOOKUP(Activities[[#This Row],[Reference Year]],Inflation[#All],3,FALSE)))</f>
        <v>84938.734177215185</v>
      </c>
    </row>
    <row r="786" spans="1:15" ht="15" customHeight="1" x14ac:dyDescent="0.25">
      <c r="A786" s="9" t="s">
        <v>165</v>
      </c>
      <c r="B786" s="9" t="str">
        <f>INDEX(Places[Type],MATCH(Activities[[#This Row],[Jurisdiction]],Places[Jurisdiction],0))</f>
        <v>City</v>
      </c>
      <c r="C786" s="19" t="str">
        <f>INDEX(Places[County],MATCH(Activities[[#This Row],[Jurisdiction]],Places[Jurisdiction],0))</f>
        <v>Los Angeles</v>
      </c>
      <c r="D786" s="19" t="str">
        <f>INDEX(Places[Majority RB],MATCH(Activities[[#This Row],[Jurisdiction]],Places[Jurisdiction],0))</f>
        <v>Los Angeles</v>
      </c>
      <c r="E786" s="9">
        <f>INDEX(Places[Majority RB '#],MATCH(Activities[[#This Row],[Jurisdiction]],Places[Jurisdiction],0))</f>
        <v>4</v>
      </c>
      <c r="F786" s="28" t="str">
        <f>VLOOKUP(Activities[[#This Row],[Jurisdiction]],Places[#All],8,FALSE)</f>
        <v>Phase I MS4</v>
      </c>
      <c r="G786" s="48" t="s">
        <v>208</v>
      </c>
      <c r="H786" s="8"/>
      <c r="I786" s="8"/>
      <c r="J786" s="8" t="s">
        <v>334</v>
      </c>
      <c r="K786" s="27" t="s">
        <v>1873</v>
      </c>
      <c r="L786" s="28">
        <f>_xlfn.NUMBERVALUE(LEFT(Activities[[#This Row],[Fiscal Year]], 4))</f>
        <v>2015</v>
      </c>
      <c r="M786" s="28" t="s">
        <v>1862</v>
      </c>
      <c r="N786" s="41">
        <v>30000</v>
      </c>
      <c r="O786" s="93">
        <f>IF(Activities[[#This Row],[Reference Year]]&gt;2018,Activities[[#This Row],[Value]],Activities[[#This Row],[Value]]*(1+VLOOKUP(Activities[[#This Row],[Reference Year]],Inflation[#All],3,FALSE)))</f>
        <v>31852.025316455696</v>
      </c>
    </row>
    <row r="787" spans="1:15" ht="15" customHeight="1" x14ac:dyDescent="0.25">
      <c r="A787" s="9" t="s">
        <v>165</v>
      </c>
      <c r="B787" s="9" t="str">
        <f>INDEX(Places[Type],MATCH(Activities[[#This Row],[Jurisdiction]],Places[Jurisdiction],0))</f>
        <v>City</v>
      </c>
      <c r="C787" s="19" t="str">
        <f>INDEX(Places[County],MATCH(Activities[[#This Row],[Jurisdiction]],Places[Jurisdiction],0))</f>
        <v>Los Angeles</v>
      </c>
      <c r="D787" s="19" t="str">
        <f>INDEX(Places[Majority RB],MATCH(Activities[[#This Row],[Jurisdiction]],Places[Jurisdiction],0))</f>
        <v>Los Angeles</v>
      </c>
      <c r="E787" s="9">
        <f>INDEX(Places[Majority RB '#],MATCH(Activities[[#This Row],[Jurisdiction]],Places[Jurisdiction],0))</f>
        <v>4</v>
      </c>
      <c r="F787" s="28" t="str">
        <f>VLOOKUP(Activities[[#This Row],[Jurisdiction]],Places[#All],8,FALSE)</f>
        <v>Phase I MS4</v>
      </c>
      <c r="G787" s="48" t="s">
        <v>61</v>
      </c>
      <c r="H787" s="8"/>
      <c r="I787" s="8"/>
      <c r="J787" s="8" t="s">
        <v>1897</v>
      </c>
      <c r="K787" s="27" t="s">
        <v>1873</v>
      </c>
      <c r="L787" s="28">
        <f>_xlfn.NUMBERVALUE(LEFT(Activities[[#This Row],[Fiscal Year]], 4))</f>
        <v>2015</v>
      </c>
      <c r="M787" s="28" t="s">
        <v>1862</v>
      </c>
      <c r="N787" s="41">
        <v>657268</v>
      </c>
      <c r="O787" s="93">
        <f>IF(Activities[[#This Row],[Reference Year]]&gt;2018,Activities[[#This Row],[Value]],Activities[[#This Row],[Value]]*(1+VLOOKUP(Activities[[#This Row],[Reference Year]],Inflation[#All],3,FALSE)))</f>
        <v>697843.89918987337</v>
      </c>
    </row>
    <row r="788" spans="1:15" ht="15" customHeight="1" x14ac:dyDescent="0.25">
      <c r="A788" s="9" t="s">
        <v>165</v>
      </c>
      <c r="B788" s="9" t="str">
        <f>INDEX(Places[Type],MATCH(Activities[[#This Row],[Jurisdiction]],Places[Jurisdiction],0))</f>
        <v>City</v>
      </c>
      <c r="C788" s="19" t="str">
        <f>INDEX(Places[County],MATCH(Activities[[#This Row],[Jurisdiction]],Places[Jurisdiction],0))</f>
        <v>Los Angeles</v>
      </c>
      <c r="D788" s="19" t="str">
        <f>INDEX(Places[Majority RB],MATCH(Activities[[#This Row],[Jurisdiction]],Places[Jurisdiction],0))</f>
        <v>Los Angeles</v>
      </c>
      <c r="E788" s="9">
        <f>INDEX(Places[Majority RB '#],MATCH(Activities[[#This Row],[Jurisdiction]],Places[Jurisdiction],0))</f>
        <v>4</v>
      </c>
      <c r="F788" s="28" t="str">
        <f>VLOOKUP(Activities[[#This Row],[Jurisdiction]],Places[#All],8,FALSE)</f>
        <v>Phase I MS4</v>
      </c>
      <c r="G788" s="48" t="s">
        <v>59</v>
      </c>
      <c r="H788" s="8"/>
      <c r="I788" s="8"/>
      <c r="J788" s="8" t="s">
        <v>1898</v>
      </c>
      <c r="K788" s="27" t="s">
        <v>1873</v>
      </c>
      <c r="L788" s="28">
        <f>_xlfn.NUMBERVALUE(LEFT(Activities[[#This Row],[Fiscal Year]], 4))</f>
        <v>2015</v>
      </c>
      <c r="M788" s="28" t="s">
        <v>1862</v>
      </c>
      <c r="N788" s="41">
        <v>72965</v>
      </c>
      <c r="O788" s="93">
        <f>IF(Activities[[#This Row],[Reference Year]]&gt;2018,Activities[[#This Row],[Value]],Activities[[#This Row],[Value]]*(1+VLOOKUP(Activities[[#This Row],[Reference Year]],Inflation[#All],3,FALSE)))</f>
        <v>77469.434240506322</v>
      </c>
    </row>
    <row r="789" spans="1:15" ht="15" customHeight="1" x14ac:dyDescent="0.25">
      <c r="A789" s="9" t="s">
        <v>165</v>
      </c>
      <c r="B789" s="9" t="str">
        <f>INDEX(Places[Type],MATCH(Activities[[#This Row],[Jurisdiction]],Places[Jurisdiction],0))</f>
        <v>City</v>
      </c>
      <c r="C789" s="19" t="str">
        <f>INDEX(Places[County],MATCH(Activities[[#This Row],[Jurisdiction]],Places[Jurisdiction],0))</f>
        <v>Los Angeles</v>
      </c>
      <c r="D789" s="19" t="str">
        <f>INDEX(Places[Majority RB],MATCH(Activities[[#This Row],[Jurisdiction]],Places[Jurisdiction],0))</f>
        <v>Los Angeles</v>
      </c>
      <c r="E789" s="9">
        <f>INDEX(Places[Majority RB '#],MATCH(Activities[[#This Row],[Jurisdiction]],Places[Jurisdiction],0))</f>
        <v>4</v>
      </c>
      <c r="F789" s="28" t="str">
        <f>VLOOKUP(Activities[[#This Row],[Jurisdiction]],Places[#All],8,FALSE)</f>
        <v>Phase I MS4</v>
      </c>
      <c r="G789" s="48" t="s">
        <v>60</v>
      </c>
      <c r="H789" s="8"/>
      <c r="I789" s="8"/>
      <c r="J789" s="8" t="s">
        <v>1898</v>
      </c>
      <c r="K789" s="27" t="s">
        <v>1873</v>
      </c>
      <c r="L789" s="28">
        <f>_xlfn.NUMBERVALUE(LEFT(Activities[[#This Row],[Fiscal Year]], 4))</f>
        <v>2015</v>
      </c>
      <c r="M789" s="28" t="s">
        <v>1862</v>
      </c>
      <c r="N789" s="41">
        <v>200000</v>
      </c>
      <c r="O789" s="93">
        <f>IF(Activities[[#This Row],[Reference Year]]&gt;2018,Activities[[#This Row],[Value]],Activities[[#This Row],[Value]]*(1+VLOOKUP(Activities[[#This Row],[Reference Year]],Inflation[#All],3,FALSE)))</f>
        <v>212346.83544303797</v>
      </c>
    </row>
    <row r="790" spans="1:15" ht="15" customHeight="1" x14ac:dyDescent="0.25">
      <c r="A790" s="9" t="s">
        <v>165</v>
      </c>
      <c r="B790" s="9" t="str">
        <f>INDEX(Places[Type],MATCH(Activities[[#This Row],[Jurisdiction]],Places[Jurisdiction],0))</f>
        <v>City</v>
      </c>
      <c r="C790" s="19" t="str">
        <f>INDEX(Places[County],MATCH(Activities[[#This Row],[Jurisdiction]],Places[Jurisdiction],0))</f>
        <v>Los Angeles</v>
      </c>
      <c r="D790" s="19" t="str">
        <f>INDEX(Places[Majority RB],MATCH(Activities[[#This Row],[Jurisdiction]],Places[Jurisdiction],0))</f>
        <v>Los Angeles</v>
      </c>
      <c r="E790" s="9">
        <f>INDEX(Places[Majority RB '#],MATCH(Activities[[#This Row],[Jurisdiction]],Places[Jurisdiction],0))</f>
        <v>4</v>
      </c>
      <c r="F790" s="28" t="str">
        <f>VLOOKUP(Activities[[#This Row],[Jurisdiction]],Places[#All],8,FALSE)</f>
        <v>Phase I MS4</v>
      </c>
      <c r="G790" s="48" t="s">
        <v>58</v>
      </c>
      <c r="H790" s="8"/>
      <c r="I790" s="8"/>
      <c r="J790" s="8" t="s">
        <v>1456</v>
      </c>
      <c r="K790" s="27" t="s">
        <v>1873</v>
      </c>
      <c r="L790" s="28">
        <f>_xlfn.NUMBERVALUE(LEFT(Activities[[#This Row],[Fiscal Year]], 4))</f>
        <v>2015</v>
      </c>
      <c r="M790" s="28" t="s">
        <v>1862</v>
      </c>
      <c r="N790" s="41">
        <v>11392</v>
      </c>
      <c r="O790" s="93">
        <f>IF(Activities[[#This Row],[Reference Year]]&gt;2018,Activities[[#This Row],[Value]],Activities[[#This Row],[Value]]*(1+VLOOKUP(Activities[[#This Row],[Reference Year]],Inflation[#All],3,FALSE)))</f>
        <v>12095.275746835443</v>
      </c>
    </row>
    <row r="791" spans="1:15" ht="15" customHeight="1" x14ac:dyDescent="0.25">
      <c r="A791" s="9" t="s">
        <v>165</v>
      </c>
      <c r="B791" s="9" t="str">
        <f>INDEX(Places[Type],MATCH(Activities[[#This Row],[Jurisdiction]],Places[Jurisdiction],0))</f>
        <v>City</v>
      </c>
      <c r="C791" s="19" t="str">
        <f>INDEX(Places[County],MATCH(Activities[[#This Row],[Jurisdiction]],Places[Jurisdiction],0))</f>
        <v>Los Angeles</v>
      </c>
      <c r="D791" s="19" t="str">
        <f>INDEX(Places[Majority RB],MATCH(Activities[[#This Row],[Jurisdiction]],Places[Jurisdiction],0))</f>
        <v>Los Angeles</v>
      </c>
      <c r="E791" s="9">
        <f>INDEX(Places[Majority RB '#],MATCH(Activities[[#This Row],[Jurisdiction]],Places[Jurisdiction],0))</f>
        <v>4</v>
      </c>
      <c r="F791" s="28" t="str">
        <f>VLOOKUP(Activities[[#This Row],[Jurisdiction]],Places[#All],8,FALSE)</f>
        <v>Phase I MS4</v>
      </c>
      <c r="G791" s="48" t="s">
        <v>32</v>
      </c>
      <c r="H791" s="8"/>
      <c r="I791" s="8"/>
      <c r="J791" s="8" t="s">
        <v>1894</v>
      </c>
      <c r="K791" s="27" t="s">
        <v>1873</v>
      </c>
      <c r="L791" s="28">
        <f>_xlfn.NUMBERVALUE(LEFT(Activities[[#This Row],[Fiscal Year]], 4))</f>
        <v>2015</v>
      </c>
      <c r="M791" s="28" t="s">
        <v>1862</v>
      </c>
      <c r="N791" s="41">
        <v>84609</v>
      </c>
      <c r="O791" s="93">
        <f>IF(Activities[[#This Row],[Reference Year]]&gt;2018,Activities[[#This Row],[Value]],Activities[[#This Row],[Value]]*(1+VLOOKUP(Activities[[#This Row],[Reference Year]],Inflation[#All],3,FALSE)))</f>
        <v>89832.266999999993</v>
      </c>
    </row>
    <row r="792" spans="1:15" ht="15" customHeight="1" x14ac:dyDescent="0.25">
      <c r="A792" s="9" t="s">
        <v>165</v>
      </c>
      <c r="B792" s="9" t="str">
        <f>INDEX(Places[Type],MATCH(Activities[[#This Row],[Jurisdiction]],Places[Jurisdiction],0))</f>
        <v>City</v>
      </c>
      <c r="C792" s="19" t="str">
        <f>INDEX(Places[County],MATCH(Activities[[#This Row],[Jurisdiction]],Places[Jurisdiction],0))</f>
        <v>Los Angeles</v>
      </c>
      <c r="D792" s="19" t="str">
        <f>INDEX(Places[Majority RB],MATCH(Activities[[#This Row],[Jurisdiction]],Places[Jurisdiction],0))</f>
        <v>Los Angeles</v>
      </c>
      <c r="E792" s="9">
        <f>INDEX(Places[Majority RB '#],MATCH(Activities[[#This Row],[Jurisdiction]],Places[Jurisdiction],0))</f>
        <v>4</v>
      </c>
      <c r="F792" s="28" t="str">
        <f>VLOOKUP(Activities[[#This Row],[Jurisdiction]],Places[#All],8,FALSE)</f>
        <v>Phase I MS4</v>
      </c>
      <c r="G792" s="48" t="s">
        <v>211</v>
      </c>
      <c r="H792" s="8"/>
      <c r="I792" s="8"/>
      <c r="J792" s="8" t="s">
        <v>1896</v>
      </c>
      <c r="K792" s="27" t="s">
        <v>1873</v>
      </c>
      <c r="L792" s="28">
        <f>_xlfn.NUMBERVALUE(LEFT(Activities[[#This Row],[Fiscal Year]], 4))</f>
        <v>2015</v>
      </c>
      <c r="M792" s="28" t="s">
        <v>1862</v>
      </c>
      <c r="N792" s="41">
        <v>2974</v>
      </c>
      <c r="O792" s="93">
        <f>IF(Activities[[#This Row],[Reference Year]]&gt;2018,Activities[[#This Row],[Value]],Activities[[#This Row],[Value]]*(1+VLOOKUP(Activities[[#This Row],[Reference Year]],Inflation[#All],3,FALSE)))</f>
        <v>3157.5974430379747</v>
      </c>
    </row>
    <row r="793" spans="1:15" ht="15" customHeight="1" x14ac:dyDescent="0.25">
      <c r="A793" s="9" t="s">
        <v>165</v>
      </c>
      <c r="B793" s="9" t="str">
        <f>INDEX(Places[Type],MATCH(Activities[[#This Row],[Jurisdiction]],Places[Jurisdiction],0))</f>
        <v>City</v>
      </c>
      <c r="C793" s="19" t="str">
        <f>INDEX(Places[County],MATCH(Activities[[#This Row],[Jurisdiction]],Places[Jurisdiction],0))</f>
        <v>Los Angeles</v>
      </c>
      <c r="D793" s="19" t="str">
        <f>INDEX(Places[Majority RB],MATCH(Activities[[#This Row],[Jurisdiction]],Places[Jurisdiction],0))</f>
        <v>Los Angeles</v>
      </c>
      <c r="E793" s="9">
        <f>INDEX(Places[Majority RB '#],MATCH(Activities[[#This Row],[Jurisdiction]],Places[Jurisdiction],0))</f>
        <v>4</v>
      </c>
      <c r="F793" s="28" t="str">
        <f>VLOOKUP(Activities[[#This Row],[Jurisdiction]],Places[#All],8,FALSE)</f>
        <v>Phase I MS4</v>
      </c>
      <c r="G793" s="48" t="s">
        <v>67</v>
      </c>
      <c r="H793" s="8" t="s">
        <v>914</v>
      </c>
      <c r="I793" s="8" t="s">
        <v>429</v>
      </c>
      <c r="J793" s="8" t="s">
        <v>1896</v>
      </c>
      <c r="K793" s="27" t="s">
        <v>1873</v>
      </c>
      <c r="L793" s="28">
        <f>_xlfn.NUMBERVALUE(LEFT(Activities[[#This Row],[Fiscal Year]], 4))</f>
        <v>2015</v>
      </c>
      <c r="M793" s="28" t="s">
        <v>1862</v>
      </c>
      <c r="N793" s="41">
        <v>60000</v>
      </c>
      <c r="O793" s="93">
        <f>IF(Activities[[#This Row],[Reference Year]]&gt;2018,Activities[[#This Row],[Value]],Activities[[#This Row],[Value]]*(1+VLOOKUP(Activities[[#This Row],[Reference Year]],Inflation[#All],3,FALSE)))</f>
        <v>63704.050632911392</v>
      </c>
    </row>
    <row r="794" spans="1:15" ht="15" customHeight="1" x14ac:dyDescent="0.25">
      <c r="A794" s="9" t="s">
        <v>165</v>
      </c>
      <c r="B794" s="9" t="str">
        <f>INDEX(Places[Type],MATCH(Activities[[#This Row],[Jurisdiction]],Places[Jurisdiction],0))</f>
        <v>City</v>
      </c>
      <c r="C794" s="19" t="str">
        <f>INDEX(Places[County],MATCH(Activities[[#This Row],[Jurisdiction]],Places[Jurisdiction],0))</f>
        <v>Los Angeles</v>
      </c>
      <c r="D794" s="19" t="str">
        <f>INDEX(Places[Majority RB],MATCH(Activities[[#This Row],[Jurisdiction]],Places[Jurisdiction],0))</f>
        <v>Los Angeles</v>
      </c>
      <c r="E794" s="9">
        <f>INDEX(Places[Majority RB '#],MATCH(Activities[[#This Row],[Jurisdiction]],Places[Jurisdiction],0))</f>
        <v>4</v>
      </c>
      <c r="F794" s="28" t="str">
        <f>VLOOKUP(Activities[[#This Row],[Jurisdiction]],Places[#All],8,FALSE)</f>
        <v>Phase I MS4</v>
      </c>
      <c r="G794" s="48" t="s">
        <v>33</v>
      </c>
      <c r="H794" s="8"/>
      <c r="I794" s="8"/>
      <c r="J794" s="8" t="s">
        <v>47</v>
      </c>
      <c r="K794" s="27" t="s">
        <v>1873</v>
      </c>
      <c r="L794" s="28">
        <f>_xlfn.NUMBERVALUE(LEFT(Activities[[#This Row],[Fiscal Year]], 4))</f>
        <v>2015</v>
      </c>
      <c r="M794" s="28" t="s">
        <v>1862</v>
      </c>
      <c r="N794" s="41">
        <v>25000</v>
      </c>
      <c r="O794" s="93">
        <f>IF(Activities[[#This Row],[Reference Year]]&gt;2018,Activities[[#This Row],[Value]],Activities[[#This Row],[Value]]*(1+VLOOKUP(Activities[[#This Row],[Reference Year]],Inflation[#All],3,FALSE)))</f>
        <v>26543.354430379746</v>
      </c>
    </row>
    <row r="795" spans="1:15" ht="15" customHeight="1" x14ac:dyDescent="0.25">
      <c r="A795" s="9" t="s">
        <v>277</v>
      </c>
      <c r="B795" s="9" t="str">
        <f>INDEX(Places[Type],MATCH(Activities[[#This Row],[Jurisdiction]],Places[Jurisdiction],0))</f>
        <v>City</v>
      </c>
      <c r="C795" s="19" t="str">
        <f>INDEX(Places[County],MATCH(Activities[[#This Row],[Jurisdiction]],Places[Jurisdiction],0))</f>
        <v>Orange</v>
      </c>
      <c r="D795" s="9" t="str">
        <f>INDEX(Places[Majority RB],MATCH(Activities[[#This Row],[Jurisdiction]],Places[Jurisdiction],0))</f>
        <v>Santa Ana</v>
      </c>
      <c r="E795" s="9">
        <f>INDEX(Places[Majority RB '#],MATCH(Activities[[#This Row],[Jurisdiction]],Places[Jurisdiction],0))</f>
        <v>8</v>
      </c>
      <c r="F795" s="28" t="str">
        <f>VLOOKUP(Activities[[#This Row],[Jurisdiction]],Places[#All],8,FALSE)</f>
        <v>Phase I MS4</v>
      </c>
      <c r="G795" s="48" t="s">
        <v>994</v>
      </c>
      <c r="H795" s="8" t="s">
        <v>504</v>
      </c>
      <c r="I795" s="8"/>
      <c r="J795" s="8" t="s">
        <v>71</v>
      </c>
      <c r="K795" s="27" t="s">
        <v>1875</v>
      </c>
      <c r="L795" s="28">
        <f>_xlfn.NUMBERVALUE(LEFT(Activities[[#This Row],[Fiscal Year]], 4))</f>
        <v>2001</v>
      </c>
      <c r="M795" s="28" t="s">
        <v>1862</v>
      </c>
      <c r="N795" s="41">
        <v>52900</v>
      </c>
      <c r="O795" s="93">
        <f>IF(Activities[[#This Row],[Reference Year]]&gt;2018,Activities[[#This Row],[Value]],Activities[[#This Row],[Value]]*(1+VLOOKUP(Activities[[#This Row],[Reference Year]],Inflation[#All],3,FALSE)))</f>
        <v>75162.506493506487</v>
      </c>
    </row>
    <row r="796" spans="1:15" ht="15" customHeight="1" x14ac:dyDescent="0.25">
      <c r="A796" s="9" t="s">
        <v>277</v>
      </c>
      <c r="B796" s="9" t="str">
        <f>INDEX(Places[Type],MATCH(Activities[[#This Row],[Jurisdiction]],Places[Jurisdiction],0))</f>
        <v>City</v>
      </c>
      <c r="C796" s="19" t="str">
        <f>INDEX(Places[County],MATCH(Activities[[#This Row],[Jurisdiction]],Places[Jurisdiction],0))</f>
        <v>Orange</v>
      </c>
      <c r="D796" s="9" t="str">
        <f>INDEX(Places[Majority RB],MATCH(Activities[[#This Row],[Jurisdiction]],Places[Jurisdiction],0))</f>
        <v>Santa Ana</v>
      </c>
      <c r="E796" s="9">
        <f>INDEX(Places[Majority RB '#],MATCH(Activities[[#This Row],[Jurisdiction]],Places[Jurisdiction],0))</f>
        <v>8</v>
      </c>
      <c r="F796" s="28" t="str">
        <f>VLOOKUP(Activities[[#This Row],[Jurisdiction]],Places[#All],8,FALSE)</f>
        <v>Phase I MS4</v>
      </c>
      <c r="G796" s="48" t="s">
        <v>980</v>
      </c>
      <c r="H796" s="8" t="s">
        <v>504</v>
      </c>
      <c r="I796" s="8"/>
      <c r="J796" s="8" t="s">
        <v>1897</v>
      </c>
      <c r="K796" s="27" t="s">
        <v>1875</v>
      </c>
      <c r="L796" s="28">
        <f>_xlfn.NUMBERVALUE(LEFT(Activities[[#This Row],[Fiscal Year]], 4))</f>
        <v>2001</v>
      </c>
      <c r="M796" s="28" t="s">
        <v>1862</v>
      </c>
      <c r="N796" s="41">
        <v>500</v>
      </c>
      <c r="O796" s="93">
        <f>IF(Activities[[#This Row],[Reference Year]]&gt;2018,Activities[[#This Row],[Value]],Activities[[#This Row],[Value]]*(1+VLOOKUP(Activities[[#This Row],[Reference Year]],Inflation[#All],3,FALSE)))</f>
        <v>710.42066629023145</v>
      </c>
    </row>
    <row r="797" spans="1:15" ht="15" customHeight="1" x14ac:dyDescent="0.25">
      <c r="A797" s="9" t="s">
        <v>277</v>
      </c>
      <c r="B797" s="9" t="str">
        <f>INDEX(Places[Type],MATCH(Activities[[#This Row],[Jurisdiction]],Places[Jurisdiction],0))</f>
        <v>City</v>
      </c>
      <c r="C797" s="19" t="str">
        <f>INDEX(Places[County],MATCH(Activities[[#This Row],[Jurisdiction]],Places[Jurisdiction],0))</f>
        <v>Orange</v>
      </c>
      <c r="D797" s="9" t="str">
        <f>INDEX(Places[Majority RB],MATCH(Activities[[#This Row],[Jurisdiction]],Places[Jurisdiction],0))</f>
        <v>Santa Ana</v>
      </c>
      <c r="E797" s="9">
        <f>INDEX(Places[Majority RB '#],MATCH(Activities[[#This Row],[Jurisdiction]],Places[Jurisdiction],0))</f>
        <v>8</v>
      </c>
      <c r="F797" s="28" t="str">
        <f>VLOOKUP(Activities[[#This Row],[Jurisdiction]],Places[#All],8,FALSE)</f>
        <v>Phase I MS4</v>
      </c>
      <c r="G797" s="48" t="s">
        <v>984</v>
      </c>
      <c r="H797" s="8" t="s">
        <v>504</v>
      </c>
      <c r="I797" s="8"/>
      <c r="J797" s="8" t="s">
        <v>1897</v>
      </c>
      <c r="K797" s="27" t="s">
        <v>1875</v>
      </c>
      <c r="L797" s="28">
        <f>_xlfn.NUMBERVALUE(LEFT(Activities[[#This Row],[Fiscal Year]], 4))</f>
        <v>2001</v>
      </c>
      <c r="M797" s="28" t="s">
        <v>1862</v>
      </c>
      <c r="N797" s="41">
        <v>1500</v>
      </c>
      <c r="O797" s="93">
        <f>IF(Activities[[#This Row],[Reference Year]]&gt;2018,Activities[[#This Row],[Value]],Activities[[#This Row],[Value]]*(1+VLOOKUP(Activities[[#This Row],[Reference Year]],Inflation[#All],3,FALSE)))</f>
        <v>2131.2619988706942</v>
      </c>
    </row>
    <row r="798" spans="1:15" ht="15" customHeight="1" x14ac:dyDescent="0.25">
      <c r="A798" s="9" t="s">
        <v>277</v>
      </c>
      <c r="B798" s="9" t="str">
        <f>INDEX(Places[Type],MATCH(Activities[[#This Row],[Jurisdiction]],Places[Jurisdiction],0))</f>
        <v>City</v>
      </c>
      <c r="C798" s="19" t="str">
        <f>INDEX(Places[County],MATCH(Activities[[#This Row],[Jurisdiction]],Places[Jurisdiction],0))</f>
        <v>Orange</v>
      </c>
      <c r="D798" s="9" t="str">
        <f>INDEX(Places[Majority RB],MATCH(Activities[[#This Row],[Jurisdiction]],Places[Jurisdiction],0))</f>
        <v>Santa Ana</v>
      </c>
      <c r="E798" s="9">
        <f>INDEX(Places[Majority RB '#],MATCH(Activities[[#This Row],[Jurisdiction]],Places[Jurisdiction],0))</f>
        <v>8</v>
      </c>
      <c r="F798" s="28" t="str">
        <f>VLOOKUP(Activities[[#This Row],[Jurisdiction]],Places[#All],8,FALSE)</f>
        <v>Phase I MS4</v>
      </c>
      <c r="G798" s="48" t="s">
        <v>981</v>
      </c>
      <c r="H798" s="8" t="s">
        <v>504</v>
      </c>
      <c r="I798" s="8"/>
      <c r="J798" s="8" t="s">
        <v>1897</v>
      </c>
      <c r="K798" s="27" t="s">
        <v>1875</v>
      </c>
      <c r="L798" s="28">
        <f>_xlfn.NUMBERVALUE(LEFT(Activities[[#This Row],[Fiscal Year]], 4))</f>
        <v>2001</v>
      </c>
      <c r="M798" s="28" t="s">
        <v>1862</v>
      </c>
      <c r="N798" s="41">
        <v>2000</v>
      </c>
      <c r="O798" s="93">
        <f>IF(Activities[[#This Row],[Reference Year]]&gt;2018,Activities[[#This Row],[Value]],Activities[[#This Row],[Value]]*(1+VLOOKUP(Activities[[#This Row],[Reference Year]],Inflation[#All],3,FALSE)))</f>
        <v>2841.6826651609258</v>
      </c>
    </row>
    <row r="799" spans="1:15" ht="15" customHeight="1" x14ac:dyDescent="0.25">
      <c r="A799" s="9" t="s">
        <v>277</v>
      </c>
      <c r="B799" s="9" t="str">
        <f>INDEX(Places[Type],MATCH(Activities[[#This Row],[Jurisdiction]],Places[Jurisdiction],0))</f>
        <v>City</v>
      </c>
      <c r="C799" s="19" t="str">
        <f>INDEX(Places[County],MATCH(Activities[[#This Row],[Jurisdiction]],Places[Jurisdiction],0))</f>
        <v>Orange</v>
      </c>
      <c r="D799" s="9" t="str">
        <f>INDEX(Places[Majority RB],MATCH(Activities[[#This Row],[Jurisdiction]],Places[Jurisdiction],0))</f>
        <v>Santa Ana</v>
      </c>
      <c r="E799" s="9">
        <f>INDEX(Places[Majority RB '#],MATCH(Activities[[#This Row],[Jurisdiction]],Places[Jurisdiction],0))</f>
        <v>8</v>
      </c>
      <c r="F799" s="28" t="str">
        <f>VLOOKUP(Activities[[#This Row],[Jurisdiction]],Places[#All],8,FALSE)</f>
        <v>Phase I MS4</v>
      </c>
      <c r="G799" s="48" t="s">
        <v>999</v>
      </c>
      <c r="H799" s="8" t="s">
        <v>504</v>
      </c>
      <c r="I799" s="8"/>
      <c r="J799" s="8" t="s">
        <v>1897</v>
      </c>
      <c r="K799" s="27" t="s">
        <v>1875</v>
      </c>
      <c r="L799" s="28">
        <f>_xlfn.NUMBERVALUE(LEFT(Activities[[#This Row],[Fiscal Year]], 4))</f>
        <v>2001</v>
      </c>
      <c r="M799" s="28" t="s">
        <v>1862</v>
      </c>
      <c r="N799" s="41">
        <v>12000</v>
      </c>
      <c r="O799" s="93">
        <f>IF(Activities[[#This Row],[Reference Year]]&gt;2018,Activities[[#This Row],[Value]],Activities[[#This Row],[Value]]*(1+VLOOKUP(Activities[[#This Row],[Reference Year]],Inflation[#All],3,FALSE)))</f>
        <v>17050.095990965554</v>
      </c>
    </row>
    <row r="800" spans="1:15" ht="15" customHeight="1" x14ac:dyDescent="0.25">
      <c r="A800" s="9" t="s">
        <v>277</v>
      </c>
      <c r="B800" s="9" t="str">
        <f>INDEX(Places[Type],MATCH(Activities[[#This Row],[Jurisdiction]],Places[Jurisdiction],0))</f>
        <v>City</v>
      </c>
      <c r="C800" s="19" t="str">
        <f>INDEX(Places[County],MATCH(Activities[[#This Row],[Jurisdiction]],Places[Jurisdiction],0))</f>
        <v>Orange</v>
      </c>
      <c r="D800" s="9" t="str">
        <f>INDEX(Places[Majority RB],MATCH(Activities[[#This Row],[Jurisdiction]],Places[Jurisdiction],0))</f>
        <v>Santa Ana</v>
      </c>
      <c r="E800" s="9">
        <f>INDEX(Places[Majority RB '#],MATCH(Activities[[#This Row],[Jurisdiction]],Places[Jurisdiction],0))</f>
        <v>8</v>
      </c>
      <c r="F800" s="28" t="str">
        <f>VLOOKUP(Activities[[#This Row],[Jurisdiction]],Places[#All],8,FALSE)</f>
        <v>Phase I MS4</v>
      </c>
      <c r="G800" s="48" t="s">
        <v>996</v>
      </c>
      <c r="H800" s="8" t="s">
        <v>504</v>
      </c>
      <c r="I800" s="8"/>
      <c r="J800" s="8" t="s">
        <v>1897</v>
      </c>
      <c r="K800" s="27" t="s">
        <v>1875</v>
      </c>
      <c r="L800" s="28">
        <f>_xlfn.NUMBERVALUE(LEFT(Activities[[#This Row],[Fiscal Year]], 4))</f>
        <v>2001</v>
      </c>
      <c r="M800" s="28" t="s">
        <v>1862</v>
      </c>
      <c r="N800" s="41">
        <v>74000</v>
      </c>
      <c r="O800" s="93">
        <f>IF(Activities[[#This Row],[Reference Year]]&gt;2018,Activities[[#This Row],[Value]],Activities[[#This Row],[Value]]*(1+VLOOKUP(Activities[[#This Row],[Reference Year]],Inflation[#All],3,FALSE)))</f>
        <v>105142.25861095426</v>
      </c>
    </row>
    <row r="801" spans="1:15" ht="15" customHeight="1" x14ac:dyDescent="0.25">
      <c r="A801" s="9" t="s">
        <v>204</v>
      </c>
      <c r="B801" s="9" t="str">
        <f>INDEX(Places[Type],MATCH(Activities[[#This Row],[Jurisdiction]],Places[Jurisdiction],0))</f>
        <v>City</v>
      </c>
      <c r="C801" s="19" t="str">
        <f>INDEX(Places[County],MATCH(Activities[[#This Row],[Jurisdiction]],Places[Jurisdiction],0))</f>
        <v>Los Angeles</v>
      </c>
      <c r="D801" s="19" t="str">
        <f>INDEX(Places[Majority RB],MATCH(Activities[[#This Row],[Jurisdiction]],Places[Jurisdiction],0))</f>
        <v>Los Angeles</v>
      </c>
      <c r="E801" s="9">
        <f>INDEX(Places[Majority RB '#],MATCH(Activities[[#This Row],[Jurisdiction]],Places[Jurisdiction],0))</f>
        <v>4</v>
      </c>
      <c r="F801" s="28" t="str">
        <f>VLOOKUP(Activities[[#This Row],[Jurisdiction]],Places[#All],8,FALSE)</f>
        <v>Phase I MS4</v>
      </c>
      <c r="G801" s="48" t="s">
        <v>65</v>
      </c>
      <c r="H801" s="8"/>
      <c r="I801" s="8"/>
      <c r="J801" s="8" t="s">
        <v>76</v>
      </c>
      <c r="K801" s="27" t="s">
        <v>1873</v>
      </c>
      <c r="L801" s="28">
        <f>_xlfn.NUMBERVALUE(LEFT(Activities[[#This Row],[Fiscal Year]], 4))</f>
        <v>2015</v>
      </c>
      <c r="M801" s="28" t="s">
        <v>1862</v>
      </c>
      <c r="N801" s="41">
        <v>2000</v>
      </c>
      <c r="O801" s="93">
        <f>IF(Activities[[#This Row],[Reference Year]]&gt;2018,Activities[[#This Row],[Value]],Activities[[#This Row],[Value]]*(1+VLOOKUP(Activities[[#This Row],[Reference Year]],Inflation[#All],3,FALSE)))</f>
        <v>2123.4683544303798</v>
      </c>
    </row>
    <row r="802" spans="1:15" ht="15" customHeight="1" x14ac:dyDescent="0.25">
      <c r="A802" s="9" t="s">
        <v>204</v>
      </c>
      <c r="B802" s="9" t="str">
        <f>INDEX(Places[Type],MATCH(Activities[[#This Row],[Jurisdiction]],Places[Jurisdiction],0))</f>
        <v>City</v>
      </c>
      <c r="C802" s="19" t="str">
        <f>INDEX(Places[County],MATCH(Activities[[#This Row],[Jurisdiction]],Places[Jurisdiction],0))</f>
        <v>Los Angeles</v>
      </c>
      <c r="D802" s="19" t="str">
        <f>INDEX(Places[Majority RB],MATCH(Activities[[#This Row],[Jurisdiction]],Places[Jurisdiction],0))</f>
        <v>Los Angeles</v>
      </c>
      <c r="E802" s="9">
        <f>INDEX(Places[Majority RB '#],MATCH(Activities[[#This Row],[Jurisdiction]],Places[Jurisdiction],0))</f>
        <v>4</v>
      </c>
      <c r="F802" s="28" t="str">
        <f>VLOOKUP(Activities[[#This Row],[Jurisdiction]],Places[#All],8,FALSE)</f>
        <v>Phase I MS4</v>
      </c>
      <c r="G802" s="48" t="s">
        <v>60</v>
      </c>
      <c r="H802" s="8"/>
      <c r="I802" s="8"/>
      <c r="J802" s="8" t="s">
        <v>1898</v>
      </c>
      <c r="K802" s="27" t="s">
        <v>1873</v>
      </c>
      <c r="L802" s="28">
        <f>_xlfn.NUMBERVALUE(LEFT(Activities[[#This Row],[Fiscal Year]], 4))</f>
        <v>2015</v>
      </c>
      <c r="M802" s="28" t="s">
        <v>1862</v>
      </c>
      <c r="N802" s="41">
        <v>995</v>
      </c>
      <c r="O802" s="93">
        <f>IF(Activities[[#This Row],[Reference Year]]&gt;2018,Activities[[#This Row],[Value]],Activities[[#This Row],[Value]]*(1+VLOOKUP(Activities[[#This Row],[Reference Year]],Inflation[#All],3,FALSE)))</f>
        <v>1056.4255063291139</v>
      </c>
    </row>
    <row r="803" spans="1:15" ht="15" customHeight="1" x14ac:dyDescent="0.25">
      <c r="A803" s="9" t="s">
        <v>204</v>
      </c>
      <c r="B803" s="9" t="str">
        <f>INDEX(Places[Type],MATCH(Activities[[#This Row],[Jurisdiction]],Places[Jurisdiction],0))</f>
        <v>City</v>
      </c>
      <c r="C803" s="19" t="str">
        <f>INDEX(Places[County],MATCH(Activities[[#This Row],[Jurisdiction]],Places[Jurisdiction],0))</f>
        <v>Los Angeles</v>
      </c>
      <c r="D803" s="19" t="str">
        <f>INDEX(Places[Majority RB],MATCH(Activities[[#This Row],[Jurisdiction]],Places[Jurisdiction],0))</f>
        <v>Los Angeles</v>
      </c>
      <c r="E803" s="9">
        <f>INDEX(Places[Majority RB '#],MATCH(Activities[[#This Row],[Jurisdiction]],Places[Jurisdiction],0))</f>
        <v>4</v>
      </c>
      <c r="F803" s="28" t="str">
        <f>VLOOKUP(Activities[[#This Row],[Jurisdiction]],Places[#All],8,FALSE)</f>
        <v>Phase I MS4</v>
      </c>
      <c r="G803" s="48" t="s">
        <v>58</v>
      </c>
      <c r="H803" s="8"/>
      <c r="I803" s="8"/>
      <c r="J803" s="8" t="s">
        <v>1456</v>
      </c>
      <c r="K803" s="27" t="s">
        <v>1873</v>
      </c>
      <c r="L803" s="28">
        <f>_xlfn.NUMBERVALUE(LEFT(Activities[[#This Row],[Fiscal Year]], 4))</f>
        <v>2015</v>
      </c>
      <c r="M803" s="28" t="s">
        <v>1862</v>
      </c>
      <c r="N803" s="41">
        <v>1750</v>
      </c>
      <c r="O803" s="93">
        <f>IF(Activities[[#This Row],[Reference Year]]&gt;2018,Activities[[#This Row],[Value]],Activities[[#This Row],[Value]]*(1+VLOOKUP(Activities[[#This Row],[Reference Year]],Inflation[#All],3,FALSE)))</f>
        <v>1858.0348101265822</v>
      </c>
    </row>
    <row r="804" spans="1:15" ht="15" customHeight="1" x14ac:dyDescent="0.25">
      <c r="A804" s="9" t="s">
        <v>204</v>
      </c>
      <c r="B804" s="9" t="str">
        <f>INDEX(Places[Type],MATCH(Activities[[#This Row],[Jurisdiction]],Places[Jurisdiction],0))</f>
        <v>City</v>
      </c>
      <c r="C804" s="19" t="str">
        <f>INDEX(Places[County],MATCH(Activities[[#This Row],[Jurisdiction]],Places[Jurisdiction],0))</f>
        <v>Los Angeles</v>
      </c>
      <c r="D804" s="19" t="str">
        <f>INDEX(Places[Majority RB],MATCH(Activities[[#This Row],[Jurisdiction]],Places[Jurisdiction],0))</f>
        <v>Los Angeles</v>
      </c>
      <c r="E804" s="9">
        <f>INDEX(Places[Majority RB '#],MATCH(Activities[[#This Row],[Jurisdiction]],Places[Jurisdiction],0))</f>
        <v>4</v>
      </c>
      <c r="F804" s="28" t="str">
        <f>VLOOKUP(Activities[[#This Row],[Jurisdiction]],Places[#All],8,FALSE)</f>
        <v>Phase I MS4</v>
      </c>
      <c r="G804" s="48" t="s">
        <v>32</v>
      </c>
      <c r="H804" s="8"/>
      <c r="I804" s="8"/>
      <c r="J804" s="8" t="s">
        <v>1894</v>
      </c>
      <c r="K804" s="27" t="s">
        <v>1873</v>
      </c>
      <c r="L804" s="28">
        <f>_xlfn.NUMBERVALUE(LEFT(Activities[[#This Row],[Fiscal Year]], 4))</f>
        <v>2015</v>
      </c>
      <c r="M804" s="28" t="s">
        <v>1862</v>
      </c>
      <c r="N804" s="41">
        <v>13030</v>
      </c>
      <c r="O804" s="93">
        <f>IF(Activities[[#This Row],[Reference Year]]&gt;2018,Activities[[#This Row],[Value]],Activities[[#This Row],[Value]]*(1+VLOOKUP(Activities[[#This Row],[Reference Year]],Inflation[#All],3,FALSE)))</f>
        <v>13834.396329113923</v>
      </c>
    </row>
    <row r="805" spans="1:15" ht="15" customHeight="1" x14ac:dyDescent="0.25">
      <c r="A805" s="9" t="s">
        <v>204</v>
      </c>
      <c r="B805" s="9" t="str">
        <f>INDEX(Places[Type],MATCH(Activities[[#This Row],[Jurisdiction]],Places[Jurisdiction],0))</f>
        <v>City</v>
      </c>
      <c r="C805" s="19" t="str">
        <f>INDEX(Places[County],MATCH(Activities[[#This Row],[Jurisdiction]],Places[Jurisdiction],0))</f>
        <v>Los Angeles</v>
      </c>
      <c r="D805" s="19" t="str">
        <f>INDEX(Places[Majority RB],MATCH(Activities[[#This Row],[Jurisdiction]],Places[Jurisdiction],0))</f>
        <v>Los Angeles</v>
      </c>
      <c r="E805" s="9">
        <f>INDEX(Places[Majority RB '#],MATCH(Activities[[#This Row],[Jurisdiction]],Places[Jurisdiction],0))</f>
        <v>4</v>
      </c>
      <c r="F805" s="28" t="str">
        <f>VLOOKUP(Activities[[#This Row],[Jurisdiction]],Places[#All],8,FALSE)</f>
        <v>Phase I MS4</v>
      </c>
      <c r="G805" s="48" t="s">
        <v>33</v>
      </c>
      <c r="H805" s="8"/>
      <c r="I805" s="8"/>
      <c r="J805" s="8" t="s">
        <v>47</v>
      </c>
      <c r="K805" s="27" t="s">
        <v>1873</v>
      </c>
      <c r="L805" s="28">
        <f>_xlfn.NUMBERVALUE(LEFT(Activities[[#This Row],[Fiscal Year]], 4))</f>
        <v>2015</v>
      </c>
      <c r="M805" s="28" t="s">
        <v>1862</v>
      </c>
      <c r="N805" s="41">
        <v>32311</v>
      </c>
      <c r="O805" s="93">
        <f>IF(Activities[[#This Row],[Reference Year]]&gt;2018,Activities[[#This Row],[Value]],Activities[[#This Row],[Value]]*(1+VLOOKUP(Activities[[#This Row],[Reference Year]],Inflation[#All],3,FALSE)))</f>
        <v>34305.692999999999</v>
      </c>
    </row>
    <row r="806" spans="1:15" ht="15" customHeight="1" x14ac:dyDescent="0.25">
      <c r="A806" s="9" t="s">
        <v>151</v>
      </c>
      <c r="B806" s="9" t="str">
        <f>INDEX(Places[Type],MATCH(Activities[[#This Row],[Jurisdiction]],Places[Jurisdiction],0))</f>
        <v>City</v>
      </c>
      <c r="C806" s="19" t="str">
        <f>INDEX(Places[County],MATCH(Activities[[#This Row],[Jurisdiction]],Places[Jurisdiction],0))</f>
        <v>Los Angeles</v>
      </c>
      <c r="D806" s="19" t="str">
        <f>INDEX(Places[Majority RB],MATCH(Activities[[#This Row],[Jurisdiction]],Places[Jurisdiction],0))</f>
        <v>Los Angeles</v>
      </c>
      <c r="E806" s="9">
        <f>INDEX(Places[Majority RB '#],MATCH(Activities[[#This Row],[Jurisdiction]],Places[Jurisdiction],0))</f>
        <v>4</v>
      </c>
      <c r="F806" s="28" t="str">
        <f>VLOOKUP(Activities[[#This Row],[Jurisdiction]],Places[#All],8,FALSE)</f>
        <v>Phase I MS4</v>
      </c>
      <c r="G806" s="48" t="s">
        <v>898</v>
      </c>
      <c r="H806" s="8"/>
      <c r="I806" s="8"/>
      <c r="J806" s="8" t="s">
        <v>131</v>
      </c>
      <c r="K806" s="27" t="s">
        <v>1873</v>
      </c>
      <c r="L806" s="28">
        <f>_xlfn.NUMBERVALUE(LEFT(Activities[[#This Row],[Fiscal Year]], 4))</f>
        <v>2015</v>
      </c>
      <c r="M806" s="28" t="s">
        <v>1862</v>
      </c>
      <c r="N806" s="41">
        <v>3350</v>
      </c>
      <c r="O806" s="93">
        <f>IF(Activities[[#This Row],[Reference Year]]&gt;2018,Activities[[#This Row],[Value]],Activities[[#This Row],[Value]]*(1+VLOOKUP(Activities[[#This Row],[Reference Year]],Inflation[#All],3,FALSE)))</f>
        <v>3556.8094936708858</v>
      </c>
    </row>
    <row r="807" spans="1:15" ht="15" customHeight="1" x14ac:dyDescent="0.25">
      <c r="A807" s="9" t="s">
        <v>151</v>
      </c>
      <c r="B807" s="9" t="str">
        <f>INDEX(Places[Type],MATCH(Activities[[#This Row],[Jurisdiction]],Places[Jurisdiction],0))</f>
        <v>City</v>
      </c>
      <c r="C807" s="19" t="str">
        <f>INDEX(Places[County],MATCH(Activities[[#This Row],[Jurisdiction]],Places[Jurisdiction],0))</f>
        <v>Los Angeles</v>
      </c>
      <c r="D807" s="19" t="str">
        <f>INDEX(Places[Majority RB],MATCH(Activities[[#This Row],[Jurisdiction]],Places[Jurisdiction],0))</f>
        <v>Los Angeles</v>
      </c>
      <c r="E807" s="9">
        <f>INDEX(Places[Majority RB '#],MATCH(Activities[[#This Row],[Jurisdiction]],Places[Jurisdiction],0))</f>
        <v>4</v>
      </c>
      <c r="F807" s="28" t="str">
        <f>VLOOKUP(Activities[[#This Row],[Jurisdiction]],Places[#All],8,FALSE)</f>
        <v>Phase I MS4</v>
      </c>
      <c r="G807" s="48" t="s">
        <v>894</v>
      </c>
      <c r="H807" s="8"/>
      <c r="I807" s="8"/>
      <c r="J807" s="8" t="s">
        <v>334</v>
      </c>
      <c r="K807" s="27" t="s">
        <v>1873</v>
      </c>
      <c r="L807" s="28">
        <f>_xlfn.NUMBERVALUE(LEFT(Activities[[#This Row],[Fiscal Year]], 4))</f>
        <v>2015</v>
      </c>
      <c r="M807" s="28" t="s">
        <v>1862</v>
      </c>
      <c r="N807" s="41">
        <v>50154</v>
      </c>
      <c r="O807" s="93">
        <f>IF(Activities[[#This Row],[Reference Year]]&gt;2018,Activities[[#This Row],[Value]],Activities[[#This Row],[Value]]*(1+VLOOKUP(Activities[[#This Row],[Reference Year]],Inflation[#All],3,FALSE)))</f>
        <v>53250.21592405063</v>
      </c>
    </row>
    <row r="808" spans="1:15" ht="15" customHeight="1" x14ac:dyDescent="0.25">
      <c r="A808" s="9" t="s">
        <v>151</v>
      </c>
      <c r="B808" s="9" t="str">
        <f>INDEX(Places[Type],MATCH(Activities[[#This Row],[Jurisdiction]],Places[Jurisdiction],0))</f>
        <v>City</v>
      </c>
      <c r="C808" s="19" t="str">
        <f>INDEX(Places[County],MATCH(Activities[[#This Row],[Jurisdiction]],Places[Jurisdiction],0))</f>
        <v>Los Angeles</v>
      </c>
      <c r="D808" s="19" t="str">
        <f>INDEX(Places[Majority RB],MATCH(Activities[[#This Row],[Jurisdiction]],Places[Jurisdiction],0))</f>
        <v>Los Angeles</v>
      </c>
      <c r="E808" s="9">
        <f>INDEX(Places[Majority RB '#],MATCH(Activities[[#This Row],[Jurisdiction]],Places[Jurisdiction],0))</f>
        <v>4</v>
      </c>
      <c r="F808" s="28" t="str">
        <f>VLOOKUP(Activities[[#This Row],[Jurisdiction]],Places[#All],8,FALSE)</f>
        <v>Phase I MS4</v>
      </c>
      <c r="G808" s="48" t="s">
        <v>897</v>
      </c>
      <c r="H808" s="8"/>
      <c r="I808" s="8"/>
      <c r="J808" s="8" t="s">
        <v>1897</v>
      </c>
      <c r="K808" s="27" t="s">
        <v>1873</v>
      </c>
      <c r="L808" s="28">
        <f>_xlfn.NUMBERVALUE(LEFT(Activities[[#This Row],[Fiscal Year]], 4))</f>
        <v>2015</v>
      </c>
      <c r="M808" s="28" t="s">
        <v>1862</v>
      </c>
      <c r="N808" s="41">
        <v>4090600</v>
      </c>
      <c r="O808" s="93">
        <f>IF(Activities[[#This Row],[Reference Year]]&gt;2018,Activities[[#This Row],[Value]],Activities[[#This Row],[Value]]*(1+VLOOKUP(Activities[[#This Row],[Reference Year]],Inflation[#All],3,FALSE)))</f>
        <v>4343129.8253164552</v>
      </c>
    </row>
    <row r="809" spans="1:15" ht="15" customHeight="1" x14ac:dyDescent="0.25">
      <c r="A809" s="9" t="s">
        <v>151</v>
      </c>
      <c r="B809" s="9" t="str">
        <f>INDEX(Places[Type],MATCH(Activities[[#This Row],[Jurisdiction]],Places[Jurisdiction],0))</f>
        <v>City</v>
      </c>
      <c r="C809" s="19" t="str">
        <f>INDEX(Places[County],MATCH(Activities[[#This Row],[Jurisdiction]],Places[Jurisdiction],0))</f>
        <v>Los Angeles</v>
      </c>
      <c r="D809" s="19" t="str">
        <f>INDEX(Places[Majority RB],MATCH(Activities[[#This Row],[Jurisdiction]],Places[Jurisdiction],0))</f>
        <v>Los Angeles</v>
      </c>
      <c r="E809" s="9">
        <f>INDEX(Places[Majority RB '#],MATCH(Activities[[#This Row],[Jurisdiction]],Places[Jurisdiction],0))</f>
        <v>4</v>
      </c>
      <c r="F809" s="28" t="str">
        <f>VLOOKUP(Activities[[#This Row],[Jurisdiction]],Places[#All],8,FALSE)</f>
        <v>Phase I MS4</v>
      </c>
      <c r="G809" s="48" t="s">
        <v>895</v>
      </c>
      <c r="H809" s="8"/>
      <c r="I809" s="8"/>
      <c r="J809" s="8" t="s">
        <v>1898</v>
      </c>
      <c r="K809" s="27" t="s">
        <v>1873</v>
      </c>
      <c r="L809" s="28">
        <f>_xlfn.NUMBERVALUE(LEFT(Activities[[#This Row],[Fiscal Year]], 4))</f>
        <v>2015</v>
      </c>
      <c r="M809" s="28" t="s">
        <v>1862</v>
      </c>
      <c r="N809" s="41">
        <v>10000</v>
      </c>
      <c r="O809" s="93">
        <f>IF(Activities[[#This Row],[Reference Year]]&gt;2018,Activities[[#This Row],[Value]],Activities[[#This Row],[Value]]*(1+VLOOKUP(Activities[[#This Row],[Reference Year]],Inflation[#All],3,FALSE)))</f>
        <v>10617.341772151898</v>
      </c>
    </row>
    <row r="810" spans="1:15" ht="15" customHeight="1" x14ac:dyDescent="0.25">
      <c r="A810" s="9" t="s">
        <v>151</v>
      </c>
      <c r="B810" s="9" t="str">
        <f>INDEX(Places[Type],MATCH(Activities[[#This Row],[Jurisdiction]],Places[Jurisdiction],0))</f>
        <v>City</v>
      </c>
      <c r="C810" s="19" t="str">
        <f>INDEX(Places[County],MATCH(Activities[[#This Row],[Jurisdiction]],Places[Jurisdiction],0))</f>
        <v>Los Angeles</v>
      </c>
      <c r="D810" s="19" t="str">
        <f>INDEX(Places[Majority RB],MATCH(Activities[[#This Row],[Jurisdiction]],Places[Jurisdiction],0))</f>
        <v>Los Angeles</v>
      </c>
      <c r="E810" s="9">
        <f>INDEX(Places[Majority RB '#],MATCH(Activities[[#This Row],[Jurisdiction]],Places[Jurisdiction],0))</f>
        <v>4</v>
      </c>
      <c r="F810" s="28" t="str">
        <f>VLOOKUP(Activities[[#This Row],[Jurisdiction]],Places[#All],8,FALSE)</f>
        <v>Phase I MS4</v>
      </c>
      <c r="G810" s="48" t="s">
        <v>896</v>
      </c>
      <c r="H810" s="8"/>
      <c r="I810" s="8"/>
      <c r="J810" s="8" t="s">
        <v>1898</v>
      </c>
      <c r="K810" s="27" t="s">
        <v>1873</v>
      </c>
      <c r="L810" s="28">
        <f>_xlfn.NUMBERVALUE(LEFT(Activities[[#This Row],[Fiscal Year]], 4))</f>
        <v>2015</v>
      </c>
      <c r="M810" s="28" t="s">
        <v>1862</v>
      </c>
      <c r="N810" s="41">
        <v>40000</v>
      </c>
      <c r="O810" s="93">
        <f>IF(Activities[[#This Row],[Reference Year]]&gt;2018,Activities[[#This Row],[Value]],Activities[[#This Row],[Value]]*(1+VLOOKUP(Activities[[#This Row],[Reference Year]],Inflation[#All],3,FALSE)))</f>
        <v>42469.367088607592</v>
      </c>
    </row>
    <row r="811" spans="1:15" ht="15" customHeight="1" x14ac:dyDescent="0.25">
      <c r="A811" s="9" t="s">
        <v>151</v>
      </c>
      <c r="B811" s="9" t="str">
        <f>INDEX(Places[Type],MATCH(Activities[[#This Row],[Jurisdiction]],Places[Jurisdiction],0))</f>
        <v>City</v>
      </c>
      <c r="C811" s="19" t="str">
        <f>INDEX(Places[County],MATCH(Activities[[#This Row],[Jurisdiction]],Places[Jurisdiction],0))</f>
        <v>Los Angeles</v>
      </c>
      <c r="D811" s="19" t="str">
        <f>INDEX(Places[Majority RB],MATCH(Activities[[#This Row],[Jurisdiction]],Places[Jurisdiction],0))</f>
        <v>Los Angeles</v>
      </c>
      <c r="E811" s="9">
        <f>INDEX(Places[Majority RB '#],MATCH(Activities[[#This Row],[Jurisdiction]],Places[Jurisdiction],0))</f>
        <v>4</v>
      </c>
      <c r="F811" s="28" t="str">
        <f>VLOOKUP(Activities[[#This Row],[Jurisdiction]],Places[#All],8,FALSE)</f>
        <v>Phase I MS4</v>
      </c>
      <c r="G811" s="48" t="s">
        <v>893</v>
      </c>
      <c r="H811" s="8"/>
      <c r="I811" s="8"/>
      <c r="J811" s="8" t="s">
        <v>1456</v>
      </c>
      <c r="K811" s="27" t="s">
        <v>1873</v>
      </c>
      <c r="L811" s="28">
        <f>_xlfn.NUMBERVALUE(LEFT(Activities[[#This Row],[Fiscal Year]], 4))</f>
        <v>2015</v>
      </c>
      <c r="M811" s="28" t="s">
        <v>1862</v>
      </c>
      <c r="N811" s="41">
        <v>1000</v>
      </c>
      <c r="O811" s="93">
        <f>IF(Activities[[#This Row],[Reference Year]]&gt;2018,Activities[[#This Row],[Value]],Activities[[#This Row],[Value]]*(1+VLOOKUP(Activities[[#This Row],[Reference Year]],Inflation[#All],3,FALSE)))</f>
        <v>1061.7341772151899</v>
      </c>
    </row>
    <row r="812" spans="1:15" ht="15" customHeight="1" x14ac:dyDescent="0.25">
      <c r="A812" s="9" t="s">
        <v>151</v>
      </c>
      <c r="B812" s="9" t="str">
        <f>INDEX(Places[Type],MATCH(Activities[[#This Row],[Jurisdiction]],Places[Jurisdiction],0))</f>
        <v>City</v>
      </c>
      <c r="C812" s="19" t="str">
        <f>INDEX(Places[County],MATCH(Activities[[#This Row],[Jurisdiction]],Places[Jurisdiction],0))</f>
        <v>Los Angeles</v>
      </c>
      <c r="D812" s="19" t="str">
        <f>INDEX(Places[Majority RB],MATCH(Activities[[#This Row],[Jurisdiction]],Places[Jurisdiction],0))</f>
        <v>Los Angeles</v>
      </c>
      <c r="E812" s="9">
        <f>INDEX(Places[Majority RB '#],MATCH(Activities[[#This Row],[Jurisdiction]],Places[Jurisdiction],0))</f>
        <v>4</v>
      </c>
      <c r="F812" s="28" t="str">
        <f>VLOOKUP(Activities[[#This Row],[Jurisdiction]],Places[#All],8,FALSE)</f>
        <v>Phase I MS4</v>
      </c>
      <c r="G812" s="56" t="s">
        <v>829</v>
      </c>
      <c r="H812" s="8"/>
      <c r="I812" s="8"/>
      <c r="J812" s="8" t="s">
        <v>1894</v>
      </c>
      <c r="K812" s="27" t="s">
        <v>1873</v>
      </c>
      <c r="L812" s="28">
        <f>_xlfn.NUMBERVALUE(LEFT(Activities[[#This Row],[Fiscal Year]], 4))</f>
        <v>2015</v>
      </c>
      <c r="M812" s="28" t="s">
        <v>1862</v>
      </c>
      <c r="N812" s="41">
        <v>551667.29</v>
      </c>
      <c r="O812" s="93">
        <f>IF(Activities[[#This Row],[Reference Year]]&gt;2018,Activities[[#This Row],[Value]],Activities[[#This Row],[Value]]*(1+VLOOKUP(Activities[[#This Row],[Reference Year]],Inflation[#All],3,FALSE)))</f>
        <v>585724.01624468353</v>
      </c>
    </row>
    <row r="813" spans="1:15" ht="15" customHeight="1" x14ac:dyDescent="0.25">
      <c r="A813" s="9" t="s">
        <v>151</v>
      </c>
      <c r="B813" s="9" t="str">
        <f>INDEX(Places[Type],MATCH(Activities[[#This Row],[Jurisdiction]],Places[Jurisdiction],0))</f>
        <v>City</v>
      </c>
      <c r="C813" s="19" t="str">
        <f>INDEX(Places[County],MATCH(Activities[[#This Row],[Jurisdiction]],Places[Jurisdiction],0))</f>
        <v>Los Angeles</v>
      </c>
      <c r="D813" s="19" t="str">
        <f>INDEX(Places[Majority RB],MATCH(Activities[[#This Row],[Jurisdiction]],Places[Jurisdiction],0))</f>
        <v>Los Angeles</v>
      </c>
      <c r="E813" s="9">
        <f>INDEX(Places[Majority RB '#],MATCH(Activities[[#This Row],[Jurisdiction]],Places[Jurisdiction],0))</f>
        <v>4</v>
      </c>
      <c r="F813" s="28" t="str">
        <f>VLOOKUP(Activities[[#This Row],[Jurisdiction]],Places[#All],8,FALSE)</f>
        <v>Phase I MS4</v>
      </c>
      <c r="G813" s="56" t="s">
        <v>854</v>
      </c>
      <c r="H813" s="8"/>
      <c r="I813" s="8"/>
      <c r="J813" s="8" t="s">
        <v>47</v>
      </c>
      <c r="K813" s="27" t="s">
        <v>1873</v>
      </c>
      <c r="L813" s="28">
        <f>_xlfn.NUMBERVALUE(LEFT(Activities[[#This Row],[Fiscal Year]], 4))</f>
        <v>2015</v>
      </c>
      <c r="M813" s="28" t="s">
        <v>1862</v>
      </c>
      <c r="N813" s="41">
        <v>26835.91</v>
      </c>
      <c r="O813" s="93">
        <f>IF(Activities[[#This Row],[Reference Year]]&gt;2018,Activities[[#This Row],[Value]],Activities[[#This Row],[Value]]*(1+VLOOKUP(Activities[[#This Row],[Reference Year]],Inflation[#All],3,FALSE)))</f>
        <v>28492.602823670884</v>
      </c>
    </row>
    <row r="814" spans="1:15" ht="15" customHeight="1" x14ac:dyDescent="0.25">
      <c r="A814" s="9" t="s">
        <v>278</v>
      </c>
      <c r="B814" s="9" t="str">
        <f>INDEX(Places[Type],MATCH(Activities[[#This Row],[Jurisdiction]],Places[Jurisdiction],0))</f>
        <v>City</v>
      </c>
      <c r="C814" s="19" t="str">
        <f>INDEX(Places[County],MATCH(Activities[[#This Row],[Jurisdiction]],Places[Jurisdiction],0))</f>
        <v>Orange</v>
      </c>
      <c r="D814" s="9" t="str">
        <f>INDEX(Places[Majority RB],MATCH(Activities[[#This Row],[Jurisdiction]],Places[Jurisdiction],0))</f>
        <v>San Diego</v>
      </c>
      <c r="E814" s="9">
        <f>INDEX(Places[Majority RB '#],MATCH(Activities[[#This Row],[Jurisdiction]],Places[Jurisdiction],0))</f>
        <v>9</v>
      </c>
      <c r="F814" s="28" t="str">
        <f>VLOOKUP(Activities[[#This Row],[Jurisdiction]],Places[#All],8,FALSE)</f>
        <v>Phase I MS4</v>
      </c>
      <c r="G814" s="48" t="s">
        <v>1026</v>
      </c>
      <c r="H814" s="8"/>
      <c r="I814" s="8" t="s">
        <v>612</v>
      </c>
      <c r="J814" s="8" t="s">
        <v>76</v>
      </c>
      <c r="K814" s="27" t="s">
        <v>1869</v>
      </c>
      <c r="L814" s="28">
        <f>_xlfn.NUMBERVALUE(LEFT(Activities[[#This Row],[Fiscal Year]], 4))</f>
        <v>2016</v>
      </c>
      <c r="M814" s="28" t="s">
        <v>1862</v>
      </c>
      <c r="N814" s="41">
        <v>19000</v>
      </c>
      <c r="O814" s="93">
        <f>IF(Activities[[#This Row],[Reference Year]]&gt;2018,Activities[[#This Row],[Value]],Activities[[#This Row],[Value]]*(1+VLOOKUP(Activities[[#This Row],[Reference Year]],Inflation[#All],3,FALSE)))</f>
        <v>19920.787500000002</v>
      </c>
    </row>
    <row r="815" spans="1:15" ht="15" customHeight="1" x14ac:dyDescent="0.25">
      <c r="A815" s="9" t="s">
        <v>278</v>
      </c>
      <c r="B815" s="9" t="str">
        <f>INDEX(Places[Type],MATCH(Activities[[#This Row],[Jurisdiction]],Places[Jurisdiction],0))</f>
        <v>City</v>
      </c>
      <c r="C815" s="19" t="str">
        <f>INDEX(Places[County],MATCH(Activities[[#This Row],[Jurisdiction]],Places[Jurisdiction],0))</f>
        <v>Orange</v>
      </c>
      <c r="D815" s="9" t="str">
        <f>INDEX(Places[Majority RB],MATCH(Activities[[#This Row],[Jurisdiction]],Places[Jurisdiction],0))</f>
        <v>San Diego</v>
      </c>
      <c r="E815" s="9">
        <f>INDEX(Places[Majority RB '#],MATCH(Activities[[#This Row],[Jurisdiction]],Places[Jurisdiction],0))</f>
        <v>9</v>
      </c>
      <c r="F815" s="28" t="str">
        <f>VLOOKUP(Activities[[#This Row],[Jurisdiction]],Places[#All],8,FALSE)</f>
        <v>Phase I MS4</v>
      </c>
      <c r="G815" s="48" t="s">
        <v>1037</v>
      </c>
      <c r="H815" s="8"/>
      <c r="I815" s="8"/>
      <c r="J815" s="8" t="s">
        <v>76</v>
      </c>
      <c r="K815" s="27" t="s">
        <v>1869</v>
      </c>
      <c r="L815" s="28">
        <f>_xlfn.NUMBERVALUE(LEFT(Activities[[#This Row],[Fiscal Year]], 4))</f>
        <v>2016</v>
      </c>
      <c r="M815" s="28" t="s">
        <v>1862</v>
      </c>
      <c r="N815" s="41">
        <v>19000</v>
      </c>
      <c r="O815" s="93">
        <f>IF(Activities[[#This Row],[Reference Year]]&gt;2018,Activities[[#This Row],[Value]],Activities[[#This Row],[Value]]*(1+VLOOKUP(Activities[[#This Row],[Reference Year]],Inflation[#All],3,FALSE)))</f>
        <v>19920.787500000002</v>
      </c>
    </row>
    <row r="816" spans="1:15" ht="15" customHeight="1" x14ac:dyDescent="0.25">
      <c r="A816" s="9" t="s">
        <v>278</v>
      </c>
      <c r="B816" s="9" t="str">
        <f>INDEX(Places[Type],MATCH(Activities[[#This Row],[Jurisdiction]],Places[Jurisdiction],0))</f>
        <v>City</v>
      </c>
      <c r="C816" s="19" t="str">
        <f>INDEX(Places[County],MATCH(Activities[[#This Row],[Jurisdiction]],Places[Jurisdiction],0))</f>
        <v>Orange</v>
      </c>
      <c r="D816" s="9" t="str">
        <f>INDEX(Places[Majority RB],MATCH(Activities[[#This Row],[Jurisdiction]],Places[Jurisdiction],0))</f>
        <v>San Diego</v>
      </c>
      <c r="E816" s="9">
        <f>INDEX(Places[Majority RB '#],MATCH(Activities[[#This Row],[Jurisdiction]],Places[Jurisdiction],0))</f>
        <v>9</v>
      </c>
      <c r="F816" s="28" t="str">
        <f>VLOOKUP(Activities[[#This Row],[Jurisdiction]],Places[#All],8,FALSE)</f>
        <v>Phase I MS4</v>
      </c>
      <c r="G816" s="48" t="s">
        <v>1010</v>
      </c>
      <c r="H816" s="8"/>
      <c r="I816" s="8"/>
      <c r="J816" s="8" t="s">
        <v>76</v>
      </c>
      <c r="K816" s="27" t="s">
        <v>1869</v>
      </c>
      <c r="L816" s="28">
        <f>_xlfn.NUMBERVALUE(LEFT(Activities[[#This Row],[Fiscal Year]], 4))</f>
        <v>2016</v>
      </c>
      <c r="M816" s="28" t="s">
        <v>1862</v>
      </c>
      <c r="N816" s="41">
        <v>396074</v>
      </c>
      <c r="O816" s="93">
        <f>IF(Activities[[#This Row],[Reference Year]]&gt;2018,Activities[[#This Row],[Value]],Activities[[#This Row],[Value]]*(1+VLOOKUP(Activities[[#This Row],[Reference Year]],Inflation[#All],3,FALSE)))</f>
        <v>415268.73622500006</v>
      </c>
    </row>
    <row r="817" spans="1:15" ht="15" customHeight="1" x14ac:dyDescent="0.25">
      <c r="A817" s="9" t="s">
        <v>278</v>
      </c>
      <c r="B817" s="9" t="str">
        <f>INDEX(Places[Type],MATCH(Activities[[#This Row],[Jurisdiction]],Places[Jurisdiction],0))</f>
        <v>City</v>
      </c>
      <c r="C817" s="19" t="str">
        <f>INDEX(Places[County],MATCH(Activities[[#This Row],[Jurisdiction]],Places[Jurisdiction],0))</f>
        <v>Orange</v>
      </c>
      <c r="D817" s="9" t="str">
        <f>INDEX(Places[Majority RB],MATCH(Activities[[#This Row],[Jurisdiction]],Places[Jurisdiction],0))</f>
        <v>San Diego</v>
      </c>
      <c r="E817" s="9">
        <f>INDEX(Places[Majority RB '#],MATCH(Activities[[#This Row],[Jurisdiction]],Places[Jurisdiction],0))</f>
        <v>9</v>
      </c>
      <c r="F817" s="28" t="str">
        <f>VLOOKUP(Activities[[#This Row],[Jurisdiction]],Places[#All],8,FALSE)</f>
        <v>Phase I MS4</v>
      </c>
      <c r="G817" s="48" t="s">
        <v>1039</v>
      </c>
      <c r="H817" s="8" t="s">
        <v>507</v>
      </c>
      <c r="I817" s="8"/>
      <c r="J817" s="8" t="s">
        <v>71</v>
      </c>
      <c r="K817" s="27" t="s">
        <v>1869</v>
      </c>
      <c r="L817" s="28">
        <f>_xlfn.NUMBERVALUE(LEFT(Activities[[#This Row],[Fiscal Year]], 4))</f>
        <v>2016</v>
      </c>
      <c r="M817" s="28" t="s">
        <v>1862</v>
      </c>
      <c r="N817" s="41">
        <v>30220</v>
      </c>
      <c r="O817" s="93">
        <f>IF(Activities[[#This Row],[Reference Year]]&gt;2018,Activities[[#This Row],[Value]],Activities[[#This Row],[Value]]*(1+VLOOKUP(Activities[[#This Row],[Reference Year]],Inflation[#All],3,FALSE)))</f>
        <v>31684.536750000003</v>
      </c>
    </row>
    <row r="818" spans="1:15" ht="15" customHeight="1" x14ac:dyDescent="0.25">
      <c r="A818" s="9" t="s">
        <v>278</v>
      </c>
      <c r="B818" s="9" t="str">
        <f>INDEX(Places[Type],MATCH(Activities[[#This Row],[Jurisdiction]],Places[Jurisdiction],0))</f>
        <v>City</v>
      </c>
      <c r="C818" s="19" t="str">
        <f>INDEX(Places[County],MATCH(Activities[[#This Row],[Jurisdiction]],Places[Jurisdiction],0))</f>
        <v>Orange</v>
      </c>
      <c r="D818" s="9" t="str">
        <f>INDEX(Places[Majority RB],MATCH(Activities[[#This Row],[Jurisdiction]],Places[Jurisdiction],0))</f>
        <v>San Diego</v>
      </c>
      <c r="E818" s="9">
        <f>INDEX(Places[Majority RB '#],MATCH(Activities[[#This Row],[Jurisdiction]],Places[Jurisdiction],0))</f>
        <v>9</v>
      </c>
      <c r="F818" s="28" t="str">
        <f>VLOOKUP(Activities[[#This Row],[Jurisdiction]],Places[#All],8,FALSE)</f>
        <v>Phase I MS4</v>
      </c>
      <c r="G818" s="48" t="s">
        <v>1038</v>
      </c>
      <c r="H818" s="8" t="s">
        <v>507</v>
      </c>
      <c r="I818" s="8"/>
      <c r="J818" s="8" t="s">
        <v>1897</v>
      </c>
      <c r="K818" s="27" t="s">
        <v>1869</v>
      </c>
      <c r="L818" s="28">
        <f>_xlfn.NUMBERVALUE(LEFT(Activities[[#This Row],[Fiscal Year]], 4))</f>
        <v>2016</v>
      </c>
      <c r="M818" s="28" t="s">
        <v>1862</v>
      </c>
      <c r="N818" s="41">
        <v>136870</v>
      </c>
      <c r="O818" s="93">
        <f>IF(Activities[[#This Row],[Reference Year]]&gt;2018,Activities[[#This Row],[Value]],Activities[[#This Row],[Value]]*(1+VLOOKUP(Activities[[#This Row],[Reference Year]],Inflation[#All],3,FALSE)))</f>
        <v>143503.06237500001</v>
      </c>
    </row>
    <row r="819" spans="1:15" ht="15" customHeight="1" x14ac:dyDescent="0.25">
      <c r="A819" s="9" t="s">
        <v>278</v>
      </c>
      <c r="B819" s="9" t="str">
        <f>INDEX(Places[Type],MATCH(Activities[[#This Row],[Jurisdiction]],Places[Jurisdiction],0))</f>
        <v>City</v>
      </c>
      <c r="C819" s="19" t="str">
        <f>INDEX(Places[County],MATCH(Activities[[#This Row],[Jurisdiction]],Places[Jurisdiction],0))</f>
        <v>Orange</v>
      </c>
      <c r="D819" s="9" t="str">
        <f>INDEX(Places[Majority RB],MATCH(Activities[[#This Row],[Jurisdiction]],Places[Jurisdiction],0))</f>
        <v>San Diego</v>
      </c>
      <c r="E819" s="9">
        <f>INDEX(Places[Majority RB '#],MATCH(Activities[[#This Row],[Jurisdiction]],Places[Jurisdiction],0))</f>
        <v>9</v>
      </c>
      <c r="F819" s="28" t="str">
        <f>VLOOKUP(Activities[[#This Row],[Jurisdiction]],Places[#All],8,FALSE)</f>
        <v>Phase I MS4</v>
      </c>
      <c r="G819" s="48" t="s">
        <v>1040</v>
      </c>
      <c r="H819" s="8" t="s">
        <v>507</v>
      </c>
      <c r="I819" s="8"/>
      <c r="J819" s="8" t="s">
        <v>1897</v>
      </c>
      <c r="K819" s="27" t="s">
        <v>1869</v>
      </c>
      <c r="L819" s="28">
        <f>_xlfn.NUMBERVALUE(LEFT(Activities[[#This Row],[Fiscal Year]], 4))</f>
        <v>2016</v>
      </c>
      <c r="M819" s="28" t="s">
        <v>1862</v>
      </c>
      <c r="N819" s="41">
        <v>211770</v>
      </c>
      <c r="O819" s="93">
        <f>IF(Activities[[#This Row],[Reference Year]]&gt;2018,Activities[[#This Row],[Value]],Activities[[#This Row],[Value]]*(1+VLOOKUP(Activities[[#This Row],[Reference Year]],Inflation[#All],3,FALSE)))</f>
        <v>222032.90362500001</v>
      </c>
    </row>
    <row r="820" spans="1:15" ht="15" customHeight="1" x14ac:dyDescent="0.25">
      <c r="A820" s="9" t="s">
        <v>278</v>
      </c>
      <c r="B820" s="9" t="str">
        <f>INDEX(Places[Type],MATCH(Activities[[#This Row],[Jurisdiction]],Places[Jurisdiction],0))</f>
        <v>City</v>
      </c>
      <c r="C820" s="19" t="str">
        <f>INDEX(Places[County],MATCH(Activities[[#This Row],[Jurisdiction]],Places[Jurisdiction],0))</f>
        <v>Orange</v>
      </c>
      <c r="D820" s="9" t="str">
        <f>INDEX(Places[Majority RB],MATCH(Activities[[#This Row],[Jurisdiction]],Places[Jurisdiction],0))</f>
        <v>San Diego</v>
      </c>
      <c r="E820" s="9">
        <f>INDEX(Places[Majority RB '#],MATCH(Activities[[#This Row],[Jurisdiction]],Places[Jurisdiction],0))</f>
        <v>9</v>
      </c>
      <c r="F820" s="28" t="str">
        <f>VLOOKUP(Activities[[#This Row],[Jurisdiction]],Places[#All],8,FALSE)</f>
        <v>Phase I MS4</v>
      </c>
      <c r="G820" s="48" t="s">
        <v>1043</v>
      </c>
      <c r="H820" s="8" t="s">
        <v>508</v>
      </c>
      <c r="I820" s="8"/>
      <c r="J820" s="8" t="s">
        <v>1456</v>
      </c>
      <c r="K820" s="27" t="s">
        <v>1869</v>
      </c>
      <c r="L820" s="28">
        <f>_xlfn.NUMBERVALUE(LEFT(Activities[[#This Row],[Fiscal Year]], 4))</f>
        <v>2016</v>
      </c>
      <c r="M820" s="28" t="s">
        <v>1862</v>
      </c>
      <c r="N820" s="41">
        <v>6364.21</v>
      </c>
      <c r="O820" s="93">
        <f>IF(Activities[[#This Row],[Reference Year]]&gt;2018,Activities[[#This Row],[Value]],Activities[[#This Row],[Value]]*(1+VLOOKUP(Activities[[#This Row],[Reference Year]],Inflation[#All],3,FALSE)))</f>
        <v>6672.6355271250004</v>
      </c>
    </row>
    <row r="821" spans="1:15" ht="15" customHeight="1" x14ac:dyDescent="0.25">
      <c r="A821" s="9" t="s">
        <v>278</v>
      </c>
      <c r="B821" s="9" t="str">
        <f>INDEX(Places[Type],MATCH(Activities[[#This Row],[Jurisdiction]],Places[Jurisdiction],0))</f>
        <v>City</v>
      </c>
      <c r="C821" s="19" t="str">
        <f>INDEX(Places[County],MATCH(Activities[[#This Row],[Jurisdiction]],Places[Jurisdiction],0))</f>
        <v>Orange</v>
      </c>
      <c r="D821" s="9" t="str">
        <f>INDEX(Places[Majority RB],MATCH(Activities[[#This Row],[Jurisdiction]],Places[Jurisdiction],0))</f>
        <v>San Diego</v>
      </c>
      <c r="E821" s="9">
        <f>INDEX(Places[Majority RB '#],MATCH(Activities[[#This Row],[Jurisdiction]],Places[Jurisdiction],0))</f>
        <v>9</v>
      </c>
      <c r="F821" s="28" t="str">
        <f>VLOOKUP(Activities[[#This Row],[Jurisdiction]],Places[#All],8,FALSE)</f>
        <v>Phase I MS4</v>
      </c>
      <c r="G821" s="48" t="s">
        <v>1011</v>
      </c>
      <c r="H821" s="8" t="s">
        <v>511</v>
      </c>
      <c r="I821" s="8"/>
      <c r="J821" s="8" t="s">
        <v>1894</v>
      </c>
      <c r="K821" s="27" t="s">
        <v>1869</v>
      </c>
      <c r="L821" s="28">
        <f>_xlfn.NUMBERVALUE(LEFT(Activities[[#This Row],[Fiscal Year]], 4))</f>
        <v>2016</v>
      </c>
      <c r="M821" s="28" t="s">
        <v>1862</v>
      </c>
      <c r="N821" s="41">
        <v>448247.86</v>
      </c>
      <c r="O821" s="93">
        <f>IF(Activities[[#This Row],[Reference Year]]&gt;2018,Activities[[#This Row],[Value]],Activities[[#This Row],[Value]]*(1+VLOOKUP(Activities[[#This Row],[Reference Year]],Inflation[#All],3,FALSE)))</f>
        <v>469971.07191525004</v>
      </c>
    </row>
    <row r="822" spans="1:15" ht="15" customHeight="1" x14ac:dyDescent="0.25">
      <c r="A822" s="9" t="s">
        <v>279</v>
      </c>
      <c r="B822" s="9" t="str">
        <f>INDEX(Places[Type],MATCH(Activities[[#This Row],[Jurisdiction]],Places[Jurisdiction],0))</f>
        <v>City</v>
      </c>
      <c r="C822" s="19" t="str">
        <f>INDEX(Places[County],MATCH(Activities[[#This Row],[Jurisdiction]],Places[Jurisdiction],0))</f>
        <v>Orange</v>
      </c>
      <c r="D822" s="9" t="str">
        <f>INDEX(Places[Majority RB],MATCH(Activities[[#This Row],[Jurisdiction]],Places[Jurisdiction],0))</f>
        <v>San Diego</v>
      </c>
      <c r="E822" s="9">
        <f>INDEX(Places[Majority RB '#],MATCH(Activities[[#This Row],[Jurisdiction]],Places[Jurisdiction],0))</f>
        <v>9</v>
      </c>
      <c r="F822" s="28" t="str">
        <f>VLOOKUP(Activities[[#This Row],[Jurisdiction]],Places[#All],8,FALSE)</f>
        <v>Phase I MS4</v>
      </c>
      <c r="G822" s="48" t="s">
        <v>1026</v>
      </c>
      <c r="H822" s="8" t="s">
        <v>1050</v>
      </c>
      <c r="I822" s="8" t="s">
        <v>612</v>
      </c>
      <c r="J822" s="8" t="s">
        <v>76</v>
      </c>
      <c r="K822" s="27" t="s">
        <v>1874</v>
      </c>
      <c r="L822" s="28">
        <f>_xlfn.NUMBERVALUE(LEFT(Activities[[#This Row],[Fiscal Year]], 4))</f>
        <v>2017</v>
      </c>
      <c r="M822" s="28" t="s">
        <v>1862</v>
      </c>
      <c r="N822" s="41">
        <v>151740.89000000001</v>
      </c>
      <c r="O822" s="93">
        <f>IF(Activities[[#This Row],[Reference Year]]&gt;2018,Activities[[#This Row],[Value]],Activities[[#This Row],[Value]]*(1+VLOOKUP(Activities[[#This Row],[Reference Year]],Inflation[#All],3,FALSE)))</f>
        <v>155784.21824394129</v>
      </c>
    </row>
    <row r="823" spans="1:15" ht="15" customHeight="1" x14ac:dyDescent="0.25">
      <c r="A823" s="9" t="s">
        <v>279</v>
      </c>
      <c r="B823" s="9" t="str">
        <f>INDEX(Places[Type],MATCH(Activities[[#This Row],[Jurisdiction]],Places[Jurisdiction],0))</f>
        <v>City</v>
      </c>
      <c r="C823" s="19" t="str">
        <f>INDEX(Places[County],MATCH(Activities[[#This Row],[Jurisdiction]],Places[Jurisdiction],0))</f>
        <v>Orange</v>
      </c>
      <c r="D823" s="9" t="str">
        <f>INDEX(Places[Majority RB],MATCH(Activities[[#This Row],[Jurisdiction]],Places[Jurisdiction],0))</f>
        <v>San Diego</v>
      </c>
      <c r="E823" s="9">
        <f>INDEX(Places[Majority RB '#],MATCH(Activities[[#This Row],[Jurisdiction]],Places[Jurisdiction],0))</f>
        <v>9</v>
      </c>
      <c r="F823" s="28" t="str">
        <f>VLOOKUP(Activities[[#This Row],[Jurisdiction]],Places[#All],8,FALSE)</f>
        <v>Phase I MS4</v>
      </c>
      <c r="G823" s="48" t="s">
        <v>1039</v>
      </c>
      <c r="H823" s="8" t="s">
        <v>507</v>
      </c>
      <c r="I823" s="8"/>
      <c r="J823" s="8" t="s">
        <v>71</v>
      </c>
      <c r="K823" s="27" t="s">
        <v>1874</v>
      </c>
      <c r="L823" s="28">
        <f>_xlfn.NUMBERVALUE(LEFT(Activities[[#This Row],[Fiscal Year]], 4))</f>
        <v>2017</v>
      </c>
      <c r="M823" s="28" t="s">
        <v>1862</v>
      </c>
      <c r="N823" s="41">
        <v>13030.13</v>
      </c>
      <c r="O823" s="93">
        <f>IF(Activities[[#This Row],[Reference Year]]&gt;2018,Activities[[#This Row],[Value]],Activities[[#This Row],[Value]]*(1+VLOOKUP(Activities[[#This Row],[Reference Year]],Inflation[#All],3,FALSE)))</f>
        <v>13377.334320807835</v>
      </c>
    </row>
    <row r="824" spans="1:15" ht="15" customHeight="1" x14ac:dyDescent="0.25">
      <c r="A824" s="9" t="s">
        <v>279</v>
      </c>
      <c r="B824" s="9" t="str">
        <f>INDEX(Places[Type],MATCH(Activities[[#This Row],[Jurisdiction]],Places[Jurisdiction],0))</f>
        <v>City</v>
      </c>
      <c r="C824" s="19" t="str">
        <f>INDEX(Places[County],MATCH(Activities[[#This Row],[Jurisdiction]],Places[Jurisdiction],0))</f>
        <v>Orange</v>
      </c>
      <c r="D824" s="9" t="str">
        <f>INDEX(Places[Majority RB],MATCH(Activities[[#This Row],[Jurisdiction]],Places[Jurisdiction],0))</f>
        <v>San Diego</v>
      </c>
      <c r="E824" s="9">
        <f>INDEX(Places[Majority RB '#],MATCH(Activities[[#This Row],[Jurisdiction]],Places[Jurisdiction],0))</f>
        <v>9</v>
      </c>
      <c r="F824" s="28" t="str">
        <f>VLOOKUP(Activities[[#This Row],[Jurisdiction]],Places[#All],8,FALSE)</f>
        <v>Phase I MS4</v>
      </c>
      <c r="G824" s="48" t="s">
        <v>1038</v>
      </c>
      <c r="H824" s="8" t="s">
        <v>507</v>
      </c>
      <c r="I824" s="8"/>
      <c r="J824" s="8" t="s">
        <v>1897</v>
      </c>
      <c r="K824" s="27" t="s">
        <v>1874</v>
      </c>
      <c r="L824" s="28">
        <f>_xlfn.NUMBERVALUE(LEFT(Activities[[#This Row],[Fiscal Year]], 4))</f>
        <v>2017</v>
      </c>
      <c r="M824" s="28" t="s">
        <v>1862</v>
      </c>
      <c r="N824" s="41">
        <v>34870.26</v>
      </c>
      <c r="O824" s="93">
        <f>IF(Activities[[#This Row],[Reference Year]]&gt;2018,Activities[[#This Row],[Value]],Activities[[#This Row],[Value]]*(1+VLOOKUP(Activities[[#This Row],[Reference Year]],Inflation[#All],3,FALSE)))</f>
        <v>35799.422252386787</v>
      </c>
    </row>
    <row r="825" spans="1:15" ht="15" customHeight="1" x14ac:dyDescent="0.25">
      <c r="A825" s="9" t="s">
        <v>279</v>
      </c>
      <c r="B825" s="9" t="str">
        <f>INDEX(Places[Type],MATCH(Activities[[#This Row],[Jurisdiction]],Places[Jurisdiction],0))</f>
        <v>City</v>
      </c>
      <c r="C825" s="19" t="str">
        <f>INDEX(Places[County],MATCH(Activities[[#This Row],[Jurisdiction]],Places[Jurisdiction],0))</f>
        <v>Orange</v>
      </c>
      <c r="D825" s="9" t="str">
        <f>INDEX(Places[Majority RB],MATCH(Activities[[#This Row],[Jurisdiction]],Places[Jurisdiction],0))</f>
        <v>San Diego</v>
      </c>
      <c r="E825" s="9">
        <f>INDEX(Places[Majority RB '#],MATCH(Activities[[#This Row],[Jurisdiction]],Places[Jurisdiction],0))</f>
        <v>9</v>
      </c>
      <c r="F825" s="28" t="str">
        <f>VLOOKUP(Activities[[#This Row],[Jurisdiction]],Places[#All],8,FALSE)</f>
        <v>Phase I MS4</v>
      </c>
      <c r="G825" s="48" t="s">
        <v>1040</v>
      </c>
      <c r="H825" s="8" t="s">
        <v>507</v>
      </c>
      <c r="I825" s="8"/>
      <c r="J825" s="8" t="s">
        <v>1897</v>
      </c>
      <c r="K825" s="27" t="s">
        <v>1874</v>
      </c>
      <c r="L825" s="28">
        <f>_xlfn.NUMBERVALUE(LEFT(Activities[[#This Row],[Fiscal Year]], 4))</f>
        <v>2017</v>
      </c>
      <c r="M825" s="28" t="s">
        <v>1862</v>
      </c>
      <c r="N825" s="41">
        <v>125726.47</v>
      </c>
      <c r="O825" s="93">
        <f>IF(Activities[[#This Row],[Reference Year]]&gt;2018,Activities[[#This Row],[Value]],Activities[[#This Row],[Value]]*(1+VLOOKUP(Activities[[#This Row],[Reference Year]],Inflation[#All],3,FALSE)))</f>
        <v>129076.61106719708</v>
      </c>
    </row>
    <row r="826" spans="1:15" ht="15" customHeight="1" x14ac:dyDescent="0.25">
      <c r="A826" s="9" t="s">
        <v>279</v>
      </c>
      <c r="B826" s="9" t="str">
        <f>INDEX(Places[Type],MATCH(Activities[[#This Row],[Jurisdiction]],Places[Jurisdiction],0))</f>
        <v>City</v>
      </c>
      <c r="C826" s="19" t="str">
        <f>INDEX(Places[County],MATCH(Activities[[#This Row],[Jurisdiction]],Places[Jurisdiction],0))</f>
        <v>Orange</v>
      </c>
      <c r="D826" s="9" t="str">
        <f>INDEX(Places[Majority RB],MATCH(Activities[[#This Row],[Jurisdiction]],Places[Jurisdiction],0))</f>
        <v>San Diego</v>
      </c>
      <c r="E826" s="9">
        <f>INDEX(Places[Majority RB '#],MATCH(Activities[[#This Row],[Jurisdiction]],Places[Jurisdiction],0))</f>
        <v>9</v>
      </c>
      <c r="F826" s="28" t="str">
        <f>VLOOKUP(Activities[[#This Row],[Jurisdiction]],Places[#All],8,FALSE)</f>
        <v>Phase I MS4</v>
      </c>
      <c r="G826" s="48" t="s">
        <v>1011</v>
      </c>
      <c r="H826" s="8" t="s">
        <v>511</v>
      </c>
      <c r="I826" s="8"/>
      <c r="J826" s="8" t="s">
        <v>1894</v>
      </c>
      <c r="K826" s="27" t="s">
        <v>1874</v>
      </c>
      <c r="L826" s="28">
        <f>_xlfn.NUMBERVALUE(LEFT(Activities[[#This Row],[Fiscal Year]], 4))</f>
        <v>2017</v>
      </c>
      <c r="M826" s="28" t="s">
        <v>1862</v>
      </c>
      <c r="N826" s="41">
        <v>228888.31</v>
      </c>
      <c r="O826" s="93">
        <f>IF(Activities[[#This Row],[Reference Year]]&gt;2018,Activities[[#This Row],[Value]],Activities[[#This Row],[Value]]*(1+VLOOKUP(Activities[[#This Row],[Reference Year]],Inflation[#All],3,FALSE)))</f>
        <v>234987.32898249695</v>
      </c>
    </row>
    <row r="827" spans="1:15" ht="15" customHeight="1" x14ac:dyDescent="0.25">
      <c r="A827" s="9" t="s">
        <v>279</v>
      </c>
      <c r="B827" s="9" t="str">
        <f>INDEX(Places[Type],MATCH(Activities[[#This Row],[Jurisdiction]],Places[Jurisdiction],0))</f>
        <v>City</v>
      </c>
      <c r="C827" s="19" t="str">
        <f>INDEX(Places[County],MATCH(Activities[[#This Row],[Jurisdiction]],Places[Jurisdiction],0))</f>
        <v>Orange</v>
      </c>
      <c r="D827" s="9" t="str">
        <f>INDEX(Places[Majority RB],MATCH(Activities[[#This Row],[Jurisdiction]],Places[Jurisdiction],0))</f>
        <v>San Diego</v>
      </c>
      <c r="E827" s="9">
        <f>INDEX(Places[Majority RB '#],MATCH(Activities[[#This Row],[Jurisdiction]],Places[Jurisdiction],0))</f>
        <v>9</v>
      </c>
      <c r="F827" s="28" t="str">
        <f>VLOOKUP(Activities[[#This Row],[Jurisdiction]],Places[#All],8,FALSE)</f>
        <v>Phase I MS4</v>
      </c>
      <c r="G827" s="48" t="s">
        <v>1047</v>
      </c>
      <c r="H827" s="8" t="s">
        <v>1049</v>
      </c>
      <c r="I827" s="8"/>
      <c r="J827" s="8" t="s">
        <v>1896</v>
      </c>
      <c r="K827" s="27" t="s">
        <v>1874</v>
      </c>
      <c r="L827" s="28">
        <f>_xlfn.NUMBERVALUE(LEFT(Activities[[#This Row],[Fiscal Year]], 4))</f>
        <v>2017</v>
      </c>
      <c r="M827" s="28" t="s">
        <v>1862</v>
      </c>
      <c r="N827" s="41">
        <v>127387.13</v>
      </c>
      <c r="O827" s="93">
        <f>IF(Activities[[#This Row],[Reference Year]]&gt;2018,Activities[[#This Row],[Value]],Activities[[#This Row],[Value]]*(1+VLOOKUP(Activities[[#This Row],[Reference Year]],Inflation[#All],3,FALSE)))</f>
        <v>130781.52145667077</v>
      </c>
    </row>
    <row r="828" spans="1:15" ht="15" customHeight="1" x14ac:dyDescent="0.25">
      <c r="A828" s="9" t="s">
        <v>280</v>
      </c>
      <c r="B828" s="9" t="str">
        <f>INDEX(Places[Type],MATCH(Activities[[#This Row],[Jurisdiction]],Places[Jurisdiction],0))</f>
        <v>City</v>
      </c>
      <c r="C828" s="19" t="str">
        <f>INDEX(Places[County],MATCH(Activities[[#This Row],[Jurisdiction]],Places[Jurisdiction],0))</f>
        <v>Orange</v>
      </c>
      <c r="D828" s="9" t="str">
        <f>INDEX(Places[Majority RB],MATCH(Activities[[#This Row],[Jurisdiction]],Places[Jurisdiction],0))</f>
        <v>San Diego</v>
      </c>
      <c r="E828" s="9">
        <f>INDEX(Places[Majority RB '#],MATCH(Activities[[#This Row],[Jurisdiction]],Places[Jurisdiction],0))</f>
        <v>9</v>
      </c>
      <c r="F828" s="28" t="str">
        <f>VLOOKUP(Activities[[#This Row],[Jurisdiction]],Places[#All],8,FALSE)</f>
        <v>Phase I MS4</v>
      </c>
      <c r="G828" s="48" t="s">
        <v>1051</v>
      </c>
      <c r="H828" s="8"/>
      <c r="I828" s="8"/>
      <c r="J828" s="8" t="s">
        <v>76</v>
      </c>
      <c r="K828" s="27" t="s">
        <v>1874</v>
      </c>
      <c r="L828" s="28">
        <f>_xlfn.NUMBERVALUE(LEFT(Activities[[#This Row],[Fiscal Year]], 4))</f>
        <v>2017</v>
      </c>
      <c r="M828" s="28" t="s">
        <v>1862</v>
      </c>
      <c r="N828" s="41">
        <v>130000</v>
      </c>
      <c r="O828" s="93">
        <f>IF(Activities[[#This Row],[Reference Year]]&gt;2018,Activities[[#This Row],[Value]],Activities[[#This Row],[Value]]*(1+VLOOKUP(Activities[[#This Row],[Reference Year]],Inflation[#All],3,FALSE)))</f>
        <v>133464.0146878825</v>
      </c>
    </row>
    <row r="829" spans="1:15" ht="15" customHeight="1" x14ac:dyDescent="0.25">
      <c r="A829" s="9" t="s">
        <v>280</v>
      </c>
      <c r="B829" s="9" t="str">
        <f>INDEX(Places[Type],MATCH(Activities[[#This Row],[Jurisdiction]],Places[Jurisdiction],0))</f>
        <v>City</v>
      </c>
      <c r="C829" s="19" t="str">
        <f>INDEX(Places[County],MATCH(Activities[[#This Row],[Jurisdiction]],Places[Jurisdiction],0))</f>
        <v>Orange</v>
      </c>
      <c r="D829" s="9" t="str">
        <f>INDEX(Places[Majority RB],MATCH(Activities[[#This Row],[Jurisdiction]],Places[Jurisdiction],0))</f>
        <v>San Diego</v>
      </c>
      <c r="E829" s="9">
        <f>INDEX(Places[Majority RB '#],MATCH(Activities[[#This Row],[Jurisdiction]],Places[Jurisdiction],0))</f>
        <v>9</v>
      </c>
      <c r="F829" s="28" t="str">
        <f>VLOOKUP(Activities[[#This Row],[Jurisdiction]],Places[#All],8,FALSE)</f>
        <v>Phase I MS4</v>
      </c>
      <c r="G829" s="48" t="s">
        <v>1008</v>
      </c>
      <c r="H829" s="8"/>
      <c r="I829" s="8" t="s">
        <v>612</v>
      </c>
      <c r="J829" s="8" t="s">
        <v>76</v>
      </c>
      <c r="K829" s="27" t="s">
        <v>1874</v>
      </c>
      <c r="L829" s="28">
        <f>_xlfn.NUMBERVALUE(LEFT(Activities[[#This Row],[Fiscal Year]], 4))</f>
        <v>2017</v>
      </c>
      <c r="M829" s="28" t="s">
        <v>1862</v>
      </c>
      <c r="N829" s="41">
        <v>206411</v>
      </c>
      <c r="O829" s="93">
        <f>IF(Activities[[#This Row],[Reference Year]]&gt;2018,Activities[[#This Row],[Value]],Activities[[#This Row],[Value]]*(1+VLOOKUP(Activities[[#This Row],[Reference Year]],Inflation[#All],3,FALSE)))</f>
        <v>211911.08258261936</v>
      </c>
    </row>
    <row r="830" spans="1:15" ht="15" customHeight="1" x14ac:dyDescent="0.25">
      <c r="A830" s="9" t="s">
        <v>280</v>
      </c>
      <c r="B830" s="9" t="str">
        <f>INDEX(Places[Type],MATCH(Activities[[#This Row],[Jurisdiction]],Places[Jurisdiction],0))</f>
        <v>City</v>
      </c>
      <c r="C830" s="19" t="str">
        <f>INDEX(Places[County],MATCH(Activities[[#This Row],[Jurisdiction]],Places[Jurisdiction],0))</f>
        <v>Orange</v>
      </c>
      <c r="D830" s="9" t="str">
        <f>INDEX(Places[Majority RB],MATCH(Activities[[#This Row],[Jurisdiction]],Places[Jurisdiction],0))</f>
        <v>San Diego</v>
      </c>
      <c r="E830" s="9">
        <f>INDEX(Places[Majority RB '#],MATCH(Activities[[#This Row],[Jurisdiction]],Places[Jurisdiction],0))</f>
        <v>9</v>
      </c>
      <c r="F830" s="28" t="str">
        <f>VLOOKUP(Activities[[#This Row],[Jurisdiction]],Places[#All],8,FALSE)</f>
        <v>Phase I MS4</v>
      </c>
      <c r="G830" s="48" t="s">
        <v>1025</v>
      </c>
      <c r="H830" s="8" t="s">
        <v>513</v>
      </c>
      <c r="I830" s="8"/>
      <c r="J830" s="8" t="s">
        <v>1895</v>
      </c>
      <c r="K830" s="27" t="s">
        <v>1874</v>
      </c>
      <c r="L830" s="28">
        <f>_xlfn.NUMBERVALUE(LEFT(Activities[[#This Row],[Fiscal Year]], 4))</f>
        <v>2017</v>
      </c>
      <c r="M830" s="28" t="s">
        <v>1862</v>
      </c>
      <c r="N830" s="41">
        <v>103181</v>
      </c>
      <c r="O830" s="93">
        <f>IF(Activities[[#This Row],[Reference Year]]&gt;2018,Activities[[#This Row],[Value]],Activities[[#This Row],[Value]]*(1+VLOOKUP(Activities[[#This Row],[Reference Year]],Inflation[#All],3,FALSE)))</f>
        <v>105930.38845777235</v>
      </c>
    </row>
    <row r="831" spans="1:15" ht="15" customHeight="1" x14ac:dyDescent="0.25">
      <c r="A831" s="9" t="s">
        <v>280</v>
      </c>
      <c r="B831" s="9" t="str">
        <f>INDEX(Places[Type],MATCH(Activities[[#This Row],[Jurisdiction]],Places[Jurisdiction],0))</f>
        <v>City</v>
      </c>
      <c r="C831" s="19" t="str">
        <f>INDEX(Places[County],MATCH(Activities[[#This Row],[Jurisdiction]],Places[Jurisdiction],0))</f>
        <v>Orange</v>
      </c>
      <c r="D831" s="9" t="str">
        <f>INDEX(Places[Majority RB],MATCH(Activities[[#This Row],[Jurisdiction]],Places[Jurisdiction],0))</f>
        <v>San Diego</v>
      </c>
      <c r="E831" s="9">
        <f>INDEX(Places[Majority RB '#],MATCH(Activities[[#This Row],[Jurisdiction]],Places[Jurisdiction],0))</f>
        <v>9</v>
      </c>
      <c r="F831" s="28" t="str">
        <f>VLOOKUP(Activities[[#This Row],[Jurisdiction]],Places[#All],8,FALSE)</f>
        <v>Phase I MS4</v>
      </c>
      <c r="G831" s="48" t="s">
        <v>1046</v>
      </c>
      <c r="H831" s="8" t="s">
        <v>510</v>
      </c>
      <c r="I831" s="8"/>
      <c r="J831" s="8" t="s">
        <v>131</v>
      </c>
      <c r="K831" s="27" t="s">
        <v>1874</v>
      </c>
      <c r="L831" s="28">
        <f>_xlfn.NUMBERVALUE(LEFT(Activities[[#This Row],[Fiscal Year]], 4))</f>
        <v>2017</v>
      </c>
      <c r="M831" s="28" t="s">
        <v>1862</v>
      </c>
      <c r="N831" s="41">
        <v>18873</v>
      </c>
      <c r="O831" s="93">
        <f>IF(Activities[[#This Row],[Reference Year]]&gt;2018,Activities[[#This Row],[Value]],Activities[[#This Row],[Value]]*(1+VLOOKUP(Activities[[#This Row],[Reference Year]],Inflation[#All],3,FALSE)))</f>
        <v>19375.894993880051</v>
      </c>
    </row>
    <row r="832" spans="1:15" ht="15" customHeight="1" x14ac:dyDescent="0.25">
      <c r="A832" s="9" t="s">
        <v>280</v>
      </c>
      <c r="B832" s="9" t="str">
        <f>INDEX(Places[Type],MATCH(Activities[[#This Row],[Jurisdiction]],Places[Jurisdiction],0))</f>
        <v>City</v>
      </c>
      <c r="C832" s="19" t="str">
        <f>INDEX(Places[County],MATCH(Activities[[#This Row],[Jurisdiction]],Places[Jurisdiction],0))</f>
        <v>Orange</v>
      </c>
      <c r="D832" s="9" t="str">
        <f>INDEX(Places[Majority RB],MATCH(Activities[[#This Row],[Jurisdiction]],Places[Jurisdiction],0))</f>
        <v>San Diego</v>
      </c>
      <c r="E832" s="9">
        <f>INDEX(Places[Majority RB '#],MATCH(Activities[[#This Row],[Jurisdiction]],Places[Jurisdiction],0))</f>
        <v>9</v>
      </c>
      <c r="F832" s="28" t="str">
        <f>VLOOKUP(Activities[[#This Row],[Jurisdiction]],Places[#All],8,FALSE)</f>
        <v>Phase I MS4</v>
      </c>
      <c r="G832" s="48" t="s">
        <v>1020</v>
      </c>
      <c r="H832" s="8" t="s">
        <v>509</v>
      </c>
      <c r="I832" s="8"/>
      <c r="J832" s="8" t="s">
        <v>334</v>
      </c>
      <c r="K832" s="27" t="s">
        <v>1874</v>
      </c>
      <c r="L832" s="28">
        <f>_xlfn.NUMBERVALUE(LEFT(Activities[[#This Row],[Fiscal Year]], 4))</f>
        <v>2017</v>
      </c>
      <c r="M832" s="28" t="s">
        <v>1862</v>
      </c>
      <c r="N832" s="41">
        <v>62234</v>
      </c>
      <c r="O832" s="93">
        <f>IF(Activities[[#This Row],[Reference Year]]&gt;2018,Activities[[#This Row],[Value]],Activities[[#This Row],[Value]]*(1+VLOOKUP(Activities[[#This Row],[Reference Year]],Inflation[#All],3,FALSE)))</f>
        <v>63892.303769889848</v>
      </c>
    </row>
    <row r="833" spans="1:15" ht="15" customHeight="1" x14ac:dyDescent="0.25">
      <c r="A833" s="9" t="s">
        <v>280</v>
      </c>
      <c r="B833" s="9" t="str">
        <f>INDEX(Places[Type],MATCH(Activities[[#This Row],[Jurisdiction]],Places[Jurisdiction],0))</f>
        <v>City</v>
      </c>
      <c r="C833" s="19" t="str">
        <f>INDEX(Places[County],MATCH(Activities[[#This Row],[Jurisdiction]],Places[Jurisdiction],0))</f>
        <v>Orange</v>
      </c>
      <c r="D833" s="9" t="str">
        <f>INDEX(Places[Majority RB],MATCH(Activities[[#This Row],[Jurisdiction]],Places[Jurisdiction],0))</f>
        <v>San Diego</v>
      </c>
      <c r="E833" s="9">
        <f>INDEX(Places[Majority RB '#],MATCH(Activities[[#This Row],[Jurisdiction]],Places[Jurisdiction],0))</f>
        <v>9</v>
      </c>
      <c r="F833" s="28" t="str">
        <f>VLOOKUP(Activities[[#This Row],[Jurisdiction]],Places[#All],8,FALSE)</f>
        <v>Phase I MS4</v>
      </c>
      <c r="G833" s="48" t="s">
        <v>1053</v>
      </c>
      <c r="H833" s="8" t="s">
        <v>507</v>
      </c>
      <c r="I833" s="8"/>
      <c r="J833" s="8" t="s">
        <v>71</v>
      </c>
      <c r="K833" s="27" t="s">
        <v>1874</v>
      </c>
      <c r="L833" s="28">
        <f>_xlfn.NUMBERVALUE(LEFT(Activities[[#This Row],[Fiscal Year]], 4))</f>
        <v>2017</v>
      </c>
      <c r="M833" s="28" t="s">
        <v>1862</v>
      </c>
      <c r="N833" s="41">
        <v>431278</v>
      </c>
      <c r="O833" s="93">
        <f>IF(Activities[[#This Row],[Reference Year]]&gt;2018,Activities[[#This Row],[Value]],Activities[[#This Row],[Value]]*(1+VLOOKUP(Activities[[#This Row],[Reference Year]],Inflation[#All],3,FALSE)))</f>
        <v>442769.94866585074</v>
      </c>
    </row>
    <row r="834" spans="1:15" ht="15" customHeight="1" x14ac:dyDescent="0.25">
      <c r="A834" s="9" t="s">
        <v>280</v>
      </c>
      <c r="B834" s="9" t="str">
        <f>INDEX(Places[Type],MATCH(Activities[[#This Row],[Jurisdiction]],Places[Jurisdiction],0))</f>
        <v>City</v>
      </c>
      <c r="C834" s="19" t="str">
        <f>INDEX(Places[County],MATCH(Activities[[#This Row],[Jurisdiction]],Places[Jurisdiction],0))</f>
        <v>Orange</v>
      </c>
      <c r="D834" s="9" t="str">
        <f>INDEX(Places[Majority RB],MATCH(Activities[[#This Row],[Jurisdiction]],Places[Jurisdiction],0))</f>
        <v>San Diego</v>
      </c>
      <c r="E834" s="9">
        <f>INDEX(Places[Majority RB '#],MATCH(Activities[[#This Row],[Jurisdiction]],Places[Jurisdiction],0))</f>
        <v>9</v>
      </c>
      <c r="F834" s="28" t="str">
        <f>VLOOKUP(Activities[[#This Row],[Jurisdiction]],Places[#All],8,FALSE)</f>
        <v>Phase I MS4</v>
      </c>
      <c r="G834" s="48" t="s">
        <v>1042</v>
      </c>
      <c r="H834" s="8" t="s">
        <v>507</v>
      </c>
      <c r="I834" s="8"/>
      <c r="J834" s="8" t="s">
        <v>1897</v>
      </c>
      <c r="K834" s="27" t="s">
        <v>1874</v>
      </c>
      <c r="L834" s="28">
        <f>_xlfn.NUMBERVALUE(LEFT(Activities[[#This Row],[Fiscal Year]], 4))</f>
        <v>2017</v>
      </c>
      <c r="M834" s="28" t="s">
        <v>1862</v>
      </c>
      <c r="N834" s="41">
        <v>3793</v>
      </c>
      <c r="O834" s="93">
        <f>IF(Activities[[#This Row],[Reference Year]]&gt;2018,Activities[[#This Row],[Value]],Activities[[#This Row],[Value]]*(1+VLOOKUP(Activities[[#This Row],[Reference Year]],Inflation[#All],3,FALSE)))</f>
        <v>3894.0692900856798</v>
      </c>
    </row>
    <row r="835" spans="1:15" ht="15" customHeight="1" x14ac:dyDescent="0.25">
      <c r="A835" s="9" t="s">
        <v>280</v>
      </c>
      <c r="B835" s="9" t="str">
        <f>INDEX(Places[Type],MATCH(Activities[[#This Row],[Jurisdiction]],Places[Jurisdiction],0))</f>
        <v>City</v>
      </c>
      <c r="C835" s="19" t="str">
        <f>INDEX(Places[County],MATCH(Activities[[#This Row],[Jurisdiction]],Places[Jurisdiction],0))</f>
        <v>Orange</v>
      </c>
      <c r="D835" s="9" t="str">
        <f>INDEX(Places[Majority RB],MATCH(Activities[[#This Row],[Jurisdiction]],Places[Jurisdiction],0))</f>
        <v>San Diego</v>
      </c>
      <c r="E835" s="9">
        <f>INDEX(Places[Majority RB '#],MATCH(Activities[[#This Row],[Jurisdiction]],Places[Jurisdiction],0))</f>
        <v>9</v>
      </c>
      <c r="F835" s="28" t="str">
        <f>VLOOKUP(Activities[[#This Row],[Jurisdiction]],Places[#All],8,FALSE)</f>
        <v>Phase I MS4</v>
      </c>
      <c r="G835" s="48" t="s">
        <v>1041</v>
      </c>
      <c r="H835" s="8" t="s">
        <v>507</v>
      </c>
      <c r="I835" s="8"/>
      <c r="J835" s="8" t="s">
        <v>1897</v>
      </c>
      <c r="K835" s="27" t="s">
        <v>1874</v>
      </c>
      <c r="L835" s="28">
        <f>_xlfn.NUMBERVALUE(LEFT(Activities[[#This Row],[Fiscal Year]], 4))</f>
        <v>2017</v>
      </c>
      <c r="M835" s="28" t="s">
        <v>1862</v>
      </c>
      <c r="N835" s="41">
        <v>7112</v>
      </c>
      <c r="O835" s="93">
        <f>IF(Activities[[#This Row],[Reference Year]]&gt;2018,Activities[[#This Row],[Value]],Activities[[#This Row],[Value]]*(1+VLOOKUP(Activities[[#This Row],[Reference Year]],Inflation[#All],3,FALSE)))</f>
        <v>7301.5082496940031</v>
      </c>
    </row>
    <row r="836" spans="1:15" ht="15" customHeight="1" x14ac:dyDescent="0.25">
      <c r="A836" s="9" t="s">
        <v>280</v>
      </c>
      <c r="B836" s="9" t="str">
        <f>INDEX(Places[Type],MATCH(Activities[[#This Row],[Jurisdiction]],Places[Jurisdiction],0))</f>
        <v>City</v>
      </c>
      <c r="C836" s="19" t="str">
        <f>INDEX(Places[County],MATCH(Activities[[#This Row],[Jurisdiction]],Places[Jurisdiction],0))</f>
        <v>Orange</v>
      </c>
      <c r="D836" s="9" t="str">
        <f>INDEX(Places[Majority RB],MATCH(Activities[[#This Row],[Jurisdiction]],Places[Jurisdiction],0))</f>
        <v>San Diego</v>
      </c>
      <c r="E836" s="9">
        <f>INDEX(Places[Majority RB '#],MATCH(Activities[[#This Row],[Jurisdiction]],Places[Jurisdiction],0))</f>
        <v>9</v>
      </c>
      <c r="F836" s="28" t="str">
        <f>VLOOKUP(Activities[[#This Row],[Jurisdiction]],Places[#All],8,FALSE)</f>
        <v>Phase I MS4</v>
      </c>
      <c r="G836" s="48" t="s">
        <v>1052</v>
      </c>
      <c r="H836" s="8" t="s">
        <v>507</v>
      </c>
      <c r="I836" s="8"/>
      <c r="J836" s="8" t="s">
        <v>1897</v>
      </c>
      <c r="K836" s="27" t="s">
        <v>1874</v>
      </c>
      <c r="L836" s="28">
        <f>_xlfn.NUMBERVALUE(LEFT(Activities[[#This Row],[Fiscal Year]], 4))</f>
        <v>2017</v>
      </c>
      <c r="M836" s="28" t="s">
        <v>1862</v>
      </c>
      <c r="N836" s="41">
        <v>24265</v>
      </c>
      <c r="O836" s="93">
        <f>IF(Activities[[#This Row],[Reference Year]]&gt;2018,Activities[[#This Row],[Value]],Activities[[#This Row],[Value]]*(1+VLOOKUP(Activities[[#This Row],[Reference Year]],Inflation[#All],3,FALSE)))</f>
        <v>24911.571664626685</v>
      </c>
    </row>
    <row r="837" spans="1:15" ht="15" customHeight="1" x14ac:dyDescent="0.25">
      <c r="A837" s="9" t="s">
        <v>280</v>
      </c>
      <c r="B837" s="9" t="str">
        <f>INDEX(Places[Type],MATCH(Activities[[#This Row],[Jurisdiction]],Places[Jurisdiction],0))</f>
        <v>City</v>
      </c>
      <c r="C837" s="19" t="str">
        <f>INDEX(Places[County],MATCH(Activities[[#This Row],[Jurisdiction]],Places[Jurisdiction],0))</f>
        <v>Orange</v>
      </c>
      <c r="D837" s="9" t="str">
        <f>INDEX(Places[Majority RB],MATCH(Activities[[#This Row],[Jurisdiction]],Places[Jurisdiction],0))</f>
        <v>San Diego</v>
      </c>
      <c r="E837" s="9">
        <f>INDEX(Places[Majority RB '#],MATCH(Activities[[#This Row],[Jurisdiction]],Places[Jurisdiction],0))</f>
        <v>9</v>
      </c>
      <c r="F837" s="28" t="str">
        <f>VLOOKUP(Activities[[#This Row],[Jurisdiction]],Places[#All],8,FALSE)</f>
        <v>Phase I MS4</v>
      </c>
      <c r="G837" s="48" t="s">
        <v>1040</v>
      </c>
      <c r="H837" s="8" t="s">
        <v>507</v>
      </c>
      <c r="I837" s="8"/>
      <c r="J837" s="8" t="s">
        <v>1897</v>
      </c>
      <c r="K837" s="27" t="s">
        <v>1874</v>
      </c>
      <c r="L837" s="28">
        <f>_xlfn.NUMBERVALUE(LEFT(Activities[[#This Row],[Fiscal Year]], 4))</f>
        <v>2017</v>
      </c>
      <c r="M837" s="28" t="s">
        <v>1862</v>
      </c>
      <c r="N837" s="41">
        <v>176903</v>
      </c>
      <c r="O837" s="93">
        <f>IF(Activities[[#This Row],[Reference Year]]&gt;2018,Activities[[#This Row],[Value]],Activities[[#This Row],[Value]]*(1+VLOOKUP(Activities[[#This Row],[Reference Year]],Inflation[#All],3,FALSE)))</f>
        <v>181616.80454100369</v>
      </c>
    </row>
    <row r="838" spans="1:15" ht="15" customHeight="1" x14ac:dyDescent="0.25">
      <c r="A838" s="9" t="s">
        <v>280</v>
      </c>
      <c r="B838" s="9" t="str">
        <f>INDEX(Places[Type],MATCH(Activities[[#This Row],[Jurisdiction]],Places[Jurisdiction],0))</f>
        <v>City</v>
      </c>
      <c r="C838" s="19" t="str">
        <f>INDEX(Places[County],MATCH(Activities[[#This Row],[Jurisdiction]],Places[Jurisdiction],0))</f>
        <v>Orange</v>
      </c>
      <c r="D838" s="9" t="str">
        <f>INDEX(Places[Majority RB],MATCH(Activities[[#This Row],[Jurisdiction]],Places[Jurisdiction],0))</f>
        <v>San Diego</v>
      </c>
      <c r="E838" s="9">
        <f>INDEX(Places[Majority RB '#],MATCH(Activities[[#This Row],[Jurisdiction]],Places[Jurisdiction],0))</f>
        <v>9</v>
      </c>
      <c r="F838" s="28" t="str">
        <f>VLOOKUP(Activities[[#This Row],[Jurisdiction]],Places[#All],8,FALSE)</f>
        <v>Phase I MS4</v>
      </c>
      <c r="G838" s="48" t="s">
        <v>1045</v>
      </c>
      <c r="H838" s="8" t="s">
        <v>512</v>
      </c>
      <c r="I838" s="8"/>
      <c r="J838" s="8" t="s">
        <v>1898</v>
      </c>
      <c r="K838" s="27" t="s">
        <v>1874</v>
      </c>
      <c r="L838" s="28">
        <f>_xlfn.NUMBERVALUE(LEFT(Activities[[#This Row],[Fiscal Year]], 4))</f>
        <v>2017</v>
      </c>
      <c r="M838" s="28" t="s">
        <v>1862</v>
      </c>
      <c r="N838" s="41">
        <v>43038</v>
      </c>
      <c r="O838" s="93">
        <f>IF(Activities[[#This Row],[Reference Year]]&gt;2018,Activities[[#This Row],[Value]],Activities[[#This Row],[Value]]*(1+VLOOKUP(Activities[[#This Row],[Reference Year]],Inflation[#All],3,FALSE)))</f>
        <v>44184.802031823754</v>
      </c>
    </row>
    <row r="839" spans="1:15" ht="15" customHeight="1" x14ac:dyDescent="0.25">
      <c r="A839" s="9" t="s">
        <v>280</v>
      </c>
      <c r="B839" s="9" t="str">
        <f>INDEX(Places[Type],MATCH(Activities[[#This Row],[Jurisdiction]],Places[Jurisdiction],0))</f>
        <v>City</v>
      </c>
      <c r="C839" s="19" t="str">
        <f>INDEX(Places[County],MATCH(Activities[[#This Row],[Jurisdiction]],Places[Jurisdiction],0))</f>
        <v>Orange</v>
      </c>
      <c r="D839" s="9" t="str">
        <f>INDEX(Places[Majority RB],MATCH(Activities[[#This Row],[Jurisdiction]],Places[Jurisdiction],0))</f>
        <v>San Diego</v>
      </c>
      <c r="E839" s="9">
        <f>INDEX(Places[Majority RB '#],MATCH(Activities[[#This Row],[Jurisdiction]],Places[Jurisdiction],0))</f>
        <v>9</v>
      </c>
      <c r="F839" s="28" t="str">
        <f>VLOOKUP(Activities[[#This Row],[Jurisdiction]],Places[#All],8,FALSE)</f>
        <v>Phase I MS4</v>
      </c>
      <c r="G839" s="48" t="s">
        <v>1044</v>
      </c>
      <c r="H839" s="8" t="s">
        <v>508</v>
      </c>
      <c r="I839" s="8"/>
      <c r="J839" s="8" t="s">
        <v>1456</v>
      </c>
      <c r="K839" s="27" t="s">
        <v>1874</v>
      </c>
      <c r="L839" s="28">
        <f>_xlfn.NUMBERVALUE(LEFT(Activities[[#This Row],[Fiscal Year]], 4))</f>
        <v>2017</v>
      </c>
      <c r="M839" s="28" t="s">
        <v>1862</v>
      </c>
      <c r="N839" s="41">
        <v>8255</v>
      </c>
      <c r="O839" s="93">
        <f>IF(Activities[[#This Row],[Reference Year]]&gt;2018,Activities[[#This Row],[Value]],Activities[[#This Row],[Value]]*(1+VLOOKUP(Activities[[#This Row],[Reference Year]],Inflation[#All],3,FALSE)))</f>
        <v>8474.9649326805393</v>
      </c>
    </row>
    <row r="840" spans="1:15" ht="15" customHeight="1" x14ac:dyDescent="0.25">
      <c r="A840" s="9" t="s">
        <v>280</v>
      </c>
      <c r="B840" s="9" t="str">
        <f>INDEX(Places[Type],MATCH(Activities[[#This Row],[Jurisdiction]],Places[Jurisdiction],0))</f>
        <v>City</v>
      </c>
      <c r="C840" s="19" t="str">
        <f>INDEX(Places[County],MATCH(Activities[[#This Row],[Jurisdiction]],Places[Jurisdiction],0))</f>
        <v>Orange</v>
      </c>
      <c r="D840" s="9" t="str">
        <f>INDEX(Places[Majority RB],MATCH(Activities[[#This Row],[Jurisdiction]],Places[Jurisdiction],0))</f>
        <v>San Diego</v>
      </c>
      <c r="E840" s="9">
        <f>INDEX(Places[Majority RB '#],MATCH(Activities[[#This Row],[Jurisdiction]],Places[Jurisdiction],0))</f>
        <v>9</v>
      </c>
      <c r="F840" s="28" t="str">
        <f>VLOOKUP(Activities[[#This Row],[Jurisdiction]],Places[#All],8,FALSE)</f>
        <v>Phase I MS4</v>
      </c>
      <c r="G840" s="48" t="s">
        <v>1043</v>
      </c>
      <c r="H840" s="8" t="s">
        <v>508</v>
      </c>
      <c r="I840" s="8"/>
      <c r="J840" s="8" t="s">
        <v>1456</v>
      </c>
      <c r="K840" s="27" t="s">
        <v>1874</v>
      </c>
      <c r="L840" s="28">
        <f>_xlfn.NUMBERVALUE(LEFT(Activities[[#This Row],[Fiscal Year]], 4))</f>
        <v>2017</v>
      </c>
      <c r="M840" s="28" t="s">
        <v>1862</v>
      </c>
      <c r="N840" s="41">
        <v>68286</v>
      </c>
      <c r="O840" s="93">
        <f>IF(Activities[[#This Row],[Reference Year]]&gt;2018,Activities[[#This Row],[Value]],Activities[[#This Row],[Value]]*(1+VLOOKUP(Activities[[#This Row],[Reference Year]],Inflation[#All],3,FALSE)))</f>
        <v>70105.566976744201</v>
      </c>
    </row>
    <row r="841" spans="1:15" ht="15" customHeight="1" x14ac:dyDescent="0.25">
      <c r="A841" s="9" t="s">
        <v>280</v>
      </c>
      <c r="B841" s="9" t="str">
        <f>INDEX(Places[Type],MATCH(Activities[[#This Row],[Jurisdiction]],Places[Jurisdiction],0))</f>
        <v>City</v>
      </c>
      <c r="C841" s="19" t="str">
        <f>INDEX(Places[County],MATCH(Activities[[#This Row],[Jurisdiction]],Places[Jurisdiction],0))</f>
        <v>Orange</v>
      </c>
      <c r="D841" s="9" t="str">
        <f>INDEX(Places[Majority RB],MATCH(Activities[[#This Row],[Jurisdiction]],Places[Jurisdiction],0))</f>
        <v>San Diego</v>
      </c>
      <c r="E841" s="9">
        <f>INDEX(Places[Majority RB '#],MATCH(Activities[[#This Row],[Jurisdiction]],Places[Jurisdiction],0))</f>
        <v>9</v>
      </c>
      <c r="F841" s="28" t="str">
        <f>VLOOKUP(Activities[[#This Row],[Jurisdiction]],Places[#All],8,FALSE)</f>
        <v>Phase I MS4</v>
      </c>
      <c r="G841" s="48" t="s">
        <v>1011</v>
      </c>
      <c r="H841" s="8" t="s">
        <v>511</v>
      </c>
      <c r="I841" s="8"/>
      <c r="J841" s="8" t="s">
        <v>1894</v>
      </c>
      <c r="K841" s="27" t="s">
        <v>1874</v>
      </c>
      <c r="L841" s="28">
        <f>_xlfn.NUMBERVALUE(LEFT(Activities[[#This Row],[Fiscal Year]], 4))</f>
        <v>2017</v>
      </c>
      <c r="M841" s="28" t="s">
        <v>1862</v>
      </c>
      <c r="N841" s="41">
        <v>158359</v>
      </c>
      <c r="O841" s="93">
        <f>IF(Activities[[#This Row],[Reference Year]]&gt;2018,Activities[[#This Row],[Value]],Activities[[#This Row],[Value]]*(1+VLOOKUP(Activities[[#This Row],[Reference Year]],Inflation[#All],3,FALSE)))</f>
        <v>162578.67616891066</v>
      </c>
    </row>
    <row r="842" spans="1:15" ht="15" customHeight="1" x14ac:dyDescent="0.25">
      <c r="A842" s="9" t="s">
        <v>280</v>
      </c>
      <c r="B842" s="9" t="str">
        <f>INDEX(Places[Type],MATCH(Activities[[#This Row],[Jurisdiction]],Places[Jurisdiction],0))</f>
        <v>City</v>
      </c>
      <c r="C842" s="19" t="str">
        <f>INDEX(Places[County],MATCH(Activities[[#This Row],[Jurisdiction]],Places[Jurisdiction],0))</f>
        <v>Orange</v>
      </c>
      <c r="D842" s="9" t="str">
        <f>INDEX(Places[Majority RB],MATCH(Activities[[#This Row],[Jurisdiction]],Places[Jurisdiction],0))</f>
        <v>San Diego</v>
      </c>
      <c r="E842" s="9">
        <f>INDEX(Places[Majority RB '#],MATCH(Activities[[#This Row],[Jurisdiction]],Places[Jurisdiction],0))</f>
        <v>9</v>
      </c>
      <c r="F842" s="28" t="str">
        <f>VLOOKUP(Activities[[#This Row],[Jurisdiction]],Places[#All],8,FALSE)</f>
        <v>Phase I MS4</v>
      </c>
      <c r="G842" s="48" t="s">
        <v>1047</v>
      </c>
      <c r="H842" s="8"/>
      <c r="I842" s="8"/>
      <c r="J842" s="8" t="s">
        <v>1896</v>
      </c>
      <c r="K842" s="27" t="s">
        <v>1874</v>
      </c>
      <c r="L842" s="28">
        <f>_xlfn.NUMBERVALUE(LEFT(Activities[[#This Row],[Fiscal Year]], 4))</f>
        <v>2017</v>
      </c>
      <c r="M842" s="28" t="s">
        <v>1862</v>
      </c>
      <c r="N842" s="41">
        <v>225290</v>
      </c>
      <c r="O842" s="93">
        <f>IF(Activities[[#This Row],[Reference Year]]&gt;2018,Activities[[#This Row],[Value]],Activities[[#This Row],[Value]]*(1+VLOOKUP(Activities[[#This Row],[Reference Year]],Inflation[#All],3,FALSE)))</f>
        <v>231293.13745410039</v>
      </c>
    </row>
    <row r="843" spans="1:15" ht="15" customHeight="1" x14ac:dyDescent="0.25">
      <c r="A843" s="9" t="s">
        <v>281</v>
      </c>
      <c r="B843" s="9" t="str">
        <f>INDEX(Places[Type],MATCH(Activities[[#This Row],[Jurisdiction]],Places[Jurisdiction],0))</f>
        <v>City</v>
      </c>
      <c r="C843" s="19" t="str">
        <f>INDEX(Places[County],MATCH(Activities[[#This Row],[Jurisdiction]],Places[Jurisdiction],0))</f>
        <v>Orange</v>
      </c>
      <c r="D843" s="9" t="str">
        <f>INDEX(Places[Majority RB],MATCH(Activities[[#This Row],[Jurisdiction]],Places[Jurisdiction],0))</f>
        <v>Santa Ana</v>
      </c>
      <c r="E843" s="9">
        <f>INDEX(Places[Majority RB '#],MATCH(Activities[[#This Row],[Jurisdiction]],Places[Jurisdiction],0))</f>
        <v>8</v>
      </c>
      <c r="F843" s="28" t="str">
        <f>VLOOKUP(Activities[[#This Row],[Jurisdiction]],Places[#All],8,FALSE)</f>
        <v>Phase I MS4</v>
      </c>
      <c r="G843" s="48" t="s">
        <v>1051</v>
      </c>
      <c r="H843" s="8"/>
      <c r="I843" s="8"/>
      <c r="J843" s="8" t="s">
        <v>76</v>
      </c>
      <c r="K843" s="27" t="s">
        <v>1874</v>
      </c>
      <c r="L843" s="28">
        <f>_xlfn.NUMBERVALUE(LEFT(Activities[[#This Row],[Fiscal Year]], 4))</f>
        <v>2017</v>
      </c>
      <c r="M843" s="28" t="s">
        <v>1862</v>
      </c>
      <c r="N843" s="41">
        <v>4000</v>
      </c>
      <c r="O843" s="93">
        <f>IF(Activities[[#This Row],[Reference Year]]&gt;2018,Activities[[#This Row],[Value]],Activities[[#This Row],[Value]]*(1+VLOOKUP(Activities[[#This Row],[Reference Year]],Inflation[#All],3,FALSE)))</f>
        <v>4106.5850673194618</v>
      </c>
    </row>
    <row r="844" spans="1:15" ht="15" customHeight="1" x14ac:dyDescent="0.25">
      <c r="A844" s="9" t="s">
        <v>281</v>
      </c>
      <c r="B844" s="9" t="str">
        <f>INDEX(Places[Type],MATCH(Activities[[#This Row],[Jurisdiction]],Places[Jurisdiction],0))</f>
        <v>City</v>
      </c>
      <c r="C844" s="19" t="str">
        <f>INDEX(Places[County],MATCH(Activities[[#This Row],[Jurisdiction]],Places[Jurisdiction],0))</f>
        <v>Orange</v>
      </c>
      <c r="D844" s="9" t="str">
        <f>INDEX(Places[Majority RB],MATCH(Activities[[#This Row],[Jurisdiction]],Places[Jurisdiction],0))</f>
        <v>Santa Ana</v>
      </c>
      <c r="E844" s="9">
        <f>INDEX(Places[Majority RB '#],MATCH(Activities[[#This Row],[Jurisdiction]],Places[Jurisdiction],0))</f>
        <v>8</v>
      </c>
      <c r="F844" s="28" t="str">
        <f>VLOOKUP(Activities[[#This Row],[Jurisdiction]],Places[#All],8,FALSE)</f>
        <v>Phase I MS4</v>
      </c>
      <c r="G844" s="48" t="s">
        <v>1025</v>
      </c>
      <c r="H844" s="8" t="s">
        <v>513</v>
      </c>
      <c r="I844" s="8"/>
      <c r="J844" s="8" t="s">
        <v>1895</v>
      </c>
      <c r="K844" s="27" t="s">
        <v>1874</v>
      </c>
      <c r="L844" s="28">
        <f>_xlfn.NUMBERVALUE(LEFT(Activities[[#This Row],[Fiscal Year]], 4))</f>
        <v>2017</v>
      </c>
      <c r="M844" s="28" t="s">
        <v>1862</v>
      </c>
      <c r="N844" s="41">
        <v>1180</v>
      </c>
      <c r="O844" s="93">
        <f>IF(Activities[[#This Row],[Reference Year]]&gt;2018,Activities[[#This Row],[Value]],Activities[[#This Row],[Value]]*(1+VLOOKUP(Activities[[#This Row],[Reference Year]],Inflation[#All],3,FALSE)))</f>
        <v>1211.4425948592414</v>
      </c>
    </row>
    <row r="845" spans="1:15" ht="15" customHeight="1" x14ac:dyDescent="0.25">
      <c r="A845" s="9" t="s">
        <v>281</v>
      </c>
      <c r="B845" s="9" t="str">
        <f>INDEX(Places[Type],MATCH(Activities[[#This Row],[Jurisdiction]],Places[Jurisdiction],0))</f>
        <v>City</v>
      </c>
      <c r="C845" s="19" t="str">
        <f>INDEX(Places[County],MATCH(Activities[[#This Row],[Jurisdiction]],Places[Jurisdiction],0))</f>
        <v>Orange</v>
      </c>
      <c r="D845" s="9" t="str">
        <f>INDEX(Places[Majority RB],MATCH(Activities[[#This Row],[Jurisdiction]],Places[Jurisdiction],0))</f>
        <v>Santa Ana</v>
      </c>
      <c r="E845" s="9">
        <f>INDEX(Places[Majority RB '#],MATCH(Activities[[#This Row],[Jurisdiction]],Places[Jurisdiction],0))</f>
        <v>8</v>
      </c>
      <c r="F845" s="28" t="str">
        <f>VLOOKUP(Activities[[#This Row],[Jurisdiction]],Places[#All],8,FALSE)</f>
        <v>Phase I MS4</v>
      </c>
      <c r="G845" s="48" t="s">
        <v>1054</v>
      </c>
      <c r="H845" s="8" t="s">
        <v>510</v>
      </c>
      <c r="I845" s="8"/>
      <c r="J845" s="8" t="s">
        <v>131</v>
      </c>
      <c r="K845" s="27" t="s">
        <v>1874</v>
      </c>
      <c r="L845" s="28">
        <f>_xlfn.NUMBERVALUE(LEFT(Activities[[#This Row],[Fiscal Year]], 4))</f>
        <v>2017</v>
      </c>
      <c r="M845" s="28" t="s">
        <v>1862</v>
      </c>
      <c r="N845" s="41">
        <v>7465</v>
      </c>
      <c r="O845" s="93">
        <f>IF(Activities[[#This Row],[Reference Year]]&gt;2018,Activities[[#This Row],[Value]],Activities[[#This Row],[Value]]*(1+VLOOKUP(Activities[[#This Row],[Reference Year]],Inflation[#All],3,FALSE)))</f>
        <v>7663.9143818849461</v>
      </c>
    </row>
    <row r="846" spans="1:15" ht="15" customHeight="1" x14ac:dyDescent="0.25">
      <c r="A846" s="9" t="s">
        <v>281</v>
      </c>
      <c r="B846" s="9" t="str">
        <f>INDEX(Places[Type],MATCH(Activities[[#This Row],[Jurisdiction]],Places[Jurisdiction],0))</f>
        <v>City</v>
      </c>
      <c r="C846" s="19" t="str">
        <f>INDEX(Places[County],MATCH(Activities[[#This Row],[Jurisdiction]],Places[Jurisdiction],0))</f>
        <v>Orange</v>
      </c>
      <c r="D846" s="9" t="str">
        <f>INDEX(Places[Majority RB],MATCH(Activities[[#This Row],[Jurisdiction]],Places[Jurisdiction],0))</f>
        <v>Santa Ana</v>
      </c>
      <c r="E846" s="9">
        <f>INDEX(Places[Majority RB '#],MATCH(Activities[[#This Row],[Jurisdiction]],Places[Jurisdiction],0))</f>
        <v>8</v>
      </c>
      <c r="F846" s="28" t="str">
        <f>VLOOKUP(Activities[[#This Row],[Jurisdiction]],Places[#All],8,FALSE)</f>
        <v>Phase I MS4</v>
      </c>
      <c r="G846" s="48" t="s">
        <v>1020</v>
      </c>
      <c r="H846" s="8" t="s">
        <v>509</v>
      </c>
      <c r="I846" s="8"/>
      <c r="J846" s="8" t="s">
        <v>334</v>
      </c>
      <c r="K846" s="27" t="s">
        <v>1874</v>
      </c>
      <c r="L846" s="28">
        <f>_xlfn.NUMBERVALUE(LEFT(Activities[[#This Row],[Fiscal Year]], 4))</f>
        <v>2017</v>
      </c>
      <c r="M846" s="28" t="s">
        <v>1862</v>
      </c>
      <c r="N846" s="41">
        <v>738</v>
      </c>
      <c r="O846" s="93">
        <f>IF(Activities[[#This Row],[Reference Year]]&gt;2018,Activities[[#This Row],[Value]],Activities[[#This Row],[Value]]*(1+VLOOKUP(Activities[[#This Row],[Reference Year]],Inflation[#All],3,FALSE)))</f>
        <v>757.66494492044069</v>
      </c>
    </row>
    <row r="847" spans="1:15" ht="15" customHeight="1" x14ac:dyDescent="0.25">
      <c r="A847" s="9" t="s">
        <v>281</v>
      </c>
      <c r="B847" s="9" t="str">
        <f>INDEX(Places[Type],MATCH(Activities[[#This Row],[Jurisdiction]],Places[Jurisdiction],0))</f>
        <v>City</v>
      </c>
      <c r="C847" s="19" t="str">
        <f>INDEX(Places[County],MATCH(Activities[[#This Row],[Jurisdiction]],Places[Jurisdiction],0))</f>
        <v>Orange</v>
      </c>
      <c r="D847" s="9" t="str">
        <f>INDEX(Places[Majority RB],MATCH(Activities[[#This Row],[Jurisdiction]],Places[Jurisdiction],0))</f>
        <v>Santa Ana</v>
      </c>
      <c r="E847" s="9">
        <f>INDEX(Places[Majority RB '#],MATCH(Activities[[#This Row],[Jurisdiction]],Places[Jurisdiction],0))</f>
        <v>8</v>
      </c>
      <c r="F847" s="28" t="str">
        <f>VLOOKUP(Activities[[#This Row],[Jurisdiction]],Places[#All],8,FALSE)</f>
        <v>Phase I MS4</v>
      </c>
      <c r="G847" s="48" t="s">
        <v>1053</v>
      </c>
      <c r="H847" s="8" t="s">
        <v>507</v>
      </c>
      <c r="I847" s="8"/>
      <c r="J847" s="8" t="s">
        <v>71</v>
      </c>
      <c r="K847" s="27" t="s">
        <v>1874</v>
      </c>
      <c r="L847" s="28">
        <f>_xlfn.NUMBERVALUE(LEFT(Activities[[#This Row],[Fiscal Year]], 4))</f>
        <v>2017</v>
      </c>
      <c r="M847" s="28" t="s">
        <v>1862</v>
      </c>
      <c r="N847" s="41">
        <v>7470</v>
      </c>
      <c r="O847" s="93">
        <f>IF(Activities[[#This Row],[Reference Year]]&gt;2018,Activities[[#This Row],[Value]],Activities[[#This Row],[Value]]*(1+VLOOKUP(Activities[[#This Row],[Reference Year]],Inflation[#All],3,FALSE)))</f>
        <v>7669.0476132190952</v>
      </c>
    </row>
    <row r="848" spans="1:15" ht="15" customHeight="1" x14ac:dyDescent="0.25">
      <c r="A848" s="9" t="s">
        <v>281</v>
      </c>
      <c r="B848" s="9" t="str">
        <f>INDEX(Places[Type],MATCH(Activities[[#This Row],[Jurisdiction]],Places[Jurisdiction],0))</f>
        <v>City</v>
      </c>
      <c r="C848" s="19" t="str">
        <f>INDEX(Places[County],MATCH(Activities[[#This Row],[Jurisdiction]],Places[Jurisdiction],0))</f>
        <v>Orange</v>
      </c>
      <c r="D848" s="9" t="str">
        <f>INDEX(Places[Majority RB],MATCH(Activities[[#This Row],[Jurisdiction]],Places[Jurisdiction],0))</f>
        <v>Santa Ana</v>
      </c>
      <c r="E848" s="9">
        <f>INDEX(Places[Majority RB '#],MATCH(Activities[[#This Row],[Jurisdiction]],Places[Jurisdiction],0))</f>
        <v>8</v>
      </c>
      <c r="F848" s="28" t="str">
        <f>VLOOKUP(Activities[[#This Row],[Jurisdiction]],Places[#All],8,FALSE)</f>
        <v>Phase I MS4</v>
      </c>
      <c r="G848" s="48" t="s">
        <v>1042</v>
      </c>
      <c r="H848" s="8" t="s">
        <v>507</v>
      </c>
      <c r="I848" s="8"/>
      <c r="J848" s="8" t="s">
        <v>1897</v>
      </c>
      <c r="K848" s="27" t="s">
        <v>1874</v>
      </c>
      <c r="L848" s="28">
        <f>_xlfn.NUMBERVALUE(LEFT(Activities[[#This Row],[Fiscal Year]], 4))</f>
        <v>2017</v>
      </c>
      <c r="M848" s="28" t="s">
        <v>1862</v>
      </c>
      <c r="N848" s="41">
        <v>13200</v>
      </c>
      <c r="O848" s="93">
        <f>IF(Activities[[#This Row],[Reference Year]]&gt;2018,Activities[[#This Row],[Value]],Activities[[#This Row],[Value]]*(1+VLOOKUP(Activities[[#This Row],[Reference Year]],Inflation[#All],3,FALSE)))</f>
        <v>13551.730722154225</v>
      </c>
    </row>
    <row r="849" spans="1:15" ht="15" customHeight="1" x14ac:dyDescent="0.25">
      <c r="A849" s="9" t="s">
        <v>281</v>
      </c>
      <c r="B849" s="9" t="str">
        <f>INDEX(Places[Type],MATCH(Activities[[#This Row],[Jurisdiction]],Places[Jurisdiction],0))</f>
        <v>City</v>
      </c>
      <c r="C849" s="19" t="str">
        <f>INDEX(Places[County],MATCH(Activities[[#This Row],[Jurisdiction]],Places[Jurisdiction],0))</f>
        <v>Orange</v>
      </c>
      <c r="D849" s="9" t="str">
        <f>INDEX(Places[Majority RB],MATCH(Activities[[#This Row],[Jurisdiction]],Places[Jurisdiction],0))</f>
        <v>Santa Ana</v>
      </c>
      <c r="E849" s="9">
        <f>INDEX(Places[Majority RB '#],MATCH(Activities[[#This Row],[Jurisdiction]],Places[Jurisdiction],0))</f>
        <v>8</v>
      </c>
      <c r="F849" s="28" t="str">
        <f>VLOOKUP(Activities[[#This Row],[Jurisdiction]],Places[#All],8,FALSE)</f>
        <v>Phase I MS4</v>
      </c>
      <c r="G849" s="48" t="s">
        <v>1052</v>
      </c>
      <c r="H849" s="8" t="s">
        <v>507</v>
      </c>
      <c r="I849" s="8"/>
      <c r="J849" s="8" t="s">
        <v>1897</v>
      </c>
      <c r="K849" s="27" t="s">
        <v>1874</v>
      </c>
      <c r="L849" s="28">
        <f>_xlfn.NUMBERVALUE(LEFT(Activities[[#This Row],[Fiscal Year]], 4))</f>
        <v>2017</v>
      </c>
      <c r="M849" s="28" t="s">
        <v>1862</v>
      </c>
      <c r="N849" s="41">
        <v>25266</v>
      </c>
      <c r="O849" s="93">
        <f>IF(Activities[[#This Row],[Reference Year]]&gt;2018,Activities[[#This Row],[Value]],Activities[[#This Row],[Value]]*(1+VLOOKUP(Activities[[#This Row],[Reference Year]],Inflation[#All],3,FALSE)))</f>
        <v>25939.244577723381</v>
      </c>
    </row>
    <row r="850" spans="1:15" ht="15" customHeight="1" x14ac:dyDescent="0.25">
      <c r="A850" s="9" t="s">
        <v>281</v>
      </c>
      <c r="B850" s="9" t="str">
        <f>INDEX(Places[Type],MATCH(Activities[[#This Row],[Jurisdiction]],Places[Jurisdiction],0))</f>
        <v>City</v>
      </c>
      <c r="C850" s="19" t="str">
        <f>INDEX(Places[County],MATCH(Activities[[#This Row],[Jurisdiction]],Places[Jurisdiction],0))</f>
        <v>Orange</v>
      </c>
      <c r="D850" s="9" t="str">
        <f>INDEX(Places[Majority RB],MATCH(Activities[[#This Row],[Jurisdiction]],Places[Jurisdiction],0))</f>
        <v>Santa Ana</v>
      </c>
      <c r="E850" s="9">
        <f>INDEX(Places[Majority RB '#],MATCH(Activities[[#This Row],[Jurisdiction]],Places[Jurisdiction],0))</f>
        <v>8</v>
      </c>
      <c r="F850" s="28" t="str">
        <f>VLOOKUP(Activities[[#This Row],[Jurisdiction]],Places[#All],8,FALSE)</f>
        <v>Phase I MS4</v>
      </c>
      <c r="G850" s="48" t="s">
        <v>1040</v>
      </c>
      <c r="H850" s="8" t="s">
        <v>507</v>
      </c>
      <c r="I850" s="8"/>
      <c r="J850" s="8" t="s">
        <v>1897</v>
      </c>
      <c r="K850" s="27" t="s">
        <v>1874</v>
      </c>
      <c r="L850" s="28">
        <f>_xlfn.NUMBERVALUE(LEFT(Activities[[#This Row],[Fiscal Year]], 4))</f>
        <v>2017</v>
      </c>
      <c r="M850" s="28" t="s">
        <v>1862</v>
      </c>
      <c r="N850" s="41">
        <v>35880</v>
      </c>
      <c r="O850" s="93">
        <f>IF(Activities[[#This Row],[Reference Year]]&gt;2018,Activities[[#This Row],[Value]],Activities[[#This Row],[Value]]*(1+VLOOKUP(Activities[[#This Row],[Reference Year]],Inflation[#All],3,FALSE)))</f>
        <v>36836.068053855575</v>
      </c>
    </row>
    <row r="851" spans="1:15" ht="15" customHeight="1" x14ac:dyDescent="0.25">
      <c r="A851" s="9" t="s">
        <v>281</v>
      </c>
      <c r="B851" s="9" t="str">
        <f>INDEX(Places[Type],MATCH(Activities[[#This Row],[Jurisdiction]],Places[Jurisdiction],0))</f>
        <v>City</v>
      </c>
      <c r="C851" s="19" t="str">
        <f>INDEX(Places[County],MATCH(Activities[[#This Row],[Jurisdiction]],Places[Jurisdiction],0))</f>
        <v>Orange</v>
      </c>
      <c r="D851" s="9" t="str">
        <f>INDEX(Places[Majority RB],MATCH(Activities[[#This Row],[Jurisdiction]],Places[Jurisdiction],0))</f>
        <v>Santa Ana</v>
      </c>
      <c r="E851" s="9">
        <f>INDEX(Places[Majority RB '#],MATCH(Activities[[#This Row],[Jurisdiction]],Places[Jurisdiction],0))</f>
        <v>8</v>
      </c>
      <c r="F851" s="28" t="str">
        <f>VLOOKUP(Activities[[#This Row],[Jurisdiction]],Places[#All],8,FALSE)</f>
        <v>Phase I MS4</v>
      </c>
      <c r="G851" s="48" t="s">
        <v>1041</v>
      </c>
      <c r="H851" s="8" t="s">
        <v>507</v>
      </c>
      <c r="I851" s="8"/>
      <c r="J851" s="8" t="s">
        <v>1897</v>
      </c>
      <c r="K851" s="27" t="s">
        <v>1874</v>
      </c>
      <c r="L851" s="28">
        <f>_xlfn.NUMBERVALUE(LEFT(Activities[[#This Row],[Fiscal Year]], 4))</f>
        <v>2017</v>
      </c>
      <c r="M851" s="28" t="s">
        <v>1862</v>
      </c>
      <c r="N851" s="41">
        <v>431637</v>
      </c>
      <c r="O851" s="93">
        <f>IF(Activities[[#This Row],[Reference Year]]&gt;2018,Activities[[#This Row],[Value]],Activities[[#This Row],[Value]]*(1+VLOOKUP(Activities[[#This Row],[Reference Year]],Inflation[#All],3,FALSE)))</f>
        <v>443138.51467564265</v>
      </c>
    </row>
    <row r="852" spans="1:15" ht="15" customHeight="1" x14ac:dyDescent="0.25">
      <c r="A852" s="9" t="s">
        <v>281</v>
      </c>
      <c r="B852" s="9" t="str">
        <f>INDEX(Places[Type],MATCH(Activities[[#This Row],[Jurisdiction]],Places[Jurisdiction],0))</f>
        <v>City</v>
      </c>
      <c r="C852" s="19" t="str">
        <f>INDEX(Places[County],MATCH(Activities[[#This Row],[Jurisdiction]],Places[Jurisdiction],0))</f>
        <v>Orange</v>
      </c>
      <c r="D852" s="9" t="str">
        <f>INDEX(Places[Majority RB],MATCH(Activities[[#This Row],[Jurisdiction]],Places[Jurisdiction],0))</f>
        <v>Santa Ana</v>
      </c>
      <c r="E852" s="9">
        <f>INDEX(Places[Majority RB '#],MATCH(Activities[[#This Row],[Jurisdiction]],Places[Jurisdiction],0))</f>
        <v>8</v>
      </c>
      <c r="F852" s="28" t="str">
        <f>VLOOKUP(Activities[[#This Row],[Jurisdiction]],Places[#All],8,FALSE)</f>
        <v>Phase I MS4</v>
      </c>
      <c r="G852" s="48" t="s">
        <v>1045</v>
      </c>
      <c r="H852" s="8" t="s">
        <v>512</v>
      </c>
      <c r="I852" s="8"/>
      <c r="J852" s="8" t="s">
        <v>1898</v>
      </c>
      <c r="K852" s="27" t="s">
        <v>1874</v>
      </c>
      <c r="L852" s="28">
        <f>_xlfn.NUMBERVALUE(LEFT(Activities[[#This Row],[Fiscal Year]], 4))</f>
        <v>2017</v>
      </c>
      <c r="M852" s="28" t="s">
        <v>1862</v>
      </c>
      <c r="N852" s="41">
        <v>2213</v>
      </c>
      <c r="O852" s="93">
        <f>IF(Activities[[#This Row],[Reference Year]]&gt;2018,Activities[[#This Row],[Value]],Activities[[#This Row],[Value]]*(1+VLOOKUP(Activities[[#This Row],[Reference Year]],Inflation[#All],3,FALSE)))</f>
        <v>2271.9681884944921</v>
      </c>
    </row>
    <row r="853" spans="1:15" ht="15" customHeight="1" x14ac:dyDescent="0.25">
      <c r="A853" s="9" t="s">
        <v>281</v>
      </c>
      <c r="B853" s="9" t="str">
        <f>INDEX(Places[Type],MATCH(Activities[[#This Row],[Jurisdiction]],Places[Jurisdiction],0))</f>
        <v>City</v>
      </c>
      <c r="C853" s="19" t="str">
        <f>INDEX(Places[County],MATCH(Activities[[#This Row],[Jurisdiction]],Places[Jurisdiction],0))</f>
        <v>Orange</v>
      </c>
      <c r="D853" s="9" t="str">
        <f>INDEX(Places[Majority RB],MATCH(Activities[[#This Row],[Jurisdiction]],Places[Jurisdiction],0))</f>
        <v>Santa Ana</v>
      </c>
      <c r="E853" s="9">
        <f>INDEX(Places[Majority RB '#],MATCH(Activities[[#This Row],[Jurisdiction]],Places[Jurisdiction],0))</f>
        <v>8</v>
      </c>
      <c r="F853" s="28" t="str">
        <f>VLOOKUP(Activities[[#This Row],[Jurisdiction]],Places[#All],8,FALSE)</f>
        <v>Phase I MS4</v>
      </c>
      <c r="G853" s="48" t="s">
        <v>1023</v>
      </c>
      <c r="H853" s="8" t="s">
        <v>1910</v>
      </c>
      <c r="I853" s="8"/>
      <c r="J853" s="8" t="s">
        <v>1456</v>
      </c>
      <c r="K853" s="27" t="s">
        <v>1874</v>
      </c>
      <c r="L853" s="28">
        <f>_xlfn.NUMBERVALUE(LEFT(Activities[[#This Row],[Fiscal Year]], 4))</f>
        <v>2017</v>
      </c>
      <c r="M853" s="28" t="s">
        <v>1862</v>
      </c>
      <c r="N853" s="41">
        <v>8854</v>
      </c>
      <c r="O853" s="93">
        <f>IF(Activities[[#This Row],[Reference Year]]&gt;2018,Activities[[#This Row],[Value]],Activities[[#This Row],[Value]]*(1+VLOOKUP(Activities[[#This Row],[Reference Year]],Inflation[#All],3,FALSE)))</f>
        <v>9089.9260465116295</v>
      </c>
    </row>
    <row r="854" spans="1:15" ht="15" customHeight="1" x14ac:dyDescent="0.25">
      <c r="A854" s="9" t="s">
        <v>281</v>
      </c>
      <c r="B854" s="9" t="str">
        <f>INDEX(Places[Type],MATCH(Activities[[#This Row],[Jurisdiction]],Places[Jurisdiction],0))</f>
        <v>City</v>
      </c>
      <c r="C854" s="19" t="str">
        <f>INDEX(Places[County],MATCH(Activities[[#This Row],[Jurisdiction]],Places[Jurisdiction],0))</f>
        <v>Orange</v>
      </c>
      <c r="D854" s="9" t="str">
        <f>INDEX(Places[Majority RB],MATCH(Activities[[#This Row],[Jurisdiction]],Places[Jurisdiction],0))</f>
        <v>Santa Ana</v>
      </c>
      <c r="E854" s="9">
        <f>INDEX(Places[Majority RB '#],MATCH(Activities[[#This Row],[Jurisdiction]],Places[Jurisdiction],0))</f>
        <v>8</v>
      </c>
      <c r="F854" s="28" t="str">
        <f>VLOOKUP(Activities[[#This Row],[Jurisdiction]],Places[#All],8,FALSE)</f>
        <v>Phase I MS4</v>
      </c>
      <c r="G854" s="48" t="s">
        <v>1043</v>
      </c>
      <c r="H854" s="8" t="s">
        <v>508</v>
      </c>
      <c r="I854" s="8"/>
      <c r="J854" s="8" t="s">
        <v>1456</v>
      </c>
      <c r="K854" s="27" t="s">
        <v>1874</v>
      </c>
      <c r="L854" s="28">
        <f>_xlfn.NUMBERVALUE(LEFT(Activities[[#This Row],[Fiscal Year]], 4))</f>
        <v>2017</v>
      </c>
      <c r="M854" s="28" t="s">
        <v>1862</v>
      </c>
      <c r="N854" s="41">
        <v>16122</v>
      </c>
      <c r="O854" s="93">
        <f>IF(Activities[[#This Row],[Reference Year]]&gt;2018,Activities[[#This Row],[Value]],Activities[[#This Row],[Value]]*(1+VLOOKUP(Activities[[#This Row],[Reference Year]],Inflation[#All],3,FALSE)))</f>
        <v>16551.591113831091</v>
      </c>
    </row>
    <row r="855" spans="1:15" ht="15" customHeight="1" x14ac:dyDescent="0.25">
      <c r="A855" s="9" t="s">
        <v>281</v>
      </c>
      <c r="B855" s="9" t="str">
        <f>INDEX(Places[Type],MATCH(Activities[[#This Row],[Jurisdiction]],Places[Jurisdiction],0))</f>
        <v>City</v>
      </c>
      <c r="C855" s="19" t="str">
        <f>INDEX(Places[County],MATCH(Activities[[#This Row],[Jurisdiction]],Places[Jurisdiction],0))</f>
        <v>Orange</v>
      </c>
      <c r="D855" s="9" t="str">
        <f>INDEX(Places[Majority RB],MATCH(Activities[[#This Row],[Jurisdiction]],Places[Jurisdiction],0))</f>
        <v>Santa Ana</v>
      </c>
      <c r="E855" s="9">
        <f>INDEX(Places[Majority RB '#],MATCH(Activities[[#This Row],[Jurisdiction]],Places[Jurisdiction],0))</f>
        <v>8</v>
      </c>
      <c r="F855" s="28" t="str">
        <f>VLOOKUP(Activities[[#This Row],[Jurisdiction]],Places[#All],8,FALSE)</f>
        <v>Phase I MS4</v>
      </c>
      <c r="G855" s="48" t="s">
        <v>1044</v>
      </c>
      <c r="H855" s="8" t="s">
        <v>508</v>
      </c>
      <c r="I855" s="8"/>
      <c r="J855" s="8" t="s">
        <v>1456</v>
      </c>
      <c r="K855" s="27" t="s">
        <v>1874</v>
      </c>
      <c r="L855" s="28">
        <f>_xlfn.NUMBERVALUE(LEFT(Activities[[#This Row],[Fiscal Year]], 4))</f>
        <v>2017</v>
      </c>
      <c r="M855" s="28" t="s">
        <v>1862</v>
      </c>
      <c r="N855" s="41">
        <v>38726</v>
      </c>
      <c r="O855" s="93">
        <f>IF(Activities[[#This Row],[Reference Year]]&gt;2018,Activities[[#This Row],[Value]],Activities[[#This Row],[Value]]*(1+VLOOKUP(Activities[[#This Row],[Reference Year]],Inflation[#All],3,FALSE)))</f>
        <v>39757.903329253371</v>
      </c>
    </row>
    <row r="856" spans="1:15" ht="15" customHeight="1" x14ac:dyDescent="0.25">
      <c r="A856" s="9" t="s">
        <v>281</v>
      </c>
      <c r="B856" s="9" t="str">
        <f>INDEX(Places[Type],MATCH(Activities[[#This Row],[Jurisdiction]],Places[Jurisdiction],0))</f>
        <v>City</v>
      </c>
      <c r="C856" s="19" t="str">
        <f>INDEX(Places[County],MATCH(Activities[[#This Row],[Jurisdiction]],Places[Jurisdiction],0))</f>
        <v>Orange</v>
      </c>
      <c r="D856" s="9" t="str">
        <f>INDEX(Places[Majority RB],MATCH(Activities[[#This Row],[Jurisdiction]],Places[Jurisdiction],0))</f>
        <v>Santa Ana</v>
      </c>
      <c r="E856" s="9">
        <f>INDEX(Places[Majority RB '#],MATCH(Activities[[#This Row],[Jurisdiction]],Places[Jurisdiction],0))</f>
        <v>8</v>
      </c>
      <c r="F856" s="28" t="str">
        <f>VLOOKUP(Activities[[#This Row],[Jurisdiction]],Places[#All],8,FALSE)</f>
        <v>Phase I MS4</v>
      </c>
      <c r="G856" s="48" t="s">
        <v>1011</v>
      </c>
      <c r="H856" s="8" t="s">
        <v>511</v>
      </c>
      <c r="I856" s="8"/>
      <c r="J856" s="8" t="s">
        <v>1894</v>
      </c>
      <c r="K856" s="27" t="s">
        <v>1874</v>
      </c>
      <c r="L856" s="28">
        <f>_xlfn.NUMBERVALUE(LEFT(Activities[[#This Row],[Fiscal Year]], 4))</f>
        <v>2017</v>
      </c>
      <c r="M856" s="28" t="s">
        <v>1862</v>
      </c>
      <c r="N856" s="41">
        <v>62142</v>
      </c>
      <c r="O856" s="93">
        <f>IF(Activities[[#This Row],[Reference Year]]&gt;2018,Activities[[#This Row],[Value]],Activities[[#This Row],[Value]]*(1+VLOOKUP(Activities[[#This Row],[Reference Year]],Inflation[#All],3,FALSE)))</f>
        <v>63797.8523133415</v>
      </c>
    </row>
    <row r="857" spans="1:15" ht="15" customHeight="1" x14ac:dyDescent="0.25">
      <c r="A857" s="9" t="s">
        <v>281</v>
      </c>
      <c r="B857" s="9" t="str">
        <f>INDEX(Places[Type],MATCH(Activities[[#This Row],[Jurisdiction]],Places[Jurisdiction],0))</f>
        <v>City</v>
      </c>
      <c r="C857" s="19" t="str">
        <f>INDEX(Places[County],MATCH(Activities[[#This Row],[Jurisdiction]],Places[Jurisdiction],0))</f>
        <v>Orange</v>
      </c>
      <c r="D857" s="9" t="str">
        <f>INDEX(Places[Majority RB],MATCH(Activities[[#This Row],[Jurisdiction]],Places[Jurisdiction],0))</f>
        <v>Santa Ana</v>
      </c>
      <c r="E857" s="9">
        <f>INDEX(Places[Majority RB '#],MATCH(Activities[[#This Row],[Jurisdiction]],Places[Jurisdiction],0))</f>
        <v>8</v>
      </c>
      <c r="F857" s="28" t="str">
        <f>VLOOKUP(Activities[[#This Row],[Jurisdiction]],Places[#All],8,FALSE)</f>
        <v>Phase I MS4</v>
      </c>
      <c r="G857" s="48" t="s">
        <v>1047</v>
      </c>
      <c r="H857" s="8"/>
      <c r="I857" s="8"/>
      <c r="J857" s="8" t="s">
        <v>1896</v>
      </c>
      <c r="K857" s="27" t="s">
        <v>1874</v>
      </c>
      <c r="L857" s="28">
        <f>_xlfn.NUMBERVALUE(LEFT(Activities[[#This Row],[Fiscal Year]], 4))</f>
        <v>2017</v>
      </c>
      <c r="M857" s="28" t="s">
        <v>1862</v>
      </c>
      <c r="N857" s="41">
        <v>62674</v>
      </c>
      <c r="O857" s="93">
        <f>IF(Activities[[#This Row],[Reference Year]]&gt;2018,Activities[[#This Row],[Value]],Activities[[#This Row],[Value]]*(1+VLOOKUP(Activities[[#This Row],[Reference Year]],Inflation[#All],3,FALSE)))</f>
        <v>64344.028127294987</v>
      </c>
    </row>
    <row r="858" spans="1:15" ht="15" customHeight="1" x14ac:dyDescent="0.25">
      <c r="A858" s="9" t="s">
        <v>282</v>
      </c>
      <c r="B858" s="9" t="str">
        <f>INDEX(Places[Type],MATCH(Activities[[#This Row],[Jurisdiction]],Places[Jurisdiction],0))</f>
        <v>City</v>
      </c>
      <c r="C858" s="19" t="str">
        <f>INDEX(Places[County],MATCH(Activities[[#This Row],[Jurisdiction]],Places[Jurisdiction],0))</f>
        <v>Orange</v>
      </c>
      <c r="D858" s="9" t="str">
        <f>INDEX(Places[Majority RB],MATCH(Activities[[#This Row],[Jurisdiction]],Places[Jurisdiction],0))</f>
        <v>Santa Ana</v>
      </c>
      <c r="E858" s="9">
        <f>INDEX(Places[Majority RB '#],MATCH(Activities[[#This Row],[Jurisdiction]],Places[Jurisdiction],0))</f>
        <v>8</v>
      </c>
      <c r="F858" s="28" t="str">
        <f>VLOOKUP(Activities[[#This Row],[Jurisdiction]],Places[#All],8,FALSE)</f>
        <v>Phase I MS4</v>
      </c>
      <c r="G858" s="48" t="s">
        <v>1037</v>
      </c>
      <c r="H858" s="8"/>
      <c r="I858" s="8"/>
      <c r="J858" s="8" t="s">
        <v>76</v>
      </c>
      <c r="K858" s="27" t="s">
        <v>1874</v>
      </c>
      <c r="L858" s="28">
        <f>_xlfn.NUMBERVALUE(LEFT(Activities[[#This Row],[Fiscal Year]], 4))</f>
        <v>2017</v>
      </c>
      <c r="M858" s="28" t="s">
        <v>1862</v>
      </c>
      <c r="N858" s="41">
        <v>80000</v>
      </c>
      <c r="O858" s="93">
        <f>IF(Activities[[#This Row],[Reference Year]]&gt;2018,Activities[[#This Row],[Value]],Activities[[#This Row],[Value]]*(1+VLOOKUP(Activities[[#This Row],[Reference Year]],Inflation[#All],3,FALSE)))</f>
        <v>82131.701346389236</v>
      </c>
    </row>
    <row r="859" spans="1:15" ht="15" customHeight="1" x14ac:dyDescent="0.25">
      <c r="A859" s="9" t="s">
        <v>282</v>
      </c>
      <c r="B859" s="9" t="str">
        <f>INDEX(Places[Type],MATCH(Activities[[#This Row],[Jurisdiction]],Places[Jurisdiction],0))</f>
        <v>City</v>
      </c>
      <c r="C859" s="19" t="str">
        <f>INDEX(Places[County],MATCH(Activities[[#This Row],[Jurisdiction]],Places[Jurisdiction],0))</f>
        <v>Orange</v>
      </c>
      <c r="D859" s="9" t="str">
        <f>INDEX(Places[Majority RB],MATCH(Activities[[#This Row],[Jurisdiction]],Places[Jurisdiction],0))</f>
        <v>Santa Ana</v>
      </c>
      <c r="E859" s="9">
        <f>INDEX(Places[Majority RB '#],MATCH(Activities[[#This Row],[Jurisdiction]],Places[Jurisdiction],0))</f>
        <v>8</v>
      </c>
      <c r="F859" s="28" t="str">
        <f>VLOOKUP(Activities[[#This Row],[Jurisdiction]],Places[#All],8,FALSE)</f>
        <v>Phase I MS4</v>
      </c>
      <c r="G859" s="48" t="s">
        <v>1026</v>
      </c>
      <c r="H859" s="8"/>
      <c r="I859" s="8" t="s">
        <v>612</v>
      </c>
      <c r="J859" s="8" t="s">
        <v>76</v>
      </c>
      <c r="K859" s="27" t="s">
        <v>1874</v>
      </c>
      <c r="L859" s="28">
        <f>_xlfn.NUMBERVALUE(LEFT(Activities[[#This Row],[Fiscal Year]], 4))</f>
        <v>2017</v>
      </c>
      <c r="M859" s="28" t="s">
        <v>1862</v>
      </c>
      <c r="N859" s="41">
        <v>798200</v>
      </c>
      <c r="O859" s="93">
        <f>IF(Activities[[#This Row],[Reference Year]]&gt;2018,Activities[[#This Row],[Value]],Activities[[#This Row],[Value]]*(1+VLOOKUP(Activities[[#This Row],[Reference Year]],Inflation[#All],3,FALSE)))</f>
        <v>819469.05018359865</v>
      </c>
    </row>
    <row r="860" spans="1:15" ht="15" customHeight="1" x14ac:dyDescent="0.25">
      <c r="A860" s="9" t="s">
        <v>282</v>
      </c>
      <c r="B860" s="9" t="str">
        <f>INDEX(Places[Type],MATCH(Activities[[#This Row],[Jurisdiction]],Places[Jurisdiction],0))</f>
        <v>City</v>
      </c>
      <c r="C860" s="19" t="str">
        <f>INDEX(Places[County],MATCH(Activities[[#This Row],[Jurisdiction]],Places[Jurisdiction],0))</f>
        <v>Orange</v>
      </c>
      <c r="D860" s="9" t="str">
        <f>INDEX(Places[Majority RB],MATCH(Activities[[#This Row],[Jurisdiction]],Places[Jurisdiction],0))</f>
        <v>Santa Ana</v>
      </c>
      <c r="E860" s="9">
        <f>INDEX(Places[Majority RB '#],MATCH(Activities[[#This Row],[Jurisdiction]],Places[Jurisdiction],0))</f>
        <v>8</v>
      </c>
      <c r="F860" s="28" t="str">
        <f>VLOOKUP(Activities[[#This Row],[Jurisdiction]],Places[#All],8,FALSE)</f>
        <v>Phase I MS4</v>
      </c>
      <c r="G860" s="48" t="s">
        <v>1025</v>
      </c>
      <c r="H860" s="8" t="s">
        <v>513</v>
      </c>
      <c r="I860" s="8"/>
      <c r="J860" s="8" t="s">
        <v>1895</v>
      </c>
      <c r="K860" s="27" t="s">
        <v>1874</v>
      </c>
      <c r="L860" s="28">
        <f>_xlfn.NUMBERVALUE(LEFT(Activities[[#This Row],[Fiscal Year]], 4))</f>
        <v>2017</v>
      </c>
      <c r="M860" s="28" t="s">
        <v>1862</v>
      </c>
      <c r="N860" s="41">
        <v>50449</v>
      </c>
      <c r="O860" s="93">
        <f>IF(Activities[[#This Row],[Reference Year]]&gt;2018,Activities[[#This Row],[Value]],Activities[[#This Row],[Value]]*(1+VLOOKUP(Activities[[#This Row],[Reference Year]],Inflation[#All],3,FALSE)))</f>
        <v>51793.27751529988</v>
      </c>
    </row>
    <row r="861" spans="1:15" ht="15" customHeight="1" x14ac:dyDescent="0.25">
      <c r="A861" s="9" t="s">
        <v>282</v>
      </c>
      <c r="B861" s="9" t="str">
        <f>INDEX(Places[Type],MATCH(Activities[[#This Row],[Jurisdiction]],Places[Jurisdiction],0))</f>
        <v>City</v>
      </c>
      <c r="C861" s="19" t="str">
        <f>INDEX(Places[County],MATCH(Activities[[#This Row],[Jurisdiction]],Places[Jurisdiction],0))</f>
        <v>Orange</v>
      </c>
      <c r="D861" s="9" t="str">
        <f>INDEX(Places[Majority RB],MATCH(Activities[[#This Row],[Jurisdiction]],Places[Jurisdiction],0))</f>
        <v>Santa Ana</v>
      </c>
      <c r="E861" s="9">
        <f>INDEX(Places[Majority RB '#],MATCH(Activities[[#This Row],[Jurisdiction]],Places[Jurisdiction],0))</f>
        <v>8</v>
      </c>
      <c r="F861" s="28" t="str">
        <f>VLOOKUP(Activities[[#This Row],[Jurisdiction]],Places[#All],8,FALSE)</f>
        <v>Phase I MS4</v>
      </c>
      <c r="G861" s="48" t="s">
        <v>1057</v>
      </c>
      <c r="H861" s="8" t="s">
        <v>510</v>
      </c>
      <c r="I861" s="8"/>
      <c r="J861" s="8" t="s">
        <v>131</v>
      </c>
      <c r="K861" s="27" t="s">
        <v>1874</v>
      </c>
      <c r="L861" s="28">
        <f>_xlfn.NUMBERVALUE(LEFT(Activities[[#This Row],[Fiscal Year]], 4))</f>
        <v>2017</v>
      </c>
      <c r="M861" s="28" t="s">
        <v>1862</v>
      </c>
      <c r="N861" s="41">
        <v>127578</v>
      </c>
      <c r="O861" s="93">
        <f>IF(Activities[[#This Row],[Reference Year]]&gt;2018,Activities[[#This Row],[Value]],Activities[[#This Row],[Value]]*(1+VLOOKUP(Activities[[#This Row],[Reference Year]],Inflation[#All],3,FALSE)))</f>
        <v>130977.47742962057</v>
      </c>
    </row>
    <row r="862" spans="1:15" ht="15" customHeight="1" x14ac:dyDescent="0.25">
      <c r="A862" s="9" t="s">
        <v>282</v>
      </c>
      <c r="B862" s="9" t="str">
        <f>INDEX(Places[Type],MATCH(Activities[[#This Row],[Jurisdiction]],Places[Jurisdiction],0))</f>
        <v>City</v>
      </c>
      <c r="C862" s="19" t="str">
        <f>INDEX(Places[County],MATCH(Activities[[#This Row],[Jurisdiction]],Places[Jurisdiction],0))</f>
        <v>Orange</v>
      </c>
      <c r="D862" s="9" t="str">
        <f>INDEX(Places[Majority RB],MATCH(Activities[[#This Row],[Jurisdiction]],Places[Jurisdiction],0))</f>
        <v>Santa Ana</v>
      </c>
      <c r="E862" s="9">
        <f>INDEX(Places[Majority RB '#],MATCH(Activities[[#This Row],[Jurisdiction]],Places[Jurisdiction],0))</f>
        <v>8</v>
      </c>
      <c r="F862" s="28" t="str">
        <f>VLOOKUP(Activities[[#This Row],[Jurisdiction]],Places[#All],8,FALSE)</f>
        <v>Phase I MS4</v>
      </c>
      <c r="G862" s="48" t="s">
        <v>1056</v>
      </c>
      <c r="H862" s="8" t="s">
        <v>509</v>
      </c>
      <c r="I862" s="8"/>
      <c r="J862" s="8" t="s">
        <v>334</v>
      </c>
      <c r="K862" s="27" t="s">
        <v>1874</v>
      </c>
      <c r="L862" s="28">
        <f>_xlfn.NUMBERVALUE(LEFT(Activities[[#This Row],[Fiscal Year]], 4))</f>
        <v>2017</v>
      </c>
      <c r="M862" s="28" t="s">
        <v>1862</v>
      </c>
      <c r="N862" s="41">
        <v>87186</v>
      </c>
      <c r="O862" s="93">
        <f>IF(Activities[[#This Row],[Reference Year]]&gt;2018,Activities[[#This Row],[Value]],Activities[[#This Row],[Value]]*(1+VLOOKUP(Activities[[#This Row],[Reference Year]],Inflation[#All],3,FALSE)))</f>
        <v>89509.181419828659</v>
      </c>
    </row>
    <row r="863" spans="1:15" ht="15" customHeight="1" x14ac:dyDescent="0.25">
      <c r="A863" s="9" t="s">
        <v>282</v>
      </c>
      <c r="B863" s="9" t="str">
        <f>INDEX(Places[Type],MATCH(Activities[[#This Row],[Jurisdiction]],Places[Jurisdiction],0))</f>
        <v>City</v>
      </c>
      <c r="C863" s="19" t="str">
        <f>INDEX(Places[County],MATCH(Activities[[#This Row],[Jurisdiction]],Places[Jurisdiction],0))</f>
        <v>Orange</v>
      </c>
      <c r="D863" s="9" t="str">
        <f>INDEX(Places[Majority RB],MATCH(Activities[[#This Row],[Jurisdiction]],Places[Jurisdiction],0))</f>
        <v>Santa Ana</v>
      </c>
      <c r="E863" s="9">
        <f>INDEX(Places[Majority RB '#],MATCH(Activities[[#This Row],[Jurisdiction]],Places[Jurisdiction],0))</f>
        <v>8</v>
      </c>
      <c r="F863" s="28" t="str">
        <f>VLOOKUP(Activities[[#This Row],[Jurisdiction]],Places[#All],8,FALSE)</f>
        <v>Phase I MS4</v>
      </c>
      <c r="G863" s="48" t="s">
        <v>1053</v>
      </c>
      <c r="H863" s="8" t="s">
        <v>507</v>
      </c>
      <c r="I863" s="8"/>
      <c r="J863" s="8" t="s">
        <v>71</v>
      </c>
      <c r="K863" s="27" t="s">
        <v>1874</v>
      </c>
      <c r="L863" s="28">
        <f>_xlfn.NUMBERVALUE(LEFT(Activities[[#This Row],[Fiscal Year]], 4))</f>
        <v>2017</v>
      </c>
      <c r="M863" s="28" t="s">
        <v>1862</v>
      </c>
      <c r="N863" s="41">
        <v>43471</v>
      </c>
      <c r="O863" s="93">
        <f>IF(Activities[[#This Row],[Reference Year]]&gt;2018,Activities[[#This Row],[Value]],Activities[[#This Row],[Value]]*(1+VLOOKUP(Activities[[#This Row],[Reference Year]],Inflation[#All],3,FALSE)))</f>
        <v>44629.339865361086</v>
      </c>
    </row>
    <row r="864" spans="1:15" ht="15" customHeight="1" x14ac:dyDescent="0.25">
      <c r="A864" s="9" t="s">
        <v>282</v>
      </c>
      <c r="B864" s="9" t="str">
        <f>INDEX(Places[Type],MATCH(Activities[[#This Row],[Jurisdiction]],Places[Jurisdiction],0))</f>
        <v>City</v>
      </c>
      <c r="C864" s="19" t="str">
        <f>INDEX(Places[County],MATCH(Activities[[#This Row],[Jurisdiction]],Places[Jurisdiction],0))</f>
        <v>Orange</v>
      </c>
      <c r="D864" s="9" t="str">
        <f>INDEX(Places[Majority RB],MATCH(Activities[[#This Row],[Jurisdiction]],Places[Jurisdiction],0))</f>
        <v>Santa Ana</v>
      </c>
      <c r="E864" s="9">
        <f>INDEX(Places[Majority RB '#],MATCH(Activities[[#This Row],[Jurisdiction]],Places[Jurisdiction],0))</f>
        <v>8</v>
      </c>
      <c r="F864" s="28" t="str">
        <f>VLOOKUP(Activities[[#This Row],[Jurisdiction]],Places[#All],8,FALSE)</f>
        <v>Phase I MS4</v>
      </c>
      <c r="G864" s="48" t="s">
        <v>1042</v>
      </c>
      <c r="H864" s="8" t="s">
        <v>507</v>
      </c>
      <c r="I864" s="8"/>
      <c r="J864" s="8" t="s">
        <v>1897</v>
      </c>
      <c r="K864" s="27" t="s">
        <v>1874</v>
      </c>
      <c r="L864" s="28">
        <f>_xlfn.NUMBERVALUE(LEFT(Activities[[#This Row],[Fiscal Year]], 4))</f>
        <v>2017</v>
      </c>
      <c r="M864" s="28" t="s">
        <v>1862</v>
      </c>
      <c r="N864" s="41">
        <v>10197</v>
      </c>
      <c r="O864" s="93">
        <f>IF(Activities[[#This Row],[Reference Year]]&gt;2018,Activities[[#This Row],[Value]],Activities[[#This Row],[Value]]*(1+VLOOKUP(Activities[[#This Row],[Reference Year]],Inflation[#All],3,FALSE)))</f>
        <v>10468.711982864139</v>
      </c>
    </row>
    <row r="865" spans="1:15" ht="15" customHeight="1" x14ac:dyDescent="0.25">
      <c r="A865" s="9" t="s">
        <v>282</v>
      </c>
      <c r="B865" s="9" t="str">
        <f>INDEX(Places[Type],MATCH(Activities[[#This Row],[Jurisdiction]],Places[Jurisdiction],0))</f>
        <v>City</v>
      </c>
      <c r="C865" s="19" t="str">
        <f>INDEX(Places[County],MATCH(Activities[[#This Row],[Jurisdiction]],Places[Jurisdiction],0))</f>
        <v>Orange</v>
      </c>
      <c r="D865" s="9" t="str">
        <f>INDEX(Places[Majority RB],MATCH(Activities[[#This Row],[Jurisdiction]],Places[Jurisdiction],0))</f>
        <v>Santa Ana</v>
      </c>
      <c r="E865" s="9">
        <f>INDEX(Places[Majority RB '#],MATCH(Activities[[#This Row],[Jurisdiction]],Places[Jurisdiction],0))</f>
        <v>8</v>
      </c>
      <c r="F865" s="28" t="str">
        <f>VLOOKUP(Activities[[#This Row],[Jurisdiction]],Places[#All],8,FALSE)</f>
        <v>Phase I MS4</v>
      </c>
      <c r="G865" s="48" t="s">
        <v>1052</v>
      </c>
      <c r="H865" s="8" t="s">
        <v>507</v>
      </c>
      <c r="I865" s="8"/>
      <c r="J865" s="8" t="s">
        <v>1897</v>
      </c>
      <c r="K865" s="27" t="s">
        <v>1874</v>
      </c>
      <c r="L865" s="28">
        <f>_xlfn.NUMBERVALUE(LEFT(Activities[[#This Row],[Fiscal Year]], 4))</f>
        <v>2017</v>
      </c>
      <c r="M865" s="28" t="s">
        <v>1862</v>
      </c>
      <c r="N865" s="41">
        <v>43335</v>
      </c>
      <c r="O865" s="93">
        <f>IF(Activities[[#This Row],[Reference Year]]&gt;2018,Activities[[#This Row],[Value]],Activities[[#This Row],[Value]]*(1+VLOOKUP(Activities[[#This Row],[Reference Year]],Inflation[#All],3,FALSE)))</f>
        <v>44489.71597307222</v>
      </c>
    </row>
    <row r="866" spans="1:15" ht="15" customHeight="1" x14ac:dyDescent="0.25">
      <c r="A866" s="9" t="s">
        <v>282</v>
      </c>
      <c r="B866" s="9" t="str">
        <f>INDEX(Places[Type],MATCH(Activities[[#This Row],[Jurisdiction]],Places[Jurisdiction],0))</f>
        <v>City</v>
      </c>
      <c r="C866" s="19" t="str">
        <f>INDEX(Places[County],MATCH(Activities[[#This Row],[Jurisdiction]],Places[Jurisdiction],0))</f>
        <v>Orange</v>
      </c>
      <c r="D866" s="9" t="str">
        <f>INDEX(Places[Majority RB],MATCH(Activities[[#This Row],[Jurisdiction]],Places[Jurisdiction],0))</f>
        <v>Santa Ana</v>
      </c>
      <c r="E866" s="9">
        <f>INDEX(Places[Majority RB '#],MATCH(Activities[[#This Row],[Jurisdiction]],Places[Jurisdiction],0))</f>
        <v>8</v>
      </c>
      <c r="F866" s="28" t="str">
        <f>VLOOKUP(Activities[[#This Row],[Jurisdiction]],Places[#All],8,FALSE)</f>
        <v>Phase I MS4</v>
      </c>
      <c r="G866" s="48" t="s">
        <v>1055</v>
      </c>
      <c r="H866" s="8" t="s">
        <v>507</v>
      </c>
      <c r="I866" s="8"/>
      <c r="J866" s="8" t="s">
        <v>1897</v>
      </c>
      <c r="K866" s="27" t="s">
        <v>1874</v>
      </c>
      <c r="L866" s="28">
        <f>_xlfn.NUMBERVALUE(LEFT(Activities[[#This Row],[Fiscal Year]], 4))</f>
        <v>2017</v>
      </c>
      <c r="M866" s="28" t="s">
        <v>1862</v>
      </c>
      <c r="N866" s="41">
        <v>98635</v>
      </c>
      <c r="O866" s="93">
        <f>IF(Activities[[#This Row],[Reference Year]]&gt;2018,Activities[[#This Row],[Value]],Activities[[#This Row],[Value]]*(1+VLOOKUP(Activities[[#This Row],[Reference Year]],Inflation[#All],3,FALSE)))</f>
        <v>101263.25452876378</v>
      </c>
    </row>
    <row r="867" spans="1:15" ht="15" customHeight="1" x14ac:dyDescent="0.25">
      <c r="A867" s="9" t="s">
        <v>282</v>
      </c>
      <c r="B867" s="9" t="str">
        <f>INDEX(Places[Type],MATCH(Activities[[#This Row],[Jurisdiction]],Places[Jurisdiction],0))</f>
        <v>City</v>
      </c>
      <c r="C867" s="19" t="str">
        <f>INDEX(Places[County],MATCH(Activities[[#This Row],[Jurisdiction]],Places[Jurisdiction],0))</f>
        <v>Orange</v>
      </c>
      <c r="D867" s="9" t="str">
        <f>INDEX(Places[Majority RB],MATCH(Activities[[#This Row],[Jurisdiction]],Places[Jurisdiction],0))</f>
        <v>Santa Ana</v>
      </c>
      <c r="E867" s="9">
        <f>INDEX(Places[Majority RB '#],MATCH(Activities[[#This Row],[Jurisdiction]],Places[Jurisdiction],0))</f>
        <v>8</v>
      </c>
      <c r="F867" s="28" t="str">
        <f>VLOOKUP(Activities[[#This Row],[Jurisdiction]],Places[#All],8,FALSE)</f>
        <v>Phase I MS4</v>
      </c>
      <c r="G867" s="48" t="s">
        <v>1040</v>
      </c>
      <c r="H867" s="8" t="s">
        <v>507</v>
      </c>
      <c r="I867" s="8"/>
      <c r="J867" s="8" t="s">
        <v>1897</v>
      </c>
      <c r="K867" s="27" t="s">
        <v>1874</v>
      </c>
      <c r="L867" s="28">
        <f>_xlfn.NUMBERVALUE(LEFT(Activities[[#This Row],[Fiscal Year]], 4))</f>
        <v>2017</v>
      </c>
      <c r="M867" s="28" t="s">
        <v>1862</v>
      </c>
      <c r="N867" s="41">
        <v>293471</v>
      </c>
      <c r="O867" s="93">
        <f>IF(Activities[[#This Row],[Reference Year]]&gt;2018,Activities[[#This Row],[Value]],Activities[[#This Row],[Value]]*(1+VLOOKUP(Activities[[#This Row],[Reference Year]],Inflation[#All],3,FALSE)))</f>
        <v>301290.90657282743</v>
      </c>
    </row>
    <row r="868" spans="1:15" ht="15" customHeight="1" x14ac:dyDescent="0.25">
      <c r="A868" s="9" t="s">
        <v>282</v>
      </c>
      <c r="B868" s="9" t="str">
        <f>INDEX(Places[Type],MATCH(Activities[[#This Row],[Jurisdiction]],Places[Jurisdiction],0))</f>
        <v>City</v>
      </c>
      <c r="C868" s="19" t="str">
        <f>INDEX(Places[County],MATCH(Activities[[#This Row],[Jurisdiction]],Places[Jurisdiction],0))</f>
        <v>Orange</v>
      </c>
      <c r="D868" s="9" t="str">
        <f>INDEX(Places[Majority RB],MATCH(Activities[[#This Row],[Jurisdiction]],Places[Jurisdiction],0))</f>
        <v>Santa Ana</v>
      </c>
      <c r="E868" s="9">
        <f>INDEX(Places[Majority RB '#],MATCH(Activities[[#This Row],[Jurisdiction]],Places[Jurisdiction],0))</f>
        <v>8</v>
      </c>
      <c r="F868" s="28" t="str">
        <f>VLOOKUP(Activities[[#This Row],[Jurisdiction]],Places[#All],8,FALSE)</f>
        <v>Phase I MS4</v>
      </c>
      <c r="G868" s="48" t="s">
        <v>1045</v>
      </c>
      <c r="H868" s="8" t="s">
        <v>512</v>
      </c>
      <c r="I868" s="8"/>
      <c r="J868" s="8" t="s">
        <v>1898</v>
      </c>
      <c r="K868" s="27" t="s">
        <v>1874</v>
      </c>
      <c r="L868" s="28">
        <f>_xlfn.NUMBERVALUE(LEFT(Activities[[#This Row],[Fiscal Year]], 4))</f>
        <v>2017</v>
      </c>
      <c r="M868" s="28" t="s">
        <v>1862</v>
      </c>
      <c r="N868" s="41">
        <v>23129</v>
      </c>
      <c r="O868" s="93">
        <f>IF(Activities[[#This Row],[Reference Year]]&gt;2018,Activities[[#This Row],[Value]],Activities[[#This Row],[Value]]*(1+VLOOKUP(Activities[[#This Row],[Reference Year]],Inflation[#All],3,FALSE)))</f>
        <v>23745.30150550796</v>
      </c>
    </row>
    <row r="869" spans="1:15" ht="15" customHeight="1" x14ac:dyDescent="0.25">
      <c r="A869" s="9" t="s">
        <v>282</v>
      </c>
      <c r="B869" s="9" t="str">
        <f>INDEX(Places[Type],MATCH(Activities[[#This Row],[Jurisdiction]],Places[Jurisdiction],0))</f>
        <v>City</v>
      </c>
      <c r="C869" s="19" t="str">
        <f>INDEX(Places[County],MATCH(Activities[[#This Row],[Jurisdiction]],Places[Jurisdiction],0))</f>
        <v>Orange</v>
      </c>
      <c r="D869" s="9" t="str">
        <f>INDEX(Places[Majority RB],MATCH(Activities[[#This Row],[Jurisdiction]],Places[Jurisdiction],0))</f>
        <v>Santa Ana</v>
      </c>
      <c r="E869" s="9">
        <f>INDEX(Places[Majority RB '#],MATCH(Activities[[#This Row],[Jurisdiction]],Places[Jurisdiction],0))</f>
        <v>8</v>
      </c>
      <c r="F869" s="28" t="str">
        <f>VLOOKUP(Activities[[#This Row],[Jurisdiction]],Places[#All],8,FALSE)</f>
        <v>Phase I MS4</v>
      </c>
      <c r="G869" s="48" t="s">
        <v>1043</v>
      </c>
      <c r="H869" s="8" t="s">
        <v>508</v>
      </c>
      <c r="I869" s="8"/>
      <c r="J869" s="8" t="s">
        <v>1456</v>
      </c>
      <c r="K869" s="27" t="s">
        <v>1874</v>
      </c>
      <c r="L869" s="28">
        <f>_xlfn.NUMBERVALUE(LEFT(Activities[[#This Row],[Fiscal Year]], 4))</f>
        <v>2017</v>
      </c>
      <c r="M869" s="28" t="s">
        <v>1862</v>
      </c>
      <c r="N869" s="41">
        <v>22114</v>
      </c>
      <c r="O869" s="93">
        <f>IF(Activities[[#This Row],[Reference Year]]&gt;2018,Activities[[#This Row],[Value]],Activities[[#This Row],[Value]]*(1+VLOOKUP(Activities[[#This Row],[Reference Year]],Inflation[#All],3,FALSE)))</f>
        <v>22703.255544675645</v>
      </c>
    </row>
    <row r="870" spans="1:15" ht="15" customHeight="1" x14ac:dyDescent="0.25">
      <c r="A870" s="9" t="s">
        <v>282</v>
      </c>
      <c r="B870" s="9" t="str">
        <f>INDEX(Places[Type],MATCH(Activities[[#This Row],[Jurisdiction]],Places[Jurisdiction],0))</f>
        <v>City</v>
      </c>
      <c r="C870" s="19" t="str">
        <f>INDEX(Places[County],MATCH(Activities[[#This Row],[Jurisdiction]],Places[Jurisdiction],0))</f>
        <v>Orange</v>
      </c>
      <c r="D870" s="9" t="str">
        <f>INDEX(Places[Majority RB],MATCH(Activities[[#This Row],[Jurisdiction]],Places[Jurisdiction],0))</f>
        <v>Santa Ana</v>
      </c>
      <c r="E870" s="9">
        <f>INDEX(Places[Majority RB '#],MATCH(Activities[[#This Row],[Jurisdiction]],Places[Jurisdiction],0))</f>
        <v>8</v>
      </c>
      <c r="F870" s="28" t="str">
        <f>VLOOKUP(Activities[[#This Row],[Jurisdiction]],Places[#All],8,FALSE)</f>
        <v>Phase I MS4</v>
      </c>
      <c r="G870" s="48" t="s">
        <v>1044</v>
      </c>
      <c r="H870" s="8" t="s">
        <v>508</v>
      </c>
      <c r="I870" s="8"/>
      <c r="J870" s="8" t="s">
        <v>1456</v>
      </c>
      <c r="K870" s="27" t="s">
        <v>1874</v>
      </c>
      <c r="L870" s="28">
        <f>_xlfn.NUMBERVALUE(LEFT(Activities[[#This Row],[Fiscal Year]], 4))</f>
        <v>2017</v>
      </c>
      <c r="M870" s="28" t="s">
        <v>1862</v>
      </c>
      <c r="N870" s="41">
        <v>60000</v>
      </c>
      <c r="O870" s="93">
        <f>IF(Activities[[#This Row],[Reference Year]]&gt;2018,Activities[[#This Row],[Value]],Activities[[#This Row],[Value]]*(1+VLOOKUP(Activities[[#This Row],[Reference Year]],Inflation[#All],3,FALSE)))</f>
        <v>61598.776009791931</v>
      </c>
    </row>
    <row r="871" spans="1:15" ht="15" customHeight="1" x14ac:dyDescent="0.25">
      <c r="A871" s="9" t="s">
        <v>282</v>
      </c>
      <c r="B871" s="9" t="str">
        <f>INDEX(Places[Type],MATCH(Activities[[#This Row],[Jurisdiction]],Places[Jurisdiction],0))</f>
        <v>City</v>
      </c>
      <c r="C871" s="19" t="str">
        <f>INDEX(Places[County],MATCH(Activities[[#This Row],[Jurisdiction]],Places[Jurisdiction],0))</f>
        <v>Orange</v>
      </c>
      <c r="D871" s="9" t="str">
        <f>INDEX(Places[Majority RB],MATCH(Activities[[#This Row],[Jurisdiction]],Places[Jurisdiction],0))</f>
        <v>Santa Ana</v>
      </c>
      <c r="E871" s="9">
        <f>INDEX(Places[Majority RB '#],MATCH(Activities[[#This Row],[Jurisdiction]],Places[Jurisdiction],0))</f>
        <v>8</v>
      </c>
      <c r="F871" s="28" t="str">
        <f>VLOOKUP(Activities[[#This Row],[Jurisdiction]],Places[#All],8,FALSE)</f>
        <v>Phase I MS4</v>
      </c>
      <c r="G871" s="48" t="s">
        <v>1011</v>
      </c>
      <c r="H871" s="8" t="s">
        <v>511</v>
      </c>
      <c r="I871" s="8"/>
      <c r="J871" s="8" t="s">
        <v>1894</v>
      </c>
      <c r="K871" s="27" t="s">
        <v>1874</v>
      </c>
      <c r="L871" s="28">
        <f>_xlfn.NUMBERVALUE(LEFT(Activities[[#This Row],[Fiscal Year]], 4))</f>
        <v>2017</v>
      </c>
      <c r="M871" s="28" t="s">
        <v>1862</v>
      </c>
      <c r="N871" s="41">
        <v>232019</v>
      </c>
      <c r="O871" s="93">
        <f>IF(Activities[[#This Row],[Reference Year]]&gt;2018,Activities[[#This Row],[Value]],Activities[[#This Row],[Value]]*(1+VLOOKUP(Activities[[#This Row],[Reference Year]],Inflation[#All],3,FALSE)))</f>
        <v>238201.44018359855</v>
      </c>
    </row>
    <row r="872" spans="1:15" ht="15" customHeight="1" x14ac:dyDescent="0.25">
      <c r="A872" s="9" t="s">
        <v>282</v>
      </c>
      <c r="B872" s="9" t="str">
        <f>INDEX(Places[Type],MATCH(Activities[[#This Row],[Jurisdiction]],Places[Jurisdiction],0))</f>
        <v>City</v>
      </c>
      <c r="C872" s="19" t="str">
        <f>INDEX(Places[County],MATCH(Activities[[#This Row],[Jurisdiction]],Places[Jurisdiction],0))</f>
        <v>Orange</v>
      </c>
      <c r="D872" s="9" t="str">
        <f>INDEX(Places[Majority RB],MATCH(Activities[[#This Row],[Jurisdiction]],Places[Jurisdiction],0))</f>
        <v>Santa Ana</v>
      </c>
      <c r="E872" s="9">
        <f>INDEX(Places[Majority RB '#],MATCH(Activities[[#This Row],[Jurisdiction]],Places[Jurisdiction],0))</f>
        <v>8</v>
      </c>
      <c r="F872" s="28" t="str">
        <f>VLOOKUP(Activities[[#This Row],[Jurisdiction]],Places[#All],8,FALSE)</f>
        <v>Phase I MS4</v>
      </c>
      <c r="G872" s="48" t="s">
        <v>1047</v>
      </c>
      <c r="H872" s="8"/>
      <c r="I872" s="8"/>
      <c r="J872" s="8" t="s">
        <v>1896</v>
      </c>
      <c r="K872" s="27" t="s">
        <v>1874</v>
      </c>
      <c r="L872" s="28">
        <f>_xlfn.NUMBERVALUE(LEFT(Activities[[#This Row],[Fiscal Year]], 4))</f>
        <v>2017</v>
      </c>
      <c r="M872" s="28" t="s">
        <v>1862</v>
      </c>
      <c r="N872" s="41">
        <v>140176</v>
      </c>
      <c r="O872" s="93">
        <f>IF(Activities[[#This Row],[Reference Year]]&gt;2018,Activities[[#This Row],[Value]],Activities[[#This Row],[Value]]*(1+VLOOKUP(Activities[[#This Row],[Reference Year]],Inflation[#All],3,FALSE)))</f>
        <v>143911.16709914323</v>
      </c>
    </row>
    <row r="873" spans="1:15" ht="15" customHeight="1" x14ac:dyDescent="0.25">
      <c r="A873" s="9" t="s">
        <v>163</v>
      </c>
      <c r="B873" s="9" t="str">
        <f>INDEX(Places[Type],MATCH(Activities[[#This Row],[Jurisdiction]],Places[Jurisdiction],0))</f>
        <v>City</v>
      </c>
      <c r="C873" s="19" t="str">
        <f>INDEX(Places[County],MATCH(Activities[[#This Row],[Jurisdiction]],Places[Jurisdiction],0))</f>
        <v>Los Angeles</v>
      </c>
      <c r="D873" s="19" t="str">
        <f>INDEX(Places[Majority RB],MATCH(Activities[[#This Row],[Jurisdiction]],Places[Jurisdiction],0))</f>
        <v>Los Angeles</v>
      </c>
      <c r="E873" s="9">
        <f>INDEX(Places[Majority RB '#],MATCH(Activities[[#This Row],[Jurisdiction]],Places[Jurisdiction],0))</f>
        <v>4</v>
      </c>
      <c r="F873" s="28" t="str">
        <f>VLOOKUP(Activities[[#This Row],[Jurisdiction]],Places[#All],8,FALSE)</f>
        <v>Phase I MS4</v>
      </c>
      <c r="G873" s="48" t="s">
        <v>65</v>
      </c>
      <c r="H873" s="8"/>
      <c r="I873" s="8"/>
      <c r="J873" s="8" t="s">
        <v>76</v>
      </c>
      <c r="K873" s="27" t="s">
        <v>1873</v>
      </c>
      <c r="L873" s="28">
        <f>_xlfn.NUMBERVALUE(LEFT(Activities[[#This Row],[Fiscal Year]], 4))</f>
        <v>2015</v>
      </c>
      <c r="M873" s="28" t="s">
        <v>1862</v>
      </c>
      <c r="N873" s="41">
        <v>249056</v>
      </c>
      <c r="O873" s="93">
        <f>IF(Activities[[#This Row],[Reference Year]]&gt;2018,Activities[[#This Row],[Value]],Activities[[#This Row],[Value]]*(1+VLOOKUP(Activities[[#This Row],[Reference Year]],Inflation[#All],3,FALSE)))</f>
        <v>264431.26724050631</v>
      </c>
    </row>
    <row r="874" spans="1:15" ht="15" customHeight="1" x14ac:dyDescent="0.25">
      <c r="A874" s="9" t="s">
        <v>163</v>
      </c>
      <c r="B874" s="9" t="str">
        <f>INDEX(Places[Type],MATCH(Activities[[#This Row],[Jurisdiction]],Places[Jurisdiction],0))</f>
        <v>City</v>
      </c>
      <c r="C874" s="19" t="str">
        <f>INDEX(Places[County],MATCH(Activities[[#This Row],[Jurisdiction]],Places[Jurisdiction],0))</f>
        <v>Los Angeles</v>
      </c>
      <c r="D874" s="19" t="str">
        <f>INDEX(Places[Majority RB],MATCH(Activities[[#This Row],[Jurisdiction]],Places[Jurisdiction],0))</f>
        <v>Los Angeles</v>
      </c>
      <c r="E874" s="9">
        <f>INDEX(Places[Majority RB '#],MATCH(Activities[[#This Row],[Jurisdiction]],Places[Jurisdiction],0))</f>
        <v>4</v>
      </c>
      <c r="F874" s="28" t="str">
        <f>VLOOKUP(Activities[[#This Row],[Jurisdiction]],Places[#All],8,FALSE)</f>
        <v>Phase I MS4</v>
      </c>
      <c r="G874" s="48" t="s">
        <v>208</v>
      </c>
      <c r="H874" s="8"/>
      <c r="I874" s="8"/>
      <c r="J874" s="8" t="s">
        <v>334</v>
      </c>
      <c r="K874" s="27" t="s">
        <v>1873</v>
      </c>
      <c r="L874" s="28">
        <f>_xlfn.NUMBERVALUE(LEFT(Activities[[#This Row],[Fiscal Year]], 4))</f>
        <v>2015</v>
      </c>
      <c r="M874" s="28" t="s">
        <v>1862</v>
      </c>
      <c r="N874" s="41">
        <v>98999</v>
      </c>
      <c r="O874" s="93">
        <f>IF(Activities[[#This Row],[Reference Year]]&gt;2018,Activities[[#This Row],[Value]],Activities[[#This Row],[Value]]*(1+VLOOKUP(Activities[[#This Row],[Reference Year]],Inflation[#All],3,FALSE)))</f>
        <v>105110.62181012657</v>
      </c>
    </row>
    <row r="875" spans="1:15" ht="15" customHeight="1" x14ac:dyDescent="0.25">
      <c r="A875" s="9" t="s">
        <v>163</v>
      </c>
      <c r="B875" s="9" t="str">
        <f>INDEX(Places[Type],MATCH(Activities[[#This Row],[Jurisdiction]],Places[Jurisdiction],0))</f>
        <v>City</v>
      </c>
      <c r="C875" s="19" t="str">
        <f>INDEX(Places[County],MATCH(Activities[[#This Row],[Jurisdiction]],Places[Jurisdiction],0))</f>
        <v>Los Angeles</v>
      </c>
      <c r="D875" s="19" t="str">
        <f>INDEX(Places[Majority RB],MATCH(Activities[[#This Row],[Jurisdiction]],Places[Jurisdiction],0))</f>
        <v>Los Angeles</v>
      </c>
      <c r="E875" s="9">
        <f>INDEX(Places[Majority RB '#],MATCH(Activities[[#This Row],[Jurisdiction]],Places[Jurisdiction],0))</f>
        <v>4</v>
      </c>
      <c r="F875" s="28" t="str">
        <f>VLOOKUP(Activities[[#This Row],[Jurisdiction]],Places[#All],8,FALSE)</f>
        <v>Phase I MS4</v>
      </c>
      <c r="G875" s="48" t="s">
        <v>61</v>
      </c>
      <c r="H875" s="8"/>
      <c r="I875" s="8"/>
      <c r="J875" s="8" t="s">
        <v>1897</v>
      </c>
      <c r="K875" s="27" t="s">
        <v>1873</v>
      </c>
      <c r="L875" s="28">
        <f>_xlfn.NUMBERVALUE(LEFT(Activities[[#This Row],[Fiscal Year]], 4))</f>
        <v>2015</v>
      </c>
      <c r="M875" s="28" t="s">
        <v>1862</v>
      </c>
      <c r="N875" s="41">
        <v>5301465</v>
      </c>
      <c r="O875" s="93">
        <f>IF(Activities[[#This Row],[Reference Year]]&gt;2018,Activities[[#This Row],[Value]],Activities[[#This Row],[Value]]*(1+VLOOKUP(Activities[[#This Row],[Reference Year]],Inflation[#All],3,FALSE)))</f>
        <v>5628746.5798101267</v>
      </c>
    </row>
    <row r="876" spans="1:15" ht="15" customHeight="1" x14ac:dyDescent="0.25">
      <c r="A876" s="9" t="s">
        <v>163</v>
      </c>
      <c r="B876" s="9" t="str">
        <f>INDEX(Places[Type],MATCH(Activities[[#This Row],[Jurisdiction]],Places[Jurisdiction],0))</f>
        <v>City</v>
      </c>
      <c r="C876" s="19" t="str">
        <f>INDEX(Places[County],MATCH(Activities[[#This Row],[Jurisdiction]],Places[Jurisdiction],0))</f>
        <v>Los Angeles</v>
      </c>
      <c r="D876" s="19" t="str">
        <f>INDEX(Places[Majority RB],MATCH(Activities[[#This Row],[Jurisdiction]],Places[Jurisdiction],0))</f>
        <v>Los Angeles</v>
      </c>
      <c r="E876" s="9">
        <f>INDEX(Places[Majority RB '#],MATCH(Activities[[#This Row],[Jurisdiction]],Places[Jurisdiction],0))</f>
        <v>4</v>
      </c>
      <c r="F876" s="28" t="str">
        <f>VLOOKUP(Activities[[#This Row],[Jurisdiction]],Places[#All],8,FALSE)</f>
        <v>Phase I MS4</v>
      </c>
      <c r="G876" s="48" t="s">
        <v>59</v>
      </c>
      <c r="H876" s="8"/>
      <c r="I876" s="8"/>
      <c r="J876" s="8" t="s">
        <v>1898</v>
      </c>
      <c r="K876" s="27" t="s">
        <v>1873</v>
      </c>
      <c r="L876" s="28">
        <f>_xlfn.NUMBERVALUE(LEFT(Activities[[#This Row],[Fiscal Year]], 4))</f>
        <v>2015</v>
      </c>
      <c r="M876" s="28" t="s">
        <v>1862</v>
      </c>
      <c r="N876" s="41">
        <v>153416</v>
      </c>
      <c r="O876" s="93">
        <f>IF(Activities[[#This Row],[Reference Year]]&gt;2018,Activities[[#This Row],[Value]],Activities[[#This Row],[Value]]*(1+VLOOKUP(Activities[[#This Row],[Reference Year]],Inflation[#All],3,FALSE)))</f>
        <v>162887.01053164556</v>
      </c>
    </row>
    <row r="877" spans="1:15" ht="15" customHeight="1" x14ac:dyDescent="0.25">
      <c r="A877" s="9" t="s">
        <v>163</v>
      </c>
      <c r="B877" s="9" t="str">
        <f>INDEX(Places[Type],MATCH(Activities[[#This Row],[Jurisdiction]],Places[Jurisdiction],0))</f>
        <v>City</v>
      </c>
      <c r="C877" s="19" t="str">
        <f>INDEX(Places[County],MATCH(Activities[[#This Row],[Jurisdiction]],Places[Jurisdiction],0))</f>
        <v>Los Angeles</v>
      </c>
      <c r="D877" s="19" t="str">
        <f>INDEX(Places[Majority RB],MATCH(Activities[[#This Row],[Jurisdiction]],Places[Jurisdiction],0))</f>
        <v>Los Angeles</v>
      </c>
      <c r="E877" s="9">
        <f>INDEX(Places[Majority RB '#],MATCH(Activities[[#This Row],[Jurisdiction]],Places[Jurisdiction],0))</f>
        <v>4</v>
      </c>
      <c r="F877" s="28" t="str">
        <f>VLOOKUP(Activities[[#This Row],[Jurisdiction]],Places[#All],8,FALSE)</f>
        <v>Phase I MS4</v>
      </c>
      <c r="G877" s="48" t="s">
        <v>60</v>
      </c>
      <c r="H877" s="8"/>
      <c r="I877" s="8"/>
      <c r="J877" s="8" t="s">
        <v>1898</v>
      </c>
      <c r="K877" s="27" t="s">
        <v>1873</v>
      </c>
      <c r="L877" s="28">
        <f>_xlfn.NUMBERVALUE(LEFT(Activities[[#This Row],[Fiscal Year]], 4))</f>
        <v>2015</v>
      </c>
      <c r="M877" s="28" t="s">
        <v>1862</v>
      </c>
      <c r="N877" s="41">
        <v>508912</v>
      </c>
      <c r="O877" s="93">
        <f>IF(Activities[[#This Row],[Reference Year]]&gt;2018,Activities[[#This Row],[Value]],Activities[[#This Row],[Value]]*(1+VLOOKUP(Activities[[#This Row],[Reference Year]],Inflation[#All],3,FALSE)))</f>
        <v>540329.2635949367</v>
      </c>
    </row>
    <row r="878" spans="1:15" ht="15" customHeight="1" x14ac:dyDescent="0.25">
      <c r="A878" s="9" t="s">
        <v>163</v>
      </c>
      <c r="B878" s="9" t="str">
        <f>INDEX(Places[Type],MATCH(Activities[[#This Row],[Jurisdiction]],Places[Jurisdiction],0))</f>
        <v>City</v>
      </c>
      <c r="C878" s="19" t="str">
        <f>INDEX(Places[County],MATCH(Activities[[#This Row],[Jurisdiction]],Places[Jurisdiction],0))</f>
        <v>Los Angeles</v>
      </c>
      <c r="D878" s="19" t="str">
        <f>INDEX(Places[Majority RB],MATCH(Activities[[#This Row],[Jurisdiction]],Places[Jurisdiction],0))</f>
        <v>Los Angeles</v>
      </c>
      <c r="E878" s="9">
        <f>INDEX(Places[Majority RB '#],MATCH(Activities[[#This Row],[Jurisdiction]],Places[Jurisdiction],0))</f>
        <v>4</v>
      </c>
      <c r="F878" s="28" t="str">
        <f>VLOOKUP(Activities[[#This Row],[Jurisdiction]],Places[#All],8,FALSE)</f>
        <v>Phase I MS4</v>
      </c>
      <c r="G878" s="48" t="s">
        <v>58</v>
      </c>
      <c r="H878" s="8"/>
      <c r="I878" s="8"/>
      <c r="J878" s="8" t="s">
        <v>1456</v>
      </c>
      <c r="K878" s="27" t="s">
        <v>1873</v>
      </c>
      <c r="L878" s="28">
        <f>_xlfn.NUMBERVALUE(LEFT(Activities[[#This Row],[Fiscal Year]], 4))</f>
        <v>2015</v>
      </c>
      <c r="M878" s="28" t="s">
        <v>1862</v>
      </c>
      <c r="N878" s="41">
        <v>386614</v>
      </c>
      <c r="O878" s="93">
        <f>IF(Activities[[#This Row],[Reference Year]]&gt;2018,Activities[[#This Row],[Value]],Activities[[#This Row],[Value]]*(1+VLOOKUP(Activities[[#This Row],[Reference Year]],Inflation[#All],3,FALSE)))</f>
        <v>410481.29718987341</v>
      </c>
    </row>
    <row r="879" spans="1:15" ht="15" customHeight="1" x14ac:dyDescent="0.25">
      <c r="A879" s="9" t="s">
        <v>163</v>
      </c>
      <c r="B879" s="9" t="str">
        <f>INDEX(Places[Type],MATCH(Activities[[#This Row],[Jurisdiction]],Places[Jurisdiction],0))</f>
        <v>City</v>
      </c>
      <c r="C879" s="19" t="str">
        <f>INDEX(Places[County],MATCH(Activities[[#This Row],[Jurisdiction]],Places[Jurisdiction],0))</f>
        <v>Los Angeles</v>
      </c>
      <c r="D879" s="19" t="str">
        <f>INDEX(Places[Majority RB],MATCH(Activities[[#This Row],[Jurisdiction]],Places[Jurisdiction],0))</f>
        <v>Los Angeles</v>
      </c>
      <c r="E879" s="9">
        <f>INDEX(Places[Majority RB '#],MATCH(Activities[[#This Row],[Jurisdiction]],Places[Jurisdiction],0))</f>
        <v>4</v>
      </c>
      <c r="F879" s="28" t="str">
        <f>VLOOKUP(Activities[[#This Row],[Jurisdiction]],Places[#All],8,FALSE)</f>
        <v>Phase I MS4</v>
      </c>
      <c r="G879" s="48" t="s">
        <v>32</v>
      </c>
      <c r="H879" s="8"/>
      <c r="I879" s="8"/>
      <c r="J879" s="8" t="s">
        <v>1894</v>
      </c>
      <c r="K879" s="27" t="s">
        <v>1873</v>
      </c>
      <c r="L879" s="28">
        <f>_xlfn.NUMBERVALUE(LEFT(Activities[[#This Row],[Fiscal Year]], 4))</f>
        <v>2015</v>
      </c>
      <c r="M879" s="28" t="s">
        <v>1862</v>
      </c>
      <c r="N879" s="41">
        <v>152156</v>
      </c>
      <c r="O879" s="93">
        <f>IF(Activities[[#This Row],[Reference Year]]&gt;2018,Activities[[#This Row],[Value]],Activities[[#This Row],[Value]]*(1+VLOOKUP(Activities[[#This Row],[Reference Year]],Inflation[#All],3,FALSE)))</f>
        <v>161549.22546835442</v>
      </c>
    </row>
    <row r="880" spans="1:15" ht="15" customHeight="1" x14ac:dyDescent="0.25">
      <c r="A880" s="9" t="s">
        <v>163</v>
      </c>
      <c r="B880" s="9" t="str">
        <f>INDEX(Places[Type],MATCH(Activities[[#This Row],[Jurisdiction]],Places[Jurisdiction],0))</f>
        <v>City</v>
      </c>
      <c r="C880" s="19" t="str">
        <f>INDEX(Places[County],MATCH(Activities[[#This Row],[Jurisdiction]],Places[Jurisdiction],0))</f>
        <v>Los Angeles</v>
      </c>
      <c r="D880" s="19" t="str">
        <f>INDEX(Places[Majority RB],MATCH(Activities[[#This Row],[Jurisdiction]],Places[Jurisdiction],0))</f>
        <v>Los Angeles</v>
      </c>
      <c r="E880" s="9">
        <f>INDEX(Places[Majority RB '#],MATCH(Activities[[#This Row],[Jurisdiction]],Places[Jurisdiction],0))</f>
        <v>4</v>
      </c>
      <c r="F880" s="28" t="str">
        <f>VLOOKUP(Activities[[#This Row],[Jurisdiction]],Places[#All],8,FALSE)</f>
        <v>Phase I MS4</v>
      </c>
      <c r="G880" s="48" t="s">
        <v>67</v>
      </c>
      <c r="H880" s="8"/>
      <c r="I880" s="8"/>
      <c r="J880" s="8" t="s">
        <v>1896</v>
      </c>
      <c r="K880" s="27" t="s">
        <v>1873</v>
      </c>
      <c r="L880" s="28">
        <f>_xlfn.NUMBERVALUE(LEFT(Activities[[#This Row],[Fiscal Year]], 4))</f>
        <v>2015</v>
      </c>
      <c r="M880" s="28" t="s">
        <v>1862</v>
      </c>
      <c r="N880" s="41">
        <v>2200</v>
      </c>
      <c r="O880" s="93">
        <f>IF(Activities[[#This Row],[Reference Year]]&gt;2018,Activities[[#This Row],[Value]],Activities[[#This Row],[Value]]*(1+VLOOKUP(Activities[[#This Row],[Reference Year]],Inflation[#All],3,FALSE)))</f>
        <v>2335.8151898734177</v>
      </c>
    </row>
    <row r="881" spans="1:15" ht="15" customHeight="1" x14ac:dyDescent="0.25">
      <c r="A881" s="9" t="s">
        <v>224</v>
      </c>
      <c r="B881" s="9" t="str">
        <f>INDEX(Places[Type],MATCH(Activities[[#This Row],[Jurisdiction]],Places[Jurisdiction],0))</f>
        <v>City</v>
      </c>
      <c r="C881" s="19" t="str">
        <f>INDEX(Places[County],MATCH(Activities[[#This Row],[Jurisdiction]],Places[Jurisdiction],0))</f>
        <v>Los Angeles</v>
      </c>
      <c r="D881" s="19" t="str">
        <f>INDEX(Places[Majority RB],MATCH(Activities[[#This Row],[Jurisdiction]],Places[Jurisdiction],0))</f>
        <v>Los Angeles</v>
      </c>
      <c r="E881" s="9">
        <f>INDEX(Places[Majority RB '#],MATCH(Activities[[#This Row],[Jurisdiction]],Places[Jurisdiction],0))</f>
        <v>4</v>
      </c>
      <c r="F881" s="28" t="str">
        <f>VLOOKUP(Activities[[#This Row],[Jurisdiction]],Places[#All],8,FALSE)</f>
        <v>Phase I MS4</v>
      </c>
      <c r="G881" s="48" t="s">
        <v>62</v>
      </c>
      <c r="H881" s="8"/>
      <c r="I881" s="8"/>
      <c r="J881" s="8" t="s">
        <v>131</v>
      </c>
      <c r="K881" s="27" t="s">
        <v>1873</v>
      </c>
      <c r="L881" s="28">
        <f>_xlfn.NUMBERVALUE(LEFT(Activities[[#This Row],[Fiscal Year]], 4))</f>
        <v>2015</v>
      </c>
      <c r="M881" s="28" t="s">
        <v>1862</v>
      </c>
      <c r="N881" s="41">
        <v>1000</v>
      </c>
      <c r="O881" s="93">
        <f>IF(Activities[[#This Row],[Reference Year]]&gt;2018,Activities[[#This Row],[Value]],Activities[[#This Row],[Value]]*(1+VLOOKUP(Activities[[#This Row],[Reference Year]],Inflation[#All],3,FALSE)))</f>
        <v>1061.7341772151899</v>
      </c>
    </row>
    <row r="882" spans="1:15" ht="15" customHeight="1" x14ac:dyDescent="0.25">
      <c r="A882" s="9" t="s">
        <v>224</v>
      </c>
      <c r="B882" s="9" t="str">
        <f>INDEX(Places[Type],MATCH(Activities[[#This Row],[Jurisdiction]],Places[Jurisdiction],0))</f>
        <v>City</v>
      </c>
      <c r="C882" s="19" t="str">
        <f>INDEX(Places[County],MATCH(Activities[[#This Row],[Jurisdiction]],Places[Jurisdiction],0))</f>
        <v>Los Angeles</v>
      </c>
      <c r="D882" s="19" t="str">
        <f>INDEX(Places[Majority RB],MATCH(Activities[[#This Row],[Jurisdiction]],Places[Jurisdiction],0))</f>
        <v>Los Angeles</v>
      </c>
      <c r="E882" s="9">
        <f>INDEX(Places[Majority RB '#],MATCH(Activities[[#This Row],[Jurisdiction]],Places[Jurisdiction],0))</f>
        <v>4</v>
      </c>
      <c r="F882" s="28" t="str">
        <f>VLOOKUP(Activities[[#This Row],[Jurisdiction]],Places[#All],8,FALSE)</f>
        <v>Phase I MS4</v>
      </c>
      <c r="G882" s="48" t="s">
        <v>61</v>
      </c>
      <c r="H882" s="8"/>
      <c r="I882" s="8"/>
      <c r="J882" s="8" t="s">
        <v>1897</v>
      </c>
      <c r="K882" s="27" t="s">
        <v>1873</v>
      </c>
      <c r="L882" s="28">
        <f>_xlfn.NUMBERVALUE(LEFT(Activities[[#This Row],[Fiscal Year]], 4))</f>
        <v>2015</v>
      </c>
      <c r="M882" s="28" t="s">
        <v>1862</v>
      </c>
      <c r="N882" s="41">
        <v>11445</v>
      </c>
      <c r="O882" s="93">
        <f>IF(Activities[[#This Row],[Reference Year]]&gt;2018,Activities[[#This Row],[Value]],Activities[[#This Row],[Value]]*(1+VLOOKUP(Activities[[#This Row],[Reference Year]],Inflation[#All],3,FALSE)))</f>
        <v>12151.547658227848</v>
      </c>
    </row>
    <row r="883" spans="1:15" ht="15" customHeight="1" x14ac:dyDescent="0.25">
      <c r="A883" s="9" t="s">
        <v>224</v>
      </c>
      <c r="B883" s="9" t="str">
        <f>INDEX(Places[Type],MATCH(Activities[[#This Row],[Jurisdiction]],Places[Jurisdiction],0))</f>
        <v>City</v>
      </c>
      <c r="C883" s="19" t="str">
        <f>INDEX(Places[County],MATCH(Activities[[#This Row],[Jurisdiction]],Places[Jurisdiction],0))</f>
        <v>Los Angeles</v>
      </c>
      <c r="D883" s="19" t="str">
        <f>INDEX(Places[Majority RB],MATCH(Activities[[#This Row],[Jurisdiction]],Places[Jurisdiction],0))</f>
        <v>Los Angeles</v>
      </c>
      <c r="E883" s="9">
        <f>INDEX(Places[Majority RB '#],MATCH(Activities[[#This Row],[Jurisdiction]],Places[Jurisdiction],0))</f>
        <v>4</v>
      </c>
      <c r="F883" s="28" t="str">
        <f>VLOOKUP(Activities[[#This Row],[Jurisdiction]],Places[#All],8,FALSE)</f>
        <v>Phase I MS4</v>
      </c>
      <c r="G883" s="48" t="s">
        <v>59</v>
      </c>
      <c r="H883" s="8"/>
      <c r="I883" s="8"/>
      <c r="J883" s="8" t="s">
        <v>1898</v>
      </c>
      <c r="K883" s="27" t="s">
        <v>1873</v>
      </c>
      <c r="L883" s="28">
        <f>_xlfn.NUMBERVALUE(LEFT(Activities[[#This Row],[Fiscal Year]], 4))</f>
        <v>2015</v>
      </c>
      <c r="M883" s="28" t="s">
        <v>1862</v>
      </c>
      <c r="N883" s="41">
        <v>1500</v>
      </c>
      <c r="O883" s="93">
        <f>IF(Activities[[#This Row],[Reference Year]]&gt;2018,Activities[[#This Row],[Value]],Activities[[#This Row],[Value]]*(1+VLOOKUP(Activities[[#This Row],[Reference Year]],Inflation[#All],3,FALSE)))</f>
        <v>1592.6012658227846</v>
      </c>
    </row>
    <row r="884" spans="1:15" ht="15" customHeight="1" x14ac:dyDescent="0.25">
      <c r="A884" s="9" t="s">
        <v>224</v>
      </c>
      <c r="B884" s="9" t="str">
        <f>INDEX(Places[Type],MATCH(Activities[[#This Row],[Jurisdiction]],Places[Jurisdiction],0))</f>
        <v>City</v>
      </c>
      <c r="C884" s="19" t="str">
        <f>INDEX(Places[County],MATCH(Activities[[#This Row],[Jurisdiction]],Places[Jurisdiction],0))</f>
        <v>Los Angeles</v>
      </c>
      <c r="D884" s="19" t="str">
        <f>INDEX(Places[Majority RB],MATCH(Activities[[#This Row],[Jurisdiction]],Places[Jurisdiction],0))</f>
        <v>Los Angeles</v>
      </c>
      <c r="E884" s="9">
        <f>INDEX(Places[Majority RB '#],MATCH(Activities[[#This Row],[Jurisdiction]],Places[Jurisdiction],0))</f>
        <v>4</v>
      </c>
      <c r="F884" s="28" t="str">
        <f>VLOOKUP(Activities[[#This Row],[Jurisdiction]],Places[#All],8,FALSE)</f>
        <v>Phase I MS4</v>
      </c>
      <c r="G884" s="48" t="s">
        <v>60</v>
      </c>
      <c r="H884" s="8"/>
      <c r="I884" s="8"/>
      <c r="J884" s="8" t="s">
        <v>1898</v>
      </c>
      <c r="K884" s="27" t="s">
        <v>1873</v>
      </c>
      <c r="L884" s="28">
        <f>_xlfn.NUMBERVALUE(LEFT(Activities[[#This Row],[Fiscal Year]], 4))</f>
        <v>2015</v>
      </c>
      <c r="M884" s="28" t="s">
        <v>1862</v>
      </c>
      <c r="N884" s="41">
        <v>2000</v>
      </c>
      <c r="O884" s="93">
        <f>IF(Activities[[#This Row],[Reference Year]]&gt;2018,Activities[[#This Row],[Value]],Activities[[#This Row],[Value]]*(1+VLOOKUP(Activities[[#This Row],[Reference Year]],Inflation[#All],3,FALSE)))</f>
        <v>2123.4683544303798</v>
      </c>
    </row>
    <row r="885" spans="1:15" ht="15" customHeight="1" x14ac:dyDescent="0.25">
      <c r="A885" s="9" t="s">
        <v>224</v>
      </c>
      <c r="B885" s="9" t="str">
        <f>INDEX(Places[Type],MATCH(Activities[[#This Row],[Jurisdiction]],Places[Jurisdiction],0))</f>
        <v>City</v>
      </c>
      <c r="C885" s="19" t="str">
        <f>INDEX(Places[County],MATCH(Activities[[#This Row],[Jurisdiction]],Places[Jurisdiction],0))</f>
        <v>Los Angeles</v>
      </c>
      <c r="D885" s="19" t="str">
        <f>INDEX(Places[Majority RB],MATCH(Activities[[#This Row],[Jurisdiction]],Places[Jurisdiction],0))</f>
        <v>Los Angeles</v>
      </c>
      <c r="E885" s="9">
        <f>INDEX(Places[Majority RB '#],MATCH(Activities[[#This Row],[Jurisdiction]],Places[Jurisdiction],0))</f>
        <v>4</v>
      </c>
      <c r="F885" s="28" t="str">
        <f>VLOOKUP(Activities[[#This Row],[Jurisdiction]],Places[#All],8,FALSE)</f>
        <v>Phase I MS4</v>
      </c>
      <c r="G885" s="48" t="s">
        <v>58</v>
      </c>
      <c r="H885" s="8"/>
      <c r="I885" s="8"/>
      <c r="J885" s="8" t="s">
        <v>1456</v>
      </c>
      <c r="K885" s="27" t="s">
        <v>1873</v>
      </c>
      <c r="L885" s="28">
        <f>_xlfn.NUMBERVALUE(LEFT(Activities[[#This Row],[Fiscal Year]], 4))</f>
        <v>2015</v>
      </c>
      <c r="M885" s="28" t="s">
        <v>1862</v>
      </c>
      <c r="N885" s="41">
        <v>870</v>
      </c>
      <c r="O885" s="93">
        <f>IF(Activities[[#This Row],[Reference Year]]&gt;2018,Activities[[#This Row],[Value]],Activities[[#This Row],[Value]]*(1+VLOOKUP(Activities[[#This Row],[Reference Year]],Inflation[#All],3,FALSE)))</f>
        <v>923.70873417721509</v>
      </c>
    </row>
    <row r="886" spans="1:15" ht="15" customHeight="1" x14ac:dyDescent="0.25">
      <c r="A886" s="9" t="s">
        <v>224</v>
      </c>
      <c r="B886" s="9" t="str">
        <f>INDEX(Places[Type],MATCH(Activities[[#This Row],[Jurisdiction]],Places[Jurisdiction],0))</f>
        <v>City</v>
      </c>
      <c r="C886" s="19" t="str">
        <f>INDEX(Places[County],MATCH(Activities[[#This Row],[Jurisdiction]],Places[Jurisdiction],0))</f>
        <v>Los Angeles</v>
      </c>
      <c r="D886" s="19" t="str">
        <f>INDEX(Places[Majority RB],MATCH(Activities[[#This Row],[Jurisdiction]],Places[Jurisdiction],0))</f>
        <v>Los Angeles</v>
      </c>
      <c r="E886" s="9">
        <f>INDEX(Places[Majority RB '#],MATCH(Activities[[#This Row],[Jurisdiction]],Places[Jurisdiction],0))</f>
        <v>4</v>
      </c>
      <c r="F886" s="28" t="str">
        <f>VLOOKUP(Activities[[#This Row],[Jurisdiction]],Places[#All],8,FALSE)</f>
        <v>Phase I MS4</v>
      </c>
      <c r="G886" s="48" t="s">
        <v>32</v>
      </c>
      <c r="H886" s="8"/>
      <c r="I886" s="8"/>
      <c r="J886" s="8" t="s">
        <v>1894</v>
      </c>
      <c r="K886" s="27" t="s">
        <v>1873</v>
      </c>
      <c r="L886" s="28">
        <f>_xlfn.NUMBERVALUE(LEFT(Activities[[#This Row],[Fiscal Year]], 4))</f>
        <v>2015</v>
      </c>
      <c r="M886" s="28" t="s">
        <v>1862</v>
      </c>
      <c r="N886" s="41">
        <v>24663</v>
      </c>
      <c r="O886" s="93">
        <f>IF(Activities[[#This Row],[Reference Year]]&gt;2018,Activities[[#This Row],[Value]],Activities[[#This Row],[Value]]*(1+VLOOKUP(Activities[[#This Row],[Reference Year]],Inflation[#All],3,FALSE)))</f>
        <v>26185.550012658226</v>
      </c>
    </row>
    <row r="887" spans="1:15" ht="15" customHeight="1" x14ac:dyDescent="0.25">
      <c r="A887" s="9" t="s">
        <v>224</v>
      </c>
      <c r="B887" s="9" t="str">
        <f>INDEX(Places[Type],MATCH(Activities[[#This Row],[Jurisdiction]],Places[Jurisdiction],0))</f>
        <v>City</v>
      </c>
      <c r="C887" s="19" t="str">
        <f>INDEX(Places[County],MATCH(Activities[[#This Row],[Jurisdiction]],Places[Jurisdiction],0))</f>
        <v>Los Angeles</v>
      </c>
      <c r="D887" s="19" t="str">
        <f>INDEX(Places[Majority RB],MATCH(Activities[[#This Row],[Jurisdiction]],Places[Jurisdiction],0))</f>
        <v>Los Angeles</v>
      </c>
      <c r="E887" s="9">
        <f>INDEX(Places[Majority RB '#],MATCH(Activities[[#This Row],[Jurisdiction]],Places[Jurisdiction],0))</f>
        <v>4</v>
      </c>
      <c r="F887" s="28" t="str">
        <f>VLOOKUP(Activities[[#This Row],[Jurisdiction]],Places[#All],8,FALSE)</f>
        <v>Phase I MS4</v>
      </c>
      <c r="G887" s="48" t="s">
        <v>67</v>
      </c>
      <c r="H887" s="8" t="s">
        <v>952</v>
      </c>
      <c r="I887" s="8" t="s">
        <v>953</v>
      </c>
      <c r="J887" s="8" t="s">
        <v>1896</v>
      </c>
      <c r="K887" s="27" t="s">
        <v>1873</v>
      </c>
      <c r="L887" s="28">
        <f>_xlfn.NUMBERVALUE(LEFT(Activities[[#This Row],[Fiscal Year]], 4))</f>
        <v>2015</v>
      </c>
      <c r="M887" s="28" t="s">
        <v>1862</v>
      </c>
      <c r="N887" s="41">
        <v>15338</v>
      </c>
      <c r="O887" s="93">
        <f>IF(Activities[[#This Row],[Reference Year]]&gt;2018,Activities[[#This Row],[Value]],Activities[[#This Row],[Value]]*(1+VLOOKUP(Activities[[#This Row],[Reference Year]],Inflation[#All],3,FALSE)))</f>
        <v>16284.878810126582</v>
      </c>
    </row>
    <row r="888" spans="1:15" ht="15" customHeight="1" x14ac:dyDescent="0.25">
      <c r="A888" s="9" t="s">
        <v>224</v>
      </c>
      <c r="B888" s="9" t="str">
        <f>INDEX(Places[Type],MATCH(Activities[[#This Row],[Jurisdiction]],Places[Jurisdiction],0))</f>
        <v>City</v>
      </c>
      <c r="C888" s="19" t="str">
        <f>INDEX(Places[County],MATCH(Activities[[#This Row],[Jurisdiction]],Places[Jurisdiction],0))</f>
        <v>Los Angeles</v>
      </c>
      <c r="D888" s="19" t="str">
        <f>INDEX(Places[Majority RB],MATCH(Activities[[#This Row],[Jurisdiction]],Places[Jurisdiction],0))</f>
        <v>Los Angeles</v>
      </c>
      <c r="E888" s="9">
        <f>INDEX(Places[Majority RB '#],MATCH(Activities[[#This Row],[Jurisdiction]],Places[Jurisdiction],0))</f>
        <v>4</v>
      </c>
      <c r="F888" s="28" t="str">
        <f>VLOOKUP(Activities[[#This Row],[Jurisdiction]],Places[#All],8,FALSE)</f>
        <v>Phase I MS4</v>
      </c>
      <c r="G888" s="48" t="s">
        <v>33</v>
      </c>
      <c r="H888" s="8"/>
      <c r="I888" s="8"/>
      <c r="J888" s="8" t="s">
        <v>47</v>
      </c>
      <c r="K888" s="27" t="s">
        <v>1873</v>
      </c>
      <c r="L888" s="28">
        <f>_xlfn.NUMBERVALUE(LEFT(Activities[[#This Row],[Fiscal Year]], 4))</f>
        <v>2015</v>
      </c>
      <c r="M888" s="28" t="s">
        <v>1862</v>
      </c>
      <c r="N888" s="41">
        <v>28500</v>
      </c>
      <c r="O888" s="93">
        <f>IF(Activities[[#This Row],[Reference Year]]&gt;2018,Activities[[#This Row],[Value]],Activities[[#This Row],[Value]]*(1+VLOOKUP(Activities[[#This Row],[Reference Year]],Inflation[#All],3,FALSE)))</f>
        <v>30259.424050632908</v>
      </c>
    </row>
    <row r="889" spans="1:15" ht="15" customHeight="1" x14ac:dyDescent="0.25">
      <c r="A889" s="9" t="s">
        <v>314</v>
      </c>
      <c r="B889" s="9" t="str">
        <f>INDEX(Places[Type],MATCH(Activities[[#This Row],[Jurisdiction]],Places[Jurisdiction],0))</f>
        <v>City</v>
      </c>
      <c r="C889" s="19" t="str">
        <f>INDEX(Places[County],MATCH(Activities[[#This Row],[Jurisdiction]],Places[Jurisdiction],0))</f>
        <v>San Diego</v>
      </c>
      <c r="D889" s="9" t="str">
        <f>INDEX(Places[Majority RB],MATCH(Activities[[#This Row],[Jurisdiction]],Places[Jurisdiction],0))</f>
        <v>San Diego</v>
      </c>
      <c r="E889" s="9">
        <f>INDEX(Places[Majority RB '#],MATCH(Activities[[#This Row],[Jurisdiction]],Places[Jurisdiction],0))</f>
        <v>9</v>
      </c>
      <c r="F889" s="28" t="str">
        <f>VLOOKUP(Activities[[#This Row],[Jurisdiction]],Places[#All],8,FALSE)</f>
        <v>Phase I MS4</v>
      </c>
      <c r="G889" s="48" t="s">
        <v>70</v>
      </c>
      <c r="H889" s="8"/>
      <c r="I889" s="8"/>
      <c r="J889" s="8" t="s">
        <v>1895</v>
      </c>
      <c r="K889" s="27" t="s">
        <v>1874</v>
      </c>
      <c r="L889" s="28">
        <f>_xlfn.NUMBERVALUE(LEFT(Activities[[#This Row],[Fiscal Year]], 4))</f>
        <v>2017</v>
      </c>
      <c r="M889" s="28" t="s">
        <v>1862</v>
      </c>
      <c r="N889" s="41">
        <v>25676.33</v>
      </c>
      <c r="O889" s="93">
        <f>IF(Activities[[#This Row],[Reference Year]]&gt;2018,Activities[[#This Row],[Value]],Activities[[#This Row],[Value]]*(1+VLOOKUP(Activities[[#This Row],[Reference Year]],Inflation[#All],3,FALSE)))</f>
        <v>26360.508340391683</v>
      </c>
    </row>
    <row r="890" spans="1:15" ht="15" customHeight="1" x14ac:dyDescent="0.25">
      <c r="A890" s="9" t="s">
        <v>314</v>
      </c>
      <c r="B890" s="9" t="str">
        <f>INDEX(Places[Type],MATCH(Activities[[#This Row],[Jurisdiction]],Places[Jurisdiction],0))</f>
        <v>City</v>
      </c>
      <c r="C890" s="19" t="str">
        <f>INDEX(Places[County],MATCH(Activities[[#This Row],[Jurisdiction]],Places[Jurisdiction],0))</f>
        <v>San Diego</v>
      </c>
      <c r="D890" s="9" t="str">
        <f>INDEX(Places[Majority RB],MATCH(Activities[[#This Row],[Jurisdiction]],Places[Jurisdiction],0))</f>
        <v>San Diego</v>
      </c>
      <c r="E890" s="9">
        <f>INDEX(Places[Majority RB '#],MATCH(Activities[[#This Row],[Jurisdiction]],Places[Jurisdiction],0))</f>
        <v>9</v>
      </c>
      <c r="F890" s="28" t="str">
        <f>VLOOKUP(Activities[[#This Row],[Jurisdiction]],Places[#All],8,FALSE)</f>
        <v>Phase I MS4</v>
      </c>
      <c r="G890" s="48" t="s">
        <v>338</v>
      </c>
      <c r="H890" s="8"/>
      <c r="I890" s="8"/>
      <c r="J890" s="8" t="s">
        <v>131</v>
      </c>
      <c r="K890" s="27" t="s">
        <v>1874</v>
      </c>
      <c r="L890" s="28">
        <f>_xlfn.NUMBERVALUE(LEFT(Activities[[#This Row],[Fiscal Year]], 4))</f>
        <v>2017</v>
      </c>
      <c r="M890" s="28" t="s">
        <v>1862</v>
      </c>
      <c r="N890" s="41">
        <v>10981.91</v>
      </c>
      <c r="O890" s="93">
        <f>IF(Activities[[#This Row],[Reference Year]]&gt;2018,Activities[[#This Row],[Value]],Activities[[#This Row],[Value]]*(1+VLOOKUP(Activities[[#This Row],[Reference Year]],Inflation[#All],3,FALSE)))</f>
        <v>11274.536904161569</v>
      </c>
    </row>
    <row r="891" spans="1:15" ht="15" customHeight="1" x14ac:dyDescent="0.25">
      <c r="A891" s="9" t="s">
        <v>314</v>
      </c>
      <c r="B891" s="9" t="str">
        <f>INDEX(Places[Type],MATCH(Activities[[#This Row],[Jurisdiction]],Places[Jurisdiction],0))</f>
        <v>City</v>
      </c>
      <c r="C891" s="19" t="str">
        <f>INDEX(Places[County],MATCH(Activities[[#This Row],[Jurisdiction]],Places[Jurisdiction],0))</f>
        <v>San Diego</v>
      </c>
      <c r="D891" s="9" t="str">
        <f>INDEX(Places[Majority RB],MATCH(Activities[[#This Row],[Jurisdiction]],Places[Jurisdiction],0))</f>
        <v>San Diego</v>
      </c>
      <c r="E891" s="9">
        <f>INDEX(Places[Majority RB '#],MATCH(Activities[[#This Row],[Jurisdiction]],Places[Jurisdiction],0))</f>
        <v>9</v>
      </c>
      <c r="F891" s="28" t="str">
        <f>VLOOKUP(Activities[[#This Row],[Jurisdiction]],Places[#All],8,FALSE)</f>
        <v>Phase I MS4</v>
      </c>
      <c r="G891" s="48" t="s">
        <v>334</v>
      </c>
      <c r="H891" s="8"/>
      <c r="I891" s="8"/>
      <c r="J891" s="8" t="s">
        <v>334</v>
      </c>
      <c r="K891" s="27" t="s">
        <v>1874</v>
      </c>
      <c r="L891" s="28">
        <f>_xlfn.NUMBERVALUE(LEFT(Activities[[#This Row],[Fiscal Year]], 4))</f>
        <v>2017</v>
      </c>
      <c r="M891" s="28" t="s">
        <v>1862</v>
      </c>
      <c r="N891" s="41">
        <v>33440.639999999999</v>
      </c>
      <c r="O891" s="93">
        <f>IF(Activities[[#This Row],[Reference Year]]&gt;2018,Activities[[#This Row],[Value]],Activities[[#This Row],[Value]]*(1+VLOOKUP(Activities[[#This Row],[Reference Year]],Inflation[#All],3,FALSE)))</f>
        <v>34331.708216401472</v>
      </c>
    </row>
    <row r="892" spans="1:15" ht="15" customHeight="1" x14ac:dyDescent="0.25">
      <c r="A892" s="9" t="s">
        <v>314</v>
      </c>
      <c r="B892" s="9" t="str">
        <f>INDEX(Places[Type],MATCH(Activities[[#This Row],[Jurisdiction]],Places[Jurisdiction],0))</f>
        <v>City</v>
      </c>
      <c r="C892" s="19" t="str">
        <f>INDEX(Places[County],MATCH(Activities[[#This Row],[Jurisdiction]],Places[Jurisdiction],0))</f>
        <v>San Diego</v>
      </c>
      <c r="D892" s="9" t="str">
        <f>INDEX(Places[Majority RB],MATCH(Activities[[#This Row],[Jurisdiction]],Places[Jurisdiction],0))</f>
        <v>San Diego</v>
      </c>
      <c r="E892" s="9">
        <f>INDEX(Places[Majority RB '#],MATCH(Activities[[#This Row],[Jurisdiction]],Places[Jurisdiction],0))</f>
        <v>9</v>
      </c>
      <c r="F892" s="28" t="str">
        <f>VLOOKUP(Activities[[#This Row],[Jurisdiction]],Places[#All],8,FALSE)</f>
        <v>Phase I MS4</v>
      </c>
      <c r="G892" s="48" t="s">
        <v>337</v>
      </c>
      <c r="H892" s="8" t="s">
        <v>693</v>
      </c>
      <c r="I892" s="8"/>
      <c r="J892" s="8" t="s">
        <v>1897</v>
      </c>
      <c r="K892" s="27" t="s">
        <v>1874</v>
      </c>
      <c r="L892" s="28">
        <f>_xlfn.NUMBERVALUE(LEFT(Activities[[#This Row],[Fiscal Year]], 4))</f>
        <v>2017</v>
      </c>
      <c r="M892" s="28" t="s">
        <v>1862</v>
      </c>
      <c r="N892" s="41">
        <v>45913.49</v>
      </c>
      <c r="O892" s="93">
        <f>IF(Activities[[#This Row],[Reference Year]]&gt;2018,Activities[[#This Row],[Value]],Activities[[#This Row],[Value]]*(1+VLOOKUP(Activities[[#This Row],[Reference Year]],Inflation[#All],3,FALSE)))</f>
        <v>47136.913105630359</v>
      </c>
    </row>
    <row r="893" spans="1:15" ht="15" customHeight="1" x14ac:dyDescent="0.25">
      <c r="A893" s="9" t="s">
        <v>314</v>
      </c>
      <c r="B893" s="9" t="str">
        <f>INDEX(Places[Type],MATCH(Activities[[#This Row],[Jurisdiction]],Places[Jurisdiction],0))</f>
        <v>City</v>
      </c>
      <c r="C893" s="19" t="str">
        <f>INDEX(Places[County],MATCH(Activities[[#This Row],[Jurisdiction]],Places[Jurisdiction],0))</f>
        <v>San Diego</v>
      </c>
      <c r="D893" s="9" t="str">
        <f>INDEX(Places[Majority RB],MATCH(Activities[[#This Row],[Jurisdiction]],Places[Jurisdiction],0))</f>
        <v>San Diego</v>
      </c>
      <c r="E893" s="9">
        <f>INDEX(Places[Majority RB '#],MATCH(Activities[[#This Row],[Jurisdiction]],Places[Jurisdiction],0))</f>
        <v>9</v>
      </c>
      <c r="F893" s="28" t="str">
        <f>VLOOKUP(Activities[[#This Row],[Jurisdiction]],Places[#All],8,FALSE)</f>
        <v>Phase I MS4</v>
      </c>
      <c r="G893" s="48" t="s">
        <v>49</v>
      </c>
      <c r="H893" s="8"/>
      <c r="I893" s="8"/>
      <c r="J893" s="8" t="s">
        <v>1898</v>
      </c>
      <c r="K893" s="27" t="s">
        <v>1874</v>
      </c>
      <c r="L893" s="28">
        <f>_xlfn.NUMBERVALUE(LEFT(Activities[[#This Row],[Fiscal Year]], 4))</f>
        <v>2017</v>
      </c>
      <c r="M893" s="28" t="s">
        <v>1862</v>
      </c>
      <c r="N893" s="41">
        <v>8642.01</v>
      </c>
      <c r="O893" s="93">
        <f>IF(Activities[[#This Row],[Reference Year]]&gt;2018,Activities[[#This Row],[Value]],Activities[[#This Row],[Value]]*(1+VLOOKUP(Activities[[#This Row],[Reference Year]],Inflation[#All],3,FALSE)))</f>
        <v>8872.2873044063654</v>
      </c>
    </row>
    <row r="894" spans="1:15" ht="15" customHeight="1" x14ac:dyDescent="0.25">
      <c r="A894" s="9" t="s">
        <v>314</v>
      </c>
      <c r="B894" s="9" t="str">
        <f>INDEX(Places[Type],MATCH(Activities[[#This Row],[Jurisdiction]],Places[Jurisdiction],0))</f>
        <v>City</v>
      </c>
      <c r="C894" s="19" t="str">
        <f>INDEX(Places[County],MATCH(Activities[[#This Row],[Jurisdiction]],Places[Jurisdiction],0))</f>
        <v>San Diego</v>
      </c>
      <c r="D894" s="9" t="str">
        <f>INDEX(Places[Majority RB],MATCH(Activities[[#This Row],[Jurisdiction]],Places[Jurisdiction],0))</f>
        <v>San Diego</v>
      </c>
      <c r="E894" s="9">
        <f>INDEX(Places[Majority RB '#],MATCH(Activities[[#This Row],[Jurisdiction]],Places[Jurisdiction],0))</f>
        <v>9</v>
      </c>
      <c r="F894" s="28" t="str">
        <f>VLOOKUP(Activities[[#This Row],[Jurisdiction]],Places[#All],8,FALSE)</f>
        <v>Phase I MS4</v>
      </c>
      <c r="G894" s="48" t="s">
        <v>209</v>
      </c>
      <c r="H894" s="8"/>
      <c r="I894" s="8"/>
      <c r="J894" s="8" t="s">
        <v>1898</v>
      </c>
      <c r="K894" s="27" t="s">
        <v>1874</v>
      </c>
      <c r="L894" s="28">
        <f>_xlfn.NUMBERVALUE(LEFT(Activities[[#This Row],[Fiscal Year]], 4))</f>
        <v>2017</v>
      </c>
      <c r="M894" s="28" t="s">
        <v>1862</v>
      </c>
      <c r="N894" s="41">
        <v>26456.69</v>
      </c>
      <c r="O894" s="93">
        <f>IF(Activities[[#This Row],[Reference Year]]&gt;2018,Activities[[#This Row],[Value]],Activities[[#This Row],[Value]]*(1+VLOOKUP(Activities[[#This Row],[Reference Year]],Inflation[#All],3,FALSE)))</f>
        <v>27161.662021175034</v>
      </c>
    </row>
    <row r="895" spans="1:15" ht="15" customHeight="1" x14ac:dyDescent="0.25">
      <c r="A895" s="9" t="s">
        <v>314</v>
      </c>
      <c r="B895" s="9" t="str">
        <f>INDEX(Places[Type],MATCH(Activities[[#This Row],[Jurisdiction]],Places[Jurisdiction],0))</f>
        <v>City</v>
      </c>
      <c r="C895" s="19" t="str">
        <f>INDEX(Places[County],MATCH(Activities[[#This Row],[Jurisdiction]],Places[Jurisdiction],0))</f>
        <v>San Diego</v>
      </c>
      <c r="D895" s="9" t="str">
        <f>INDEX(Places[Majority RB],MATCH(Activities[[#This Row],[Jurisdiction]],Places[Jurisdiction],0))</f>
        <v>San Diego</v>
      </c>
      <c r="E895" s="9">
        <f>INDEX(Places[Majority RB '#],MATCH(Activities[[#This Row],[Jurisdiction]],Places[Jurisdiction],0))</f>
        <v>9</v>
      </c>
      <c r="F895" s="28" t="str">
        <f>VLOOKUP(Activities[[#This Row],[Jurisdiction]],Places[#All],8,FALSE)</f>
        <v>Phase I MS4</v>
      </c>
      <c r="G895" s="48" t="s">
        <v>340</v>
      </c>
      <c r="H895" s="8"/>
      <c r="I895" s="8"/>
      <c r="J895" s="8" t="s">
        <v>1456</v>
      </c>
      <c r="K895" s="27" t="s">
        <v>1874</v>
      </c>
      <c r="L895" s="28">
        <f>_xlfn.NUMBERVALUE(LEFT(Activities[[#This Row],[Fiscal Year]], 4))</f>
        <v>2017</v>
      </c>
      <c r="M895" s="28" t="s">
        <v>1862</v>
      </c>
      <c r="N895" s="41">
        <v>3419.64</v>
      </c>
      <c r="O895" s="93">
        <f>IF(Activities[[#This Row],[Reference Year]]&gt;2018,Activities[[#This Row],[Value]],Activities[[#This Row],[Value]]*(1+VLOOKUP(Activities[[#This Row],[Reference Year]],Inflation[#All],3,FALSE)))</f>
        <v>3510.760639902081</v>
      </c>
    </row>
    <row r="896" spans="1:15" ht="15" customHeight="1" x14ac:dyDescent="0.25">
      <c r="A896" s="9" t="s">
        <v>314</v>
      </c>
      <c r="B896" s="9" t="str">
        <f>INDEX(Places[Type],MATCH(Activities[[#This Row],[Jurisdiction]],Places[Jurisdiction],0))</f>
        <v>City</v>
      </c>
      <c r="C896" s="19" t="str">
        <f>INDEX(Places[County],MATCH(Activities[[#This Row],[Jurisdiction]],Places[Jurisdiction],0))</f>
        <v>San Diego</v>
      </c>
      <c r="D896" s="9" t="str">
        <f>INDEX(Places[Majority RB],MATCH(Activities[[#This Row],[Jurisdiction]],Places[Jurisdiction],0))</f>
        <v>San Diego</v>
      </c>
      <c r="E896" s="9">
        <f>INDEX(Places[Majority RB '#],MATCH(Activities[[#This Row],[Jurisdiction]],Places[Jurisdiction],0))</f>
        <v>9</v>
      </c>
      <c r="F896" s="28" t="str">
        <f>VLOOKUP(Activities[[#This Row],[Jurisdiction]],Places[#All],8,FALSE)</f>
        <v>Phase I MS4</v>
      </c>
      <c r="G896" s="48" t="s">
        <v>385</v>
      </c>
      <c r="H896" s="8"/>
      <c r="I896" s="8"/>
      <c r="J896" s="8" t="s">
        <v>1894</v>
      </c>
      <c r="K896" s="27" t="s">
        <v>1874</v>
      </c>
      <c r="L896" s="28">
        <f>_xlfn.NUMBERVALUE(LEFT(Activities[[#This Row],[Fiscal Year]], 4))</f>
        <v>2017</v>
      </c>
      <c r="M896" s="28" t="s">
        <v>1862</v>
      </c>
      <c r="N896" s="41">
        <v>14230</v>
      </c>
      <c r="O896" s="93">
        <f>IF(Activities[[#This Row],[Reference Year]]&gt;2018,Activities[[#This Row],[Value]],Activities[[#This Row],[Value]]*(1+VLOOKUP(Activities[[#This Row],[Reference Year]],Inflation[#All],3,FALSE)))</f>
        <v>14609.176376988986</v>
      </c>
    </row>
    <row r="897" spans="1:15" ht="15" customHeight="1" x14ac:dyDescent="0.25">
      <c r="A897" s="9" t="s">
        <v>314</v>
      </c>
      <c r="B897" s="9" t="str">
        <f>INDEX(Places[Type],MATCH(Activities[[#This Row],[Jurisdiction]],Places[Jurisdiction],0))</f>
        <v>City</v>
      </c>
      <c r="C897" s="19" t="str">
        <f>INDEX(Places[County],MATCH(Activities[[#This Row],[Jurisdiction]],Places[Jurisdiction],0))</f>
        <v>San Diego</v>
      </c>
      <c r="D897" s="9" t="str">
        <f>INDEX(Places[Majority RB],MATCH(Activities[[#This Row],[Jurisdiction]],Places[Jurisdiction],0))</f>
        <v>San Diego</v>
      </c>
      <c r="E897" s="9">
        <f>INDEX(Places[Majority RB '#],MATCH(Activities[[#This Row],[Jurisdiction]],Places[Jurisdiction],0))</f>
        <v>9</v>
      </c>
      <c r="F897" s="28" t="str">
        <f>VLOOKUP(Activities[[#This Row],[Jurisdiction]],Places[#All],8,FALSE)</f>
        <v>Phase I MS4</v>
      </c>
      <c r="G897" s="48" t="s">
        <v>333</v>
      </c>
      <c r="H897" s="8"/>
      <c r="I897" s="8"/>
      <c r="J897" s="8" t="s">
        <v>1894</v>
      </c>
      <c r="K897" s="27" t="s">
        <v>1874</v>
      </c>
      <c r="L897" s="28">
        <f>_xlfn.NUMBERVALUE(LEFT(Activities[[#This Row],[Fiscal Year]], 4))</f>
        <v>2017</v>
      </c>
      <c r="M897" s="28" t="s">
        <v>1862</v>
      </c>
      <c r="N897" s="41">
        <v>27337.18</v>
      </c>
      <c r="O897" s="93">
        <f>IF(Activities[[#This Row],[Reference Year]]&gt;2018,Activities[[#This Row],[Value]],Activities[[#This Row],[Value]]*(1+VLOOKUP(Activities[[#This Row],[Reference Year]],Inflation[#All],3,FALSE)))</f>
        <v>28065.613792656062</v>
      </c>
    </row>
    <row r="898" spans="1:15" ht="15" customHeight="1" x14ac:dyDescent="0.25">
      <c r="A898" s="9" t="s">
        <v>314</v>
      </c>
      <c r="B898" s="9" t="str">
        <f>INDEX(Places[Type],MATCH(Activities[[#This Row],[Jurisdiction]],Places[Jurisdiction],0))</f>
        <v>City</v>
      </c>
      <c r="C898" s="19" t="str">
        <f>INDEX(Places[County],MATCH(Activities[[#This Row],[Jurisdiction]],Places[Jurisdiction],0))</f>
        <v>San Diego</v>
      </c>
      <c r="D898" s="9" t="str">
        <f>INDEX(Places[Majority RB],MATCH(Activities[[#This Row],[Jurisdiction]],Places[Jurisdiction],0))</f>
        <v>San Diego</v>
      </c>
      <c r="E898" s="9">
        <f>INDEX(Places[Majority RB '#],MATCH(Activities[[#This Row],[Jurisdiction]],Places[Jurisdiction],0))</f>
        <v>9</v>
      </c>
      <c r="F898" s="28" t="str">
        <f>VLOOKUP(Activities[[#This Row],[Jurisdiction]],Places[#All],8,FALSE)</f>
        <v>Phase I MS4</v>
      </c>
      <c r="G898" s="48" t="s">
        <v>387</v>
      </c>
      <c r="H898" s="8"/>
      <c r="I898" s="8"/>
      <c r="J898" s="8" t="s">
        <v>1896</v>
      </c>
      <c r="K898" s="27" t="s">
        <v>1874</v>
      </c>
      <c r="L898" s="28">
        <f>_xlfn.NUMBERVALUE(LEFT(Activities[[#This Row],[Fiscal Year]], 4))</f>
        <v>2017</v>
      </c>
      <c r="M898" s="28" t="s">
        <v>1862</v>
      </c>
      <c r="N898" s="41">
        <v>2327</v>
      </c>
      <c r="O898" s="93">
        <f>IF(Activities[[#This Row],[Reference Year]]&gt;2018,Activities[[#This Row],[Value]],Activities[[#This Row],[Value]]*(1+VLOOKUP(Activities[[#This Row],[Reference Year]],Inflation[#All],3,FALSE)))</f>
        <v>2389.0058629130972</v>
      </c>
    </row>
    <row r="899" spans="1:15" ht="15" customHeight="1" x14ac:dyDescent="0.25">
      <c r="A899" s="9" t="s">
        <v>314</v>
      </c>
      <c r="B899" s="9" t="str">
        <f>INDEX(Places[Type],MATCH(Activities[[#This Row],[Jurisdiction]],Places[Jurisdiction],0))</f>
        <v>City</v>
      </c>
      <c r="C899" s="19" t="str">
        <f>INDEX(Places[County],MATCH(Activities[[#This Row],[Jurisdiction]],Places[Jurisdiction],0))</f>
        <v>San Diego</v>
      </c>
      <c r="D899" s="9" t="str">
        <f>INDEX(Places[Majority RB],MATCH(Activities[[#This Row],[Jurisdiction]],Places[Jurisdiction],0))</f>
        <v>San Diego</v>
      </c>
      <c r="E899" s="9">
        <f>INDEX(Places[Majority RB '#],MATCH(Activities[[#This Row],[Jurisdiction]],Places[Jurisdiction],0))</f>
        <v>9</v>
      </c>
      <c r="F899" s="28" t="str">
        <f>VLOOKUP(Activities[[#This Row],[Jurisdiction]],Places[#All],8,FALSE)</f>
        <v>Phase I MS4</v>
      </c>
      <c r="G899" s="48" t="s">
        <v>339</v>
      </c>
      <c r="H899" s="8" t="s">
        <v>696</v>
      </c>
      <c r="I899" s="8" t="s">
        <v>695</v>
      </c>
      <c r="J899" s="8" t="s">
        <v>1896</v>
      </c>
      <c r="K899" s="27" t="s">
        <v>1874</v>
      </c>
      <c r="L899" s="28">
        <f>_xlfn.NUMBERVALUE(LEFT(Activities[[#This Row],[Fiscal Year]], 4))</f>
        <v>2017</v>
      </c>
      <c r="M899" s="28" t="s">
        <v>1862</v>
      </c>
      <c r="N899" s="41">
        <v>8142.01</v>
      </c>
      <c r="O899" s="93">
        <f>IF(Activities[[#This Row],[Reference Year]]&gt;2018,Activities[[#This Row],[Value]],Activities[[#This Row],[Value]]*(1+VLOOKUP(Activities[[#This Row],[Reference Year]],Inflation[#All],3,FALSE)))</f>
        <v>8358.964170991434</v>
      </c>
    </row>
    <row r="900" spans="1:15" ht="15" customHeight="1" x14ac:dyDescent="0.25">
      <c r="A900" s="9" t="s">
        <v>314</v>
      </c>
      <c r="B900" s="9" t="str">
        <f>INDEX(Places[Type],MATCH(Activities[[#This Row],[Jurisdiction]],Places[Jurisdiction],0))</f>
        <v>City</v>
      </c>
      <c r="C900" s="19" t="str">
        <f>INDEX(Places[County],MATCH(Activities[[#This Row],[Jurisdiction]],Places[Jurisdiction],0))</f>
        <v>San Diego</v>
      </c>
      <c r="D900" s="9" t="str">
        <f>INDEX(Places[Majority RB],MATCH(Activities[[#This Row],[Jurisdiction]],Places[Jurisdiction],0))</f>
        <v>San Diego</v>
      </c>
      <c r="E900" s="9">
        <f>INDEX(Places[Majority RB '#],MATCH(Activities[[#This Row],[Jurisdiction]],Places[Jurisdiction],0))</f>
        <v>9</v>
      </c>
      <c r="F900" s="28" t="str">
        <f>VLOOKUP(Activities[[#This Row],[Jurisdiction]],Places[#All],8,FALSE)</f>
        <v>Phase I MS4</v>
      </c>
      <c r="G900" s="48" t="s">
        <v>1351</v>
      </c>
      <c r="H900" s="8" t="s">
        <v>1911</v>
      </c>
      <c r="I900" s="8"/>
      <c r="J900" s="8" t="s">
        <v>605</v>
      </c>
      <c r="K900" s="27" t="s">
        <v>1874</v>
      </c>
      <c r="L900" s="28">
        <f>_xlfn.NUMBERVALUE(LEFT(Activities[[#This Row],[Fiscal Year]], 4))</f>
        <v>2017</v>
      </c>
      <c r="M900" s="28" t="s">
        <v>1862</v>
      </c>
      <c r="N900" s="41">
        <v>9099</v>
      </c>
      <c r="O900" s="93">
        <f>IF(Activities[[#This Row],[Reference Year]]&gt;2018,Activities[[#This Row],[Value]],Activities[[#This Row],[Value]]*(1+VLOOKUP(Activities[[#This Row],[Reference Year]],Inflation[#All],3,FALSE)))</f>
        <v>9341.4543818849452</v>
      </c>
    </row>
    <row r="901" spans="1:15" ht="15" customHeight="1" x14ac:dyDescent="0.25">
      <c r="A901" s="9" t="s">
        <v>314</v>
      </c>
      <c r="B901" s="9" t="str">
        <f>INDEX(Places[Type],MATCH(Activities[[#This Row],[Jurisdiction]],Places[Jurisdiction],0))</f>
        <v>City</v>
      </c>
      <c r="C901" s="19" t="str">
        <f>INDEX(Places[County],MATCH(Activities[[#This Row],[Jurisdiction]],Places[Jurisdiction],0))</f>
        <v>San Diego</v>
      </c>
      <c r="D901" s="9" t="str">
        <f>INDEX(Places[Majority RB],MATCH(Activities[[#This Row],[Jurisdiction]],Places[Jurisdiction],0))</f>
        <v>San Diego</v>
      </c>
      <c r="E901" s="9">
        <f>INDEX(Places[Majority RB '#],MATCH(Activities[[#This Row],[Jurisdiction]],Places[Jurisdiction],0))</f>
        <v>9</v>
      </c>
      <c r="F901" s="28" t="str">
        <f>VLOOKUP(Activities[[#This Row],[Jurisdiction]],Places[#All],8,FALSE)</f>
        <v>Phase I MS4</v>
      </c>
      <c r="G901" s="48" t="s">
        <v>386</v>
      </c>
      <c r="H901" s="8"/>
      <c r="I901" s="8"/>
      <c r="J901" s="8" t="s">
        <v>605</v>
      </c>
      <c r="K901" s="27" t="s">
        <v>1874</v>
      </c>
      <c r="L901" s="28">
        <f>_xlfn.NUMBERVALUE(LEFT(Activities[[#This Row],[Fiscal Year]], 4))</f>
        <v>2017</v>
      </c>
      <c r="M901" s="28" t="s">
        <v>1862</v>
      </c>
      <c r="N901" s="41">
        <v>30309.24</v>
      </c>
      <c r="O901" s="93">
        <f>IF(Activities[[#This Row],[Reference Year]]&gt;2018,Activities[[#This Row],[Value]],Activities[[#This Row],[Value]]*(1+VLOOKUP(Activities[[#This Row],[Reference Year]],Inflation[#All],3,FALSE)))</f>
        <v>31116.868096450435</v>
      </c>
    </row>
    <row r="902" spans="1:15" ht="15" customHeight="1" x14ac:dyDescent="0.25">
      <c r="A902" s="9" t="s">
        <v>225</v>
      </c>
      <c r="B902" s="9" t="str">
        <f>INDEX(Places[Type],MATCH(Activities[[#This Row],[Jurisdiction]],Places[Jurisdiction],0))</f>
        <v>City</v>
      </c>
      <c r="C902" s="19" t="str">
        <f>INDEX(Places[County],MATCH(Activities[[#This Row],[Jurisdiction]],Places[Jurisdiction],0))</f>
        <v>Los Angeles</v>
      </c>
      <c r="D902" s="19" t="str">
        <f>INDEX(Places[Majority RB],MATCH(Activities[[#This Row],[Jurisdiction]],Places[Jurisdiction],0))</f>
        <v>Los Angeles</v>
      </c>
      <c r="E902" s="9">
        <f>INDEX(Places[Majority RB '#],MATCH(Activities[[#This Row],[Jurisdiction]],Places[Jurisdiction],0))</f>
        <v>4</v>
      </c>
      <c r="F902" s="28" t="str">
        <f>VLOOKUP(Activities[[#This Row],[Jurisdiction]],Places[#All],8,FALSE)</f>
        <v>Phase I MS4</v>
      </c>
      <c r="G902" s="48" t="s">
        <v>62</v>
      </c>
      <c r="H902" s="8"/>
      <c r="I902" s="8"/>
      <c r="J902" s="8" t="s">
        <v>131</v>
      </c>
      <c r="K902" s="27" t="s">
        <v>1873</v>
      </c>
      <c r="L902" s="28">
        <f>_xlfn.NUMBERVALUE(LEFT(Activities[[#This Row],[Fiscal Year]], 4))</f>
        <v>2015</v>
      </c>
      <c r="M902" s="28" t="s">
        <v>1862</v>
      </c>
      <c r="N902" s="41">
        <v>2000</v>
      </c>
      <c r="O902" s="93">
        <f>IF(Activities[[#This Row],[Reference Year]]&gt;2018,Activities[[#This Row],[Value]],Activities[[#This Row],[Value]]*(1+VLOOKUP(Activities[[#This Row],[Reference Year]],Inflation[#All],3,FALSE)))</f>
        <v>2123.4683544303798</v>
      </c>
    </row>
    <row r="903" spans="1:15" ht="15" customHeight="1" x14ac:dyDescent="0.25">
      <c r="A903" s="9" t="s">
        <v>225</v>
      </c>
      <c r="B903" s="9" t="str">
        <f>INDEX(Places[Type],MATCH(Activities[[#This Row],[Jurisdiction]],Places[Jurisdiction],0))</f>
        <v>City</v>
      </c>
      <c r="C903" s="19" t="str">
        <f>INDEX(Places[County],MATCH(Activities[[#This Row],[Jurisdiction]],Places[Jurisdiction],0))</f>
        <v>Los Angeles</v>
      </c>
      <c r="D903" s="19" t="str">
        <f>INDEX(Places[Majority RB],MATCH(Activities[[#This Row],[Jurisdiction]],Places[Jurisdiction],0))</f>
        <v>Los Angeles</v>
      </c>
      <c r="E903" s="9">
        <f>INDEX(Places[Majority RB '#],MATCH(Activities[[#This Row],[Jurisdiction]],Places[Jurisdiction],0))</f>
        <v>4</v>
      </c>
      <c r="F903" s="28" t="str">
        <f>VLOOKUP(Activities[[#This Row],[Jurisdiction]],Places[#All],8,FALSE)</f>
        <v>Phase I MS4</v>
      </c>
      <c r="G903" s="48" t="s">
        <v>208</v>
      </c>
      <c r="H903" s="8"/>
      <c r="I903" s="8"/>
      <c r="J903" s="8" t="s">
        <v>334</v>
      </c>
      <c r="K903" s="27" t="s">
        <v>1873</v>
      </c>
      <c r="L903" s="28">
        <f>_xlfn.NUMBERVALUE(LEFT(Activities[[#This Row],[Fiscal Year]], 4))</f>
        <v>2015</v>
      </c>
      <c r="M903" s="28" t="s">
        <v>1862</v>
      </c>
      <c r="N903" s="41">
        <v>20000</v>
      </c>
      <c r="O903" s="93">
        <f>IF(Activities[[#This Row],[Reference Year]]&gt;2018,Activities[[#This Row],[Value]],Activities[[#This Row],[Value]]*(1+VLOOKUP(Activities[[#This Row],[Reference Year]],Inflation[#All],3,FALSE)))</f>
        <v>21234.683544303796</v>
      </c>
    </row>
    <row r="904" spans="1:15" ht="15" customHeight="1" x14ac:dyDescent="0.25">
      <c r="A904" s="9" t="s">
        <v>225</v>
      </c>
      <c r="B904" s="9" t="str">
        <f>INDEX(Places[Type],MATCH(Activities[[#This Row],[Jurisdiction]],Places[Jurisdiction],0))</f>
        <v>City</v>
      </c>
      <c r="C904" s="19" t="str">
        <f>INDEX(Places[County],MATCH(Activities[[#This Row],[Jurisdiction]],Places[Jurisdiction],0))</f>
        <v>Los Angeles</v>
      </c>
      <c r="D904" s="19" t="str">
        <f>INDEX(Places[Majority RB],MATCH(Activities[[#This Row],[Jurisdiction]],Places[Jurisdiction],0))</f>
        <v>Los Angeles</v>
      </c>
      <c r="E904" s="9">
        <f>INDEX(Places[Majority RB '#],MATCH(Activities[[#This Row],[Jurisdiction]],Places[Jurisdiction],0))</f>
        <v>4</v>
      </c>
      <c r="F904" s="28" t="str">
        <f>VLOOKUP(Activities[[#This Row],[Jurisdiction]],Places[#All],8,FALSE)</f>
        <v>Phase I MS4</v>
      </c>
      <c r="G904" s="48" t="s">
        <v>61</v>
      </c>
      <c r="H904" s="8" t="s">
        <v>954</v>
      </c>
      <c r="I904" s="8" t="s">
        <v>953</v>
      </c>
      <c r="J904" s="8" t="s">
        <v>1897</v>
      </c>
      <c r="K904" s="27" t="s">
        <v>1873</v>
      </c>
      <c r="L904" s="28">
        <f>_xlfn.NUMBERVALUE(LEFT(Activities[[#This Row],[Fiscal Year]], 4))</f>
        <v>2015</v>
      </c>
      <c r="M904" s="28" t="s">
        <v>1862</v>
      </c>
      <c r="N904" s="41">
        <v>92000</v>
      </c>
      <c r="O904" s="93">
        <f>IF(Activities[[#This Row],[Reference Year]]&gt;2018,Activities[[#This Row],[Value]],Activities[[#This Row],[Value]]*(1+VLOOKUP(Activities[[#This Row],[Reference Year]],Inflation[#All],3,FALSE)))</f>
        <v>97679.544303797462</v>
      </c>
    </row>
    <row r="905" spans="1:15" ht="15" customHeight="1" x14ac:dyDescent="0.25">
      <c r="A905" s="9" t="s">
        <v>225</v>
      </c>
      <c r="B905" s="9" t="str">
        <f>INDEX(Places[Type],MATCH(Activities[[#This Row],[Jurisdiction]],Places[Jurisdiction],0))</f>
        <v>City</v>
      </c>
      <c r="C905" s="19" t="str">
        <f>INDEX(Places[County],MATCH(Activities[[#This Row],[Jurisdiction]],Places[Jurisdiction],0))</f>
        <v>Los Angeles</v>
      </c>
      <c r="D905" s="19" t="str">
        <f>INDEX(Places[Majority RB],MATCH(Activities[[#This Row],[Jurisdiction]],Places[Jurisdiction],0))</f>
        <v>Los Angeles</v>
      </c>
      <c r="E905" s="9">
        <f>INDEX(Places[Majority RB '#],MATCH(Activities[[#This Row],[Jurisdiction]],Places[Jurisdiction],0))</f>
        <v>4</v>
      </c>
      <c r="F905" s="28" t="str">
        <f>VLOOKUP(Activities[[#This Row],[Jurisdiction]],Places[#All],8,FALSE)</f>
        <v>Phase I MS4</v>
      </c>
      <c r="G905" s="48" t="s">
        <v>60</v>
      </c>
      <c r="H905" s="8"/>
      <c r="I905" s="8"/>
      <c r="J905" s="8" t="s">
        <v>1898</v>
      </c>
      <c r="K905" s="27" t="s">
        <v>1873</v>
      </c>
      <c r="L905" s="28">
        <f>_xlfn.NUMBERVALUE(LEFT(Activities[[#This Row],[Fiscal Year]], 4))</f>
        <v>2015</v>
      </c>
      <c r="M905" s="28" t="s">
        <v>1862</v>
      </c>
      <c r="N905" s="41">
        <v>1000</v>
      </c>
      <c r="O905" s="93">
        <f>IF(Activities[[#This Row],[Reference Year]]&gt;2018,Activities[[#This Row],[Value]],Activities[[#This Row],[Value]]*(1+VLOOKUP(Activities[[#This Row],[Reference Year]],Inflation[#All],3,FALSE)))</f>
        <v>1061.7341772151899</v>
      </c>
    </row>
    <row r="906" spans="1:15" ht="15" customHeight="1" x14ac:dyDescent="0.25">
      <c r="A906" s="9" t="s">
        <v>225</v>
      </c>
      <c r="B906" s="9" t="str">
        <f>INDEX(Places[Type],MATCH(Activities[[#This Row],[Jurisdiction]],Places[Jurisdiction],0))</f>
        <v>City</v>
      </c>
      <c r="C906" s="19" t="str">
        <f>INDEX(Places[County],MATCH(Activities[[#This Row],[Jurisdiction]],Places[Jurisdiction],0))</f>
        <v>Los Angeles</v>
      </c>
      <c r="D906" s="19" t="str">
        <f>INDEX(Places[Majority RB],MATCH(Activities[[#This Row],[Jurisdiction]],Places[Jurisdiction],0))</f>
        <v>Los Angeles</v>
      </c>
      <c r="E906" s="9">
        <f>INDEX(Places[Majority RB '#],MATCH(Activities[[#This Row],[Jurisdiction]],Places[Jurisdiction],0))</f>
        <v>4</v>
      </c>
      <c r="F906" s="28" t="str">
        <f>VLOOKUP(Activities[[#This Row],[Jurisdiction]],Places[#All],8,FALSE)</f>
        <v>Phase I MS4</v>
      </c>
      <c r="G906" s="48" t="s">
        <v>59</v>
      </c>
      <c r="H906" s="8"/>
      <c r="I906" s="8"/>
      <c r="J906" s="8" t="s">
        <v>1898</v>
      </c>
      <c r="K906" s="27" t="s">
        <v>1873</v>
      </c>
      <c r="L906" s="28">
        <f>_xlfn.NUMBERVALUE(LEFT(Activities[[#This Row],[Fiscal Year]], 4))</f>
        <v>2015</v>
      </c>
      <c r="M906" s="28" t="s">
        <v>1862</v>
      </c>
      <c r="N906" s="41">
        <v>5000</v>
      </c>
      <c r="O906" s="93">
        <f>IF(Activities[[#This Row],[Reference Year]]&gt;2018,Activities[[#This Row],[Value]],Activities[[#This Row],[Value]]*(1+VLOOKUP(Activities[[#This Row],[Reference Year]],Inflation[#All],3,FALSE)))</f>
        <v>5308.6708860759491</v>
      </c>
    </row>
    <row r="907" spans="1:15" ht="15" customHeight="1" x14ac:dyDescent="0.25">
      <c r="A907" s="9" t="s">
        <v>225</v>
      </c>
      <c r="B907" s="9" t="str">
        <f>INDEX(Places[Type],MATCH(Activities[[#This Row],[Jurisdiction]],Places[Jurisdiction],0))</f>
        <v>City</v>
      </c>
      <c r="C907" s="19" t="str">
        <f>INDEX(Places[County],MATCH(Activities[[#This Row],[Jurisdiction]],Places[Jurisdiction],0))</f>
        <v>Los Angeles</v>
      </c>
      <c r="D907" s="19" t="str">
        <f>INDEX(Places[Majority RB],MATCH(Activities[[#This Row],[Jurisdiction]],Places[Jurisdiction],0))</f>
        <v>Los Angeles</v>
      </c>
      <c r="E907" s="9">
        <f>INDEX(Places[Majority RB '#],MATCH(Activities[[#This Row],[Jurisdiction]],Places[Jurisdiction],0))</f>
        <v>4</v>
      </c>
      <c r="F907" s="28" t="str">
        <f>VLOOKUP(Activities[[#This Row],[Jurisdiction]],Places[#All],8,FALSE)</f>
        <v>Phase I MS4</v>
      </c>
      <c r="G907" s="48" t="s">
        <v>58</v>
      </c>
      <c r="H907" s="8"/>
      <c r="I907" s="8"/>
      <c r="J907" s="8" t="s">
        <v>1456</v>
      </c>
      <c r="K907" s="27" t="s">
        <v>1873</v>
      </c>
      <c r="L907" s="28">
        <f>_xlfn.NUMBERVALUE(LEFT(Activities[[#This Row],[Fiscal Year]], 4))</f>
        <v>2015</v>
      </c>
      <c r="M907" s="28" t="s">
        <v>1862</v>
      </c>
      <c r="N907" s="41">
        <v>7000</v>
      </c>
      <c r="O907" s="93">
        <f>IF(Activities[[#This Row],[Reference Year]]&gt;2018,Activities[[#This Row],[Value]],Activities[[#This Row],[Value]]*(1+VLOOKUP(Activities[[#This Row],[Reference Year]],Inflation[#All],3,FALSE)))</f>
        <v>7432.1392405063289</v>
      </c>
    </row>
    <row r="908" spans="1:15" ht="15" customHeight="1" x14ac:dyDescent="0.25">
      <c r="A908" s="9" t="s">
        <v>225</v>
      </c>
      <c r="B908" s="9" t="str">
        <f>INDEX(Places[Type],MATCH(Activities[[#This Row],[Jurisdiction]],Places[Jurisdiction],0))</f>
        <v>City</v>
      </c>
      <c r="C908" s="19" t="str">
        <f>INDEX(Places[County],MATCH(Activities[[#This Row],[Jurisdiction]],Places[Jurisdiction],0))</f>
        <v>Los Angeles</v>
      </c>
      <c r="D908" s="19" t="str">
        <f>INDEX(Places[Majority RB],MATCH(Activities[[#This Row],[Jurisdiction]],Places[Jurisdiction],0))</f>
        <v>Los Angeles</v>
      </c>
      <c r="E908" s="9">
        <f>INDEX(Places[Majority RB '#],MATCH(Activities[[#This Row],[Jurisdiction]],Places[Jurisdiction],0))</f>
        <v>4</v>
      </c>
      <c r="F908" s="28" t="str">
        <f>VLOOKUP(Activities[[#This Row],[Jurisdiction]],Places[#All],8,FALSE)</f>
        <v>Phase I MS4</v>
      </c>
      <c r="G908" s="48" t="s">
        <v>32</v>
      </c>
      <c r="H908" s="8"/>
      <c r="I908" s="8"/>
      <c r="J908" s="8" t="s">
        <v>1894</v>
      </c>
      <c r="K908" s="27" t="s">
        <v>1873</v>
      </c>
      <c r="L908" s="28">
        <f>_xlfn.NUMBERVALUE(LEFT(Activities[[#This Row],[Fiscal Year]], 4))</f>
        <v>2015</v>
      </c>
      <c r="M908" s="28" t="s">
        <v>1862</v>
      </c>
      <c r="N908" s="41">
        <v>2000</v>
      </c>
      <c r="O908" s="93">
        <f>IF(Activities[[#This Row],[Reference Year]]&gt;2018,Activities[[#This Row],[Value]],Activities[[#This Row],[Value]]*(1+VLOOKUP(Activities[[#This Row],[Reference Year]],Inflation[#All],3,FALSE)))</f>
        <v>2123.4683544303798</v>
      </c>
    </row>
    <row r="909" spans="1:15" ht="15" customHeight="1" x14ac:dyDescent="0.25">
      <c r="A909" s="9" t="s">
        <v>225</v>
      </c>
      <c r="B909" s="9" t="str">
        <f>INDEX(Places[Type],MATCH(Activities[[#This Row],[Jurisdiction]],Places[Jurisdiction],0))</f>
        <v>City</v>
      </c>
      <c r="C909" s="19" t="str">
        <f>INDEX(Places[County],MATCH(Activities[[#This Row],[Jurisdiction]],Places[Jurisdiction],0))</f>
        <v>Los Angeles</v>
      </c>
      <c r="D909" s="19" t="str">
        <f>INDEX(Places[Majority RB],MATCH(Activities[[#This Row],[Jurisdiction]],Places[Jurisdiction],0))</f>
        <v>Los Angeles</v>
      </c>
      <c r="E909" s="9">
        <f>INDEX(Places[Majority RB '#],MATCH(Activities[[#This Row],[Jurisdiction]],Places[Jurisdiction],0))</f>
        <v>4</v>
      </c>
      <c r="F909" s="28" t="str">
        <f>VLOOKUP(Activities[[#This Row],[Jurisdiction]],Places[#All],8,FALSE)</f>
        <v>Phase I MS4</v>
      </c>
      <c r="G909" s="48" t="s">
        <v>67</v>
      </c>
      <c r="H909" s="8"/>
      <c r="I909" s="8"/>
      <c r="J909" s="8" t="s">
        <v>1896</v>
      </c>
      <c r="K909" s="27" t="s">
        <v>1873</v>
      </c>
      <c r="L909" s="28">
        <f>_xlfn.NUMBERVALUE(LEFT(Activities[[#This Row],[Fiscal Year]], 4))</f>
        <v>2015</v>
      </c>
      <c r="M909" s="28" t="s">
        <v>1862</v>
      </c>
      <c r="N909" s="41">
        <v>9000</v>
      </c>
      <c r="O909" s="93">
        <f>IF(Activities[[#This Row],[Reference Year]]&gt;2018,Activities[[#This Row],[Value]],Activities[[#This Row],[Value]]*(1+VLOOKUP(Activities[[#This Row],[Reference Year]],Inflation[#All],3,FALSE)))</f>
        <v>9555.6075949367078</v>
      </c>
    </row>
    <row r="910" spans="1:15" ht="15" customHeight="1" x14ac:dyDescent="0.25">
      <c r="A910" s="9" t="s">
        <v>225</v>
      </c>
      <c r="B910" s="9" t="str">
        <f>INDEX(Places[Type],MATCH(Activities[[#This Row],[Jurisdiction]],Places[Jurisdiction],0))</f>
        <v>City</v>
      </c>
      <c r="C910" s="19" t="str">
        <f>INDEX(Places[County],MATCH(Activities[[#This Row],[Jurisdiction]],Places[Jurisdiction],0))</f>
        <v>Los Angeles</v>
      </c>
      <c r="D910" s="19" t="str">
        <f>INDEX(Places[Majority RB],MATCH(Activities[[#This Row],[Jurisdiction]],Places[Jurisdiction],0))</f>
        <v>Los Angeles</v>
      </c>
      <c r="E910" s="9">
        <f>INDEX(Places[Majority RB '#],MATCH(Activities[[#This Row],[Jurisdiction]],Places[Jurisdiction],0))</f>
        <v>4</v>
      </c>
      <c r="F910" s="28" t="str">
        <f>VLOOKUP(Activities[[#This Row],[Jurisdiction]],Places[#All],8,FALSE)</f>
        <v>Phase I MS4</v>
      </c>
      <c r="G910" s="48" t="s">
        <v>211</v>
      </c>
      <c r="H910" s="8"/>
      <c r="I910" s="8"/>
      <c r="J910" s="8" t="s">
        <v>1896</v>
      </c>
      <c r="K910" s="27" t="s">
        <v>1873</v>
      </c>
      <c r="L910" s="28">
        <f>_xlfn.NUMBERVALUE(LEFT(Activities[[#This Row],[Fiscal Year]], 4))</f>
        <v>2015</v>
      </c>
      <c r="M910" s="28" t="s">
        <v>1862</v>
      </c>
      <c r="N910" s="41">
        <v>60000</v>
      </c>
      <c r="O910" s="93">
        <f>IF(Activities[[#This Row],[Reference Year]]&gt;2018,Activities[[#This Row],[Value]],Activities[[#This Row],[Value]]*(1+VLOOKUP(Activities[[#This Row],[Reference Year]],Inflation[#All],3,FALSE)))</f>
        <v>63704.050632911392</v>
      </c>
    </row>
    <row r="911" spans="1:15" ht="15" customHeight="1" x14ac:dyDescent="0.25">
      <c r="A911" s="9" t="s">
        <v>225</v>
      </c>
      <c r="B911" s="9" t="str">
        <f>INDEX(Places[Type],MATCH(Activities[[#This Row],[Jurisdiction]],Places[Jurisdiction],0))</f>
        <v>City</v>
      </c>
      <c r="C911" s="19" t="str">
        <f>INDEX(Places[County],MATCH(Activities[[#This Row],[Jurisdiction]],Places[Jurisdiction],0))</f>
        <v>Los Angeles</v>
      </c>
      <c r="D911" s="19" t="str">
        <f>INDEX(Places[Majority RB],MATCH(Activities[[#This Row],[Jurisdiction]],Places[Jurisdiction],0))</f>
        <v>Los Angeles</v>
      </c>
      <c r="E911" s="9">
        <f>INDEX(Places[Majority RB '#],MATCH(Activities[[#This Row],[Jurisdiction]],Places[Jurisdiction],0))</f>
        <v>4</v>
      </c>
      <c r="F911" s="28" t="str">
        <f>VLOOKUP(Activities[[#This Row],[Jurisdiction]],Places[#All],8,FALSE)</f>
        <v>Phase I MS4</v>
      </c>
      <c r="G911" s="48" t="s">
        <v>33</v>
      </c>
      <c r="H911" s="8"/>
      <c r="I911" s="8"/>
      <c r="J911" s="8" t="s">
        <v>47</v>
      </c>
      <c r="K911" s="27" t="s">
        <v>1873</v>
      </c>
      <c r="L911" s="28">
        <f>_xlfn.NUMBERVALUE(LEFT(Activities[[#This Row],[Fiscal Year]], 4))</f>
        <v>2015</v>
      </c>
      <c r="M911" s="28" t="s">
        <v>1862</v>
      </c>
      <c r="N911" s="41">
        <v>3000</v>
      </c>
      <c r="O911" s="93">
        <f>IF(Activities[[#This Row],[Reference Year]]&gt;2018,Activities[[#This Row],[Value]],Activities[[#This Row],[Value]]*(1+VLOOKUP(Activities[[#This Row],[Reference Year]],Inflation[#All],3,FALSE)))</f>
        <v>3185.2025316455693</v>
      </c>
    </row>
    <row r="912" spans="1:15" ht="15" customHeight="1" x14ac:dyDescent="0.25">
      <c r="A912" s="9" t="s">
        <v>158</v>
      </c>
      <c r="B912" s="9" t="str">
        <f>INDEX(Places[Type],MATCH(Activities[[#This Row],[Jurisdiction]],Places[Jurisdiction],0))</f>
        <v>City</v>
      </c>
      <c r="C912" s="19" t="str">
        <f>INDEX(Places[County],MATCH(Activities[[#This Row],[Jurisdiction]],Places[Jurisdiction],0))</f>
        <v>Los Angeles</v>
      </c>
      <c r="D912" s="19" t="str">
        <f>INDEX(Places[Majority RB],MATCH(Activities[[#This Row],[Jurisdiction]],Places[Jurisdiction],0))</f>
        <v>Los Angeles</v>
      </c>
      <c r="E912" s="9">
        <f>INDEX(Places[Majority RB '#],MATCH(Activities[[#This Row],[Jurisdiction]],Places[Jurisdiction],0))</f>
        <v>4</v>
      </c>
      <c r="F912" s="28" t="str">
        <f>VLOOKUP(Activities[[#This Row],[Jurisdiction]],Places[#All],8,FALSE)</f>
        <v>Phase I MS4</v>
      </c>
      <c r="G912" s="48" t="s">
        <v>62</v>
      </c>
      <c r="H912" s="8"/>
      <c r="I912" s="8"/>
      <c r="J912" s="8" t="s">
        <v>131</v>
      </c>
      <c r="K912" s="27" t="s">
        <v>1873</v>
      </c>
      <c r="L912" s="28">
        <f>_xlfn.NUMBERVALUE(LEFT(Activities[[#This Row],[Fiscal Year]], 4))</f>
        <v>2015</v>
      </c>
      <c r="M912" s="28" t="s">
        <v>1862</v>
      </c>
      <c r="N912" s="41">
        <v>123748.76</v>
      </c>
      <c r="O912" s="93">
        <f>IF(Activities[[#This Row],[Reference Year]]&gt;2018,Activities[[#This Row],[Value]],Activities[[#This Row],[Value]]*(1+VLOOKUP(Activities[[#This Row],[Reference Year]],Inflation[#All],3,FALSE)))</f>
        <v>131388.28787999999</v>
      </c>
    </row>
    <row r="913" spans="1:15" ht="15" customHeight="1" x14ac:dyDescent="0.25">
      <c r="A913" s="9" t="s">
        <v>158</v>
      </c>
      <c r="B913" s="9" t="str">
        <f>INDEX(Places[Type],MATCH(Activities[[#This Row],[Jurisdiction]],Places[Jurisdiction],0))</f>
        <v>City</v>
      </c>
      <c r="C913" s="19" t="str">
        <f>INDEX(Places[County],MATCH(Activities[[#This Row],[Jurisdiction]],Places[Jurisdiction],0))</f>
        <v>Los Angeles</v>
      </c>
      <c r="D913" s="19" t="str">
        <f>INDEX(Places[Majority RB],MATCH(Activities[[#This Row],[Jurisdiction]],Places[Jurisdiction],0))</f>
        <v>Los Angeles</v>
      </c>
      <c r="E913" s="9">
        <f>INDEX(Places[Majority RB '#],MATCH(Activities[[#This Row],[Jurisdiction]],Places[Jurisdiction],0))</f>
        <v>4</v>
      </c>
      <c r="F913" s="28" t="str">
        <f>VLOOKUP(Activities[[#This Row],[Jurisdiction]],Places[#All],8,FALSE)</f>
        <v>Phase I MS4</v>
      </c>
      <c r="G913" s="48" t="s">
        <v>208</v>
      </c>
      <c r="H913" s="8"/>
      <c r="I913" s="8"/>
      <c r="J913" s="8" t="s">
        <v>334</v>
      </c>
      <c r="K913" s="27" t="s">
        <v>1873</v>
      </c>
      <c r="L913" s="28">
        <f>_xlfn.NUMBERVALUE(LEFT(Activities[[#This Row],[Fiscal Year]], 4))</f>
        <v>2015</v>
      </c>
      <c r="M913" s="28" t="s">
        <v>1862</v>
      </c>
      <c r="N913" s="41">
        <v>25000</v>
      </c>
      <c r="O913" s="93">
        <f>IF(Activities[[#This Row],[Reference Year]]&gt;2018,Activities[[#This Row],[Value]],Activities[[#This Row],[Value]]*(1+VLOOKUP(Activities[[#This Row],[Reference Year]],Inflation[#All],3,FALSE)))</f>
        <v>26543.354430379746</v>
      </c>
    </row>
    <row r="914" spans="1:15" ht="15" customHeight="1" x14ac:dyDescent="0.25">
      <c r="A914" s="9" t="s">
        <v>158</v>
      </c>
      <c r="B914" s="9" t="str">
        <f>INDEX(Places[Type],MATCH(Activities[[#This Row],[Jurisdiction]],Places[Jurisdiction],0))</f>
        <v>City</v>
      </c>
      <c r="C914" s="19" t="str">
        <f>INDEX(Places[County],MATCH(Activities[[#This Row],[Jurisdiction]],Places[Jurisdiction],0))</f>
        <v>Los Angeles</v>
      </c>
      <c r="D914" s="19" t="str">
        <f>INDEX(Places[Majority RB],MATCH(Activities[[#This Row],[Jurisdiction]],Places[Jurisdiction],0))</f>
        <v>Los Angeles</v>
      </c>
      <c r="E914" s="9">
        <f>INDEX(Places[Majority RB '#],MATCH(Activities[[#This Row],[Jurisdiction]],Places[Jurisdiction],0))</f>
        <v>4</v>
      </c>
      <c r="F914" s="28" t="str">
        <f>VLOOKUP(Activities[[#This Row],[Jurisdiction]],Places[#All],8,FALSE)</f>
        <v>Phase I MS4</v>
      </c>
      <c r="G914" s="48" t="s">
        <v>61</v>
      </c>
      <c r="H914" s="8"/>
      <c r="I914" s="8"/>
      <c r="J914" s="8" t="s">
        <v>1897</v>
      </c>
      <c r="K914" s="27" t="s">
        <v>1873</v>
      </c>
      <c r="L914" s="28">
        <f>_xlfn.NUMBERVALUE(LEFT(Activities[[#This Row],[Fiscal Year]], 4))</f>
        <v>2015</v>
      </c>
      <c r="M914" s="28" t="s">
        <v>1862</v>
      </c>
      <c r="N914" s="41">
        <v>555204.62</v>
      </c>
      <c r="O914" s="93">
        <f>IF(Activities[[#This Row],[Reference Year]]&gt;2018,Activities[[#This Row],[Value]],Activities[[#This Row],[Value]]*(1+VLOOKUP(Activities[[#This Row],[Reference Year]],Inflation[#All],3,FALSE)))</f>
        <v>589479.72040177207</v>
      </c>
    </row>
    <row r="915" spans="1:15" ht="15" customHeight="1" x14ac:dyDescent="0.25">
      <c r="A915" s="9" t="s">
        <v>158</v>
      </c>
      <c r="B915" s="9" t="str">
        <f>INDEX(Places[Type],MATCH(Activities[[#This Row],[Jurisdiction]],Places[Jurisdiction],0))</f>
        <v>City</v>
      </c>
      <c r="C915" s="19" t="str">
        <f>INDEX(Places[County],MATCH(Activities[[#This Row],[Jurisdiction]],Places[Jurisdiction],0))</f>
        <v>Los Angeles</v>
      </c>
      <c r="D915" s="19" t="str">
        <f>INDEX(Places[Majority RB],MATCH(Activities[[#This Row],[Jurisdiction]],Places[Jurisdiction],0))</f>
        <v>Los Angeles</v>
      </c>
      <c r="E915" s="9">
        <f>INDEX(Places[Majority RB '#],MATCH(Activities[[#This Row],[Jurisdiction]],Places[Jurisdiction],0))</f>
        <v>4</v>
      </c>
      <c r="F915" s="28" t="str">
        <f>VLOOKUP(Activities[[#This Row],[Jurisdiction]],Places[#All],8,FALSE)</f>
        <v>Phase I MS4</v>
      </c>
      <c r="G915" s="48" t="s">
        <v>60</v>
      </c>
      <c r="H915" s="8"/>
      <c r="I915" s="8"/>
      <c r="J915" s="8" t="s">
        <v>1898</v>
      </c>
      <c r="K915" s="27" t="s">
        <v>1873</v>
      </c>
      <c r="L915" s="28">
        <f>_xlfn.NUMBERVALUE(LEFT(Activities[[#This Row],[Fiscal Year]], 4))</f>
        <v>2015</v>
      </c>
      <c r="M915" s="28" t="s">
        <v>1862</v>
      </c>
      <c r="N915" s="41">
        <v>75000</v>
      </c>
      <c r="O915" s="93">
        <f>IF(Activities[[#This Row],[Reference Year]]&gt;2018,Activities[[#This Row],[Value]],Activities[[#This Row],[Value]]*(1+VLOOKUP(Activities[[#This Row],[Reference Year]],Inflation[#All],3,FALSE)))</f>
        <v>79630.063291139231</v>
      </c>
    </row>
    <row r="916" spans="1:15" ht="15" customHeight="1" x14ac:dyDescent="0.25">
      <c r="A916" s="9" t="s">
        <v>158</v>
      </c>
      <c r="B916" s="9" t="str">
        <f>INDEX(Places[Type],MATCH(Activities[[#This Row],[Jurisdiction]],Places[Jurisdiction],0))</f>
        <v>City</v>
      </c>
      <c r="C916" s="19" t="str">
        <f>INDEX(Places[County],MATCH(Activities[[#This Row],[Jurisdiction]],Places[Jurisdiction],0))</f>
        <v>Los Angeles</v>
      </c>
      <c r="D916" s="19" t="str">
        <f>INDEX(Places[Majority RB],MATCH(Activities[[#This Row],[Jurisdiction]],Places[Jurisdiction],0))</f>
        <v>Los Angeles</v>
      </c>
      <c r="E916" s="9">
        <f>INDEX(Places[Majority RB '#],MATCH(Activities[[#This Row],[Jurisdiction]],Places[Jurisdiction],0))</f>
        <v>4</v>
      </c>
      <c r="F916" s="28" t="str">
        <f>VLOOKUP(Activities[[#This Row],[Jurisdiction]],Places[#All],8,FALSE)</f>
        <v>Phase I MS4</v>
      </c>
      <c r="G916" s="48" t="s">
        <v>59</v>
      </c>
      <c r="H916" s="8"/>
      <c r="I916" s="8"/>
      <c r="J916" s="8" t="s">
        <v>1898</v>
      </c>
      <c r="K916" s="27" t="s">
        <v>1873</v>
      </c>
      <c r="L916" s="28">
        <f>_xlfn.NUMBERVALUE(LEFT(Activities[[#This Row],[Fiscal Year]], 4))</f>
        <v>2015</v>
      </c>
      <c r="M916" s="28" t="s">
        <v>1862</v>
      </c>
      <c r="N916" s="41">
        <v>125000</v>
      </c>
      <c r="O916" s="93">
        <f>IF(Activities[[#This Row],[Reference Year]]&gt;2018,Activities[[#This Row],[Value]],Activities[[#This Row],[Value]]*(1+VLOOKUP(Activities[[#This Row],[Reference Year]],Inflation[#All],3,FALSE)))</f>
        <v>132716.77215189874</v>
      </c>
    </row>
    <row r="917" spans="1:15" ht="15" customHeight="1" x14ac:dyDescent="0.25">
      <c r="A917" s="9" t="s">
        <v>158</v>
      </c>
      <c r="B917" s="9" t="str">
        <f>INDEX(Places[Type],MATCH(Activities[[#This Row],[Jurisdiction]],Places[Jurisdiction],0))</f>
        <v>City</v>
      </c>
      <c r="C917" s="19" t="str">
        <f>INDEX(Places[County],MATCH(Activities[[#This Row],[Jurisdiction]],Places[Jurisdiction],0))</f>
        <v>Los Angeles</v>
      </c>
      <c r="D917" s="19" t="str">
        <f>INDEX(Places[Majority RB],MATCH(Activities[[#This Row],[Jurisdiction]],Places[Jurisdiction],0))</f>
        <v>Los Angeles</v>
      </c>
      <c r="E917" s="9">
        <f>INDEX(Places[Majority RB '#],MATCH(Activities[[#This Row],[Jurisdiction]],Places[Jurisdiction],0))</f>
        <v>4</v>
      </c>
      <c r="F917" s="28" t="str">
        <f>VLOOKUP(Activities[[#This Row],[Jurisdiction]],Places[#All],8,FALSE)</f>
        <v>Phase I MS4</v>
      </c>
      <c r="G917" s="48" t="s">
        <v>58</v>
      </c>
      <c r="H917" s="8"/>
      <c r="I917" s="8"/>
      <c r="J917" s="8" t="s">
        <v>1456</v>
      </c>
      <c r="K917" s="27" t="s">
        <v>1873</v>
      </c>
      <c r="L917" s="28">
        <f>_xlfn.NUMBERVALUE(LEFT(Activities[[#This Row],[Fiscal Year]], 4))</f>
        <v>2015</v>
      </c>
      <c r="M917" s="28" t="s">
        <v>1862</v>
      </c>
      <c r="N917" s="41">
        <v>126137</v>
      </c>
      <c r="O917" s="93">
        <f>IF(Activities[[#This Row],[Reference Year]]&gt;2018,Activities[[#This Row],[Value]],Activities[[#This Row],[Value]]*(1+VLOOKUP(Activities[[#This Row],[Reference Year]],Inflation[#All],3,FALSE)))</f>
        <v>133923.96391139241</v>
      </c>
    </row>
    <row r="918" spans="1:15" ht="15" customHeight="1" x14ac:dyDescent="0.25">
      <c r="A918" s="9" t="s">
        <v>158</v>
      </c>
      <c r="B918" s="9" t="str">
        <f>INDEX(Places[Type],MATCH(Activities[[#This Row],[Jurisdiction]],Places[Jurisdiction],0))</f>
        <v>City</v>
      </c>
      <c r="C918" s="19" t="str">
        <f>INDEX(Places[County],MATCH(Activities[[#This Row],[Jurisdiction]],Places[Jurisdiction],0))</f>
        <v>Los Angeles</v>
      </c>
      <c r="D918" s="19" t="str">
        <f>INDEX(Places[Majority RB],MATCH(Activities[[#This Row],[Jurisdiction]],Places[Jurisdiction],0))</f>
        <v>Los Angeles</v>
      </c>
      <c r="E918" s="9">
        <f>INDEX(Places[Majority RB '#],MATCH(Activities[[#This Row],[Jurisdiction]],Places[Jurisdiction],0))</f>
        <v>4</v>
      </c>
      <c r="F918" s="28" t="str">
        <f>VLOOKUP(Activities[[#This Row],[Jurisdiction]],Places[#All],8,FALSE)</f>
        <v>Phase I MS4</v>
      </c>
      <c r="G918" s="48" t="s">
        <v>67</v>
      </c>
      <c r="H918" s="8"/>
      <c r="I918" s="8"/>
      <c r="J918" s="8" t="s">
        <v>1896</v>
      </c>
      <c r="K918" s="27" t="s">
        <v>1873</v>
      </c>
      <c r="L918" s="28">
        <f>_xlfn.NUMBERVALUE(LEFT(Activities[[#This Row],[Fiscal Year]], 4))</f>
        <v>2015</v>
      </c>
      <c r="M918" s="28" t="s">
        <v>1862</v>
      </c>
      <c r="N918" s="41">
        <v>990046</v>
      </c>
      <c r="O918" s="93">
        <f>IF(Activities[[#This Row],[Reference Year]]&gt;2018,Activities[[#This Row],[Value]],Activities[[#This Row],[Value]]*(1+VLOOKUP(Activities[[#This Row],[Reference Year]],Inflation[#All],3,FALSE)))</f>
        <v>1051165.6752151898</v>
      </c>
    </row>
    <row r="919" spans="1:15" ht="15" customHeight="1" x14ac:dyDescent="0.25">
      <c r="A919" s="9" t="s">
        <v>158</v>
      </c>
      <c r="B919" s="9" t="str">
        <f>INDEX(Places[Type],MATCH(Activities[[#This Row],[Jurisdiction]],Places[Jurisdiction],0))</f>
        <v>City</v>
      </c>
      <c r="C919" s="19" t="str">
        <f>INDEX(Places[County],MATCH(Activities[[#This Row],[Jurisdiction]],Places[Jurisdiction],0))</f>
        <v>Los Angeles</v>
      </c>
      <c r="D919" s="19" t="str">
        <f>INDEX(Places[Majority RB],MATCH(Activities[[#This Row],[Jurisdiction]],Places[Jurisdiction],0))</f>
        <v>Los Angeles</v>
      </c>
      <c r="E919" s="9">
        <f>INDEX(Places[Majority RB '#],MATCH(Activities[[#This Row],[Jurisdiction]],Places[Jurisdiction],0))</f>
        <v>4</v>
      </c>
      <c r="F919" s="28" t="str">
        <f>VLOOKUP(Activities[[#This Row],[Jurisdiction]],Places[#All],8,FALSE)</f>
        <v>Phase I MS4</v>
      </c>
      <c r="G919" s="48" t="s">
        <v>33</v>
      </c>
      <c r="H919" s="8"/>
      <c r="I919" s="8"/>
      <c r="J919" s="8" t="s">
        <v>47</v>
      </c>
      <c r="K919" s="27" t="s">
        <v>1873</v>
      </c>
      <c r="L919" s="28">
        <f>_xlfn.NUMBERVALUE(LEFT(Activities[[#This Row],[Fiscal Year]], 4))</f>
        <v>2015</v>
      </c>
      <c r="M919" s="28" t="s">
        <v>1862</v>
      </c>
      <c r="N919" s="41">
        <v>108000</v>
      </c>
      <c r="O919" s="93">
        <f>IF(Activities[[#This Row],[Reference Year]]&gt;2018,Activities[[#This Row],[Value]],Activities[[#This Row],[Value]]*(1+VLOOKUP(Activities[[#This Row],[Reference Year]],Inflation[#All],3,FALSE)))</f>
        <v>114667.29113924049</v>
      </c>
    </row>
    <row r="920" spans="1:15" ht="15" customHeight="1" x14ac:dyDescent="0.25">
      <c r="A920" s="9" t="s">
        <v>12</v>
      </c>
      <c r="B920" s="9" t="str">
        <f>INDEX(Places[Type],MATCH(Activities[[#This Row],[Jurisdiction]],Places[Jurisdiction],0))</f>
        <v>City</v>
      </c>
      <c r="C920" s="19" t="str">
        <f>INDEX(Places[County],MATCH(Activities[[#This Row],[Jurisdiction]],Places[Jurisdiction],0))</f>
        <v>Los Angeles</v>
      </c>
      <c r="D920" s="19" t="str">
        <f>INDEX(Places[Majority RB],MATCH(Activities[[#This Row],[Jurisdiction]],Places[Jurisdiction],0))</f>
        <v>Los Angeles</v>
      </c>
      <c r="E920" s="9">
        <f>INDEX(Places[Majority RB '#],MATCH(Activities[[#This Row],[Jurisdiction]],Places[Jurisdiction],0))</f>
        <v>4</v>
      </c>
      <c r="F920" s="28" t="str">
        <f>VLOOKUP(Activities[[#This Row],[Jurisdiction]],Places[#All],8,FALSE)</f>
        <v>Phase I MS4</v>
      </c>
      <c r="G920" s="48" t="s">
        <v>64</v>
      </c>
      <c r="H920" s="8"/>
      <c r="I920" s="8"/>
      <c r="J920" s="8" t="s">
        <v>76</v>
      </c>
      <c r="K920" s="27" t="s">
        <v>1873</v>
      </c>
      <c r="L920" s="28">
        <f>_xlfn.NUMBERVALUE(LEFT(Activities[[#This Row],[Fiscal Year]], 4))</f>
        <v>2015</v>
      </c>
      <c r="M920" s="28" t="s">
        <v>1862</v>
      </c>
      <c r="N920" s="41">
        <v>690360.03</v>
      </c>
      <c r="O920" s="93">
        <f>IF(Activities[[#This Row],[Reference Year]]&gt;2018,Activities[[#This Row],[Value]],Activities[[#This Row],[Value]]*(1+VLOOKUP(Activities[[#This Row],[Reference Year]],Inflation[#All],3,FALSE)))</f>
        <v>732978.83843430376</v>
      </c>
    </row>
    <row r="921" spans="1:15" ht="15" customHeight="1" x14ac:dyDescent="0.25">
      <c r="A921" s="9" t="s">
        <v>12</v>
      </c>
      <c r="B921" s="9" t="str">
        <f>INDEX(Places[Type],MATCH(Activities[[#This Row],[Jurisdiction]],Places[Jurisdiction],0))</f>
        <v>City</v>
      </c>
      <c r="C921" s="19" t="str">
        <f>INDEX(Places[County],MATCH(Activities[[#This Row],[Jurisdiction]],Places[Jurisdiction],0))</f>
        <v>Los Angeles</v>
      </c>
      <c r="D921" s="19" t="str">
        <f>INDEX(Places[Majority RB],MATCH(Activities[[#This Row],[Jurisdiction]],Places[Jurisdiction],0))</f>
        <v>Los Angeles</v>
      </c>
      <c r="E921" s="9">
        <f>INDEX(Places[Majority RB '#],MATCH(Activities[[#This Row],[Jurisdiction]],Places[Jurisdiction],0))</f>
        <v>4</v>
      </c>
      <c r="F921" s="28" t="str">
        <f>VLOOKUP(Activities[[#This Row],[Jurisdiction]],Places[#All],8,FALSE)</f>
        <v>Phase I MS4</v>
      </c>
      <c r="G921" s="48" t="s">
        <v>65</v>
      </c>
      <c r="H921" s="8"/>
      <c r="I921" s="8"/>
      <c r="J921" s="8" t="s">
        <v>76</v>
      </c>
      <c r="K921" s="27" t="s">
        <v>1873</v>
      </c>
      <c r="L921" s="28">
        <f>_xlfn.NUMBERVALUE(LEFT(Activities[[#This Row],[Fiscal Year]], 4))</f>
        <v>2015</v>
      </c>
      <c r="M921" s="28" t="s">
        <v>1862</v>
      </c>
      <c r="N921" s="41">
        <v>41556783.710000001</v>
      </c>
      <c r="O921" s="93">
        <f>IF(Activities[[#This Row],[Reference Year]]&gt;2018,Activities[[#This Row],[Value]],Activities[[#This Row],[Value]]*(1+VLOOKUP(Activities[[#This Row],[Reference Year]],Inflation[#All],3,FALSE)))</f>
        <v>44122257.560046457</v>
      </c>
    </row>
    <row r="922" spans="1:15" ht="15" customHeight="1" x14ac:dyDescent="0.25">
      <c r="A922" s="9" t="s">
        <v>12</v>
      </c>
      <c r="B922" s="9" t="str">
        <f>INDEX(Places[Type],MATCH(Activities[[#This Row],[Jurisdiction]],Places[Jurisdiction],0))</f>
        <v>City</v>
      </c>
      <c r="C922" s="19" t="str">
        <f>INDEX(Places[County],MATCH(Activities[[#This Row],[Jurisdiction]],Places[Jurisdiction],0))</f>
        <v>Los Angeles</v>
      </c>
      <c r="D922" s="19" t="str">
        <f>INDEX(Places[Majority RB],MATCH(Activities[[#This Row],[Jurisdiction]],Places[Jurisdiction],0))</f>
        <v>Los Angeles</v>
      </c>
      <c r="E922" s="9">
        <f>INDEX(Places[Majority RB '#],MATCH(Activities[[#This Row],[Jurisdiction]],Places[Jurisdiction],0))</f>
        <v>4</v>
      </c>
      <c r="F922" s="28" t="str">
        <f>VLOOKUP(Activities[[#This Row],[Jurisdiction]],Places[#All],8,FALSE)</f>
        <v>Phase I MS4</v>
      </c>
      <c r="G922" s="48" t="s">
        <v>62</v>
      </c>
      <c r="H922" s="8"/>
      <c r="I922" s="8"/>
      <c r="J922" s="8" t="s">
        <v>131</v>
      </c>
      <c r="K922" s="27" t="s">
        <v>1873</v>
      </c>
      <c r="L922" s="28">
        <f>_xlfn.NUMBERVALUE(LEFT(Activities[[#This Row],[Fiscal Year]], 4))</f>
        <v>2015</v>
      </c>
      <c r="M922" s="28" t="s">
        <v>1862</v>
      </c>
      <c r="N922" s="41">
        <v>1282218.1499999999</v>
      </c>
      <c r="O922" s="93">
        <f>IF(Activities[[#This Row],[Reference Year]]&gt;2018,Activities[[#This Row],[Value]],Activities[[#This Row],[Value]]*(1+VLOOKUP(Activities[[#This Row],[Reference Year]],Inflation[#All],3,FALSE)))</f>
        <v>1361374.8325006326</v>
      </c>
    </row>
    <row r="923" spans="1:15" ht="15" customHeight="1" x14ac:dyDescent="0.25">
      <c r="A923" s="9" t="s">
        <v>12</v>
      </c>
      <c r="B923" s="9" t="str">
        <f>INDEX(Places[Type],MATCH(Activities[[#This Row],[Jurisdiction]],Places[Jurisdiction],0))</f>
        <v>City</v>
      </c>
      <c r="C923" s="19" t="str">
        <f>INDEX(Places[County],MATCH(Activities[[#This Row],[Jurisdiction]],Places[Jurisdiction],0))</f>
        <v>Los Angeles</v>
      </c>
      <c r="D923" s="19" t="str">
        <f>INDEX(Places[Majority RB],MATCH(Activities[[#This Row],[Jurisdiction]],Places[Jurisdiction],0))</f>
        <v>Los Angeles</v>
      </c>
      <c r="E923" s="9">
        <f>INDEX(Places[Majority RB '#],MATCH(Activities[[#This Row],[Jurisdiction]],Places[Jurisdiction],0))</f>
        <v>4</v>
      </c>
      <c r="F923" s="28" t="str">
        <f>VLOOKUP(Activities[[#This Row],[Jurisdiction]],Places[#All],8,FALSE)</f>
        <v>Phase I MS4</v>
      </c>
      <c r="G923" s="48" t="s">
        <v>208</v>
      </c>
      <c r="H923" s="8"/>
      <c r="I923" s="8"/>
      <c r="J923" s="8" t="s">
        <v>334</v>
      </c>
      <c r="K923" s="27" t="s">
        <v>1873</v>
      </c>
      <c r="L923" s="28">
        <f>_xlfn.NUMBERVALUE(LEFT(Activities[[#This Row],[Fiscal Year]], 4))</f>
        <v>2015</v>
      </c>
      <c r="M923" s="28" t="s">
        <v>1862</v>
      </c>
      <c r="N923" s="41">
        <v>3333767.19</v>
      </c>
      <c r="O923" s="93">
        <f>IF(Activities[[#This Row],[Reference Year]]&gt;2018,Activities[[#This Row],[Value]],Activities[[#This Row],[Value]]*(1+VLOOKUP(Activities[[#This Row],[Reference Year]],Inflation[#All],3,FALSE)))</f>
        <v>3539574.5645016455</v>
      </c>
    </row>
    <row r="924" spans="1:15" ht="15" customHeight="1" x14ac:dyDescent="0.25">
      <c r="A924" s="9" t="s">
        <v>12</v>
      </c>
      <c r="B924" s="9" t="str">
        <f>INDEX(Places[Type],MATCH(Activities[[#This Row],[Jurisdiction]],Places[Jurisdiction],0))</f>
        <v>City</v>
      </c>
      <c r="C924" s="19" t="str">
        <f>INDEX(Places[County],MATCH(Activities[[#This Row],[Jurisdiction]],Places[Jurisdiction],0))</f>
        <v>Los Angeles</v>
      </c>
      <c r="D924" s="19" t="str">
        <f>INDEX(Places[Majority RB],MATCH(Activities[[#This Row],[Jurisdiction]],Places[Jurisdiction],0))</f>
        <v>Los Angeles</v>
      </c>
      <c r="E924" s="9">
        <f>INDEX(Places[Majority RB '#],MATCH(Activities[[#This Row],[Jurisdiction]],Places[Jurisdiction],0))</f>
        <v>4</v>
      </c>
      <c r="F924" s="28" t="str">
        <f>VLOOKUP(Activities[[#This Row],[Jurisdiction]],Places[#All],8,FALSE)</f>
        <v>Phase I MS4</v>
      </c>
      <c r="G924" s="48" t="s">
        <v>61</v>
      </c>
      <c r="H924" s="8"/>
      <c r="I924" s="8"/>
      <c r="J924" s="8" t="s">
        <v>1897</v>
      </c>
      <c r="K924" s="27" t="s">
        <v>1873</v>
      </c>
      <c r="L924" s="28">
        <f>_xlfn.NUMBERVALUE(LEFT(Activities[[#This Row],[Fiscal Year]], 4))</f>
        <v>2015</v>
      </c>
      <c r="M924" s="28" t="s">
        <v>1862</v>
      </c>
      <c r="N924" s="41">
        <v>10015091.380000001</v>
      </c>
      <c r="O924" s="93">
        <f>IF(Activities[[#This Row],[Reference Year]]&gt;2018,Activities[[#This Row],[Value]],Activities[[#This Row],[Value]]*(1+VLOOKUP(Activities[[#This Row],[Reference Year]],Inflation[#All],3,FALSE)))</f>
        <v>10633364.806079241</v>
      </c>
    </row>
    <row r="925" spans="1:15" ht="15" customHeight="1" x14ac:dyDescent="0.25">
      <c r="A925" s="9" t="s">
        <v>12</v>
      </c>
      <c r="B925" s="9" t="str">
        <f>INDEX(Places[Type],MATCH(Activities[[#This Row],[Jurisdiction]],Places[Jurisdiction],0))</f>
        <v>City</v>
      </c>
      <c r="C925" s="19" t="str">
        <f>INDEX(Places[County],MATCH(Activities[[#This Row],[Jurisdiction]],Places[Jurisdiction],0))</f>
        <v>Los Angeles</v>
      </c>
      <c r="D925" s="19" t="str">
        <f>INDEX(Places[Majority RB],MATCH(Activities[[#This Row],[Jurisdiction]],Places[Jurisdiction],0))</f>
        <v>Los Angeles</v>
      </c>
      <c r="E925" s="9">
        <f>INDEX(Places[Majority RB '#],MATCH(Activities[[#This Row],[Jurisdiction]],Places[Jurisdiction],0))</f>
        <v>4</v>
      </c>
      <c r="F925" s="28" t="str">
        <f>VLOOKUP(Activities[[#This Row],[Jurisdiction]],Places[#All],8,FALSE)</f>
        <v>Phase I MS4</v>
      </c>
      <c r="G925" s="48" t="s">
        <v>60</v>
      </c>
      <c r="H925" s="8"/>
      <c r="I925" s="8"/>
      <c r="J925" s="8" t="s">
        <v>1898</v>
      </c>
      <c r="K925" s="27" t="s">
        <v>1873</v>
      </c>
      <c r="L925" s="28">
        <f>_xlfn.NUMBERVALUE(LEFT(Activities[[#This Row],[Fiscal Year]], 4))</f>
        <v>2015</v>
      </c>
      <c r="M925" s="28" t="s">
        <v>1862</v>
      </c>
      <c r="N925" s="41">
        <v>597887.38</v>
      </c>
      <c r="O925" s="93">
        <f>IF(Activities[[#This Row],[Reference Year]]&gt;2018,Activities[[#This Row],[Value]],Activities[[#This Row],[Value]]*(1+VLOOKUP(Activities[[#This Row],[Reference Year]],Inflation[#All],3,FALSE)))</f>
        <v>634797.46547164558</v>
      </c>
    </row>
    <row r="926" spans="1:15" ht="15" customHeight="1" x14ac:dyDescent="0.25">
      <c r="A926" s="9" t="s">
        <v>12</v>
      </c>
      <c r="B926" s="9" t="str">
        <f>INDEX(Places[Type],MATCH(Activities[[#This Row],[Jurisdiction]],Places[Jurisdiction],0))</f>
        <v>City</v>
      </c>
      <c r="C926" s="19" t="str">
        <f>INDEX(Places[County],MATCH(Activities[[#This Row],[Jurisdiction]],Places[Jurisdiction],0))</f>
        <v>Los Angeles</v>
      </c>
      <c r="D926" s="19" t="str">
        <f>INDEX(Places[Majority RB],MATCH(Activities[[#This Row],[Jurisdiction]],Places[Jurisdiction],0))</f>
        <v>Los Angeles</v>
      </c>
      <c r="E926" s="9">
        <f>INDEX(Places[Majority RB '#],MATCH(Activities[[#This Row],[Jurisdiction]],Places[Jurisdiction],0))</f>
        <v>4</v>
      </c>
      <c r="F926" s="28" t="str">
        <f>VLOOKUP(Activities[[#This Row],[Jurisdiction]],Places[#All],8,FALSE)</f>
        <v>Phase I MS4</v>
      </c>
      <c r="G926" s="48" t="s">
        <v>59</v>
      </c>
      <c r="H926" s="8"/>
      <c r="I926" s="8"/>
      <c r="J926" s="8" t="s">
        <v>1898</v>
      </c>
      <c r="K926" s="27" t="s">
        <v>1873</v>
      </c>
      <c r="L926" s="28">
        <f>_xlfn.NUMBERVALUE(LEFT(Activities[[#This Row],[Fiscal Year]], 4))</f>
        <v>2015</v>
      </c>
      <c r="M926" s="28" t="s">
        <v>1862</v>
      </c>
      <c r="N926" s="41">
        <v>1705731.55</v>
      </c>
      <c r="O926" s="93">
        <f>IF(Activities[[#This Row],[Reference Year]]&gt;2018,Activities[[#This Row],[Value]],Activities[[#This Row],[Value]]*(1+VLOOKUP(Activities[[#This Row],[Reference Year]],Inflation[#All],3,FALSE)))</f>
        <v>1811033.4837892405</v>
      </c>
    </row>
    <row r="927" spans="1:15" ht="15" customHeight="1" x14ac:dyDescent="0.25">
      <c r="A927" s="9" t="s">
        <v>12</v>
      </c>
      <c r="B927" s="9" t="str">
        <f>INDEX(Places[Type],MATCH(Activities[[#This Row],[Jurisdiction]],Places[Jurisdiction],0))</f>
        <v>City</v>
      </c>
      <c r="C927" s="19" t="str">
        <f>INDEX(Places[County],MATCH(Activities[[#This Row],[Jurisdiction]],Places[Jurisdiction],0))</f>
        <v>Los Angeles</v>
      </c>
      <c r="D927" s="19" t="str">
        <f>INDEX(Places[Majority RB],MATCH(Activities[[#This Row],[Jurisdiction]],Places[Jurisdiction],0))</f>
        <v>Los Angeles</v>
      </c>
      <c r="E927" s="9">
        <f>INDEX(Places[Majority RB '#],MATCH(Activities[[#This Row],[Jurisdiction]],Places[Jurisdiction],0))</f>
        <v>4</v>
      </c>
      <c r="F927" s="28" t="str">
        <f>VLOOKUP(Activities[[#This Row],[Jurisdiction]],Places[#All],8,FALSE)</f>
        <v>Phase I MS4</v>
      </c>
      <c r="G927" s="48" t="s">
        <v>58</v>
      </c>
      <c r="H927" s="8"/>
      <c r="I927" s="8"/>
      <c r="J927" s="8" t="s">
        <v>1456</v>
      </c>
      <c r="K927" s="27" t="s">
        <v>1873</v>
      </c>
      <c r="L927" s="28">
        <f>_xlfn.NUMBERVALUE(LEFT(Activities[[#This Row],[Fiscal Year]], 4))</f>
        <v>2015</v>
      </c>
      <c r="M927" s="28" t="s">
        <v>1862</v>
      </c>
      <c r="N927" s="41">
        <v>1339273.0900000001</v>
      </c>
      <c r="O927" s="93">
        <f>IF(Activities[[#This Row],[Reference Year]]&gt;2018,Activities[[#This Row],[Value]],Activities[[#This Row],[Value]]*(1+VLOOKUP(Activities[[#This Row],[Reference Year]],Inflation[#All],3,FALSE)))</f>
        <v>1421952.012277595</v>
      </c>
    </row>
    <row r="928" spans="1:15" ht="15" customHeight="1" x14ac:dyDescent="0.25">
      <c r="A928" s="9" t="s">
        <v>12</v>
      </c>
      <c r="B928" s="9" t="str">
        <f>INDEX(Places[Type],MATCH(Activities[[#This Row],[Jurisdiction]],Places[Jurisdiction],0))</f>
        <v>City</v>
      </c>
      <c r="C928" s="19" t="str">
        <f>INDEX(Places[County],MATCH(Activities[[#This Row],[Jurisdiction]],Places[Jurisdiction],0))</f>
        <v>Los Angeles</v>
      </c>
      <c r="D928" s="19" t="str">
        <f>INDEX(Places[Majority RB],MATCH(Activities[[#This Row],[Jurisdiction]],Places[Jurisdiction],0))</f>
        <v>Los Angeles</v>
      </c>
      <c r="E928" s="9">
        <f>INDEX(Places[Majority RB '#],MATCH(Activities[[#This Row],[Jurisdiction]],Places[Jurisdiction],0))</f>
        <v>4</v>
      </c>
      <c r="F928" s="28" t="str">
        <f>VLOOKUP(Activities[[#This Row],[Jurisdiction]],Places[#All],8,FALSE)</f>
        <v>Phase I MS4</v>
      </c>
      <c r="G928" s="48" t="s">
        <v>32</v>
      </c>
      <c r="H928" s="8"/>
      <c r="I928" s="8"/>
      <c r="J928" s="8" t="s">
        <v>1894</v>
      </c>
      <c r="K928" s="27" t="s">
        <v>1873</v>
      </c>
      <c r="L928" s="28">
        <f>_xlfn.NUMBERVALUE(LEFT(Activities[[#This Row],[Fiscal Year]], 4))</f>
        <v>2015</v>
      </c>
      <c r="M928" s="28" t="s">
        <v>1862</v>
      </c>
      <c r="N928" s="41">
        <v>11052911.720000001</v>
      </c>
      <c r="O928" s="93">
        <f>IF(Activities[[#This Row],[Reference Year]]&gt;2018,Activities[[#This Row],[Value]],Activities[[#This Row],[Value]]*(1+VLOOKUP(Activities[[#This Row],[Reference Year]],Inflation[#All],3,FALSE)))</f>
        <v>11735254.130866328</v>
      </c>
    </row>
    <row r="929" spans="1:15" ht="15" customHeight="1" x14ac:dyDescent="0.25">
      <c r="A929" s="9" t="s">
        <v>12</v>
      </c>
      <c r="B929" s="9" t="str">
        <f>INDEX(Places[Type],MATCH(Activities[[#This Row],[Jurisdiction]],Places[Jurisdiction],0))</f>
        <v>City</v>
      </c>
      <c r="C929" s="19" t="str">
        <f>INDEX(Places[County],MATCH(Activities[[#This Row],[Jurisdiction]],Places[Jurisdiction],0))</f>
        <v>Los Angeles</v>
      </c>
      <c r="D929" s="19" t="str">
        <f>INDEX(Places[Majority RB],MATCH(Activities[[#This Row],[Jurisdiction]],Places[Jurisdiction],0))</f>
        <v>Los Angeles</v>
      </c>
      <c r="E929" s="9">
        <f>INDEX(Places[Majority RB '#],MATCH(Activities[[#This Row],[Jurisdiction]],Places[Jurisdiction],0))</f>
        <v>4</v>
      </c>
      <c r="F929" s="28" t="str">
        <f>VLOOKUP(Activities[[#This Row],[Jurisdiction]],Places[#All],8,FALSE)</f>
        <v>Phase I MS4</v>
      </c>
      <c r="G929" s="48" t="s">
        <v>67</v>
      </c>
      <c r="H929" s="8"/>
      <c r="I929" s="8" t="s">
        <v>856</v>
      </c>
      <c r="J929" s="8" t="s">
        <v>1896</v>
      </c>
      <c r="K929" s="27" t="s">
        <v>1873</v>
      </c>
      <c r="L929" s="28">
        <f>_xlfn.NUMBERVALUE(LEFT(Activities[[#This Row],[Fiscal Year]], 4))</f>
        <v>2015</v>
      </c>
      <c r="M929" s="28" t="s">
        <v>1862</v>
      </c>
      <c r="N929" s="41">
        <v>122500</v>
      </c>
      <c r="O929" s="93">
        <f>IF(Activities[[#This Row],[Reference Year]]&gt;2018,Activities[[#This Row],[Value]],Activities[[#This Row],[Value]]*(1+VLOOKUP(Activities[[#This Row],[Reference Year]],Inflation[#All],3,FALSE)))</f>
        <v>130062.43670886075</v>
      </c>
    </row>
    <row r="930" spans="1:15" ht="15" customHeight="1" x14ac:dyDescent="0.25">
      <c r="A930" s="9" t="s">
        <v>12</v>
      </c>
      <c r="B930" s="9" t="str">
        <f>INDEX(Places[Type],MATCH(Activities[[#This Row],[Jurisdiction]],Places[Jurisdiction],0))</f>
        <v>City</v>
      </c>
      <c r="C930" s="19" t="str">
        <f>INDEX(Places[County],MATCH(Activities[[#This Row],[Jurisdiction]],Places[Jurisdiction],0))</f>
        <v>Los Angeles</v>
      </c>
      <c r="D930" s="19" t="str">
        <f>INDEX(Places[Majority RB],MATCH(Activities[[#This Row],[Jurisdiction]],Places[Jurisdiction],0))</f>
        <v>Los Angeles</v>
      </c>
      <c r="E930" s="9">
        <f>INDEX(Places[Majority RB '#],MATCH(Activities[[#This Row],[Jurisdiction]],Places[Jurisdiction],0))</f>
        <v>4</v>
      </c>
      <c r="F930" s="28" t="str">
        <f>VLOOKUP(Activities[[#This Row],[Jurisdiction]],Places[#All],8,FALSE)</f>
        <v>Phase I MS4</v>
      </c>
      <c r="G930" s="48" t="s">
        <v>63</v>
      </c>
      <c r="H930" s="8"/>
      <c r="I930" s="8"/>
      <c r="J930" s="8" t="s">
        <v>1896</v>
      </c>
      <c r="K930" s="27" t="s">
        <v>1873</v>
      </c>
      <c r="L930" s="28">
        <f>_xlfn.NUMBERVALUE(LEFT(Activities[[#This Row],[Fiscal Year]], 4))</f>
        <v>2015</v>
      </c>
      <c r="M930" s="28" t="s">
        <v>1862</v>
      </c>
      <c r="N930" s="41">
        <v>9447772</v>
      </c>
      <c r="O930" s="93">
        <f>IF(Activities[[#This Row],[Reference Year]]&gt;2018,Activities[[#This Row],[Value]],Activities[[#This Row],[Value]]*(1+VLOOKUP(Activities[[#This Row],[Reference Year]],Inflation[#All],3,FALSE)))</f>
        <v>10031022.430936709</v>
      </c>
    </row>
    <row r="931" spans="1:15" ht="15" customHeight="1" x14ac:dyDescent="0.25">
      <c r="A931" s="9" t="s">
        <v>12</v>
      </c>
      <c r="B931" s="9" t="str">
        <f>INDEX(Places[Type],MATCH(Activities[[#This Row],[Jurisdiction]],Places[Jurisdiction],0))</f>
        <v>City</v>
      </c>
      <c r="C931" s="19" t="str">
        <f>INDEX(Places[County],MATCH(Activities[[#This Row],[Jurisdiction]],Places[Jurisdiction],0))</f>
        <v>Los Angeles</v>
      </c>
      <c r="D931" s="19" t="str">
        <f>INDEX(Places[Majority RB],MATCH(Activities[[#This Row],[Jurisdiction]],Places[Jurisdiction],0))</f>
        <v>Los Angeles</v>
      </c>
      <c r="E931" s="9">
        <f>INDEX(Places[Majority RB '#],MATCH(Activities[[#This Row],[Jurisdiction]],Places[Jurisdiction],0))</f>
        <v>4</v>
      </c>
      <c r="F931" s="28" t="str">
        <f>VLOOKUP(Activities[[#This Row],[Jurisdiction]],Places[#All],8,FALSE)</f>
        <v>Phase I MS4</v>
      </c>
      <c r="G931" s="48" t="s">
        <v>33</v>
      </c>
      <c r="H931" s="8"/>
      <c r="I931" s="8"/>
      <c r="J931" s="8" t="s">
        <v>47</v>
      </c>
      <c r="K931" s="27" t="s">
        <v>1873</v>
      </c>
      <c r="L931" s="28">
        <f>_xlfn.NUMBERVALUE(LEFT(Activities[[#This Row],[Fiscal Year]], 4))</f>
        <v>2015</v>
      </c>
      <c r="M931" s="28" t="s">
        <v>1862</v>
      </c>
      <c r="N931" s="41">
        <v>2120255.39</v>
      </c>
      <c r="O931" s="93">
        <f>IF(Activities[[#This Row],[Reference Year]]&gt;2018,Activities[[#This Row],[Value]],Activities[[#This Row],[Value]]*(1+VLOOKUP(Activities[[#This Row],[Reference Year]],Inflation[#All],3,FALSE)))</f>
        <v>2251147.6119877216</v>
      </c>
    </row>
    <row r="932" spans="1:15" ht="15" customHeight="1" x14ac:dyDescent="0.25">
      <c r="A932" s="9" t="s">
        <v>1435</v>
      </c>
      <c r="B932" s="9" t="str">
        <f>INDEX(Places[Type],MATCH(Activities[[#This Row],[Jurisdiction]],Places[Jurisdiction],0))</f>
        <v>County</v>
      </c>
      <c r="C932" s="19" t="str">
        <f>INDEX(Places[County],MATCH(Activities[[#This Row],[Jurisdiction]],Places[Jurisdiction],0))</f>
        <v>Los Angeles</v>
      </c>
      <c r="D932" s="19" t="str">
        <f>INDEX(Places[Majority RB],MATCH(Activities[[#This Row],[Jurisdiction]],Places[Jurisdiction],0))</f>
        <v>Los Angeles</v>
      </c>
      <c r="E932" s="9">
        <f>INDEX(Places[Majority RB '#],MATCH(Activities[[#This Row],[Jurisdiction]],Places[Jurisdiction],0))</f>
        <v>4</v>
      </c>
      <c r="F932" s="28" t="str">
        <f>VLOOKUP(Activities[[#This Row],[Jurisdiction]],Places[#All],8,FALSE)</f>
        <v>Phase I MS4</v>
      </c>
      <c r="G932" s="48" t="s">
        <v>64</v>
      </c>
      <c r="H932" s="8"/>
      <c r="I932" s="8"/>
      <c r="J932" s="8" t="s">
        <v>76</v>
      </c>
      <c r="K932" s="27" t="s">
        <v>1873</v>
      </c>
      <c r="L932" s="28">
        <f>_xlfn.NUMBERVALUE(LEFT(Activities[[#This Row],[Fiscal Year]], 4))</f>
        <v>2015</v>
      </c>
      <c r="M932" s="28" t="s">
        <v>1862</v>
      </c>
      <c r="N932" s="41">
        <v>714000</v>
      </c>
      <c r="O932" s="93">
        <f>IF(Activities[[#This Row],[Reference Year]]&gt;2018,Activities[[#This Row],[Value]],Activities[[#This Row],[Value]]*(1+VLOOKUP(Activities[[#This Row],[Reference Year]],Inflation[#All],3,FALSE)))</f>
        <v>758078.20253164554</v>
      </c>
    </row>
    <row r="933" spans="1:15" ht="15" customHeight="1" x14ac:dyDescent="0.25">
      <c r="A933" s="9" t="s">
        <v>1435</v>
      </c>
      <c r="B933" s="9" t="str">
        <f>INDEX(Places[Type],MATCH(Activities[[#This Row],[Jurisdiction]],Places[Jurisdiction],0))</f>
        <v>County</v>
      </c>
      <c r="C933" s="19" t="str">
        <f>INDEX(Places[County],MATCH(Activities[[#This Row],[Jurisdiction]],Places[Jurisdiction],0))</f>
        <v>Los Angeles</v>
      </c>
      <c r="D933" s="19" t="str">
        <f>INDEX(Places[Majority RB],MATCH(Activities[[#This Row],[Jurisdiction]],Places[Jurisdiction],0))</f>
        <v>Los Angeles</v>
      </c>
      <c r="E933" s="9">
        <f>INDEX(Places[Majority RB '#],MATCH(Activities[[#This Row],[Jurisdiction]],Places[Jurisdiction],0))</f>
        <v>4</v>
      </c>
      <c r="F933" s="28" t="str">
        <f>VLOOKUP(Activities[[#This Row],[Jurisdiction]],Places[#All],8,FALSE)</f>
        <v>Phase I MS4</v>
      </c>
      <c r="G933" s="48" t="s">
        <v>65</v>
      </c>
      <c r="H933" s="8"/>
      <c r="I933" s="8"/>
      <c r="J933" s="8" t="s">
        <v>76</v>
      </c>
      <c r="K933" s="27" t="s">
        <v>1873</v>
      </c>
      <c r="L933" s="28">
        <f>_xlfn.NUMBERVALUE(LEFT(Activities[[#This Row],[Fiscal Year]], 4))</f>
        <v>2015</v>
      </c>
      <c r="M933" s="28" t="s">
        <v>1862</v>
      </c>
      <c r="N933" s="41">
        <v>1433000</v>
      </c>
      <c r="O933" s="93">
        <f>IF(Activities[[#This Row],[Reference Year]]&gt;2018,Activities[[#This Row],[Value]],Activities[[#This Row],[Value]]*(1+VLOOKUP(Activities[[#This Row],[Reference Year]],Inflation[#All],3,FALSE)))</f>
        <v>1521465.0759493669</v>
      </c>
    </row>
    <row r="934" spans="1:15" ht="15" customHeight="1" x14ac:dyDescent="0.25">
      <c r="A934" s="9" t="s">
        <v>1435</v>
      </c>
      <c r="B934" s="9" t="str">
        <f>INDEX(Places[Type],MATCH(Activities[[#This Row],[Jurisdiction]],Places[Jurisdiction],0))</f>
        <v>County</v>
      </c>
      <c r="C934" s="19" t="str">
        <f>INDEX(Places[County],MATCH(Activities[[#This Row],[Jurisdiction]],Places[Jurisdiction],0))</f>
        <v>Los Angeles</v>
      </c>
      <c r="D934" s="19" t="str">
        <f>INDEX(Places[Majority RB],MATCH(Activities[[#This Row],[Jurisdiction]],Places[Jurisdiction],0))</f>
        <v>Los Angeles</v>
      </c>
      <c r="E934" s="9">
        <f>INDEX(Places[Majority RB '#],MATCH(Activities[[#This Row],[Jurisdiction]],Places[Jurisdiction],0))</f>
        <v>4</v>
      </c>
      <c r="F934" s="28" t="str">
        <f>VLOOKUP(Activities[[#This Row],[Jurisdiction]],Places[#All],8,FALSE)</f>
        <v>Phase I MS4</v>
      </c>
      <c r="G934" s="48" t="s">
        <v>62</v>
      </c>
      <c r="H934" s="8"/>
      <c r="I934" s="8"/>
      <c r="J934" s="8" t="s">
        <v>131</v>
      </c>
      <c r="K934" s="27" t="s">
        <v>1873</v>
      </c>
      <c r="L934" s="28">
        <f>_xlfn.NUMBERVALUE(LEFT(Activities[[#This Row],[Fiscal Year]], 4))</f>
        <v>2015</v>
      </c>
      <c r="M934" s="28" t="s">
        <v>1862</v>
      </c>
      <c r="N934" s="41">
        <v>928000</v>
      </c>
      <c r="O934" s="93">
        <f>IF(Activities[[#This Row],[Reference Year]]&gt;2018,Activities[[#This Row],[Value]],Activities[[#This Row],[Value]]*(1+VLOOKUP(Activities[[#This Row],[Reference Year]],Inflation[#All],3,FALSE)))</f>
        <v>985289.31645569613</v>
      </c>
    </row>
    <row r="935" spans="1:15" ht="15" customHeight="1" x14ac:dyDescent="0.25">
      <c r="A935" s="9" t="s">
        <v>1435</v>
      </c>
      <c r="B935" s="9" t="str">
        <f>INDEX(Places[Type],MATCH(Activities[[#This Row],[Jurisdiction]],Places[Jurisdiction],0))</f>
        <v>County</v>
      </c>
      <c r="C935" s="19" t="str">
        <f>INDEX(Places[County],MATCH(Activities[[#This Row],[Jurisdiction]],Places[Jurisdiction],0))</f>
        <v>Los Angeles</v>
      </c>
      <c r="D935" s="19" t="str">
        <f>INDEX(Places[Majority RB],MATCH(Activities[[#This Row],[Jurisdiction]],Places[Jurisdiction],0))</f>
        <v>Los Angeles</v>
      </c>
      <c r="E935" s="9">
        <f>INDEX(Places[Majority RB '#],MATCH(Activities[[#This Row],[Jurisdiction]],Places[Jurisdiction],0))</f>
        <v>4</v>
      </c>
      <c r="F935" s="28" t="str">
        <f>VLOOKUP(Activities[[#This Row],[Jurisdiction]],Places[#All],8,FALSE)</f>
        <v>Phase I MS4</v>
      </c>
      <c r="G935" s="48" t="s">
        <v>208</v>
      </c>
      <c r="H935" s="8"/>
      <c r="I935" s="8"/>
      <c r="J935" s="8" t="s">
        <v>334</v>
      </c>
      <c r="K935" s="27" t="s">
        <v>1873</v>
      </c>
      <c r="L935" s="28">
        <f>_xlfn.NUMBERVALUE(LEFT(Activities[[#This Row],[Fiscal Year]], 4))</f>
        <v>2015</v>
      </c>
      <c r="M935" s="28" t="s">
        <v>1862</v>
      </c>
      <c r="N935" s="41">
        <v>545000</v>
      </c>
      <c r="O935" s="93">
        <f>IF(Activities[[#This Row],[Reference Year]]&gt;2018,Activities[[#This Row],[Value]],Activities[[#This Row],[Value]]*(1+VLOOKUP(Activities[[#This Row],[Reference Year]],Inflation[#All],3,FALSE)))</f>
        <v>578645.1265822784</v>
      </c>
    </row>
    <row r="936" spans="1:15" ht="15" customHeight="1" x14ac:dyDescent="0.25">
      <c r="A936" s="9" t="s">
        <v>1435</v>
      </c>
      <c r="B936" s="9" t="str">
        <f>INDEX(Places[Type],MATCH(Activities[[#This Row],[Jurisdiction]],Places[Jurisdiction],0))</f>
        <v>County</v>
      </c>
      <c r="C936" s="19" t="str">
        <f>INDEX(Places[County],MATCH(Activities[[#This Row],[Jurisdiction]],Places[Jurisdiction],0))</f>
        <v>Los Angeles</v>
      </c>
      <c r="D936" s="19" t="str">
        <f>INDEX(Places[Majority RB],MATCH(Activities[[#This Row],[Jurisdiction]],Places[Jurisdiction],0))</f>
        <v>Los Angeles</v>
      </c>
      <c r="E936" s="9">
        <f>INDEX(Places[Majority RB '#],MATCH(Activities[[#This Row],[Jurisdiction]],Places[Jurisdiction],0))</f>
        <v>4</v>
      </c>
      <c r="F936" s="28" t="str">
        <f>VLOOKUP(Activities[[#This Row],[Jurisdiction]],Places[#All],8,FALSE)</f>
        <v>Phase I MS4</v>
      </c>
      <c r="G936" s="48" t="s">
        <v>61</v>
      </c>
      <c r="H936" s="8"/>
      <c r="I936" s="8"/>
      <c r="J936" s="8" t="s">
        <v>1897</v>
      </c>
      <c r="K936" s="27" t="s">
        <v>1873</v>
      </c>
      <c r="L936" s="28">
        <f>_xlfn.NUMBERVALUE(LEFT(Activities[[#This Row],[Fiscal Year]], 4))</f>
        <v>2015</v>
      </c>
      <c r="M936" s="28" t="s">
        <v>1862</v>
      </c>
      <c r="N936" s="41">
        <v>27959000</v>
      </c>
      <c r="O936" s="93">
        <f>IF(Activities[[#This Row],[Reference Year]]&gt;2018,Activities[[#This Row],[Value]],Activities[[#This Row],[Value]]*(1+VLOOKUP(Activities[[#This Row],[Reference Year]],Inflation[#All],3,FALSE)))</f>
        <v>29685025.860759493</v>
      </c>
    </row>
    <row r="937" spans="1:15" ht="15" customHeight="1" x14ac:dyDescent="0.25">
      <c r="A937" s="9" t="s">
        <v>1435</v>
      </c>
      <c r="B937" s="9" t="str">
        <f>INDEX(Places[Type],MATCH(Activities[[#This Row],[Jurisdiction]],Places[Jurisdiction],0))</f>
        <v>County</v>
      </c>
      <c r="C937" s="19" t="str">
        <f>INDEX(Places[County],MATCH(Activities[[#This Row],[Jurisdiction]],Places[Jurisdiction],0))</f>
        <v>Los Angeles</v>
      </c>
      <c r="D937" s="19" t="str">
        <f>INDEX(Places[Majority RB],MATCH(Activities[[#This Row],[Jurisdiction]],Places[Jurisdiction],0))</f>
        <v>Los Angeles</v>
      </c>
      <c r="E937" s="9">
        <f>INDEX(Places[Majority RB '#],MATCH(Activities[[#This Row],[Jurisdiction]],Places[Jurisdiction],0))</f>
        <v>4</v>
      </c>
      <c r="F937" s="28" t="str">
        <f>VLOOKUP(Activities[[#This Row],[Jurisdiction]],Places[#All],8,FALSE)</f>
        <v>Phase I MS4</v>
      </c>
      <c r="G937" s="48" t="s">
        <v>60</v>
      </c>
      <c r="H937" s="8"/>
      <c r="I937" s="8"/>
      <c r="J937" s="8" t="s">
        <v>1898</v>
      </c>
      <c r="K937" s="27" t="s">
        <v>1873</v>
      </c>
      <c r="L937" s="28">
        <f>_xlfn.NUMBERVALUE(LEFT(Activities[[#This Row],[Fiscal Year]], 4))</f>
        <v>2015</v>
      </c>
      <c r="M937" s="28" t="s">
        <v>1862</v>
      </c>
      <c r="N937" s="41">
        <v>1010000</v>
      </c>
      <c r="O937" s="93">
        <f>IF(Activities[[#This Row],[Reference Year]]&gt;2018,Activities[[#This Row],[Value]],Activities[[#This Row],[Value]]*(1+VLOOKUP(Activities[[#This Row],[Reference Year]],Inflation[#All],3,FALSE)))</f>
        <v>1072351.5189873418</v>
      </c>
    </row>
    <row r="938" spans="1:15" ht="15" customHeight="1" x14ac:dyDescent="0.25">
      <c r="A938" s="9" t="s">
        <v>1435</v>
      </c>
      <c r="B938" s="9" t="str">
        <f>INDEX(Places[Type],MATCH(Activities[[#This Row],[Jurisdiction]],Places[Jurisdiction],0))</f>
        <v>County</v>
      </c>
      <c r="C938" s="19" t="str">
        <f>INDEX(Places[County],MATCH(Activities[[#This Row],[Jurisdiction]],Places[Jurisdiction],0))</f>
        <v>Los Angeles</v>
      </c>
      <c r="D938" s="19" t="str">
        <f>INDEX(Places[Majority RB],MATCH(Activities[[#This Row],[Jurisdiction]],Places[Jurisdiction],0))</f>
        <v>Los Angeles</v>
      </c>
      <c r="E938" s="9">
        <f>INDEX(Places[Majority RB '#],MATCH(Activities[[#This Row],[Jurisdiction]],Places[Jurisdiction],0))</f>
        <v>4</v>
      </c>
      <c r="F938" s="28" t="str">
        <f>VLOOKUP(Activities[[#This Row],[Jurisdiction]],Places[#All],8,FALSE)</f>
        <v>Phase I MS4</v>
      </c>
      <c r="G938" s="48" t="s">
        <v>59</v>
      </c>
      <c r="H938" s="8"/>
      <c r="I938" s="8"/>
      <c r="J938" s="8" t="s">
        <v>1898</v>
      </c>
      <c r="K938" s="27" t="s">
        <v>1873</v>
      </c>
      <c r="L938" s="28">
        <f>_xlfn.NUMBERVALUE(LEFT(Activities[[#This Row],[Fiscal Year]], 4))</f>
        <v>2015</v>
      </c>
      <c r="M938" s="28" t="s">
        <v>1862</v>
      </c>
      <c r="N938" s="41">
        <v>1447000</v>
      </c>
      <c r="O938" s="93">
        <f>IF(Activities[[#This Row],[Reference Year]]&gt;2018,Activities[[#This Row],[Value]],Activities[[#This Row],[Value]]*(1+VLOOKUP(Activities[[#This Row],[Reference Year]],Inflation[#All],3,FALSE)))</f>
        <v>1536329.3544303796</v>
      </c>
    </row>
    <row r="939" spans="1:15" ht="15" customHeight="1" x14ac:dyDescent="0.25">
      <c r="A939" s="9" t="s">
        <v>1435</v>
      </c>
      <c r="B939" s="9" t="str">
        <f>INDEX(Places[Type],MATCH(Activities[[#This Row],[Jurisdiction]],Places[Jurisdiction],0))</f>
        <v>County</v>
      </c>
      <c r="C939" s="19" t="str">
        <f>INDEX(Places[County],MATCH(Activities[[#This Row],[Jurisdiction]],Places[Jurisdiction],0))</f>
        <v>Los Angeles</v>
      </c>
      <c r="D939" s="19" t="str">
        <f>INDEX(Places[Majority RB],MATCH(Activities[[#This Row],[Jurisdiction]],Places[Jurisdiction],0))</f>
        <v>Los Angeles</v>
      </c>
      <c r="E939" s="9">
        <f>INDEX(Places[Majority RB '#],MATCH(Activities[[#This Row],[Jurisdiction]],Places[Jurisdiction],0))</f>
        <v>4</v>
      </c>
      <c r="F939" s="28" t="str">
        <f>VLOOKUP(Activities[[#This Row],[Jurisdiction]],Places[#All],8,FALSE)</f>
        <v>Phase I MS4</v>
      </c>
      <c r="G939" s="48" t="s">
        <v>58</v>
      </c>
      <c r="H939" s="8"/>
      <c r="I939" s="8"/>
      <c r="J939" s="8" t="s">
        <v>1456</v>
      </c>
      <c r="K939" s="27" t="s">
        <v>1873</v>
      </c>
      <c r="L939" s="28">
        <f>_xlfn.NUMBERVALUE(LEFT(Activities[[#This Row],[Fiscal Year]], 4))</f>
        <v>2015</v>
      </c>
      <c r="M939" s="28" t="s">
        <v>1862</v>
      </c>
      <c r="N939" s="41">
        <v>1569000</v>
      </c>
      <c r="O939" s="93">
        <f>IF(Activities[[#This Row],[Reference Year]]&gt;2018,Activities[[#This Row],[Value]],Activities[[#This Row],[Value]]*(1+VLOOKUP(Activities[[#This Row],[Reference Year]],Inflation[#All],3,FALSE)))</f>
        <v>1665860.9240506329</v>
      </c>
    </row>
    <row r="940" spans="1:15" ht="15" customHeight="1" x14ac:dyDescent="0.25">
      <c r="A940" s="9" t="s">
        <v>1435</v>
      </c>
      <c r="B940" s="9" t="str">
        <f>INDEX(Places[Type],MATCH(Activities[[#This Row],[Jurisdiction]],Places[Jurisdiction],0))</f>
        <v>County</v>
      </c>
      <c r="C940" s="19" t="str">
        <f>INDEX(Places[County],MATCH(Activities[[#This Row],[Jurisdiction]],Places[Jurisdiction],0))</f>
        <v>Los Angeles</v>
      </c>
      <c r="D940" s="19" t="str">
        <f>INDEX(Places[Majority RB],MATCH(Activities[[#This Row],[Jurisdiction]],Places[Jurisdiction],0))</f>
        <v>Los Angeles</v>
      </c>
      <c r="E940" s="9">
        <f>INDEX(Places[Majority RB '#],MATCH(Activities[[#This Row],[Jurisdiction]],Places[Jurisdiction],0))</f>
        <v>4</v>
      </c>
      <c r="F940" s="28" t="str">
        <f>VLOOKUP(Activities[[#This Row],[Jurisdiction]],Places[#All],8,FALSE)</f>
        <v>Phase I MS4</v>
      </c>
      <c r="G940" s="48" t="s">
        <v>32</v>
      </c>
      <c r="H940" s="8"/>
      <c r="I940" s="8"/>
      <c r="J940" s="8" t="s">
        <v>1894</v>
      </c>
      <c r="K940" s="27" t="s">
        <v>1873</v>
      </c>
      <c r="L940" s="28">
        <f>_xlfn.NUMBERVALUE(LEFT(Activities[[#This Row],[Fiscal Year]], 4))</f>
        <v>2015</v>
      </c>
      <c r="M940" s="28" t="s">
        <v>1862</v>
      </c>
      <c r="N940" s="41">
        <v>1874000</v>
      </c>
      <c r="O940" s="93">
        <f>IF(Activities[[#This Row],[Reference Year]]&gt;2018,Activities[[#This Row],[Value]],Activities[[#This Row],[Value]]*(1+VLOOKUP(Activities[[#This Row],[Reference Year]],Inflation[#All],3,FALSE)))</f>
        <v>1989689.8481012657</v>
      </c>
    </row>
    <row r="941" spans="1:15" ht="15" customHeight="1" x14ac:dyDescent="0.25">
      <c r="A941" s="9" t="s">
        <v>1435</v>
      </c>
      <c r="B941" s="9" t="str">
        <f>INDEX(Places[Type],MATCH(Activities[[#This Row],[Jurisdiction]],Places[Jurisdiction],0))</f>
        <v>County</v>
      </c>
      <c r="C941" s="19" t="str">
        <f>INDEX(Places[County],MATCH(Activities[[#This Row],[Jurisdiction]],Places[Jurisdiction],0))</f>
        <v>Los Angeles</v>
      </c>
      <c r="D941" s="19" t="str">
        <f>INDEX(Places[Majority RB],MATCH(Activities[[#This Row],[Jurisdiction]],Places[Jurisdiction],0))</f>
        <v>Los Angeles</v>
      </c>
      <c r="E941" s="9">
        <f>INDEX(Places[Majority RB '#],MATCH(Activities[[#This Row],[Jurisdiction]],Places[Jurisdiction],0))</f>
        <v>4</v>
      </c>
      <c r="F941" s="28" t="str">
        <f>VLOOKUP(Activities[[#This Row],[Jurisdiction]],Places[#All],8,FALSE)</f>
        <v>Phase I MS4</v>
      </c>
      <c r="G941" s="48" t="s">
        <v>211</v>
      </c>
      <c r="H941" s="8"/>
      <c r="I941" s="8"/>
      <c r="J941" s="8" t="s">
        <v>1896</v>
      </c>
      <c r="K941" s="27" t="s">
        <v>1873</v>
      </c>
      <c r="L941" s="28">
        <f>_xlfn.NUMBERVALUE(LEFT(Activities[[#This Row],[Fiscal Year]], 4))</f>
        <v>2015</v>
      </c>
      <c r="M941" s="28" t="s">
        <v>1862</v>
      </c>
      <c r="N941" s="41">
        <v>1127000</v>
      </c>
      <c r="O941" s="93">
        <f>IF(Activities[[#This Row],[Reference Year]]&gt;2018,Activities[[#This Row],[Value]],Activities[[#This Row],[Value]]*(1+VLOOKUP(Activities[[#This Row],[Reference Year]],Inflation[#All],3,FALSE)))</f>
        <v>1196574.417721519</v>
      </c>
    </row>
    <row r="942" spans="1:15" ht="15" customHeight="1" x14ac:dyDescent="0.25">
      <c r="A942" s="9" t="s">
        <v>1435</v>
      </c>
      <c r="B942" s="9" t="str">
        <f>INDEX(Places[Type],MATCH(Activities[[#This Row],[Jurisdiction]],Places[Jurisdiction],0))</f>
        <v>County</v>
      </c>
      <c r="C942" s="19" t="str">
        <f>INDEX(Places[County],MATCH(Activities[[#This Row],[Jurisdiction]],Places[Jurisdiction],0))</f>
        <v>Los Angeles</v>
      </c>
      <c r="D942" s="19" t="str">
        <f>INDEX(Places[Majority RB],MATCH(Activities[[#This Row],[Jurisdiction]],Places[Jurisdiction],0))</f>
        <v>Los Angeles</v>
      </c>
      <c r="E942" s="9">
        <f>INDEX(Places[Majority RB '#],MATCH(Activities[[#This Row],[Jurisdiction]],Places[Jurisdiction],0))</f>
        <v>4</v>
      </c>
      <c r="F942" s="28" t="str">
        <f>VLOOKUP(Activities[[#This Row],[Jurisdiction]],Places[#All],8,FALSE)</f>
        <v>Phase I MS4</v>
      </c>
      <c r="G942" s="48" t="s">
        <v>67</v>
      </c>
      <c r="H942" s="8"/>
      <c r="I942" s="8" t="s">
        <v>843</v>
      </c>
      <c r="J942" s="8" t="s">
        <v>1896</v>
      </c>
      <c r="K942" s="27" t="s">
        <v>1873</v>
      </c>
      <c r="L942" s="28">
        <f>_xlfn.NUMBERVALUE(LEFT(Activities[[#This Row],[Fiscal Year]], 4))</f>
        <v>2015</v>
      </c>
      <c r="M942" s="28" t="s">
        <v>1862</v>
      </c>
      <c r="N942" s="41">
        <v>6123000</v>
      </c>
      <c r="O942" s="93">
        <f>IF(Activities[[#This Row],[Reference Year]]&gt;2018,Activities[[#This Row],[Value]],Activities[[#This Row],[Value]]*(1+VLOOKUP(Activities[[#This Row],[Reference Year]],Inflation[#All],3,FALSE)))</f>
        <v>6500998.3670886075</v>
      </c>
    </row>
    <row r="943" spans="1:15" ht="15" customHeight="1" x14ac:dyDescent="0.25">
      <c r="A943" s="9" t="s">
        <v>1435</v>
      </c>
      <c r="B943" s="9" t="str">
        <f>INDEX(Places[Type],MATCH(Activities[[#This Row],[Jurisdiction]],Places[Jurisdiction],0))</f>
        <v>County</v>
      </c>
      <c r="C943" s="19" t="str">
        <f>INDEX(Places[County],MATCH(Activities[[#This Row],[Jurisdiction]],Places[Jurisdiction],0))</f>
        <v>Los Angeles</v>
      </c>
      <c r="D943" s="19" t="str">
        <f>INDEX(Places[Majority RB],MATCH(Activities[[#This Row],[Jurisdiction]],Places[Jurisdiction],0))</f>
        <v>Los Angeles</v>
      </c>
      <c r="E943" s="9">
        <f>INDEX(Places[Majority RB '#],MATCH(Activities[[#This Row],[Jurisdiction]],Places[Jurisdiction],0))</f>
        <v>4</v>
      </c>
      <c r="F943" s="28" t="str">
        <f>VLOOKUP(Activities[[#This Row],[Jurisdiction]],Places[#All],8,FALSE)</f>
        <v>Phase I MS4</v>
      </c>
      <c r="G943" s="48" t="s">
        <v>33</v>
      </c>
      <c r="H943" s="8"/>
      <c r="I943" s="8"/>
      <c r="J943" s="8" t="s">
        <v>47</v>
      </c>
      <c r="K943" s="27" t="s">
        <v>1873</v>
      </c>
      <c r="L943" s="28">
        <f>_xlfn.NUMBERVALUE(LEFT(Activities[[#This Row],[Fiscal Year]], 4))</f>
        <v>2015</v>
      </c>
      <c r="M943" s="28" t="s">
        <v>1862</v>
      </c>
      <c r="N943" s="41">
        <v>3419000</v>
      </c>
      <c r="O943" s="93">
        <f>IF(Activities[[#This Row],[Reference Year]]&gt;2018,Activities[[#This Row],[Value]],Activities[[#This Row],[Value]]*(1+VLOOKUP(Activities[[#This Row],[Reference Year]],Inflation[#All],3,FALSE)))</f>
        <v>3630069.1518987338</v>
      </c>
    </row>
    <row r="944" spans="1:15" ht="15" customHeight="1" x14ac:dyDescent="0.25">
      <c r="A944" s="9" t="s">
        <v>1436</v>
      </c>
      <c r="B944" s="9" t="str">
        <f>INDEX(Places[Type],MATCH(Activities[[#This Row],[Jurisdiction]],Places[Jurisdiction],0))</f>
        <v>FCD</v>
      </c>
      <c r="C944" s="19" t="str">
        <f>INDEX(Places[County],MATCH(Activities[[#This Row],[Jurisdiction]],Places[Jurisdiction],0))</f>
        <v>Los Angeles</v>
      </c>
      <c r="D944" s="19" t="str">
        <f>INDEX(Places[Majority RB],MATCH(Activities[[#This Row],[Jurisdiction]],Places[Jurisdiction],0))</f>
        <v>Los Angeles</v>
      </c>
      <c r="E944" s="9">
        <f>INDEX(Places[Majority RB '#],MATCH(Activities[[#This Row],[Jurisdiction]],Places[Jurisdiction],0))</f>
        <v>4</v>
      </c>
      <c r="F944" s="28" t="str">
        <f>VLOOKUP(Activities[[#This Row],[Jurisdiction]],Places[#All],8,FALSE)</f>
        <v>Phase I MS4</v>
      </c>
      <c r="G944" s="48" t="s">
        <v>852</v>
      </c>
      <c r="H944" s="8"/>
      <c r="I944" s="8"/>
      <c r="J944" s="8" t="s">
        <v>76</v>
      </c>
      <c r="K944" s="27" t="s">
        <v>1873</v>
      </c>
      <c r="L944" s="28">
        <f>_xlfn.NUMBERVALUE(LEFT(Activities[[#This Row],[Fiscal Year]], 4))</f>
        <v>2015</v>
      </c>
      <c r="M944" s="28" t="s">
        <v>1862</v>
      </c>
      <c r="N944" s="41">
        <v>4144000</v>
      </c>
      <c r="O944" s="93">
        <f>IF(Activities[[#This Row],[Reference Year]]&gt;2018,Activities[[#This Row],[Value]],Activities[[#This Row],[Value]]*(1+VLOOKUP(Activities[[#This Row],[Reference Year]],Inflation[#All],3,FALSE)))</f>
        <v>4399826.4303797465</v>
      </c>
    </row>
    <row r="945" spans="1:15" ht="15" customHeight="1" x14ac:dyDescent="0.25">
      <c r="A945" s="9" t="s">
        <v>1436</v>
      </c>
      <c r="B945" s="9" t="str">
        <f>INDEX(Places[Type],MATCH(Activities[[#This Row],[Jurisdiction]],Places[Jurisdiction],0))</f>
        <v>FCD</v>
      </c>
      <c r="C945" s="19" t="str">
        <f>INDEX(Places[County],MATCH(Activities[[#This Row],[Jurisdiction]],Places[Jurisdiction],0))</f>
        <v>Los Angeles</v>
      </c>
      <c r="D945" s="19" t="str">
        <f>INDEX(Places[Majority RB],MATCH(Activities[[#This Row],[Jurisdiction]],Places[Jurisdiction],0))</f>
        <v>Los Angeles</v>
      </c>
      <c r="E945" s="9">
        <f>INDEX(Places[Majority RB '#],MATCH(Activities[[#This Row],[Jurisdiction]],Places[Jurisdiction],0))</f>
        <v>4</v>
      </c>
      <c r="F945" s="28" t="str">
        <f>VLOOKUP(Activities[[#This Row],[Jurisdiction]],Places[#All],8,FALSE)</f>
        <v>Phase I MS4</v>
      </c>
      <c r="G945" s="48" t="s">
        <v>849</v>
      </c>
      <c r="H945" s="8"/>
      <c r="I945" s="8"/>
      <c r="J945" s="8" t="s">
        <v>131</v>
      </c>
      <c r="K945" s="27" t="s">
        <v>1873</v>
      </c>
      <c r="L945" s="28">
        <f>_xlfn.NUMBERVALUE(LEFT(Activities[[#This Row],[Fiscal Year]], 4))</f>
        <v>2015</v>
      </c>
      <c r="M945" s="28" t="s">
        <v>1862</v>
      </c>
      <c r="N945" s="41">
        <v>2845000</v>
      </c>
      <c r="O945" s="93">
        <f>IF(Activities[[#This Row],[Reference Year]]&gt;2018,Activities[[#This Row],[Value]],Activities[[#This Row],[Value]]*(1+VLOOKUP(Activities[[#This Row],[Reference Year]],Inflation[#All],3,FALSE)))</f>
        <v>3020633.734177215</v>
      </c>
    </row>
    <row r="946" spans="1:15" ht="15" customHeight="1" x14ac:dyDescent="0.25">
      <c r="A946" s="9" t="s">
        <v>1436</v>
      </c>
      <c r="B946" s="9" t="str">
        <f>INDEX(Places[Type],MATCH(Activities[[#This Row],[Jurisdiction]],Places[Jurisdiction],0))</f>
        <v>FCD</v>
      </c>
      <c r="C946" s="19" t="str">
        <f>INDEX(Places[County],MATCH(Activities[[#This Row],[Jurisdiction]],Places[Jurisdiction],0))</f>
        <v>Los Angeles</v>
      </c>
      <c r="D946" s="19" t="str">
        <f>INDEX(Places[Majority RB],MATCH(Activities[[#This Row],[Jurisdiction]],Places[Jurisdiction],0))</f>
        <v>Los Angeles</v>
      </c>
      <c r="E946" s="9">
        <f>INDEX(Places[Majority RB '#],MATCH(Activities[[#This Row],[Jurisdiction]],Places[Jurisdiction],0))</f>
        <v>4</v>
      </c>
      <c r="F946" s="28" t="str">
        <f>VLOOKUP(Activities[[#This Row],[Jurisdiction]],Places[#All],8,FALSE)</f>
        <v>Phase I MS4</v>
      </c>
      <c r="G946" s="48" t="s">
        <v>848</v>
      </c>
      <c r="H946" s="8"/>
      <c r="I946" s="8"/>
      <c r="J946" s="8" t="s">
        <v>1897</v>
      </c>
      <c r="K946" s="27" t="s">
        <v>1873</v>
      </c>
      <c r="L946" s="28">
        <f>_xlfn.NUMBERVALUE(LEFT(Activities[[#This Row],[Fiscal Year]], 4))</f>
        <v>2015</v>
      </c>
      <c r="M946" s="28" t="s">
        <v>1862</v>
      </c>
      <c r="N946" s="41">
        <v>10059000</v>
      </c>
      <c r="O946" s="93">
        <f>IF(Activities[[#This Row],[Reference Year]]&gt;2018,Activities[[#This Row],[Value]],Activities[[#This Row],[Value]]*(1+VLOOKUP(Activities[[#This Row],[Reference Year]],Inflation[#All],3,FALSE)))</f>
        <v>10679984.088607594</v>
      </c>
    </row>
    <row r="947" spans="1:15" ht="15" customHeight="1" x14ac:dyDescent="0.25">
      <c r="A947" s="9" t="s">
        <v>1436</v>
      </c>
      <c r="B947" s="9" t="str">
        <f>INDEX(Places[Type],MATCH(Activities[[#This Row],[Jurisdiction]],Places[Jurisdiction],0))</f>
        <v>FCD</v>
      </c>
      <c r="C947" s="19" t="str">
        <f>INDEX(Places[County],MATCH(Activities[[#This Row],[Jurisdiction]],Places[Jurisdiction],0))</f>
        <v>Los Angeles</v>
      </c>
      <c r="D947" s="19" t="str">
        <f>INDEX(Places[Majority RB],MATCH(Activities[[#This Row],[Jurisdiction]],Places[Jurisdiction],0))</f>
        <v>Los Angeles</v>
      </c>
      <c r="E947" s="9">
        <f>INDEX(Places[Majority RB '#],MATCH(Activities[[#This Row],[Jurisdiction]],Places[Jurisdiction],0))</f>
        <v>4</v>
      </c>
      <c r="F947" s="28" t="str">
        <f>VLOOKUP(Activities[[#This Row],[Jurisdiction]],Places[#All],8,FALSE)</f>
        <v>Phase I MS4</v>
      </c>
      <c r="G947" s="48" t="s">
        <v>844</v>
      </c>
      <c r="H947" s="8"/>
      <c r="I947" s="8"/>
      <c r="J947" s="8" t="s">
        <v>1456</v>
      </c>
      <c r="K947" s="27" t="s">
        <v>1873</v>
      </c>
      <c r="L947" s="28">
        <f>_xlfn.NUMBERVALUE(LEFT(Activities[[#This Row],[Fiscal Year]], 4))</f>
        <v>2015</v>
      </c>
      <c r="M947" s="28" t="s">
        <v>1862</v>
      </c>
      <c r="N947" s="41">
        <v>150000</v>
      </c>
      <c r="O947" s="93">
        <f>IF(Activities[[#This Row],[Reference Year]]&gt;2018,Activities[[#This Row],[Value]],Activities[[#This Row],[Value]]*(1+VLOOKUP(Activities[[#This Row],[Reference Year]],Inflation[#All],3,FALSE)))</f>
        <v>159260.12658227846</v>
      </c>
    </row>
    <row r="948" spans="1:15" ht="15" customHeight="1" x14ac:dyDescent="0.25">
      <c r="A948" s="9" t="s">
        <v>1436</v>
      </c>
      <c r="B948" s="9" t="str">
        <f>INDEX(Places[Type],MATCH(Activities[[#This Row],[Jurisdiction]],Places[Jurisdiction],0))</f>
        <v>FCD</v>
      </c>
      <c r="C948" s="19" t="str">
        <f>INDEX(Places[County],MATCH(Activities[[#This Row],[Jurisdiction]],Places[Jurisdiction],0))</f>
        <v>Los Angeles</v>
      </c>
      <c r="D948" s="19" t="str">
        <f>INDEX(Places[Majority RB],MATCH(Activities[[#This Row],[Jurisdiction]],Places[Jurisdiction],0))</f>
        <v>Los Angeles</v>
      </c>
      <c r="E948" s="9">
        <f>INDEX(Places[Majority RB '#],MATCH(Activities[[#This Row],[Jurisdiction]],Places[Jurisdiction],0))</f>
        <v>4</v>
      </c>
      <c r="F948" s="28" t="str">
        <f>VLOOKUP(Activities[[#This Row],[Jurisdiction]],Places[#All],8,FALSE)</f>
        <v>Phase I MS4</v>
      </c>
      <c r="G948" s="56" t="s">
        <v>829</v>
      </c>
      <c r="H948" s="8"/>
      <c r="I948" s="8"/>
      <c r="J948" s="8" t="s">
        <v>1894</v>
      </c>
      <c r="K948" s="27" t="s">
        <v>1873</v>
      </c>
      <c r="L948" s="28">
        <f>_xlfn.NUMBERVALUE(LEFT(Activities[[#This Row],[Fiscal Year]], 4))</f>
        <v>2015</v>
      </c>
      <c r="M948" s="28" t="s">
        <v>1862</v>
      </c>
      <c r="N948" s="41">
        <v>1151000</v>
      </c>
      <c r="O948" s="93">
        <f>IF(Activities[[#This Row],[Reference Year]]&gt;2018,Activities[[#This Row],[Value]],Activities[[#This Row],[Value]]*(1+VLOOKUP(Activities[[#This Row],[Reference Year]],Inflation[#All],3,FALSE)))</f>
        <v>1222056.0379746836</v>
      </c>
    </row>
    <row r="949" spans="1:15" ht="15" customHeight="1" x14ac:dyDescent="0.25">
      <c r="A949" s="9" t="s">
        <v>1436</v>
      </c>
      <c r="B949" s="9" t="str">
        <f>INDEX(Places[Type],MATCH(Activities[[#This Row],[Jurisdiction]],Places[Jurisdiction],0))</f>
        <v>FCD</v>
      </c>
      <c r="C949" s="19" t="str">
        <f>INDEX(Places[County],MATCH(Activities[[#This Row],[Jurisdiction]],Places[Jurisdiction],0))</f>
        <v>Los Angeles</v>
      </c>
      <c r="D949" s="19" t="str">
        <f>INDEX(Places[Majority RB],MATCH(Activities[[#This Row],[Jurisdiction]],Places[Jurisdiction],0))</f>
        <v>Los Angeles</v>
      </c>
      <c r="E949" s="9">
        <f>INDEX(Places[Majority RB '#],MATCH(Activities[[#This Row],[Jurisdiction]],Places[Jurisdiction],0))</f>
        <v>4</v>
      </c>
      <c r="F949" s="28" t="str">
        <f>VLOOKUP(Activities[[#This Row],[Jurisdiction]],Places[#All],8,FALSE)</f>
        <v>Phase I MS4</v>
      </c>
      <c r="G949" s="56" t="s">
        <v>855</v>
      </c>
      <c r="H949" s="8"/>
      <c r="I949" s="8"/>
      <c r="J949" s="8" t="s">
        <v>1896</v>
      </c>
      <c r="K949" s="27" t="s">
        <v>1873</v>
      </c>
      <c r="L949" s="28">
        <f>_xlfn.NUMBERVALUE(LEFT(Activities[[#This Row],[Fiscal Year]], 4))</f>
        <v>2015</v>
      </c>
      <c r="M949" s="28" t="s">
        <v>1862</v>
      </c>
      <c r="N949" s="41">
        <v>560000</v>
      </c>
      <c r="O949" s="93">
        <f>IF(Activities[[#This Row],[Reference Year]]&gt;2018,Activities[[#This Row],[Value]],Activities[[#This Row],[Value]]*(1+VLOOKUP(Activities[[#This Row],[Reference Year]],Inflation[#All],3,FALSE)))</f>
        <v>594571.13924050634</v>
      </c>
    </row>
    <row r="950" spans="1:15" ht="15" customHeight="1" x14ac:dyDescent="0.25">
      <c r="A950" s="9" t="s">
        <v>1436</v>
      </c>
      <c r="B950" s="9" t="str">
        <f>INDEX(Places[Type],MATCH(Activities[[#This Row],[Jurisdiction]],Places[Jurisdiction],0))</f>
        <v>FCD</v>
      </c>
      <c r="C950" s="19" t="str">
        <f>INDEX(Places[County],MATCH(Activities[[#This Row],[Jurisdiction]],Places[Jurisdiction],0))</f>
        <v>Los Angeles</v>
      </c>
      <c r="D950" s="19" t="str">
        <f>INDEX(Places[Majority RB],MATCH(Activities[[#This Row],[Jurisdiction]],Places[Jurisdiction],0))</f>
        <v>Los Angeles</v>
      </c>
      <c r="E950" s="9">
        <f>INDEX(Places[Majority RB '#],MATCH(Activities[[#This Row],[Jurisdiction]],Places[Jurisdiction],0))</f>
        <v>4</v>
      </c>
      <c r="F950" s="28" t="str">
        <f>VLOOKUP(Activities[[#This Row],[Jurisdiction]],Places[#All],8,FALSE)</f>
        <v>Phase I MS4</v>
      </c>
      <c r="G950" s="56" t="s">
        <v>854</v>
      </c>
      <c r="H950" s="8"/>
      <c r="I950" s="8"/>
      <c r="J950" s="8" t="s">
        <v>47</v>
      </c>
      <c r="K950" s="27" t="s">
        <v>1873</v>
      </c>
      <c r="L950" s="28">
        <f>_xlfn.NUMBERVALUE(LEFT(Activities[[#This Row],[Fiscal Year]], 4))</f>
        <v>2015</v>
      </c>
      <c r="M950" s="28" t="s">
        <v>1862</v>
      </c>
      <c r="N950" s="41">
        <v>2816000</v>
      </c>
      <c r="O950" s="93">
        <f>IF(Activities[[#This Row],[Reference Year]]&gt;2018,Activities[[#This Row],[Value]],Activities[[#This Row],[Value]]*(1+VLOOKUP(Activities[[#This Row],[Reference Year]],Inflation[#All],3,FALSE)))</f>
        <v>2989843.4430379746</v>
      </c>
    </row>
    <row r="951" spans="1:15" ht="15" customHeight="1" x14ac:dyDescent="0.25">
      <c r="A951" s="9" t="s">
        <v>175</v>
      </c>
      <c r="B951" s="9" t="str">
        <f>INDEX(Places[Type],MATCH(Activities[[#This Row],[Jurisdiction]],Places[Jurisdiction],0))</f>
        <v>City</v>
      </c>
      <c r="C951" s="19" t="str">
        <f>INDEX(Places[County],MATCH(Activities[[#This Row],[Jurisdiction]],Places[Jurisdiction],0))</f>
        <v>Los Angeles</v>
      </c>
      <c r="D951" s="19" t="str">
        <f>INDEX(Places[Majority RB],MATCH(Activities[[#This Row],[Jurisdiction]],Places[Jurisdiction],0))</f>
        <v>Los Angeles</v>
      </c>
      <c r="E951" s="9">
        <f>INDEX(Places[Majority RB '#],MATCH(Activities[[#This Row],[Jurisdiction]],Places[Jurisdiction],0))</f>
        <v>4</v>
      </c>
      <c r="F951" s="28" t="str">
        <f>VLOOKUP(Activities[[#This Row],[Jurisdiction]],Places[#All],8,FALSE)</f>
        <v>Phase I MS4</v>
      </c>
      <c r="G951" s="48" t="s">
        <v>849</v>
      </c>
      <c r="H951" s="8"/>
      <c r="I951" s="8"/>
      <c r="J951" s="8" t="s">
        <v>131</v>
      </c>
      <c r="K951" s="27" t="s">
        <v>1873</v>
      </c>
      <c r="L951" s="28">
        <f>_xlfn.NUMBERVALUE(LEFT(Activities[[#This Row],[Fiscal Year]], 4))</f>
        <v>2015</v>
      </c>
      <c r="M951" s="28" t="s">
        <v>1862</v>
      </c>
      <c r="N951" s="41">
        <v>62132</v>
      </c>
      <c r="O951" s="93">
        <f>IF(Activities[[#This Row],[Reference Year]]&gt;2018,Activities[[#This Row],[Value]],Activities[[#This Row],[Value]]*(1+VLOOKUP(Activities[[#This Row],[Reference Year]],Inflation[#All],3,FALSE)))</f>
        <v>65967.667898734173</v>
      </c>
    </row>
    <row r="952" spans="1:15" ht="15" customHeight="1" x14ac:dyDescent="0.25">
      <c r="A952" s="9" t="s">
        <v>175</v>
      </c>
      <c r="B952" s="9" t="str">
        <f>INDEX(Places[Type],MATCH(Activities[[#This Row],[Jurisdiction]],Places[Jurisdiction],0))</f>
        <v>City</v>
      </c>
      <c r="C952" s="19" t="str">
        <f>INDEX(Places[County],MATCH(Activities[[#This Row],[Jurisdiction]],Places[Jurisdiction],0))</f>
        <v>Los Angeles</v>
      </c>
      <c r="D952" s="19" t="str">
        <f>INDEX(Places[Majority RB],MATCH(Activities[[#This Row],[Jurisdiction]],Places[Jurisdiction],0))</f>
        <v>Los Angeles</v>
      </c>
      <c r="E952" s="9">
        <f>INDEX(Places[Majority RB '#],MATCH(Activities[[#This Row],[Jurisdiction]],Places[Jurisdiction],0))</f>
        <v>4</v>
      </c>
      <c r="F952" s="28" t="str">
        <f>VLOOKUP(Activities[[#This Row],[Jurisdiction]],Places[#All],8,FALSE)</f>
        <v>Phase I MS4</v>
      </c>
      <c r="G952" s="48" t="s">
        <v>921</v>
      </c>
      <c r="H952" s="8"/>
      <c r="I952" s="8"/>
      <c r="J952" s="8" t="s">
        <v>334</v>
      </c>
      <c r="K952" s="27" t="s">
        <v>1873</v>
      </c>
      <c r="L952" s="28">
        <f>_xlfn.NUMBERVALUE(LEFT(Activities[[#This Row],[Fiscal Year]], 4))</f>
        <v>2015</v>
      </c>
      <c r="M952" s="28" t="s">
        <v>1862</v>
      </c>
      <c r="N952" s="41">
        <v>33253</v>
      </c>
      <c r="O952" s="93">
        <f>IF(Activities[[#This Row],[Reference Year]]&gt;2018,Activities[[#This Row],[Value]],Activities[[#This Row],[Value]]*(1+VLOOKUP(Activities[[#This Row],[Reference Year]],Inflation[#All],3,FALSE)))</f>
        <v>35305.846594936709</v>
      </c>
    </row>
    <row r="953" spans="1:15" ht="15" customHeight="1" x14ac:dyDescent="0.25">
      <c r="A953" s="9" t="s">
        <v>175</v>
      </c>
      <c r="B953" s="9" t="str">
        <f>INDEX(Places[Type],MATCH(Activities[[#This Row],[Jurisdiction]],Places[Jurisdiction],0))</f>
        <v>City</v>
      </c>
      <c r="C953" s="19" t="str">
        <f>INDEX(Places[County],MATCH(Activities[[#This Row],[Jurisdiction]],Places[Jurisdiction],0))</f>
        <v>Los Angeles</v>
      </c>
      <c r="D953" s="19" t="str">
        <f>INDEX(Places[Majority RB],MATCH(Activities[[#This Row],[Jurisdiction]],Places[Jurisdiction],0))</f>
        <v>Los Angeles</v>
      </c>
      <c r="E953" s="9">
        <f>INDEX(Places[Majority RB '#],MATCH(Activities[[#This Row],[Jurisdiction]],Places[Jurisdiction],0))</f>
        <v>4</v>
      </c>
      <c r="F953" s="28" t="str">
        <f>VLOOKUP(Activities[[#This Row],[Jurisdiction]],Places[#All],8,FALSE)</f>
        <v>Phase I MS4</v>
      </c>
      <c r="G953" s="48" t="s">
        <v>857</v>
      </c>
      <c r="H953" s="8"/>
      <c r="I953" s="8"/>
      <c r="J953" s="8" t="s">
        <v>1897</v>
      </c>
      <c r="K953" s="27" t="s">
        <v>1873</v>
      </c>
      <c r="L953" s="28">
        <f>_xlfn.NUMBERVALUE(LEFT(Activities[[#This Row],[Fiscal Year]], 4))</f>
        <v>2015</v>
      </c>
      <c r="M953" s="28" t="s">
        <v>1862</v>
      </c>
      <c r="N953" s="41">
        <v>495189</v>
      </c>
      <c r="O953" s="93">
        <f>IF(Activities[[#This Row],[Reference Year]]&gt;2018,Activities[[#This Row],[Value]],Activities[[#This Row],[Value]]*(1+VLOOKUP(Activities[[#This Row],[Reference Year]],Inflation[#All],3,FALSE)))</f>
        <v>525759.08548101259</v>
      </c>
    </row>
    <row r="954" spans="1:15" ht="15" customHeight="1" x14ac:dyDescent="0.25">
      <c r="A954" s="9" t="s">
        <v>175</v>
      </c>
      <c r="B954" s="9" t="str">
        <f>INDEX(Places[Type],MATCH(Activities[[#This Row],[Jurisdiction]],Places[Jurisdiction],0))</f>
        <v>City</v>
      </c>
      <c r="C954" s="19" t="str">
        <f>INDEX(Places[County],MATCH(Activities[[#This Row],[Jurisdiction]],Places[Jurisdiction],0))</f>
        <v>Los Angeles</v>
      </c>
      <c r="D954" s="19" t="str">
        <f>INDEX(Places[Majority RB],MATCH(Activities[[#This Row],[Jurisdiction]],Places[Jurisdiction],0))</f>
        <v>Los Angeles</v>
      </c>
      <c r="E954" s="9">
        <f>INDEX(Places[Majority RB '#],MATCH(Activities[[#This Row],[Jurisdiction]],Places[Jurisdiction],0))</f>
        <v>4</v>
      </c>
      <c r="F954" s="28" t="str">
        <f>VLOOKUP(Activities[[#This Row],[Jurisdiction]],Places[#All],8,FALSE)</f>
        <v>Phase I MS4</v>
      </c>
      <c r="G954" s="48" t="s">
        <v>846</v>
      </c>
      <c r="H954" s="8"/>
      <c r="I954" s="8"/>
      <c r="J954" s="8" t="s">
        <v>1898</v>
      </c>
      <c r="K954" s="27" t="s">
        <v>1873</v>
      </c>
      <c r="L954" s="28">
        <f>_xlfn.NUMBERVALUE(LEFT(Activities[[#This Row],[Fiscal Year]], 4))</f>
        <v>2015</v>
      </c>
      <c r="M954" s="28" t="s">
        <v>1862</v>
      </c>
      <c r="N954" s="41">
        <v>39386</v>
      </c>
      <c r="O954" s="93">
        <f>IF(Activities[[#This Row],[Reference Year]]&gt;2018,Activities[[#This Row],[Value]],Activities[[#This Row],[Value]]*(1+VLOOKUP(Activities[[#This Row],[Reference Year]],Inflation[#All],3,FALSE)))</f>
        <v>41817.462303797467</v>
      </c>
    </row>
    <row r="955" spans="1:15" ht="15" customHeight="1" x14ac:dyDescent="0.25">
      <c r="A955" s="9" t="s">
        <v>175</v>
      </c>
      <c r="B955" s="9" t="str">
        <f>INDEX(Places[Type],MATCH(Activities[[#This Row],[Jurisdiction]],Places[Jurisdiction],0))</f>
        <v>City</v>
      </c>
      <c r="C955" s="19" t="str">
        <f>INDEX(Places[County],MATCH(Activities[[#This Row],[Jurisdiction]],Places[Jurisdiction],0))</f>
        <v>Los Angeles</v>
      </c>
      <c r="D955" s="19" t="str">
        <f>INDEX(Places[Majority RB],MATCH(Activities[[#This Row],[Jurisdiction]],Places[Jurisdiction],0))</f>
        <v>Los Angeles</v>
      </c>
      <c r="E955" s="9">
        <f>INDEX(Places[Majority RB '#],MATCH(Activities[[#This Row],[Jurisdiction]],Places[Jurisdiction],0))</f>
        <v>4</v>
      </c>
      <c r="F955" s="28" t="str">
        <f>VLOOKUP(Activities[[#This Row],[Jurisdiction]],Places[#All],8,FALSE)</f>
        <v>Phase I MS4</v>
      </c>
      <c r="G955" s="48" t="s">
        <v>847</v>
      </c>
      <c r="H955" s="8"/>
      <c r="I955" s="8"/>
      <c r="J955" s="8" t="s">
        <v>1898</v>
      </c>
      <c r="K955" s="27" t="s">
        <v>1873</v>
      </c>
      <c r="L955" s="28">
        <f>_xlfn.NUMBERVALUE(LEFT(Activities[[#This Row],[Fiscal Year]], 4))</f>
        <v>2015</v>
      </c>
      <c r="M955" s="28" t="s">
        <v>1862</v>
      </c>
      <c r="N955" s="41">
        <v>51655</v>
      </c>
      <c r="O955" s="93">
        <f>IF(Activities[[#This Row],[Reference Year]]&gt;2018,Activities[[#This Row],[Value]],Activities[[#This Row],[Value]]*(1+VLOOKUP(Activities[[#This Row],[Reference Year]],Inflation[#All],3,FALSE)))</f>
        <v>54843.87892405063</v>
      </c>
    </row>
    <row r="956" spans="1:15" ht="15" customHeight="1" x14ac:dyDescent="0.25">
      <c r="A956" s="9" t="s">
        <v>175</v>
      </c>
      <c r="B956" s="9" t="str">
        <f>INDEX(Places[Type],MATCH(Activities[[#This Row],[Jurisdiction]],Places[Jurisdiction],0))</f>
        <v>City</v>
      </c>
      <c r="C956" s="19" t="str">
        <f>INDEX(Places[County],MATCH(Activities[[#This Row],[Jurisdiction]],Places[Jurisdiction],0))</f>
        <v>Los Angeles</v>
      </c>
      <c r="D956" s="19" t="str">
        <f>INDEX(Places[Majority RB],MATCH(Activities[[#This Row],[Jurisdiction]],Places[Jurisdiction],0))</f>
        <v>Los Angeles</v>
      </c>
      <c r="E956" s="9">
        <f>INDEX(Places[Majority RB '#],MATCH(Activities[[#This Row],[Jurisdiction]],Places[Jurisdiction],0))</f>
        <v>4</v>
      </c>
      <c r="F956" s="28" t="str">
        <f>VLOOKUP(Activities[[#This Row],[Jurisdiction]],Places[#All],8,FALSE)</f>
        <v>Phase I MS4</v>
      </c>
      <c r="G956" s="48" t="s">
        <v>844</v>
      </c>
      <c r="H956" s="8"/>
      <c r="I956" s="8"/>
      <c r="J956" s="8" t="s">
        <v>1456</v>
      </c>
      <c r="K956" s="27" t="s">
        <v>1873</v>
      </c>
      <c r="L956" s="28">
        <f>_xlfn.NUMBERVALUE(LEFT(Activities[[#This Row],[Fiscal Year]], 4))</f>
        <v>2015</v>
      </c>
      <c r="M956" s="28" t="s">
        <v>1862</v>
      </c>
      <c r="N956" s="41">
        <v>38253</v>
      </c>
      <c r="O956" s="93">
        <f>IF(Activities[[#This Row],[Reference Year]]&gt;2018,Activities[[#This Row],[Value]],Activities[[#This Row],[Value]]*(1+VLOOKUP(Activities[[#This Row],[Reference Year]],Inflation[#All],3,FALSE)))</f>
        <v>40614.517481012655</v>
      </c>
    </row>
    <row r="957" spans="1:15" ht="15" customHeight="1" x14ac:dyDescent="0.25">
      <c r="A957" s="9" t="s">
        <v>175</v>
      </c>
      <c r="B957" s="9" t="str">
        <f>INDEX(Places[Type],MATCH(Activities[[#This Row],[Jurisdiction]],Places[Jurisdiction],0))</f>
        <v>City</v>
      </c>
      <c r="C957" s="19" t="str">
        <f>INDEX(Places[County],MATCH(Activities[[#This Row],[Jurisdiction]],Places[Jurisdiction],0))</f>
        <v>Los Angeles</v>
      </c>
      <c r="D957" s="19" t="str">
        <f>INDEX(Places[Majority RB],MATCH(Activities[[#This Row],[Jurisdiction]],Places[Jurisdiction],0))</f>
        <v>Los Angeles</v>
      </c>
      <c r="E957" s="9">
        <f>INDEX(Places[Majority RB '#],MATCH(Activities[[#This Row],[Jurisdiction]],Places[Jurisdiction],0))</f>
        <v>4</v>
      </c>
      <c r="F957" s="28" t="str">
        <f>VLOOKUP(Activities[[#This Row],[Jurisdiction]],Places[#All],8,FALSE)</f>
        <v>Phase I MS4</v>
      </c>
      <c r="G957" s="56" t="s">
        <v>829</v>
      </c>
      <c r="H957" s="8"/>
      <c r="I957" s="8"/>
      <c r="J957" s="8" t="s">
        <v>1894</v>
      </c>
      <c r="K957" s="27" t="s">
        <v>1873</v>
      </c>
      <c r="L957" s="28">
        <f>_xlfn.NUMBERVALUE(LEFT(Activities[[#This Row],[Fiscal Year]], 4))</f>
        <v>2015</v>
      </c>
      <c r="M957" s="28" t="s">
        <v>1862</v>
      </c>
      <c r="N957" s="41">
        <v>211994</v>
      </c>
      <c r="O957" s="93">
        <f>IF(Activities[[#This Row],[Reference Year]]&gt;2018,Activities[[#This Row],[Value]],Activities[[#This Row],[Value]]*(1+VLOOKUP(Activities[[#This Row],[Reference Year]],Inflation[#All],3,FALSE)))</f>
        <v>225081.27516455695</v>
      </c>
    </row>
    <row r="958" spans="1:15" ht="15" customHeight="1" x14ac:dyDescent="0.25">
      <c r="A958" s="9" t="s">
        <v>175</v>
      </c>
      <c r="B958" s="9" t="str">
        <f>INDEX(Places[Type],MATCH(Activities[[#This Row],[Jurisdiction]],Places[Jurisdiction],0))</f>
        <v>City</v>
      </c>
      <c r="C958" s="19" t="str">
        <f>INDEX(Places[County],MATCH(Activities[[#This Row],[Jurisdiction]],Places[Jurisdiction],0))</f>
        <v>Los Angeles</v>
      </c>
      <c r="D958" s="19" t="str">
        <f>INDEX(Places[Majority RB],MATCH(Activities[[#This Row],[Jurisdiction]],Places[Jurisdiction],0))</f>
        <v>Los Angeles</v>
      </c>
      <c r="E958" s="9">
        <f>INDEX(Places[Majority RB '#],MATCH(Activities[[#This Row],[Jurisdiction]],Places[Jurisdiction],0))</f>
        <v>4</v>
      </c>
      <c r="F958" s="28" t="str">
        <f>VLOOKUP(Activities[[#This Row],[Jurisdiction]],Places[#All],8,FALSE)</f>
        <v>Phase I MS4</v>
      </c>
      <c r="G958" s="56" t="s">
        <v>855</v>
      </c>
      <c r="H958" s="8"/>
      <c r="I958" s="8"/>
      <c r="J958" s="8" t="s">
        <v>1896</v>
      </c>
      <c r="K958" s="27" t="s">
        <v>1873</v>
      </c>
      <c r="L958" s="28">
        <f>_xlfn.NUMBERVALUE(LEFT(Activities[[#This Row],[Fiscal Year]], 4))</f>
        <v>2015</v>
      </c>
      <c r="M958" s="28" t="s">
        <v>1862</v>
      </c>
      <c r="N958" s="41">
        <v>324966</v>
      </c>
      <c r="O958" s="93">
        <f>IF(Activities[[#This Row],[Reference Year]]&gt;2018,Activities[[#This Row],[Value]],Activities[[#This Row],[Value]]*(1+VLOOKUP(Activities[[#This Row],[Reference Year]],Inflation[#All],3,FALSE)))</f>
        <v>345027.50863291137</v>
      </c>
    </row>
    <row r="959" spans="1:15" ht="15" customHeight="1" x14ac:dyDescent="0.25">
      <c r="A959" s="9" t="s">
        <v>175</v>
      </c>
      <c r="B959" s="9" t="str">
        <f>INDEX(Places[Type],MATCH(Activities[[#This Row],[Jurisdiction]],Places[Jurisdiction],0))</f>
        <v>City</v>
      </c>
      <c r="C959" s="19" t="str">
        <f>INDEX(Places[County],MATCH(Activities[[#This Row],[Jurisdiction]],Places[Jurisdiction],0))</f>
        <v>Los Angeles</v>
      </c>
      <c r="D959" s="19" t="str">
        <f>INDEX(Places[Majority RB],MATCH(Activities[[#This Row],[Jurisdiction]],Places[Jurisdiction],0))</f>
        <v>Los Angeles</v>
      </c>
      <c r="E959" s="9">
        <f>INDEX(Places[Majority RB '#],MATCH(Activities[[#This Row],[Jurisdiction]],Places[Jurisdiction],0))</f>
        <v>4</v>
      </c>
      <c r="F959" s="28" t="str">
        <f>VLOOKUP(Activities[[#This Row],[Jurisdiction]],Places[#All],8,FALSE)</f>
        <v>Phase I MS4</v>
      </c>
      <c r="G959" s="56" t="s">
        <v>854</v>
      </c>
      <c r="H959" s="8"/>
      <c r="I959" s="8"/>
      <c r="J959" s="8" t="s">
        <v>47</v>
      </c>
      <c r="K959" s="27" t="s">
        <v>1873</v>
      </c>
      <c r="L959" s="28">
        <f>_xlfn.NUMBERVALUE(LEFT(Activities[[#This Row],[Fiscal Year]], 4))</f>
        <v>2015</v>
      </c>
      <c r="M959" s="28" t="s">
        <v>1862</v>
      </c>
      <c r="N959" s="41">
        <v>159611</v>
      </c>
      <c r="O959" s="93">
        <f>IF(Activities[[#This Row],[Reference Year]]&gt;2018,Activities[[#This Row],[Value]],Activities[[#This Row],[Value]]*(1+VLOOKUP(Activities[[#This Row],[Reference Year]],Inflation[#All],3,FALSE)))</f>
        <v>169464.45375949366</v>
      </c>
    </row>
    <row r="960" spans="1:15" ht="15" customHeight="1" x14ac:dyDescent="0.25">
      <c r="A960" s="9" t="s">
        <v>147</v>
      </c>
      <c r="B960" s="9" t="str">
        <f>INDEX(Places[Type],MATCH(Activities[[#This Row],[Jurisdiction]],Places[Jurisdiction],0))</f>
        <v>City</v>
      </c>
      <c r="C960" s="19" t="str">
        <f>INDEX(Places[County],MATCH(Activities[[#This Row],[Jurisdiction]],Places[Jurisdiction],0))</f>
        <v>Los Angeles</v>
      </c>
      <c r="D960" s="9" t="str">
        <f>INDEX(Places[Majority RB],MATCH(Activities[[#This Row],[Jurisdiction]],Places[Jurisdiction],0))</f>
        <v>Los Angeles</v>
      </c>
      <c r="E960" s="9">
        <f>INDEX(Places[Majority RB '#],MATCH(Activities[[#This Row],[Jurisdiction]],Places[Jurisdiction],0))</f>
        <v>4</v>
      </c>
      <c r="F960" s="28" t="str">
        <f>VLOOKUP(Activities[[#This Row],[Jurisdiction]],Places[#All],8,FALSE)</f>
        <v>Phase I MS4</v>
      </c>
      <c r="G960" s="56" t="s">
        <v>885</v>
      </c>
      <c r="H960" s="52"/>
      <c r="I960" s="52"/>
      <c r="J960" s="8" t="s">
        <v>76</v>
      </c>
      <c r="K960" s="27" t="s">
        <v>1873</v>
      </c>
      <c r="L960" s="28">
        <f>_xlfn.NUMBERVALUE(LEFT(Activities[[#This Row],[Fiscal Year]], 4))</f>
        <v>2015</v>
      </c>
      <c r="M960" s="28" t="s">
        <v>1862</v>
      </c>
      <c r="N960" s="41">
        <v>425</v>
      </c>
      <c r="O960" s="93">
        <f>IF(Activities[[#This Row],[Reference Year]]&gt;2018,Activities[[#This Row],[Value]],Activities[[#This Row],[Value]]*(1+VLOOKUP(Activities[[#This Row],[Reference Year]],Inflation[#All],3,FALSE)))</f>
        <v>451.23702531645569</v>
      </c>
    </row>
    <row r="961" spans="1:15" ht="15" customHeight="1" x14ac:dyDescent="0.25">
      <c r="A961" s="9" t="s">
        <v>147</v>
      </c>
      <c r="B961" s="9" t="str">
        <f>INDEX(Places[Type],MATCH(Activities[[#This Row],[Jurisdiction]],Places[Jurisdiction],0))</f>
        <v>City</v>
      </c>
      <c r="C961" s="19" t="str">
        <f>INDEX(Places[County],MATCH(Activities[[#This Row],[Jurisdiction]],Places[Jurisdiction],0))</f>
        <v>Los Angeles</v>
      </c>
      <c r="D961" s="9" t="str">
        <f>INDEX(Places[Majority RB],MATCH(Activities[[#This Row],[Jurisdiction]],Places[Jurisdiction],0))</f>
        <v>Los Angeles</v>
      </c>
      <c r="E961" s="9">
        <f>INDEX(Places[Majority RB '#],MATCH(Activities[[#This Row],[Jurisdiction]],Places[Jurisdiction],0))</f>
        <v>4</v>
      </c>
      <c r="F961" s="28" t="str">
        <f>VLOOKUP(Activities[[#This Row],[Jurisdiction]],Places[#All],8,FALSE)</f>
        <v>Phase I MS4</v>
      </c>
      <c r="G961" s="48" t="s">
        <v>883</v>
      </c>
      <c r="H961" s="50" t="s">
        <v>618</v>
      </c>
      <c r="I961" s="50" t="s">
        <v>588</v>
      </c>
      <c r="J961" s="8" t="s">
        <v>131</v>
      </c>
      <c r="K961" s="27" t="s">
        <v>1873</v>
      </c>
      <c r="L961" s="28">
        <f>_xlfn.NUMBERVALUE(LEFT(Activities[[#This Row],[Fiscal Year]], 4))</f>
        <v>2015</v>
      </c>
      <c r="M961" s="28" t="s">
        <v>1862</v>
      </c>
      <c r="N961" s="41">
        <v>11126.4</v>
      </c>
      <c r="O961" s="93">
        <f>IF(Activities[[#This Row],[Reference Year]]&gt;2018,Activities[[#This Row],[Value]],Activities[[#This Row],[Value]]*(1+VLOOKUP(Activities[[#This Row],[Reference Year]],Inflation[#All],3,FALSE)))</f>
        <v>11813.279149367088</v>
      </c>
    </row>
    <row r="962" spans="1:15" ht="15" customHeight="1" x14ac:dyDescent="0.25">
      <c r="A962" s="9" t="s">
        <v>147</v>
      </c>
      <c r="B962" s="9" t="str">
        <f>INDEX(Places[Type],MATCH(Activities[[#This Row],[Jurisdiction]],Places[Jurisdiction],0))</f>
        <v>City</v>
      </c>
      <c r="C962" s="19" t="str">
        <f>INDEX(Places[County],MATCH(Activities[[#This Row],[Jurisdiction]],Places[Jurisdiction],0))</f>
        <v>Los Angeles</v>
      </c>
      <c r="D962" s="9" t="str">
        <f>INDEX(Places[Majority RB],MATCH(Activities[[#This Row],[Jurisdiction]],Places[Jurisdiction],0))</f>
        <v>Los Angeles</v>
      </c>
      <c r="E962" s="9">
        <f>INDEX(Places[Majority RB '#],MATCH(Activities[[#This Row],[Jurisdiction]],Places[Jurisdiction],0))</f>
        <v>4</v>
      </c>
      <c r="F962" s="28" t="str">
        <f>VLOOKUP(Activities[[#This Row],[Jurisdiction]],Places[#All],8,FALSE)</f>
        <v>Phase I MS4</v>
      </c>
      <c r="G962" s="56" t="s">
        <v>884</v>
      </c>
      <c r="H962" s="52"/>
      <c r="I962" s="52"/>
      <c r="J962" s="8" t="s">
        <v>131</v>
      </c>
      <c r="K962" s="27" t="s">
        <v>1873</v>
      </c>
      <c r="L962" s="28">
        <f>_xlfn.NUMBERVALUE(LEFT(Activities[[#This Row],[Fiscal Year]], 4))</f>
        <v>2015</v>
      </c>
      <c r="M962" s="28" t="s">
        <v>1862</v>
      </c>
      <c r="N962" s="41">
        <v>51403.98</v>
      </c>
      <c r="O962" s="93">
        <f>IF(Activities[[#This Row],[Reference Year]]&gt;2018,Activities[[#This Row],[Value]],Activities[[#This Row],[Value]]*(1+VLOOKUP(Activities[[#This Row],[Reference Year]],Inflation[#All],3,FALSE)))</f>
        <v>54577.362410886075</v>
      </c>
    </row>
    <row r="963" spans="1:15" ht="15" customHeight="1" x14ac:dyDescent="0.25">
      <c r="A963" s="9" t="s">
        <v>147</v>
      </c>
      <c r="B963" s="9" t="str">
        <f>INDEX(Places[Type],MATCH(Activities[[#This Row],[Jurisdiction]],Places[Jurisdiction],0))</f>
        <v>City</v>
      </c>
      <c r="C963" s="19" t="str">
        <f>INDEX(Places[County],MATCH(Activities[[#This Row],[Jurisdiction]],Places[Jurisdiction],0))</f>
        <v>Los Angeles</v>
      </c>
      <c r="D963" s="9" t="str">
        <f>INDEX(Places[Majority RB],MATCH(Activities[[#This Row],[Jurisdiction]],Places[Jurisdiction],0))</f>
        <v>Los Angeles</v>
      </c>
      <c r="E963" s="9">
        <f>INDEX(Places[Majority RB '#],MATCH(Activities[[#This Row],[Jurisdiction]],Places[Jurisdiction],0))</f>
        <v>4</v>
      </c>
      <c r="F963" s="28" t="str">
        <f>VLOOKUP(Activities[[#This Row],[Jurisdiction]],Places[#All],8,FALSE)</f>
        <v>Phase I MS4</v>
      </c>
      <c r="G963" s="56" t="s">
        <v>871</v>
      </c>
      <c r="H963" s="8"/>
      <c r="I963" s="8"/>
      <c r="J963" s="8" t="s">
        <v>334</v>
      </c>
      <c r="K963" s="27" t="s">
        <v>1873</v>
      </c>
      <c r="L963" s="28">
        <f>_xlfn.NUMBERVALUE(LEFT(Activities[[#This Row],[Fiscal Year]], 4))</f>
        <v>2015</v>
      </c>
      <c r="M963" s="28" t="s">
        <v>1862</v>
      </c>
      <c r="N963" s="41">
        <v>60</v>
      </c>
      <c r="O963" s="93">
        <f>IF(Activities[[#This Row],[Reference Year]]&gt;2018,Activities[[#This Row],[Value]],Activities[[#This Row],[Value]]*(1+VLOOKUP(Activities[[#This Row],[Reference Year]],Inflation[#All],3,FALSE)))</f>
        <v>63.70405063291139</v>
      </c>
    </row>
    <row r="964" spans="1:15" ht="15" customHeight="1" x14ac:dyDescent="0.25">
      <c r="A964" s="9" t="s">
        <v>147</v>
      </c>
      <c r="B964" s="9" t="str">
        <f>INDEX(Places[Type],MATCH(Activities[[#This Row],[Jurisdiction]],Places[Jurisdiction],0))</f>
        <v>City</v>
      </c>
      <c r="C964" s="19" t="str">
        <f>INDEX(Places[County],MATCH(Activities[[#This Row],[Jurisdiction]],Places[Jurisdiction],0))</f>
        <v>Los Angeles</v>
      </c>
      <c r="D964" s="9" t="str">
        <f>INDEX(Places[Majority RB],MATCH(Activities[[#This Row],[Jurisdiction]],Places[Jurisdiction],0))</f>
        <v>Los Angeles</v>
      </c>
      <c r="E964" s="9">
        <f>INDEX(Places[Majority RB '#],MATCH(Activities[[#This Row],[Jurisdiction]],Places[Jurisdiction],0))</f>
        <v>4</v>
      </c>
      <c r="F964" s="28" t="str">
        <f>VLOOKUP(Activities[[#This Row],[Jurisdiction]],Places[#All],8,FALSE)</f>
        <v>Phase I MS4</v>
      </c>
      <c r="G964" s="56" t="s">
        <v>870</v>
      </c>
      <c r="H964" s="8"/>
      <c r="I964" s="8"/>
      <c r="J964" s="8" t="s">
        <v>334</v>
      </c>
      <c r="K964" s="27" t="s">
        <v>1873</v>
      </c>
      <c r="L964" s="28">
        <f>_xlfn.NUMBERVALUE(LEFT(Activities[[#This Row],[Fiscal Year]], 4))</f>
        <v>2015</v>
      </c>
      <c r="M964" s="28" t="s">
        <v>1862</v>
      </c>
      <c r="N964" s="41">
        <v>825</v>
      </c>
      <c r="O964" s="93">
        <f>IF(Activities[[#This Row],[Reference Year]]&gt;2018,Activities[[#This Row],[Value]],Activities[[#This Row],[Value]]*(1+VLOOKUP(Activities[[#This Row],[Reference Year]],Inflation[#All],3,FALSE)))</f>
        <v>875.93069620253164</v>
      </c>
    </row>
    <row r="965" spans="1:15" ht="15" customHeight="1" x14ac:dyDescent="0.25">
      <c r="A965" s="9" t="s">
        <v>147</v>
      </c>
      <c r="B965" s="9" t="str">
        <f>INDEX(Places[Type],MATCH(Activities[[#This Row],[Jurisdiction]],Places[Jurisdiction],0))</f>
        <v>City</v>
      </c>
      <c r="C965" s="19" t="str">
        <f>INDEX(Places[County],MATCH(Activities[[#This Row],[Jurisdiction]],Places[Jurisdiction],0))</f>
        <v>Los Angeles</v>
      </c>
      <c r="D965" s="9" t="str">
        <f>INDEX(Places[Majority RB],MATCH(Activities[[#This Row],[Jurisdiction]],Places[Jurisdiction],0))</f>
        <v>Los Angeles</v>
      </c>
      <c r="E965" s="9">
        <f>INDEX(Places[Majority RB '#],MATCH(Activities[[#This Row],[Jurisdiction]],Places[Jurisdiction],0))</f>
        <v>4</v>
      </c>
      <c r="F965" s="28" t="str">
        <f>VLOOKUP(Activities[[#This Row],[Jurisdiction]],Places[#All],8,FALSE)</f>
        <v>Phase I MS4</v>
      </c>
      <c r="G965" s="56" t="s">
        <v>869</v>
      </c>
      <c r="H965" s="52"/>
      <c r="I965" s="52"/>
      <c r="J965" s="8" t="s">
        <v>334</v>
      </c>
      <c r="K965" s="27" t="s">
        <v>1873</v>
      </c>
      <c r="L965" s="28">
        <f>_xlfn.NUMBERVALUE(LEFT(Activities[[#This Row],[Fiscal Year]], 4))</f>
        <v>2015</v>
      </c>
      <c r="M965" s="28" t="s">
        <v>1862</v>
      </c>
      <c r="N965" s="41">
        <v>20601.07</v>
      </c>
      <c r="O965" s="93">
        <f>IF(Activities[[#This Row],[Reference Year]]&gt;2018,Activities[[#This Row],[Value]],Activities[[#This Row],[Value]]*(1+VLOOKUP(Activities[[#This Row],[Reference Year]],Inflation[#All],3,FALSE)))</f>
        <v>21872.86010620253</v>
      </c>
    </row>
    <row r="966" spans="1:15" ht="15" customHeight="1" x14ac:dyDescent="0.25">
      <c r="A966" s="9" t="s">
        <v>147</v>
      </c>
      <c r="B966" s="9" t="str">
        <f>INDEX(Places[Type],MATCH(Activities[[#This Row],[Jurisdiction]],Places[Jurisdiction],0))</f>
        <v>City</v>
      </c>
      <c r="C966" s="19" t="str">
        <f>INDEX(Places[County],MATCH(Activities[[#This Row],[Jurisdiction]],Places[Jurisdiction],0))</f>
        <v>Los Angeles</v>
      </c>
      <c r="D966" s="9" t="str">
        <f>INDEX(Places[Majority RB],MATCH(Activities[[#This Row],[Jurisdiction]],Places[Jurisdiction],0))</f>
        <v>Los Angeles</v>
      </c>
      <c r="E966" s="9">
        <f>INDEX(Places[Majority RB '#],MATCH(Activities[[#This Row],[Jurisdiction]],Places[Jurisdiction],0))</f>
        <v>4</v>
      </c>
      <c r="F966" s="28" t="str">
        <f>VLOOKUP(Activities[[#This Row],[Jurisdiction]],Places[#All],8,FALSE)</f>
        <v>Phase I MS4</v>
      </c>
      <c r="G966" s="56" t="s">
        <v>872</v>
      </c>
      <c r="H966" s="52"/>
      <c r="I966" s="52"/>
      <c r="J966" s="8" t="s">
        <v>71</v>
      </c>
      <c r="K966" s="27" t="s">
        <v>1873</v>
      </c>
      <c r="L966" s="28">
        <f>_xlfn.NUMBERVALUE(LEFT(Activities[[#This Row],[Fiscal Year]], 4))</f>
        <v>2015</v>
      </c>
      <c r="M966" s="28" t="s">
        <v>1862</v>
      </c>
      <c r="N966" s="41">
        <v>179721.07</v>
      </c>
      <c r="O966" s="93">
        <f>IF(Activities[[#This Row],[Reference Year]]&gt;2018,Activities[[#This Row],[Value]],Activities[[#This Row],[Value]]*(1+VLOOKUP(Activities[[#This Row],[Reference Year]],Inflation[#All],3,FALSE)))</f>
        <v>190816.00238468355</v>
      </c>
    </row>
    <row r="967" spans="1:15" ht="15" customHeight="1" x14ac:dyDescent="0.25">
      <c r="A967" s="9" t="s">
        <v>147</v>
      </c>
      <c r="B967" s="9" t="str">
        <f>INDEX(Places[Type],MATCH(Activities[[#This Row],[Jurisdiction]],Places[Jurisdiction],0))</f>
        <v>City</v>
      </c>
      <c r="C967" s="19" t="str">
        <f>INDEX(Places[County],MATCH(Activities[[#This Row],[Jurisdiction]],Places[Jurisdiction],0))</f>
        <v>Los Angeles</v>
      </c>
      <c r="D967" s="9" t="str">
        <f>INDEX(Places[Majority RB],MATCH(Activities[[#This Row],[Jurisdiction]],Places[Jurisdiction],0))</f>
        <v>Los Angeles</v>
      </c>
      <c r="E967" s="9">
        <f>INDEX(Places[Majority RB '#],MATCH(Activities[[#This Row],[Jurisdiction]],Places[Jurisdiction],0))</f>
        <v>4</v>
      </c>
      <c r="F967" s="28" t="str">
        <f>VLOOKUP(Activities[[#This Row],[Jurisdiction]],Places[#All],8,FALSE)</f>
        <v>Phase I MS4</v>
      </c>
      <c r="G967" s="48" t="s">
        <v>877</v>
      </c>
      <c r="H967" s="8"/>
      <c r="I967" s="8"/>
      <c r="J967" s="8" t="s">
        <v>1897</v>
      </c>
      <c r="K967" s="27" t="s">
        <v>1873</v>
      </c>
      <c r="L967" s="28">
        <f>_xlfn.NUMBERVALUE(LEFT(Activities[[#This Row],[Fiscal Year]], 4))</f>
        <v>2015</v>
      </c>
      <c r="M967" s="28" t="s">
        <v>1862</v>
      </c>
      <c r="N967" s="41">
        <v>4767.5</v>
      </c>
      <c r="O967" s="93">
        <f>IF(Activities[[#This Row],[Reference Year]]&gt;2018,Activities[[#This Row],[Value]],Activities[[#This Row],[Value]]*(1+VLOOKUP(Activities[[#This Row],[Reference Year]],Inflation[#All],3,FALSE)))</f>
        <v>5061.8176898734173</v>
      </c>
    </row>
    <row r="968" spans="1:15" ht="15" customHeight="1" x14ac:dyDescent="0.25">
      <c r="A968" s="9" t="s">
        <v>147</v>
      </c>
      <c r="B968" s="9" t="str">
        <f>INDEX(Places[Type],MATCH(Activities[[#This Row],[Jurisdiction]],Places[Jurisdiction],0))</f>
        <v>City</v>
      </c>
      <c r="C968" s="19" t="str">
        <f>INDEX(Places[County],MATCH(Activities[[#This Row],[Jurisdiction]],Places[Jurisdiction],0))</f>
        <v>Los Angeles</v>
      </c>
      <c r="D968" s="9" t="str">
        <f>INDEX(Places[Majority RB],MATCH(Activities[[#This Row],[Jurisdiction]],Places[Jurisdiction],0))</f>
        <v>Los Angeles</v>
      </c>
      <c r="E968" s="9">
        <f>INDEX(Places[Majority RB '#],MATCH(Activities[[#This Row],[Jurisdiction]],Places[Jurisdiction],0))</f>
        <v>4</v>
      </c>
      <c r="F968" s="28" t="str">
        <f>VLOOKUP(Activities[[#This Row],[Jurisdiction]],Places[#All],8,FALSE)</f>
        <v>Phase I MS4</v>
      </c>
      <c r="G968" s="56" t="s">
        <v>876</v>
      </c>
      <c r="H968" s="52"/>
      <c r="I968" s="52"/>
      <c r="J968" s="8" t="s">
        <v>1897</v>
      </c>
      <c r="K968" s="27" t="s">
        <v>1873</v>
      </c>
      <c r="L968" s="28">
        <f>_xlfn.NUMBERVALUE(LEFT(Activities[[#This Row],[Fiscal Year]], 4))</f>
        <v>2015</v>
      </c>
      <c r="M968" s="28" t="s">
        <v>1862</v>
      </c>
      <c r="N968" s="41">
        <v>5567.5</v>
      </c>
      <c r="O968" s="93">
        <f>IF(Activities[[#This Row],[Reference Year]]&gt;2018,Activities[[#This Row],[Value]],Activities[[#This Row],[Value]]*(1+VLOOKUP(Activities[[#This Row],[Reference Year]],Inflation[#All],3,FALSE)))</f>
        <v>5911.2050316455689</v>
      </c>
    </row>
    <row r="969" spans="1:15" ht="15" customHeight="1" x14ac:dyDescent="0.25">
      <c r="A969" s="9" t="s">
        <v>147</v>
      </c>
      <c r="B969" s="9" t="str">
        <f>INDEX(Places[Type],MATCH(Activities[[#This Row],[Jurisdiction]],Places[Jurisdiction],0))</f>
        <v>City</v>
      </c>
      <c r="C969" s="19" t="str">
        <f>INDEX(Places[County],MATCH(Activities[[#This Row],[Jurisdiction]],Places[Jurisdiction],0))</f>
        <v>Los Angeles</v>
      </c>
      <c r="D969" s="9" t="str">
        <f>INDEX(Places[Majority RB],MATCH(Activities[[#This Row],[Jurisdiction]],Places[Jurisdiction],0))</f>
        <v>Los Angeles</v>
      </c>
      <c r="E969" s="9">
        <f>INDEX(Places[Majority RB '#],MATCH(Activities[[#This Row],[Jurisdiction]],Places[Jurisdiction],0))</f>
        <v>4</v>
      </c>
      <c r="F969" s="28" t="str">
        <f>VLOOKUP(Activities[[#This Row],[Jurisdiction]],Places[#All],8,FALSE)</f>
        <v>Phase I MS4</v>
      </c>
      <c r="G969" s="48" t="s">
        <v>878</v>
      </c>
      <c r="H969" s="8"/>
      <c r="I969" s="8"/>
      <c r="J969" s="8" t="s">
        <v>1897</v>
      </c>
      <c r="K969" s="27" t="s">
        <v>1873</v>
      </c>
      <c r="L969" s="28">
        <f>_xlfn.NUMBERVALUE(LEFT(Activities[[#This Row],[Fiscal Year]], 4))</f>
        <v>2015</v>
      </c>
      <c r="M969" s="28" t="s">
        <v>1862</v>
      </c>
      <c r="N969" s="41">
        <v>5970</v>
      </c>
      <c r="O969" s="93">
        <f>IF(Activities[[#This Row],[Reference Year]]&gt;2018,Activities[[#This Row],[Value]],Activities[[#This Row],[Value]]*(1+VLOOKUP(Activities[[#This Row],[Reference Year]],Inflation[#All],3,FALSE)))</f>
        <v>6338.5530379746833</v>
      </c>
    </row>
    <row r="970" spans="1:15" ht="15" customHeight="1" x14ac:dyDescent="0.25">
      <c r="A970" s="9" t="s">
        <v>147</v>
      </c>
      <c r="B970" s="9" t="str">
        <f>INDEX(Places[Type],MATCH(Activities[[#This Row],[Jurisdiction]],Places[Jurisdiction],0))</f>
        <v>City</v>
      </c>
      <c r="C970" s="19" t="str">
        <f>INDEX(Places[County],MATCH(Activities[[#This Row],[Jurisdiction]],Places[Jurisdiction],0))</f>
        <v>Los Angeles</v>
      </c>
      <c r="D970" s="9" t="str">
        <f>INDEX(Places[Majority RB],MATCH(Activities[[#This Row],[Jurisdiction]],Places[Jurisdiction],0))</f>
        <v>Los Angeles</v>
      </c>
      <c r="E970" s="9">
        <f>INDEX(Places[Majority RB '#],MATCH(Activities[[#This Row],[Jurisdiction]],Places[Jurisdiction],0))</f>
        <v>4</v>
      </c>
      <c r="F970" s="28" t="str">
        <f>VLOOKUP(Activities[[#This Row],[Jurisdiction]],Places[#All],8,FALSE)</f>
        <v>Phase I MS4</v>
      </c>
      <c r="G970" s="48" t="s">
        <v>875</v>
      </c>
      <c r="H970" s="8"/>
      <c r="I970" s="8"/>
      <c r="J970" s="8" t="s">
        <v>1898</v>
      </c>
      <c r="K970" s="27" t="s">
        <v>1873</v>
      </c>
      <c r="L970" s="28">
        <f>_xlfn.NUMBERVALUE(LEFT(Activities[[#This Row],[Fiscal Year]], 4))</f>
        <v>2015</v>
      </c>
      <c r="M970" s="28" t="s">
        <v>1862</v>
      </c>
      <c r="N970" s="41">
        <v>39583.35</v>
      </c>
      <c r="O970" s="93">
        <f>IF(Activities[[#This Row],[Reference Year]]&gt;2018,Activities[[#This Row],[Value]],Activities[[#This Row],[Value]]*(1+VLOOKUP(Activities[[#This Row],[Reference Year]],Inflation[#All],3,FALSE)))</f>
        <v>42026.995543670884</v>
      </c>
    </row>
    <row r="971" spans="1:15" ht="15" customHeight="1" x14ac:dyDescent="0.25">
      <c r="A971" s="9" t="s">
        <v>147</v>
      </c>
      <c r="B971" s="9" t="str">
        <f>INDEX(Places[Type],MATCH(Activities[[#This Row],[Jurisdiction]],Places[Jurisdiction],0))</f>
        <v>City</v>
      </c>
      <c r="C971" s="19" t="str">
        <f>INDEX(Places[County],MATCH(Activities[[#This Row],[Jurisdiction]],Places[Jurisdiction],0))</f>
        <v>Los Angeles</v>
      </c>
      <c r="D971" s="9" t="str">
        <f>INDEX(Places[Majority RB],MATCH(Activities[[#This Row],[Jurisdiction]],Places[Jurisdiction],0))</f>
        <v>Los Angeles</v>
      </c>
      <c r="E971" s="9">
        <f>INDEX(Places[Majority RB '#],MATCH(Activities[[#This Row],[Jurisdiction]],Places[Jurisdiction],0))</f>
        <v>4</v>
      </c>
      <c r="F971" s="28" t="str">
        <f>VLOOKUP(Activities[[#This Row],[Jurisdiction]],Places[#All],8,FALSE)</f>
        <v>Phase I MS4</v>
      </c>
      <c r="G971" s="48" t="s">
        <v>873</v>
      </c>
      <c r="H971" s="8"/>
      <c r="I971" s="8"/>
      <c r="J971" s="8" t="s">
        <v>1898</v>
      </c>
      <c r="K971" s="27" t="s">
        <v>1873</v>
      </c>
      <c r="L971" s="28">
        <f>_xlfn.NUMBERVALUE(LEFT(Activities[[#This Row],[Fiscal Year]], 4))</f>
        <v>2015</v>
      </c>
      <c r="M971" s="28" t="s">
        <v>1862</v>
      </c>
      <c r="N971" s="41">
        <v>611913.04</v>
      </c>
      <c r="O971" s="93">
        <f>IF(Activities[[#This Row],[Reference Year]]&gt;2018,Activities[[#This Row],[Value]],Activities[[#This Row],[Value]]*(1+VLOOKUP(Activities[[#This Row],[Reference Year]],Inflation[#All],3,FALSE)))</f>
        <v>649688.98805164557</v>
      </c>
    </row>
    <row r="972" spans="1:15" ht="15" customHeight="1" x14ac:dyDescent="0.25">
      <c r="A972" s="9" t="s">
        <v>147</v>
      </c>
      <c r="B972" s="9" t="str">
        <f>INDEX(Places[Type],MATCH(Activities[[#This Row],[Jurisdiction]],Places[Jurisdiction],0))</f>
        <v>City</v>
      </c>
      <c r="C972" s="19" t="str">
        <f>INDEX(Places[County],MATCH(Activities[[#This Row],[Jurisdiction]],Places[Jurisdiction],0))</f>
        <v>Los Angeles</v>
      </c>
      <c r="D972" s="9" t="str">
        <f>INDEX(Places[Majority RB],MATCH(Activities[[#This Row],[Jurisdiction]],Places[Jurisdiction],0))</f>
        <v>Los Angeles</v>
      </c>
      <c r="E972" s="9">
        <f>INDEX(Places[Majority RB '#],MATCH(Activities[[#This Row],[Jurisdiction]],Places[Jurisdiction],0))</f>
        <v>4</v>
      </c>
      <c r="F972" s="28" t="str">
        <f>VLOOKUP(Activities[[#This Row],[Jurisdiction]],Places[#All],8,FALSE)</f>
        <v>Phase I MS4</v>
      </c>
      <c r="G972" s="56" t="s">
        <v>874</v>
      </c>
      <c r="H972" s="52"/>
      <c r="I972" s="52"/>
      <c r="J972" s="8" t="s">
        <v>1898</v>
      </c>
      <c r="K972" s="27" t="s">
        <v>1873</v>
      </c>
      <c r="L972" s="28">
        <f>_xlfn.NUMBERVALUE(LEFT(Activities[[#This Row],[Fiscal Year]], 4))</f>
        <v>2015</v>
      </c>
      <c r="M972" s="28" t="s">
        <v>1862</v>
      </c>
      <c r="N972" s="41">
        <v>3658000</v>
      </c>
      <c r="O972" s="93">
        <f>IF(Activities[[#This Row],[Reference Year]]&gt;2018,Activities[[#This Row],[Value]],Activities[[#This Row],[Value]]*(1+VLOOKUP(Activities[[#This Row],[Reference Year]],Inflation[#All],3,FALSE)))</f>
        <v>3883823.6202531643</v>
      </c>
    </row>
    <row r="973" spans="1:15" ht="15" customHeight="1" x14ac:dyDescent="0.25">
      <c r="A973" s="9" t="s">
        <v>147</v>
      </c>
      <c r="B973" s="9" t="str">
        <f>INDEX(Places[Type],MATCH(Activities[[#This Row],[Jurisdiction]],Places[Jurisdiction],0))</f>
        <v>City</v>
      </c>
      <c r="C973" s="19" t="str">
        <f>INDEX(Places[County],MATCH(Activities[[#This Row],[Jurisdiction]],Places[Jurisdiction],0))</f>
        <v>Los Angeles</v>
      </c>
      <c r="D973" s="9" t="str">
        <f>INDEX(Places[Majority RB],MATCH(Activities[[#This Row],[Jurisdiction]],Places[Jurisdiction],0))</f>
        <v>Los Angeles</v>
      </c>
      <c r="E973" s="9">
        <f>INDEX(Places[Majority RB '#],MATCH(Activities[[#This Row],[Jurisdiction]],Places[Jurisdiction],0))</f>
        <v>4</v>
      </c>
      <c r="F973" s="28" t="str">
        <f>VLOOKUP(Activities[[#This Row],[Jurisdiction]],Places[#All],8,FALSE)</f>
        <v>Phase I MS4</v>
      </c>
      <c r="G973" s="56" t="s">
        <v>866</v>
      </c>
      <c r="H973" s="52"/>
      <c r="I973" s="52"/>
      <c r="J973" s="8" t="s">
        <v>1456</v>
      </c>
      <c r="K973" s="27" t="s">
        <v>1873</v>
      </c>
      <c r="L973" s="28">
        <f>_xlfn.NUMBERVALUE(LEFT(Activities[[#This Row],[Fiscal Year]], 4))</f>
        <v>2015</v>
      </c>
      <c r="M973" s="28" t="s">
        <v>1862</v>
      </c>
      <c r="N973" s="41">
        <v>300</v>
      </c>
      <c r="O973" s="93">
        <f>IF(Activities[[#This Row],[Reference Year]]&gt;2018,Activities[[#This Row],[Value]],Activities[[#This Row],[Value]]*(1+VLOOKUP(Activities[[#This Row],[Reference Year]],Inflation[#All],3,FALSE)))</f>
        <v>318.52025316455695</v>
      </c>
    </row>
    <row r="974" spans="1:15" ht="15" customHeight="1" x14ac:dyDescent="0.25">
      <c r="A974" s="9" t="s">
        <v>147</v>
      </c>
      <c r="B974" s="9" t="str">
        <f>INDEX(Places[Type],MATCH(Activities[[#This Row],[Jurisdiction]],Places[Jurisdiction],0))</f>
        <v>City</v>
      </c>
      <c r="C974" s="19" t="str">
        <f>INDEX(Places[County],MATCH(Activities[[#This Row],[Jurisdiction]],Places[Jurisdiction],0))</f>
        <v>Los Angeles</v>
      </c>
      <c r="D974" s="9" t="str">
        <f>INDEX(Places[Majority RB],MATCH(Activities[[#This Row],[Jurisdiction]],Places[Jurisdiction],0))</f>
        <v>Los Angeles</v>
      </c>
      <c r="E974" s="9">
        <f>INDEX(Places[Majority RB '#],MATCH(Activities[[#This Row],[Jurisdiction]],Places[Jurisdiction],0))</f>
        <v>4</v>
      </c>
      <c r="F974" s="28" t="str">
        <f>VLOOKUP(Activities[[#This Row],[Jurisdiction]],Places[#All],8,FALSE)</f>
        <v>Phase I MS4</v>
      </c>
      <c r="G974" s="48" t="s">
        <v>867</v>
      </c>
      <c r="H974" s="8" t="s">
        <v>606</v>
      </c>
      <c r="I974" s="8" t="s">
        <v>458</v>
      </c>
      <c r="J974" s="8" t="s">
        <v>1456</v>
      </c>
      <c r="K974" s="27" t="s">
        <v>1873</v>
      </c>
      <c r="L974" s="28">
        <f>_xlfn.NUMBERVALUE(LEFT(Activities[[#This Row],[Fiscal Year]], 4))</f>
        <v>2015</v>
      </c>
      <c r="M974" s="28" t="s">
        <v>1862</v>
      </c>
      <c r="N974" s="41">
        <v>935</v>
      </c>
      <c r="O974" s="93">
        <f>IF(Activities[[#This Row],[Reference Year]]&gt;2018,Activities[[#This Row],[Value]],Activities[[#This Row],[Value]]*(1+VLOOKUP(Activities[[#This Row],[Reference Year]],Inflation[#All],3,FALSE)))</f>
        <v>992.7214556962025</v>
      </c>
    </row>
    <row r="975" spans="1:15" ht="15" customHeight="1" x14ac:dyDescent="0.25">
      <c r="A975" s="9" t="s">
        <v>147</v>
      </c>
      <c r="B975" s="9" t="str">
        <f>INDEX(Places[Type],MATCH(Activities[[#This Row],[Jurisdiction]],Places[Jurisdiction],0))</f>
        <v>City</v>
      </c>
      <c r="C975" s="19" t="str">
        <f>INDEX(Places[County],MATCH(Activities[[#This Row],[Jurisdiction]],Places[Jurisdiction],0))</f>
        <v>Los Angeles</v>
      </c>
      <c r="D975" s="9" t="str">
        <f>INDEX(Places[Majority RB],MATCH(Activities[[#This Row],[Jurisdiction]],Places[Jurisdiction],0))</f>
        <v>Los Angeles</v>
      </c>
      <c r="E975" s="9">
        <f>INDEX(Places[Majority RB '#],MATCH(Activities[[#This Row],[Jurisdiction]],Places[Jurisdiction],0))</f>
        <v>4</v>
      </c>
      <c r="F975" s="28" t="str">
        <f>VLOOKUP(Activities[[#This Row],[Jurisdiction]],Places[#All],8,FALSE)</f>
        <v>Phase I MS4</v>
      </c>
      <c r="G975" s="48" t="s">
        <v>865</v>
      </c>
      <c r="H975" s="8"/>
      <c r="I975" s="8"/>
      <c r="J975" s="8" t="s">
        <v>1894</v>
      </c>
      <c r="K975" s="27" t="s">
        <v>1873</v>
      </c>
      <c r="L975" s="28">
        <f>_xlfn.NUMBERVALUE(LEFT(Activities[[#This Row],[Fiscal Year]], 4))</f>
        <v>2015</v>
      </c>
      <c r="M975" s="28" t="s">
        <v>1862</v>
      </c>
      <c r="N975" s="41">
        <v>7791.37</v>
      </c>
      <c r="O975" s="93">
        <f>IF(Activities[[#This Row],[Reference Year]]&gt;2018,Activities[[#This Row],[Value]],Activities[[#This Row],[Value]]*(1+VLOOKUP(Activities[[#This Row],[Reference Year]],Inflation[#All],3,FALSE)))</f>
        <v>8272.3638163291125</v>
      </c>
    </row>
    <row r="976" spans="1:15" ht="15" customHeight="1" x14ac:dyDescent="0.25">
      <c r="A976" s="9" t="s">
        <v>147</v>
      </c>
      <c r="B976" s="9" t="str">
        <f>INDEX(Places[Type],MATCH(Activities[[#This Row],[Jurisdiction]],Places[Jurisdiction],0))</f>
        <v>City</v>
      </c>
      <c r="C976" s="19" t="str">
        <f>INDEX(Places[County],MATCH(Activities[[#This Row],[Jurisdiction]],Places[Jurisdiction],0))</f>
        <v>Los Angeles</v>
      </c>
      <c r="D976" s="19" t="str">
        <f>INDEX(Places[Majority RB],MATCH(Activities[[#This Row],[Jurisdiction]],Places[Jurisdiction],0))</f>
        <v>Los Angeles</v>
      </c>
      <c r="E976" s="9">
        <f>INDEX(Places[Majority RB '#],MATCH(Activities[[#This Row],[Jurisdiction]],Places[Jurisdiction],0))</f>
        <v>4</v>
      </c>
      <c r="F976" s="28" t="str">
        <f>VLOOKUP(Activities[[#This Row],[Jurisdiction]],Places[#All],8,FALSE)</f>
        <v>Phase I MS4</v>
      </c>
      <c r="G976" s="48" t="s">
        <v>863</v>
      </c>
      <c r="H976" s="50" t="s">
        <v>458</v>
      </c>
      <c r="I976" s="94" t="s">
        <v>607</v>
      </c>
      <c r="J976" s="8" t="s">
        <v>1894</v>
      </c>
      <c r="K976" s="27" t="s">
        <v>1873</v>
      </c>
      <c r="L976" s="28">
        <f>_xlfn.NUMBERVALUE(LEFT(Activities[[#This Row],[Fiscal Year]], 4))</f>
        <v>2015</v>
      </c>
      <c r="M976" s="28" t="s">
        <v>1862</v>
      </c>
      <c r="N976" s="41">
        <v>10980</v>
      </c>
      <c r="O976" s="93">
        <f>IF(Activities[[#This Row],[Reference Year]]&gt;2018,Activities[[#This Row],[Value]],Activities[[#This Row],[Value]]*(1+VLOOKUP(Activities[[#This Row],[Reference Year]],Inflation[#All],3,FALSE)))</f>
        <v>11657.841265822784</v>
      </c>
    </row>
    <row r="977" spans="1:15" ht="15" customHeight="1" x14ac:dyDescent="0.25">
      <c r="A977" s="9" t="s">
        <v>147</v>
      </c>
      <c r="B977" s="9" t="str">
        <f>INDEX(Places[Type],MATCH(Activities[[#This Row],[Jurisdiction]],Places[Jurisdiction],0))</f>
        <v>City</v>
      </c>
      <c r="C977" s="19" t="str">
        <f>INDEX(Places[County],MATCH(Activities[[#This Row],[Jurisdiction]],Places[Jurisdiction],0))</f>
        <v>Los Angeles</v>
      </c>
      <c r="D977" s="9" t="str">
        <f>INDEX(Places[Majority RB],MATCH(Activities[[#This Row],[Jurisdiction]],Places[Jurisdiction],0))</f>
        <v>Los Angeles</v>
      </c>
      <c r="E977" s="9">
        <f>INDEX(Places[Majority RB '#],MATCH(Activities[[#This Row],[Jurisdiction]],Places[Jurisdiction],0))</f>
        <v>4</v>
      </c>
      <c r="F977" s="28" t="str">
        <f>VLOOKUP(Activities[[#This Row],[Jurisdiction]],Places[#All],8,FALSE)</f>
        <v>Phase I MS4</v>
      </c>
      <c r="G977" s="48" t="s">
        <v>864</v>
      </c>
      <c r="H977" s="8"/>
      <c r="I977" s="8"/>
      <c r="J977" s="8" t="s">
        <v>1894</v>
      </c>
      <c r="K977" s="27" t="s">
        <v>1873</v>
      </c>
      <c r="L977" s="28">
        <f>_xlfn.NUMBERVALUE(LEFT(Activities[[#This Row],[Fiscal Year]], 4))</f>
        <v>2015</v>
      </c>
      <c r="M977" s="28" t="s">
        <v>1862</v>
      </c>
      <c r="N977" s="41">
        <v>97138.95</v>
      </c>
      <c r="O977" s="93">
        <f>IF(Activities[[#This Row],[Reference Year]]&gt;2018,Activities[[#This Row],[Value]],Activities[[#This Row],[Value]]*(1+VLOOKUP(Activities[[#This Row],[Reference Year]],Inflation[#All],3,FALSE)))</f>
        <v>103135.74315379746</v>
      </c>
    </row>
    <row r="978" spans="1:15" ht="15" customHeight="1" x14ac:dyDescent="0.25">
      <c r="A978" s="9" t="s">
        <v>284</v>
      </c>
      <c r="B978" s="9" t="str">
        <f>INDEX(Places[Type],MATCH(Activities[[#This Row],[Jurisdiction]],Places[Jurisdiction],0))</f>
        <v>City</v>
      </c>
      <c r="C978" s="19" t="str">
        <f>INDEX(Places[County],MATCH(Activities[[#This Row],[Jurisdiction]],Places[Jurisdiction],0))</f>
        <v>Orange</v>
      </c>
      <c r="D978" s="9" t="str">
        <f>INDEX(Places[Majority RB],MATCH(Activities[[#This Row],[Jurisdiction]],Places[Jurisdiction],0))</f>
        <v>San Diego</v>
      </c>
      <c r="E978" s="9">
        <f>INDEX(Places[Majority RB '#],MATCH(Activities[[#This Row],[Jurisdiction]],Places[Jurisdiction],0))</f>
        <v>9</v>
      </c>
      <c r="F978" s="28" t="str">
        <f>VLOOKUP(Activities[[#This Row],[Jurisdiction]],Places[#All],8,FALSE)</f>
        <v>Phase I MS4</v>
      </c>
      <c r="G978" s="48" t="s">
        <v>1026</v>
      </c>
      <c r="H978" s="8"/>
      <c r="I978" s="8" t="s">
        <v>612</v>
      </c>
      <c r="J978" s="8" t="s">
        <v>76</v>
      </c>
      <c r="K978" s="27" t="s">
        <v>1874</v>
      </c>
      <c r="L978" s="28">
        <f>_xlfn.NUMBERVALUE(LEFT(Activities[[#This Row],[Fiscal Year]], 4))</f>
        <v>2017</v>
      </c>
      <c r="M978" s="28" t="s">
        <v>1862</v>
      </c>
      <c r="N978" s="41">
        <v>849154</v>
      </c>
      <c r="O978" s="93">
        <f>IF(Activities[[#This Row],[Reference Year]]&gt;2018,Activities[[#This Row],[Value]],Activities[[#This Row],[Value]]*(1+VLOOKUP(Activities[[#This Row],[Reference Year]],Inflation[#All],3,FALSE)))</f>
        <v>871780.78406364762</v>
      </c>
    </row>
    <row r="979" spans="1:15" ht="15" customHeight="1" x14ac:dyDescent="0.25">
      <c r="A979" s="9" t="s">
        <v>284</v>
      </c>
      <c r="B979" s="9" t="str">
        <f>INDEX(Places[Type],MATCH(Activities[[#This Row],[Jurisdiction]],Places[Jurisdiction],0))</f>
        <v>City</v>
      </c>
      <c r="C979" s="19" t="str">
        <f>INDEX(Places[County],MATCH(Activities[[#This Row],[Jurisdiction]],Places[Jurisdiction],0))</f>
        <v>Orange</v>
      </c>
      <c r="D979" s="9" t="str">
        <f>INDEX(Places[Majority RB],MATCH(Activities[[#This Row],[Jurisdiction]],Places[Jurisdiction],0))</f>
        <v>San Diego</v>
      </c>
      <c r="E979" s="9">
        <f>INDEX(Places[Majority RB '#],MATCH(Activities[[#This Row],[Jurisdiction]],Places[Jurisdiction],0))</f>
        <v>9</v>
      </c>
      <c r="F979" s="28" t="str">
        <f>VLOOKUP(Activities[[#This Row],[Jurisdiction]],Places[#All],8,FALSE)</f>
        <v>Phase I MS4</v>
      </c>
      <c r="G979" s="48" t="s">
        <v>1025</v>
      </c>
      <c r="H979" s="8" t="s">
        <v>513</v>
      </c>
      <c r="I979" s="8"/>
      <c r="J979" s="8" t="s">
        <v>1895</v>
      </c>
      <c r="K979" s="27" t="s">
        <v>1874</v>
      </c>
      <c r="L979" s="28">
        <f>_xlfn.NUMBERVALUE(LEFT(Activities[[#This Row],[Fiscal Year]], 4))</f>
        <v>2017</v>
      </c>
      <c r="M979" s="28" t="s">
        <v>1862</v>
      </c>
      <c r="N979" s="41">
        <v>12186</v>
      </c>
      <c r="O979" s="93">
        <f>IF(Activities[[#This Row],[Reference Year]]&gt;2018,Activities[[#This Row],[Value]],Activities[[#This Row],[Value]]*(1+VLOOKUP(Activities[[#This Row],[Reference Year]],Inflation[#All],3,FALSE)))</f>
        <v>12510.71140758874</v>
      </c>
    </row>
    <row r="980" spans="1:15" ht="15" customHeight="1" x14ac:dyDescent="0.25">
      <c r="A980" s="9" t="s">
        <v>284</v>
      </c>
      <c r="B980" s="9" t="str">
        <f>INDEX(Places[Type],MATCH(Activities[[#This Row],[Jurisdiction]],Places[Jurisdiction],0))</f>
        <v>City</v>
      </c>
      <c r="C980" s="19" t="str">
        <f>INDEX(Places[County],MATCH(Activities[[#This Row],[Jurisdiction]],Places[Jurisdiction],0))</f>
        <v>Orange</v>
      </c>
      <c r="D980" s="9" t="str">
        <f>INDEX(Places[Majority RB],MATCH(Activities[[#This Row],[Jurisdiction]],Places[Jurisdiction],0))</f>
        <v>San Diego</v>
      </c>
      <c r="E980" s="9">
        <f>INDEX(Places[Majority RB '#],MATCH(Activities[[#This Row],[Jurisdiction]],Places[Jurisdiction],0))</f>
        <v>9</v>
      </c>
      <c r="F980" s="28" t="str">
        <f>VLOOKUP(Activities[[#This Row],[Jurisdiction]],Places[#All],8,FALSE)</f>
        <v>Phase I MS4</v>
      </c>
      <c r="G980" s="48" t="s">
        <v>1020</v>
      </c>
      <c r="H980" s="8" t="s">
        <v>509</v>
      </c>
      <c r="I980" s="8"/>
      <c r="J980" s="8" t="s">
        <v>334</v>
      </c>
      <c r="K980" s="27" t="s">
        <v>1874</v>
      </c>
      <c r="L980" s="28">
        <f>_xlfn.NUMBERVALUE(LEFT(Activities[[#This Row],[Fiscal Year]], 4))</f>
        <v>2017</v>
      </c>
      <c r="M980" s="28" t="s">
        <v>1862</v>
      </c>
      <c r="N980" s="41">
        <v>33470</v>
      </c>
      <c r="O980" s="93">
        <f>IF(Activities[[#This Row],[Reference Year]]&gt;2018,Activities[[#This Row],[Value]],Activities[[#This Row],[Value]]*(1+VLOOKUP(Activities[[#This Row],[Reference Year]],Inflation[#All],3,FALSE)))</f>
        <v>34361.8505507956</v>
      </c>
    </row>
    <row r="981" spans="1:15" ht="15" customHeight="1" x14ac:dyDescent="0.25">
      <c r="A981" s="9" t="s">
        <v>284</v>
      </c>
      <c r="B981" s="9" t="str">
        <f>INDEX(Places[Type],MATCH(Activities[[#This Row],[Jurisdiction]],Places[Jurisdiction],0))</f>
        <v>City</v>
      </c>
      <c r="C981" s="19" t="str">
        <f>INDEX(Places[County],MATCH(Activities[[#This Row],[Jurisdiction]],Places[Jurisdiction],0))</f>
        <v>Orange</v>
      </c>
      <c r="D981" s="9" t="str">
        <f>INDEX(Places[Majority RB],MATCH(Activities[[#This Row],[Jurisdiction]],Places[Jurisdiction],0))</f>
        <v>San Diego</v>
      </c>
      <c r="E981" s="9">
        <f>INDEX(Places[Majority RB '#],MATCH(Activities[[#This Row],[Jurisdiction]],Places[Jurisdiction],0))</f>
        <v>9</v>
      </c>
      <c r="F981" s="28" t="str">
        <f>VLOOKUP(Activities[[#This Row],[Jurisdiction]],Places[#All],8,FALSE)</f>
        <v>Phase I MS4</v>
      </c>
      <c r="G981" s="48" t="s">
        <v>1039</v>
      </c>
      <c r="H981" s="8" t="s">
        <v>507</v>
      </c>
      <c r="I981" s="8"/>
      <c r="J981" s="8" t="s">
        <v>71</v>
      </c>
      <c r="K981" s="27" t="s">
        <v>1874</v>
      </c>
      <c r="L981" s="28">
        <f>_xlfn.NUMBERVALUE(LEFT(Activities[[#This Row],[Fiscal Year]], 4))</f>
        <v>2017</v>
      </c>
      <c r="M981" s="28" t="s">
        <v>1862</v>
      </c>
      <c r="N981" s="41">
        <v>259476</v>
      </c>
      <c r="O981" s="93">
        <f>IF(Activities[[#This Row],[Reference Year]]&gt;2018,Activities[[#This Row],[Value]],Activities[[#This Row],[Value]]*(1+VLOOKUP(Activities[[#This Row],[Reference Year]],Inflation[#All],3,FALSE)))</f>
        <v>266390.06673194619</v>
      </c>
    </row>
    <row r="982" spans="1:15" ht="15" customHeight="1" x14ac:dyDescent="0.25">
      <c r="A982" s="9" t="s">
        <v>284</v>
      </c>
      <c r="B982" s="9" t="str">
        <f>INDEX(Places[Type],MATCH(Activities[[#This Row],[Jurisdiction]],Places[Jurisdiction],0))</f>
        <v>City</v>
      </c>
      <c r="C982" s="19" t="str">
        <f>INDEX(Places[County],MATCH(Activities[[#This Row],[Jurisdiction]],Places[Jurisdiction],0))</f>
        <v>Orange</v>
      </c>
      <c r="D982" s="9" t="str">
        <f>INDEX(Places[Majority RB],MATCH(Activities[[#This Row],[Jurisdiction]],Places[Jurisdiction],0))</f>
        <v>San Diego</v>
      </c>
      <c r="E982" s="9">
        <f>INDEX(Places[Majority RB '#],MATCH(Activities[[#This Row],[Jurisdiction]],Places[Jurisdiction],0))</f>
        <v>9</v>
      </c>
      <c r="F982" s="28" t="str">
        <f>VLOOKUP(Activities[[#This Row],[Jurisdiction]],Places[#All],8,FALSE)</f>
        <v>Phase I MS4</v>
      </c>
      <c r="G982" s="48" t="s">
        <v>1042</v>
      </c>
      <c r="H982" s="8" t="s">
        <v>507</v>
      </c>
      <c r="I982" s="8"/>
      <c r="J982" s="8" t="s">
        <v>1897</v>
      </c>
      <c r="K982" s="27" t="s">
        <v>1874</v>
      </c>
      <c r="L982" s="28">
        <f>_xlfn.NUMBERVALUE(LEFT(Activities[[#This Row],[Fiscal Year]], 4))</f>
        <v>2017</v>
      </c>
      <c r="M982" s="28" t="s">
        <v>1862</v>
      </c>
      <c r="N982" s="41">
        <v>38803</v>
      </c>
      <c r="O982" s="93">
        <f>IF(Activities[[#This Row],[Reference Year]]&gt;2018,Activities[[#This Row],[Value]],Activities[[#This Row],[Value]]*(1+VLOOKUP(Activities[[#This Row],[Reference Year]],Inflation[#All],3,FALSE)))</f>
        <v>39836.955091799267</v>
      </c>
    </row>
    <row r="983" spans="1:15" ht="15" customHeight="1" x14ac:dyDescent="0.25">
      <c r="A983" s="9" t="s">
        <v>284</v>
      </c>
      <c r="B983" s="9" t="str">
        <f>INDEX(Places[Type],MATCH(Activities[[#This Row],[Jurisdiction]],Places[Jurisdiction],0))</f>
        <v>City</v>
      </c>
      <c r="C983" s="19" t="str">
        <f>INDEX(Places[County],MATCH(Activities[[#This Row],[Jurisdiction]],Places[Jurisdiction],0))</f>
        <v>Orange</v>
      </c>
      <c r="D983" s="9" t="str">
        <f>INDEX(Places[Majority RB],MATCH(Activities[[#This Row],[Jurisdiction]],Places[Jurisdiction],0))</f>
        <v>San Diego</v>
      </c>
      <c r="E983" s="9">
        <f>INDEX(Places[Majority RB '#],MATCH(Activities[[#This Row],[Jurisdiction]],Places[Jurisdiction],0))</f>
        <v>9</v>
      </c>
      <c r="F983" s="28" t="str">
        <f>VLOOKUP(Activities[[#This Row],[Jurisdiction]],Places[#All],8,FALSE)</f>
        <v>Phase I MS4</v>
      </c>
      <c r="G983" s="48" t="s">
        <v>1038</v>
      </c>
      <c r="H983" s="8" t="s">
        <v>507</v>
      </c>
      <c r="I983" s="8"/>
      <c r="J983" s="8" t="s">
        <v>1897</v>
      </c>
      <c r="K983" s="27" t="s">
        <v>1874</v>
      </c>
      <c r="L983" s="28">
        <f>_xlfn.NUMBERVALUE(LEFT(Activities[[#This Row],[Fiscal Year]], 4))</f>
        <v>2017</v>
      </c>
      <c r="M983" s="28" t="s">
        <v>1862</v>
      </c>
      <c r="N983" s="41">
        <v>96264</v>
      </c>
      <c r="O983" s="93">
        <f>IF(Activities[[#This Row],[Reference Year]]&gt;2018,Activities[[#This Row],[Value]],Activities[[#This Row],[Value]]*(1+VLOOKUP(Activities[[#This Row],[Reference Year]],Inflation[#All],3,FALSE)))</f>
        <v>98829.076230110164</v>
      </c>
    </row>
    <row r="984" spans="1:15" ht="15" customHeight="1" x14ac:dyDescent="0.25">
      <c r="A984" s="9" t="s">
        <v>284</v>
      </c>
      <c r="B984" s="9" t="str">
        <f>INDEX(Places[Type],MATCH(Activities[[#This Row],[Jurisdiction]],Places[Jurisdiction],0))</f>
        <v>City</v>
      </c>
      <c r="C984" s="19" t="str">
        <f>INDEX(Places[County],MATCH(Activities[[#This Row],[Jurisdiction]],Places[Jurisdiction],0))</f>
        <v>Orange</v>
      </c>
      <c r="D984" s="9" t="str">
        <f>INDEX(Places[Majority RB],MATCH(Activities[[#This Row],[Jurisdiction]],Places[Jurisdiction],0))</f>
        <v>San Diego</v>
      </c>
      <c r="E984" s="9">
        <f>INDEX(Places[Majority RB '#],MATCH(Activities[[#This Row],[Jurisdiction]],Places[Jurisdiction],0))</f>
        <v>9</v>
      </c>
      <c r="F984" s="28" t="str">
        <f>VLOOKUP(Activities[[#This Row],[Jurisdiction]],Places[#All],8,FALSE)</f>
        <v>Phase I MS4</v>
      </c>
      <c r="G984" s="48" t="s">
        <v>1041</v>
      </c>
      <c r="H984" s="8" t="s">
        <v>507</v>
      </c>
      <c r="I984" s="8"/>
      <c r="J984" s="8" t="s">
        <v>1897</v>
      </c>
      <c r="K984" s="27" t="s">
        <v>1874</v>
      </c>
      <c r="L984" s="28">
        <f>_xlfn.NUMBERVALUE(LEFT(Activities[[#This Row],[Fiscal Year]], 4))</f>
        <v>2017</v>
      </c>
      <c r="M984" s="28" t="s">
        <v>1862</v>
      </c>
      <c r="N984" s="41">
        <v>312000</v>
      </c>
      <c r="O984" s="93">
        <f>IF(Activities[[#This Row],[Reference Year]]&gt;2018,Activities[[#This Row],[Value]],Activities[[#This Row],[Value]]*(1+VLOOKUP(Activities[[#This Row],[Reference Year]],Inflation[#All],3,FALSE)))</f>
        <v>320313.63525091804</v>
      </c>
    </row>
    <row r="985" spans="1:15" ht="15" customHeight="1" x14ac:dyDescent="0.25">
      <c r="A985" s="9" t="s">
        <v>284</v>
      </c>
      <c r="B985" s="9" t="str">
        <f>INDEX(Places[Type],MATCH(Activities[[#This Row],[Jurisdiction]],Places[Jurisdiction],0))</f>
        <v>City</v>
      </c>
      <c r="C985" s="19" t="str">
        <f>INDEX(Places[County],MATCH(Activities[[#This Row],[Jurisdiction]],Places[Jurisdiction],0))</f>
        <v>Orange</v>
      </c>
      <c r="D985" s="9" t="str">
        <f>INDEX(Places[Majority RB],MATCH(Activities[[#This Row],[Jurisdiction]],Places[Jurisdiction],0))</f>
        <v>San Diego</v>
      </c>
      <c r="E985" s="9">
        <f>INDEX(Places[Majority RB '#],MATCH(Activities[[#This Row],[Jurisdiction]],Places[Jurisdiction],0))</f>
        <v>9</v>
      </c>
      <c r="F985" s="28" t="str">
        <f>VLOOKUP(Activities[[#This Row],[Jurisdiction]],Places[#All],8,FALSE)</f>
        <v>Phase I MS4</v>
      </c>
      <c r="G985" s="48" t="s">
        <v>1040</v>
      </c>
      <c r="H985" s="8" t="s">
        <v>507</v>
      </c>
      <c r="I985" s="8"/>
      <c r="J985" s="8" t="s">
        <v>1897</v>
      </c>
      <c r="K985" s="27" t="s">
        <v>1874</v>
      </c>
      <c r="L985" s="28">
        <f>_xlfn.NUMBERVALUE(LEFT(Activities[[#This Row],[Fiscal Year]], 4))</f>
        <v>2017</v>
      </c>
      <c r="M985" s="28" t="s">
        <v>1862</v>
      </c>
      <c r="N985" s="41">
        <v>421436</v>
      </c>
      <c r="O985" s="93">
        <f>IF(Activities[[#This Row],[Reference Year]]&gt;2018,Activities[[#This Row],[Value]],Activities[[#This Row],[Value]]*(1+VLOOKUP(Activities[[#This Row],[Reference Year]],Inflation[#All],3,FALSE)))</f>
        <v>432665.69610771118</v>
      </c>
    </row>
    <row r="986" spans="1:15" ht="15" customHeight="1" x14ac:dyDescent="0.25">
      <c r="A986" s="9" t="s">
        <v>284</v>
      </c>
      <c r="B986" s="9" t="str">
        <f>INDEX(Places[Type],MATCH(Activities[[#This Row],[Jurisdiction]],Places[Jurisdiction],0))</f>
        <v>City</v>
      </c>
      <c r="C986" s="19" t="str">
        <f>INDEX(Places[County],MATCH(Activities[[#This Row],[Jurisdiction]],Places[Jurisdiction],0))</f>
        <v>Orange</v>
      </c>
      <c r="D986" s="9" t="str">
        <f>INDEX(Places[Majority RB],MATCH(Activities[[#This Row],[Jurisdiction]],Places[Jurisdiction],0))</f>
        <v>San Diego</v>
      </c>
      <c r="E986" s="9">
        <f>INDEX(Places[Majority RB '#],MATCH(Activities[[#This Row],[Jurisdiction]],Places[Jurisdiction],0))</f>
        <v>9</v>
      </c>
      <c r="F986" s="28" t="str">
        <f>VLOOKUP(Activities[[#This Row],[Jurisdiction]],Places[#All],8,FALSE)</f>
        <v>Phase I MS4</v>
      </c>
      <c r="G986" s="48" t="s">
        <v>1045</v>
      </c>
      <c r="H986" s="8" t="s">
        <v>512</v>
      </c>
      <c r="I986" s="8"/>
      <c r="J986" s="8" t="s">
        <v>1898</v>
      </c>
      <c r="K986" s="27" t="s">
        <v>1874</v>
      </c>
      <c r="L986" s="28">
        <f>_xlfn.NUMBERVALUE(LEFT(Activities[[#This Row],[Fiscal Year]], 4))</f>
        <v>2017</v>
      </c>
      <c r="M986" s="28" t="s">
        <v>1862</v>
      </c>
      <c r="N986" s="41">
        <v>1575</v>
      </c>
      <c r="O986" s="93">
        <f>IF(Activities[[#This Row],[Reference Year]]&gt;2018,Activities[[#This Row],[Value]],Activities[[#This Row],[Value]]*(1+VLOOKUP(Activities[[#This Row],[Reference Year]],Inflation[#All],3,FALSE)))</f>
        <v>1616.9678702570382</v>
      </c>
    </row>
    <row r="987" spans="1:15" ht="15" customHeight="1" x14ac:dyDescent="0.25">
      <c r="A987" s="9" t="s">
        <v>284</v>
      </c>
      <c r="B987" s="9" t="str">
        <f>INDEX(Places[Type],MATCH(Activities[[#This Row],[Jurisdiction]],Places[Jurisdiction],0))</f>
        <v>City</v>
      </c>
      <c r="C987" s="19" t="str">
        <f>INDEX(Places[County],MATCH(Activities[[#This Row],[Jurisdiction]],Places[Jurisdiction],0))</f>
        <v>Orange</v>
      </c>
      <c r="D987" s="9" t="str">
        <f>INDEX(Places[Majority RB],MATCH(Activities[[#This Row],[Jurisdiction]],Places[Jurisdiction],0))</f>
        <v>San Diego</v>
      </c>
      <c r="E987" s="9">
        <f>INDEX(Places[Majority RB '#],MATCH(Activities[[#This Row],[Jurisdiction]],Places[Jurisdiction],0))</f>
        <v>9</v>
      </c>
      <c r="F987" s="28" t="str">
        <f>VLOOKUP(Activities[[#This Row],[Jurisdiction]],Places[#All],8,FALSE)</f>
        <v>Phase I MS4</v>
      </c>
      <c r="G987" s="48" t="s">
        <v>1043</v>
      </c>
      <c r="H987" s="8" t="s">
        <v>508</v>
      </c>
      <c r="I987" s="8"/>
      <c r="J987" s="8" t="s">
        <v>1456</v>
      </c>
      <c r="K987" s="27" t="s">
        <v>1874</v>
      </c>
      <c r="L987" s="28">
        <f>_xlfn.NUMBERVALUE(LEFT(Activities[[#This Row],[Fiscal Year]], 4))</f>
        <v>2017</v>
      </c>
      <c r="M987" s="28" t="s">
        <v>1862</v>
      </c>
      <c r="N987" s="41">
        <v>51602</v>
      </c>
      <c r="O987" s="93">
        <f>IF(Activities[[#This Row],[Reference Year]]&gt;2018,Activities[[#This Row],[Value]],Activities[[#This Row],[Value]]*(1+VLOOKUP(Activities[[#This Row],[Reference Year]],Inflation[#All],3,FALSE)))</f>
        <v>52977.00066095472</v>
      </c>
    </row>
    <row r="988" spans="1:15" ht="15" customHeight="1" x14ac:dyDescent="0.25">
      <c r="A988" s="9" t="s">
        <v>284</v>
      </c>
      <c r="B988" s="9" t="str">
        <f>INDEX(Places[Type],MATCH(Activities[[#This Row],[Jurisdiction]],Places[Jurisdiction],0))</f>
        <v>City</v>
      </c>
      <c r="C988" s="19" t="str">
        <f>INDEX(Places[County],MATCH(Activities[[#This Row],[Jurisdiction]],Places[Jurisdiction],0))</f>
        <v>Orange</v>
      </c>
      <c r="D988" s="9" t="str">
        <f>INDEX(Places[Majority RB],MATCH(Activities[[#This Row],[Jurisdiction]],Places[Jurisdiction],0))</f>
        <v>San Diego</v>
      </c>
      <c r="E988" s="9">
        <f>INDEX(Places[Majority RB '#],MATCH(Activities[[#This Row],[Jurisdiction]],Places[Jurisdiction],0))</f>
        <v>9</v>
      </c>
      <c r="F988" s="28" t="str">
        <f>VLOOKUP(Activities[[#This Row],[Jurisdiction]],Places[#All],8,FALSE)</f>
        <v>Phase I MS4</v>
      </c>
      <c r="G988" s="48" t="s">
        <v>1044</v>
      </c>
      <c r="H988" s="8" t="s">
        <v>508</v>
      </c>
      <c r="I988" s="8"/>
      <c r="J988" s="8" t="s">
        <v>1456</v>
      </c>
      <c r="K988" s="27" t="s">
        <v>1874</v>
      </c>
      <c r="L988" s="28">
        <f>_xlfn.NUMBERVALUE(LEFT(Activities[[#This Row],[Fiscal Year]], 4))</f>
        <v>2017</v>
      </c>
      <c r="M988" s="28" t="s">
        <v>1862</v>
      </c>
      <c r="N988" s="41">
        <v>76000</v>
      </c>
      <c r="O988" s="93">
        <f>IF(Activities[[#This Row],[Reference Year]]&gt;2018,Activities[[#This Row],[Value]],Activities[[#This Row],[Value]]*(1+VLOOKUP(Activities[[#This Row],[Reference Year]],Inflation[#All],3,FALSE)))</f>
        <v>78025.116279069771</v>
      </c>
    </row>
    <row r="989" spans="1:15" ht="15" customHeight="1" x14ac:dyDescent="0.25">
      <c r="A989" s="9" t="s">
        <v>284</v>
      </c>
      <c r="B989" s="9" t="str">
        <f>INDEX(Places[Type],MATCH(Activities[[#This Row],[Jurisdiction]],Places[Jurisdiction],0))</f>
        <v>City</v>
      </c>
      <c r="C989" s="19" t="str">
        <f>INDEX(Places[County],MATCH(Activities[[#This Row],[Jurisdiction]],Places[Jurisdiction],0))</f>
        <v>Orange</v>
      </c>
      <c r="D989" s="9" t="str">
        <f>INDEX(Places[Majority RB],MATCH(Activities[[#This Row],[Jurisdiction]],Places[Jurisdiction],0))</f>
        <v>San Diego</v>
      </c>
      <c r="E989" s="9">
        <f>INDEX(Places[Majority RB '#],MATCH(Activities[[#This Row],[Jurisdiction]],Places[Jurisdiction],0))</f>
        <v>9</v>
      </c>
      <c r="F989" s="28" t="str">
        <f>VLOOKUP(Activities[[#This Row],[Jurisdiction]],Places[#All],8,FALSE)</f>
        <v>Phase I MS4</v>
      </c>
      <c r="G989" s="48" t="s">
        <v>1058</v>
      </c>
      <c r="H989" s="8" t="s">
        <v>511</v>
      </c>
      <c r="I989" s="8"/>
      <c r="J989" s="8" t="s">
        <v>1894</v>
      </c>
      <c r="K989" s="27" t="s">
        <v>1874</v>
      </c>
      <c r="L989" s="28">
        <f>_xlfn.NUMBERVALUE(LEFT(Activities[[#This Row],[Fiscal Year]], 4))</f>
        <v>2017</v>
      </c>
      <c r="M989" s="28" t="s">
        <v>1862</v>
      </c>
      <c r="N989" s="41">
        <v>223430</v>
      </c>
      <c r="O989" s="93">
        <f>IF(Activities[[#This Row],[Reference Year]]&gt;2018,Activities[[#This Row],[Value]],Activities[[#This Row],[Value]]*(1+VLOOKUP(Activities[[#This Row],[Reference Year]],Inflation[#All],3,FALSE)))</f>
        <v>229383.57539779684</v>
      </c>
    </row>
    <row r="990" spans="1:15" ht="15" customHeight="1" x14ac:dyDescent="0.25">
      <c r="A990" s="9" t="s">
        <v>284</v>
      </c>
      <c r="B990" s="9" t="str">
        <f>INDEX(Places[Type],MATCH(Activities[[#This Row],[Jurisdiction]],Places[Jurisdiction],0))</f>
        <v>City</v>
      </c>
      <c r="C990" s="19" t="str">
        <f>INDEX(Places[County],MATCH(Activities[[#This Row],[Jurisdiction]],Places[Jurisdiction],0))</f>
        <v>Orange</v>
      </c>
      <c r="D990" s="9" t="str">
        <f>INDEX(Places[Majority RB],MATCH(Activities[[#This Row],[Jurisdiction]],Places[Jurisdiction],0))</f>
        <v>San Diego</v>
      </c>
      <c r="E990" s="9">
        <f>INDEX(Places[Majority RB '#],MATCH(Activities[[#This Row],[Jurisdiction]],Places[Jurisdiction],0))</f>
        <v>9</v>
      </c>
      <c r="F990" s="28" t="str">
        <f>VLOOKUP(Activities[[#This Row],[Jurisdiction]],Places[#All],8,FALSE)</f>
        <v>Phase I MS4</v>
      </c>
      <c r="G990" s="48" t="s">
        <v>1047</v>
      </c>
      <c r="H990" s="8"/>
      <c r="I990" s="8"/>
      <c r="J990" s="8" t="s">
        <v>1896</v>
      </c>
      <c r="K990" s="27" t="s">
        <v>1874</v>
      </c>
      <c r="L990" s="28">
        <f>_xlfn.NUMBERVALUE(LEFT(Activities[[#This Row],[Fiscal Year]], 4))</f>
        <v>2017</v>
      </c>
      <c r="M990" s="28" t="s">
        <v>1862</v>
      </c>
      <c r="N990" s="41">
        <v>269480</v>
      </c>
      <c r="O990" s="93">
        <f>IF(Activities[[#This Row],[Reference Year]]&gt;2018,Activities[[#This Row],[Value]],Activities[[#This Row],[Value]]*(1+VLOOKUP(Activities[[#This Row],[Reference Year]],Inflation[#All],3,FALSE)))</f>
        <v>276660.63598531217</v>
      </c>
    </row>
    <row r="991" spans="1:15" ht="15" customHeight="1" x14ac:dyDescent="0.25">
      <c r="A991" s="9" t="s">
        <v>183</v>
      </c>
      <c r="B991" s="9" t="str">
        <f>INDEX(Places[Type],MATCH(Activities[[#This Row],[Jurisdiction]],Places[Jurisdiction],0))</f>
        <v>City</v>
      </c>
      <c r="C991" s="19" t="str">
        <f>INDEX(Places[County],MATCH(Activities[[#This Row],[Jurisdiction]],Places[Jurisdiction],0))</f>
        <v>Los Angeles</v>
      </c>
      <c r="D991" s="19" t="str">
        <f>INDEX(Places[Majority RB],MATCH(Activities[[#This Row],[Jurisdiction]],Places[Jurisdiction],0))</f>
        <v>Los Angeles</v>
      </c>
      <c r="E991" s="9">
        <f>INDEX(Places[Majority RB '#],MATCH(Activities[[#This Row],[Jurisdiction]],Places[Jurisdiction],0))</f>
        <v>4</v>
      </c>
      <c r="F991" s="28" t="str">
        <f>VLOOKUP(Activities[[#This Row],[Jurisdiction]],Places[#All],8,FALSE)</f>
        <v>Phase I MS4</v>
      </c>
      <c r="G991" s="48" t="s">
        <v>849</v>
      </c>
      <c r="H991" s="8"/>
      <c r="I991" s="8"/>
      <c r="J991" s="8" t="s">
        <v>131</v>
      </c>
      <c r="K991" s="27" t="s">
        <v>1873</v>
      </c>
      <c r="L991" s="28">
        <f>_xlfn.NUMBERVALUE(LEFT(Activities[[#This Row],[Fiscal Year]], 4))</f>
        <v>2015</v>
      </c>
      <c r="M991" s="28" t="s">
        <v>1862</v>
      </c>
      <c r="N991" s="41">
        <v>21000</v>
      </c>
      <c r="O991" s="93">
        <f>IF(Activities[[#This Row],[Reference Year]]&gt;2018,Activities[[#This Row],[Value]],Activities[[#This Row],[Value]]*(1+VLOOKUP(Activities[[#This Row],[Reference Year]],Inflation[#All],3,FALSE)))</f>
        <v>22296.417721518985</v>
      </c>
    </row>
    <row r="992" spans="1:15" ht="15" customHeight="1" x14ac:dyDescent="0.25">
      <c r="A992" s="9" t="s">
        <v>183</v>
      </c>
      <c r="B992" s="9" t="str">
        <f>INDEX(Places[Type],MATCH(Activities[[#This Row],[Jurisdiction]],Places[Jurisdiction],0))</f>
        <v>City</v>
      </c>
      <c r="C992" s="19" t="str">
        <f>INDEX(Places[County],MATCH(Activities[[#This Row],[Jurisdiction]],Places[Jurisdiction],0))</f>
        <v>Los Angeles</v>
      </c>
      <c r="D992" s="19" t="str">
        <f>INDEX(Places[Majority RB],MATCH(Activities[[#This Row],[Jurisdiction]],Places[Jurisdiction],0))</f>
        <v>Los Angeles</v>
      </c>
      <c r="E992" s="9">
        <f>INDEX(Places[Majority RB '#],MATCH(Activities[[#This Row],[Jurisdiction]],Places[Jurisdiction],0))</f>
        <v>4</v>
      </c>
      <c r="F992" s="28" t="str">
        <f>VLOOKUP(Activities[[#This Row],[Jurisdiction]],Places[#All],8,FALSE)</f>
        <v>Phase I MS4</v>
      </c>
      <c r="G992" s="48" t="s">
        <v>845</v>
      </c>
      <c r="H992" s="8"/>
      <c r="I992" s="8"/>
      <c r="J992" s="8" t="s">
        <v>334</v>
      </c>
      <c r="K992" s="27" t="s">
        <v>1873</v>
      </c>
      <c r="L992" s="28">
        <f>_xlfn.NUMBERVALUE(LEFT(Activities[[#This Row],[Fiscal Year]], 4))</f>
        <v>2015</v>
      </c>
      <c r="M992" s="28" t="s">
        <v>1862</v>
      </c>
      <c r="N992" s="41">
        <v>31000</v>
      </c>
      <c r="O992" s="93">
        <f>IF(Activities[[#This Row],[Reference Year]]&gt;2018,Activities[[#This Row],[Value]],Activities[[#This Row],[Value]]*(1+VLOOKUP(Activities[[#This Row],[Reference Year]],Inflation[#All],3,FALSE)))</f>
        <v>32913.759493670885</v>
      </c>
    </row>
    <row r="993" spans="1:15" ht="15" customHeight="1" x14ac:dyDescent="0.25">
      <c r="A993" s="9" t="s">
        <v>183</v>
      </c>
      <c r="B993" s="9" t="str">
        <f>INDEX(Places[Type],MATCH(Activities[[#This Row],[Jurisdiction]],Places[Jurisdiction],0))</f>
        <v>City</v>
      </c>
      <c r="C993" s="19" t="str">
        <f>INDEX(Places[County],MATCH(Activities[[#This Row],[Jurisdiction]],Places[Jurisdiction],0))</f>
        <v>Los Angeles</v>
      </c>
      <c r="D993" s="19" t="str">
        <f>INDEX(Places[Majority RB],MATCH(Activities[[#This Row],[Jurisdiction]],Places[Jurisdiction],0))</f>
        <v>Los Angeles</v>
      </c>
      <c r="E993" s="9">
        <f>INDEX(Places[Majority RB '#],MATCH(Activities[[#This Row],[Jurisdiction]],Places[Jurisdiction],0))</f>
        <v>4</v>
      </c>
      <c r="F993" s="28" t="str">
        <f>VLOOKUP(Activities[[#This Row],[Jurisdiction]],Places[#All],8,FALSE)</f>
        <v>Phase I MS4</v>
      </c>
      <c r="G993" s="48" t="s">
        <v>857</v>
      </c>
      <c r="H993" s="8"/>
      <c r="I993" s="8"/>
      <c r="J993" s="8" t="s">
        <v>1897</v>
      </c>
      <c r="K993" s="27" t="s">
        <v>1873</v>
      </c>
      <c r="L993" s="28">
        <f>_xlfn.NUMBERVALUE(LEFT(Activities[[#This Row],[Fiscal Year]], 4))</f>
        <v>2015</v>
      </c>
      <c r="M993" s="28" t="s">
        <v>1862</v>
      </c>
      <c r="N993" s="41">
        <v>114000</v>
      </c>
      <c r="O993" s="93">
        <f>IF(Activities[[#This Row],[Reference Year]]&gt;2018,Activities[[#This Row],[Value]],Activities[[#This Row],[Value]]*(1+VLOOKUP(Activities[[#This Row],[Reference Year]],Inflation[#All],3,FALSE)))</f>
        <v>121037.69620253163</v>
      </c>
    </row>
    <row r="994" spans="1:15" ht="15" customHeight="1" x14ac:dyDescent="0.25">
      <c r="A994" s="9" t="s">
        <v>183</v>
      </c>
      <c r="B994" s="9" t="str">
        <f>INDEX(Places[Type],MATCH(Activities[[#This Row],[Jurisdiction]],Places[Jurisdiction],0))</f>
        <v>City</v>
      </c>
      <c r="C994" s="19" t="str">
        <f>INDEX(Places[County],MATCH(Activities[[#This Row],[Jurisdiction]],Places[Jurisdiction],0))</f>
        <v>Los Angeles</v>
      </c>
      <c r="D994" s="19" t="str">
        <f>INDEX(Places[Majority RB],MATCH(Activities[[#This Row],[Jurisdiction]],Places[Jurisdiction],0))</f>
        <v>Los Angeles</v>
      </c>
      <c r="E994" s="9">
        <f>INDEX(Places[Majority RB '#],MATCH(Activities[[#This Row],[Jurisdiction]],Places[Jurisdiction],0))</f>
        <v>4</v>
      </c>
      <c r="F994" s="28" t="str">
        <f>VLOOKUP(Activities[[#This Row],[Jurisdiction]],Places[#All],8,FALSE)</f>
        <v>Phase I MS4</v>
      </c>
      <c r="G994" s="56" t="s">
        <v>934</v>
      </c>
      <c r="H994" s="8"/>
      <c r="I994" s="8"/>
      <c r="J994" s="8" t="s">
        <v>1897</v>
      </c>
      <c r="K994" s="27" t="s">
        <v>1873</v>
      </c>
      <c r="L994" s="28">
        <f>_xlfn.NUMBERVALUE(LEFT(Activities[[#This Row],[Fiscal Year]], 4))</f>
        <v>2015</v>
      </c>
      <c r="M994" s="28" t="s">
        <v>1862</v>
      </c>
      <c r="N994" s="41">
        <v>207000</v>
      </c>
      <c r="O994" s="93">
        <f>IF(Activities[[#This Row],[Reference Year]]&gt;2018,Activities[[#This Row],[Value]],Activities[[#This Row],[Value]]*(1+VLOOKUP(Activities[[#This Row],[Reference Year]],Inflation[#All],3,FALSE)))</f>
        <v>219778.97468354428</v>
      </c>
    </row>
    <row r="995" spans="1:15" ht="15" customHeight="1" x14ac:dyDescent="0.25">
      <c r="A995" s="9" t="s">
        <v>183</v>
      </c>
      <c r="B995" s="9" t="str">
        <f>INDEX(Places[Type],MATCH(Activities[[#This Row],[Jurisdiction]],Places[Jurisdiction],0))</f>
        <v>City</v>
      </c>
      <c r="C995" s="19" t="str">
        <f>INDEX(Places[County],MATCH(Activities[[#This Row],[Jurisdiction]],Places[Jurisdiction],0))</f>
        <v>Los Angeles</v>
      </c>
      <c r="D995" s="19" t="str">
        <f>INDEX(Places[Majority RB],MATCH(Activities[[#This Row],[Jurisdiction]],Places[Jurisdiction],0))</f>
        <v>Los Angeles</v>
      </c>
      <c r="E995" s="9">
        <f>INDEX(Places[Majority RB '#],MATCH(Activities[[#This Row],[Jurisdiction]],Places[Jurisdiction],0))</f>
        <v>4</v>
      </c>
      <c r="F995" s="28" t="str">
        <f>VLOOKUP(Activities[[#This Row],[Jurisdiction]],Places[#All],8,FALSE)</f>
        <v>Phase I MS4</v>
      </c>
      <c r="G995" s="48" t="s">
        <v>846</v>
      </c>
      <c r="H995" s="8"/>
      <c r="I995" s="8"/>
      <c r="J995" s="8" t="s">
        <v>1898</v>
      </c>
      <c r="K995" s="27" t="s">
        <v>1873</v>
      </c>
      <c r="L995" s="28">
        <f>_xlfn.NUMBERVALUE(LEFT(Activities[[#This Row],[Fiscal Year]], 4))</f>
        <v>2015</v>
      </c>
      <c r="M995" s="28" t="s">
        <v>1862</v>
      </c>
      <c r="N995" s="41">
        <v>5300</v>
      </c>
      <c r="O995" s="93">
        <f>IF(Activities[[#This Row],[Reference Year]]&gt;2018,Activities[[#This Row],[Value]],Activities[[#This Row],[Value]]*(1+VLOOKUP(Activities[[#This Row],[Reference Year]],Inflation[#All],3,FALSE)))</f>
        <v>5627.1911392405063</v>
      </c>
    </row>
    <row r="996" spans="1:15" ht="15" customHeight="1" x14ac:dyDescent="0.25">
      <c r="A996" s="9" t="s">
        <v>183</v>
      </c>
      <c r="B996" s="9" t="str">
        <f>INDEX(Places[Type],MATCH(Activities[[#This Row],[Jurisdiction]],Places[Jurisdiction],0))</f>
        <v>City</v>
      </c>
      <c r="C996" s="19" t="str">
        <f>INDEX(Places[County],MATCH(Activities[[#This Row],[Jurisdiction]],Places[Jurisdiction],0))</f>
        <v>Los Angeles</v>
      </c>
      <c r="D996" s="19" t="str">
        <f>INDEX(Places[Majority RB],MATCH(Activities[[#This Row],[Jurisdiction]],Places[Jurisdiction],0))</f>
        <v>Los Angeles</v>
      </c>
      <c r="E996" s="9">
        <f>INDEX(Places[Majority RB '#],MATCH(Activities[[#This Row],[Jurisdiction]],Places[Jurisdiction],0))</f>
        <v>4</v>
      </c>
      <c r="F996" s="28" t="str">
        <f>VLOOKUP(Activities[[#This Row],[Jurisdiction]],Places[#All],8,FALSE)</f>
        <v>Phase I MS4</v>
      </c>
      <c r="G996" s="48" t="s">
        <v>847</v>
      </c>
      <c r="H996" s="8"/>
      <c r="I996" s="8"/>
      <c r="J996" s="8" t="s">
        <v>1898</v>
      </c>
      <c r="K996" s="27" t="s">
        <v>1873</v>
      </c>
      <c r="L996" s="28">
        <f>_xlfn.NUMBERVALUE(LEFT(Activities[[#This Row],[Fiscal Year]], 4))</f>
        <v>2015</v>
      </c>
      <c r="M996" s="28" t="s">
        <v>1862</v>
      </c>
      <c r="N996" s="41">
        <v>8600</v>
      </c>
      <c r="O996" s="93">
        <f>IF(Activities[[#This Row],[Reference Year]]&gt;2018,Activities[[#This Row],[Value]],Activities[[#This Row],[Value]]*(1+VLOOKUP(Activities[[#This Row],[Reference Year]],Inflation[#All],3,FALSE)))</f>
        <v>9130.913924050632</v>
      </c>
    </row>
    <row r="997" spans="1:15" ht="15" customHeight="1" x14ac:dyDescent="0.25">
      <c r="A997" s="9" t="s">
        <v>183</v>
      </c>
      <c r="B997" s="9" t="str">
        <f>INDEX(Places[Type],MATCH(Activities[[#This Row],[Jurisdiction]],Places[Jurisdiction],0))</f>
        <v>City</v>
      </c>
      <c r="C997" s="19" t="str">
        <f>INDEX(Places[County],MATCH(Activities[[#This Row],[Jurisdiction]],Places[Jurisdiction],0))</f>
        <v>Los Angeles</v>
      </c>
      <c r="D997" s="19" t="str">
        <f>INDEX(Places[Majority RB],MATCH(Activities[[#This Row],[Jurisdiction]],Places[Jurisdiction],0))</f>
        <v>Los Angeles</v>
      </c>
      <c r="E997" s="9">
        <f>INDEX(Places[Majority RB '#],MATCH(Activities[[#This Row],[Jurisdiction]],Places[Jurisdiction],0))</f>
        <v>4</v>
      </c>
      <c r="F997" s="28" t="str">
        <f>VLOOKUP(Activities[[#This Row],[Jurisdiction]],Places[#All],8,FALSE)</f>
        <v>Phase I MS4</v>
      </c>
      <c r="G997" s="48" t="s">
        <v>844</v>
      </c>
      <c r="H997" s="8"/>
      <c r="I997" s="8"/>
      <c r="J997" s="8" t="s">
        <v>1456</v>
      </c>
      <c r="K997" s="27" t="s">
        <v>1873</v>
      </c>
      <c r="L997" s="28">
        <f>_xlfn.NUMBERVALUE(LEFT(Activities[[#This Row],[Fiscal Year]], 4))</f>
        <v>2015</v>
      </c>
      <c r="M997" s="28" t="s">
        <v>1862</v>
      </c>
      <c r="N997" s="41">
        <v>16000</v>
      </c>
      <c r="O997" s="93">
        <f>IF(Activities[[#This Row],[Reference Year]]&gt;2018,Activities[[#This Row],[Value]],Activities[[#This Row],[Value]]*(1+VLOOKUP(Activities[[#This Row],[Reference Year]],Inflation[#All],3,FALSE)))</f>
        <v>16987.746835443038</v>
      </c>
    </row>
    <row r="998" spans="1:15" ht="15" customHeight="1" x14ac:dyDescent="0.25">
      <c r="A998" s="9" t="s">
        <v>183</v>
      </c>
      <c r="B998" s="9" t="str">
        <f>INDEX(Places[Type],MATCH(Activities[[#This Row],[Jurisdiction]],Places[Jurisdiction],0))</f>
        <v>City</v>
      </c>
      <c r="C998" s="19" t="str">
        <f>INDEX(Places[County],MATCH(Activities[[#This Row],[Jurisdiction]],Places[Jurisdiction],0))</f>
        <v>Los Angeles</v>
      </c>
      <c r="D998" s="19" t="str">
        <f>INDEX(Places[Majority RB],MATCH(Activities[[#This Row],[Jurisdiction]],Places[Jurisdiction],0))</f>
        <v>Los Angeles</v>
      </c>
      <c r="E998" s="9">
        <f>INDEX(Places[Majority RB '#],MATCH(Activities[[#This Row],[Jurisdiction]],Places[Jurisdiction],0))</f>
        <v>4</v>
      </c>
      <c r="F998" s="28" t="str">
        <f>VLOOKUP(Activities[[#This Row],[Jurisdiction]],Places[#All],8,FALSE)</f>
        <v>Phase I MS4</v>
      </c>
      <c r="G998" s="48" t="s">
        <v>909</v>
      </c>
      <c r="H998" s="8"/>
      <c r="I998" s="8"/>
      <c r="J998" s="8" t="s">
        <v>1894</v>
      </c>
      <c r="K998" s="27" t="s">
        <v>1873</v>
      </c>
      <c r="L998" s="28">
        <f>_xlfn.NUMBERVALUE(LEFT(Activities[[#This Row],[Fiscal Year]], 4))</f>
        <v>2015</v>
      </c>
      <c r="M998" s="28" t="s">
        <v>1862</v>
      </c>
      <c r="N998" s="41">
        <v>16000</v>
      </c>
      <c r="O998" s="93">
        <f>IF(Activities[[#This Row],[Reference Year]]&gt;2018,Activities[[#This Row],[Value]],Activities[[#This Row],[Value]]*(1+VLOOKUP(Activities[[#This Row],[Reference Year]],Inflation[#All],3,FALSE)))</f>
        <v>16987.746835443038</v>
      </c>
    </row>
    <row r="999" spans="1:15" ht="15" customHeight="1" x14ac:dyDescent="0.25">
      <c r="A999" s="9" t="s">
        <v>183</v>
      </c>
      <c r="B999" s="9" t="str">
        <f>INDEX(Places[Type],MATCH(Activities[[#This Row],[Jurisdiction]],Places[Jurisdiction],0))</f>
        <v>City</v>
      </c>
      <c r="C999" s="19" t="str">
        <f>INDEX(Places[County],MATCH(Activities[[#This Row],[Jurisdiction]],Places[Jurisdiction],0))</f>
        <v>Los Angeles</v>
      </c>
      <c r="D999" s="19" t="str">
        <f>INDEX(Places[Majority RB],MATCH(Activities[[#This Row],[Jurisdiction]],Places[Jurisdiction],0))</f>
        <v>Los Angeles</v>
      </c>
      <c r="E999" s="9">
        <f>INDEX(Places[Majority RB '#],MATCH(Activities[[#This Row],[Jurisdiction]],Places[Jurisdiction],0))</f>
        <v>4</v>
      </c>
      <c r="F999" s="28" t="str">
        <f>VLOOKUP(Activities[[#This Row],[Jurisdiction]],Places[#All],8,FALSE)</f>
        <v>Phase I MS4</v>
      </c>
      <c r="G999" s="48" t="s">
        <v>908</v>
      </c>
      <c r="H999" s="8"/>
      <c r="I999" s="8"/>
      <c r="J999" s="8" t="s">
        <v>1894</v>
      </c>
      <c r="K999" s="27" t="s">
        <v>1873</v>
      </c>
      <c r="L999" s="28">
        <f>_xlfn.NUMBERVALUE(LEFT(Activities[[#This Row],[Fiscal Year]], 4))</f>
        <v>2015</v>
      </c>
      <c r="M999" s="28" t="s">
        <v>1862</v>
      </c>
      <c r="N999" s="41">
        <v>46000</v>
      </c>
      <c r="O999" s="93">
        <f>IF(Activities[[#This Row],[Reference Year]]&gt;2018,Activities[[#This Row],[Value]],Activities[[#This Row],[Value]]*(1+VLOOKUP(Activities[[#This Row],[Reference Year]],Inflation[#All],3,FALSE)))</f>
        <v>48839.772151898731</v>
      </c>
    </row>
    <row r="1000" spans="1:15" ht="15" customHeight="1" x14ac:dyDescent="0.25">
      <c r="A1000" s="9" t="s">
        <v>183</v>
      </c>
      <c r="B1000" s="9" t="str">
        <f>INDEX(Places[Type],MATCH(Activities[[#This Row],[Jurisdiction]],Places[Jurisdiction],0))</f>
        <v>City</v>
      </c>
      <c r="C1000" s="19" t="str">
        <f>INDEX(Places[County],MATCH(Activities[[#This Row],[Jurisdiction]],Places[Jurisdiction],0))</f>
        <v>Los Angeles</v>
      </c>
      <c r="D1000" s="19" t="str">
        <f>INDEX(Places[Majority RB],MATCH(Activities[[#This Row],[Jurisdiction]],Places[Jurisdiction],0))</f>
        <v>Los Angeles</v>
      </c>
      <c r="E1000" s="9">
        <f>INDEX(Places[Majority RB '#],MATCH(Activities[[#This Row],[Jurisdiction]],Places[Jurisdiction],0))</f>
        <v>4</v>
      </c>
      <c r="F1000" s="28" t="str">
        <f>VLOOKUP(Activities[[#This Row],[Jurisdiction]],Places[#All],8,FALSE)</f>
        <v>Phase I MS4</v>
      </c>
      <c r="G1000" s="48" t="s">
        <v>850</v>
      </c>
      <c r="H1000" s="8"/>
      <c r="I1000" s="8"/>
      <c r="J1000" s="8" t="s">
        <v>1896</v>
      </c>
      <c r="K1000" s="27" t="s">
        <v>1873</v>
      </c>
      <c r="L1000" s="28">
        <f>_xlfn.NUMBERVALUE(LEFT(Activities[[#This Row],[Fiscal Year]], 4))</f>
        <v>2015</v>
      </c>
      <c r="M1000" s="28" t="s">
        <v>1862</v>
      </c>
      <c r="N1000" s="41">
        <v>10000</v>
      </c>
      <c r="O1000" s="93">
        <f>IF(Activities[[#This Row],[Reference Year]]&gt;2018,Activities[[#This Row],[Value]],Activities[[#This Row],[Value]]*(1+VLOOKUP(Activities[[#This Row],[Reference Year]],Inflation[#All],3,FALSE)))</f>
        <v>10617.341772151898</v>
      </c>
    </row>
    <row r="1001" spans="1:15" ht="15" customHeight="1" x14ac:dyDescent="0.25">
      <c r="A1001" s="9" t="s">
        <v>183</v>
      </c>
      <c r="B1001" s="9" t="str">
        <f>INDEX(Places[Type],MATCH(Activities[[#This Row],[Jurisdiction]],Places[Jurisdiction],0))</f>
        <v>City</v>
      </c>
      <c r="C1001" s="19" t="str">
        <f>INDEX(Places[County],MATCH(Activities[[#This Row],[Jurisdiction]],Places[Jurisdiction],0))</f>
        <v>Los Angeles</v>
      </c>
      <c r="D1001" s="19" t="str">
        <f>INDEX(Places[Majority RB],MATCH(Activities[[#This Row],[Jurisdiction]],Places[Jurisdiction],0))</f>
        <v>Los Angeles</v>
      </c>
      <c r="E1001" s="9">
        <f>INDEX(Places[Majority RB '#],MATCH(Activities[[#This Row],[Jurisdiction]],Places[Jurisdiction],0))</f>
        <v>4</v>
      </c>
      <c r="F1001" s="28" t="str">
        <f>VLOOKUP(Activities[[#This Row],[Jurisdiction]],Places[#All],8,FALSE)</f>
        <v>Phase I MS4</v>
      </c>
      <c r="G1001" s="56" t="s">
        <v>855</v>
      </c>
      <c r="H1001" s="8"/>
      <c r="I1001" s="8"/>
      <c r="J1001" s="8" t="s">
        <v>1896</v>
      </c>
      <c r="K1001" s="27" t="s">
        <v>1873</v>
      </c>
      <c r="L1001" s="28">
        <f>_xlfn.NUMBERVALUE(LEFT(Activities[[#This Row],[Fiscal Year]], 4))</f>
        <v>2015</v>
      </c>
      <c r="M1001" s="28" t="s">
        <v>1862</v>
      </c>
      <c r="N1001" s="41">
        <v>100000</v>
      </c>
      <c r="O1001" s="93">
        <f>IF(Activities[[#This Row],[Reference Year]]&gt;2018,Activities[[#This Row],[Value]],Activities[[#This Row],[Value]]*(1+VLOOKUP(Activities[[#This Row],[Reference Year]],Inflation[#All],3,FALSE)))</f>
        <v>106173.41772151898</v>
      </c>
    </row>
    <row r="1002" spans="1:15" ht="15" customHeight="1" x14ac:dyDescent="0.25">
      <c r="A1002" s="9" t="s">
        <v>183</v>
      </c>
      <c r="B1002" s="9" t="str">
        <f>INDEX(Places[Type],MATCH(Activities[[#This Row],[Jurisdiction]],Places[Jurisdiction],0))</f>
        <v>City</v>
      </c>
      <c r="C1002" s="19" t="str">
        <f>INDEX(Places[County],MATCH(Activities[[#This Row],[Jurisdiction]],Places[Jurisdiction],0))</f>
        <v>Los Angeles</v>
      </c>
      <c r="D1002" s="19" t="str">
        <f>INDEX(Places[Majority RB],MATCH(Activities[[#This Row],[Jurisdiction]],Places[Jurisdiction],0))</f>
        <v>Los Angeles</v>
      </c>
      <c r="E1002" s="9">
        <f>INDEX(Places[Majority RB '#],MATCH(Activities[[#This Row],[Jurisdiction]],Places[Jurisdiction],0))</f>
        <v>4</v>
      </c>
      <c r="F1002" s="28" t="str">
        <f>VLOOKUP(Activities[[#This Row],[Jurisdiction]],Places[#All],8,FALSE)</f>
        <v>Phase I MS4</v>
      </c>
      <c r="G1002" s="56" t="s">
        <v>854</v>
      </c>
      <c r="H1002" s="8"/>
      <c r="I1002" s="8"/>
      <c r="J1002" s="8" t="s">
        <v>47</v>
      </c>
      <c r="K1002" s="27" t="s">
        <v>1873</v>
      </c>
      <c r="L1002" s="28">
        <f>_xlfn.NUMBERVALUE(LEFT(Activities[[#This Row],[Fiscal Year]], 4))</f>
        <v>2015</v>
      </c>
      <c r="M1002" s="28" t="s">
        <v>1862</v>
      </c>
      <c r="N1002" s="41">
        <v>139000</v>
      </c>
      <c r="O1002" s="93">
        <f>IF(Activities[[#This Row],[Reference Year]]&gt;2018,Activities[[#This Row],[Value]],Activities[[#This Row],[Value]]*(1+VLOOKUP(Activities[[#This Row],[Reference Year]],Inflation[#All],3,FALSE)))</f>
        <v>147581.05063291139</v>
      </c>
    </row>
    <row r="1003" spans="1:15" ht="15" customHeight="1" x14ac:dyDescent="0.25">
      <c r="A1003" s="9" t="s">
        <v>191</v>
      </c>
      <c r="B1003" s="9" t="str">
        <f>INDEX(Places[Type],MATCH(Activities[[#This Row],[Jurisdiction]],Places[Jurisdiction],0))</f>
        <v>City</v>
      </c>
      <c r="C1003" s="19" t="str">
        <f>INDEX(Places[County],MATCH(Activities[[#This Row],[Jurisdiction]],Places[Jurisdiction],0))</f>
        <v>Los Angeles</v>
      </c>
      <c r="D1003" s="19" t="str">
        <f>INDEX(Places[Majority RB],MATCH(Activities[[#This Row],[Jurisdiction]],Places[Jurisdiction],0))</f>
        <v>Los Angeles</v>
      </c>
      <c r="E1003" s="9">
        <f>INDEX(Places[Majority RB '#],MATCH(Activities[[#This Row],[Jurisdiction]],Places[Jurisdiction],0))</f>
        <v>4</v>
      </c>
      <c r="F1003" s="28" t="str">
        <f>VLOOKUP(Activities[[#This Row],[Jurisdiction]],Places[#All],8,FALSE)</f>
        <v>Phase I MS4</v>
      </c>
      <c r="G1003" s="48" t="s">
        <v>208</v>
      </c>
      <c r="H1003" s="8"/>
      <c r="I1003" s="8"/>
      <c r="J1003" s="8" t="s">
        <v>334</v>
      </c>
      <c r="K1003" s="27" t="s">
        <v>1873</v>
      </c>
      <c r="L1003" s="28">
        <f>_xlfn.NUMBERVALUE(LEFT(Activities[[#This Row],[Fiscal Year]], 4))</f>
        <v>2015</v>
      </c>
      <c r="M1003" s="28" t="s">
        <v>1862</v>
      </c>
      <c r="N1003" s="41">
        <v>2500</v>
      </c>
      <c r="O1003" s="93">
        <f>IF(Activities[[#This Row],[Reference Year]]&gt;2018,Activities[[#This Row],[Value]],Activities[[#This Row],[Value]]*(1+VLOOKUP(Activities[[#This Row],[Reference Year]],Inflation[#All],3,FALSE)))</f>
        <v>2654.3354430379745</v>
      </c>
    </row>
    <row r="1004" spans="1:15" ht="15" customHeight="1" x14ac:dyDescent="0.25">
      <c r="A1004" s="9" t="s">
        <v>191</v>
      </c>
      <c r="B1004" s="9" t="str">
        <f>INDEX(Places[Type],MATCH(Activities[[#This Row],[Jurisdiction]],Places[Jurisdiction],0))</f>
        <v>City</v>
      </c>
      <c r="C1004" s="19" t="str">
        <f>INDEX(Places[County],MATCH(Activities[[#This Row],[Jurisdiction]],Places[Jurisdiction],0))</f>
        <v>Los Angeles</v>
      </c>
      <c r="D1004" s="19" t="str">
        <f>INDEX(Places[Majority RB],MATCH(Activities[[#This Row],[Jurisdiction]],Places[Jurisdiction],0))</f>
        <v>Los Angeles</v>
      </c>
      <c r="E1004" s="9">
        <f>INDEX(Places[Majority RB '#],MATCH(Activities[[#This Row],[Jurisdiction]],Places[Jurisdiction],0))</f>
        <v>4</v>
      </c>
      <c r="F1004" s="28" t="str">
        <f>VLOOKUP(Activities[[#This Row],[Jurisdiction]],Places[#All],8,FALSE)</f>
        <v>Phase I MS4</v>
      </c>
      <c r="G1004" s="48" t="s">
        <v>61</v>
      </c>
      <c r="H1004" s="8"/>
      <c r="I1004" s="8"/>
      <c r="J1004" s="8" t="s">
        <v>1897</v>
      </c>
      <c r="K1004" s="27" t="s">
        <v>1873</v>
      </c>
      <c r="L1004" s="28">
        <f>_xlfn.NUMBERVALUE(LEFT(Activities[[#This Row],[Fiscal Year]], 4))</f>
        <v>2015</v>
      </c>
      <c r="M1004" s="28" t="s">
        <v>1862</v>
      </c>
      <c r="N1004" s="41">
        <v>3916533</v>
      </c>
      <c r="O1004" s="93">
        <f>IF(Activities[[#This Row],[Reference Year]]&gt;2018,Activities[[#This Row],[Value]],Activities[[#This Row],[Value]]*(1+VLOOKUP(Activities[[#This Row],[Reference Year]],Inflation[#All],3,FALSE)))</f>
        <v>4158316.9422911392</v>
      </c>
    </row>
    <row r="1005" spans="1:15" ht="15" customHeight="1" x14ac:dyDescent="0.25">
      <c r="A1005" s="9" t="s">
        <v>191</v>
      </c>
      <c r="B1005" s="9" t="str">
        <f>INDEX(Places[Type],MATCH(Activities[[#This Row],[Jurisdiction]],Places[Jurisdiction],0))</f>
        <v>City</v>
      </c>
      <c r="C1005" s="19" t="str">
        <f>INDEX(Places[County],MATCH(Activities[[#This Row],[Jurisdiction]],Places[Jurisdiction],0))</f>
        <v>Los Angeles</v>
      </c>
      <c r="D1005" s="19" t="str">
        <f>INDEX(Places[Majority RB],MATCH(Activities[[#This Row],[Jurisdiction]],Places[Jurisdiction],0))</f>
        <v>Los Angeles</v>
      </c>
      <c r="E1005" s="9">
        <f>INDEX(Places[Majority RB '#],MATCH(Activities[[#This Row],[Jurisdiction]],Places[Jurisdiction],0))</f>
        <v>4</v>
      </c>
      <c r="F1005" s="28" t="str">
        <f>VLOOKUP(Activities[[#This Row],[Jurisdiction]],Places[#All],8,FALSE)</f>
        <v>Phase I MS4</v>
      </c>
      <c r="G1005" s="48" t="s">
        <v>58</v>
      </c>
      <c r="H1005" s="8"/>
      <c r="I1005" s="8"/>
      <c r="J1005" s="8" t="s">
        <v>1456</v>
      </c>
      <c r="K1005" s="27" t="s">
        <v>1873</v>
      </c>
      <c r="L1005" s="28">
        <f>_xlfn.NUMBERVALUE(LEFT(Activities[[#This Row],[Fiscal Year]], 4))</f>
        <v>2015</v>
      </c>
      <c r="M1005" s="28" t="s">
        <v>1862</v>
      </c>
      <c r="N1005" s="41">
        <v>1000</v>
      </c>
      <c r="O1005" s="93">
        <f>IF(Activities[[#This Row],[Reference Year]]&gt;2018,Activities[[#This Row],[Value]],Activities[[#This Row],[Value]]*(1+VLOOKUP(Activities[[#This Row],[Reference Year]],Inflation[#All],3,FALSE)))</f>
        <v>1061.7341772151899</v>
      </c>
    </row>
    <row r="1006" spans="1:15" ht="15" customHeight="1" x14ac:dyDescent="0.25">
      <c r="A1006" s="9" t="s">
        <v>191</v>
      </c>
      <c r="B1006" s="9" t="str">
        <f>INDEX(Places[Type],MATCH(Activities[[#This Row],[Jurisdiction]],Places[Jurisdiction],0))</f>
        <v>City</v>
      </c>
      <c r="C1006" s="19" t="str">
        <f>INDEX(Places[County],MATCH(Activities[[#This Row],[Jurisdiction]],Places[Jurisdiction],0))</f>
        <v>Los Angeles</v>
      </c>
      <c r="D1006" s="19" t="str">
        <f>INDEX(Places[Majority RB],MATCH(Activities[[#This Row],[Jurisdiction]],Places[Jurisdiction],0))</f>
        <v>Los Angeles</v>
      </c>
      <c r="E1006" s="9">
        <f>INDEX(Places[Majority RB '#],MATCH(Activities[[#This Row],[Jurisdiction]],Places[Jurisdiction],0))</f>
        <v>4</v>
      </c>
      <c r="F1006" s="28" t="str">
        <f>VLOOKUP(Activities[[#This Row],[Jurisdiction]],Places[#All],8,FALSE)</f>
        <v>Phase I MS4</v>
      </c>
      <c r="G1006" s="48" t="s">
        <v>32</v>
      </c>
      <c r="H1006" s="8"/>
      <c r="I1006" s="8"/>
      <c r="J1006" s="8" t="s">
        <v>1894</v>
      </c>
      <c r="K1006" s="27" t="s">
        <v>1873</v>
      </c>
      <c r="L1006" s="28">
        <f>_xlfn.NUMBERVALUE(LEFT(Activities[[#This Row],[Fiscal Year]], 4))</f>
        <v>2015</v>
      </c>
      <c r="M1006" s="28" t="s">
        <v>1862</v>
      </c>
      <c r="N1006" s="41">
        <v>40000</v>
      </c>
      <c r="O1006" s="93">
        <f>IF(Activities[[#This Row],[Reference Year]]&gt;2018,Activities[[#This Row],[Value]],Activities[[#This Row],[Value]]*(1+VLOOKUP(Activities[[#This Row],[Reference Year]],Inflation[#All],3,FALSE)))</f>
        <v>42469.367088607592</v>
      </c>
    </row>
    <row r="1007" spans="1:15" ht="15" customHeight="1" x14ac:dyDescent="0.25">
      <c r="A1007" s="9" t="s">
        <v>191</v>
      </c>
      <c r="B1007" s="9" t="str">
        <f>INDEX(Places[Type],MATCH(Activities[[#This Row],[Jurisdiction]],Places[Jurisdiction],0))</f>
        <v>City</v>
      </c>
      <c r="C1007" s="19" t="str">
        <f>INDEX(Places[County],MATCH(Activities[[#This Row],[Jurisdiction]],Places[Jurisdiction],0))</f>
        <v>Los Angeles</v>
      </c>
      <c r="D1007" s="19" t="str">
        <f>INDEX(Places[Majority RB],MATCH(Activities[[#This Row],[Jurisdiction]],Places[Jurisdiction],0))</f>
        <v>Los Angeles</v>
      </c>
      <c r="E1007" s="9">
        <f>INDEX(Places[Majority RB '#],MATCH(Activities[[#This Row],[Jurisdiction]],Places[Jurisdiction],0))</f>
        <v>4</v>
      </c>
      <c r="F1007" s="28" t="str">
        <f>VLOOKUP(Activities[[#This Row],[Jurisdiction]],Places[#All],8,FALSE)</f>
        <v>Phase I MS4</v>
      </c>
      <c r="G1007" s="48" t="s">
        <v>67</v>
      </c>
      <c r="H1007" s="8"/>
      <c r="I1007" s="8"/>
      <c r="J1007" s="8" t="s">
        <v>1896</v>
      </c>
      <c r="K1007" s="27" t="s">
        <v>1873</v>
      </c>
      <c r="L1007" s="28">
        <f>_xlfn.NUMBERVALUE(LEFT(Activities[[#This Row],[Fiscal Year]], 4))</f>
        <v>2015</v>
      </c>
      <c r="M1007" s="28" t="s">
        <v>1862</v>
      </c>
      <c r="N1007" s="41">
        <v>15000</v>
      </c>
      <c r="O1007" s="93">
        <f>IF(Activities[[#This Row],[Reference Year]]&gt;2018,Activities[[#This Row],[Value]],Activities[[#This Row],[Value]]*(1+VLOOKUP(Activities[[#This Row],[Reference Year]],Inflation[#All],3,FALSE)))</f>
        <v>15926.012658227848</v>
      </c>
    </row>
    <row r="1008" spans="1:15" ht="15" customHeight="1" x14ac:dyDescent="0.25">
      <c r="A1008" s="9" t="s">
        <v>191</v>
      </c>
      <c r="B1008" s="9" t="str">
        <f>INDEX(Places[Type],MATCH(Activities[[#This Row],[Jurisdiction]],Places[Jurisdiction],0))</f>
        <v>City</v>
      </c>
      <c r="C1008" s="19" t="str">
        <f>INDEX(Places[County],MATCH(Activities[[#This Row],[Jurisdiction]],Places[Jurisdiction],0))</f>
        <v>Los Angeles</v>
      </c>
      <c r="D1008" s="19" t="str">
        <f>INDEX(Places[Majority RB],MATCH(Activities[[#This Row],[Jurisdiction]],Places[Jurisdiction],0))</f>
        <v>Los Angeles</v>
      </c>
      <c r="E1008" s="9">
        <f>INDEX(Places[Majority RB '#],MATCH(Activities[[#This Row],[Jurisdiction]],Places[Jurisdiction],0))</f>
        <v>4</v>
      </c>
      <c r="F1008" s="28" t="str">
        <f>VLOOKUP(Activities[[#This Row],[Jurisdiction]],Places[#All],8,FALSE)</f>
        <v>Phase I MS4</v>
      </c>
      <c r="G1008" s="48" t="s">
        <v>33</v>
      </c>
      <c r="H1008" s="8"/>
      <c r="I1008" s="8"/>
      <c r="J1008" s="8" t="s">
        <v>47</v>
      </c>
      <c r="K1008" s="27" t="s">
        <v>1873</v>
      </c>
      <c r="L1008" s="28">
        <f>_xlfn.NUMBERVALUE(LEFT(Activities[[#This Row],[Fiscal Year]], 4))</f>
        <v>2015</v>
      </c>
      <c r="M1008" s="28" t="s">
        <v>1862</v>
      </c>
      <c r="N1008" s="41">
        <v>2500</v>
      </c>
      <c r="O1008" s="93">
        <f>IF(Activities[[#This Row],[Reference Year]]&gt;2018,Activities[[#This Row],[Value]],Activities[[#This Row],[Value]]*(1+VLOOKUP(Activities[[#This Row],[Reference Year]],Inflation[#All],3,FALSE)))</f>
        <v>2654.3354430379745</v>
      </c>
    </row>
    <row r="1009" spans="1:15" ht="15" customHeight="1" x14ac:dyDescent="0.25">
      <c r="A1009" s="9" t="s">
        <v>192</v>
      </c>
      <c r="B1009" s="9" t="str">
        <f>INDEX(Places[Type],MATCH(Activities[[#This Row],[Jurisdiction]],Places[Jurisdiction],0))</f>
        <v>City</v>
      </c>
      <c r="C1009" s="19" t="str">
        <f>INDEX(Places[County],MATCH(Activities[[#This Row],[Jurisdiction]],Places[Jurisdiction],0))</f>
        <v>Los Angeles</v>
      </c>
      <c r="D1009" s="19" t="str">
        <f>INDEX(Places[Majority RB],MATCH(Activities[[#This Row],[Jurisdiction]],Places[Jurisdiction],0))</f>
        <v>Los Angeles</v>
      </c>
      <c r="E1009" s="9">
        <f>INDEX(Places[Majority RB '#],MATCH(Activities[[#This Row],[Jurisdiction]],Places[Jurisdiction],0))</f>
        <v>4</v>
      </c>
      <c r="F1009" s="28" t="str">
        <f>VLOOKUP(Activities[[#This Row],[Jurisdiction]],Places[#All],8,FALSE)</f>
        <v>Phase I MS4</v>
      </c>
      <c r="G1009" s="48" t="s">
        <v>62</v>
      </c>
      <c r="H1009" s="8"/>
      <c r="I1009" s="8"/>
      <c r="J1009" s="8" t="s">
        <v>131</v>
      </c>
      <c r="K1009" s="27" t="s">
        <v>1873</v>
      </c>
      <c r="L1009" s="28">
        <f>_xlfn.NUMBERVALUE(LEFT(Activities[[#This Row],[Fiscal Year]], 4))</f>
        <v>2015</v>
      </c>
      <c r="M1009" s="28" t="s">
        <v>1862</v>
      </c>
      <c r="N1009" s="41">
        <v>332.5</v>
      </c>
      <c r="O1009" s="93">
        <f>IF(Activities[[#This Row],[Reference Year]]&gt;2018,Activities[[#This Row],[Value]],Activities[[#This Row],[Value]]*(1+VLOOKUP(Activities[[#This Row],[Reference Year]],Inflation[#All],3,FALSE)))</f>
        <v>353.02661392405059</v>
      </c>
    </row>
    <row r="1010" spans="1:15" ht="15" customHeight="1" x14ac:dyDescent="0.25">
      <c r="A1010" s="9" t="s">
        <v>192</v>
      </c>
      <c r="B1010" s="9" t="str">
        <f>INDEX(Places[Type],MATCH(Activities[[#This Row],[Jurisdiction]],Places[Jurisdiction],0))</f>
        <v>City</v>
      </c>
      <c r="C1010" s="19" t="str">
        <f>INDEX(Places[County],MATCH(Activities[[#This Row],[Jurisdiction]],Places[Jurisdiction],0))</f>
        <v>Los Angeles</v>
      </c>
      <c r="D1010" s="19" t="str">
        <f>INDEX(Places[Majority RB],MATCH(Activities[[#This Row],[Jurisdiction]],Places[Jurisdiction],0))</f>
        <v>Los Angeles</v>
      </c>
      <c r="E1010" s="9">
        <f>INDEX(Places[Majority RB '#],MATCH(Activities[[#This Row],[Jurisdiction]],Places[Jurisdiction],0))</f>
        <v>4</v>
      </c>
      <c r="F1010" s="28" t="str">
        <f>VLOOKUP(Activities[[#This Row],[Jurisdiction]],Places[#All],8,FALSE)</f>
        <v>Phase I MS4</v>
      </c>
      <c r="G1010" s="48" t="s">
        <v>208</v>
      </c>
      <c r="H1010" s="8"/>
      <c r="I1010" s="8"/>
      <c r="J1010" s="8" t="s">
        <v>334</v>
      </c>
      <c r="K1010" s="27" t="s">
        <v>1873</v>
      </c>
      <c r="L1010" s="28">
        <f>_xlfn.NUMBERVALUE(LEFT(Activities[[#This Row],[Fiscal Year]], 4))</f>
        <v>2015</v>
      </c>
      <c r="M1010" s="28" t="s">
        <v>1862</v>
      </c>
      <c r="N1010" s="41">
        <v>32530</v>
      </c>
      <c r="O1010" s="93">
        <f>IF(Activities[[#This Row],[Reference Year]]&gt;2018,Activities[[#This Row],[Value]],Activities[[#This Row],[Value]]*(1+VLOOKUP(Activities[[#This Row],[Reference Year]],Inflation[#All],3,FALSE)))</f>
        <v>34538.212784810123</v>
      </c>
    </row>
    <row r="1011" spans="1:15" ht="15" customHeight="1" x14ac:dyDescent="0.25">
      <c r="A1011" s="9" t="s">
        <v>192</v>
      </c>
      <c r="B1011" s="9" t="str">
        <f>INDEX(Places[Type],MATCH(Activities[[#This Row],[Jurisdiction]],Places[Jurisdiction],0))</f>
        <v>City</v>
      </c>
      <c r="C1011" s="19" t="str">
        <f>INDEX(Places[County],MATCH(Activities[[#This Row],[Jurisdiction]],Places[Jurisdiction],0))</f>
        <v>Los Angeles</v>
      </c>
      <c r="D1011" s="19" t="str">
        <f>INDEX(Places[Majority RB],MATCH(Activities[[#This Row],[Jurisdiction]],Places[Jurisdiction],0))</f>
        <v>Los Angeles</v>
      </c>
      <c r="E1011" s="9">
        <f>INDEX(Places[Majority RB '#],MATCH(Activities[[#This Row],[Jurisdiction]],Places[Jurisdiction],0))</f>
        <v>4</v>
      </c>
      <c r="F1011" s="28" t="str">
        <f>VLOOKUP(Activities[[#This Row],[Jurisdiction]],Places[#All],8,FALSE)</f>
        <v>Phase I MS4</v>
      </c>
      <c r="G1011" s="48" t="s">
        <v>61</v>
      </c>
      <c r="H1011" s="8"/>
      <c r="I1011" s="8"/>
      <c r="J1011" s="8" t="s">
        <v>1897</v>
      </c>
      <c r="K1011" s="27" t="s">
        <v>1873</v>
      </c>
      <c r="L1011" s="28">
        <f>_xlfn.NUMBERVALUE(LEFT(Activities[[#This Row],[Fiscal Year]], 4))</f>
        <v>2015</v>
      </c>
      <c r="M1011" s="28" t="s">
        <v>1862</v>
      </c>
      <c r="N1011" s="41">
        <v>333928</v>
      </c>
      <c r="O1011" s="93">
        <f>IF(Activities[[#This Row],[Reference Year]]&gt;2018,Activities[[#This Row],[Value]],Activities[[#This Row],[Value]]*(1+VLOOKUP(Activities[[#This Row],[Reference Year]],Inflation[#All],3,FALSE)))</f>
        <v>354542.77032911388</v>
      </c>
    </row>
    <row r="1012" spans="1:15" ht="15" customHeight="1" x14ac:dyDescent="0.25">
      <c r="A1012" s="9" t="s">
        <v>192</v>
      </c>
      <c r="B1012" s="9" t="str">
        <f>INDEX(Places[Type],MATCH(Activities[[#This Row],[Jurisdiction]],Places[Jurisdiction],0))</f>
        <v>City</v>
      </c>
      <c r="C1012" s="19" t="str">
        <f>INDEX(Places[County],MATCH(Activities[[#This Row],[Jurisdiction]],Places[Jurisdiction],0))</f>
        <v>Los Angeles</v>
      </c>
      <c r="D1012" s="19" t="str">
        <f>INDEX(Places[Majority RB],MATCH(Activities[[#This Row],[Jurisdiction]],Places[Jurisdiction],0))</f>
        <v>Los Angeles</v>
      </c>
      <c r="E1012" s="9">
        <f>INDEX(Places[Majority RB '#],MATCH(Activities[[#This Row],[Jurisdiction]],Places[Jurisdiction],0))</f>
        <v>4</v>
      </c>
      <c r="F1012" s="28" t="str">
        <f>VLOOKUP(Activities[[#This Row],[Jurisdiction]],Places[#All],8,FALSE)</f>
        <v>Phase I MS4</v>
      </c>
      <c r="G1012" s="48" t="s">
        <v>60</v>
      </c>
      <c r="H1012" s="8"/>
      <c r="I1012" s="8"/>
      <c r="J1012" s="8" t="s">
        <v>1898</v>
      </c>
      <c r="K1012" s="27" t="s">
        <v>1873</v>
      </c>
      <c r="L1012" s="28">
        <f>_xlfn.NUMBERVALUE(LEFT(Activities[[#This Row],[Fiscal Year]], 4))</f>
        <v>2015</v>
      </c>
      <c r="M1012" s="28" t="s">
        <v>1862</v>
      </c>
      <c r="N1012" s="41">
        <v>3966</v>
      </c>
      <c r="O1012" s="93">
        <f>IF(Activities[[#This Row],[Reference Year]]&gt;2018,Activities[[#This Row],[Value]],Activities[[#This Row],[Value]]*(1+VLOOKUP(Activities[[#This Row],[Reference Year]],Inflation[#All],3,FALSE)))</f>
        <v>4210.8377468354429</v>
      </c>
    </row>
    <row r="1013" spans="1:15" ht="15" customHeight="1" x14ac:dyDescent="0.25">
      <c r="A1013" s="9" t="s">
        <v>192</v>
      </c>
      <c r="B1013" s="9" t="str">
        <f>INDEX(Places[Type],MATCH(Activities[[#This Row],[Jurisdiction]],Places[Jurisdiction],0))</f>
        <v>City</v>
      </c>
      <c r="C1013" s="19" t="str">
        <f>INDEX(Places[County],MATCH(Activities[[#This Row],[Jurisdiction]],Places[Jurisdiction],0))</f>
        <v>Los Angeles</v>
      </c>
      <c r="D1013" s="19" t="str">
        <f>INDEX(Places[Majority RB],MATCH(Activities[[#This Row],[Jurisdiction]],Places[Jurisdiction],0))</f>
        <v>Los Angeles</v>
      </c>
      <c r="E1013" s="9">
        <f>INDEX(Places[Majority RB '#],MATCH(Activities[[#This Row],[Jurisdiction]],Places[Jurisdiction],0))</f>
        <v>4</v>
      </c>
      <c r="F1013" s="28" t="str">
        <f>VLOOKUP(Activities[[#This Row],[Jurisdiction]],Places[#All],8,FALSE)</f>
        <v>Phase I MS4</v>
      </c>
      <c r="G1013" s="48" t="s">
        <v>59</v>
      </c>
      <c r="H1013" s="8"/>
      <c r="I1013" s="8"/>
      <c r="J1013" s="8" t="s">
        <v>1898</v>
      </c>
      <c r="K1013" s="27" t="s">
        <v>1873</v>
      </c>
      <c r="L1013" s="28">
        <f>_xlfn.NUMBERVALUE(LEFT(Activities[[#This Row],[Fiscal Year]], 4))</f>
        <v>2015</v>
      </c>
      <c r="M1013" s="28" t="s">
        <v>1862</v>
      </c>
      <c r="N1013" s="41">
        <v>38224</v>
      </c>
      <c r="O1013" s="93">
        <f>IF(Activities[[#This Row],[Reference Year]]&gt;2018,Activities[[#This Row],[Value]],Activities[[#This Row],[Value]]*(1+VLOOKUP(Activities[[#This Row],[Reference Year]],Inflation[#All],3,FALSE)))</f>
        <v>40583.727189873418</v>
      </c>
    </row>
    <row r="1014" spans="1:15" ht="15" customHeight="1" x14ac:dyDescent="0.25">
      <c r="A1014" s="9" t="s">
        <v>192</v>
      </c>
      <c r="B1014" s="9" t="str">
        <f>INDEX(Places[Type],MATCH(Activities[[#This Row],[Jurisdiction]],Places[Jurisdiction],0))</f>
        <v>City</v>
      </c>
      <c r="C1014" s="19" t="str">
        <f>INDEX(Places[County],MATCH(Activities[[#This Row],[Jurisdiction]],Places[Jurisdiction],0))</f>
        <v>Los Angeles</v>
      </c>
      <c r="D1014" s="19" t="str">
        <f>INDEX(Places[Majority RB],MATCH(Activities[[#This Row],[Jurisdiction]],Places[Jurisdiction],0))</f>
        <v>Los Angeles</v>
      </c>
      <c r="E1014" s="9">
        <f>INDEX(Places[Majority RB '#],MATCH(Activities[[#This Row],[Jurisdiction]],Places[Jurisdiction],0))</f>
        <v>4</v>
      </c>
      <c r="F1014" s="28" t="str">
        <f>VLOOKUP(Activities[[#This Row],[Jurisdiction]],Places[#All],8,FALSE)</f>
        <v>Phase I MS4</v>
      </c>
      <c r="G1014" s="48" t="s">
        <v>58</v>
      </c>
      <c r="H1014" s="8"/>
      <c r="I1014" s="8"/>
      <c r="J1014" s="8" t="s">
        <v>1456</v>
      </c>
      <c r="K1014" s="27" t="s">
        <v>1873</v>
      </c>
      <c r="L1014" s="28">
        <f>_xlfn.NUMBERVALUE(LEFT(Activities[[#This Row],[Fiscal Year]], 4))</f>
        <v>2015</v>
      </c>
      <c r="M1014" s="28" t="s">
        <v>1862</v>
      </c>
      <c r="N1014" s="41">
        <v>146779</v>
      </c>
      <c r="O1014" s="93">
        <f>IF(Activities[[#This Row],[Reference Year]]&gt;2018,Activities[[#This Row],[Value]],Activities[[#This Row],[Value]]*(1+VLOOKUP(Activities[[#This Row],[Reference Year]],Inflation[#All],3,FALSE)))</f>
        <v>155840.28079746835</v>
      </c>
    </row>
    <row r="1015" spans="1:15" ht="15" customHeight="1" x14ac:dyDescent="0.25">
      <c r="A1015" s="9" t="s">
        <v>192</v>
      </c>
      <c r="B1015" s="9" t="str">
        <f>INDEX(Places[Type],MATCH(Activities[[#This Row],[Jurisdiction]],Places[Jurisdiction],0))</f>
        <v>City</v>
      </c>
      <c r="C1015" s="19" t="str">
        <f>INDEX(Places[County],MATCH(Activities[[#This Row],[Jurisdiction]],Places[Jurisdiction],0))</f>
        <v>Los Angeles</v>
      </c>
      <c r="D1015" s="19" t="str">
        <f>INDEX(Places[Majority RB],MATCH(Activities[[#This Row],[Jurisdiction]],Places[Jurisdiction],0))</f>
        <v>Los Angeles</v>
      </c>
      <c r="E1015" s="9">
        <f>INDEX(Places[Majority RB '#],MATCH(Activities[[#This Row],[Jurisdiction]],Places[Jurisdiction],0))</f>
        <v>4</v>
      </c>
      <c r="F1015" s="28" t="str">
        <f>VLOOKUP(Activities[[#This Row],[Jurisdiction]],Places[#All],8,FALSE)</f>
        <v>Phase I MS4</v>
      </c>
      <c r="G1015" s="48" t="s">
        <v>32</v>
      </c>
      <c r="H1015" s="8"/>
      <c r="I1015" s="8"/>
      <c r="J1015" s="8" t="s">
        <v>1894</v>
      </c>
      <c r="K1015" s="27" t="s">
        <v>1873</v>
      </c>
      <c r="L1015" s="28">
        <f>_xlfn.NUMBERVALUE(LEFT(Activities[[#This Row],[Fiscal Year]], 4))</f>
        <v>2015</v>
      </c>
      <c r="M1015" s="28" t="s">
        <v>1862</v>
      </c>
      <c r="N1015" s="41">
        <v>55003</v>
      </c>
      <c r="O1015" s="93">
        <f>IF(Activities[[#This Row],[Reference Year]]&gt;2018,Activities[[#This Row],[Value]],Activities[[#This Row],[Value]]*(1+VLOOKUP(Activities[[#This Row],[Reference Year]],Inflation[#All],3,FALSE)))</f>
        <v>58398.564949367086</v>
      </c>
    </row>
    <row r="1016" spans="1:15" ht="15" customHeight="1" x14ac:dyDescent="0.25">
      <c r="A1016" s="9" t="s">
        <v>192</v>
      </c>
      <c r="B1016" s="9" t="str">
        <f>INDEX(Places[Type],MATCH(Activities[[#This Row],[Jurisdiction]],Places[Jurisdiction],0))</f>
        <v>City</v>
      </c>
      <c r="C1016" s="19" t="str">
        <f>INDEX(Places[County],MATCH(Activities[[#This Row],[Jurisdiction]],Places[Jurisdiction],0))</f>
        <v>Los Angeles</v>
      </c>
      <c r="D1016" s="19" t="str">
        <f>INDEX(Places[Majority RB],MATCH(Activities[[#This Row],[Jurisdiction]],Places[Jurisdiction],0))</f>
        <v>Los Angeles</v>
      </c>
      <c r="E1016" s="9">
        <f>INDEX(Places[Majority RB '#],MATCH(Activities[[#This Row],[Jurisdiction]],Places[Jurisdiction],0))</f>
        <v>4</v>
      </c>
      <c r="F1016" s="28" t="str">
        <f>VLOOKUP(Activities[[#This Row],[Jurisdiction]],Places[#All],8,FALSE)</f>
        <v>Phase I MS4</v>
      </c>
      <c r="G1016" s="48" t="s">
        <v>211</v>
      </c>
      <c r="H1016" s="8"/>
      <c r="I1016" s="8"/>
      <c r="J1016" s="8" t="s">
        <v>1896</v>
      </c>
      <c r="K1016" s="27" t="s">
        <v>1873</v>
      </c>
      <c r="L1016" s="28">
        <f>_xlfn.NUMBERVALUE(LEFT(Activities[[#This Row],[Fiscal Year]], 4))</f>
        <v>2015</v>
      </c>
      <c r="M1016" s="28" t="s">
        <v>1862</v>
      </c>
      <c r="N1016" s="41">
        <v>31370</v>
      </c>
      <c r="O1016" s="93">
        <f>IF(Activities[[#This Row],[Reference Year]]&gt;2018,Activities[[#This Row],[Value]],Activities[[#This Row],[Value]]*(1+VLOOKUP(Activities[[#This Row],[Reference Year]],Inflation[#All],3,FALSE)))</f>
        <v>33306.601139240505</v>
      </c>
    </row>
    <row r="1017" spans="1:15" ht="15" customHeight="1" x14ac:dyDescent="0.25">
      <c r="A1017" s="9" t="s">
        <v>192</v>
      </c>
      <c r="B1017" s="9" t="str">
        <f>INDEX(Places[Type],MATCH(Activities[[#This Row],[Jurisdiction]],Places[Jurisdiction],0))</f>
        <v>City</v>
      </c>
      <c r="C1017" s="19" t="str">
        <f>INDEX(Places[County],MATCH(Activities[[#This Row],[Jurisdiction]],Places[Jurisdiction],0))</f>
        <v>Los Angeles</v>
      </c>
      <c r="D1017" s="19" t="str">
        <f>INDEX(Places[Majority RB],MATCH(Activities[[#This Row],[Jurisdiction]],Places[Jurisdiction],0))</f>
        <v>Los Angeles</v>
      </c>
      <c r="E1017" s="9">
        <f>INDEX(Places[Majority RB '#],MATCH(Activities[[#This Row],[Jurisdiction]],Places[Jurisdiction],0))</f>
        <v>4</v>
      </c>
      <c r="F1017" s="28" t="str">
        <f>VLOOKUP(Activities[[#This Row],[Jurisdiction]],Places[#All],8,FALSE)</f>
        <v>Phase I MS4</v>
      </c>
      <c r="G1017" s="48" t="s">
        <v>67</v>
      </c>
      <c r="H1017" s="8" t="s">
        <v>939</v>
      </c>
      <c r="I1017" s="8" t="s">
        <v>429</v>
      </c>
      <c r="J1017" s="8" t="s">
        <v>1896</v>
      </c>
      <c r="K1017" s="27" t="s">
        <v>1873</v>
      </c>
      <c r="L1017" s="28">
        <f>_xlfn.NUMBERVALUE(LEFT(Activities[[#This Row],[Fiscal Year]], 4))</f>
        <v>2015</v>
      </c>
      <c r="M1017" s="28" t="s">
        <v>1862</v>
      </c>
      <c r="N1017" s="41">
        <v>44850</v>
      </c>
      <c r="O1017" s="93">
        <f>IF(Activities[[#This Row],[Reference Year]]&gt;2018,Activities[[#This Row],[Value]],Activities[[#This Row],[Value]]*(1+VLOOKUP(Activities[[#This Row],[Reference Year]],Inflation[#All],3,FALSE)))</f>
        <v>47618.777848101265</v>
      </c>
    </row>
    <row r="1018" spans="1:15" ht="15" customHeight="1" x14ac:dyDescent="0.25">
      <c r="A1018" s="9" t="s">
        <v>192</v>
      </c>
      <c r="B1018" s="9" t="str">
        <f>INDEX(Places[Type],MATCH(Activities[[#This Row],[Jurisdiction]],Places[Jurisdiction],0))</f>
        <v>City</v>
      </c>
      <c r="C1018" s="19" t="str">
        <f>INDEX(Places[County],MATCH(Activities[[#This Row],[Jurisdiction]],Places[Jurisdiction],0))</f>
        <v>Los Angeles</v>
      </c>
      <c r="D1018" s="19" t="str">
        <f>INDEX(Places[Majority RB],MATCH(Activities[[#This Row],[Jurisdiction]],Places[Jurisdiction],0))</f>
        <v>Los Angeles</v>
      </c>
      <c r="E1018" s="9">
        <f>INDEX(Places[Majority RB '#],MATCH(Activities[[#This Row],[Jurisdiction]],Places[Jurisdiction],0))</f>
        <v>4</v>
      </c>
      <c r="F1018" s="28" t="str">
        <f>VLOOKUP(Activities[[#This Row],[Jurisdiction]],Places[#All],8,FALSE)</f>
        <v>Phase I MS4</v>
      </c>
      <c r="G1018" s="48" t="s">
        <v>33</v>
      </c>
      <c r="H1018" s="8"/>
      <c r="I1018" s="8"/>
      <c r="J1018" s="8" t="s">
        <v>47</v>
      </c>
      <c r="K1018" s="27" t="s">
        <v>1873</v>
      </c>
      <c r="L1018" s="28">
        <f>_xlfn.NUMBERVALUE(LEFT(Activities[[#This Row],[Fiscal Year]], 4))</f>
        <v>2015</v>
      </c>
      <c r="M1018" s="28" t="s">
        <v>1862</v>
      </c>
      <c r="N1018" s="41">
        <v>58090</v>
      </c>
      <c r="O1018" s="93">
        <f>IF(Activities[[#This Row],[Reference Year]]&gt;2018,Activities[[#This Row],[Value]],Activities[[#This Row],[Value]]*(1+VLOOKUP(Activities[[#This Row],[Reference Year]],Inflation[#All],3,FALSE)))</f>
        <v>61676.138354430375</v>
      </c>
    </row>
    <row r="1019" spans="1:15" ht="15" customHeight="1" x14ac:dyDescent="0.25">
      <c r="A1019" s="9" t="s">
        <v>255</v>
      </c>
      <c r="B1019" s="9" t="str">
        <f>INDEX(Places[Type],MATCH(Activities[[#This Row],[Jurisdiction]],Places[Jurisdiction],0))</f>
        <v>City</v>
      </c>
      <c r="C1019" s="19" t="str">
        <f>INDEX(Places[County],MATCH(Activities[[#This Row],[Jurisdiction]],Places[Jurisdiction],0))</f>
        <v>Ventura</v>
      </c>
      <c r="D1019" s="19" t="str">
        <f>INDEX(Places[Majority RB],MATCH(Activities[[#This Row],[Jurisdiction]],Places[Jurisdiction],0))</f>
        <v>Los Angeles</v>
      </c>
      <c r="E1019" s="9">
        <f>INDEX(Places[Majority RB '#],MATCH(Activities[[#This Row],[Jurisdiction]],Places[Jurisdiction],0))</f>
        <v>4</v>
      </c>
      <c r="F1019" s="28" t="str">
        <f>VLOOKUP(Activities[[#This Row],[Jurisdiction]],Places[#All],8,FALSE)</f>
        <v>Phase I MS4</v>
      </c>
      <c r="G1019" s="48" t="s">
        <v>76</v>
      </c>
      <c r="H1019" s="8"/>
      <c r="I1019" s="8"/>
      <c r="J1019" s="8" t="s">
        <v>76</v>
      </c>
      <c r="K1019" s="27" t="s">
        <v>1876</v>
      </c>
      <c r="L1019" s="28">
        <f>_xlfn.NUMBERVALUE(LEFT(Activities[[#This Row],[Fiscal Year]], 4))</f>
        <v>2018</v>
      </c>
      <c r="M1019" s="28" t="s">
        <v>1863</v>
      </c>
      <c r="N1019" s="41">
        <v>128700</v>
      </c>
      <c r="O1019" s="93">
        <f>IF(Activities[[#This Row],[Reference Year]]&gt;2018,Activities[[#This Row],[Value]],Activities[[#This Row],[Value]]*(1+VLOOKUP(Activities[[#This Row],[Reference Year]],Inflation[#All],3,FALSE)))</f>
        <v>128700</v>
      </c>
    </row>
    <row r="1020" spans="1:15" ht="15" customHeight="1" x14ac:dyDescent="0.25">
      <c r="A1020" s="9" t="s">
        <v>255</v>
      </c>
      <c r="B1020" s="9" t="str">
        <f>INDEX(Places[Type],MATCH(Activities[[#This Row],[Jurisdiction]],Places[Jurisdiction],0))</f>
        <v>City</v>
      </c>
      <c r="C1020" s="19" t="str">
        <f>INDEX(Places[County],MATCH(Activities[[#This Row],[Jurisdiction]],Places[Jurisdiction],0))</f>
        <v>Ventura</v>
      </c>
      <c r="D1020" s="19" t="str">
        <f>INDEX(Places[Majority RB],MATCH(Activities[[#This Row],[Jurisdiction]],Places[Jurisdiction],0))</f>
        <v>Los Angeles</v>
      </c>
      <c r="E1020" s="9">
        <f>INDEX(Places[Majority RB '#],MATCH(Activities[[#This Row],[Jurisdiction]],Places[Jurisdiction],0))</f>
        <v>4</v>
      </c>
      <c r="F1020" s="28" t="str">
        <f>VLOOKUP(Activities[[#This Row],[Jurisdiction]],Places[#All],8,FALSE)</f>
        <v>Phase I MS4</v>
      </c>
      <c r="G1020" s="48" t="s">
        <v>70</v>
      </c>
      <c r="H1020" s="8"/>
      <c r="I1020" s="8"/>
      <c r="J1020" s="8" t="s">
        <v>1895</v>
      </c>
      <c r="K1020" s="27" t="s">
        <v>1876</v>
      </c>
      <c r="L1020" s="28">
        <f>_xlfn.NUMBERVALUE(LEFT(Activities[[#This Row],[Fiscal Year]], 4))</f>
        <v>2018</v>
      </c>
      <c r="M1020" s="28" t="s">
        <v>1863</v>
      </c>
      <c r="N1020" s="41">
        <v>75000</v>
      </c>
      <c r="O1020" s="93">
        <f>IF(Activities[[#This Row],[Reference Year]]&gt;2018,Activities[[#This Row],[Value]],Activities[[#This Row],[Value]]*(1+VLOOKUP(Activities[[#This Row],[Reference Year]],Inflation[#All],3,FALSE)))</f>
        <v>75000</v>
      </c>
    </row>
    <row r="1021" spans="1:15" ht="15" customHeight="1" x14ac:dyDescent="0.25">
      <c r="A1021" s="9" t="s">
        <v>255</v>
      </c>
      <c r="B1021" s="9" t="str">
        <f>INDEX(Places[Type],MATCH(Activities[[#This Row],[Jurisdiction]],Places[Jurisdiction],0))</f>
        <v>City</v>
      </c>
      <c r="C1021" s="19" t="str">
        <f>INDEX(Places[County],MATCH(Activities[[#This Row],[Jurisdiction]],Places[Jurisdiction],0))</f>
        <v>Ventura</v>
      </c>
      <c r="D1021" s="19" t="str">
        <f>INDEX(Places[Majority RB],MATCH(Activities[[#This Row],[Jurisdiction]],Places[Jurisdiction],0))</f>
        <v>Los Angeles</v>
      </c>
      <c r="E1021" s="9">
        <f>INDEX(Places[Majority RB '#],MATCH(Activities[[#This Row],[Jurisdiction]],Places[Jurisdiction],0))</f>
        <v>4</v>
      </c>
      <c r="F1021" s="28" t="str">
        <f>VLOOKUP(Activities[[#This Row],[Jurisdiction]],Places[#All],8,FALSE)</f>
        <v>Phase I MS4</v>
      </c>
      <c r="G1021" s="48" t="s">
        <v>77</v>
      </c>
      <c r="H1021" s="8"/>
      <c r="I1021" s="8"/>
      <c r="J1021" s="8" t="s">
        <v>131</v>
      </c>
      <c r="K1021" s="27" t="s">
        <v>1876</v>
      </c>
      <c r="L1021" s="28">
        <f>_xlfn.NUMBERVALUE(LEFT(Activities[[#This Row],[Fiscal Year]], 4))</f>
        <v>2018</v>
      </c>
      <c r="M1021" s="28" t="s">
        <v>1863</v>
      </c>
      <c r="N1021" s="41">
        <v>2000</v>
      </c>
      <c r="O1021" s="93">
        <f>IF(Activities[[#This Row],[Reference Year]]&gt;2018,Activities[[#This Row],[Value]],Activities[[#This Row],[Value]]*(1+VLOOKUP(Activities[[#This Row],[Reference Year]],Inflation[#All],3,FALSE)))</f>
        <v>2000</v>
      </c>
    </row>
    <row r="1022" spans="1:15" ht="15" customHeight="1" x14ac:dyDescent="0.25">
      <c r="A1022" s="9" t="s">
        <v>255</v>
      </c>
      <c r="B1022" s="9" t="str">
        <f>INDEX(Places[Type],MATCH(Activities[[#This Row],[Jurisdiction]],Places[Jurisdiction],0))</f>
        <v>City</v>
      </c>
      <c r="C1022" s="19" t="str">
        <f>INDEX(Places[County],MATCH(Activities[[#This Row],[Jurisdiction]],Places[Jurisdiction],0))</f>
        <v>Ventura</v>
      </c>
      <c r="D1022" s="19" t="str">
        <f>INDEX(Places[Majority RB],MATCH(Activities[[#This Row],[Jurisdiction]],Places[Jurisdiction],0))</f>
        <v>Los Angeles</v>
      </c>
      <c r="E1022" s="9">
        <f>INDEX(Places[Majority RB '#],MATCH(Activities[[#This Row],[Jurisdiction]],Places[Jurisdiction],0))</f>
        <v>4</v>
      </c>
      <c r="F1022" s="28" t="str">
        <f>VLOOKUP(Activities[[#This Row],[Jurisdiction]],Places[#All],8,FALSE)</f>
        <v>Phase I MS4</v>
      </c>
      <c r="G1022" s="48" t="s">
        <v>69</v>
      </c>
      <c r="H1022" s="8"/>
      <c r="I1022" s="8"/>
      <c r="J1022" s="8" t="s">
        <v>334</v>
      </c>
      <c r="K1022" s="27" t="s">
        <v>1876</v>
      </c>
      <c r="L1022" s="28">
        <f>_xlfn.NUMBERVALUE(LEFT(Activities[[#This Row],[Fiscal Year]], 4))</f>
        <v>2018</v>
      </c>
      <c r="M1022" s="28" t="s">
        <v>1863</v>
      </c>
      <c r="N1022" s="41">
        <v>22000</v>
      </c>
      <c r="O1022" s="93">
        <f>IF(Activities[[#This Row],[Reference Year]]&gt;2018,Activities[[#This Row],[Value]],Activities[[#This Row],[Value]]*(1+VLOOKUP(Activities[[#This Row],[Reference Year]],Inflation[#All],3,FALSE)))</f>
        <v>22000</v>
      </c>
    </row>
    <row r="1023" spans="1:15" ht="15" customHeight="1" x14ac:dyDescent="0.25">
      <c r="A1023" s="9" t="s">
        <v>255</v>
      </c>
      <c r="B1023" s="9" t="str">
        <f>INDEX(Places[Type],MATCH(Activities[[#This Row],[Jurisdiction]],Places[Jurisdiction],0))</f>
        <v>City</v>
      </c>
      <c r="C1023" s="19" t="str">
        <f>INDEX(Places[County],MATCH(Activities[[#This Row],[Jurisdiction]],Places[Jurisdiction],0))</f>
        <v>Ventura</v>
      </c>
      <c r="D1023" s="19" t="str">
        <f>INDEX(Places[Majority RB],MATCH(Activities[[#This Row],[Jurisdiction]],Places[Jurisdiction],0))</f>
        <v>Los Angeles</v>
      </c>
      <c r="E1023" s="9">
        <f>INDEX(Places[Majority RB '#],MATCH(Activities[[#This Row],[Jurisdiction]],Places[Jurisdiction],0))</f>
        <v>4</v>
      </c>
      <c r="F1023" s="28" t="str">
        <f>VLOOKUP(Activities[[#This Row],[Jurisdiction]],Places[#All],8,FALSE)</f>
        <v>Phase I MS4</v>
      </c>
      <c r="G1023" s="48" t="s">
        <v>71</v>
      </c>
      <c r="H1023" s="8" t="s">
        <v>484</v>
      </c>
      <c r="I1023" s="8" t="s">
        <v>458</v>
      </c>
      <c r="J1023" s="8" t="s">
        <v>71</v>
      </c>
      <c r="K1023" s="27" t="s">
        <v>1876</v>
      </c>
      <c r="L1023" s="28">
        <f>_xlfn.NUMBERVALUE(LEFT(Activities[[#This Row],[Fiscal Year]], 4))</f>
        <v>2018</v>
      </c>
      <c r="M1023" s="28" t="s">
        <v>1863</v>
      </c>
      <c r="N1023" s="41">
        <v>15750</v>
      </c>
      <c r="O1023" s="93">
        <f>IF(Activities[[#This Row],[Reference Year]]&gt;2018,Activities[[#This Row],[Value]],Activities[[#This Row],[Value]]*(1+VLOOKUP(Activities[[#This Row],[Reference Year]],Inflation[#All],3,FALSE)))</f>
        <v>15750</v>
      </c>
    </row>
    <row r="1024" spans="1:15" ht="15" customHeight="1" x14ac:dyDescent="0.25">
      <c r="A1024" s="9" t="s">
        <v>255</v>
      </c>
      <c r="B1024" s="9" t="str">
        <f>INDEX(Places[Type],MATCH(Activities[[#This Row],[Jurisdiction]],Places[Jurisdiction],0))</f>
        <v>City</v>
      </c>
      <c r="C1024" s="19" t="str">
        <f>INDEX(Places[County],MATCH(Activities[[#This Row],[Jurisdiction]],Places[Jurisdiction],0))</f>
        <v>Ventura</v>
      </c>
      <c r="D1024" s="19" t="str">
        <f>INDEX(Places[Majority RB],MATCH(Activities[[#This Row],[Jurisdiction]],Places[Jurisdiction],0))</f>
        <v>Los Angeles</v>
      </c>
      <c r="E1024" s="9">
        <f>INDEX(Places[Majority RB '#],MATCH(Activities[[#This Row],[Jurisdiction]],Places[Jurisdiction],0))</f>
        <v>4</v>
      </c>
      <c r="F1024" s="28" t="str">
        <f>VLOOKUP(Activities[[#This Row],[Jurisdiction]],Places[#All],8,FALSE)</f>
        <v>Phase I MS4</v>
      </c>
      <c r="G1024" s="48" t="s">
        <v>74</v>
      </c>
      <c r="H1024" s="8" t="s">
        <v>611</v>
      </c>
      <c r="I1024" s="8" t="s">
        <v>458</v>
      </c>
      <c r="J1024" s="8" t="s">
        <v>1897</v>
      </c>
      <c r="K1024" s="27" t="s">
        <v>1876</v>
      </c>
      <c r="L1024" s="28">
        <f>_xlfn.NUMBERVALUE(LEFT(Activities[[#This Row],[Fiscal Year]], 4))</f>
        <v>2018</v>
      </c>
      <c r="M1024" s="28" t="s">
        <v>1863</v>
      </c>
      <c r="N1024" s="41">
        <v>7920</v>
      </c>
      <c r="O1024" s="93">
        <f>IF(Activities[[#This Row],[Reference Year]]&gt;2018,Activities[[#This Row],[Value]],Activities[[#This Row],[Value]]*(1+VLOOKUP(Activities[[#This Row],[Reference Year]],Inflation[#All],3,FALSE)))</f>
        <v>7920</v>
      </c>
    </row>
    <row r="1025" spans="1:15" ht="15" customHeight="1" x14ac:dyDescent="0.25">
      <c r="A1025" s="9" t="s">
        <v>255</v>
      </c>
      <c r="B1025" s="9" t="str">
        <f>INDEX(Places[Type],MATCH(Activities[[#This Row],[Jurisdiction]],Places[Jurisdiction],0))</f>
        <v>City</v>
      </c>
      <c r="C1025" s="19" t="str">
        <f>INDEX(Places[County],MATCH(Activities[[#This Row],[Jurisdiction]],Places[Jurisdiction],0))</f>
        <v>Ventura</v>
      </c>
      <c r="D1025" s="19" t="str">
        <f>INDEX(Places[Majority RB],MATCH(Activities[[#This Row],[Jurisdiction]],Places[Jurisdiction],0))</f>
        <v>Los Angeles</v>
      </c>
      <c r="E1025" s="9">
        <f>INDEX(Places[Majority RB '#],MATCH(Activities[[#This Row],[Jurisdiction]],Places[Jurisdiction],0))</f>
        <v>4</v>
      </c>
      <c r="F1025" s="28" t="str">
        <f>VLOOKUP(Activities[[#This Row],[Jurisdiction]],Places[#All],8,FALSE)</f>
        <v>Phase I MS4</v>
      </c>
      <c r="G1025" s="48" t="s">
        <v>75</v>
      </c>
      <c r="H1025" s="8" t="s">
        <v>485</v>
      </c>
      <c r="I1025" s="8" t="s">
        <v>458</v>
      </c>
      <c r="J1025" s="8" t="s">
        <v>1897</v>
      </c>
      <c r="K1025" s="27" t="s">
        <v>1876</v>
      </c>
      <c r="L1025" s="28">
        <f>_xlfn.NUMBERVALUE(LEFT(Activities[[#This Row],[Fiscal Year]], 4))</f>
        <v>2018</v>
      </c>
      <c r="M1025" s="28" t="s">
        <v>1863</v>
      </c>
      <c r="N1025" s="41">
        <v>13000</v>
      </c>
      <c r="O1025" s="93">
        <f>IF(Activities[[#This Row],[Reference Year]]&gt;2018,Activities[[#This Row],[Value]],Activities[[#This Row],[Value]]*(1+VLOOKUP(Activities[[#This Row],[Reference Year]],Inflation[#All],3,FALSE)))</f>
        <v>13000</v>
      </c>
    </row>
    <row r="1026" spans="1:15" ht="15" customHeight="1" x14ac:dyDescent="0.25">
      <c r="A1026" s="9" t="s">
        <v>255</v>
      </c>
      <c r="B1026" s="9" t="str">
        <f>INDEX(Places[Type],MATCH(Activities[[#This Row],[Jurisdiction]],Places[Jurisdiction],0))</f>
        <v>City</v>
      </c>
      <c r="C1026" s="19" t="str">
        <f>INDEX(Places[County],MATCH(Activities[[#This Row],[Jurisdiction]],Places[Jurisdiction],0))</f>
        <v>Ventura</v>
      </c>
      <c r="D1026" s="19" t="str">
        <f>INDEX(Places[Majority RB],MATCH(Activities[[#This Row],[Jurisdiction]],Places[Jurisdiction],0))</f>
        <v>Los Angeles</v>
      </c>
      <c r="E1026" s="9">
        <f>INDEX(Places[Majority RB '#],MATCH(Activities[[#This Row],[Jurisdiction]],Places[Jurisdiction],0))</f>
        <v>4</v>
      </c>
      <c r="F1026" s="28" t="str">
        <f>VLOOKUP(Activities[[#This Row],[Jurisdiction]],Places[#All],8,FALSE)</f>
        <v>Phase I MS4</v>
      </c>
      <c r="G1026" s="48" t="s">
        <v>73</v>
      </c>
      <c r="H1026" s="8"/>
      <c r="I1026" s="8"/>
      <c r="J1026" s="8" t="s">
        <v>1897</v>
      </c>
      <c r="K1026" s="27" t="s">
        <v>1876</v>
      </c>
      <c r="L1026" s="28">
        <f>_xlfn.NUMBERVALUE(LEFT(Activities[[#This Row],[Fiscal Year]], 4))</f>
        <v>2018</v>
      </c>
      <c r="M1026" s="28" t="s">
        <v>1863</v>
      </c>
      <c r="N1026" s="41">
        <v>44700</v>
      </c>
      <c r="O1026" s="93">
        <f>IF(Activities[[#This Row],[Reference Year]]&gt;2018,Activities[[#This Row],[Value]],Activities[[#This Row],[Value]]*(1+VLOOKUP(Activities[[#This Row],[Reference Year]],Inflation[#All],3,FALSE)))</f>
        <v>44700</v>
      </c>
    </row>
    <row r="1027" spans="1:15" ht="15" customHeight="1" x14ac:dyDescent="0.25">
      <c r="A1027" s="9" t="s">
        <v>255</v>
      </c>
      <c r="B1027" s="9" t="str">
        <f>INDEX(Places[Type],MATCH(Activities[[#This Row],[Jurisdiction]],Places[Jurisdiction],0))</f>
        <v>City</v>
      </c>
      <c r="C1027" s="19" t="str">
        <f>INDEX(Places[County],MATCH(Activities[[#This Row],[Jurisdiction]],Places[Jurisdiction],0))</f>
        <v>Ventura</v>
      </c>
      <c r="D1027" s="19" t="str">
        <f>INDEX(Places[Majority RB],MATCH(Activities[[#This Row],[Jurisdiction]],Places[Jurisdiction],0))</f>
        <v>Los Angeles</v>
      </c>
      <c r="E1027" s="9">
        <f>INDEX(Places[Majority RB '#],MATCH(Activities[[#This Row],[Jurisdiction]],Places[Jurisdiction],0))</f>
        <v>4</v>
      </c>
      <c r="F1027" s="28" t="str">
        <f>VLOOKUP(Activities[[#This Row],[Jurisdiction]],Places[#All],8,FALSE)</f>
        <v>Phase I MS4</v>
      </c>
      <c r="G1027" s="48" t="s">
        <v>59</v>
      </c>
      <c r="H1027" s="8"/>
      <c r="I1027" s="8"/>
      <c r="J1027" s="8" t="s">
        <v>1898</v>
      </c>
      <c r="K1027" s="27" t="s">
        <v>1876</v>
      </c>
      <c r="L1027" s="28">
        <f>_xlfn.NUMBERVALUE(LEFT(Activities[[#This Row],[Fiscal Year]], 4))</f>
        <v>2018</v>
      </c>
      <c r="M1027" s="28" t="s">
        <v>1863</v>
      </c>
      <c r="N1027" s="41">
        <v>85000</v>
      </c>
      <c r="O1027" s="93">
        <f>IF(Activities[[#This Row],[Reference Year]]&gt;2018,Activities[[#This Row],[Value]],Activities[[#This Row],[Value]]*(1+VLOOKUP(Activities[[#This Row],[Reference Year]],Inflation[#All],3,FALSE)))</f>
        <v>85000</v>
      </c>
    </row>
    <row r="1028" spans="1:15" ht="15" customHeight="1" x14ac:dyDescent="0.25">
      <c r="A1028" s="9" t="s">
        <v>255</v>
      </c>
      <c r="B1028" s="9" t="str">
        <f>INDEX(Places[Type],MATCH(Activities[[#This Row],[Jurisdiction]],Places[Jurisdiction],0))</f>
        <v>City</v>
      </c>
      <c r="C1028" s="19" t="str">
        <f>INDEX(Places[County],MATCH(Activities[[#This Row],[Jurisdiction]],Places[Jurisdiction],0))</f>
        <v>Ventura</v>
      </c>
      <c r="D1028" s="19" t="str">
        <f>INDEX(Places[Majority RB],MATCH(Activities[[#This Row],[Jurisdiction]],Places[Jurisdiction],0))</f>
        <v>Los Angeles</v>
      </c>
      <c r="E1028" s="9">
        <f>INDEX(Places[Majority RB '#],MATCH(Activities[[#This Row],[Jurisdiction]],Places[Jurisdiction],0))</f>
        <v>4</v>
      </c>
      <c r="F1028" s="28" t="str">
        <f>VLOOKUP(Activities[[#This Row],[Jurisdiction]],Places[#All],8,FALSE)</f>
        <v>Phase I MS4</v>
      </c>
      <c r="G1028" s="48" t="s">
        <v>68</v>
      </c>
      <c r="H1028" s="8"/>
      <c r="I1028" s="8"/>
      <c r="J1028" s="8" t="s">
        <v>1456</v>
      </c>
      <c r="K1028" s="27" t="s">
        <v>1876</v>
      </c>
      <c r="L1028" s="28">
        <f>_xlfn.NUMBERVALUE(LEFT(Activities[[#This Row],[Fiscal Year]], 4))</f>
        <v>2018</v>
      </c>
      <c r="M1028" s="28" t="s">
        <v>1863</v>
      </c>
      <c r="N1028" s="41">
        <v>2000</v>
      </c>
      <c r="O1028" s="93">
        <f>IF(Activities[[#This Row],[Reference Year]]&gt;2018,Activities[[#This Row],[Value]],Activities[[#This Row],[Value]]*(1+VLOOKUP(Activities[[#This Row],[Reference Year]],Inflation[#All],3,FALSE)))</f>
        <v>2000</v>
      </c>
    </row>
    <row r="1029" spans="1:15" ht="15" customHeight="1" x14ac:dyDescent="0.25">
      <c r="A1029" s="9" t="s">
        <v>255</v>
      </c>
      <c r="B1029" s="9" t="str">
        <f>INDEX(Places[Type],MATCH(Activities[[#This Row],[Jurisdiction]],Places[Jurisdiction],0))</f>
        <v>City</v>
      </c>
      <c r="C1029" s="19" t="str">
        <f>INDEX(Places[County],MATCH(Activities[[#This Row],[Jurisdiction]],Places[Jurisdiction],0))</f>
        <v>Ventura</v>
      </c>
      <c r="D1029" s="19" t="str">
        <f>INDEX(Places[Majority RB],MATCH(Activities[[#This Row],[Jurisdiction]],Places[Jurisdiction],0))</f>
        <v>Los Angeles</v>
      </c>
      <c r="E1029" s="9">
        <f>INDEX(Places[Majority RB '#],MATCH(Activities[[#This Row],[Jurisdiction]],Places[Jurisdiction],0))</f>
        <v>4</v>
      </c>
      <c r="F1029" s="28" t="str">
        <f>VLOOKUP(Activities[[#This Row],[Jurisdiction]],Places[#All],8,FALSE)</f>
        <v>Phase I MS4</v>
      </c>
      <c r="G1029" s="48" t="s">
        <v>32</v>
      </c>
      <c r="H1029" s="8" t="s">
        <v>608</v>
      </c>
      <c r="I1029" s="94" t="s">
        <v>609</v>
      </c>
      <c r="J1029" s="8" t="s">
        <v>1894</v>
      </c>
      <c r="K1029" s="27" t="s">
        <v>1876</v>
      </c>
      <c r="L1029" s="28">
        <f>_xlfn.NUMBERVALUE(LEFT(Activities[[#This Row],[Fiscal Year]], 4))</f>
        <v>2018</v>
      </c>
      <c r="M1029" s="28" t="s">
        <v>1863</v>
      </c>
      <c r="N1029" s="41">
        <v>63799</v>
      </c>
      <c r="O1029" s="93">
        <f>IF(Activities[[#This Row],[Reference Year]]&gt;2018,Activities[[#This Row],[Value]],Activities[[#This Row],[Value]]*(1+VLOOKUP(Activities[[#This Row],[Reference Year]],Inflation[#All],3,FALSE)))</f>
        <v>63799</v>
      </c>
    </row>
    <row r="1030" spans="1:15" ht="15" customHeight="1" x14ac:dyDescent="0.25">
      <c r="A1030" s="9" t="s">
        <v>255</v>
      </c>
      <c r="B1030" s="9" t="str">
        <f>INDEX(Places[Type],MATCH(Activities[[#This Row],[Jurisdiction]],Places[Jurisdiction],0))</f>
        <v>City</v>
      </c>
      <c r="C1030" s="19" t="str">
        <f>INDEX(Places[County],MATCH(Activities[[#This Row],[Jurisdiction]],Places[Jurisdiction],0))</f>
        <v>Ventura</v>
      </c>
      <c r="D1030" s="19" t="str">
        <f>INDEX(Places[Majority RB],MATCH(Activities[[#This Row],[Jurisdiction]],Places[Jurisdiction],0))</f>
        <v>Los Angeles</v>
      </c>
      <c r="E1030" s="9">
        <f>INDEX(Places[Majority RB '#],MATCH(Activities[[#This Row],[Jurisdiction]],Places[Jurisdiction],0))</f>
        <v>4</v>
      </c>
      <c r="F1030" s="28" t="str">
        <f>VLOOKUP(Activities[[#This Row],[Jurisdiction]],Places[#All],8,FALSE)</f>
        <v>Phase I MS4</v>
      </c>
      <c r="G1030" s="48" t="s">
        <v>67</v>
      </c>
      <c r="H1030" s="8"/>
      <c r="I1030" s="8"/>
      <c r="J1030" s="8" t="s">
        <v>1896</v>
      </c>
      <c r="K1030" s="27" t="s">
        <v>1876</v>
      </c>
      <c r="L1030" s="28">
        <f>_xlfn.NUMBERVALUE(LEFT(Activities[[#This Row],[Fiscal Year]], 4))</f>
        <v>2018</v>
      </c>
      <c r="M1030" s="28" t="s">
        <v>1863</v>
      </c>
      <c r="N1030" s="41">
        <v>17000</v>
      </c>
      <c r="O1030" s="93">
        <f>IF(Activities[[#This Row],[Reference Year]]&gt;2018,Activities[[#This Row],[Value]],Activities[[#This Row],[Value]]*(1+VLOOKUP(Activities[[#This Row],[Reference Year]],Inflation[#All],3,FALSE)))</f>
        <v>17000</v>
      </c>
    </row>
    <row r="1031" spans="1:15" ht="15" customHeight="1" x14ac:dyDescent="0.25">
      <c r="A1031" s="9" t="s">
        <v>255</v>
      </c>
      <c r="B1031" s="9" t="str">
        <f>INDEX(Places[Type],MATCH(Activities[[#This Row],[Jurisdiction]],Places[Jurisdiction],0))</f>
        <v>City</v>
      </c>
      <c r="C1031" s="19" t="str">
        <f>INDEX(Places[County],MATCH(Activities[[#This Row],[Jurisdiction]],Places[Jurisdiction],0))</f>
        <v>Ventura</v>
      </c>
      <c r="D1031" s="19" t="str">
        <f>INDEX(Places[Majority RB],MATCH(Activities[[#This Row],[Jurisdiction]],Places[Jurisdiction],0))</f>
        <v>Los Angeles</v>
      </c>
      <c r="E1031" s="9">
        <f>INDEX(Places[Majority RB '#],MATCH(Activities[[#This Row],[Jurisdiction]],Places[Jurisdiction],0))</f>
        <v>4</v>
      </c>
      <c r="F1031" s="28" t="str">
        <f>VLOOKUP(Activities[[#This Row],[Jurisdiction]],Places[#All],8,FALSE)</f>
        <v>Phase I MS4</v>
      </c>
      <c r="G1031" s="48" t="s">
        <v>79</v>
      </c>
      <c r="H1031" s="8" t="s">
        <v>483</v>
      </c>
      <c r="I1031" s="8" t="s">
        <v>458</v>
      </c>
      <c r="J1031" s="8" t="s">
        <v>1896</v>
      </c>
      <c r="K1031" s="27" t="s">
        <v>1876</v>
      </c>
      <c r="L1031" s="28">
        <f>_xlfn.NUMBERVALUE(LEFT(Activities[[#This Row],[Fiscal Year]], 4))</f>
        <v>2018</v>
      </c>
      <c r="M1031" s="28" t="s">
        <v>1863</v>
      </c>
      <c r="N1031" s="41">
        <v>40000</v>
      </c>
      <c r="O1031" s="93">
        <f>IF(Activities[[#This Row],[Reference Year]]&gt;2018,Activities[[#This Row],[Value]],Activities[[#This Row],[Value]]*(1+VLOOKUP(Activities[[#This Row],[Reference Year]],Inflation[#All],3,FALSE)))</f>
        <v>40000</v>
      </c>
    </row>
    <row r="1032" spans="1:15" ht="15" customHeight="1" x14ac:dyDescent="0.25">
      <c r="A1032" s="9" t="s">
        <v>255</v>
      </c>
      <c r="B1032" s="9" t="str">
        <f>INDEX(Places[Type],MATCH(Activities[[#This Row],[Jurisdiction]],Places[Jurisdiction],0))</f>
        <v>City</v>
      </c>
      <c r="C1032" s="19" t="str">
        <f>INDEX(Places[County],MATCH(Activities[[#This Row],[Jurisdiction]],Places[Jurisdiction],0))</f>
        <v>Ventura</v>
      </c>
      <c r="D1032" s="19" t="str">
        <f>INDEX(Places[Majority RB],MATCH(Activities[[#This Row],[Jurisdiction]],Places[Jurisdiction],0))</f>
        <v>Los Angeles</v>
      </c>
      <c r="E1032" s="9">
        <f>INDEX(Places[Majority RB '#],MATCH(Activities[[#This Row],[Jurisdiction]],Places[Jurisdiction],0))</f>
        <v>4</v>
      </c>
      <c r="F1032" s="28" t="str">
        <f>VLOOKUP(Activities[[#This Row],[Jurisdiction]],Places[#All],8,FALSE)</f>
        <v>Phase I MS4</v>
      </c>
      <c r="G1032" s="48" t="s">
        <v>80</v>
      </c>
      <c r="H1032" s="8"/>
      <c r="I1032" s="8"/>
      <c r="J1032" s="8" t="s">
        <v>605</v>
      </c>
      <c r="K1032" s="27" t="s">
        <v>1876</v>
      </c>
      <c r="L1032" s="28">
        <f>_xlfn.NUMBERVALUE(LEFT(Activities[[#This Row],[Fiscal Year]], 4))</f>
        <v>2018</v>
      </c>
      <c r="M1032" s="28" t="s">
        <v>1863</v>
      </c>
      <c r="N1032" s="41">
        <v>36000</v>
      </c>
      <c r="O1032" s="93">
        <f>IF(Activities[[#This Row],[Reference Year]]&gt;2018,Activities[[#This Row],[Value]],Activities[[#This Row],[Value]]*(1+VLOOKUP(Activities[[#This Row],[Reference Year]],Inflation[#All],3,FALSE)))</f>
        <v>36000</v>
      </c>
    </row>
    <row r="1033" spans="1:15" ht="15" customHeight="1" x14ac:dyDescent="0.25">
      <c r="A1033" s="9" t="s">
        <v>297</v>
      </c>
      <c r="B1033" s="9" t="str">
        <f>INDEX(Places[Type],MATCH(Activities[[#This Row],[Jurisdiction]],Places[Jurisdiction],0))</f>
        <v>City</v>
      </c>
      <c r="C1033" s="19" t="str">
        <f>INDEX(Places[County],MATCH(Activities[[#This Row],[Jurisdiction]],Places[Jurisdiction],0))</f>
        <v>Riverside</v>
      </c>
      <c r="D1033" s="9" t="str">
        <f>INDEX(Places[Majority RB],MATCH(Activities[[#This Row],[Jurisdiction]],Places[Jurisdiction],0))</f>
        <v>San Diego</v>
      </c>
      <c r="E1033" s="9">
        <f>INDEX(Places[Majority RB '#],MATCH(Activities[[#This Row],[Jurisdiction]],Places[Jurisdiction],0))</f>
        <v>9</v>
      </c>
      <c r="F1033" s="28" t="str">
        <f>VLOOKUP(Activities[[#This Row],[Jurisdiction]],Places[#All],8,FALSE)</f>
        <v>Phase I MS4</v>
      </c>
      <c r="G1033" s="48" t="s">
        <v>326</v>
      </c>
      <c r="H1033" s="8"/>
      <c r="I1033" s="8"/>
      <c r="J1033" s="8" t="s">
        <v>131</v>
      </c>
      <c r="K1033" s="27" t="s">
        <v>1874</v>
      </c>
      <c r="L1033" s="28">
        <f>_xlfn.NUMBERVALUE(LEFT(Activities[[#This Row],[Fiscal Year]], 4))</f>
        <v>2017</v>
      </c>
      <c r="M1033" s="28" t="s">
        <v>1862</v>
      </c>
      <c r="N1033" s="41">
        <v>2400</v>
      </c>
      <c r="O1033" s="93">
        <f>IF(Activities[[#This Row],[Reference Year]]&gt;2018,Activities[[#This Row],[Value]],Activities[[#This Row],[Value]]*(1+VLOOKUP(Activities[[#This Row],[Reference Year]],Inflation[#All],3,FALSE)))</f>
        <v>2463.951040391677</v>
      </c>
    </row>
    <row r="1034" spans="1:15" ht="15" customHeight="1" x14ac:dyDescent="0.25">
      <c r="A1034" s="9" t="s">
        <v>297</v>
      </c>
      <c r="B1034" s="9" t="str">
        <f>INDEX(Places[Type],MATCH(Activities[[#This Row],[Jurisdiction]],Places[Jurisdiction],0))</f>
        <v>City</v>
      </c>
      <c r="C1034" s="19" t="str">
        <f>INDEX(Places[County],MATCH(Activities[[#This Row],[Jurisdiction]],Places[Jurisdiction],0))</f>
        <v>Riverside</v>
      </c>
      <c r="D1034" s="9" t="str">
        <f>INDEX(Places[Majority RB],MATCH(Activities[[#This Row],[Jurisdiction]],Places[Jurisdiction],0))</f>
        <v>San Diego</v>
      </c>
      <c r="E1034" s="9">
        <f>INDEX(Places[Majority RB '#],MATCH(Activities[[#This Row],[Jurisdiction]],Places[Jurisdiction],0))</f>
        <v>9</v>
      </c>
      <c r="F1034" s="28" t="str">
        <f>VLOOKUP(Activities[[#This Row],[Jurisdiction]],Places[#All],8,FALSE)</f>
        <v>Phase I MS4</v>
      </c>
      <c r="G1034" s="48" t="s">
        <v>325</v>
      </c>
      <c r="H1034" s="8"/>
      <c r="I1034" s="8"/>
      <c r="J1034" s="8" t="s">
        <v>334</v>
      </c>
      <c r="K1034" s="27" t="s">
        <v>1874</v>
      </c>
      <c r="L1034" s="28">
        <f>_xlfn.NUMBERVALUE(LEFT(Activities[[#This Row],[Fiscal Year]], 4))</f>
        <v>2017</v>
      </c>
      <c r="M1034" s="28" t="s">
        <v>1862</v>
      </c>
      <c r="N1034" s="41">
        <v>147600</v>
      </c>
      <c r="O1034" s="93">
        <f>IF(Activities[[#This Row],[Reference Year]]&gt;2018,Activities[[#This Row],[Value]],Activities[[#This Row],[Value]]*(1+VLOOKUP(Activities[[#This Row],[Reference Year]],Inflation[#All],3,FALSE)))</f>
        <v>151532.98898408815</v>
      </c>
    </row>
    <row r="1035" spans="1:15" ht="15" customHeight="1" x14ac:dyDescent="0.25">
      <c r="A1035" s="9" t="s">
        <v>297</v>
      </c>
      <c r="B1035" s="9" t="str">
        <f>INDEX(Places[Type],MATCH(Activities[[#This Row],[Jurisdiction]],Places[Jurisdiction],0))</f>
        <v>City</v>
      </c>
      <c r="C1035" s="19" t="str">
        <f>INDEX(Places[County],MATCH(Activities[[#This Row],[Jurisdiction]],Places[Jurisdiction],0))</f>
        <v>Riverside</v>
      </c>
      <c r="D1035" s="9" t="str">
        <f>INDEX(Places[Majority RB],MATCH(Activities[[#This Row],[Jurisdiction]],Places[Jurisdiction],0))</f>
        <v>San Diego</v>
      </c>
      <c r="E1035" s="9">
        <f>INDEX(Places[Majority RB '#],MATCH(Activities[[#This Row],[Jurisdiction]],Places[Jurisdiction],0))</f>
        <v>9</v>
      </c>
      <c r="F1035" s="28" t="str">
        <f>VLOOKUP(Activities[[#This Row],[Jurisdiction]],Places[#All],8,FALSE)</f>
        <v>Phase I MS4</v>
      </c>
      <c r="G1035" s="48" t="s">
        <v>327</v>
      </c>
      <c r="H1035" s="8"/>
      <c r="I1035" s="8"/>
      <c r="J1035" s="8" t="s">
        <v>1897</v>
      </c>
      <c r="K1035" s="27" t="s">
        <v>1874</v>
      </c>
      <c r="L1035" s="28">
        <f>_xlfn.NUMBERVALUE(LEFT(Activities[[#This Row],[Fiscal Year]], 4))</f>
        <v>2017</v>
      </c>
      <c r="M1035" s="28" t="s">
        <v>1862</v>
      </c>
      <c r="N1035" s="41">
        <v>118000</v>
      </c>
      <c r="O1035" s="93">
        <f>IF(Activities[[#This Row],[Reference Year]]&gt;2018,Activities[[#This Row],[Value]],Activities[[#This Row],[Value]]*(1+VLOOKUP(Activities[[#This Row],[Reference Year]],Inflation[#All],3,FALSE)))</f>
        <v>121144.25948592412</v>
      </c>
    </row>
    <row r="1036" spans="1:15" ht="15" customHeight="1" x14ac:dyDescent="0.25">
      <c r="A1036" s="9" t="s">
        <v>297</v>
      </c>
      <c r="B1036" s="9" t="str">
        <f>INDEX(Places[Type],MATCH(Activities[[#This Row],[Jurisdiction]],Places[Jurisdiction],0))</f>
        <v>City</v>
      </c>
      <c r="C1036" s="19" t="str">
        <f>INDEX(Places[County],MATCH(Activities[[#This Row],[Jurisdiction]],Places[Jurisdiction],0))</f>
        <v>Riverside</v>
      </c>
      <c r="D1036" s="9" t="str">
        <f>INDEX(Places[Majority RB],MATCH(Activities[[#This Row],[Jurisdiction]],Places[Jurisdiction],0))</f>
        <v>San Diego</v>
      </c>
      <c r="E1036" s="9">
        <f>INDEX(Places[Majority RB '#],MATCH(Activities[[#This Row],[Jurisdiction]],Places[Jurisdiction],0))</f>
        <v>9</v>
      </c>
      <c r="F1036" s="28" t="str">
        <f>VLOOKUP(Activities[[#This Row],[Jurisdiction]],Places[#All],8,FALSE)</f>
        <v>Phase I MS4</v>
      </c>
      <c r="G1036" s="48" t="s">
        <v>209</v>
      </c>
      <c r="H1036" s="8"/>
      <c r="I1036" s="8"/>
      <c r="J1036" s="8" t="s">
        <v>1898</v>
      </c>
      <c r="K1036" s="27" t="s">
        <v>1874</v>
      </c>
      <c r="L1036" s="28">
        <f>_xlfn.NUMBERVALUE(LEFT(Activities[[#This Row],[Fiscal Year]], 4))</f>
        <v>2017</v>
      </c>
      <c r="M1036" s="28" t="s">
        <v>1862</v>
      </c>
      <c r="N1036" s="41">
        <v>5640</v>
      </c>
      <c r="O1036" s="93">
        <f>IF(Activities[[#This Row],[Reference Year]]&gt;2018,Activities[[#This Row],[Value]],Activities[[#This Row],[Value]]*(1+VLOOKUP(Activities[[#This Row],[Reference Year]],Inflation[#All],3,FALSE)))</f>
        <v>5790.2849449204414</v>
      </c>
    </row>
    <row r="1037" spans="1:15" ht="15" customHeight="1" x14ac:dyDescent="0.25">
      <c r="A1037" s="9" t="s">
        <v>297</v>
      </c>
      <c r="B1037" s="9" t="str">
        <f>INDEX(Places[Type],MATCH(Activities[[#This Row],[Jurisdiction]],Places[Jurisdiction],0))</f>
        <v>City</v>
      </c>
      <c r="C1037" s="19" t="str">
        <f>INDEX(Places[County],MATCH(Activities[[#This Row],[Jurisdiction]],Places[Jurisdiction],0))</f>
        <v>Riverside</v>
      </c>
      <c r="D1037" s="9" t="str">
        <f>INDEX(Places[Majority RB],MATCH(Activities[[#This Row],[Jurisdiction]],Places[Jurisdiction],0))</f>
        <v>San Diego</v>
      </c>
      <c r="E1037" s="9">
        <f>INDEX(Places[Majority RB '#],MATCH(Activities[[#This Row],[Jurisdiction]],Places[Jurisdiction],0))</f>
        <v>9</v>
      </c>
      <c r="F1037" s="28" t="str">
        <f>VLOOKUP(Activities[[#This Row],[Jurisdiction]],Places[#All],8,FALSE)</f>
        <v>Phase I MS4</v>
      </c>
      <c r="G1037" s="48" t="s">
        <v>328</v>
      </c>
      <c r="H1037" s="8"/>
      <c r="I1037" s="8"/>
      <c r="J1037" s="8" t="s">
        <v>1456</v>
      </c>
      <c r="K1037" s="27" t="s">
        <v>1874</v>
      </c>
      <c r="L1037" s="28">
        <f>_xlfn.NUMBERVALUE(LEFT(Activities[[#This Row],[Fiscal Year]], 4))</f>
        <v>2017</v>
      </c>
      <c r="M1037" s="28" t="s">
        <v>1862</v>
      </c>
      <c r="N1037" s="41">
        <v>1000</v>
      </c>
      <c r="O1037" s="93">
        <f>IF(Activities[[#This Row],[Reference Year]]&gt;2018,Activities[[#This Row],[Value]],Activities[[#This Row],[Value]]*(1+VLOOKUP(Activities[[#This Row],[Reference Year]],Inflation[#All],3,FALSE)))</f>
        <v>1026.6462668298655</v>
      </c>
    </row>
    <row r="1038" spans="1:15" ht="15" customHeight="1" x14ac:dyDescent="0.25">
      <c r="A1038" s="9" t="s">
        <v>297</v>
      </c>
      <c r="B1038" s="9" t="str">
        <f>INDEX(Places[Type],MATCH(Activities[[#This Row],[Jurisdiction]],Places[Jurisdiction],0))</f>
        <v>City</v>
      </c>
      <c r="C1038" s="19" t="str">
        <f>INDEX(Places[County],MATCH(Activities[[#This Row],[Jurisdiction]],Places[Jurisdiction],0))</f>
        <v>Riverside</v>
      </c>
      <c r="D1038" s="9" t="str">
        <f>INDEX(Places[Majority RB],MATCH(Activities[[#This Row],[Jurisdiction]],Places[Jurisdiction],0))</f>
        <v>San Diego</v>
      </c>
      <c r="E1038" s="9">
        <f>INDEX(Places[Majority RB '#],MATCH(Activities[[#This Row],[Jurisdiction]],Places[Jurisdiction],0))</f>
        <v>9</v>
      </c>
      <c r="F1038" s="28" t="str">
        <f>VLOOKUP(Activities[[#This Row],[Jurisdiction]],Places[#All],8,FALSE)</f>
        <v>Phase I MS4</v>
      </c>
      <c r="G1038" s="48" t="s">
        <v>320</v>
      </c>
      <c r="H1038" s="8"/>
      <c r="I1038" s="47" t="s">
        <v>577</v>
      </c>
      <c r="J1038" s="8" t="s">
        <v>1894</v>
      </c>
      <c r="K1038" s="27" t="s">
        <v>1874</v>
      </c>
      <c r="L1038" s="28">
        <f>_xlfn.NUMBERVALUE(LEFT(Activities[[#This Row],[Fiscal Year]], 4))</f>
        <v>2017</v>
      </c>
      <c r="M1038" s="28" t="s">
        <v>1862</v>
      </c>
      <c r="N1038" s="41">
        <v>38000</v>
      </c>
      <c r="O1038" s="93">
        <f>IF(Activities[[#This Row],[Reference Year]]&gt;2018,Activities[[#This Row],[Value]],Activities[[#This Row],[Value]]*(1+VLOOKUP(Activities[[#This Row],[Reference Year]],Inflation[#All],3,FALSE)))</f>
        <v>39012.558139534885</v>
      </c>
    </row>
    <row r="1039" spans="1:15" ht="15" customHeight="1" x14ac:dyDescent="0.25">
      <c r="A1039" s="9" t="s">
        <v>297</v>
      </c>
      <c r="B1039" s="9" t="str">
        <f>INDEX(Places[Type],MATCH(Activities[[#This Row],[Jurisdiction]],Places[Jurisdiction],0))</f>
        <v>City</v>
      </c>
      <c r="C1039" s="19" t="str">
        <f>INDEX(Places[County],MATCH(Activities[[#This Row],[Jurisdiction]],Places[Jurisdiction],0))</f>
        <v>Riverside</v>
      </c>
      <c r="D1039" s="9" t="str">
        <f>INDEX(Places[Majority RB],MATCH(Activities[[#This Row],[Jurisdiction]],Places[Jurisdiction],0))</f>
        <v>San Diego</v>
      </c>
      <c r="E1039" s="9">
        <f>INDEX(Places[Majority RB '#],MATCH(Activities[[#This Row],[Jurisdiction]],Places[Jurisdiction],0))</f>
        <v>9</v>
      </c>
      <c r="F1039" s="28" t="str">
        <f>VLOOKUP(Activities[[#This Row],[Jurisdiction]],Places[#All],8,FALSE)</f>
        <v>Phase I MS4</v>
      </c>
      <c r="G1039" s="48" t="s">
        <v>329</v>
      </c>
      <c r="H1039" s="8"/>
      <c r="I1039" s="8"/>
      <c r="J1039" s="8" t="s">
        <v>1896</v>
      </c>
      <c r="K1039" s="27" t="s">
        <v>1874</v>
      </c>
      <c r="L1039" s="28">
        <f>_xlfn.NUMBERVALUE(LEFT(Activities[[#This Row],[Fiscal Year]], 4))</f>
        <v>2017</v>
      </c>
      <c r="M1039" s="28" t="s">
        <v>1862</v>
      </c>
      <c r="N1039" s="41">
        <v>900</v>
      </c>
      <c r="O1039" s="93">
        <f>IF(Activities[[#This Row],[Reference Year]]&gt;2018,Activities[[#This Row],[Value]],Activities[[#This Row],[Value]]*(1+VLOOKUP(Activities[[#This Row],[Reference Year]],Inflation[#All],3,FALSE)))</f>
        <v>923.98164014687893</v>
      </c>
    </row>
    <row r="1040" spans="1:15" ht="15" customHeight="1" x14ac:dyDescent="0.25">
      <c r="A1040" s="9" t="s">
        <v>297</v>
      </c>
      <c r="B1040" s="9" t="str">
        <f>INDEX(Places[Type],MATCH(Activities[[#This Row],[Jurisdiction]],Places[Jurisdiction],0))</f>
        <v>City</v>
      </c>
      <c r="C1040" s="19" t="str">
        <f>INDEX(Places[County],MATCH(Activities[[#This Row],[Jurisdiction]],Places[Jurisdiction],0))</f>
        <v>Riverside</v>
      </c>
      <c r="D1040" s="9" t="str">
        <f>INDEX(Places[Majority RB],MATCH(Activities[[#This Row],[Jurisdiction]],Places[Jurisdiction],0))</f>
        <v>San Diego</v>
      </c>
      <c r="E1040" s="9">
        <f>INDEX(Places[Majority RB '#],MATCH(Activities[[#This Row],[Jurisdiction]],Places[Jurisdiction],0))</f>
        <v>9</v>
      </c>
      <c r="F1040" s="28" t="str">
        <f>VLOOKUP(Activities[[#This Row],[Jurisdiction]],Places[#All],8,FALSE)</f>
        <v>Phase I MS4</v>
      </c>
      <c r="G1040" s="48" t="s">
        <v>67</v>
      </c>
      <c r="H1040" s="8"/>
      <c r="I1040" s="8"/>
      <c r="J1040" s="8" t="s">
        <v>1896</v>
      </c>
      <c r="K1040" s="27" t="s">
        <v>1874</v>
      </c>
      <c r="L1040" s="28">
        <f>_xlfn.NUMBERVALUE(LEFT(Activities[[#This Row],[Fiscal Year]], 4))</f>
        <v>2017</v>
      </c>
      <c r="M1040" s="28" t="s">
        <v>1862</v>
      </c>
      <c r="N1040" s="41">
        <v>77540</v>
      </c>
      <c r="O1040" s="93">
        <f>IF(Activities[[#This Row],[Reference Year]]&gt;2018,Activities[[#This Row],[Value]],Activities[[#This Row],[Value]]*(1+VLOOKUP(Activities[[#This Row],[Reference Year]],Inflation[#All],3,FALSE)))</f>
        <v>79606.151529987765</v>
      </c>
    </row>
    <row r="1041" spans="1:15" ht="15" customHeight="1" x14ac:dyDescent="0.25">
      <c r="A1041" s="9" t="s">
        <v>297</v>
      </c>
      <c r="B1041" s="9" t="str">
        <f>INDEX(Places[Type],MATCH(Activities[[#This Row],[Jurisdiction]],Places[Jurisdiction],0))</f>
        <v>City</v>
      </c>
      <c r="C1041" s="19" t="str">
        <f>INDEX(Places[County],MATCH(Activities[[#This Row],[Jurisdiction]],Places[Jurisdiction],0))</f>
        <v>Riverside</v>
      </c>
      <c r="D1041" s="9" t="str">
        <f>INDEX(Places[Majority RB],MATCH(Activities[[#This Row],[Jurisdiction]],Places[Jurisdiction],0))</f>
        <v>San Diego</v>
      </c>
      <c r="E1041" s="9">
        <f>INDEX(Places[Majority RB '#],MATCH(Activities[[#This Row],[Jurisdiction]],Places[Jurisdiction],0))</f>
        <v>9</v>
      </c>
      <c r="F1041" s="28" t="str">
        <f>VLOOKUP(Activities[[#This Row],[Jurisdiction]],Places[#All],8,FALSE)</f>
        <v>Phase I MS4</v>
      </c>
      <c r="G1041" s="48" t="s">
        <v>321</v>
      </c>
      <c r="H1041" s="8"/>
      <c r="I1041" s="8"/>
      <c r="J1041" s="8" t="s">
        <v>1896</v>
      </c>
      <c r="K1041" s="27" t="s">
        <v>1874</v>
      </c>
      <c r="L1041" s="28">
        <f>_xlfn.NUMBERVALUE(LEFT(Activities[[#This Row],[Fiscal Year]], 4))</f>
        <v>2017</v>
      </c>
      <c r="M1041" s="28" t="s">
        <v>1862</v>
      </c>
      <c r="N1041" s="41">
        <v>700000</v>
      </c>
      <c r="O1041" s="93">
        <f>IF(Activities[[#This Row],[Reference Year]]&gt;2018,Activities[[#This Row],[Value]],Activities[[#This Row],[Value]]*(1+VLOOKUP(Activities[[#This Row],[Reference Year]],Inflation[#All],3,FALSE)))</f>
        <v>718652.38678090589</v>
      </c>
    </row>
    <row r="1042" spans="1:15" ht="15" customHeight="1" x14ac:dyDescent="0.25">
      <c r="A1042" s="9" t="s">
        <v>297</v>
      </c>
      <c r="B1042" s="9" t="str">
        <f>INDEX(Places[Type],MATCH(Activities[[#This Row],[Jurisdiction]],Places[Jurisdiction],0))</f>
        <v>City</v>
      </c>
      <c r="C1042" s="19" t="str">
        <f>INDEX(Places[County],MATCH(Activities[[#This Row],[Jurisdiction]],Places[Jurisdiction],0))</f>
        <v>Riverside</v>
      </c>
      <c r="D1042" s="9" t="str">
        <f>INDEX(Places[Majority RB],MATCH(Activities[[#This Row],[Jurisdiction]],Places[Jurisdiction],0))</f>
        <v>San Diego</v>
      </c>
      <c r="E1042" s="9">
        <f>INDEX(Places[Majority RB '#],MATCH(Activities[[#This Row],[Jurisdiction]],Places[Jurisdiction],0))</f>
        <v>9</v>
      </c>
      <c r="F1042" s="28" t="str">
        <f>VLOOKUP(Activities[[#This Row],[Jurisdiction]],Places[#All],8,FALSE)</f>
        <v>Phase I MS4</v>
      </c>
      <c r="G1042" s="48" t="s">
        <v>78</v>
      </c>
      <c r="H1042" s="8"/>
      <c r="I1042" s="8"/>
      <c r="J1042" s="8" t="s">
        <v>47</v>
      </c>
      <c r="K1042" s="27" t="s">
        <v>1874</v>
      </c>
      <c r="L1042" s="28">
        <f>_xlfn.NUMBERVALUE(LEFT(Activities[[#This Row],[Fiscal Year]], 4))</f>
        <v>2017</v>
      </c>
      <c r="M1042" s="28" t="s">
        <v>1862</v>
      </c>
      <c r="N1042" s="41">
        <v>11400</v>
      </c>
      <c r="O1042" s="93">
        <f>IF(Activities[[#This Row],[Reference Year]]&gt;2018,Activities[[#This Row],[Value]],Activities[[#This Row],[Value]]*(1+VLOOKUP(Activities[[#This Row],[Reference Year]],Inflation[#All],3,FALSE)))</f>
        <v>11703.767441860466</v>
      </c>
    </row>
    <row r="1043" spans="1:15" ht="15" customHeight="1" x14ac:dyDescent="0.25">
      <c r="A1043" s="9" t="s">
        <v>315</v>
      </c>
      <c r="B1043" s="9" t="str">
        <f>INDEX(Places[Type],MATCH(Activities[[#This Row],[Jurisdiction]],Places[Jurisdiction],0))</f>
        <v>City</v>
      </c>
      <c r="C1043" s="19" t="str">
        <f>INDEX(Places[County],MATCH(Activities[[#This Row],[Jurisdiction]],Places[Jurisdiction],0))</f>
        <v>San Diego</v>
      </c>
      <c r="D1043" s="9" t="str">
        <f>INDEX(Places[Majority RB],MATCH(Activities[[#This Row],[Jurisdiction]],Places[Jurisdiction],0))</f>
        <v>San Diego</v>
      </c>
      <c r="E1043" s="9">
        <f>INDEX(Places[Majority RB '#],MATCH(Activities[[#This Row],[Jurisdiction]],Places[Jurisdiction],0))</f>
        <v>9</v>
      </c>
      <c r="F1043" s="28" t="str">
        <f>VLOOKUP(Activities[[#This Row],[Jurisdiction]],Places[#All],8,FALSE)</f>
        <v>Phase I MS4</v>
      </c>
      <c r="G1043" s="48" t="s">
        <v>1354</v>
      </c>
      <c r="H1043" s="8"/>
      <c r="I1043" s="8"/>
      <c r="J1043" s="8" t="s">
        <v>1895</v>
      </c>
      <c r="K1043" s="27" t="s">
        <v>1874</v>
      </c>
      <c r="L1043" s="28">
        <f>_xlfn.NUMBERVALUE(LEFT(Activities[[#This Row],[Fiscal Year]], 4))</f>
        <v>2017</v>
      </c>
      <c r="M1043" s="28" t="s">
        <v>1862</v>
      </c>
      <c r="N1043" s="41">
        <v>31486</v>
      </c>
      <c r="O1043" s="93">
        <f>IF(Activities[[#This Row],[Reference Year]]&gt;2018,Activities[[#This Row],[Value]],Activities[[#This Row],[Value]]*(1+VLOOKUP(Activities[[#This Row],[Reference Year]],Inflation[#All],3,FALSE)))</f>
        <v>32324.984357405145</v>
      </c>
    </row>
    <row r="1044" spans="1:15" ht="15" customHeight="1" x14ac:dyDescent="0.25">
      <c r="A1044" s="9" t="s">
        <v>315</v>
      </c>
      <c r="B1044" s="9" t="str">
        <f>INDEX(Places[Type],MATCH(Activities[[#This Row],[Jurisdiction]],Places[Jurisdiction],0))</f>
        <v>City</v>
      </c>
      <c r="C1044" s="19" t="str">
        <f>INDEX(Places[County],MATCH(Activities[[#This Row],[Jurisdiction]],Places[Jurisdiction],0))</f>
        <v>San Diego</v>
      </c>
      <c r="D1044" s="9" t="str">
        <f>INDEX(Places[Majority RB],MATCH(Activities[[#This Row],[Jurisdiction]],Places[Jurisdiction],0))</f>
        <v>San Diego</v>
      </c>
      <c r="E1044" s="9">
        <f>INDEX(Places[Majority RB '#],MATCH(Activities[[#This Row],[Jurisdiction]],Places[Jurisdiction],0))</f>
        <v>9</v>
      </c>
      <c r="F1044" s="28" t="str">
        <f>VLOOKUP(Activities[[#This Row],[Jurisdiction]],Places[#All],8,FALSE)</f>
        <v>Phase I MS4</v>
      </c>
      <c r="G1044" s="48" t="s">
        <v>1358</v>
      </c>
      <c r="H1044" s="8"/>
      <c r="I1044" s="8"/>
      <c r="J1044" s="8" t="s">
        <v>131</v>
      </c>
      <c r="K1044" s="27" t="s">
        <v>1874</v>
      </c>
      <c r="L1044" s="28">
        <f>_xlfn.NUMBERVALUE(LEFT(Activities[[#This Row],[Fiscal Year]], 4))</f>
        <v>2017</v>
      </c>
      <c r="M1044" s="28" t="s">
        <v>1862</v>
      </c>
      <c r="N1044" s="41">
        <v>43245</v>
      </c>
      <c r="O1044" s="93">
        <f>IF(Activities[[#This Row],[Reference Year]]&gt;2018,Activities[[#This Row],[Value]],Activities[[#This Row],[Value]]*(1+VLOOKUP(Activities[[#This Row],[Reference Year]],Inflation[#All],3,FALSE)))</f>
        <v>44397.317809057531</v>
      </c>
    </row>
    <row r="1045" spans="1:15" ht="15" customHeight="1" x14ac:dyDescent="0.25">
      <c r="A1045" s="9" t="s">
        <v>315</v>
      </c>
      <c r="B1045" s="9" t="str">
        <f>INDEX(Places[Type],MATCH(Activities[[#This Row],[Jurisdiction]],Places[Jurisdiction],0))</f>
        <v>City</v>
      </c>
      <c r="C1045" s="19" t="str">
        <f>INDEX(Places[County],MATCH(Activities[[#This Row],[Jurisdiction]],Places[Jurisdiction],0))</f>
        <v>San Diego</v>
      </c>
      <c r="D1045" s="9" t="str">
        <f>INDEX(Places[Majority RB],MATCH(Activities[[#This Row],[Jurisdiction]],Places[Jurisdiction],0))</f>
        <v>San Diego</v>
      </c>
      <c r="E1045" s="9">
        <f>INDEX(Places[Majority RB '#],MATCH(Activities[[#This Row],[Jurisdiction]],Places[Jurisdiction],0))</f>
        <v>9</v>
      </c>
      <c r="F1045" s="28" t="str">
        <f>VLOOKUP(Activities[[#This Row],[Jurisdiction]],Places[#All],8,FALSE)</f>
        <v>Phase I MS4</v>
      </c>
      <c r="G1045" s="48" t="s">
        <v>1356</v>
      </c>
      <c r="H1045" s="8"/>
      <c r="I1045" s="8"/>
      <c r="J1045" s="8" t="s">
        <v>334</v>
      </c>
      <c r="K1045" s="27" t="s">
        <v>1874</v>
      </c>
      <c r="L1045" s="28">
        <f>_xlfn.NUMBERVALUE(LEFT(Activities[[#This Row],[Fiscal Year]], 4))</f>
        <v>2017</v>
      </c>
      <c r="M1045" s="28" t="s">
        <v>1862</v>
      </c>
      <c r="N1045" s="41">
        <v>68949</v>
      </c>
      <c r="O1045" s="93">
        <f>IF(Activities[[#This Row],[Reference Year]]&gt;2018,Activities[[#This Row],[Value]],Activities[[#This Row],[Value]]*(1+VLOOKUP(Activities[[#This Row],[Reference Year]],Inflation[#All],3,FALSE)))</f>
        <v>70786.233451652399</v>
      </c>
    </row>
    <row r="1046" spans="1:15" ht="15" customHeight="1" x14ac:dyDescent="0.25">
      <c r="A1046" s="9" t="s">
        <v>315</v>
      </c>
      <c r="B1046" s="9" t="str">
        <f>INDEX(Places[Type],MATCH(Activities[[#This Row],[Jurisdiction]],Places[Jurisdiction],0))</f>
        <v>City</v>
      </c>
      <c r="C1046" s="19" t="str">
        <f>INDEX(Places[County],MATCH(Activities[[#This Row],[Jurisdiction]],Places[Jurisdiction],0))</f>
        <v>San Diego</v>
      </c>
      <c r="D1046" s="9" t="str">
        <f>INDEX(Places[Majority RB],MATCH(Activities[[#This Row],[Jurisdiction]],Places[Jurisdiction],0))</f>
        <v>San Diego</v>
      </c>
      <c r="E1046" s="9">
        <f>INDEX(Places[Majority RB '#],MATCH(Activities[[#This Row],[Jurisdiction]],Places[Jurisdiction],0))</f>
        <v>9</v>
      </c>
      <c r="F1046" s="28" t="str">
        <f>VLOOKUP(Activities[[#This Row],[Jurisdiction]],Places[#All],8,FALSE)</f>
        <v>Phase I MS4</v>
      </c>
      <c r="G1046" s="48" t="s">
        <v>1355</v>
      </c>
      <c r="H1046" s="8"/>
      <c r="I1046" s="8"/>
      <c r="J1046" s="8" t="s">
        <v>1897</v>
      </c>
      <c r="K1046" s="27" t="s">
        <v>1874</v>
      </c>
      <c r="L1046" s="28">
        <f>_xlfn.NUMBERVALUE(LEFT(Activities[[#This Row],[Fiscal Year]], 4))</f>
        <v>2017</v>
      </c>
      <c r="M1046" s="28" t="s">
        <v>1862</v>
      </c>
      <c r="N1046" s="41">
        <v>335779</v>
      </c>
      <c r="O1046" s="93">
        <f>IF(Activities[[#This Row],[Reference Year]]&gt;2018,Activities[[#This Row],[Value]],Activities[[#This Row],[Value]]*(1+VLOOKUP(Activities[[#This Row],[Reference Year]],Inflation[#All],3,FALSE)))</f>
        <v>344726.25682986539</v>
      </c>
    </row>
    <row r="1047" spans="1:15" ht="15" customHeight="1" x14ac:dyDescent="0.25">
      <c r="A1047" s="9" t="s">
        <v>315</v>
      </c>
      <c r="B1047" s="9" t="str">
        <f>INDEX(Places[Type],MATCH(Activities[[#This Row],[Jurisdiction]],Places[Jurisdiction],0))</f>
        <v>City</v>
      </c>
      <c r="C1047" s="19" t="str">
        <f>INDEX(Places[County],MATCH(Activities[[#This Row],[Jurisdiction]],Places[Jurisdiction],0))</f>
        <v>San Diego</v>
      </c>
      <c r="D1047" s="9" t="str">
        <f>INDEX(Places[Majority RB],MATCH(Activities[[#This Row],[Jurisdiction]],Places[Jurisdiction],0))</f>
        <v>San Diego</v>
      </c>
      <c r="E1047" s="9">
        <f>INDEX(Places[Majority RB '#],MATCH(Activities[[#This Row],[Jurisdiction]],Places[Jurisdiction],0))</f>
        <v>9</v>
      </c>
      <c r="F1047" s="28" t="str">
        <f>VLOOKUP(Activities[[#This Row],[Jurisdiction]],Places[#All],8,FALSE)</f>
        <v>Phase I MS4</v>
      </c>
      <c r="G1047" s="48" t="s">
        <v>1357</v>
      </c>
      <c r="H1047" s="8"/>
      <c r="I1047" s="8"/>
      <c r="J1047" s="8" t="s">
        <v>1898</v>
      </c>
      <c r="K1047" s="27" t="s">
        <v>1874</v>
      </c>
      <c r="L1047" s="28">
        <f>_xlfn.NUMBERVALUE(LEFT(Activities[[#This Row],[Fiscal Year]], 4))</f>
        <v>2017</v>
      </c>
      <c r="M1047" s="28" t="s">
        <v>1862</v>
      </c>
      <c r="N1047" s="41">
        <v>9073</v>
      </c>
      <c r="O1047" s="93">
        <f>IF(Activities[[#This Row],[Reference Year]]&gt;2018,Activities[[#This Row],[Value]],Activities[[#This Row],[Value]]*(1+VLOOKUP(Activities[[#This Row],[Reference Year]],Inflation[#All],3,FALSE)))</f>
        <v>9314.7615789473693</v>
      </c>
    </row>
    <row r="1048" spans="1:15" ht="15" customHeight="1" x14ac:dyDescent="0.25">
      <c r="A1048" s="9" t="s">
        <v>315</v>
      </c>
      <c r="B1048" s="9" t="str">
        <f>INDEX(Places[Type],MATCH(Activities[[#This Row],[Jurisdiction]],Places[Jurisdiction],0))</f>
        <v>City</v>
      </c>
      <c r="C1048" s="19" t="str">
        <f>INDEX(Places[County],MATCH(Activities[[#This Row],[Jurisdiction]],Places[Jurisdiction],0))</f>
        <v>San Diego</v>
      </c>
      <c r="D1048" s="9" t="str">
        <f>INDEX(Places[Majority RB],MATCH(Activities[[#This Row],[Jurisdiction]],Places[Jurisdiction],0))</f>
        <v>San Diego</v>
      </c>
      <c r="E1048" s="9">
        <f>INDEX(Places[Majority RB '#],MATCH(Activities[[#This Row],[Jurisdiction]],Places[Jurisdiction],0))</f>
        <v>9</v>
      </c>
      <c r="F1048" s="28" t="str">
        <f>VLOOKUP(Activities[[#This Row],[Jurisdiction]],Places[#All],8,FALSE)</f>
        <v>Phase I MS4</v>
      </c>
      <c r="G1048" s="48" t="s">
        <v>1353</v>
      </c>
      <c r="H1048" s="8"/>
      <c r="I1048" s="8"/>
      <c r="J1048" s="8" t="s">
        <v>1898</v>
      </c>
      <c r="K1048" s="27" t="s">
        <v>1874</v>
      </c>
      <c r="L1048" s="28">
        <f>_xlfn.NUMBERVALUE(LEFT(Activities[[#This Row],[Fiscal Year]], 4))</f>
        <v>2017</v>
      </c>
      <c r="M1048" s="28" t="s">
        <v>1862</v>
      </c>
      <c r="N1048" s="41">
        <v>40465</v>
      </c>
      <c r="O1048" s="93">
        <f>IF(Activities[[#This Row],[Reference Year]]&gt;2018,Activities[[#This Row],[Value]],Activities[[#This Row],[Value]]*(1+VLOOKUP(Activities[[#This Row],[Reference Year]],Inflation[#All],3,FALSE)))</f>
        <v>41543.241187270505</v>
      </c>
    </row>
    <row r="1049" spans="1:15" ht="15" customHeight="1" x14ac:dyDescent="0.25">
      <c r="A1049" s="9" t="s">
        <v>315</v>
      </c>
      <c r="B1049" s="9" t="str">
        <f>INDEX(Places[Type],MATCH(Activities[[#This Row],[Jurisdiction]],Places[Jurisdiction],0))</f>
        <v>City</v>
      </c>
      <c r="C1049" s="19" t="str">
        <f>INDEX(Places[County],MATCH(Activities[[#This Row],[Jurisdiction]],Places[Jurisdiction],0))</f>
        <v>San Diego</v>
      </c>
      <c r="D1049" s="9" t="str">
        <f>INDEX(Places[Majority RB],MATCH(Activities[[#This Row],[Jurisdiction]],Places[Jurisdiction],0))</f>
        <v>San Diego</v>
      </c>
      <c r="E1049" s="9">
        <f>INDEX(Places[Majority RB '#],MATCH(Activities[[#This Row],[Jurisdiction]],Places[Jurisdiction],0))</f>
        <v>9</v>
      </c>
      <c r="F1049" s="28" t="str">
        <f>VLOOKUP(Activities[[#This Row],[Jurisdiction]],Places[#All],8,FALSE)</f>
        <v>Phase I MS4</v>
      </c>
      <c r="G1049" s="48" t="s">
        <v>1360</v>
      </c>
      <c r="H1049" s="8"/>
      <c r="I1049" s="8"/>
      <c r="J1049" s="8" t="s">
        <v>1456</v>
      </c>
      <c r="K1049" s="27" t="s">
        <v>1874</v>
      </c>
      <c r="L1049" s="28">
        <f>_xlfn.NUMBERVALUE(LEFT(Activities[[#This Row],[Fiscal Year]], 4))</f>
        <v>2017</v>
      </c>
      <c r="M1049" s="28" t="s">
        <v>1862</v>
      </c>
      <c r="N1049" s="41">
        <v>8056</v>
      </c>
      <c r="O1049" s="93">
        <f>IF(Activities[[#This Row],[Reference Year]]&gt;2018,Activities[[#This Row],[Value]],Activities[[#This Row],[Value]]*(1+VLOOKUP(Activities[[#This Row],[Reference Year]],Inflation[#All],3,FALSE)))</f>
        <v>8270.6623255813956</v>
      </c>
    </row>
    <row r="1050" spans="1:15" ht="15" customHeight="1" x14ac:dyDescent="0.25">
      <c r="A1050" s="9" t="s">
        <v>315</v>
      </c>
      <c r="B1050" s="9" t="str">
        <f>INDEX(Places[Type],MATCH(Activities[[#This Row],[Jurisdiction]],Places[Jurisdiction],0))</f>
        <v>City</v>
      </c>
      <c r="C1050" s="19" t="str">
        <f>INDEX(Places[County],MATCH(Activities[[#This Row],[Jurisdiction]],Places[Jurisdiction],0))</f>
        <v>San Diego</v>
      </c>
      <c r="D1050" s="9" t="str">
        <f>INDEX(Places[Majority RB],MATCH(Activities[[#This Row],[Jurisdiction]],Places[Jurisdiction],0))</f>
        <v>San Diego</v>
      </c>
      <c r="E1050" s="9">
        <f>INDEX(Places[Majority RB '#],MATCH(Activities[[#This Row],[Jurisdiction]],Places[Jurisdiction],0))</f>
        <v>9</v>
      </c>
      <c r="F1050" s="28" t="str">
        <f>VLOOKUP(Activities[[#This Row],[Jurisdiction]],Places[#All],8,FALSE)</f>
        <v>Phase I MS4</v>
      </c>
      <c r="G1050" s="48" t="s">
        <v>1352</v>
      </c>
      <c r="H1050" s="8"/>
      <c r="I1050" s="8"/>
      <c r="J1050" s="8" t="s">
        <v>1894</v>
      </c>
      <c r="K1050" s="27" t="s">
        <v>1874</v>
      </c>
      <c r="L1050" s="28">
        <f>_xlfn.NUMBERVALUE(LEFT(Activities[[#This Row],[Fiscal Year]], 4))</f>
        <v>2017</v>
      </c>
      <c r="M1050" s="28" t="s">
        <v>1862</v>
      </c>
      <c r="N1050" s="41">
        <v>35411</v>
      </c>
      <c r="O1050" s="93">
        <f>IF(Activities[[#This Row],[Reference Year]]&gt;2018,Activities[[#This Row],[Value]],Activities[[#This Row],[Value]]*(1+VLOOKUP(Activities[[#This Row],[Reference Year]],Inflation[#All],3,FALSE)))</f>
        <v>36354.57095471237</v>
      </c>
    </row>
    <row r="1051" spans="1:15" ht="15" customHeight="1" x14ac:dyDescent="0.25">
      <c r="A1051" s="9" t="s">
        <v>315</v>
      </c>
      <c r="B1051" s="9" t="str">
        <f>INDEX(Places[Type],MATCH(Activities[[#This Row],[Jurisdiction]],Places[Jurisdiction],0))</f>
        <v>City</v>
      </c>
      <c r="C1051" s="19" t="str">
        <f>INDEX(Places[County],MATCH(Activities[[#This Row],[Jurisdiction]],Places[Jurisdiction],0))</f>
        <v>San Diego</v>
      </c>
      <c r="D1051" s="9" t="str">
        <f>INDEX(Places[Majority RB],MATCH(Activities[[#This Row],[Jurisdiction]],Places[Jurisdiction],0))</f>
        <v>San Diego</v>
      </c>
      <c r="E1051" s="9">
        <f>INDEX(Places[Majority RB '#],MATCH(Activities[[#This Row],[Jurisdiction]],Places[Jurisdiction],0))</f>
        <v>9</v>
      </c>
      <c r="F1051" s="28" t="str">
        <f>VLOOKUP(Activities[[#This Row],[Jurisdiction]],Places[#All],8,FALSE)</f>
        <v>Phase I MS4</v>
      </c>
      <c r="G1051" s="48" t="s">
        <v>1361</v>
      </c>
      <c r="H1051" s="8" t="s">
        <v>700</v>
      </c>
      <c r="I1051" s="8" t="s">
        <v>701</v>
      </c>
      <c r="J1051" s="8" t="s">
        <v>1896</v>
      </c>
      <c r="K1051" s="27" t="s">
        <v>1874</v>
      </c>
      <c r="L1051" s="28">
        <f>_xlfn.NUMBERVALUE(LEFT(Activities[[#This Row],[Fiscal Year]], 4))</f>
        <v>2017</v>
      </c>
      <c r="M1051" s="28" t="s">
        <v>1862</v>
      </c>
      <c r="N1051" s="41">
        <v>3200</v>
      </c>
      <c r="O1051" s="93">
        <f>IF(Activities[[#This Row],[Reference Year]]&gt;2018,Activities[[#This Row],[Value]],Activities[[#This Row],[Value]]*(1+VLOOKUP(Activities[[#This Row],[Reference Year]],Inflation[#All],3,FALSE)))</f>
        <v>3285.2680538555696</v>
      </c>
    </row>
    <row r="1052" spans="1:15" ht="15" customHeight="1" x14ac:dyDescent="0.25">
      <c r="A1052" s="9" t="s">
        <v>315</v>
      </c>
      <c r="B1052" s="9" t="str">
        <f>INDEX(Places[Type],MATCH(Activities[[#This Row],[Jurisdiction]],Places[Jurisdiction],0))</f>
        <v>City</v>
      </c>
      <c r="C1052" s="19" t="str">
        <f>INDEX(Places[County],MATCH(Activities[[#This Row],[Jurisdiction]],Places[Jurisdiction],0))</f>
        <v>San Diego</v>
      </c>
      <c r="D1052" s="9" t="str">
        <f>INDEX(Places[Majority RB],MATCH(Activities[[#This Row],[Jurisdiction]],Places[Jurisdiction],0))</f>
        <v>San Diego</v>
      </c>
      <c r="E1052" s="9">
        <f>INDEX(Places[Majority RB '#],MATCH(Activities[[#This Row],[Jurisdiction]],Places[Jurisdiction],0))</f>
        <v>9</v>
      </c>
      <c r="F1052" s="28" t="str">
        <f>VLOOKUP(Activities[[#This Row],[Jurisdiction]],Places[#All],8,FALSE)</f>
        <v>Phase I MS4</v>
      </c>
      <c r="G1052" s="48" t="s">
        <v>1359</v>
      </c>
      <c r="H1052" s="8" t="s">
        <v>694</v>
      </c>
      <c r="I1052" s="8" t="s">
        <v>699</v>
      </c>
      <c r="J1052" s="8" t="s">
        <v>1896</v>
      </c>
      <c r="K1052" s="27" t="s">
        <v>1874</v>
      </c>
      <c r="L1052" s="28">
        <f>_xlfn.NUMBERVALUE(LEFT(Activities[[#This Row],[Fiscal Year]], 4))</f>
        <v>2017</v>
      </c>
      <c r="M1052" s="28" t="s">
        <v>1862</v>
      </c>
      <c r="N1052" s="41">
        <v>10342</v>
      </c>
      <c r="O1052" s="93">
        <f>IF(Activities[[#This Row],[Reference Year]]&gt;2018,Activities[[#This Row],[Value]],Activities[[#This Row],[Value]]*(1+VLOOKUP(Activities[[#This Row],[Reference Year]],Inflation[#All],3,FALSE)))</f>
        <v>10617.575691554468</v>
      </c>
    </row>
    <row r="1053" spans="1:15" ht="15" customHeight="1" x14ac:dyDescent="0.25">
      <c r="A1053" s="9" t="s">
        <v>315</v>
      </c>
      <c r="B1053" s="9" t="str">
        <f>INDEX(Places[Type],MATCH(Activities[[#This Row],[Jurisdiction]],Places[Jurisdiction],0))</f>
        <v>City</v>
      </c>
      <c r="C1053" s="19" t="str">
        <f>INDEX(Places[County],MATCH(Activities[[#This Row],[Jurisdiction]],Places[Jurisdiction],0))</f>
        <v>San Diego</v>
      </c>
      <c r="D1053" s="9" t="str">
        <f>INDEX(Places[Majority RB],MATCH(Activities[[#This Row],[Jurisdiction]],Places[Jurisdiction],0))</f>
        <v>San Diego</v>
      </c>
      <c r="E1053" s="9">
        <f>INDEX(Places[Majority RB '#],MATCH(Activities[[#This Row],[Jurisdiction]],Places[Jurisdiction],0))</f>
        <v>9</v>
      </c>
      <c r="F1053" s="28" t="str">
        <f>VLOOKUP(Activities[[#This Row],[Jurisdiction]],Places[#All],8,FALSE)</f>
        <v>Phase I MS4</v>
      </c>
      <c r="G1053" s="56" t="s">
        <v>389</v>
      </c>
      <c r="H1053" s="8" t="s">
        <v>697</v>
      </c>
      <c r="I1053" s="8" t="s">
        <v>698</v>
      </c>
      <c r="J1053" s="8" t="s">
        <v>1896</v>
      </c>
      <c r="K1053" s="27" t="s">
        <v>1874</v>
      </c>
      <c r="L1053" s="28">
        <f>_xlfn.NUMBERVALUE(LEFT(Activities[[#This Row],[Fiscal Year]], 4))</f>
        <v>2017</v>
      </c>
      <c r="M1053" s="28" t="s">
        <v>1862</v>
      </c>
      <c r="N1053" s="41">
        <v>34453</v>
      </c>
      <c r="O1053" s="93">
        <f>IF(Activities[[#This Row],[Reference Year]]&gt;2018,Activities[[#This Row],[Value]],Activities[[#This Row],[Value]]*(1+VLOOKUP(Activities[[#This Row],[Reference Year]],Inflation[#All],3,FALSE)))</f>
        <v>35371.043831089359</v>
      </c>
    </row>
    <row r="1054" spans="1:15" ht="15" customHeight="1" x14ac:dyDescent="0.25">
      <c r="A1054" s="9" t="s">
        <v>315</v>
      </c>
      <c r="B1054" s="9" t="str">
        <f>INDEX(Places[Type],MATCH(Activities[[#This Row],[Jurisdiction]],Places[Jurisdiction],0))</f>
        <v>City</v>
      </c>
      <c r="C1054" s="19" t="str">
        <f>INDEX(Places[County],MATCH(Activities[[#This Row],[Jurisdiction]],Places[Jurisdiction],0))</f>
        <v>San Diego</v>
      </c>
      <c r="D1054" s="9" t="str">
        <f>INDEX(Places[Majority RB],MATCH(Activities[[#This Row],[Jurisdiction]],Places[Jurisdiction],0))</f>
        <v>San Diego</v>
      </c>
      <c r="E1054" s="9">
        <f>INDEX(Places[Majority RB '#],MATCH(Activities[[#This Row],[Jurisdiction]],Places[Jurisdiction],0))</f>
        <v>9</v>
      </c>
      <c r="F1054" s="28" t="str">
        <f>VLOOKUP(Activities[[#This Row],[Jurisdiction]],Places[#All],8,FALSE)</f>
        <v>Phase I MS4</v>
      </c>
      <c r="G1054" s="56" t="s">
        <v>388</v>
      </c>
      <c r="H1054" s="8"/>
      <c r="I1054" s="8"/>
      <c r="J1054" s="8" t="s">
        <v>605</v>
      </c>
      <c r="K1054" s="27" t="s">
        <v>1874</v>
      </c>
      <c r="L1054" s="28">
        <f>_xlfn.NUMBERVALUE(LEFT(Activities[[#This Row],[Fiscal Year]], 4))</f>
        <v>2017</v>
      </c>
      <c r="M1054" s="28" t="s">
        <v>1862</v>
      </c>
      <c r="N1054" s="41">
        <v>60637</v>
      </c>
      <c r="O1054" s="93">
        <f>IF(Activities[[#This Row],[Reference Year]]&gt;2018,Activities[[#This Row],[Value]],Activities[[#This Row],[Value]]*(1+VLOOKUP(Activities[[#This Row],[Reference Year]],Inflation[#All],3,FALSE)))</f>
        <v>62252.749681762551</v>
      </c>
    </row>
    <row r="1055" spans="1:15" ht="15" customHeight="1" x14ac:dyDescent="0.25">
      <c r="A1055" s="9" t="s">
        <v>285</v>
      </c>
      <c r="B1055" s="9" t="str">
        <f>INDEX(Places[Type],MATCH(Activities[[#This Row],[Jurisdiction]],Places[Jurisdiction],0))</f>
        <v>City</v>
      </c>
      <c r="C1055" s="19" t="str">
        <f>INDEX(Places[County],MATCH(Activities[[#This Row],[Jurisdiction]],Places[Jurisdiction],0))</f>
        <v>Orange</v>
      </c>
      <c r="D1055" s="9" t="str">
        <f>INDEX(Places[Majority RB],MATCH(Activities[[#This Row],[Jurisdiction]],Places[Jurisdiction],0))</f>
        <v>Santa Ana</v>
      </c>
      <c r="E1055" s="9">
        <f>INDEX(Places[Majority RB '#],MATCH(Activities[[#This Row],[Jurisdiction]],Places[Jurisdiction],0))</f>
        <v>8</v>
      </c>
      <c r="F1055" s="28" t="str">
        <f>VLOOKUP(Activities[[#This Row],[Jurisdiction]],Places[#All],8,FALSE)</f>
        <v>Phase I MS4</v>
      </c>
      <c r="G1055" s="48" t="s">
        <v>1004</v>
      </c>
      <c r="H1055" s="8"/>
      <c r="I1055" s="8"/>
      <c r="J1055" s="8" t="s">
        <v>76</v>
      </c>
      <c r="K1055" s="27" t="s">
        <v>1875</v>
      </c>
      <c r="L1055" s="28">
        <f>_xlfn.NUMBERVALUE(LEFT(Activities[[#This Row],[Fiscal Year]], 4))</f>
        <v>2001</v>
      </c>
      <c r="M1055" s="28" t="s">
        <v>1862</v>
      </c>
      <c r="N1055" s="41">
        <v>100000</v>
      </c>
      <c r="O1055" s="93">
        <f>IF(Activities[[#This Row],[Reference Year]]&gt;2018,Activities[[#This Row],[Value]],Activities[[#This Row],[Value]]*(1+VLOOKUP(Activities[[#This Row],[Reference Year]],Inflation[#All],3,FALSE)))</f>
        <v>142084.13325804629</v>
      </c>
    </row>
    <row r="1056" spans="1:15" ht="15" customHeight="1" x14ac:dyDescent="0.25">
      <c r="A1056" s="9" t="s">
        <v>285</v>
      </c>
      <c r="B1056" s="9" t="str">
        <f>INDEX(Places[Type],MATCH(Activities[[#This Row],[Jurisdiction]],Places[Jurisdiction],0))</f>
        <v>City</v>
      </c>
      <c r="C1056" s="19" t="str">
        <f>INDEX(Places[County],MATCH(Activities[[#This Row],[Jurisdiction]],Places[Jurisdiction],0))</f>
        <v>Orange</v>
      </c>
      <c r="D1056" s="9" t="str">
        <f>INDEX(Places[Majority RB],MATCH(Activities[[#This Row],[Jurisdiction]],Places[Jurisdiction],0))</f>
        <v>Santa Ana</v>
      </c>
      <c r="E1056" s="9">
        <f>INDEX(Places[Majority RB '#],MATCH(Activities[[#This Row],[Jurisdiction]],Places[Jurisdiction],0))</f>
        <v>8</v>
      </c>
      <c r="F1056" s="28" t="str">
        <f>VLOOKUP(Activities[[#This Row],[Jurisdiction]],Places[#All],8,FALSE)</f>
        <v>Phase I MS4</v>
      </c>
      <c r="G1056" s="48" t="s">
        <v>1006</v>
      </c>
      <c r="H1056" s="8"/>
      <c r="I1056" s="8"/>
      <c r="J1056" s="8" t="s">
        <v>1895</v>
      </c>
      <c r="K1056" s="27" t="s">
        <v>1875</v>
      </c>
      <c r="L1056" s="28">
        <f>_xlfn.NUMBERVALUE(LEFT(Activities[[#This Row],[Fiscal Year]], 4))</f>
        <v>2001</v>
      </c>
      <c r="M1056" s="28" t="s">
        <v>1862</v>
      </c>
      <c r="N1056" s="41">
        <v>10000</v>
      </c>
      <c r="O1056" s="93">
        <f>IF(Activities[[#This Row],[Reference Year]]&gt;2018,Activities[[#This Row],[Value]],Activities[[#This Row],[Value]]*(1+VLOOKUP(Activities[[#This Row],[Reference Year]],Inflation[#All],3,FALSE)))</f>
        <v>14208.413325804629</v>
      </c>
    </row>
    <row r="1057" spans="1:15" ht="15" customHeight="1" x14ac:dyDescent="0.25">
      <c r="A1057" s="9" t="s">
        <v>285</v>
      </c>
      <c r="B1057" s="9" t="str">
        <f>INDEX(Places[Type],MATCH(Activities[[#This Row],[Jurisdiction]],Places[Jurisdiction],0))</f>
        <v>City</v>
      </c>
      <c r="C1057" s="19" t="str">
        <f>INDEX(Places[County],MATCH(Activities[[#This Row],[Jurisdiction]],Places[Jurisdiction],0))</f>
        <v>Orange</v>
      </c>
      <c r="D1057" s="9" t="str">
        <f>INDEX(Places[Majority RB],MATCH(Activities[[#This Row],[Jurisdiction]],Places[Jurisdiction],0))</f>
        <v>Santa Ana</v>
      </c>
      <c r="E1057" s="9">
        <f>INDEX(Places[Majority RB '#],MATCH(Activities[[#This Row],[Jurisdiction]],Places[Jurisdiction],0))</f>
        <v>8</v>
      </c>
      <c r="F1057" s="28" t="str">
        <f>VLOOKUP(Activities[[#This Row],[Jurisdiction]],Places[#All],8,FALSE)</f>
        <v>Phase I MS4</v>
      </c>
      <c r="G1057" s="48" t="s">
        <v>1007</v>
      </c>
      <c r="H1057" s="8"/>
      <c r="I1057" s="8"/>
      <c r="J1057" s="8" t="s">
        <v>71</v>
      </c>
      <c r="K1057" s="27" t="s">
        <v>1875</v>
      </c>
      <c r="L1057" s="28">
        <f>_xlfn.NUMBERVALUE(LEFT(Activities[[#This Row],[Fiscal Year]], 4))</f>
        <v>2001</v>
      </c>
      <c r="M1057" s="28" t="s">
        <v>1862</v>
      </c>
      <c r="N1057" s="41">
        <v>10000</v>
      </c>
      <c r="O1057" s="93">
        <f>IF(Activities[[#This Row],[Reference Year]]&gt;2018,Activities[[#This Row],[Value]],Activities[[#This Row],[Value]]*(1+VLOOKUP(Activities[[#This Row],[Reference Year]],Inflation[#All],3,FALSE)))</f>
        <v>14208.413325804629</v>
      </c>
    </row>
    <row r="1058" spans="1:15" ht="15" customHeight="1" x14ac:dyDescent="0.25">
      <c r="A1058" s="9" t="s">
        <v>285</v>
      </c>
      <c r="B1058" s="9" t="str">
        <f>INDEX(Places[Type],MATCH(Activities[[#This Row],[Jurisdiction]],Places[Jurisdiction],0))</f>
        <v>City</v>
      </c>
      <c r="C1058" s="19" t="str">
        <f>INDEX(Places[County],MATCH(Activities[[#This Row],[Jurisdiction]],Places[Jurisdiction],0))</f>
        <v>Orange</v>
      </c>
      <c r="D1058" s="9" t="str">
        <f>INDEX(Places[Majority RB],MATCH(Activities[[#This Row],[Jurisdiction]],Places[Jurisdiction],0))</f>
        <v>Santa Ana</v>
      </c>
      <c r="E1058" s="9">
        <f>INDEX(Places[Majority RB '#],MATCH(Activities[[#This Row],[Jurisdiction]],Places[Jurisdiction],0))</f>
        <v>8</v>
      </c>
      <c r="F1058" s="28" t="str">
        <f>VLOOKUP(Activities[[#This Row],[Jurisdiction]],Places[#All],8,FALSE)</f>
        <v>Phase I MS4</v>
      </c>
      <c r="G1058" s="48" t="s">
        <v>994</v>
      </c>
      <c r="H1058" s="8" t="s">
        <v>504</v>
      </c>
      <c r="I1058" s="8"/>
      <c r="J1058" s="8" t="s">
        <v>71</v>
      </c>
      <c r="K1058" s="27" t="s">
        <v>1875</v>
      </c>
      <c r="L1058" s="28">
        <f>_xlfn.NUMBERVALUE(LEFT(Activities[[#This Row],[Fiscal Year]], 4))</f>
        <v>2001</v>
      </c>
      <c r="M1058" s="28" t="s">
        <v>1862</v>
      </c>
      <c r="N1058" s="41">
        <v>210000</v>
      </c>
      <c r="O1058" s="93">
        <f>IF(Activities[[#This Row],[Reference Year]]&gt;2018,Activities[[#This Row],[Value]],Activities[[#This Row],[Value]]*(1+VLOOKUP(Activities[[#This Row],[Reference Year]],Inflation[#All],3,FALSE)))</f>
        <v>298376.67984189722</v>
      </c>
    </row>
    <row r="1059" spans="1:15" ht="15" customHeight="1" x14ac:dyDescent="0.25">
      <c r="A1059" s="9" t="s">
        <v>285</v>
      </c>
      <c r="B1059" s="9" t="str">
        <f>INDEX(Places[Type],MATCH(Activities[[#This Row],[Jurisdiction]],Places[Jurisdiction],0))</f>
        <v>City</v>
      </c>
      <c r="C1059" s="19" t="str">
        <f>INDEX(Places[County],MATCH(Activities[[#This Row],[Jurisdiction]],Places[Jurisdiction],0))</f>
        <v>Orange</v>
      </c>
      <c r="D1059" s="9" t="str">
        <f>INDEX(Places[Majority RB],MATCH(Activities[[#This Row],[Jurisdiction]],Places[Jurisdiction],0))</f>
        <v>Santa Ana</v>
      </c>
      <c r="E1059" s="9">
        <f>INDEX(Places[Majority RB '#],MATCH(Activities[[#This Row],[Jurisdiction]],Places[Jurisdiction],0))</f>
        <v>8</v>
      </c>
      <c r="F1059" s="28" t="str">
        <f>VLOOKUP(Activities[[#This Row],[Jurisdiction]],Places[#All],8,FALSE)</f>
        <v>Phase I MS4</v>
      </c>
      <c r="G1059" s="48" t="s">
        <v>979</v>
      </c>
      <c r="H1059" s="8" t="s">
        <v>504</v>
      </c>
      <c r="I1059" s="8"/>
      <c r="J1059" s="8" t="s">
        <v>71</v>
      </c>
      <c r="K1059" s="27" t="s">
        <v>1875</v>
      </c>
      <c r="L1059" s="28">
        <f>_xlfn.NUMBERVALUE(LEFT(Activities[[#This Row],[Fiscal Year]], 4))</f>
        <v>2001</v>
      </c>
      <c r="M1059" s="28" t="s">
        <v>1862</v>
      </c>
      <c r="N1059" s="41">
        <v>250000</v>
      </c>
      <c r="O1059" s="93">
        <f>IF(Activities[[#This Row],[Reference Year]]&gt;2018,Activities[[#This Row],[Value]],Activities[[#This Row],[Value]]*(1+VLOOKUP(Activities[[#This Row],[Reference Year]],Inflation[#All],3,FALSE)))</f>
        <v>355210.33314511576</v>
      </c>
    </row>
    <row r="1060" spans="1:15" ht="15" customHeight="1" x14ac:dyDescent="0.25">
      <c r="A1060" s="9" t="s">
        <v>285</v>
      </c>
      <c r="B1060" s="9" t="str">
        <f>INDEX(Places[Type],MATCH(Activities[[#This Row],[Jurisdiction]],Places[Jurisdiction],0))</f>
        <v>City</v>
      </c>
      <c r="C1060" s="19" t="str">
        <f>INDEX(Places[County],MATCH(Activities[[#This Row],[Jurisdiction]],Places[Jurisdiction],0))</f>
        <v>Orange</v>
      </c>
      <c r="D1060" s="9" t="str">
        <f>INDEX(Places[Majority RB],MATCH(Activities[[#This Row],[Jurisdiction]],Places[Jurisdiction],0))</f>
        <v>Santa Ana</v>
      </c>
      <c r="E1060" s="9">
        <f>INDEX(Places[Majority RB '#],MATCH(Activities[[#This Row],[Jurisdiction]],Places[Jurisdiction],0))</f>
        <v>8</v>
      </c>
      <c r="F1060" s="28" t="str">
        <f>VLOOKUP(Activities[[#This Row],[Jurisdiction]],Places[#All],8,FALSE)</f>
        <v>Phase I MS4</v>
      </c>
      <c r="G1060" s="48" t="s">
        <v>997</v>
      </c>
      <c r="H1060" s="8" t="s">
        <v>593</v>
      </c>
      <c r="I1060" s="8" t="s">
        <v>594</v>
      </c>
      <c r="J1060" s="8" t="s">
        <v>1897</v>
      </c>
      <c r="K1060" s="27" t="s">
        <v>1875</v>
      </c>
      <c r="L1060" s="28">
        <f>_xlfn.NUMBERVALUE(LEFT(Activities[[#This Row],[Fiscal Year]], 4))</f>
        <v>2001</v>
      </c>
      <c r="M1060" s="28" t="s">
        <v>1862</v>
      </c>
      <c r="N1060" s="41">
        <v>1000</v>
      </c>
      <c r="O1060" s="93">
        <f>IF(Activities[[#This Row],[Reference Year]]&gt;2018,Activities[[#This Row],[Value]],Activities[[#This Row],[Value]]*(1+VLOOKUP(Activities[[#This Row],[Reference Year]],Inflation[#All],3,FALSE)))</f>
        <v>1420.8413325804629</v>
      </c>
    </row>
    <row r="1061" spans="1:15" ht="15" customHeight="1" x14ac:dyDescent="0.25">
      <c r="A1061" s="9" t="s">
        <v>285</v>
      </c>
      <c r="B1061" s="9" t="str">
        <f>INDEX(Places[Type],MATCH(Activities[[#This Row],[Jurisdiction]],Places[Jurisdiction],0))</f>
        <v>City</v>
      </c>
      <c r="C1061" s="19" t="str">
        <f>INDEX(Places[County],MATCH(Activities[[#This Row],[Jurisdiction]],Places[Jurisdiction],0))</f>
        <v>Orange</v>
      </c>
      <c r="D1061" s="9" t="str">
        <f>INDEX(Places[Majority RB],MATCH(Activities[[#This Row],[Jurisdiction]],Places[Jurisdiction],0))</f>
        <v>Santa Ana</v>
      </c>
      <c r="E1061" s="9">
        <f>INDEX(Places[Majority RB '#],MATCH(Activities[[#This Row],[Jurisdiction]],Places[Jurisdiction],0))</f>
        <v>8</v>
      </c>
      <c r="F1061" s="28" t="str">
        <f>VLOOKUP(Activities[[#This Row],[Jurisdiction]],Places[#All],8,FALSE)</f>
        <v>Phase I MS4</v>
      </c>
      <c r="G1061" s="48" t="s">
        <v>999</v>
      </c>
      <c r="H1061" s="8" t="s">
        <v>504</v>
      </c>
      <c r="I1061" s="8"/>
      <c r="J1061" s="8" t="s">
        <v>1897</v>
      </c>
      <c r="K1061" s="27" t="s">
        <v>1875</v>
      </c>
      <c r="L1061" s="28">
        <f>_xlfn.NUMBERVALUE(LEFT(Activities[[#This Row],[Fiscal Year]], 4))</f>
        <v>2001</v>
      </c>
      <c r="M1061" s="28" t="s">
        <v>1862</v>
      </c>
      <c r="N1061" s="41">
        <v>6000</v>
      </c>
      <c r="O1061" s="93">
        <f>IF(Activities[[#This Row],[Reference Year]]&gt;2018,Activities[[#This Row],[Value]],Activities[[#This Row],[Value]]*(1+VLOOKUP(Activities[[#This Row],[Reference Year]],Inflation[#All],3,FALSE)))</f>
        <v>8525.047995482777</v>
      </c>
    </row>
    <row r="1062" spans="1:15" ht="15" customHeight="1" x14ac:dyDescent="0.25">
      <c r="A1062" s="9" t="s">
        <v>285</v>
      </c>
      <c r="B1062" s="9" t="str">
        <f>INDEX(Places[Type],MATCH(Activities[[#This Row],[Jurisdiction]],Places[Jurisdiction],0))</f>
        <v>City</v>
      </c>
      <c r="C1062" s="19" t="str">
        <f>INDEX(Places[County],MATCH(Activities[[#This Row],[Jurisdiction]],Places[Jurisdiction],0))</f>
        <v>Orange</v>
      </c>
      <c r="D1062" s="9" t="str">
        <f>INDEX(Places[Majority RB],MATCH(Activities[[#This Row],[Jurisdiction]],Places[Jurisdiction],0))</f>
        <v>Santa Ana</v>
      </c>
      <c r="E1062" s="9">
        <f>INDEX(Places[Majority RB '#],MATCH(Activities[[#This Row],[Jurisdiction]],Places[Jurisdiction],0))</f>
        <v>8</v>
      </c>
      <c r="F1062" s="28" t="str">
        <f>VLOOKUP(Activities[[#This Row],[Jurisdiction]],Places[#All],8,FALSE)</f>
        <v>Phase I MS4</v>
      </c>
      <c r="G1062" s="48" t="s">
        <v>995</v>
      </c>
      <c r="H1062" s="8" t="s">
        <v>504</v>
      </c>
      <c r="I1062" s="8"/>
      <c r="J1062" s="8" t="s">
        <v>1897</v>
      </c>
      <c r="K1062" s="27" t="s">
        <v>1875</v>
      </c>
      <c r="L1062" s="28">
        <f>_xlfn.NUMBERVALUE(LEFT(Activities[[#This Row],[Fiscal Year]], 4))</f>
        <v>2001</v>
      </c>
      <c r="M1062" s="28" t="s">
        <v>1862</v>
      </c>
      <c r="N1062" s="41">
        <v>14000</v>
      </c>
      <c r="O1062" s="93">
        <f>IF(Activities[[#This Row],[Reference Year]]&gt;2018,Activities[[#This Row],[Value]],Activities[[#This Row],[Value]]*(1+VLOOKUP(Activities[[#This Row],[Reference Year]],Inflation[#All],3,FALSE)))</f>
        <v>19891.77865612648</v>
      </c>
    </row>
    <row r="1063" spans="1:15" ht="15" customHeight="1" x14ac:dyDescent="0.25">
      <c r="A1063" s="9" t="s">
        <v>285</v>
      </c>
      <c r="B1063" s="9" t="str">
        <f>INDEX(Places[Type],MATCH(Activities[[#This Row],[Jurisdiction]],Places[Jurisdiction],0))</f>
        <v>City</v>
      </c>
      <c r="C1063" s="19" t="str">
        <f>INDEX(Places[County],MATCH(Activities[[#This Row],[Jurisdiction]],Places[Jurisdiction],0))</f>
        <v>Orange</v>
      </c>
      <c r="D1063" s="9" t="str">
        <f>INDEX(Places[Majority RB],MATCH(Activities[[#This Row],[Jurisdiction]],Places[Jurisdiction],0))</f>
        <v>Santa Ana</v>
      </c>
      <c r="E1063" s="9">
        <f>INDEX(Places[Majority RB '#],MATCH(Activities[[#This Row],[Jurisdiction]],Places[Jurisdiction],0))</f>
        <v>8</v>
      </c>
      <c r="F1063" s="28" t="str">
        <f>VLOOKUP(Activities[[#This Row],[Jurisdiction]],Places[#All],8,FALSE)</f>
        <v>Phase I MS4</v>
      </c>
      <c r="G1063" s="48" t="s">
        <v>998</v>
      </c>
      <c r="H1063" s="8" t="s">
        <v>504</v>
      </c>
      <c r="I1063" s="8"/>
      <c r="J1063" s="8" t="s">
        <v>1897</v>
      </c>
      <c r="K1063" s="27" t="s">
        <v>1875</v>
      </c>
      <c r="L1063" s="28">
        <f>_xlfn.NUMBERVALUE(LEFT(Activities[[#This Row],[Fiscal Year]], 4))</f>
        <v>2001</v>
      </c>
      <c r="M1063" s="28" t="s">
        <v>1862</v>
      </c>
      <c r="N1063" s="41">
        <v>15000</v>
      </c>
      <c r="O1063" s="93">
        <f>IF(Activities[[#This Row],[Reference Year]]&gt;2018,Activities[[#This Row],[Value]],Activities[[#This Row],[Value]]*(1+VLOOKUP(Activities[[#This Row],[Reference Year]],Inflation[#All],3,FALSE)))</f>
        <v>21312.619988706945</v>
      </c>
    </row>
    <row r="1064" spans="1:15" ht="15" customHeight="1" x14ac:dyDescent="0.25">
      <c r="A1064" s="9" t="s">
        <v>285</v>
      </c>
      <c r="B1064" s="9" t="str">
        <f>INDEX(Places[Type],MATCH(Activities[[#This Row],[Jurisdiction]],Places[Jurisdiction],0))</f>
        <v>City</v>
      </c>
      <c r="C1064" s="19" t="str">
        <f>INDEX(Places[County],MATCH(Activities[[#This Row],[Jurisdiction]],Places[Jurisdiction],0))</f>
        <v>Orange</v>
      </c>
      <c r="D1064" s="9" t="str">
        <f>INDEX(Places[Majority RB],MATCH(Activities[[#This Row],[Jurisdiction]],Places[Jurisdiction],0))</f>
        <v>Santa Ana</v>
      </c>
      <c r="E1064" s="9">
        <f>INDEX(Places[Majority RB '#],MATCH(Activities[[#This Row],[Jurisdiction]],Places[Jurisdiction],0))</f>
        <v>8</v>
      </c>
      <c r="F1064" s="28" t="str">
        <f>VLOOKUP(Activities[[#This Row],[Jurisdiction]],Places[#All],8,FALSE)</f>
        <v>Phase I MS4</v>
      </c>
      <c r="G1064" s="48" t="s">
        <v>992</v>
      </c>
      <c r="H1064" s="8" t="s">
        <v>504</v>
      </c>
      <c r="I1064" s="8"/>
      <c r="J1064" s="8" t="s">
        <v>1897</v>
      </c>
      <c r="K1064" s="27" t="s">
        <v>1875</v>
      </c>
      <c r="L1064" s="28">
        <f>_xlfn.NUMBERVALUE(LEFT(Activities[[#This Row],[Fiscal Year]], 4))</f>
        <v>2001</v>
      </c>
      <c r="M1064" s="28" t="s">
        <v>1862</v>
      </c>
      <c r="N1064" s="41">
        <v>40000</v>
      </c>
      <c r="O1064" s="93">
        <f>IF(Activities[[#This Row],[Reference Year]]&gt;2018,Activities[[#This Row],[Value]],Activities[[#This Row],[Value]]*(1+VLOOKUP(Activities[[#This Row],[Reference Year]],Inflation[#All],3,FALSE)))</f>
        <v>56833.653303218518</v>
      </c>
    </row>
    <row r="1065" spans="1:15" ht="15" customHeight="1" x14ac:dyDescent="0.25">
      <c r="A1065" s="9" t="s">
        <v>285</v>
      </c>
      <c r="B1065" s="9" t="str">
        <f>INDEX(Places[Type],MATCH(Activities[[#This Row],[Jurisdiction]],Places[Jurisdiction],0))</f>
        <v>City</v>
      </c>
      <c r="C1065" s="19" t="str">
        <f>INDEX(Places[County],MATCH(Activities[[#This Row],[Jurisdiction]],Places[Jurisdiction],0))</f>
        <v>Orange</v>
      </c>
      <c r="D1065" s="9" t="str">
        <f>INDEX(Places[Majority RB],MATCH(Activities[[#This Row],[Jurisdiction]],Places[Jurisdiction],0))</f>
        <v>Santa Ana</v>
      </c>
      <c r="E1065" s="9">
        <f>INDEX(Places[Majority RB '#],MATCH(Activities[[#This Row],[Jurisdiction]],Places[Jurisdiction],0))</f>
        <v>8</v>
      </c>
      <c r="F1065" s="28" t="str">
        <f>VLOOKUP(Activities[[#This Row],[Jurisdiction]],Places[#All],8,FALSE)</f>
        <v>Phase I MS4</v>
      </c>
      <c r="G1065" s="48" t="s">
        <v>981</v>
      </c>
      <c r="H1065" s="8" t="s">
        <v>504</v>
      </c>
      <c r="I1065" s="8"/>
      <c r="J1065" s="8" t="s">
        <v>1897</v>
      </c>
      <c r="K1065" s="27" t="s">
        <v>1875</v>
      </c>
      <c r="L1065" s="28">
        <f>_xlfn.NUMBERVALUE(LEFT(Activities[[#This Row],[Fiscal Year]], 4))</f>
        <v>2001</v>
      </c>
      <c r="M1065" s="28" t="s">
        <v>1862</v>
      </c>
      <c r="N1065" s="41">
        <v>100000</v>
      </c>
      <c r="O1065" s="93">
        <f>IF(Activities[[#This Row],[Reference Year]]&gt;2018,Activities[[#This Row],[Value]],Activities[[#This Row],[Value]]*(1+VLOOKUP(Activities[[#This Row],[Reference Year]],Inflation[#All],3,FALSE)))</f>
        <v>142084.13325804629</v>
      </c>
    </row>
    <row r="1066" spans="1:15" ht="15" customHeight="1" x14ac:dyDescent="0.25">
      <c r="A1066" s="9" t="s">
        <v>285</v>
      </c>
      <c r="B1066" s="9" t="str">
        <f>INDEX(Places[Type],MATCH(Activities[[#This Row],[Jurisdiction]],Places[Jurisdiction],0))</f>
        <v>City</v>
      </c>
      <c r="C1066" s="19" t="str">
        <f>INDEX(Places[County],MATCH(Activities[[#This Row],[Jurisdiction]],Places[Jurisdiction],0))</f>
        <v>Orange</v>
      </c>
      <c r="D1066" s="9" t="str">
        <f>INDEX(Places[Majority RB],MATCH(Activities[[#This Row],[Jurisdiction]],Places[Jurisdiction],0))</f>
        <v>Santa Ana</v>
      </c>
      <c r="E1066" s="9">
        <f>INDEX(Places[Majority RB '#],MATCH(Activities[[#This Row],[Jurisdiction]],Places[Jurisdiction],0))</f>
        <v>8</v>
      </c>
      <c r="F1066" s="28" t="str">
        <f>VLOOKUP(Activities[[#This Row],[Jurisdiction]],Places[#All],8,FALSE)</f>
        <v>Phase I MS4</v>
      </c>
      <c r="G1066" s="48" t="s">
        <v>977</v>
      </c>
      <c r="H1066" s="8" t="s">
        <v>504</v>
      </c>
      <c r="I1066" s="8"/>
      <c r="J1066" s="8" t="s">
        <v>1897</v>
      </c>
      <c r="K1066" s="27" t="s">
        <v>1875</v>
      </c>
      <c r="L1066" s="28">
        <f>_xlfn.NUMBERVALUE(LEFT(Activities[[#This Row],[Fiscal Year]], 4))</f>
        <v>2001</v>
      </c>
      <c r="M1066" s="28" t="s">
        <v>1862</v>
      </c>
      <c r="N1066" s="41">
        <v>120000</v>
      </c>
      <c r="O1066" s="93">
        <f>IF(Activities[[#This Row],[Reference Year]]&gt;2018,Activities[[#This Row],[Value]],Activities[[#This Row],[Value]]*(1+VLOOKUP(Activities[[#This Row],[Reference Year]],Inflation[#All],3,FALSE)))</f>
        <v>170500.95990965556</v>
      </c>
    </row>
    <row r="1067" spans="1:15" ht="15" customHeight="1" x14ac:dyDescent="0.25">
      <c r="A1067" s="9" t="s">
        <v>285</v>
      </c>
      <c r="B1067" s="9" t="str">
        <f>INDEX(Places[Type],MATCH(Activities[[#This Row],[Jurisdiction]],Places[Jurisdiction],0))</f>
        <v>City</v>
      </c>
      <c r="C1067" s="19" t="str">
        <f>INDEX(Places[County],MATCH(Activities[[#This Row],[Jurisdiction]],Places[Jurisdiction],0))</f>
        <v>Orange</v>
      </c>
      <c r="D1067" s="9" t="str">
        <f>INDEX(Places[Majority RB],MATCH(Activities[[#This Row],[Jurisdiction]],Places[Jurisdiction],0))</f>
        <v>Santa Ana</v>
      </c>
      <c r="E1067" s="9">
        <f>INDEX(Places[Majority RB '#],MATCH(Activities[[#This Row],[Jurisdiction]],Places[Jurisdiction],0))</f>
        <v>8</v>
      </c>
      <c r="F1067" s="28" t="str">
        <f>VLOOKUP(Activities[[#This Row],[Jurisdiction]],Places[#All],8,FALSE)</f>
        <v>Phase I MS4</v>
      </c>
      <c r="G1067" s="48" t="s">
        <v>996</v>
      </c>
      <c r="H1067" s="8" t="s">
        <v>504</v>
      </c>
      <c r="I1067" s="8"/>
      <c r="J1067" s="8" t="s">
        <v>1897</v>
      </c>
      <c r="K1067" s="27" t="s">
        <v>1875</v>
      </c>
      <c r="L1067" s="28">
        <f>_xlfn.NUMBERVALUE(LEFT(Activities[[#This Row],[Fiscal Year]], 4))</f>
        <v>2001</v>
      </c>
      <c r="M1067" s="28" t="s">
        <v>1862</v>
      </c>
      <c r="N1067" s="41">
        <v>400000</v>
      </c>
      <c r="O1067" s="93">
        <f>IF(Activities[[#This Row],[Reference Year]]&gt;2018,Activities[[#This Row],[Value]],Activities[[#This Row],[Value]]*(1+VLOOKUP(Activities[[#This Row],[Reference Year]],Inflation[#All],3,FALSE)))</f>
        <v>568336.53303218517</v>
      </c>
    </row>
    <row r="1068" spans="1:15" ht="15" customHeight="1" x14ac:dyDescent="0.25">
      <c r="A1068" s="9" t="s">
        <v>285</v>
      </c>
      <c r="B1068" s="9" t="str">
        <f>INDEX(Places[Type],MATCH(Activities[[#This Row],[Jurisdiction]],Places[Jurisdiction],0))</f>
        <v>City</v>
      </c>
      <c r="C1068" s="19" t="str">
        <f>INDEX(Places[County],MATCH(Activities[[#This Row],[Jurisdiction]],Places[Jurisdiction],0))</f>
        <v>Orange</v>
      </c>
      <c r="D1068" s="9" t="str">
        <f>INDEX(Places[Majority RB],MATCH(Activities[[#This Row],[Jurisdiction]],Places[Jurisdiction],0))</f>
        <v>Santa Ana</v>
      </c>
      <c r="E1068" s="9">
        <f>INDEX(Places[Majority RB '#],MATCH(Activities[[#This Row],[Jurisdiction]],Places[Jurisdiction],0))</f>
        <v>8</v>
      </c>
      <c r="F1068" s="28" t="str">
        <f>VLOOKUP(Activities[[#This Row],[Jurisdiction]],Places[#All],8,FALSE)</f>
        <v>Phase I MS4</v>
      </c>
      <c r="G1068" s="48" t="s">
        <v>993</v>
      </c>
      <c r="H1068" s="8" t="s">
        <v>602</v>
      </c>
      <c r="I1068" s="8"/>
      <c r="J1068" s="8" t="s">
        <v>1897</v>
      </c>
      <c r="K1068" s="27" t="s">
        <v>1875</v>
      </c>
      <c r="L1068" s="28">
        <f>_xlfn.NUMBERVALUE(LEFT(Activities[[#This Row],[Fiscal Year]], 4))</f>
        <v>2001</v>
      </c>
      <c r="M1068" s="28" t="s">
        <v>1862</v>
      </c>
      <c r="N1068" s="41">
        <v>780000</v>
      </c>
      <c r="O1068" s="93">
        <f>IF(Activities[[#This Row],[Reference Year]]&gt;2018,Activities[[#This Row],[Value]],Activities[[#This Row],[Value]]*(1+VLOOKUP(Activities[[#This Row],[Reference Year]],Inflation[#All],3,FALSE)))</f>
        <v>1108256.2394127611</v>
      </c>
    </row>
    <row r="1069" spans="1:15" ht="15" customHeight="1" x14ac:dyDescent="0.25">
      <c r="A1069" s="9" t="s">
        <v>285</v>
      </c>
      <c r="B1069" s="9" t="str">
        <f>INDEX(Places[Type],MATCH(Activities[[#This Row],[Jurisdiction]],Places[Jurisdiction],0))</f>
        <v>City</v>
      </c>
      <c r="C1069" s="19" t="str">
        <f>INDEX(Places[County],MATCH(Activities[[#This Row],[Jurisdiction]],Places[Jurisdiction],0))</f>
        <v>Orange</v>
      </c>
      <c r="D1069" s="9" t="str">
        <f>INDEX(Places[Majority RB],MATCH(Activities[[#This Row],[Jurisdiction]],Places[Jurisdiction],0))</f>
        <v>Santa Ana</v>
      </c>
      <c r="E1069" s="9">
        <f>INDEX(Places[Majority RB '#],MATCH(Activities[[#This Row],[Jurisdiction]],Places[Jurisdiction],0))</f>
        <v>8</v>
      </c>
      <c r="F1069" s="28" t="str">
        <f>VLOOKUP(Activities[[#This Row],[Jurisdiction]],Places[#All],8,FALSE)</f>
        <v>Phase I MS4</v>
      </c>
      <c r="G1069" s="48" t="s">
        <v>1005</v>
      </c>
      <c r="H1069" s="8"/>
      <c r="I1069" s="8"/>
      <c r="J1069" s="8" t="s">
        <v>1898</v>
      </c>
      <c r="K1069" s="27" t="s">
        <v>1875</v>
      </c>
      <c r="L1069" s="28">
        <f>_xlfn.NUMBERVALUE(LEFT(Activities[[#This Row],[Fiscal Year]], 4))</f>
        <v>2001</v>
      </c>
      <c r="M1069" s="28" t="s">
        <v>1862</v>
      </c>
      <c r="N1069" s="41">
        <v>200</v>
      </c>
      <c r="O1069" s="93">
        <f>IF(Activities[[#This Row],[Reference Year]]&gt;2018,Activities[[#This Row],[Value]],Activities[[#This Row],[Value]]*(1+VLOOKUP(Activities[[#This Row],[Reference Year]],Inflation[#All],3,FALSE)))</f>
        <v>284.16826651609261</v>
      </c>
    </row>
    <row r="1070" spans="1:15" ht="15" customHeight="1" x14ac:dyDescent="0.25">
      <c r="A1070" s="9" t="s">
        <v>285</v>
      </c>
      <c r="B1070" s="9" t="str">
        <f>INDEX(Places[Type],MATCH(Activities[[#This Row],[Jurisdiction]],Places[Jurisdiction],0))</f>
        <v>City</v>
      </c>
      <c r="C1070" s="19" t="str">
        <f>INDEX(Places[County],MATCH(Activities[[#This Row],[Jurisdiction]],Places[Jurisdiction],0))</f>
        <v>Orange</v>
      </c>
      <c r="D1070" s="9" t="str">
        <f>INDEX(Places[Majority RB],MATCH(Activities[[#This Row],[Jurisdiction]],Places[Jurisdiction],0))</f>
        <v>Santa Ana</v>
      </c>
      <c r="E1070" s="9">
        <f>INDEX(Places[Majority RB '#],MATCH(Activities[[#This Row],[Jurisdiction]],Places[Jurisdiction],0))</f>
        <v>8</v>
      </c>
      <c r="F1070" s="28" t="str">
        <f>VLOOKUP(Activities[[#This Row],[Jurisdiction]],Places[#All],8,FALSE)</f>
        <v>Phase I MS4</v>
      </c>
      <c r="G1070" s="48" t="s">
        <v>1000</v>
      </c>
      <c r="H1070" s="8" t="s">
        <v>505</v>
      </c>
      <c r="I1070" s="8"/>
      <c r="J1070" s="8" t="s">
        <v>1456</v>
      </c>
      <c r="K1070" s="27" t="s">
        <v>1875</v>
      </c>
      <c r="L1070" s="28">
        <f>_xlfn.NUMBERVALUE(LEFT(Activities[[#This Row],[Fiscal Year]], 4))</f>
        <v>2001</v>
      </c>
      <c r="M1070" s="28" t="s">
        <v>1862</v>
      </c>
      <c r="N1070" s="41">
        <v>20000</v>
      </c>
      <c r="O1070" s="93">
        <f>IF(Activities[[#This Row],[Reference Year]]&gt;2018,Activities[[#This Row],[Value]],Activities[[#This Row],[Value]]*(1+VLOOKUP(Activities[[#This Row],[Reference Year]],Inflation[#All],3,FALSE)))</f>
        <v>28416.826651609259</v>
      </c>
    </row>
    <row r="1071" spans="1:15" ht="15" customHeight="1" x14ac:dyDescent="0.25">
      <c r="A1071" s="9" t="s">
        <v>285</v>
      </c>
      <c r="B1071" s="9" t="str">
        <f>INDEX(Places[Type],MATCH(Activities[[#This Row],[Jurisdiction]],Places[Jurisdiction],0))</f>
        <v>City</v>
      </c>
      <c r="C1071" s="19" t="str">
        <f>INDEX(Places[County],MATCH(Activities[[#This Row],[Jurisdiction]],Places[Jurisdiction],0))</f>
        <v>Orange</v>
      </c>
      <c r="D1071" s="9" t="str">
        <f>INDEX(Places[Majority RB],MATCH(Activities[[#This Row],[Jurisdiction]],Places[Jurisdiction],0))</f>
        <v>Santa Ana</v>
      </c>
      <c r="E1071" s="9">
        <f>INDEX(Places[Majority RB '#],MATCH(Activities[[#This Row],[Jurisdiction]],Places[Jurisdiction],0))</f>
        <v>8</v>
      </c>
      <c r="F1071" s="28" t="str">
        <f>VLOOKUP(Activities[[#This Row],[Jurisdiction]],Places[#All],8,FALSE)</f>
        <v>Phase I MS4</v>
      </c>
      <c r="G1071" s="48" t="s">
        <v>991</v>
      </c>
      <c r="H1071" s="8" t="s">
        <v>503</v>
      </c>
      <c r="I1071" s="8"/>
      <c r="J1071" s="8" t="s">
        <v>1894</v>
      </c>
      <c r="K1071" s="27" t="s">
        <v>1875</v>
      </c>
      <c r="L1071" s="28">
        <f>_xlfn.NUMBERVALUE(LEFT(Activities[[#This Row],[Fiscal Year]], 4))</f>
        <v>2001</v>
      </c>
      <c r="M1071" s="28" t="s">
        <v>1862</v>
      </c>
      <c r="N1071" s="41">
        <v>36000</v>
      </c>
      <c r="O1071" s="93">
        <f>IF(Activities[[#This Row],[Reference Year]]&gt;2018,Activities[[#This Row],[Value]],Activities[[#This Row],[Value]]*(1+VLOOKUP(Activities[[#This Row],[Reference Year]],Inflation[#All],3,FALSE)))</f>
        <v>51150.287972896665</v>
      </c>
    </row>
    <row r="1072" spans="1:15" ht="15" customHeight="1" x14ac:dyDescent="0.25">
      <c r="A1072" s="9" t="s">
        <v>169</v>
      </c>
      <c r="B1072" s="9" t="str">
        <f>INDEX(Places[Type],MATCH(Activities[[#This Row],[Jurisdiction]],Places[Jurisdiction],0))</f>
        <v>City</v>
      </c>
      <c r="C1072" s="19" t="str">
        <f>INDEX(Places[County],MATCH(Activities[[#This Row],[Jurisdiction]],Places[Jurisdiction],0))</f>
        <v>Los Angeles</v>
      </c>
      <c r="D1072" s="19" t="str">
        <f>INDEX(Places[Majority RB],MATCH(Activities[[#This Row],[Jurisdiction]],Places[Jurisdiction],0))</f>
        <v>Los Angeles</v>
      </c>
      <c r="E1072" s="9">
        <f>INDEX(Places[Majority RB '#],MATCH(Activities[[#This Row],[Jurisdiction]],Places[Jurisdiction],0))</f>
        <v>4</v>
      </c>
      <c r="F1072" s="28" t="str">
        <f>VLOOKUP(Activities[[#This Row],[Jurisdiction]],Places[#All],8,FALSE)</f>
        <v>Phase I MS4</v>
      </c>
      <c r="G1072" s="48" t="s">
        <v>62</v>
      </c>
      <c r="H1072" s="8"/>
      <c r="I1072" s="8"/>
      <c r="J1072" s="8" t="s">
        <v>131</v>
      </c>
      <c r="K1072" s="27" t="s">
        <v>1873</v>
      </c>
      <c r="L1072" s="28">
        <f>_xlfn.NUMBERVALUE(LEFT(Activities[[#This Row],[Fiscal Year]], 4))</f>
        <v>2015</v>
      </c>
      <c r="M1072" s="28" t="s">
        <v>1862</v>
      </c>
      <c r="N1072" s="41">
        <v>10000</v>
      </c>
      <c r="O1072" s="93">
        <f>IF(Activities[[#This Row],[Reference Year]]&gt;2018,Activities[[#This Row],[Value]],Activities[[#This Row],[Value]]*(1+VLOOKUP(Activities[[#This Row],[Reference Year]],Inflation[#All],3,FALSE)))</f>
        <v>10617.341772151898</v>
      </c>
    </row>
    <row r="1073" spans="1:15" ht="15" customHeight="1" x14ac:dyDescent="0.25">
      <c r="A1073" s="9" t="s">
        <v>169</v>
      </c>
      <c r="B1073" s="9" t="str">
        <f>INDEX(Places[Type],MATCH(Activities[[#This Row],[Jurisdiction]],Places[Jurisdiction],0))</f>
        <v>City</v>
      </c>
      <c r="C1073" s="19" t="str">
        <f>INDEX(Places[County],MATCH(Activities[[#This Row],[Jurisdiction]],Places[Jurisdiction],0))</f>
        <v>Los Angeles</v>
      </c>
      <c r="D1073" s="19" t="str">
        <f>INDEX(Places[Majority RB],MATCH(Activities[[#This Row],[Jurisdiction]],Places[Jurisdiction],0))</f>
        <v>Los Angeles</v>
      </c>
      <c r="E1073" s="9">
        <f>INDEX(Places[Majority RB '#],MATCH(Activities[[#This Row],[Jurisdiction]],Places[Jurisdiction],0))</f>
        <v>4</v>
      </c>
      <c r="F1073" s="28" t="str">
        <f>VLOOKUP(Activities[[#This Row],[Jurisdiction]],Places[#All],8,FALSE)</f>
        <v>Phase I MS4</v>
      </c>
      <c r="G1073" s="48" t="s">
        <v>208</v>
      </c>
      <c r="H1073" s="8"/>
      <c r="I1073" s="8"/>
      <c r="J1073" s="8" t="s">
        <v>334</v>
      </c>
      <c r="K1073" s="27" t="s">
        <v>1873</v>
      </c>
      <c r="L1073" s="28">
        <f>_xlfn.NUMBERVALUE(LEFT(Activities[[#This Row],[Fiscal Year]], 4))</f>
        <v>2015</v>
      </c>
      <c r="M1073" s="28" t="s">
        <v>1862</v>
      </c>
      <c r="N1073" s="41">
        <v>19536</v>
      </c>
      <c r="O1073" s="93">
        <f>IF(Activities[[#This Row],[Reference Year]]&gt;2018,Activities[[#This Row],[Value]],Activities[[#This Row],[Value]]*(1+VLOOKUP(Activities[[#This Row],[Reference Year]],Inflation[#All],3,FALSE)))</f>
        <v>20742.038886075949</v>
      </c>
    </row>
    <row r="1074" spans="1:15" ht="15" customHeight="1" x14ac:dyDescent="0.25">
      <c r="A1074" s="9" t="s">
        <v>169</v>
      </c>
      <c r="B1074" s="9" t="str">
        <f>INDEX(Places[Type],MATCH(Activities[[#This Row],[Jurisdiction]],Places[Jurisdiction],0))</f>
        <v>City</v>
      </c>
      <c r="C1074" s="19" t="str">
        <f>INDEX(Places[County],MATCH(Activities[[#This Row],[Jurisdiction]],Places[Jurisdiction],0))</f>
        <v>Los Angeles</v>
      </c>
      <c r="D1074" s="19" t="str">
        <f>INDEX(Places[Majority RB],MATCH(Activities[[#This Row],[Jurisdiction]],Places[Jurisdiction],0))</f>
        <v>Los Angeles</v>
      </c>
      <c r="E1074" s="9">
        <f>INDEX(Places[Majority RB '#],MATCH(Activities[[#This Row],[Jurisdiction]],Places[Jurisdiction],0))</f>
        <v>4</v>
      </c>
      <c r="F1074" s="28" t="str">
        <f>VLOOKUP(Activities[[#This Row],[Jurisdiction]],Places[#All],8,FALSE)</f>
        <v>Phase I MS4</v>
      </c>
      <c r="G1074" s="48" t="s">
        <v>61</v>
      </c>
      <c r="H1074" s="8"/>
      <c r="I1074" s="8"/>
      <c r="J1074" s="8" t="s">
        <v>1897</v>
      </c>
      <c r="K1074" s="27" t="s">
        <v>1873</v>
      </c>
      <c r="L1074" s="28">
        <f>_xlfn.NUMBERVALUE(LEFT(Activities[[#This Row],[Fiscal Year]], 4))</f>
        <v>2015</v>
      </c>
      <c r="M1074" s="28" t="s">
        <v>1862</v>
      </c>
      <c r="N1074" s="41">
        <v>860610.5</v>
      </c>
      <c r="O1074" s="93">
        <f>IF(Activities[[#This Row],[Reference Year]]&gt;2018,Activities[[#This Row],[Value]],Activities[[#This Row],[Value]]*(1+VLOOKUP(Activities[[#This Row],[Reference Year]],Inflation[#All],3,FALSE)))</f>
        <v>913739.58112025307</v>
      </c>
    </row>
    <row r="1075" spans="1:15" ht="15" customHeight="1" x14ac:dyDescent="0.25">
      <c r="A1075" s="9" t="s">
        <v>169</v>
      </c>
      <c r="B1075" s="9" t="str">
        <f>INDEX(Places[Type],MATCH(Activities[[#This Row],[Jurisdiction]],Places[Jurisdiction],0))</f>
        <v>City</v>
      </c>
      <c r="C1075" s="19" t="str">
        <f>INDEX(Places[County],MATCH(Activities[[#This Row],[Jurisdiction]],Places[Jurisdiction],0))</f>
        <v>Los Angeles</v>
      </c>
      <c r="D1075" s="19" t="str">
        <f>INDEX(Places[Majority RB],MATCH(Activities[[#This Row],[Jurisdiction]],Places[Jurisdiction],0))</f>
        <v>Los Angeles</v>
      </c>
      <c r="E1075" s="9">
        <f>INDEX(Places[Majority RB '#],MATCH(Activities[[#This Row],[Jurisdiction]],Places[Jurisdiction],0))</f>
        <v>4</v>
      </c>
      <c r="F1075" s="28" t="str">
        <f>VLOOKUP(Activities[[#This Row],[Jurisdiction]],Places[#All],8,FALSE)</f>
        <v>Phase I MS4</v>
      </c>
      <c r="G1075" s="48" t="s">
        <v>60</v>
      </c>
      <c r="H1075" s="8"/>
      <c r="I1075" s="8"/>
      <c r="J1075" s="8" t="s">
        <v>1898</v>
      </c>
      <c r="K1075" s="27" t="s">
        <v>1873</v>
      </c>
      <c r="L1075" s="28">
        <f>_xlfn.NUMBERVALUE(LEFT(Activities[[#This Row],[Fiscal Year]], 4))</f>
        <v>2015</v>
      </c>
      <c r="M1075" s="28" t="s">
        <v>1862</v>
      </c>
      <c r="N1075" s="41">
        <v>12372.5</v>
      </c>
      <c r="O1075" s="93">
        <f>IF(Activities[[#This Row],[Reference Year]]&gt;2018,Activities[[#This Row],[Value]],Activities[[#This Row],[Value]]*(1+VLOOKUP(Activities[[#This Row],[Reference Year]],Inflation[#All],3,FALSE)))</f>
        <v>13136.306107594935</v>
      </c>
    </row>
    <row r="1076" spans="1:15" ht="15" customHeight="1" x14ac:dyDescent="0.25">
      <c r="A1076" s="9" t="s">
        <v>169</v>
      </c>
      <c r="B1076" s="9" t="str">
        <f>INDEX(Places[Type],MATCH(Activities[[#This Row],[Jurisdiction]],Places[Jurisdiction],0))</f>
        <v>City</v>
      </c>
      <c r="C1076" s="19" t="str">
        <f>INDEX(Places[County],MATCH(Activities[[#This Row],[Jurisdiction]],Places[Jurisdiction],0))</f>
        <v>Los Angeles</v>
      </c>
      <c r="D1076" s="19" t="str">
        <f>INDEX(Places[Majority RB],MATCH(Activities[[#This Row],[Jurisdiction]],Places[Jurisdiction],0))</f>
        <v>Los Angeles</v>
      </c>
      <c r="E1076" s="9">
        <f>INDEX(Places[Majority RB '#],MATCH(Activities[[#This Row],[Jurisdiction]],Places[Jurisdiction],0))</f>
        <v>4</v>
      </c>
      <c r="F1076" s="28" t="str">
        <f>VLOOKUP(Activities[[#This Row],[Jurisdiction]],Places[#All],8,FALSE)</f>
        <v>Phase I MS4</v>
      </c>
      <c r="G1076" s="48" t="s">
        <v>59</v>
      </c>
      <c r="H1076" s="8"/>
      <c r="I1076" s="8"/>
      <c r="J1076" s="8" t="s">
        <v>1898</v>
      </c>
      <c r="K1076" s="27" t="s">
        <v>1873</v>
      </c>
      <c r="L1076" s="28">
        <f>_xlfn.NUMBERVALUE(LEFT(Activities[[#This Row],[Fiscal Year]], 4))</f>
        <v>2015</v>
      </c>
      <c r="M1076" s="28" t="s">
        <v>1862</v>
      </c>
      <c r="N1076" s="41">
        <v>27400.63</v>
      </c>
      <c r="O1076" s="93">
        <f>IF(Activities[[#This Row],[Reference Year]]&gt;2018,Activities[[#This Row],[Value]],Activities[[#This Row],[Value]]*(1+VLOOKUP(Activities[[#This Row],[Reference Year]],Inflation[#All],3,FALSE)))</f>
        <v>29092.185348227846</v>
      </c>
    </row>
    <row r="1077" spans="1:15" ht="15" customHeight="1" x14ac:dyDescent="0.25">
      <c r="A1077" s="9" t="s">
        <v>169</v>
      </c>
      <c r="B1077" s="9" t="str">
        <f>INDEX(Places[Type],MATCH(Activities[[#This Row],[Jurisdiction]],Places[Jurisdiction],0))</f>
        <v>City</v>
      </c>
      <c r="C1077" s="19" t="str">
        <f>INDEX(Places[County],MATCH(Activities[[#This Row],[Jurisdiction]],Places[Jurisdiction],0))</f>
        <v>Los Angeles</v>
      </c>
      <c r="D1077" s="19" t="str">
        <f>INDEX(Places[Majority RB],MATCH(Activities[[#This Row],[Jurisdiction]],Places[Jurisdiction],0))</f>
        <v>Los Angeles</v>
      </c>
      <c r="E1077" s="9">
        <f>INDEX(Places[Majority RB '#],MATCH(Activities[[#This Row],[Jurisdiction]],Places[Jurisdiction],0))</f>
        <v>4</v>
      </c>
      <c r="F1077" s="28" t="str">
        <f>VLOOKUP(Activities[[#This Row],[Jurisdiction]],Places[#All],8,FALSE)</f>
        <v>Phase I MS4</v>
      </c>
      <c r="G1077" s="48" t="s">
        <v>58</v>
      </c>
      <c r="H1077" s="8"/>
      <c r="I1077" s="8"/>
      <c r="J1077" s="8" t="s">
        <v>1456</v>
      </c>
      <c r="K1077" s="27" t="s">
        <v>1873</v>
      </c>
      <c r="L1077" s="28">
        <f>_xlfn.NUMBERVALUE(LEFT(Activities[[#This Row],[Fiscal Year]], 4))</f>
        <v>2015</v>
      </c>
      <c r="M1077" s="28" t="s">
        <v>1862</v>
      </c>
      <c r="N1077" s="41">
        <v>3302.75</v>
      </c>
      <c r="O1077" s="93">
        <f>IF(Activities[[#This Row],[Reference Year]]&gt;2018,Activities[[#This Row],[Value]],Activities[[#This Row],[Value]]*(1+VLOOKUP(Activities[[#This Row],[Reference Year]],Inflation[#All],3,FALSE)))</f>
        <v>3506.6425537974683</v>
      </c>
    </row>
    <row r="1078" spans="1:15" ht="15" customHeight="1" x14ac:dyDescent="0.25">
      <c r="A1078" s="9" t="s">
        <v>169</v>
      </c>
      <c r="B1078" s="9" t="str">
        <f>INDEX(Places[Type],MATCH(Activities[[#This Row],[Jurisdiction]],Places[Jurisdiction],0))</f>
        <v>City</v>
      </c>
      <c r="C1078" s="19" t="str">
        <f>INDEX(Places[County],MATCH(Activities[[#This Row],[Jurisdiction]],Places[Jurisdiction],0))</f>
        <v>Los Angeles</v>
      </c>
      <c r="D1078" s="19" t="str">
        <f>INDEX(Places[Majority RB],MATCH(Activities[[#This Row],[Jurisdiction]],Places[Jurisdiction],0))</f>
        <v>Los Angeles</v>
      </c>
      <c r="E1078" s="9">
        <f>INDEX(Places[Majority RB '#],MATCH(Activities[[#This Row],[Jurisdiction]],Places[Jurisdiction],0))</f>
        <v>4</v>
      </c>
      <c r="F1078" s="28" t="str">
        <f>VLOOKUP(Activities[[#This Row],[Jurisdiction]],Places[#All],8,FALSE)</f>
        <v>Phase I MS4</v>
      </c>
      <c r="G1078" s="48" t="s">
        <v>32</v>
      </c>
      <c r="H1078" s="8"/>
      <c r="I1078" s="8"/>
      <c r="J1078" s="8" t="s">
        <v>1894</v>
      </c>
      <c r="K1078" s="27" t="s">
        <v>1873</v>
      </c>
      <c r="L1078" s="28">
        <f>_xlfn.NUMBERVALUE(LEFT(Activities[[#This Row],[Fiscal Year]], 4))</f>
        <v>2015</v>
      </c>
      <c r="M1078" s="28" t="s">
        <v>1862</v>
      </c>
      <c r="N1078" s="41">
        <v>92668</v>
      </c>
      <c r="O1078" s="93">
        <f>IF(Activities[[#This Row],[Reference Year]]&gt;2018,Activities[[#This Row],[Value]],Activities[[#This Row],[Value]]*(1+VLOOKUP(Activities[[#This Row],[Reference Year]],Inflation[#All],3,FALSE)))</f>
        <v>98388.782734177206</v>
      </c>
    </row>
    <row r="1079" spans="1:15" ht="15" customHeight="1" x14ac:dyDescent="0.25">
      <c r="A1079" s="9" t="s">
        <v>169</v>
      </c>
      <c r="B1079" s="9" t="str">
        <f>INDEX(Places[Type],MATCH(Activities[[#This Row],[Jurisdiction]],Places[Jurisdiction],0))</f>
        <v>City</v>
      </c>
      <c r="C1079" s="19" t="str">
        <f>INDEX(Places[County],MATCH(Activities[[#This Row],[Jurisdiction]],Places[Jurisdiction],0))</f>
        <v>Los Angeles</v>
      </c>
      <c r="D1079" s="19" t="str">
        <f>INDEX(Places[Majority RB],MATCH(Activities[[#This Row],[Jurisdiction]],Places[Jurisdiction],0))</f>
        <v>Los Angeles</v>
      </c>
      <c r="E1079" s="9">
        <f>INDEX(Places[Majority RB '#],MATCH(Activities[[#This Row],[Jurisdiction]],Places[Jurisdiction],0))</f>
        <v>4</v>
      </c>
      <c r="F1079" s="28" t="str">
        <f>VLOOKUP(Activities[[#This Row],[Jurisdiction]],Places[#All],8,FALSE)</f>
        <v>Phase I MS4</v>
      </c>
      <c r="G1079" s="48" t="s">
        <v>67</v>
      </c>
      <c r="H1079" s="8" t="s">
        <v>918</v>
      </c>
      <c r="I1079" s="8" t="s">
        <v>429</v>
      </c>
      <c r="J1079" s="8" t="s">
        <v>1896</v>
      </c>
      <c r="K1079" s="27" t="s">
        <v>1873</v>
      </c>
      <c r="L1079" s="28">
        <f>_xlfn.NUMBERVALUE(LEFT(Activities[[#This Row],[Fiscal Year]], 4))</f>
        <v>2015</v>
      </c>
      <c r="M1079" s="28" t="s">
        <v>1862</v>
      </c>
      <c r="N1079" s="41">
        <v>13044</v>
      </c>
      <c r="O1079" s="93">
        <f>IF(Activities[[#This Row],[Reference Year]]&gt;2018,Activities[[#This Row],[Value]],Activities[[#This Row],[Value]]*(1+VLOOKUP(Activities[[#This Row],[Reference Year]],Inflation[#All],3,FALSE)))</f>
        <v>13849.260607594935</v>
      </c>
    </row>
    <row r="1080" spans="1:15" ht="15" customHeight="1" x14ac:dyDescent="0.25">
      <c r="A1080" s="9" t="s">
        <v>169</v>
      </c>
      <c r="B1080" s="9" t="str">
        <f>INDEX(Places[Type],MATCH(Activities[[#This Row],[Jurisdiction]],Places[Jurisdiction],0))</f>
        <v>City</v>
      </c>
      <c r="C1080" s="19" t="str">
        <f>INDEX(Places[County],MATCH(Activities[[#This Row],[Jurisdiction]],Places[Jurisdiction],0))</f>
        <v>Los Angeles</v>
      </c>
      <c r="D1080" s="19" t="str">
        <f>INDEX(Places[Majority RB],MATCH(Activities[[#This Row],[Jurisdiction]],Places[Jurisdiction],0))</f>
        <v>Los Angeles</v>
      </c>
      <c r="E1080" s="9">
        <f>INDEX(Places[Majority RB '#],MATCH(Activities[[#This Row],[Jurisdiction]],Places[Jurisdiction],0))</f>
        <v>4</v>
      </c>
      <c r="F1080" s="28" t="str">
        <f>VLOOKUP(Activities[[#This Row],[Jurisdiction]],Places[#All],8,FALSE)</f>
        <v>Phase I MS4</v>
      </c>
      <c r="G1080" s="48" t="s">
        <v>33</v>
      </c>
      <c r="H1080" s="8"/>
      <c r="I1080" s="8"/>
      <c r="J1080" s="8" t="s">
        <v>47</v>
      </c>
      <c r="K1080" s="27" t="s">
        <v>1873</v>
      </c>
      <c r="L1080" s="28">
        <f>_xlfn.NUMBERVALUE(LEFT(Activities[[#This Row],[Fiscal Year]], 4))</f>
        <v>2015</v>
      </c>
      <c r="M1080" s="28" t="s">
        <v>1862</v>
      </c>
      <c r="N1080" s="41">
        <v>2249.25</v>
      </c>
      <c r="O1080" s="93">
        <f>IF(Activities[[#This Row],[Reference Year]]&gt;2018,Activities[[#This Row],[Value]],Activities[[#This Row],[Value]]*(1+VLOOKUP(Activities[[#This Row],[Reference Year]],Inflation[#All],3,FALSE)))</f>
        <v>2388.1055981012655</v>
      </c>
    </row>
    <row r="1081" spans="1:15" ht="15" customHeight="1" x14ac:dyDescent="0.25">
      <c r="A1081" s="9" t="s">
        <v>305</v>
      </c>
      <c r="B1081" s="9" t="str">
        <f>INDEX(Places[Type],MATCH(Activities[[#This Row],[Jurisdiction]],Places[Jurisdiction],0))</f>
        <v>City</v>
      </c>
      <c r="C1081" s="19" t="str">
        <f>INDEX(Places[County],MATCH(Activities[[#This Row],[Jurisdiction]],Places[Jurisdiction],0))</f>
        <v>San Diego</v>
      </c>
      <c r="D1081" s="9" t="str">
        <f>INDEX(Places[Majority RB],MATCH(Activities[[#This Row],[Jurisdiction]],Places[Jurisdiction],0))</f>
        <v>San Diego</v>
      </c>
      <c r="E1081" s="9">
        <f>INDEX(Places[Majority RB '#],MATCH(Activities[[#This Row],[Jurisdiction]],Places[Jurisdiction],0))</f>
        <v>9</v>
      </c>
      <c r="F1081" s="28" t="str">
        <f>VLOOKUP(Activities[[#This Row],[Jurisdiction]],Places[#All],8,FALSE)</f>
        <v>Phase I MS4</v>
      </c>
      <c r="G1081" s="48" t="s">
        <v>70</v>
      </c>
      <c r="H1081" s="8"/>
      <c r="I1081" s="8"/>
      <c r="J1081" s="8" t="s">
        <v>1895</v>
      </c>
      <c r="K1081" s="27" t="s">
        <v>1874</v>
      </c>
      <c r="L1081" s="28">
        <f>_xlfn.NUMBERVALUE(LEFT(Activities[[#This Row],[Fiscal Year]], 4))</f>
        <v>2017</v>
      </c>
      <c r="M1081" s="28" t="s">
        <v>1862</v>
      </c>
      <c r="N1081" s="41">
        <v>397176</v>
      </c>
      <c r="O1081" s="93">
        <f>IF(Activities[[#This Row],[Reference Year]]&gt;2018,Activities[[#This Row],[Value]],Activities[[#This Row],[Value]]*(1+VLOOKUP(Activities[[#This Row],[Reference Year]],Inflation[#All],3,FALSE)))</f>
        <v>407759.25767441868</v>
      </c>
    </row>
    <row r="1082" spans="1:15" ht="15" customHeight="1" x14ac:dyDescent="0.25">
      <c r="A1082" s="9" t="s">
        <v>305</v>
      </c>
      <c r="B1082" s="9" t="str">
        <f>INDEX(Places[Type],MATCH(Activities[[#This Row],[Jurisdiction]],Places[Jurisdiction],0))</f>
        <v>City</v>
      </c>
      <c r="C1082" s="19" t="str">
        <f>INDEX(Places[County],MATCH(Activities[[#This Row],[Jurisdiction]],Places[Jurisdiction],0))</f>
        <v>San Diego</v>
      </c>
      <c r="D1082" s="9" t="str">
        <f>INDEX(Places[Majority RB],MATCH(Activities[[#This Row],[Jurisdiction]],Places[Jurisdiction],0))</f>
        <v>San Diego</v>
      </c>
      <c r="E1082" s="9">
        <f>INDEX(Places[Majority RB '#],MATCH(Activities[[#This Row],[Jurisdiction]],Places[Jurisdiction],0))</f>
        <v>9</v>
      </c>
      <c r="F1082" s="28" t="str">
        <f>VLOOKUP(Activities[[#This Row],[Jurisdiction]],Places[#All],8,FALSE)</f>
        <v>Phase I MS4</v>
      </c>
      <c r="G1082" s="48" t="s">
        <v>338</v>
      </c>
      <c r="H1082" s="8"/>
      <c r="I1082" s="8"/>
      <c r="J1082" s="8" t="s">
        <v>131</v>
      </c>
      <c r="K1082" s="27" t="s">
        <v>1874</v>
      </c>
      <c r="L1082" s="28">
        <f>_xlfn.NUMBERVALUE(LEFT(Activities[[#This Row],[Fiscal Year]], 4))</f>
        <v>2017</v>
      </c>
      <c r="M1082" s="28" t="s">
        <v>1862</v>
      </c>
      <c r="N1082" s="41">
        <v>92892</v>
      </c>
      <c r="O1082" s="93">
        <f>IF(Activities[[#This Row],[Reference Year]]&gt;2018,Activities[[#This Row],[Value]],Activities[[#This Row],[Value]]*(1+VLOOKUP(Activities[[#This Row],[Reference Year]],Inflation[#All],3,FALSE)))</f>
        <v>95367.225018359866</v>
      </c>
    </row>
    <row r="1083" spans="1:15" ht="15" customHeight="1" x14ac:dyDescent="0.25">
      <c r="A1083" s="9" t="s">
        <v>305</v>
      </c>
      <c r="B1083" s="9" t="str">
        <f>INDEX(Places[Type],MATCH(Activities[[#This Row],[Jurisdiction]],Places[Jurisdiction],0))</f>
        <v>City</v>
      </c>
      <c r="C1083" s="19" t="str">
        <f>INDEX(Places[County],MATCH(Activities[[#This Row],[Jurisdiction]],Places[Jurisdiction],0))</f>
        <v>San Diego</v>
      </c>
      <c r="D1083" s="9" t="str">
        <f>INDEX(Places[Majority RB],MATCH(Activities[[#This Row],[Jurisdiction]],Places[Jurisdiction],0))</f>
        <v>San Diego</v>
      </c>
      <c r="E1083" s="9">
        <f>INDEX(Places[Majority RB '#],MATCH(Activities[[#This Row],[Jurisdiction]],Places[Jurisdiction],0))</f>
        <v>9</v>
      </c>
      <c r="F1083" s="28" t="str">
        <f>VLOOKUP(Activities[[#This Row],[Jurisdiction]],Places[#All],8,FALSE)</f>
        <v>Phase I MS4</v>
      </c>
      <c r="G1083" s="48" t="s">
        <v>208</v>
      </c>
      <c r="H1083" s="8"/>
      <c r="I1083" s="8"/>
      <c r="J1083" s="8" t="s">
        <v>334</v>
      </c>
      <c r="K1083" s="27" t="s">
        <v>1874</v>
      </c>
      <c r="L1083" s="28">
        <f>_xlfn.NUMBERVALUE(LEFT(Activities[[#This Row],[Fiscal Year]], 4))</f>
        <v>2017</v>
      </c>
      <c r="M1083" s="28" t="s">
        <v>1862</v>
      </c>
      <c r="N1083" s="41">
        <v>356304</v>
      </c>
      <c r="O1083" s="93">
        <f>IF(Activities[[#This Row],[Reference Year]]&gt;2018,Activities[[#This Row],[Value]],Activities[[#This Row],[Value]]*(1+VLOOKUP(Activities[[#This Row],[Reference Year]],Inflation[#All],3,FALSE)))</f>
        <v>365798.17145654839</v>
      </c>
    </row>
    <row r="1084" spans="1:15" ht="15" customHeight="1" x14ac:dyDescent="0.25">
      <c r="A1084" s="9" t="s">
        <v>305</v>
      </c>
      <c r="B1084" s="9" t="str">
        <f>INDEX(Places[Type],MATCH(Activities[[#This Row],[Jurisdiction]],Places[Jurisdiction],0))</f>
        <v>City</v>
      </c>
      <c r="C1084" s="19" t="str">
        <f>INDEX(Places[County],MATCH(Activities[[#This Row],[Jurisdiction]],Places[Jurisdiction],0))</f>
        <v>San Diego</v>
      </c>
      <c r="D1084" s="9" t="str">
        <f>INDEX(Places[Majority RB],MATCH(Activities[[#This Row],[Jurisdiction]],Places[Jurisdiction],0))</f>
        <v>San Diego</v>
      </c>
      <c r="E1084" s="9">
        <f>INDEX(Places[Majority RB '#],MATCH(Activities[[#This Row],[Jurisdiction]],Places[Jurisdiction],0))</f>
        <v>9</v>
      </c>
      <c r="F1084" s="28" t="str">
        <f>VLOOKUP(Activities[[#This Row],[Jurisdiction]],Places[#All],8,FALSE)</f>
        <v>Phase I MS4</v>
      </c>
      <c r="G1084" s="48" t="s">
        <v>337</v>
      </c>
      <c r="H1084" s="8" t="s">
        <v>676</v>
      </c>
      <c r="I1084" s="8" t="s">
        <v>675</v>
      </c>
      <c r="J1084" s="8" t="s">
        <v>1897</v>
      </c>
      <c r="K1084" s="27" t="s">
        <v>1874</v>
      </c>
      <c r="L1084" s="28">
        <f>_xlfn.NUMBERVALUE(LEFT(Activities[[#This Row],[Fiscal Year]], 4))</f>
        <v>2017</v>
      </c>
      <c r="M1084" s="28" t="s">
        <v>1862</v>
      </c>
      <c r="N1084" s="41">
        <v>2269179</v>
      </c>
      <c r="O1084" s="93">
        <f>IF(Activities[[#This Row],[Reference Year]]&gt;2018,Activities[[#This Row],[Value]],Activities[[#This Row],[Value]]*(1+VLOOKUP(Activities[[#This Row],[Reference Year]],Inflation[#All],3,FALSE)))</f>
        <v>2329644.1491187275</v>
      </c>
    </row>
    <row r="1085" spans="1:15" ht="15" customHeight="1" x14ac:dyDescent="0.25">
      <c r="A1085" s="9" t="s">
        <v>305</v>
      </c>
      <c r="B1085" s="9" t="str">
        <f>INDEX(Places[Type],MATCH(Activities[[#This Row],[Jurisdiction]],Places[Jurisdiction],0))</f>
        <v>City</v>
      </c>
      <c r="C1085" s="19" t="str">
        <f>INDEX(Places[County],MATCH(Activities[[#This Row],[Jurisdiction]],Places[Jurisdiction],0))</f>
        <v>San Diego</v>
      </c>
      <c r="D1085" s="9" t="str">
        <f>INDEX(Places[Majority RB],MATCH(Activities[[#This Row],[Jurisdiction]],Places[Jurisdiction],0))</f>
        <v>San Diego</v>
      </c>
      <c r="E1085" s="9">
        <f>INDEX(Places[Majority RB '#],MATCH(Activities[[#This Row],[Jurisdiction]],Places[Jurisdiction],0))</f>
        <v>9</v>
      </c>
      <c r="F1085" s="28" t="str">
        <f>VLOOKUP(Activities[[#This Row],[Jurisdiction]],Places[#All],8,FALSE)</f>
        <v>Phase I MS4</v>
      </c>
      <c r="G1085" s="48" t="s">
        <v>209</v>
      </c>
      <c r="H1085" s="8"/>
      <c r="I1085" s="8"/>
      <c r="J1085" s="8" t="s">
        <v>1898</v>
      </c>
      <c r="K1085" s="27" t="s">
        <v>1874</v>
      </c>
      <c r="L1085" s="28">
        <f>_xlfn.NUMBERVALUE(LEFT(Activities[[#This Row],[Fiscal Year]], 4))</f>
        <v>2017</v>
      </c>
      <c r="M1085" s="28" t="s">
        <v>1862</v>
      </c>
      <c r="N1085" s="41">
        <v>318419</v>
      </c>
      <c r="O1085" s="93">
        <f>IF(Activities[[#This Row],[Reference Year]]&gt;2018,Activities[[#This Row],[Value]],Activities[[#This Row],[Value]]*(1+VLOOKUP(Activities[[#This Row],[Reference Year]],Inflation[#All],3,FALSE)))</f>
        <v>326903.67763769894</v>
      </c>
    </row>
    <row r="1086" spans="1:15" ht="15" customHeight="1" x14ac:dyDescent="0.25">
      <c r="A1086" s="9" t="s">
        <v>305</v>
      </c>
      <c r="B1086" s="9" t="str">
        <f>INDEX(Places[Type],MATCH(Activities[[#This Row],[Jurisdiction]],Places[Jurisdiction],0))</f>
        <v>City</v>
      </c>
      <c r="C1086" s="19" t="str">
        <f>INDEX(Places[County],MATCH(Activities[[#This Row],[Jurisdiction]],Places[Jurisdiction],0))</f>
        <v>San Diego</v>
      </c>
      <c r="D1086" s="9" t="str">
        <f>INDEX(Places[Majority RB],MATCH(Activities[[#This Row],[Jurisdiction]],Places[Jurisdiction],0))</f>
        <v>San Diego</v>
      </c>
      <c r="E1086" s="9">
        <f>INDEX(Places[Majority RB '#],MATCH(Activities[[#This Row],[Jurisdiction]],Places[Jurisdiction],0))</f>
        <v>9</v>
      </c>
      <c r="F1086" s="28" t="str">
        <f>VLOOKUP(Activities[[#This Row],[Jurisdiction]],Places[#All],8,FALSE)</f>
        <v>Phase I MS4</v>
      </c>
      <c r="G1086" s="48" t="s">
        <v>335</v>
      </c>
      <c r="H1086" s="8"/>
      <c r="I1086" s="8"/>
      <c r="J1086" s="8" t="s">
        <v>1456</v>
      </c>
      <c r="K1086" s="27" t="s">
        <v>1874</v>
      </c>
      <c r="L1086" s="28">
        <f>_xlfn.NUMBERVALUE(LEFT(Activities[[#This Row],[Fiscal Year]], 4))</f>
        <v>2017</v>
      </c>
      <c r="M1086" s="28" t="s">
        <v>1862</v>
      </c>
      <c r="N1086" s="41">
        <v>93023</v>
      </c>
      <c r="O1086" s="93">
        <f>IF(Activities[[#This Row],[Reference Year]]&gt;2018,Activities[[#This Row],[Value]],Activities[[#This Row],[Value]]*(1+VLOOKUP(Activities[[#This Row],[Reference Year]],Inflation[#All],3,FALSE)))</f>
        <v>95501.715679314584</v>
      </c>
    </row>
    <row r="1087" spans="1:15" ht="15" customHeight="1" x14ac:dyDescent="0.25">
      <c r="A1087" s="9" t="s">
        <v>305</v>
      </c>
      <c r="B1087" s="9" t="str">
        <f>INDEX(Places[Type],MATCH(Activities[[#This Row],[Jurisdiction]],Places[Jurisdiction],0))</f>
        <v>City</v>
      </c>
      <c r="C1087" s="19" t="str">
        <f>INDEX(Places[County],MATCH(Activities[[#This Row],[Jurisdiction]],Places[Jurisdiction],0))</f>
        <v>San Diego</v>
      </c>
      <c r="D1087" s="9" t="str">
        <f>INDEX(Places[Majority RB],MATCH(Activities[[#This Row],[Jurisdiction]],Places[Jurisdiction],0))</f>
        <v>San Diego</v>
      </c>
      <c r="E1087" s="9">
        <f>INDEX(Places[Majority RB '#],MATCH(Activities[[#This Row],[Jurisdiction]],Places[Jurisdiction],0))</f>
        <v>9</v>
      </c>
      <c r="F1087" s="28" t="str">
        <f>VLOOKUP(Activities[[#This Row],[Jurisdiction]],Places[#All],8,FALSE)</f>
        <v>Phase I MS4</v>
      </c>
      <c r="G1087" s="48" t="s">
        <v>333</v>
      </c>
      <c r="H1087" s="8"/>
      <c r="I1087" s="8"/>
      <c r="J1087" s="8" t="s">
        <v>1894</v>
      </c>
      <c r="K1087" s="27" t="s">
        <v>1874</v>
      </c>
      <c r="L1087" s="28">
        <f>_xlfn.NUMBERVALUE(LEFT(Activities[[#This Row],[Fiscal Year]], 4))</f>
        <v>2017</v>
      </c>
      <c r="M1087" s="28" t="s">
        <v>1862</v>
      </c>
      <c r="N1087" s="41">
        <v>308360</v>
      </c>
      <c r="O1087" s="93">
        <f>IF(Activities[[#This Row],[Reference Year]]&gt;2018,Activities[[#This Row],[Value]],Activities[[#This Row],[Value]]*(1+VLOOKUP(Activities[[#This Row],[Reference Year]],Inflation[#All],3,FALSE)))</f>
        <v>316576.64283965732</v>
      </c>
    </row>
    <row r="1088" spans="1:15" ht="15" customHeight="1" x14ac:dyDescent="0.25">
      <c r="A1088" s="9" t="s">
        <v>305</v>
      </c>
      <c r="B1088" s="9" t="str">
        <f>INDEX(Places[Type],MATCH(Activities[[#This Row],[Jurisdiction]],Places[Jurisdiction],0))</f>
        <v>City</v>
      </c>
      <c r="C1088" s="19" t="str">
        <f>INDEX(Places[County],MATCH(Activities[[#This Row],[Jurisdiction]],Places[Jurisdiction],0))</f>
        <v>San Diego</v>
      </c>
      <c r="D1088" s="9" t="str">
        <f>INDEX(Places[Majority RB],MATCH(Activities[[#This Row],[Jurisdiction]],Places[Jurisdiction],0))</f>
        <v>San Diego</v>
      </c>
      <c r="E1088" s="9">
        <f>INDEX(Places[Majority RB '#],MATCH(Activities[[#This Row],[Jurisdiction]],Places[Jurisdiction],0))</f>
        <v>9</v>
      </c>
      <c r="F1088" s="28" t="str">
        <f>VLOOKUP(Activities[[#This Row],[Jurisdiction]],Places[#All],8,FALSE)</f>
        <v>Phase I MS4</v>
      </c>
      <c r="G1088" s="48" t="s">
        <v>358</v>
      </c>
      <c r="H1088" s="8"/>
      <c r="I1088" s="8"/>
      <c r="J1088" s="8" t="s">
        <v>1896</v>
      </c>
      <c r="K1088" s="27" t="s">
        <v>1874</v>
      </c>
      <c r="L1088" s="28">
        <f>_xlfn.NUMBERVALUE(LEFT(Activities[[#This Row],[Fiscal Year]], 4))</f>
        <v>2017</v>
      </c>
      <c r="M1088" s="28" t="s">
        <v>1862</v>
      </c>
      <c r="N1088" s="41">
        <v>23168</v>
      </c>
      <c r="O1088" s="93">
        <f>IF(Activities[[#This Row],[Reference Year]]&gt;2018,Activities[[#This Row],[Value]],Activities[[#This Row],[Value]]*(1+VLOOKUP(Activities[[#This Row],[Reference Year]],Inflation[#All],3,FALSE)))</f>
        <v>23785.340709914322</v>
      </c>
    </row>
    <row r="1089" spans="1:15" ht="15" customHeight="1" x14ac:dyDescent="0.25">
      <c r="A1089" s="9" t="s">
        <v>305</v>
      </c>
      <c r="B1089" s="9" t="str">
        <f>INDEX(Places[Type],MATCH(Activities[[#This Row],[Jurisdiction]],Places[Jurisdiction],0))</f>
        <v>City</v>
      </c>
      <c r="C1089" s="19" t="str">
        <f>INDEX(Places[County],MATCH(Activities[[#This Row],[Jurisdiction]],Places[Jurisdiction],0))</f>
        <v>San Diego</v>
      </c>
      <c r="D1089" s="9" t="str">
        <f>INDEX(Places[Majority RB],MATCH(Activities[[#This Row],[Jurisdiction]],Places[Jurisdiction],0))</f>
        <v>San Diego</v>
      </c>
      <c r="E1089" s="9">
        <f>INDEX(Places[Majority RB '#],MATCH(Activities[[#This Row],[Jurisdiction]],Places[Jurisdiction],0))</f>
        <v>9</v>
      </c>
      <c r="F1089" s="28" t="str">
        <f>VLOOKUP(Activities[[#This Row],[Jurisdiction]],Places[#All],8,FALSE)</f>
        <v>Phase I MS4</v>
      </c>
      <c r="G1089" s="48" t="s">
        <v>359</v>
      </c>
      <c r="H1089" s="8" t="s">
        <v>672</v>
      </c>
      <c r="I1089" s="8" t="s">
        <v>671</v>
      </c>
      <c r="J1089" s="8" t="s">
        <v>1896</v>
      </c>
      <c r="K1089" s="27" t="s">
        <v>1874</v>
      </c>
      <c r="L1089" s="28">
        <f>_xlfn.NUMBERVALUE(LEFT(Activities[[#This Row],[Fiscal Year]], 4))</f>
        <v>2017</v>
      </c>
      <c r="M1089" s="28" t="s">
        <v>1862</v>
      </c>
      <c r="N1089" s="41">
        <v>83472</v>
      </c>
      <c r="O1089" s="93">
        <f>IF(Activities[[#This Row],[Reference Year]]&gt;2018,Activities[[#This Row],[Value]],Activities[[#This Row],[Value]]*(1+VLOOKUP(Activities[[#This Row],[Reference Year]],Inflation[#All],3,FALSE)))</f>
        <v>85696.217184822526</v>
      </c>
    </row>
    <row r="1090" spans="1:15" ht="15" customHeight="1" x14ac:dyDescent="0.25">
      <c r="A1090" s="9" t="s">
        <v>305</v>
      </c>
      <c r="B1090" s="9" t="str">
        <f>INDEX(Places[Type],MATCH(Activities[[#This Row],[Jurisdiction]],Places[Jurisdiction],0))</f>
        <v>City</v>
      </c>
      <c r="C1090" s="19" t="str">
        <f>INDEX(Places[County],MATCH(Activities[[#This Row],[Jurisdiction]],Places[Jurisdiction],0))</f>
        <v>San Diego</v>
      </c>
      <c r="D1090" s="9" t="str">
        <f>INDEX(Places[Majority RB],MATCH(Activities[[#This Row],[Jurisdiction]],Places[Jurisdiction],0))</f>
        <v>San Diego</v>
      </c>
      <c r="E1090" s="9">
        <f>INDEX(Places[Majority RB '#],MATCH(Activities[[#This Row],[Jurisdiction]],Places[Jurisdiction],0))</f>
        <v>9</v>
      </c>
      <c r="F1090" s="28" t="str">
        <f>VLOOKUP(Activities[[#This Row],[Jurisdiction]],Places[#All],8,FALSE)</f>
        <v>Phase I MS4</v>
      </c>
      <c r="G1090" s="48" t="s">
        <v>341</v>
      </c>
      <c r="H1090" s="8" t="s">
        <v>674</v>
      </c>
      <c r="I1090" s="94" t="s">
        <v>673</v>
      </c>
      <c r="J1090" s="8" t="s">
        <v>1896</v>
      </c>
      <c r="K1090" s="27" t="s">
        <v>1874</v>
      </c>
      <c r="L1090" s="28">
        <f>_xlfn.NUMBERVALUE(LEFT(Activities[[#This Row],[Fiscal Year]], 4))</f>
        <v>2017</v>
      </c>
      <c r="M1090" s="28" t="s">
        <v>1862</v>
      </c>
      <c r="N1090" s="41">
        <v>85368</v>
      </c>
      <c r="O1090" s="93">
        <f>IF(Activities[[#This Row],[Reference Year]]&gt;2018,Activities[[#This Row],[Value]],Activities[[#This Row],[Value]]*(1+VLOOKUP(Activities[[#This Row],[Reference Year]],Inflation[#All],3,FALSE)))</f>
        <v>87642.738506731956</v>
      </c>
    </row>
    <row r="1091" spans="1:15" ht="15" customHeight="1" x14ac:dyDescent="0.25">
      <c r="A1091" s="9" t="s">
        <v>305</v>
      </c>
      <c r="B1091" s="9" t="str">
        <f>INDEX(Places[Type],MATCH(Activities[[#This Row],[Jurisdiction]],Places[Jurisdiction],0))</f>
        <v>City</v>
      </c>
      <c r="C1091" s="19" t="str">
        <f>INDEX(Places[County],MATCH(Activities[[#This Row],[Jurisdiction]],Places[Jurisdiction],0))</f>
        <v>San Diego</v>
      </c>
      <c r="D1091" s="9" t="str">
        <f>INDEX(Places[Majority RB],MATCH(Activities[[#This Row],[Jurisdiction]],Places[Jurisdiction],0))</f>
        <v>San Diego</v>
      </c>
      <c r="E1091" s="9">
        <f>INDEX(Places[Majority RB '#],MATCH(Activities[[#This Row],[Jurisdiction]],Places[Jurisdiction],0))</f>
        <v>9</v>
      </c>
      <c r="F1091" s="28" t="str">
        <f>VLOOKUP(Activities[[#This Row],[Jurisdiction]],Places[#All],8,FALSE)</f>
        <v>Phase I MS4</v>
      </c>
      <c r="G1091" s="48" t="s">
        <v>357</v>
      </c>
      <c r="H1091" s="8"/>
      <c r="I1091" s="8"/>
      <c r="J1091" s="8" t="s">
        <v>605</v>
      </c>
      <c r="K1091" s="27" t="s">
        <v>1874</v>
      </c>
      <c r="L1091" s="28">
        <f>_xlfn.NUMBERVALUE(LEFT(Activities[[#This Row],[Fiscal Year]], 4))</f>
        <v>2017</v>
      </c>
      <c r="M1091" s="28" t="s">
        <v>1862</v>
      </c>
      <c r="N1091" s="41">
        <v>187409</v>
      </c>
      <c r="O1091" s="93">
        <f>IF(Activities[[#This Row],[Reference Year]]&gt;2018,Activities[[#This Row],[Value]],Activities[[#This Row],[Value]]*(1+VLOOKUP(Activities[[#This Row],[Reference Year]],Inflation[#All],3,FALSE)))</f>
        <v>192402.75022031827</v>
      </c>
    </row>
    <row r="1092" spans="1:15" ht="15" customHeight="1" x14ac:dyDescent="0.25">
      <c r="A1092" s="9" t="s">
        <v>256</v>
      </c>
      <c r="B1092" s="9" t="str">
        <f>INDEX(Places[Type],MATCH(Activities[[#This Row],[Jurisdiction]],Places[Jurisdiction],0))</f>
        <v>City</v>
      </c>
      <c r="C1092" s="19" t="str">
        <f>INDEX(Places[County],MATCH(Activities[[#This Row],[Jurisdiction]],Places[Jurisdiction],0))</f>
        <v>Ventura</v>
      </c>
      <c r="D1092" s="19" t="str">
        <f>INDEX(Places[Majority RB],MATCH(Activities[[#This Row],[Jurisdiction]],Places[Jurisdiction],0))</f>
        <v>Los Angeles</v>
      </c>
      <c r="E1092" s="9">
        <f>INDEX(Places[Majority RB '#],MATCH(Activities[[#This Row],[Jurisdiction]],Places[Jurisdiction],0))</f>
        <v>4</v>
      </c>
      <c r="F1092" s="28" t="str">
        <f>VLOOKUP(Activities[[#This Row],[Jurisdiction]],Places[#All],8,FALSE)</f>
        <v>Phase I MS4</v>
      </c>
      <c r="G1092" s="48" t="s">
        <v>76</v>
      </c>
      <c r="H1092" s="8"/>
      <c r="I1092" s="8"/>
      <c r="J1092" s="8" t="s">
        <v>76</v>
      </c>
      <c r="K1092" s="27" t="s">
        <v>1876</v>
      </c>
      <c r="L1092" s="28">
        <f>_xlfn.NUMBERVALUE(LEFT(Activities[[#This Row],[Fiscal Year]], 4))</f>
        <v>2018</v>
      </c>
      <c r="M1092" s="28" t="s">
        <v>1863</v>
      </c>
      <c r="N1092" s="41">
        <v>41700</v>
      </c>
      <c r="O1092" s="93">
        <f>IF(Activities[[#This Row],[Reference Year]]&gt;2018,Activities[[#This Row],[Value]],Activities[[#This Row],[Value]]*(1+VLOOKUP(Activities[[#This Row],[Reference Year]],Inflation[#All],3,FALSE)))</f>
        <v>41700</v>
      </c>
    </row>
    <row r="1093" spans="1:15" ht="15" customHeight="1" x14ac:dyDescent="0.25">
      <c r="A1093" s="9" t="s">
        <v>256</v>
      </c>
      <c r="B1093" s="9" t="str">
        <f>INDEX(Places[Type],MATCH(Activities[[#This Row],[Jurisdiction]],Places[Jurisdiction],0))</f>
        <v>City</v>
      </c>
      <c r="C1093" s="19" t="str">
        <f>INDEX(Places[County],MATCH(Activities[[#This Row],[Jurisdiction]],Places[Jurisdiction],0))</f>
        <v>Ventura</v>
      </c>
      <c r="D1093" s="19" t="str">
        <f>INDEX(Places[Majority RB],MATCH(Activities[[#This Row],[Jurisdiction]],Places[Jurisdiction],0))</f>
        <v>Los Angeles</v>
      </c>
      <c r="E1093" s="9">
        <f>INDEX(Places[Majority RB '#],MATCH(Activities[[#This Row],[Jurisdiction]],Places[Jurisdiction],0))</f>
        <v>4</v>
      </c>
      <c r="F1093" s="28" t="str">
        <f>VLOOKUP(Activities[[#This Row],[Jurisdiction]],Places[#All],8,FALSE)</f>
        <v>Phase I MS4</v>
      </c>
      <c r="G1093" s="48" t="s">
        <v>70</v>
      </c>
      <c r="H1093" s="8"/>
      <c r="I1093" s="8"/>
      <c r="J1093" s="8" t="s">
        <v>1895</v>
      </c>
      <c r="K1093" s="27" t="s">
        <v>1876</v>
      </c>
      <c r="L1093" s="28">
        <f>_xlfn.NUMBERVALUE(LEFT(Activities[[#This Row],[Fiscal Year]], 4))</f>
        <v>2018</v>
      </c>
      <c r="M1093" s="28" t="s">
        <v>1863</v>
      </c>
      <c r="N1093" s="41">
        <v>3500</v>
      </c>
      <c r="O1093" s="93">
        <f>IF(Activities[[#This Row],[Reference Year]]&gt;2018,Activities[[#This Row],[Value]],Activities[[#This Row],[Value]]*(1+VLOOKUP(Activities[[#This Row],[Reference Year]],Inflation[#All],3,FALSE)))</f>
        <v>3500</v>
      </c>
    </row>
    <row r="1094" spans="1:15" ht="15" customHeight="1" x14ac:dyDescent="0.25">
      <c r="A1094" s="9" t="s">
        <v>256</v>
      </c>
      <c r="B1094" s="9" t="str">
        <f>INDEX(Places[Type],MATCH(Activities[[#This Row],[Jurisdiction]],Places[Jurisdiction],0))</f>
        <v>City</v>
      </c>
      <c r="C1094" s="19" t="str">
        <f>INDEX(Places[County],MATCH(Activities[[#This Row],[Jurisdiction]],Places[Jurisdiction],0))</f>
        <v>Ventura</v>
      </c>
      <c r="D1094" s="19" t="str">
        <f>INDEX(Places[Majority RB],MATCH(Activities[[#This Row],[Jurisdiction]],Places[Jurisdiction],0))</f>
        <v>Los Angeles</v>
      </c>
      <c r="E1094" s="9">
        <f>INDEX(Places[Majority RB '#],MATCH(Activities[[#This Row],[Jurisdiction]],Places[Jurisdiction],0))</f>
        <v>4</v>
      </c>
      <c r="F1094" s="28" t="str">
        <f>VLOOKUP(Activities[[#This Row],[Jurisdiction]],Places[#All],8,FALSE)</f>
        <v>Phase I MS4</v>
      </c>
      <c r="G1094" s="48" t="s">
        <v>69</v>
      </c>
      <c r="H1094" s="8"/>
      <c r="I1094" s="8"/>
      <c r="J1094" s="8" t="s">
        <v>334</v>
      </c>
      <c r="K1094" s="27" t="s">
        <v>1876</v>
      </c>
      <c r="L1094" s="28">
        <f>_xlfn.NUMBERVALUE(LEFT(Activities[[#This Row],[Fiscal Year]], 4))</f>
        <v>2018</v>
      </c>
      <c r="M1094" s="28" t="s">
        <v>1863</v>
      </c>
      <c r="N1094" s="41">
        <v>5000</v>
      </c>
      <c r="O1094" s="93">
        <f>IF(Activities[[#This Row],[Reference Year]]&gt;2018,Activities[[#This Row],[Value]],Activities[[#This Row],[Value]]*(1+VLOOKUP(Activities[[#This Row],[Reference Year]],Inflation[#All],3,FALSE)))</f>
        <v>5000</v>
      </c>
    </row>
    <row r="1095" spans="1:15" ht="15" customHeight="1" x14ac:dyDescent="0.25">
      <c r="A1095" s="9" t="s">
        <v>256</v>
      </c>
      <c r="B1095" s="9" t="str">
        <f>INDEX(Places[Type],MATCH(Activities[[#This Row],[Jurisdiction]],Places[Jurisdiction],0))</f>
        <v>City</v>
      </c>
      <c r="C1095" s="19" t="str">
        <f>INDEX(Places[County],MATCH(Activities[[#This Row],[Jurisdiction]],Places[Jurisdiction],0))</f>
        <v>Ventura</v>
      </c>
      <c r="D1095" s="19" t="str">
        <f>INDEX(Places[Majority RB],MATCH(Activities[[#This Row],[Jurisdiction]],Places[Jurisdiction],0))</f>
        <v>Los Angeles</v>
      </c>
      <c r="E1095" s="9">
        <f>INDEX(Places[Majority RB '#],MATCH(Activities[[#This Row],[Jurisdiction]],Places[Jurisdiction],0))</f>
        <v>4</v>
      </c>
      <c r="F1095" s="28" t="str">
        <f>VLOOKUP(Activities[[#This Row],[Jurisdiction]],Places[#All],8,FALSE)</f>
        <v>Phase I MS4</v>
      </c>
      <c r="G1095" s="48" t="s">
        <v>71</v>
      </c>
      <c r="H1095" s="8" t="s">
        <v>484</v>
      </c>
      <c r="I1095" s="8" t="s">
        <v>458</v>
      </c>
      <c r="J1095" s="8" t="s">
        <v>71</v>
      </c>
      <c r="K1095" s="27" t="s">
        <v>1876</v>
      </c>
      <c r="L1095" s="28">
        <f>_xlfn.NUMBERVALUE(LEFT(Activities[[#This Row],[Fiscal Year]], 4))</f>
        <v>2018</v>
      </c>
      <c r="M1095" s="28" t="s">
        <v>1863</v>
      </c>
      <c r="N1095" s="41">
        <v>32690</v>
      </c>
      <c r="O1095" s="93">
        <f>IF(Activities[[#This Row],[Reference Year]]&gt;2018,Activities[[#This Row],[Value]],Activities[[#This Row],[Value]]*(1+VLOOKUP(Activities[[#This Row],[Reference Year]],Inflation[#All],3,FALSE)))</f>
        <v>32690</v>
      </c>
    </row>
    <row r="1096" spans="1:15" ht="15" customHeight="1" x14ac:dyDescent="0.25">
      <c r="A1096" s="9" t="s">
        <v>256</v>
      </c>
      <c r="B1096" s="9" t="str">
        <f>INDEX(Places[Type],MATCH(Activities[[#This Row],[Jurisdiction]],Places[Jurisdiction],0))</f>
        <v>City</v>
      </c>
      <c r="C1096" s="19" t="str">
        <f>INDEX(Places[County],MATCH(Activities[[#This Row],[Jurisdiction]],Places[Jurisdiction],0))</f>
        <v>Ventura</v>
      </c>
      <c r="D1096" s="19" t="str">
        <f>INDEX(Places[Majority RB],MATCH(Activities[[#This Row],[Jurisdiction]],Places[Jurisdiction],0))</f>
        <v>Los Angeles</v>
      </c>
      <c r="E1096" s="9">
        <f>INDEX(Places[Majority RB '#],MATCH(Activities[[#This Row],[Jurisdiction]],Places[Jurisdiction],0))</f>
        <v>4</v>
      </c>
      <c r="F1096" s="28" t="str">
        <f>VLOOKUP(Activities[[#This Row],[Jurisdiction]],Places[#All],8,FALSE)</f>
        <v>Phase I MS4</v>
      </c>
      <c r="G1096" s="48" t="s">
        <v>74</v>
      </c>
      <c r="H1096" s="8" t="s">
        <v>611</v>
      </c>
      <c r="I1096" s="8" t="s">
        <v>458</v>
      </c>
      <c r="J1096" s="8" t="s">
        <v>1897</v>
      </c>
      <c r="K1096" s="27" t="s">
        <v>1876</v>
      </c>
      <c r="L1096" s="28">
        <f>_xlfn.NUMBERVALUE(LEFT(Activities[[#This Row],[Fiscal Year]], 4))</f>
        <v>2018</v>
      </c>
      <c r="M1096" s="28" t="s">
        <v>1863</v>
      </c>
      <c r="N1096" s="41">
        <v>2500</v>
      </c>
      <c r="O1096" s="93">
        <f>IF(Activities[[#This Row],[Reference Year]]&gt;2018,Activities[[#This Row],[Value]],Activities[[#This Row],[Value]]*(1+VLOOKUP(Activities[[#This Row],[Reference Year]],Inflation[#All],3,FALSE)))</f>
        <v>2500</v>
      </c>
    </row>
    <row r="1097" spans="1:15" ht="15" customHeight="1" x14ac:dyDescent="0.25">
      <c r="A1097" s="9" t="s">
        <v>256</v>
      </c>
      <c r="B1097" s="9" t="str">
        <f>INDEX(Places[Type],MATCH(Activities[[#This Row],[Jurisdiction]],Places[Jurisdiction],0))</f>
        <v>City</v>
      </c>
      <c r="C1097" s="19" t="str">
        <f>INDEX(Places[County],MATCH(Activities[[#This Row],[Jurisdiction]],Places[Jurisdiction],0))</f>
        <v>Ventura</v>
      </c>
      <c r="D1097" s="19" t="str">
        <f>INDEX(Places[Majority RB],MATCH(Activities[[#This Row],[Jurisdiction]],Places[Jurisdiction],0))</f>
        <v>Los Angeles</v>
      </c>
      <c r="E1097" s="9">
        <f>INDEX(Places[Majority RB '#],MATCH(Activities[[#This Row],[Jurisdiction]],Places[Jurisdiction],0))</f>
        <v>4</v>
      </c>
      <c r="F1097" s="28" t="str">
        <f>VLOOKUP(Activities[[#This Row],[Jurisdiction]],Places[#All],8,FALSE)</f>
        <v>Phase I MS4</v>
      </c>
      <c r="G1097" s="48" t="s">
        <v>75</v>
      </c>
      <c r="H1097" s="8" t="s">
        <v>485</v>
      </c>
      <c r="I1097" s="8" t="s">
        <v>458</v>
      </c>
      <c r="J1097" s="8" t="s">
        <v>1897</v>
      </c>
      <c r="K1097" s="27" t="s">
        <v>1876</v>
      </c>
      <c r="L1097" s="28">
        <f>_xlfn.NUMBERVALUE(LEFT(Activities[[#This Row],[Fiscal Year]], 4))</f>
        <v>2018</v>
      </c>
      <c r="M1097" s="28" t="s">
        <v>1863</v>
      </c>
      <c r="N1097" s="41">
        <v>2500</v>
      </c>
      <c r="O1097" s="93">
        <f>IF(Activities[[#This Row],[Reference Year]]&gt;2018,Activities[[#This Row],[Value]],Activities[[#This Row],[Value]]*(1+VLOOKUP(Activities[[#This Row],[Reference Year]],Inflation[#All],3,FALSE)))</f>
        <v>2500</v>
      </c>
    </row>
    <row r="1098" spans="1:15" ht="15" customHeight="1" x14ac:dyDescent="0.25">
      <c r="A1098" s="9" t="s">
        <v>256</v>
      </c>
      <c r="B1098" s="9" t="str">
        <f>INDEX(Places[Type],MATCH(Activities[[#This Row],[Jurisdiction]],Places[Jurisdiction],0))</f>
        <v>City</v>
      </c>
      <c r="C1098" s="19" t="str">
        <f>INDEX(Places[County],MATCH(Activities[[#This Row],[Jurisdiction]],Places[Jurisdiction],0))</f>
        <v>Ventura</v>
      </c>
      <c r="D1098" s="19" t="str">
        <f>INDEX(Places[Majority RB],MATCH(Activities[[#This Row],[Jurisdiction]],Places[Jurisdiction],0))</f>
        <v>Los Angeles</v>
      </c>
      <c r="E1098" s="9">
        <f>INDEX(Places[Majority RB '#],MATCH(Activities[[#This Row],[Jurisdiction]],Places[Jurisdiction],0))</f>
        <v>4</v>
      </c>
      <c r="F1098" s="28" t="str">
        <f>VLOOKUP(Activities[[#This Row],[Jurisdiction]],Places[#All],8,FALSE)</f>
        <v>Phase I MS4</v>
      </c>
      <c r="G1098" s="48" t="s">
        <v>59</v>
      </c>
      <c r="H1098" s="8"/>
      <c r="I1098" s="8"/>
      <c r="J1098" s="8" t="s">
        <v>1898</v>
      </c>
      <c r="K1098" s="27" t="s">
        <v>1876</v>
      </c>
      <c r="L1098" s="28">
        <f>_xlfn.NUMBERVALUE(LEFT(Activities[[#This Row],[Fiscal Year]], 4))</f>
        <v>2018</v>
      </c>
      <c r="M1098" s="28" t="s">
        <v>1863</v>
      </c>
      <c r="N1098" s="41">
        <v>5000</v>
      </c>
      <c r="O1098" s="93">
        <f>IF(Activities[[#This Row],[Reference Year]]&gt;2018,Activities[[#This Row],[Value]],Activities[[#This Row],[Value]]*(1+VLOOKUP(Activities[[#This Row],[Reference Year]],Inflation[#All],3,FALSE)))</f>
        <v>5000</v>
      </c>
    </row>
    <row r="1099" spans="1:15" ht="15" customHeight="1" x14ac:dyDescent="0.25">
      <c r="A1099" s="9" t="s">
        <v>256</v>
      </c>
      <c r="B1099" s="9" t="str">
        <f>INDEX(Places[Type],MATCH(Activities[[#This Row],[Jurisdiction]],Places[Jurisdiction],0))</f>
        <v>City</v>
      </c>
      <c r="C1099" s="19" t="str">
        <f>INDEX(Places[County],MATCH(Activities[[#This Row],[Jurisdiction]],Places[Jurisdiction],0))</f>
        <v>Ventura</v>
      </c>
      <c r="D1099" s="19" t="str">
        <f>INDEX(Places[Majority RB],MATCH(Activities[[#This Row],[Jurisdiction]],Places[Jurisdiction],0))</f>
        <v>Los Angeles</v>
      </c>
      <c r="E1099" s="9">
        <f>INDEX(Places[Majority RB '#],MATCH(Activities[[#This Row],[Jurisdiction]],Places[Jurisdiction],0))</f>
        <v>4</v>
      </c>
      <c r="F1099" s="28" t="str">
        <f>VLOOKUP(Activities[[#This Row],[Jurisdiction]],Places[#All],8,FALSE)</f>
        <v>Phase I MS4</v>
      </c>
      <c r="G1099" s="48" t="s">
        <v>68</v>
      </c>
      <c r="H1099" s="8"/>
      <c r="I1099" s="8"/>
      <c r="J1099" s="8" t="s">
        <v>1456</v>
      </c>
      <c r="K1099" s="27" t="s">
        <v>1876</v>
      </c>
      <c r="L1099" s="28">
        <f>_xlfn.NUMBERVALUE(LEFT(Activities[[#This Row],[Fiscal Year]], 4))</f>
        <v>2018</v>
      </c>
      <c r="M1099" s="28" t="s">
        <v>1863</v>
      </c>
      <c r="N1099" s="41">
        <v>1000</v>
      </c>
      <c r="O1099" s="93">
        <f>IF(Activities[[#This Row],[Reference Year]]&gt;2018,Activities[[#This Row],[Value]],Activities[[#This Row],[Value]]*(1+VLOOKUP(Activities[[#This Row],[Reference Year]],Inflation[#All],3,FALSE)))</f>
        <v>1000</v>
      </c>
    </row>
    <row r="1100" spans="1:15" ht="15" customHeight="1" x14ac:dyDescent="0.25">
      <c r="A1100" s="9" t="s">
        <v>256</v>
      </c>
      <c r="B1100" s="9" t="str">
        <f>INDEX(Places[Type],MATCH(Activities[[#This Row],[Jurisdiction]],Places[Jurisdiction],0))</f>
        <v>City</v>
      </c>
      <c r="C1100" s="19" t="str">
        <f>INDEX(Places[County],MATCH(Activities[[#This Row],[Jurisdiction]],Places[Jurisdiction],0))</f>
        <v>Ventura</v>
      </c>
      <c r="D1100" s="19" t="str">
        <f>INDEX(Places[Majority RB],MATCH(Activities[[#This Row],[Jurisdiction]],Places[Jurisdiction],0))</f>
        <v>Los Angeles</v>
      </c>
      <c r="E1100" s="9">
        <f>INDEX(Places[Majority RB '#],MATCH(Activities[[#This Row],[Jurisdiction]],Places[Jurisdiction],0))</f>
        <v>4</v>
      </c>
      <c r="F1100" s="28" t="str">
        <f>VLOOKUP(Activities[[#This Row],[Jurisdiction]],Places[#All],8,FALSE)</f>
        <v>Phase I MS4</v>
      </c>
      <c r="G1100" s="48" t="s">
        <v>32</v>
      </c>
      <c r="H1100" s="8" t="s">
        <v>608</v>
      </c>
      <c r="I1100" s="94" t="s">
        <v>609</v>
      </c>
      <c r="J1100" s="8" t="s">
        <v>1894</v>
      </c>
      <c r="K1100" s="27" t="s">
        <v>1876</v>
      </c>
      <c r="L1100" s="28">
        <f>_xlfn.NUMBERVALUE(LEFT(Activities[[#This Row],[Fiscal Year]], 4))</f>
        <v>2018</v>
      </c>
      <c r="M1100" s="28" t="s">
        <v>1863</v>
      </c>
      <c r="N1100" s="41">
        <v>12000</v>
      </c>
      <c r="O1100" s="93">
        <f>IF(Activities[[#This Row],[Reference Year]]&gt;2018,Activities[[#This Row],[Value]],Activities[[#This Row],[Value]]*(1+VLOOKUP(Activities[[#This Row],[Reference Year]],Inflation[#All],3,FALSE)))</f>
        <v>12000</v>
      </c>
    </row>
    <row r="1101" spans="1:15" ht="15" customHeight="1" x14ac:dyDescent="0.25">
      <c r="A1101" s="9" t="s">
        <v>256</v>
      </c>
      <c r="B1101" s="9" t="str">
        <f>INDEX(Places[Type],MATCH(Activities[[#This Row],[Jurisdiction]],Places[Jurisdiction],0))</f>
        <v>City</v>
      </c>
      <c r="C1101" s="19" t="str">
        <f>INDEX(Places[County],MATCH(Activities[[#This Row],[Jurisdiction]],Places[Jurisdiction],0))</f>
        <v>Ventura</v>
      </c>
      <c r="D1101" s="19" t="str">
        <f>INDEX(Places[Majority RB],MATCH(Activities[[#This Row],[Jurisdiction]],Places[Jurisdiction],0))</f>
        <v>Los Angeles</v>
      </c>
      <c r="E1101" s="9">
        <f>INDEX(Places[Majority RB '#],MATCH(Activities[[#This Row],[Jurisdiction]],Places[Jurisdiction],0))</f>
        <v>4</v>
      </c>
      <c r="F1101" s="28" t="str">
        <f>VLOOKUP(Activities[[#This Row],[Jurisdiction]],Places[#All],8,FALSE)</f>
        <v>Phase I MS4</v>
      </c>
      <c r="G1101" s="48" t="s">
        <v>79</v>
      </c>
      <c r="H1101" s="8" t="s">
        <v>483</v>
      </c>
      <c r="I1101" s="8" t="s">
        <v>458</v>
      </c>
      <c r="J1101" s="8" t="s">
        <v>1896</v>
      </c>
      <c r="K1101" s="27" t="s">
        <v>1876</v>
      </c>
      <c r="L1101" s="28">
        <f>_xlfn.NUMBERVALUE(LEFT(Activities[[#This Row],[Fiscal Year]], 4))</f>
        <v>2018</v>
      </c>
      <c r="M1101" s="28" t="s">
        <v>1863</v>
      </c>
      <c r="N1101" s="41">
        <v>12800</v>
      </c>
      <c r="O1101" s="93">
        <f>IF(Activities[[#This Row],[Reference Year]]&gt;2018,Activities[[#This Row],[Value]],Activities[[#This Row],[Value]]*(1+VLOOKUP(Activities[[#This Row],[Reference Year]],Inflation[#All],3,FALSE)))</f>
        <v>12800</v>
      </c>
    </row>
    <row r="1102" spans="1:15" ht="15" customHeight="1" x14ac:dyDescent="0.25">
      <c r="A1102" s="9" t="s">
        <v>256</v>
      </c>
      <c r="B1102" s="9" t="str">
        <f>INDEX(Places[Type],MATCH(Activities[[#This Row],[Jurisdiction]],Places[Jurisdiction],0))</f>
        <v>City</v>
      </c>
      <c r="C1102" s="19" t="str">
        <f>INDEX(Places[County],MATCH(Activities[[#This Row],[Jurisdiction]],Places[Jurisdiction],0))</f>
        <v>Ventura</v>
      </c>
      <c r="D1102" s="19" t="str">
        <f>INDEX(Places[Majority RB],MATCH(Activities[[#This Row],[Jurisdiction]],Places[Jurisdiction],0))</f>
        <v>Los Angeles</v>
      </c>
      <c r="E1102" s="9">
        <f>INDEX(Places[Majority RB '#],MATCH(Activities[[#This Row],[Jurisdiction]],Places[Jurisdiction],0))</f>
        <v>4</v>
      </c>
      <c r="F1102" s="28" t="str">
        <f>VLOOKUP(Activities[[#This Row],[Jurisdiction]],Places[#All],8,FALSE)</f>
        <v>Phase I MS4</v>
      </c>
      <c r="G1102" s="48" t="s">
        <v>78</v>
      </c>
      <c r="H1102" s="8"/>
      <c r="I1102" s="8"/>
      <c r="J1102" s="8" t="s">
        <v>47</v>
      </c>
      <c r="K1102" s="27" t="s">
        <v>1876</v>
      </c>
      <c r="L1102" s="28">
        <f>_xlfn.NUMBERVALUE(LEFT(Activities[[#This Row],[Fiscal Year]], 4))</f>
        <v>2018</v>
      </c>
      <c r="M1102" s="28" t="s">
        <v>1863</v>
      </c>
      <c r="N1102" s="41">
        <v>1100</v>
      </c>
      <c r="O1102" s="93">
        <f>IF(Activities[[#This Row],[Reference Year]]&gt;2018,Activities[[#This Row],[Value]],Activities[[#This Row],[Value]]*(1+VLOOKUP(Activities[[#This Row],[Reference Year]],Inflation[#All],3,FALSE)))</f>
        <v>1100</v>
      </c>
    </row>
    <row r="1103" spans="1:15" ht="15" customHeight="1" x14ac:dyDescent="0.25">
      <c r="A1103" s="9" t="s">
        <v>256</v>
      </c>
      <c r="B1103" s="9" t="str">
        <f>INDEX(Places[Type],MATCH(Activities[[#This Row],[Jurisdiction]],Places[Jurisdiction],0))</f>
        <v>City</v>
      </c>
      <c r="C1103" s="19" t="str">
        <f>INDEX(Places[County],MATCH(Activities[[#This Row],[Jurisdiction]],Places[Jurisdiction],0))</f>
        <v>Ventura</v>
      </c>
      <c r="D1103" s="19" t="str">
        <f>INDEX(Places[Majority RB],MATCH(Activities[[#This Row],[Jurisdiction]],Places[Jurisdiction],0))</f>
        <v>Los Angeles</v>
      </c>
      <c r="E1103" s="9">
        <f>INDEX(Places[Majority RB '#],MATCH(Activities[[#This Row],[Jurisdiction]],Places[Jurisdiction],0))</f>
        <v>4</v>
      </c>
      <c r="F1103" s="28" t="str">
        <f>VLOOKUP(Activities[[#This Row],[Jurisdiction]],Places[#All],8,FALSE)</f>
        <v>Phase I MS4</v>
      </c>
      <c r="G1103" s="48" t="s">
        <v>80</v>
      </c>
      <c r="H1103" s="8"/>
      <c r="I1103" s="8"/>
      <c r="J1103" s="8" t="s">
        <v>605</v>
      </c>
      <c r="K1103" s="27" t="s">
        <v>1876</v>
      </c>
      <c r="L1103" s="28">
        <f>_xlfn.NUMBERVALUE(LEFT(Activities[[#This Row],[Fiscal Year]], 4))</f>
        <v>2018</v>
      </c>
      <c r="M1103" s="28" t="s">
        <v>1863</v>
      </c>
      <c r="N1103" s="41">
        <v>20000</v>
      </c>
      <c r="O1103" s="93">
        <f>IF(Activities[[#This Row],[Reference Year]]&gt;2018,Activities[[#This Row],[Value]],Activities[[#This Row],[Value]]*(1+VLOOKUP(Activities[[#This Row],[Reference Year]],Inflation[#All],3,FALSE)))</f>
        <v>20000</v>
      </c>
    </row>
    <row r="1104" spans="1:15" ht="15" customHeight="1" x14ac:dyDescent="0.25">
      <c r="A1104" s="9" t="s">
        <v>262</v>
      </c>
      <c r="B1104" s="9" t="str">
        <f>INDEX(Places[Type],MATCH(Activities[[#This Row],[Jurisdiction]],Places[Jurisdiction],0))</f>
        <v>City</v>
      </c>
      <c r="C1104" s="19" t="str">
        <f>INDEX(Places[County],MATCH(Activities[[#This Row],[Jurisdiction]],Places[Jurisdiction],0))</f>
        <v>Orange</v>
      </c>
      <c r="D1104" s="9" t="str">
        <f>INDEX(Places[Majority RB],MATCH(Activities[[#This Row],[Jurisdiction]],Places[Jurisdiction],0))</f>
        <v>Santa Ana</v>
      </c>
      <c r="E1104" s="9">
        <f>INDEX(Places[Majority RB '#],MATCH(Activities[[#This Row],[Jurisdiction]],Places[Jurisdiction],0))</f>
        <v>8</v>
      </c>
      <c r="F1104" s="28" t="str">
        <f>VLOOKUP(Activities[[#This Row],[Jurisdiction]],Places[#All],8,FALSE)</f>
        <v>Phase I MS4</v>
      </c>
      <c r="G1104" s="48" t="s">
        <v>1006</v>
      </c>
      <c r="H1104" s="8"/>
      <c r="I1104" s="8"/>
      <c r="J1104" s="8" t="s">
        <v>1895</v>
      </c>
      <c r="K1104" s="27" t="s">
        <v>1875</v>
      </c>
      <c r="L1104" s="28">
        <f>_xlfn.NUMBERVALUE(LEFT(Activities[[#This Row],[Fiscal Year]], 4))</f>
        <v>2001</v>
      </c>
      <c r="M1104" s="28" t="s">
        <v>1862</v>
      </c>
      <c r="N1104" s="41">
        <v>3649</v>
      </c>
      <c r="O1104" s="93">
        <f>IF(Activities[[#This Row],[Reference Year]]&gt;2018,Activities[[#This Row],[Value]],Activities[[#This Row],[Value]]*(1+VLOOKUP(Activities[[#This Row],[Reference Year]],Inflation[#All],3,FALSE)))</f>
        <v>5184.6500225861091</v>
      </c>
    </row>
    <row r="1105" spans="1:15" ht="15" customHeight="1" x14ac:dyDescent="0.25">
      <c r="A1105" s="9" t="s">
        <v>262</v>
      </c>
      <c r="B1105" s="9" t="str">
        <f>INDEX(Places[Type],MATCH(Activities[[#This Row],[Jurisdiction]],Places[Jurisdiction],0))</f>
        <v>City</v>
      </c>
      <c r="C1105" s="19" t="str">
        <f>INDEX(Places[County],MATCH(Activities[[#This Row],[Jurisdiction]],Places[Jurisdiction],0))</f>
        <v>Orange</v>
      </c>
      <c r="D1105" s="9" t="str">
        <f>INDEX(Places[Majority RB],MATCH(Activities[[#This Row],[Jurisdiction]],Places[Jurisdiction],0))</f>
        <v>Santa Ana</v>
      </c>
      <c r="E1105" s="9">
        <f>INDEX(Places[Majority RB '#],MATCH(Activities[[#This Row],[Jurisdiction]],Places[Jurisdiction],0))</f>
        <v>8</v>
      </c>
      <c r="F1105" s="28" t="str">
        <f>VLOOKUP(Activities[[#This Row],[Jurisdiction]],Places[#All],8,FALSE)</f>
        <v>Phase I MS4</v>
      </c>
      <c r="G1105" s="48" t="s">
        <v>1003</v>
      </c>
      <c r="H1105" s="8" t="s">
        <v>506</v>
      </c>
      <c r="I1105" s="8"/>
      <c r="J1105" s="8" t="s">
        <v>131</v>
      </c>
      <c r="K1105" s="27" t="s">
        <v>1875</v>
      </c>
      <c r="L1105" s="28">
        <f>_xlfn.NUMBERVALUE(LEFT(Activities[[#This Row],[Fiscal Year]], 4))</f>
        <v>2001</v>
      </c>
      <c r="M1105" s="28" t="s">
        <v>1862</v>
      </c>
      <c r="N1105" s="41">
        <v>1050</v>
      </c>
      <c r="O1105" s="93">
        <f>IF(Activities[[#This Row],[Reference Year]]&gt;2018,Activities[[#This Row],[Value]],Activities[[#This Row],[Value]]*(1+VLOOKUP(Activities[[#This Row],[Reference Year]],Inflation[#All],3,FALSE)))</f>
        <v>1491.883399209486</v>
      </c>
    </row>
    <row r="1106" spans="1:15" ht="15" customHeight="1" x14ac:dyDescent="0.25">
      <c r="A1106" s="9" t="s">
        <v>262</v>
      </c>
      <c r="B1106" s="9" t="str">
        <f>INDEX(Places[Type],MATCH(Activities[[#This Row],[Jurisdiction]],Places[Jurisdiction],0))</f>
        <v>City</v>
      </c>
      <c r="C1106" s="19" t="str">
        <f>INDEX(Places[County],MATCH(Activities[[#This Row],[Jurisdiction]],Places[Jurisdiction],0))</f>
        <v>Orange</v>
      </c>
      <c r="D1106" s="9" t="str">
        <f>INDEX(Places[Majority RB],MATCH(Activities[[#This Row],[Jurisdiction]],Places[Jurisdiction],0))</f>
        <v>Santa Ana</v>
      </c>
      <c r="E1106" s="9">
        <f>INDEX(Places[Majority RB '#],MATCH(Activities[[#This Row],[Jurisdiction]],Places[Jurisdiction],0))</f>
        <v>8</v>
      </c>
      <c r="F1106" s="28" t="str">
        <f>VLOOKUP(Activities[[#This Row],[Jurisdiction]],Places[#All],8,FALSE)</f>
        <v>Phase I MS4</v>
      </c>
      <c r="G1106" s="48" t="s">
        <v>994</v>
      </c>
      <c r="H1106" s="8" t="s">
        <v>504</v>
      </c>
      <c r="I1106" s="8"/>
      <c r="J1106" s="8" t="s">
        <v>71</v>
      </c>
      <c r="K1106" s="27" t="s">
        <v>1875</v>
      </c>
      <c r="L1106" s="28">
        <f>_xlfn.NUMBERVALUE(LEFT(Activities[[#This Row],[Fiscal Year]], 4))</f>
        <v>2001</v>
      </c>
      <c r="M1106" s="28" t="s">
        <v>1862</v>
      </c>
      <c r="N1106" s="41">
        <v>80324</v>
      </c>
      <c r="O1106" s="93">
        <f>IF(Activities[[#This Row],[Reference Year]]&gt;2018,Activities[[#This Row],[Value]],Activities[[#This Row],[Value]]*(1+VLOOKUP(Activities[[#This Row],[Reference Year]],Inflation[#All],3,FALSE)))</f>
        <v>114127.65919819311</v>
      </c>
    </row>
    <row r="1107" spans="1:15" ht="15" customHeight="1" x14ac:dyDescent="0.25">
      <c r="A1107" s="9" t="s">
        <v>262</v>
      </c>
      <c r="B1107" s="9" t="str">
        <f>INDEX(Places[Type],MATCH(Activities[[#This Row],[Jurisdiction]],Places[Jurisdiction],0))</f>
        <v>City</v>
      </c>
      <c r="C1107" s="19" t="str">
        <f>INDEX(Places[County],MATCH(Activities[[#This Row],[Jurisdiction]],Places[Jurisdiction],0))</f>
        <v>Orange</v>
      </c>
      <c r="D1107" s="9" t="str">
        <f>INDEX(Places[Majority RB],MATCH(Activities[[#This Row],[Jurisdiction]],Places[Jurisdiction],0))</f>
        <v>Santa Ana</v>
      </c>
      <c r="E1107" s="9">
        <f>INDEX(Places[Majority RB '#],MATCH(Activities[[#This Row],[Jurisdiction]],Places[Jurisdiction],0))</f>
        <v>8</v>
      </c>
      <c r="F1107" s="28" t="str">
        <f>VLOOKUP(Activities[[#This Row],[Jurisdiction]],Places[#All],8,FALSE)</f>
        <v>Phase I MS4</v>
      </c>
      <c r="G1107" s="48" t="s">
        <v>1007</v>
      </c>
      <c r="H1107" s="8"/>
      <c r="I1107" s="8"/>
      <c r="J1107" s="8" t="s">
        <v>71</v>
      </c>
      <c r="K1107" s="27" t="s">
        <v>1875</v>
      </c>
      <c r="L1107" s="28">
        <f>_xlfn.NUMBERVALUE(LEFT(Activities[[#This Row],[Fiscal Year]], 4))</f>
        <v>2001</v>
      </c>
      <c r="M1107" s="28" t="s">
        <v>1862</v>
      </c>
      <c r="N1107" s="41">
        <v>105600</v>
      </c>
      <c r="O1107" s="93">
        <f>IF(Activities[[#This Row],[Reference Year]]&gt;2018,Activities[[#This Row],[Value]],Activities[[#This Row],[Value]]*(1+VLOOKUP(Activities[[#This Row],[Reference Year]],Inflation[#All],3,FALSE)))</f>
        <v>150040.84472049688</v>
      </c>
    </row>
    <row r="1108" spans="1:15" ht="15" customHeight="1" x14ac:dyDescent="0.25">
      <c r="A1108" s="9" t="s">
        <v>262</v>
      </c>
      <c r="B1108" s="9" t="str">
        <f>INDEX(Places[Type],MATCH(Activities[[#This Row],[Jurisdiction]],Places[Jurisdiction],0))</f>
        <v>City</v>
      </c>
      <c r="C1108" s="19" t="str">
        <f>INDEX(Places[County],MATCH(Activities[[#This Row],[Jurisdiction]],Places[Jurisdiction],0))</f>
        <v>Orange</v>
      </c>
      <c r="D1108" s="9" t="str">
        <f>INDEX(Places[Majority RB],MATCH(Activities[[#This Row],[Jurisdiction]],Places[Jurisdiction],0))</f>
        <v>Santa Ana</v>
      </c>
      <c r="E1108" s="9">
        <f>INDEX(Places[Majority RB '#],MATCH(Activities[[#This Row],[Jurisdiction]],Places[Jurisdiction],0))</f>
        <v>8</v>
      </c>
      <c r="F1108" s="28" t="str">
        <f>VLOOKUP(Activities[[#This Row],[Jurisdiction]],Places[#All],8,FALSE)</f>
        <v>Phase I MS4</v>
      </c>
      <c r="G1108" s="48" t="s">
        <v>1002</v>
      </c>
      <c r="H1108" s="8" t="s">
        <v>597</v>
      </c>
      <c r="I1108" s="8" t="s">
        <v>594</v>
      </c>
      <c r="J1108" s="8" t="s">
        <v>1897</v>
      </c>
      <c r="K1108" s="27" t="s">
        <v>1875</v>
      </c>
      <c r="L1108" s="28">
        <f>_xlfn.NUMBERVALUE(LEFT(Activities[[#This Row],[Fiscal Year]], 4))</f>
        <v>2001</v>
      </c>
      <c r="M1108" s="28" t="s">
        <v>1862</v>
      </c>
      <c r="N1108" s="41">
        <v>9448</v>
      </c>
      <c r="O1108" s="93">
        <f>IF(Activities[[#This Row],[Reference Year]]&gt;2018,Activities[[#This Row],[Value]],Activities[[#This Row],[Value]]*(1+VLOOKUP(Activities[[#This Row],[Reference Year]],Inflation[#All],3,FALSE)))</f>
        <v>13424.108910220215</v>
      </c>
    </row>
    <row r="1109" spans="1:15" ht="15" customHeight="1" x14ac:dyDescent="0.25">
      <c r="A1109" s="9" t="s">
        <v>262</v>
      </c>
      <c r="B1109" s="9" t="str">
        <f>INDEX(Places[Type],MATCH(Activities[[#This Row],[Jurisdiction]],Places[Jurisdiction],0))</f>
        <v>City</v>
      </c>
      <c r="C1109" s="19" t="str">
        <f>INDEX(Places[County],MATCH(Activities[[#This Row],[Jurisdiction]],Places[Jurisdiction],0))</f>
        <v>Orange</v>
      </c>
      <c r="D1109" s="9" t="str">
        <f>INDEX(Places[Majority RB],MATCH(Activities[[#This Row],[Jurisdiction]],Places[Jurisdiction],0))</f>
        <v>Santa Ana</v>
      </c>
      <c r="E1109" s="9">
        <f>INDEX(Places[Majority RB '#],MATCH(Activities[[#This Row],[Jurisdiction]],Places[Jurisdiction],0))</f>
        <v>8</v>
      </c>
      <c r="F1109" s="28" t="str">
        <f>VLOOKUP(Activities[[#This Row],[Jurisdiction]],Places[#All],8,FALSE)</f>
        <v>Phase I MS4</v>
      </c>
      <c r="G1109" s="48" t="s">
        <v>998</v>
      </c>
      <c r="H1109" s="8" t="s">
        <v>504</v>
      </c>
      <c r="I1109" s="8"/>
      <c r="J1109" s="8" t="s">
        <v>1897</v>
      </c>
      <c r="K1109" s="27" t="s">
        <v>1875</v>
      </c>
      <c r="L1109" s="28">
        <f>_xlfn.NUMBERVALUE(LEFT(Activities[[#This Row],[Fiscal Year]], 4))</f>
        <v>2001</v>
      </c>
      <c r="M1109" s="28" t="s">
        <v>1862</v>
      </c>
      <c r="N1109" s="41">
        <v>13349</v>
      </c>
      <c r="O1109" s="93">
        <f>IF(Activities[[#This Row],[Reference Year]]&gt;2018,Activities[[#This Row],[Value]],Activities[[#This Row],[Value]]*(1+VLOOKUP(Activities[[#This Row],[Reference Year]],Inflation[#All],3,FALSE)))</f>
        <v>18966.810948616599</v>
      </c>
    </row>
    <row r="1110" spans="1:15" ht="15" customHeight="1" x14ac:dyDescent="0.25">
      <c r="A1110" s="9" t="s">
        <v>262</v>
      </c>
      <c r="B1110" s="9" t="str">
        <f>INDEX(Places[Type],MATCH(Activities[[#This Row],[Jurisdiction]],Places[Jurisdiction],0))</f>
        <v>City</v>
      </c>
      <c r="C1110" s="19" t="str">
        <f>INDEX(Places[County],MATCH(Activities[[#This Row],[Jurisdiction]],Places[Jurisdiction],0))</f>
        <v>Orange</v>
      </c>
      <c r="D1110" s="9" t="str">
        <f>INDEX(Places[Majority RB],MATCH(Activities[[#This Row],[Jurisdiction]],Places[Jurisdiction],0))</f>
        <v>Santa Ana</v>
      </c>
      <c r="E1110" s="9">
        <f>INDEX(Places[Majority RB '#],MATCH(Activities[[#This Row],[Jurisdiction]],Places[Jurisdiction],0))</f>
        <v>8</v>
      </c>
      <c r="F1110" s="28" t="str">
        <f>VLOOKUP(Activities[[#This Row],[Jurisdiction]],Places[#All],8,FALSE)</f>
        <v>Phase I MS4</v>
      </c>
      <c r="G1110" s="48" t="s">
        <v>997</v>
      </c>
      <c r="H1110" s="8" t="s">
        <v>593</v>
      </c>
      <c r="I1110" s="8" t="s">
        <v>594</v>
      </c>
      <c r="J1110" s="8" t="s">
        <v>1897</v>
      </c>
      <c r="K1110" s="27" t="s">
        <v>1875</v>
      </c>
      <c r="L1110" s="28">
        <f>_xlfn.NUMBERVALUE(LEFT(Activities[[#This Row],[Fiscal Year]], 4))</f>
        <v>2001</v>
      </c>
      <c r="M1110" s="28" t="s">
        <v>1862</v>
      </c>
      <c r="N1110" s="41">
        <v>15000</v>
      </c>
      <c r="O1110" s="93">
        <f>IF(Activities[[#This Row],[Reference Year]]&gt;2018,Activities[[#This Row],[Value]],Activities[[#This Row],[Value]]*(1+VLOOKUP(Activities[[#This Row],[Reference Year]],Inflation[#All],3,FALSE)))</f>
        <v>21312.619988706945</v>
      </c>
    </row>
    <row r="1111" spans="1:15" ht="15" customHeight="1" x14ac:dyDescent="0.25">
      <c r="A1111" s="9" t="s">
        <v>262</v>
      </c>
      <c r="B1111" s="9" t="str">
        <f>INDEX(Places[Type],MATCH(Activities[[#This Row],[Jurisdiction]],Places[Jurisdiction],0))</f>
        <v>City</v>
      </c>
      <c r="C1111" s="19" t="str">
        <f>INDEX(Places[County],MATCH(Activities[[#This Row],[Jurisdiction]],Places[Jurisdiction],0))</f>
        <v>Orange</v>
      </c>
      <c r="D1111" s="9" t="str">
        <f>INDEX(Places[Majority RB],MATCH(Activities[[#This Row],[Jurisdiction]],Places[Jurisdiction],0))</f>
        <v>Santa Ana</v>
      </c>
      <c r="E1111" s="9">
        <f>INDEX(Places[Majority RB '#],MATCH(Activities[[#This Row],[Jurisdiction]],Places[Jurisdiction],0))</f>
        <v>8</v>
      </c>
      <c r="F1111" s="28" t="str">
        <f>VLOOKUP(Activities[[#This Row],[Jurisdiction]],Places[#All],8,FALSE)</f>
        <v>Phase I MS4</v>
      </c>
      <c r="G1111" s="48" t="s">
        <v>992</v>
      </c>
      <c r="H1111" s="8" t="s">
        <v>504</v>
      </c>
      <c r="I1111" s="8"/>
      <c r="J1111" s="8" t="s">
        <v>1897</v>
      </c>
      <c r="K1111" s="27" t="s">
        <v>1875</v>
      </c>
      <c r="L1111" s="28">
        <f>_xlfn.NUMBERVALUE(LEFT(Activities[[#This Row],[Fiscal Year]], 4))</f>
        <v>2001</v>
      </c>
      <c r="M1111" s="28" t="s">
        <v>1862</v>
      </c>
      <c r="N1111" s="41">
        <v>46179</v>
      </c>
      <c r="O1111" s="93">
        <f>IF(Activities[[#This Row],[Reference Year]]&gt;2018,Activities[[#This Row],[Value]],Activities[[#This Row],[Value]]*(1+VLOOKUP(Activities[[#This Row],[Reference Year]],Inflation[#All],3,FALSE)))</f>
        <v>65613.031897233202</v>
      </c>
    </row>
    <row r="1112" spans="1:15" ht="15" customHeight="1" x14ac:dyDescent="0.25">
      <c r="A1112" s="9" t="s">
        <v>262</v>
      </c>
      <c r="B1112" s="9" t="str">
        <f>INDEX(Places[Type],MATCH(Activities[[#This Row],[Jurisdiction]],Places[Jurisdiction],0))</f>
        <v>City</v>
      </c>
      <c r="C1112" s="19" t="str">
        <f>INDEX(Places[County],MATCH(Activities[[#This Row],[Jurisdiction]],Places[Jurisdiction],0))</f>
        <v>Orange</v>
      </c>
      <c r="D1112" s="9" t="str">
        <f>INDEX(Places[Majority RB],MATCH(Activities[[#This Row],[Jurisdiction]],Places[Jurisdiction],0))</f>
        <v>Santa Ana</v>
      </c>
      <c r="E1112" s="9">
        <f>INDEX(Places[Majority RB '#],MATCH(Activities[[#This Row],[Jurisdiction]],Places[Jurisdiction],0))</f>
        <v>8</v>
      </c>
      <c r="F1112" s="28" t="str">
        <f>VLOOKUP(Activities[[#This Row],[Jurisdiction]],Places[#All],8,FALSE)</f>
        <v>Phase I MS4</v>
      </c>
      <c r="G1112" s="48" t="s">
        <v>993</v>
      </c>
      <c r="H1112" s="8" t="s">
        <v>602</v>
      </c>
      <c r="I1112" s="8"/>
      <c r="J1112" s="8" t="s">
        <v>1897</v>
      </c>
      <c r="K1112" s="27" t="s">
        <v>1875</v>
      </c>
      <c r="L1112" s="28">
        <f>_xlfn.NUMBERVALUE(LEFT(Activities[[#This Row],[Fiscal Year]], 4))</f>
        <v>2001</v>
      </c>
      <c r="M1112" s="28" t="s">
        <v>1862</v>
      </c>
      <c r="N1112" s="41">
        <v>96885</v>
      </c>
      <c r="O1112" s="93">
        <f>IF(Activities[[#This Row],[Reference Year]]&gt;2018,Activities[[#This Row],[Value]],Activities[[#This Row],[Value]]*(1+VLOOKUP(Activities[[#This Row],[Reference Year]],Inflation[#All],3,FALSE)))</f>
        <v>137658.21250705817</v>
      </c>
    </row>
    <row r="1113" spans="1:15" ht="15" customHeight="1" x14ac:dyDescent="0.25">
      <c r="A1113" s="9" t="s">
        <v>262</v>
      </c>
      <c r="B1113" s="9" t="str">
        <f>INDEX(Places[Type],MATCH(Activities[[#This Row],[Jurisdiction]],Places[Jurisdiction],0))</f>
        <v>City</v>
      </c>
      <c r="C1113" s="19" t="str">
        <f>INDEX(Places[County],MATCH(Activities[[#This Row],[Jurisdiction]],Places[Jurisdiction],0))</f>
        <v>Orange</v>
      </c>
      <c r="D1113" s="9" t="str">
        <f>INDEX(Places[Majority RB],MATCH(Activities[[#This Row],[Jurisdiction]],Places[Jurisdiction],0))</f>
        <v>Santa Ana</v>
      </c>
      <c r="E1113" s="9">
        <f>INDEX(Places[Majority RB '#],MATCH(Activities[[#This Row],[Jurisdiction]],Places[Jurisdiction],0))</f>
        <v>8</v>
      </c>
      <c r="F1113" s="28" t="str">
        <f>VLOOKUP(Activities[[#This Row],[Jurisdiction]],Places[#All],8,FALSE)</f>
        <v>Phase I MS4</v>
      </c>
      <c r="G1113" s="48" t="s">
        <v>999</v>
      </c>
      <c r="H1113" s="8" t="s">
        <v>504</v>
      </c>
      <c r="I1113" s="8"/>
      <c r="J1113" s="8" t="s">
        <v>1897</v>
      </c>
      <c r="K1113" s="27" t="s">
        <v>1875</v>
      </c>
      <c r="L1113" s="28">
        <f>_xlfn.NUMBERVALUE(LEFT(Activities[[#This Row],[Fiscal Year]], 4))</f>
        <v>2001</v>
      </c>
      <c r="M1113" s="28" t="s">
        <v>1862</v>
      </c>
      <c r="N1113" s="41">
        <v>199215</v>
      </c>
      <c r="O1113" s="93">
        <f>IF(Activities[[#This Row],[Reference Year]]&gt;2018,Activities[[#This Row],[Value]],Activities[[#This Row],[Value]]*(1+VLOOKUP(Activities[[#This Row],[Reference Year]],Inflation[#All],3,FALSE)))</f>
        <v>283052.90607001691</v>
      </c>
    </row>
    <row r="1114" spans="1:15" ht="15" customHeight="1" x14ac:dyDescent="0.25">
      <c r="A1114" s="9" t="s">
        <v>262</v>
      </c>
      <c r="B1114" s="9" t="str">
        <f>INDEX(Places[Type],MATCH(Activities[[#This Row],[Jurisdiction]],Places[Jurisdiction],0))</f>
        <v>City</v>
      </c>
      <c r="C1114" s="19" t="str">
        <f>INDEX(Places[County],MATCH(Activities[[#This Row],[Jurisdiction]],Places[Jurisdiction],0))</f>
        <v>Orange</v>
      </c>
      <c r="D1114" s="9" t="str">
        <f>INDEX(Places[Majority RB],MATCH(Activities[[#This Row],[Jurisdiction]],Places[Jurisdiction],0))</f>
        <v>Santa Ana</v>
      </c>
      <c r="E1114" s="9">
        <f>INDEX(Places[Majority RB '#],MATCH(Activities[[#This Row],[Jurisdiction]],Places[Jurisdiction],0))</f>
        <v>8</v>
      </c>
      <c r="F1114" s="28" t="str">
        <f>VLOOKUP(Activities[[#This Row],[Jurisdiction]],Places[#All],8,FALSE)</f>
        <v>Phase I MS4</v>
      </c>
      <c r="G1114" s="48" t="s">
        <v>996</v>
      </c>
      <c r="H1114" s="8" t="s">
        <v>504</v>
      </c>
      <c r="I1114" s="8"/>
      <c r="J1114" s="8" t="s">
        <v>1897</v>
      </c>
      <c r="K1114" s="27" t="s">
        <v>1875</v>
      </c>
      <c r="L1114" s="28">
        <f>_xlfn.NUMBERVALUE(LEFT(Activities[[#This Row],[Fiscal Year]], 4))</f>
        <v>2001</v>
      </c>
      <c r="M1114" s="28" t="s">
        <v>1862</v>
      </c>
      <c r="N1114" s="41">
        <v>1136129</v>
      </c>
      <c r="O1114" s="93">
        <f>IF(Activities[[#This Row],[Reference Year]]&gt;2018,Activities[[#This Row],[Value]],Activities[[#This Row],[Value]]*(1+VLOOKUP(Activities[[#This Row],[Reference Year]],Inflation[#All],3,FALSE)))</f>
        <v>1614259.0423433089</v>
      </c>
    </row>
    <row r="1115" spans="1:15" ht="15" customHeight="1" x14ac:dyDescent="0.25">
      <c r="A1115" s="9" t="s">
        <v>262</v>
      </c>
      <c r="B1115" s="9" t="str">
        <f>INDEX(Places[Type],MATCH(Activities[[#This Row],[Jurisdiction]],Places[Jurisdiction],0))</f>
        <v>City</v>
      </c>
      <c r="C1115" s="19" t="str">
        <f>INDEX(Places[County],MATCH(Activities[[#This Row],[Jurisdiction]],Places[Jurisdiction],0))</f>
        <v>Orange</v>
      </c>
      <c r="D1115" s="9" t="str">
        <f>INDEX(Places[Majority RB],MATCH(Activities[[#This Row],[Jurisdiction]],Places[Jurisdiction],0))</f>
        <v>Santa Ana</v>
      </c>
      <c r="E1115" s="9">
        <f>INDEX(Places[Majority RB '#],MATCH(Activities[[#This Row],[Jurisdiction]],Places[Jurisdiction],0))</f>
        <v>8</v>
      </c>
      <c r="F1115" s="28" t="str">
        <f>VLOOKUP(Activities[[#This Row],[Jurisdiction]],Places[#All],8,FALSE)</f>
        <v>Phase I MS4</v>
      </c>
      <c r="G1115" s="48" t="s">
        <v>1005</v>
      </c>
      <c r="H1115" s="8"/>
      <c r="I1115" s="8"/>
      <c r="J1115" s="8" t="s">
        <v>1898</v>
      </c>
      <c r="K1115" s="27" t="s">
        <v>1875</v>
      </c>
      <c r="L1115" s="28">
        <f>_xlfn.NUMBERVALUE(LEFT(Activities[[#This Row],[Fiscal Year]], 4))</f>
        <v>2001</v>
      </c>
      <c r="M1115" s="28" t="s">
        <v>1862</v>
      </c>
      <c r="N1115" s="41">
        <v>4579</v>
      </c>
      <c r="O1115" s="93">
        <f>IF(Activities[[#This Row],[Reference Year]]&gt;2018,Activities[[#This Row],[Value]],Activities[[#This Row],[Value]]*(1+VLOOKUP(Activities[[#This Row],[Reference Year]],Inflation[#All],3,FALSE)))</f>
        <v>6506.0324618859395</v>
      </c>
    </row>
    <row r="1116" spans="1:15" ht="15" customHeight="1" x14ac:dyDescent="0.25">
      <c r="A1116" s="9" t="s">
        <v>262</v>
      </c>
      <c r="B1116" s="9" t="str">
        <f>INDEX(Places[Type],MATCH(Activities[[#This Row],[Jurisdiction]],Places[Jurisdiction],0))</f>
        <v>City</v>
      </c>
      <c r="C1116" s="19" t="str">
        <f>INDEX(Places[County],MATCH(Activities[[#This Row],[Jurisdiction]],Places[Jurisdiction],0))</f>
        <v>Orange</v>
      </c>
      <c r="D1116" s="9" t="str">
        <f>INDEX(Places[Majority RB],MATCH(Activities[[#This Row],[Jurisdiction]],Places[Jurisdiction],0))</f>
        <v>Santa Ana</v>
      </c>
      <c r="E1116" s="9">
        <f>INDEX(Places[Majority RB '#],MATCH(Activities[[#This Row],[Jurisdiction]],Places[Jurisdiction],0))</f>
        <v>8</v>
      </c>
      <c r="F1116" s="28" t="str">
        <f>VLOOKUP(Activities[[#This Row],[Jurisdiction]],Places[#All],8,FALSE)</f>
        <v>Phase I MS4</v>
      </c>
      <c r="G1116" s="48" t="s">
        <v>1000</v>
      </c>
      <c r="H1116" s="8" t="s">
        <v>505</v>
      </c>
      <c r="I1116" s="8"/>
      <c r="J1116" s="8" t="s">
        <v>1456</v>
      </c>
      <c r="K1116" s="27" t="s">
        <v>1875</v>
      </c>
      <c r="L1116" s="28">
        <f>_xlfn.NUMBERVALUE(LEFT(Activities[[#This Row],[Fiscal Year]], 4))</f>
        <v>2001</v>
      </c>
      <c r="M1116" s="28" t="s">
        <v>1862</v>
      </c>
      <c r="N1116" s="41">
        <v>3354</v>
      </c>
      <c r="O1116" s="93">
        <f>IF(Activities[[#This Row],[Reference Year]]&gt;2018,Activities[[#This Row],[Value]],Activities[[#This Row],[Value]]*(1+VLOOKUP(Activities[[#This Row],[Reference Year]],Inflation[#All],3,FALSE)))</f>
        <v>4765.5018294748725</v>
      </c>
    </row>
    <row r="1117" spans="1:15" ht="15" customHeight="1" x14ac:dyDescent="0.25">
      <c r="A1117" s="9" t="s">
        <v>262</v>
      </c>
      <c r="B1117" s="9" t="str">
        <f>INDEX(Places[Type],MATCH(Activities[[#This Row],[Jurisdiction]],Places[Jurisdiction],0))</f>
        <v>City</v>
      </c>
      <c r="C1117" s="19" t="str">
        <f>INDEX(Places[County],MATCH(Activities[[#This Row],[Jurisdiction]],Places[Jurisdiction],0))</f>
        <v>Orange</v>
      </c>
      <c r="D1117" s="9" t="str">
        <f>INDEX(Places[Majority RB],MATCH(Activities[[#This Row],[Jurisdiction]],Places[Jurisdiction],0))</f>
        <v>Santa Ana</v>
      </c>
      <c r="E1117" s="9">
        <f>INDEX(Places[Majority RB '#],MATCH(Activities[[#This Row],[Jurisdiction]],Places[Jurisdiction],0))</f>
        <v>8</v>
      </c>
      <c r="F1117" s="28" t="str">
        <f>VLOOKUP(Activities[[#This Row],[Jurisdiction]],Places[#All],8,FALSE)</f>
        <v>Phase I MS4</v>
      </c>
      <c r="G1117" s="48" t="s">
        <v>1001</v>
      </c>
      <c r="H1117" s="8" t="s">
        <v>599</v>
      </c>
      <c r="I1117" s="8"/>
      <c r="J1117" s="8" t="s">
        <v>1456</v>
      </c>
      <c r="K1117" s="27" t="s">
        <v>1875</v>
      </c>
      <c r="L1117" s="28">
        <f>_xlfn.NUMBERVALUE(LEFT(Activities[[#This Row],[Fiscal Year]], 4))</f>
        <v>2001</v>
      </c>
      <c r="M1117" s="28" t="s">
        <v>1862</v>
      </c>
      <c r="N1117" s="41">
        <v>30000</v>
      </c>
      <c r="O1117" s="93">
        <f>IF(Activities[[#This Row],[Reference Year]]&gt;2018,Activities[[#This Row],[Value]],Activities[[#This Row],[Value]]*(1+VLOOKUP(Activities[[#This Row],[Reference Year]],Inflation[#All],3,FALSE)))</f>
        <v>42625.23997741389</v>
      </c>
    </row>
    <row r="1118" spans="1:15" ht="15" customHeight="1" x14ac:dyDescent="0.25">
      <c r="A1118" s="9" t="s">
        <v>262</v>
      </c>
      <c r="B1118" s="9" t="str">
        <f>INDEX(Places[Type],MATCH(Activities[[#This Row],[Jurisdiction]],Places[Jurisdiction],0))</f>
        <v>City</v>
      </c>
      <c r="C1118" s="19" t="str">
        <f>INDEX(Places[County],MATCH(Activities[[#This Row],[Jurisdiction]],Places[Jurisdiction],0))</f>
        <v>Orange</v>
      </c>
      <c r="D1118" s="9" t="str">
        <f>INDEX(Places[Majority RB],MATCH(Activities[[#This Row],[Jurisdiction]],Places[Jurisdiction],0))</f>
        <v>Santa Ana</v>
      </c>
      <c r="E1118" s="9">
        <f>INDEX(Places[Majority RB '#],MATCH(Activities[[#This Row],[Jurisdiction]],Places[Jurisdiction],0))</f>
        <v>8</v>
      </c>
      <c r="F1118" s="28" t="str">
        <f>VLOOKUP(Activities[[#This Row],[Jurisdiction]],Places[#All],8,FALSE)</f>
        <v>Phase I MS4</v>
      </c>
      <c r="G1118" s="48" t="s">
        <v>991</v>
      </c>
      <c r="H1118" s="8" t="s">
        <v>503</v>
      </c>
      <c r="I1118" s="8"/>
      <c r="J1118" s="8" t="s">
        <v>1894</v>
      </c>
      <c r="K1118" s="27" t="s">
        <v>1875</v>
      </c>
      <c r="L1118" s="28">
        <f>_xlfn.NUMBERVALUE(LEFT(Activities[[#This Row],[Fiscal Year]], 4))</f>
        <v>2001</v>
      </c>
      <c r="M1118" s="28" t="s">
        <v>1862</v>
      </c>
      <c r="N1118" s="41">
        <v>72831</v>
      </c>
      <c r="O1118" s="93">
        <f>IF(Activities[[#This Row],[Reference Year]]&gt;2018,Activities[[#This Row],[Value]],Activities[[#This Row],[Value]]*(1+VLOOKUP(Activities[[#This Row],[Reference Year]],Inflation[#All],3,FALSE)))</f>
        <v>103481.2950931677</v>
      </c>
    </row>
    <row r="1119" spans="1:15" ht="15" customHeight="1" x14ac:dyDescent="0.25">
      <c r="A1119" s="9" t="s">
        <v>1444</v>
      </c>
      <c r="B1119" s="9" t="str">
        <f>INDEX(Places[Type],MATCH(Activities[[#This Row],[Jurisdiction]],Places[Jurisdiction],0))</f>
        <v>County</v>
      </c>
      <c r="C1119" s="19" t="str">
        <f>INDEX(Places[County],MATCH(Activities[[#This Row],[Jurisdiction]],Places[Jurisdiction],0))</f>
        <v>Orange</v>
      </c>
      <c r="D1119" s="19" t="str">
        <f>INDEX(Places[Majority RB],MATCH(Activities[[#This Row],[Jurisdiction]],Places[Jurisdiction],0))</f>
        <v>Santa Ana</v>
      </c>
      <c r="E1119" s="9">
        <f>INDEX(Places[Majority RB '#],MATCH(Activities[[#This Row],[Jurisdiction]],Places[Jurisdiction],0))</f>
        <v>8</v>
      </c>
      <c r="F1119" s="28" t="str">
        <f>VLOOKUP(Activities[[#This Row],[Jurisdiction]],Places[#All],8,FALSE)</f>
        <v>Phase I MS4</v>
      </c>
      <c r="G1119" s="48" t="s">
        <v>318</v>
      </c>
      <c r="H1119" s="8"/>
      <c r="I1119" s="8" t="s">
        <v>502</v>
      </c>
      <c r="J1119" s="8" t="s">
        <v>76</v>
      </c>
      <c r="K1119" s="27" t="s">
        <v>1874</v>
      </c>
      <c r="L1119" s="28">
        <v>2017</v>
      </c>
      <c r="M1119" s="28" t="s">
        <v>1862</v>
      </c>
      <c r="N1119" s="41">
        <v>150000</v>
      </c>
      <c r="O1119" s="93">
        <f>IF(Activities[[#This Row],[Reference Year]]&gt;2018,Activities[[#This Row],[Value]],Activities[[#This Row],[Value]]*(1+VLOOKUP(Activities[[#This Row],[Reference Year]],Inflation[#All],3,FALSE)))</f>
        <v>153996.94002447982</v>
      </c>
    </row>
    <row r="1120" spans="1:15" ht="15" customHeight="1" x14ac:dyDescent="0.25">
      <c r="A1120" s="9" t="s">
        <v>1444</v>
      </c>
      <c r="B1120" s="9" t="str">
        <f>INDEX(Places[Type],MATCH(Activities[[#This Row],[Jurisdiction]],Places[Jurisdiction],0))</f>
        <v>County</v>
      </c>
      <c r="C1120" s="19" t="str">
        <f>INDEX(Places[County],MATCH(Activities[[#This Row],[Jurisdiction]],Places[Jurisdiction],0))</f>
        <v>Orange</v>
      </c>
      <c r="D1120" s="19" t="str">
        <f>INDEX(Places[Majority RB],MATCH(Activities[[#This Row],[Jurisdiction]],Places[Jurisdiction],0))</f>
        <v>Santa Ana</v>
      </c>
      <c r="E1120" s="9">
        <f>INDEX(Places[Majority RB '#],MATCH(Activities[[#This Row],[Jurisdiction]],Places[Jurisdiction],0))</f>
        <v>8</v>
      </c>
      <c r="F1120" s="28" t="str">
        <f>VLOOKUP(Activities[[#This Row],[Jurisdiction]],Places[#All],8,FALSE)</f>
        <v>Phase I MS4</v>
      </c>
      <c r="G1120" s="48" t="s">
        <v>319</v>
      </c>
      <c r="H1120" s="8" t="s">
        <v>487</v>
      </c>
      <c r="I1120" s="8"/>
      <c r="J1120" s="8" t="s">
        <v>76</v>
      </c>
      <c r="K1120" s="27" t="s">
        <v>1874</v>
      </c>
      <c r="L1120" s="28">
        <v>2017</v>
      </c>
      <c r="M1120" s="28" t="s">
        <v>1862</v>
      </c>
      <c r="N1120" s="41">
        <v>455485</v>
      </c>
      <c r="O1120" s="93">
        <f>IF(Activities[[#This Row],[Reference Year]]&gt;2018,Activities[[#This Row],[Value]],Activities[[#This Row],[Value]]*(1+VLOOKUP(Activities[[#This Row],[Reference Year]],Inflation[#All],3,FALSE)))</f>
        <v>467621.97484700126</v>
      </c>
    </row>
    <row r="1121" spans="1:15" ht="15" customHeight="1" x14ac:dyDescent="0.25">
      <c r="A1121" s="9" t="s">
        <v>1444</v>
      </c>
      <c r="B1121" s="9" t="str">
        <f>INDEX(Places[Type],MATCH(Activities[[#This Row],[Jurisdiction]],Places[Jurisdiction],0))</f>
        <v>County</v>
      </c>
      <c r="C1121" s="19" t="str">
        <f>INDEX(Places[County],MATCH(Activities[[#This Row],[Jurisdiction]],Places[Jurisdiction],0))</f>
        <v>Orange</v>
      </c>
      <c r="D1121" s="9" t="str">
        <f>INDEX(Places[Majority RB],MATCH(Activities[[#This Row],[Jurisdiction]],Places[Jurisdiction],0))</f>
        <v>Santa Ana</v>
      </c>
      <c r="E1121" s="9">
        <f>INDEX(Places[Majority RB '#],MATCH(Activities[[#This Row],[Jurisdiction]],Places[Jurisdiction],0))</f>
        <v>8</v>
      </c>
      <c r="F1121" s="28" t="str">
        <f>VLOOKUP(Activities[[#This Row],[Jurisdiction]],Places[#All],8,FALSE)</f>
        <v>Phase I MS4</v>
      </c>
      <c r="G1121" s="48" t="s">
        <v>486</v>
      </c>
      <c r="H1121" s="8" t="s">
        <v>639</v>
      </c>
      <c r="I1121" s="47" t="s">
        <v>612</v>
      </c>
      <c r="J1121" s="8" t="s">
        <v>76</v>
      </c>
      <c r="K1121" s="27" t="s">
        <v>1874</v>
      </c>
      <c r="L1121" s="28">
        <v>2017</v>
      </c>
      <c r="M1121" s="28" t="s">
        <v>1862</v>
      </c>
      <c r="N1121" s="41">
        <v>1119993</v>
      </c>
      <c r="O1121" s="93">
        <f>IF(Activities[[#This Row],[Reference Year]]&gt;2018,Activities[[#This Row],[Value]],Activities[[#This Row],[Value]]*(1+VLOOKUP(Activities[[#This Row],[Reference Year]],Inflation[#All],3,FALSE)))</f>
        <v>1149836.6323255815</v>
      </c>
    </row>
    <row r="1122" spans="1:15" ht="15" customHeight="1" x14ac:dyDescent="0.25">
      <c r="A1122" s="9" t="s">
        <v>1444</v>
      </c>
      <c r="B1122" s="9" t="str">
        <f>INDEX(Places[Type],MATCH(Activities[[#This Row],[Jurisdiction]],Places[Jurisdiction],0))</f>
        <v>County</v>
      </c>
      <c r="C1122" s="19" t="str">
        <f>INDEX(Places[County],MATCH(Activities[[#This Row],[Jurisdiction]],Places[Jurisdiction],0))</f>
        <v>Orange</v>
      </c>
      <c r="D1122" s="19" t="str">
        <f>INDEX(Places[Majority RB],MATCH(Activities[[#This Row],[Jurisdiction]],Places[Jurisdiction],0))</f>
        <v>Santa Ana</v>
      </c>
      <c r="E1122" s="9">
        <f>INDEX(Places[Majority RB '#],MATCH(Activities[[#This Row],[Jurisdiction]],Places[Jurisdiction],0))</f>
        <v>8</v>
      </c>
      <c r="F1122" s="28" t="str">
        <f>VLOOKUP(Activities[[#This Row],[Jurisdiction]],Places[#All],8,FALSE)</f>
        <v>Phase I MS4</v>
      </c>
      <c r="G1122" s="48" t="s">
        <v>971</v>
      </c>
      <c r="H1122" s="8" t="s">
        <v>493</v>
      </c>
      <c r="I1122" s="8" t="s">
        <v>502</v>
      </c>
      <c r="J1122" s="8" t="s">
        <v>1895</v>
      </c>
      <c r="K1122" s="27" t="s">
        <v>1874</v>
      </c>
      <c r="L1122" s="28">
        <f>_xlfn.NUMBERVALUE(LEFT(Activities[[#This Row],[Fiscal Year]], 4))</f>
        <v>2017</v>
      </c>
      <c r="M1122" s="28" t="s">
        <v>1862</v>
      </c>
      <c r="N1122" s="41">
        <v>410604</v>
      </c>
      <c r="O1122" s="93">
        <f>IF(Activities[[#This Row],[Reference Year]]&gt;2018,Activities[[#This Row],[Value]],Activities[[#This Row],[Value]]*(1+VLOOKUP(Activities[[#This Row],[Reference Year]],Inflation[#All],3,FALSE)))</f>
        <v>421545.06374541007</v>
      </c>
    </row>
    <row r="1123" spans="1:15" ht="15" customHeight="1" x14ac:dyDescent="0.25">
      <c r="A1123" s="9" t="s">
        <v>1444</v>
      </c>
      <c r="B1123" s="9" t="str">
        <f>INDEX(Places[Type],MATCH(Activities[[#This Row],[Jurisdiction]],Places[Jurisdiction],0))</f>
        <v>County</v>
      </c>
      <c r="C1123" s="19" t="str">
        <f>INDEX(Places[County],MATCH(Activities[[#This Row],[Jurisdiction]],Places[Jurisdiction],0))</f>
        <v>Orange</v>
      </c>
      <c r="D1123" s="19" t="str">
        <f>INDEX(Places[Majority RB],MATCH(Activities[[#This Row],[Jurisdiction]],Places[Jurisdiction],0))</f>
        <v>Santa Ana</v>
      </c>
      <c r="E1123" s="9">
        <f>INDEX(Places[Majority RB '#],MATCH(Activities[[#This Row],[Jurisdiction]],Places[Jurisdiction],0))</f>
        <v>8</v>
      </c>
      <c r="F1123" s="28" t="str">
        <f>VLOOKUP(Activities[[#This Row],[Jurisdiction]],Places[#All],8,FALSE)</f>
        <v>Phase I MS4</v>
      </c>
      <c r="G1123" s="48" t="s">
        <v>970</v>
      </c>
      <c r="H1123" s="8" t="s">
        <v>493</v>
      </c>
      <c r="I1123" s="8" t="s">
        <v>502</v>
      </c>
      <c r="J1123" s="8" t="s">
        <v>1895</v>
      </c>
      <c r="K1123" s="27" t="s">
        <v>1874</v>
      </c>
      <c r="L1123" s="28">
        <f>_xlfn.NUMBERVALUE(LEFT(Activities[[#This Row],[Fiscal Year]], 4))</f>
        <v>2017</v>
      </c>
      <c r="M1123" s="28" t="s">
        <v>1862</v>
      </c>
      <c r="N1123" s="41">
        <v>505423</v>
      </c>
      <c r="O1123" s="93">
        <f>IF(Activities[[#This Row],[Reference Year]]&gt;2018,Activities[[#This Row],[Value]],Activities[[#This Row],[Value]]*(1+VLOOKUP(Activities[[#This Row],[Reference Year]],Inflation[#All],3,FALSE)))</f>
        <v>518890.63611995109</v>
      </c>
    </row>
    <row r="1124" spans="1:15" ht="15" customHeight="1" x14ac:dyDescent="0.25">
      <c r="A1124" s="9" t="s">
        <v>1444</v>
      </c>
      <c r="B1124" s="9" t="str">
        <f>INDEX(Places[Type],MATCH(Activities[[#This Row],[Jurisdiction]],Places[Jurisdiction],0))</f>
        <v>County</v>
      </c>
      <c r="C1124" s="19" t="str">
        <f>INDEX(Places[County],MATCH(Activities[[#This Row],[Jurisdiction]],Places[Jurisdiction],0))</f>
        <v>Orange</v>
      </c>
      <c r="D1124" s="19" t="str">
        <f>INDEX(Places[Majority RB],MATCH(Activities[[#This Row],[Jurisdiction]],Places[Jurisdiction],0))</f>
        <v>Santa Ana</v>
      </c>
      <c r="E1124" s="9">
        <f>INDEX(Places[Majority RB '#],MATCH(Activities[[#This Row],[Jurisdiction]],Places[Jurisdiction],0))</f>
        <v>8</v>
      </c>
      <c r="F1124" s="28" t="str">
        <f>VLOOKUP(Activities[[#This Row],[Jurisdiction]],Places[#All],8,FALSE)</f>
        <v>Phase I MS4</v>
      </c>
      <c r="G1124" s="48" t="s">
        <v>974</v>
      </c>
      <c r="H1124" s="8" t="s">
        <v>495</v>
      </c>
      <c r="I1124" s="8" t="s">
        <v>502</v>
      </c>
      <c r="J1124" s="8" t="s">
        <v>131</v>
      </c>
      <c r="K1124" s="27" t="s">
        <v>1874</v>
      </c>
      <c r="L1124" s="28">
        <f>_xlfn.NUMBERVALUE(LEFT(Activities[[#This Row],[Fiscal Year]], 4))</f>
        <v>2017</v>
      </c>
      <c r="M1124" s="28" t="s">
        <v>1862</v>
      </c>
      <c r="N1124" s="41">
        <v>300537</v>
      </c>
      <c r="O1124" s="93">
        <f>IF(Activities[[#This Row],[Reference Year]]&gt;2018,Activities[[#This Row],[Value]],Activities[[#This Row],[Value]]*(1+VLOOKUP(Activities[[#This Row],[Reference Year]],Inflation[#All],3,FALSE)))</f>
        <v>308545.1890942473</v>
      </c>
    </row>
    <row r="1125" spans="1:15" ht="15" customHeight="1" x14ac:dyDescent="0.25">
      <c r="A1125" s="9" t="s">
        <v>1444</v>
      </c>
      <c r="B1125" s="9" t="str">
        <f>INDEX(Places[Type],MATCH(Activities[[#This Row],[Jurisdiction]],Places[Jurisdiction],0))</f>
        <v>County</v>
      </c>
      <c r="C1125" s="19" t="str">
        <f>INDEX(Places[County],MATCH(Activities[[#This Row],[Jurisdiction]],Places[Jurisdiction],0))</f>
        <v>Orange</v>
      </c>
      <c r="D1125" s="19" t="str">
        <f>INDEX(Places[Majority RB],MATCH(Activities[[#This Row],[Jurisdiction]],Places[Jurisdiction],0))</f>
        <v>Santa Ana</v>
      </c>
      <c r="E1125" s="9">
        <f>INDEX(Places[Majority RB '#],MATCH(Activities[[#This Row],[Jurisdiction]],Places[Jurisdiction],0))</f>
        <v>8</v>
      </c>
      <c r="F1125" s="28" t="str">
        <f>VLOOKUP(Activities[[#This Row],[Jurisdiction]],Places[#All],8,FALSE)</f>
        <v>Phase I MS4</v>
      </c>
      <c r="G1125" s="48" t="s">
        <v>972</v>
      </c>
      <c r="H1125" s="8" t="s">
        <v>494</v>
      </c>
      <c r="I1125" s="8" t="s">
        <v>502</v>
      </c>
      <c r="J1125" s="8" t="s">
        <v>334</v>
      </c>
      <c r="K1125" s="27" t="s">
        <v>1874</v>
      </c>
      <c r="L1125" s="28">
        <f>_xlfn.NUMBERVALUE(LEFT(Activities[[#This Row],[Fiscal Year]], 4))</f>
        <v>2017</v>
      </c>
      <c r="M1125" s="28" t="s">
        <v>1862</v>
      </c>
      <c r="N1125" s="41">
        <v>9298</v>
      </c>
      <c r="O1125" s="93">
        <f>IF(Activities[[#This Row],[Reference Year]]&gt;2018,Activities[[#This Row],[Value]],Activities[[#This Row],[Value]]*(1+VLOOKUP(Activities[[#This Row],[Reference Year]],Inflation[#All],3,FALSE)))</f>
        <v>9545.7569889840888</v>
      </c>
    </row>
    <row r="1126" spans="1:15" ht="15" customHeight="1" x14ac:dyDescent="0.25">
      <c r="A1126" s="9" t="s">
        <v>1444</v>
      </c>
      <c r="B1126" s="9" t="str">
        <f>INDEX(Places[Type],MATCH(Activities[[#This Row],[Jurisdiction]],Places[Jurisdiction],0))</f>
        <v>County</v>
      </c>
      <c r="C1126" s="19" t="str">
        <f>INDEX(Places[County],MATCH(Activities[[#This Row],[Jurisdiction]],Places[Jurisdiction],0))</f>
        <v>Orange</v>
      </c>
      <c r="D1126" s="19" t="str">
        <f>INDEX(Places[Majority RB],MATCH(Activities[[#This Row],[Jurisdiction]],Places[Jurisdiction],0))</f>
        <v>Santa Ana</v>
      </c>
      <c r="E1126" s="9">
        <f>INDEX(Places[Majority RB '#],MATCH(Activities[[#This Row],[Jurisdiction]],Places[Jurisdiction],0))</f>
        <v>8</v>
      </c>
      <c r="F1126" s="28" t="str">
        <f>VLOOKUP(Activities[[#This Row],[Jurisdiction]],Places[#All],8,FALSE)</f>
        <v>Phase I MS4</v>
      </c>
      <c r="G1126" s="48" t="s">
        <v>963</v>
      </c>
      <c r="H1126" s="8" t="s">
        <v>1912</v>
      </c>
      <c r="I1126" s="8" t="s">
        <v>502</v>
      </c>
      <c r="J1126" s="8" t="s">
        <v>71</v>
      </c>
      <c r="K1126" s="27" t="s">
        <v>1874</v>
      </c>
      <c r="L1126" s="28">
        <f>_xlfn.NUMBERVALUE(LEFT(Activities[[#This Row],[Fiscal Year]], 4))</f>
        <v>2017</v>
      </c>
      <c r="M1126" s="28" t="s">
        <v>1862</v>
      </c>
      <c r="N1126" s="41">
        <v>611729</v>
      </c>
      <c r="O1126" s="93">
        <f>IF(Activities[[#This Row],[Reference Year]]&gt;2018,Activities[[#This Row],[Value]],Activities[[#This Row],[Value]]*(1+VLOOKUP(Activities[[#This Row],[Reference Year]],Inflation[#All],3,FALSE)))</f>
        <v>628029.29416156677</v>
      </c>
    </row>
    <row r="1127" spans="1:15" ht="15" customHeight="1" x14ac:dyDescent="0.25">
      <c r="A1127" s="9" t="s">
        <v>1444</v>
      </c>
      <c r="B1127" s="9" t="str">
        <f>INDEX(Places[Type],MATCH(Activities[[#This Row],[Jurisdiction]],Places[Jurisdiction],0))</f>
        <v>County</v>
      </c>
      <c r="C1127" s="19" t="str">
        <f>INDEX(Places[County],MATCH(Activities[[#This Row],[Jurisdiction]],Places[Jurisdiction],0))</f>
        <v>Orange</v>
      </c>
      <c r="D1127" s="19" t="str">
        <f>INDEX(Places[Majority RB],MATCH(Activities[[#This Row],[Jurisdiction]],Places[Jurisdiction],0))</f>
        <v>Santa Ana</v>
      </c>
      <c r="E1127" s="9">
        <f>INDEX(Places[Majority RB '#],MATCH(Activities[[#This Row],[Jurisdiction]],Places[Jurisdiction],0))</f>
        <v>8</v>
      </c>
      <c r="F1127" s="28" t="str">
        <f>VLOOKUP(Activities[[#This Row],[Jurisdiction]],Places[#All],8,FALSE)</f>
        <v>Phase I MS4</v>
      </c>
      <c r="G1127" s="48" t="s">
        <v>965</v>
      </c>
      <c r="H1127" s="8" t="s">
        <v>1912</v>
      </c>
      <c r="I1127" s="8" t="s">
        <v>502</v>
      </c>
      <c r="J1127" s="8" t="s">
        <v>71</v>
      </c>
      <c r="K1127" s="27" t="s">
        <v>1874</v>
      </c>
      <c r="L1127" s="28">
        <f>_xlfn.NUMBERVALUE(LEFT(Activities[[#This Row],[Fiscal Year]], 4))</f>
        <v>2017</v>
      </c>
      <c r="M1127" s="28" t="s">
        <v>1862</v>
      </c>
      <c r="N1127" s="41">
        <v>806605</v>
      </c>
      <c r="O1127" s="93">
        <f>IF(Activities[[#This Row],[Reference Year]]&gt;2018,Activities[[#This Row],[Value]],Activities[[#This Row],[Value]]*(1+VLOOKUP(Activities[[#This Row],[Reference Year]],Inflation[#All],3,FALSE)))</f>
        <v>828098.01205630368</v>
      </c>
    </row>
    <row r="1128" spans="1:15" ht="15" customHeight="1" x14ac:dyDescent="0.25">
      <c r="A1128" s="9" t="s">
        <v>1444</v>
      </c>
      <c r="B1128" s="9" t="str">
        <f>INDEX(Places[Type],MATCH(Activities[[#This Row],[Jurisdiction]],Places[Jurisdiction],0))</f>
        <v>County</v>
      </c>
      <c r="C1128" s="19" t="str">
        <f>INDEX(Places[County],MATCH(Activities[[#This Row],[Jurisdiction]],Places[Jurisdiction],0))</f>
        <v>Orange</v>
      </c>
      <c r="D1128" s="19" t="str">
        <f>INDEX(Places[Majority RB],MATCH(Activities[[#This Row],[Jurisdiction]],Places[Jurisdiction],0))</f>
        <v>Santa Ana</v>
      </c>
      <c r="E1128" s="9">
        <f>INDEX(Places[Majority RB '#],MATCH(Activities[[#This Row],[Jurisdiction]],Places[Jurisdiction],0))</f>
        <v>8</v>
      </c>
      <c r="F1128" s="28" t="str">
        <f>VLOOKUP(Activities[[#This Row],[Jurisdiction]],Places[#All],8,FALSE)</f>
        <v>Phase I MS4</v>
      </c>
      <c r="G1128" s="48" t="s">
        <v>959</v>
      </c>
      <c r="H1128" s="8" t="s">
        <v>490</v>
      </c>
      <c r="I1128" s="8" t="s">
        <v>502</v>
      </c>
      <c r="J1128" s="8" t="s">
        <v>71</v>
      </c>
      <c r="K1128" s="27" t="s">
        <v>1874</v>
      </c>
      <c r="L1128" s="28">
        <f>_xlfn.NUMBERVALUE(LEFT(Activities[[#This Row],[Fiscal Year]], 4))</f>
        <v>2017</v>
      </c>
      <c r="M1128" s="28" t="s">
        <v>1862</v>
      </c>
      <c r="N1128" s="41">
        <v>8236513</v>
      </c>
      <c r="O1128" s="93">
        <f>IF(Activities[[#This Row],[Reference Year]]&gt;2018,Activities[[#This Row],[Value]],Activities[[#This Row],[Value]]*(1+VLOOKUP(Activities[[#This Row],[Reference Year]],Inflation[#All],3,FALSE)))</f>
        <v>8455985.3231456559</v>
      </c>
    </row>
    <row r="1129" spans="1:15" ht="15" customHeight="1" x14ac:dyDescent="0.25">
      <c r="A1129" s="9" t="s">
        <v>1444</v>
      </c>
      <c r="B1129" s="9" t="str">
        <f>INDEX(Places[Type],MATCH(Activities[[#This Row],[Jurisdiction]],Places[Jurisdiction],0))</f>
        <v>County</v>
      </c>
      <c r="C1129" s="19" t="str">
        <f>INDEX(Places[County],MATCH(Activities[[#This Row],[Jurisdiction]],Places[Jurisdiction],0))</f>
        <v>Orange</v>
      </c>
      <c r="D1129" s="19" t="str">
        <f>INDEX(Places[Majority RB],MATCH(Activities[[#This Row],[Jurisdiction]],Places[Jurisdiction],0))</f>
        <v>Santa Ana</v>
      </c>
      <c r="E1129" s="9">
        <f>INDEX(Places[Majority RB '#],MATCH(Activities[[#This Row],[Jurisdiction]],Places[Jurisdiction],0))</f>
        <v>8</v>
      </c>
      <c r="F1129" s="28" t="str">
        <f>VLOOKUP(Activities[[#This Row],[Jurisdiction]],Places[#All],8,FALSE)</f>
        <v>Phase I MS4</v>
      </c>
      <c r="G1129" s="48" t="s">
        <v>966</v>
      </c>
      <c r="H1129" s="8" t="s">
        <v>490</v>
      </c>
      <c r="I1129" s="8" t="s">
        <v>502</v>
      </c>
      <c r="J1129" s="8" t="s">
        <v>1897</v>
      </c>
      <c r="K1129" s="27" t="s">
        <v>1874</v>
      </c>
      <c r="L1129" s="28">
        <f>_xlfn.NUMBERVALUE(LEFT(Activities[[#This Row],[Fiscal Year]], 4))</f>
        <v>2017</v>
      </c>
      <c r="M1129" s="28" t="s">
        <v>1862</v>
      </c>
      <c r="N1129" s="41">
        <v>86205</v>
      </c>
      <c r="O1129" s="93">
        <f>IF(Activities[[#This Row],[Reference Year]]&gt;2018,Activities[[#This Row],[Value]],Activities[[#This Row],[Value]]*(1+VLOOKUP(Activities[[#This Row],[Reference Year]],Inflation[#All],3,FALSE)))</f>
        <v>88502.041432068552</v>
      </c>
    </row>
    <row r="1130" spans="1:15" ht="15" customHeight="1" x14ac:dyDescent="0.25">
      <c r="A1130" s="9" t="s">
        <v>1444</v>
      </c>
      <c r="B1130" s="9" t="str">
        <f>INDEX(Places[Type],MATCH(Activities[[#This Row],[Jurisdiction]],Places[Jurisdiction],0))</f>
        <v>County</v>
      </c>
      <c r="C1130" s="19" t="str">
        <f>INDEX(Places[County],MATCH(Activities[[#This Row],[Jurisdiction]],Places[Jurisdiction],0))</f>
        <v>Orange</v>
      </c>
      <c r="D1130" s="19" t="str">
        <f>INDEX(Places[Majority RB],MATCH(Activities[[#This Row],[Jurisdiction]],Places[Jurisdiction],0))</f>
        <v>Santa Ana</v>
      </c>
      <c r="E1130" s="9">
        <f>INDEX(Places[Majority RB '#],MATCH(Activities[[#This Row],[Jurisdiction]],Places[Jurisdiction],0))</f>
        <v>8</v>
      </c>
      <c r="F1130" s="28" t="str">
        <f>VLOOKUP(Activities[[#This Row],[Jurisdiction]],Places[#All],8,FALSE)</f>
        <v>Phase I MS4</v>
      </c>
      <c r="G1130" s="48" t="s">
        <v>962</v>
      </c>
      <c r="H1130" s="8" t="s">
        <v>1912</v>
      </c>
      <c r="I1130" s="8" t="s">
        <v>502</v>
      </c>
      <c r="J1130" s="8" t="s">
        <v>1897</v>
      </c>
      <c r="K1130" s="27" t="s">
        <v>1874</v>
      </c>
      <c r="L1130" s="28">
        <f>_xlfn.NUMBERVALUE(LEFT(Activities[[#This Row],[Fiscal Year]], 4))</f>
        <v>2017</v>
      </c>
      <c r="M1130" s="28" t="s">
        <v>1862</v>
      </c>
      <c r="N1130" s="41">
        <v>560667</v>
      </c>
      <c r="O1130" s="93">
        <f>IF(Activities[[#This Row],[Reference Year]]&gt;2018,Activities[[#This Row],[Value]],Activities[[#This Row],[Value]]*(1+VLOOKUP(Activities[[#This Row],[Reference Year]],Inflation[#All],3,FALSE)))</f>
        <v>575606.68248470023</v>
      </c>
    </row>
    <row r="1131" spans="1:15" ht="15" customHeight="1" x14ac:dyDescent="0.25">
      <c r="A1131" s="9" t="s">
        <v>1444</v>
      </c>
      <c r="B1131" s="9" t="str">
        <f>INDEX(Places[Type],MATCH(Activities[[#This Row],[Jurisdiction]],Places[Jurisdiction],0))</f>
        <v>County</v>
      </c>
      <c r="C1131" s="19" t="str">
        <f>INDEX(Places[County],MATCH(Activities[[#This Row],[Jurisdiction]],Places[Jurisdiction],0))</f>
        <v>Orange</v>
      </c>
      <c r="D1131" s="19" t="str">
        <f>INDEX(Places[Majority RB],MATCH(Activities[[#This Row],[Jurisdiction]],Places[Jurisdiction],0))</f>
        <v>Santa Ana</v>
      </c>
      <c r="E1131" s="9">
        <f>INDEX(Places[Majority RB '#],MATCH(Activities[[#This Row],[Jurisdiction]],Places[Jurisdiction],0))</f>
        <v>8</v>
      </c>
      <c r="F1131" s="28" t="str">
        <f>VLOOKUP(Activities[[#This Row],[Jurisdiction]],Places[#All],8,FALSE)</f>
        <v>Phase I MS4</v>
      </c>
      <c r="G1131" s="48" t="s">
        <v>960</v>
      </c>
      <c r="H1131" s="8" t="s">
        <v>490</v>
      </c>
      <c r="I1131" s="8" t="s">
        <v>502</v>
      </c>
      <c r="J1131" s="8" t="s">
        <v>1897</v>
      </c>
      <c r="K1131" s="27" t="s">
        <v>1874</v>
      </c>
      <c r="L1131" s="28">
        <f>_xlfn.NUMBERVALUE(LEFT(Activities[[#This Row],[Fiscal Year]], 4))</f>
        <v>2017</v>
      </c>
      <c r="M1131" s="28" t="s">
        <v>1862</v>
      </c>
      <c r="N1131" s="41">
        <v>575332</v>
      </c>
      <c r="O1131" s="93">
        <f>IF(Activities[[#This Row],[Reference Year]]&gt;2018,Activities[[#This Row],[Value]],Activities[[#This Row],[Value]]*(1+VLOOKUP(Activities[[#This Row],[Reference Year]],Inflation[#All],3,FALSE)))</f>
        <v>590662.44998776016</v>
      </c>
    </row>
    <row r="1132" spans="1:15" ht="15" customHeight="1" x14ac:dyDescent="0.25">
      <c r="A1132" s="9" t="s">
        <v>1444</v>
      </c>
      <c r="B1132" s="9" t="str">
        <f>INDEX(Places[Type],MATCH(Activities[[#This Row],[Jurisdiction]],Places[Jurisdiction],0))</f>
        <v>County</v>
      </c>
      <c r="C1132" s="19" t="str">
        <f>INDEX(Places[County],MATCH(Activities[[#This Row],[Jurisdiction]],Places[Jurisdiction],0))</f>
        <v>Orange</v>
      </c>
      <c r="D1132" s="19" t="str">
        <f>INDEX(Places[Majority RB],MATCH(Activities[[#This Row],[Jurisdiction]],Places[Jurisdiction],0))</f>
        <v>Santa Ana</v>
      </c>
      <c r="E1132" s="9">
        <f>INDEX(Places[Majority RB '#],MATCH(Activities[[#This Row],[Jurisdiction]],Places[Jurisdiction],0))</f>
        <v>8</v>
      </c>
      <c r="F1132" s="28" t="str">
        <f>VLOOKUP(Activities[[#This Row],[Jurisdiction]],Places[#All],8,FALSE)</f>
        <v>Phase I MS4</v>
      </c>
      <c r="G1132" s="48" t="s">
        <v>957</v>
      </c>
      <c r="H1132" s="8" t="s">
        <v>490</v>
      </c>
      <c r="I1132" s="8" t="s">
        <v>502</v>
      </c>
      <c r="J1132" s="8" t="s">
        <v>1897</v>
      </c>
      <c r="K1132" s="27" t="s">
        <v>1874</v>
      </c>
      <c r="L1132" s="28">
        <f>_xlfn.NUMBERVALUE(LEFT(Activities[[#This Row],[Fiscal Year]], 4))</f>
        <v>2017</v>
      </c>
      <c r="M1132" s="28" t="s">
        <v>1862</v>
      </c>
      <c r="N1132" s="41">
        <v>2550984</v>
      </c>
      <c r="O1132" s="93">
        <f>IF(Activities[[#This Row],[Reference Year]]&gt;2018,Activities[[#This Row],[Value]],Activities[[#This Row],[Value]]*(1+VLOOKUP(Activities[[#This Row],[Reference Year]],Inflation[#All],3,FALSE)))</f>
        <v>2618958.2003427176</v>
      </c>
    </row>
    <row r="1133" spans="1:15" ht="15" customHeight="1" x14ac:dyDescent="0.25">
      <c r="A1133" s="9" t="s">
        <v>1444</v>
      </c>
      <c r="B1133" s="9" t="str">
        <f>INDEX(Places[Type],MATCH(Activities[[#This Row],[Jurisdiction]],Places[Jurisdiction],0))</f>
        <v>County</v>
      </c>
      <c r="C1133" s="19" t="str">
        <f>INDEX(Places[County],MATCH(Activities[[#This Row],[Jurisdiction]],Places[Jurisdiction],0))</f>
        <v>Orange</v>
      </c>
      <c r="D1133" s="19" t="str">
        <f>INDEX(Places[Majority RB],MATCH(Activities[[#This Row],[Jurisdiction]],Places[Jurisdiction],0))</f>
        <v>Santa Ana</v>
      </c>
      <c r="E1133" s="9">
        <f>INDEX(Places[Majority RB '#],MATCH(Activities[[#This Row],[Jurisdiction]],Places[Jurisdiction],0))</f>
        <v>8</v>
      </c>
      <c r="F1133" s="28" t="str">
        <f>VLOOKUP(Activities[[#This Row],[Jurisdiction]],Places[#All],8,FALSE)</f>
        <v>Phase I MS4</v>
      </c>
      <c r="G1133" s="48" t="s">
        <v>961</v>
      </c>
      <c r="H1133" s="8" t="s">
        <v>1912</v>
      </c>
      <c r="I1133" s="8" t="s">
        <v>502</v>
      </c>
      <c r="J1133" s="8" t="s">
        <v>1897</v>
      </c>
      <c r="K1133" s="27" t="s">
        <v>1874</v>
      </c>
      <c r="L1133" s="28">
        <f>_xlfn.NUMBERVALUE(LEFT(Activities[[#This Row],[Fiscal Year]], 4))</f>
        <v>2017</v>
      </c>
      <c r="M1133" s="28" t="s">
        <v>1862</v>
      </c>
      <c r="N1133" s="41">
        <v>2935498</v>
      </c>
      <c r="O1133" s="93">
        <f>IF(Activities[[#This Row],[Reference Year]]&gt;2018,Activities[[#This Row],[Value]],Activities[[#This Row],[Value]]*(1+VLOOKUP(Activities[[#This Row],[Reference Year]],Inflation[#All],3,FALSE)))</f>
        <v>3013718.0629865364</v>
      </c>
    </row>
    <row r="1134" spans="1:15" ht="15" customHeight="1" x14ac:dyDescent="0.25">
      <c r="A1134" s="9" t="s">
        <v>1444</v>
      </c>
      <c r="B1134" s="9" t="str">
        <f>INDEX(Places[Type],MATCH(Activities[[#This Row],[Jurisdiction]],Places[Jurisdiction],0))</f>
        <v>County</v>
      </c>
      <c r="C1134" s="19" t="str">
        <f>INDEX(Places[County],MATCH(Activities[[#This Row],[Jurisdiction]],Places[Jurisdiction],0))</f>
        <v>Orange</v>
      </c>
      <c r="D1134" s="19" t="str">
        <f>INDEX(Places[Majority RB],MATCH(Activities[[#This Row],[Jurisdiction]],Places[Jurisdiction],0))</f>
        <v>Santa Ana</v>
      </c>
      <c r="E1134" s="9">
        <f>INDEX(Places[Majority RB '#],MATCH(Activities[[#This Row],[Jurisdiction]],Places[Jurisdiction],0))</f>
        <v>8</v>
      </c>
      <c r="F1134" s="28" t="str">
        <f>VLOOKUP(Activities[[#This Row],[Jurisdiction]],Places[#All],8,FALSE)</f>
        <v>Phase I MS4</v>
      </c>
      <c r="G1134" s="48" t="s">
        <v>958</v>
      </c>
      <c r="H1134" s="8" t="s">
        <v>490</v>
      </c>
      <c r="I1134" s="8" t="s">
        <v>502</v>
      </c>
      <c r="J1134" s="8" t="s">
        <v>1897</v>
      </c>
      <c r="K1134" s="27" t="s">
        <v>1874</v>
      </c>
      <c r="L1134" s="28">
        <f>_xlfn.NUMBERVALUE(LEFT(Activities[[#This Row],[Fiscal Year]], 4))</f>
        <v>2017</v>
      </c>
      <c r="M1134" s="28" t="s">
        <v>1862</v>
      </c>
      <c r="N1134" s="41">
        <v>4516885</v>
      </c>
      <c r="O1134" s="93">
        <f>IF(Activities[[#This Row],[Reference Year]]&gt;2018,Activities[[#This Row],[Value]],Activities[[#This Row],[Value]]*(1+VLOOKUP(Activities[[#This Row],[Reference Year]],Inflation[#All],3,FALSE)))</f>
        <v>4637243.1229498172</v>
      </c>
    </row>
    <row r="1135" spans="1:15" ht="15" customHeight="1" x14ac:dyDescent="0.25">
      <c r="A1135" s="9" t="s">
        <v>1444</v>
      </c>
      <c r="B1135" s="9" t="str">
        <f>INDEX(Places[Type],MATCH(Activities[[#This Row],[Jurisdiction]],Places[Jurisdiction],0))</f>
        <v>County</v>
      </c>
      <c r="C1135" s="19" t="str">
        <f>INDEX(Places[County],MATCH(Activities[[#This Row],[Jurisdiction]],Places[Jurisdiction],0))</f>
        <v>Orange</v>
      </c>
      <c r="D1135" s="19" t="str">
        <f>INDEX(Places[Majority RB],MATCH(Activities[[#This Row],[Jurisdiction]],Places[Jurisdiction],0))</f>
        <v>Santa Ana</v>
      </c>
      <c r="E1135" s="9">
        <f>INDEX(Places[Majority RB '#],MATCH(Activities[[#This Row],[Jurisdiction]],Places[Jurisdiction],0))</f>
        <v>8</v>
      </c>
      <c r="F1135" s="28" t="str">
        <f>VLOOKUP(Activities[[#This Row],[Jurisdiction]],Places[#All],8,FALSE)</f>
        <v>Phase I MS4</v>
      </c>
      <c r="G1135" s="48" t="s">
        <v>969</v>
      </c>
      <c r="H1135" s="8" t="s">
        <v>492</v>
      </c>
      <c r="I1135" s="8" t="s">
        <v>502</v>
      </c>
      <c r="J1135" s="8" t="s">
        <v>1898</v>
      </c>
      <c r="K1135" s="27" t="s">
        <v>1874</v>
      </c>
      <c r="L1135" s="28">
        <f>_xlfn.NUMBERVALUE(LEFT(Activities[[#This Row],[Fiscal Year]], 4))</f>
        <v>2017</v>
      </c>
      <c r="M1135" s="28" t="s">
        <v>1862</v>
      </c>
      <c r="N1135" s="41">
        <v>191230</v>
      </c>
      <c r="O1135" s="93">
        <f>IF(Activities[[#This Row],[Reference Year]]&gt;2018,Activities[[#This Row],[Value]],Activities[[#This Row],[Value]]*(1+VLOOKUP(Activities[[#This Row],[Reference Year]],Inflation[#All],3,FALSE)))</f>
        <v>196325.56560587516</v>
      </c>
    </row>
    <row r="1136" spans="1:15" ht="15" customHeight="1" x14ac:dyDescent="0.25">
      <c r="A1136" s="9" t="s">
        <v>1444</v>
      </c>
      <c r="B1136" s="9" t="str">
        <f>INDEX(Places[Type],MATCH(Activities[[#This Row],[Jurisdiction]],Places[Jurisdiction],0))</f>
        <v>County</v>
      </c>
      <c r="C1136" s="19" t="str">
        <f>INDEX(Places[County],MATCH(Activities[[#This Row],[Jurisdiction]],Places[Jurisdiction],0))</f>
        <v>Orange</v>
      </c>
      <c r="D1136" s="19" t="str">
        <f>INDEX(Places[Majority RB],MATCH(Activities[[#This Row],[Jurisdiction]],Places[Jurisdiction],0))</f>
        <v>Santa Ana</v>
      </c>
      <c r="E1136" s="9">
        <f>INDEX(Places[Majority RB '#],MATCH(Activities[[#This Row],[Jurisdiction]],Places[Jurisdiction],0))</f>
        <v>8</v>
      </c>
      <c r="F1136" s="28" t="str">
        <f>VLOOKUP(Activities[[#This Row],[Jurisdiction]],Places[#All],8,FALSE)</f>
        <v>Phase I MS4</v>
      </c>
      <c r="G1136" s="48" t="s">
        <v>956</v>
      </c>
      <c r="H1136" s="8" t="s">
        <v>489</v>
      </c>
      <c r="I1136" s="8" t="s">
        <v>502</v>
      </c>
      <c r="J1136" s="8" t="s">
        <v>1898</v>
      </c>
      <c r="K1136" s="27" t="s">
        <v>1874</v>
      </c>
      <c r="L1136" s="28">
        <f>_xlfn.NUMBERVALUE(LEFT(Activities[[#This Row],[Fiscal Year]], 4))</f>
        <v>2017</v>
      </c>
      <c r="M1136" s="28" t="s">
        <v>1862</v>
      </c>
      <c r="N1136" s="41">
        <v>717246</v>
      </c>
      <c r="O1136" s="93">
        <f>IF(Activities[[#This Row],[Reference Year]]&gt;2018,Activities[[#This Row],[Value]],Activities[[#This Row],[Value]]*(1+VLOOKUP(Activities[[#This Row],[Reference Year]],Inflation[#All],3,FALSE)))</f>
        <v>736357.92829865369</v>
      </c>
    </row>
    <row r="1137" spans="1:15" ht="15" customHeight="1" x14ac:dyDescent="0.25">
      <c r="A1137" s="9" t="s">
        <v>1444</v>
      </c>
      <c r="B1137" s="9" t="str">
        <f>INDEX(Places[Type],MATCH(Activities[[#This Row],[Jurisdiction]],Places[Jurisdiction],0))</f>
        <v>County</v>
      </c>
      <c r="C1137" s="19" t="str">
        <f>INDEX(Places[County],MATCH(Activities[[#This Row],[Jurisdiction]],Places[Jurisdiction],0))</f>
        <v>Orange</v>
      </c>
      <c r="D1137" s="19" t="str">
        <f>INDEX(Places[Majority RB],MATCH(Activities[[#This Row],[Jurisdiction]],Places[Jurisdiction],0))</f>
        <v>Santa Ana</v>
      </c>
      <c r="E1137" s="9">
        <f>INDEX(Places[Majority RB '#],MATCH(Activities[[#This Row],[Jurisdiction]],Places[Jurisdiction],0))</f>
        <v>8</v>
      </c>
      <c r="F1137" s="28" t="str">
        <f>VLOOKUP(Activities[[#This Row],[Jurisdiction]],Places[#All],8,FALSE)</f>
        <v>Phase I MS4</v>
      </c>
      <c r="G1137" s="48" t="s">
        <v>968</v>
      </c>
      <c r="H1137" s="8" t="s">
        <v>491</v>
      </c>
      <c r="I1137" s="8" t="s">
        <v>502</v>
      </c>
      <c r="J1137" s="8" t="s">
        <v>1456</v>
      </c>
      <c r="K1137" s="27" t="s">
        <v>1874</v>
      </c>
      <c r="L1137" s="28">
        <f>_xlfn.NUMBERVALUE(LEFT(Activities[[#This Row],[Fiscal Year]], 4))</f>
        <v>2017</v>
      </c>
      <c r="M1137" s="28" t="s">
        <v>1862</v>
      </c>
      <c r="N1137" s="41">
        <v>5458</v>
      </c>
      <c r="O1137" s="93">
        <f>IF(Activities[[#This Row],[Reference Year]]&gt;2018,Activities[[#This Row],[Value]],Activities[[#This Row],[Value]]*(1+VLOOKUP(Activities[[#This Row],[Reference Year]],Inflation[#All],3,FALSE)))</f>
        <v>5603.435324357406</v>
      </c>
    </row>
    <row r="1138" spans="1:15" ht="15" customHeight="1" x14ac:dyDescent="0.25">
      <c r="A1138" s="9" t="s">
        <v>1444</v>
      </c>
      <c r="B1138" s="9" t="str">
        <f>INDEX(Places[Type],MATCH(Activities[[#This Row],[Jurisdiction]],Places[Jurisdiction],0))</f>
        <v>County</v>
      </c>
      <c r="C1138" s="19" t="str">
        <f>INDEX(Places[County],MATCH(Activities[[#This Row],[Jurisdiction]],Places[Jurisdiction],0))</f>
        <v>Orange</v>
      </c>
      <c r="D1138" s="19" t="str">
        <f>INDEX(Places[Majority RB],MATCH(Activities[[#This Row],[Jurisdiction]],Places[Jurisdiction],0))</f>
        <v>Santa Ana</v>
      </c>
      <c r="E1138" s="9">
        <f>INDEX(Places[Majority RB '#],MATCH(Activities[[#This Row],[Jurisdiction]],Places[Jurisdiction],0))</f>
        <v>8</v>
      </c>
      <c r="F1138" s="28" t="str">
        <f>VLOOKUP(Activities[[#This Row],[Jurisdiction]],Places[#All],8,FALSE)</f>
        <v>Phase I MS4</v>
      </c>
      <c r="G1138" s="48" t="s">
        <v>967</v>
      </c>
      <c r="H1138" s="8" t="s">
        <v>491</v>
      </c>
      <c r="I1138" s="8" t="s">
        <v>502</v>
      </c>
      <c r="J1138" s="8" t="s">
        <v>1456</v>
      </c>
      <c r="K1138" s="27" t="s">
        <v>1874</v>
      </c>
      <c r="L1138" s="28">
        <f>_xlfn.NUMBERVALUE(LEFT(Activities[[#This Row],[Fiscal Year]], 4))</f>
        <v>2017</v>
      </c>
      <c r="M1138" s="28" t="s">
        <v>1862</v>
      </c>
      <c r="N1138" s="41">
        <v>39166</v>
      </c>
      <c r="O1138" s="93">
        <f>IF(Activities[[#This Row],[Reference Year]]&gt;2018,Activities[[#This Row],[Value]],Activities[[#This Row],[Value]]*(1+VLOOKUP(Activities[[#This Row],[Reference Year]],Inflation[#All],3,FALSE)))</f>
        <v>40209.62768665851</v>
      </c>
    </row>
    <row r="1139" spans="1:15" ht="15" customHeight="1" x14ac:dyDescent="0.25">
      <c r="A1139" s="9" t="s">
        <v>1444</v>
      </c>
      <c r="B1139" s="9" t="str">
        <f>INDEX(Places[Type],MATCH(Activities[[#This Row],[Jurisdiction]],Places[Jurisdiction],0))</f>
        <v>County</v>
      </c>
      <c r="C1139" s="19" t="str">
        <f>INDEX(Places[County],MATCH(Activities[[#This Row],[Jurisdiction]],Places[Jurisdiction],0))</f>
        <v>Orange</v>
      </c>
      <c r="D1139" s="19" t="str">
        <f>INDEX(Places[Majority RB],MATCH(Activities[[#This Row],[Jurisdiction]],Places[Jurisdiction],0))</f>
        <v>Santa Ana</v>
      </c>
      <c r="E1139" s="9">
        <f>INDEX(Places[Majority RB '#],MATCH(Activities[[#This Row],[Jurisdiction]],Places[Jurisdiction],0))</f>
        <v>8</v>
      </c>
      <c r="F1139" s="28" t="str">
        <f>VLOOKUP(Activities[[#This Row],[Jurisdiction]],Places[#All],8,FALSE)</f>
        <v>Phase I MS4</v>
      </c>
      <c r="G1139" s="48" t="s">
        <v>955</v>
      </c>
      <c r="H1139" s="8" t="s">
        <v>488</v>
      </c>
      <c r="I1139" s="8" t="s">
        <v>502</v>
      </c>
      <c r="J1139" s="8" t="s">
        <v>1894</v>
      </c>
      <c r="K1139" s="27" t="s">
        <v>1874</v>
      </c>
      <c r="L1139" s="28">
        <f>_xlfn.NUMBERVALUE(LEFT(Activities[[#This Row],[Fiscal Year]], 4))</f>
        <v>2017</v>
      </c>
      <c r="M1139" s="28" t="s">
        <v>1862</v>
      </c>
      <c r="N1139" s="41">
        <v>951234</v>
      </c>
      <c r="O1139" s="93">
        <f>IF(Activities[[#This Row],[Reference Year]]&gt;2018,Activities[[#This Row],[Value]],Activities[[#This Row],[Value]]*(1+VLOOKUP(Activities[[#This Row],[Reference Year]],Inflation[#All],3,FALSE)))</f>
        <v>976580.83498164022</v>
      </c>
    </row>
    <row r="1140" spans="1:15" ht="15" customHeight="1" x14ac:dyDescent="0.25">
      <c r="A1140" s="9" t="s">
        <v>1444</v>
      </c>
      <c r="B1140" s="9" t="str">
        <f>INDEX(Places[Type],MATCH(Activities[[#This Row],[Jurisdiction]],Places[Jurisdiction],0))</f>
        <v>County</v>
      </c>
      <c r="C1140" s="19" t="str">
        <f>INDEX(Places[County],MATCH(Activities[[#This Row],[Jurisdiction]],Places[Jurisdiction],0))</f>
        <v>Orange</v>
      </c>
      <c r="D1140" s="19" t="str">
        <f>INDEX(Places[Majority RB],MATCH(Activities[[#This Row],[Jurisdiction]],Places[Jurisdiction],0))</f>
        <v>Santa Ana</v>
      </c>
      <c r="E1140" s="9">
        <f>INDEX(Places[Majority RB '#],MATCH(Activities[[#This Row],[Jurisdiction]],Places[Jurisdiction],0))</f>
        <v>8</v>
      </c>
      <c r="F1140" s="28" t="str">
        <f>VLOOKUP(Activities[[#This Row],[Jurisdiction]],Places[#All],8,FALSE)</f>
        <v>Phase I MS4</v>
      </c>
      <c r="G1140" s="48" t="s">
        <v>964</v>
      </c>
      <c r="H1140" s="8" t="s">
        <v>1913</v>
      </c>
      <c r="I1140" s="8" t="s">
        <v>502</v>
      </c>
      <c r="J1140" s="8" t="s">
        <v>1896</v>
      </c>
      <c r="K1140" s="27" t="s">
        <v>1874</v>
      </c>
      <c r="L1140" s="28">
        <f>_xlfn.NUMBERVALUE(LEFT(Activities[[#This Row],[Fiscal Year]], 4))</f>
        <v>2017</v>
      </c>
      <c r="M1140" s="28" t="s">
        <v>1862</v>
      </c>
      <c r="N1140" s="41">
        <v>212483</v>
      </c>
      <c r="O1140" s="93">
        <f>IF(Activities[[#This Row],[Reference Year]]&gt;2018,Activities[[#This Row],[Value]],Activities[[#This Row],[Value]]*(1+VLOOKUP(Activities[[#This Row],[Reference Year]],Inflation[#All],3,FALSE)))</f>
        <v>218144.8787148103</v>
      </c>
    </row>
    <row r="1141" spans="1:15" ht="15" customHeight="1" x14ac:dyDescent="0.25">
      <c r="A1141" s="9" t="s">
        <v>1444</v>
      </c>
      <c r="B1141" s="9" t="str">
        <f>INDEX(Places[Type],MATCH(Activities[[#This Row],[Jurisdiction]],Places[Jurisdiction],0))</f>
        <v>County</v>
      </c>
      <c r="C1141" s="19" t="str">
        <f>INDEX(Places[County],MATCH(Activities[[#This Row],[Jurisdiction]],Places[Jurisdiction],0))</f>
        <v>Orange</v>
      </c>
      <c r="D1141" s="19" t="str">
        <f>INDEX(Places[Majority RB],MATCH(Activities[[#This Row],[Jurisdiction]],Places[Jurisdiction],0))</f>
        <v>Santa Ana</v>
      </c>
      <c r="E1141" s="9">
        <f>INDEX(Places[Majority RB '#],MATCH(Activities[[#This Row],[Jurisdiction]],Places[Jurisdiction],0))</f>
        <v>8</v>
      </c>
      <c r="F1141" s="28" t="str">
        <f>VLOOKUP(Activities[[#This Row],[Jurisdiction]],Places[#All],8,FALSE)</f>
        <v>Phase I MS4</v>
      </c>
      <c r="G1141" s="48" t="s">
        <v>975</v>
      </c>
      <c r="H1141" s="8"/>
      <c r="I1141" s="8"/>
      <c r="J1141" s="8" t="s">
        <v>1896</v>
      </c>
      <c r="K1141" s="27" t="s">
        <v>1874</v>
      </c>
      <c r="L1141" s="28">
        <v>2017</v>
      </c>
      <c r="M1141" s="28" t="s">
        <v>1862</v>
      </c>
      <c r="N1141" s="41">
        <v>1459561</v>
      </c>
      <c r="O1141" s="93">
        <f>IF(Activities[[#This Row],[Reference Year]]&gt;2018,Activities[[#This Row],[Value]],Activities[[#This Row],[Value]]*(1+VLOOKUP(Activities[[#This Row],[Reference Year]],Inflation[#All],3,FALSE)))</f>
        <v>1498452.8518604652</v>
      </c>
    </row>
    <row r="1142" spans="1:15" ht="15" customHeight="1" x14ac:dyDescent="0.25">
      <c r="A1142" s="9" t="s">
        <v>257</v>
      </c>
      <c r="B1142" s="9" t="str">
        <f>INDEX(Places[Type],MATCH(Activities[[#This Row],[Jurisdiction]],Places[Jurisdiction],0))</f>
        <v>City</v>
      </c>
      <c r="C1142" s="19" t="str">
        <f>INDEX(Places[County],MATCH(Activities[[#This Row],[Jurisdiction]],Places[Jurisdiction],0))</f>
        <v>Ventura</v>
      </c>
      <c r="D1142" s="19" t="str">
        <f>INDEX(Places[Majority RB],MATCH(Activities[[#This Row],[Jurisdiction]],Places[Jurisdiction],0))</f>
        <v>Los Angeles</v>
      </c>
      <c r="E1142" s="9">
        <f>INDEX(Places[Majority RB '#],MATCH(Activities[[#This Row],[Jurisdiction]],Places[Jurisdiction],0))</f>
        <v>4</v>
      </c>
      <c r="F1142" s="28" t="str">
        <f>VLOOKUP(Activities[[#This Row],[Jurisdiction]],Places[#All],8,FALSE)</f>
        <v>Phase I MS4</v>
      </c>
      <c r="G1142" s="48" t="s">
        <v>70</v>
      </c>
      <c r="H1142" s="8"/>
      <c r="I1142" s="8"/>
      <c r="J1142" s="8" t="s">
        <v>1895</v>
      </c>
      <c r="K1142" s="27" t="s">
        <v>1876</v>
      </c>
      <c r="L1142" s="28">
        <f>_xlfn.NUMBERVALUE(LEFT(Activities[[#This Row],[Fiscal Year]], 4))</f>
        <v>2018</v>
      </c>
      <c r="M1142" s="28" t="s">
        <v>1863</v>
      </c>
      <c r="N1142" s="41">
        <v>40000</v>
      </c>
      <c r="O1142" s="93">
        <f>IF(Activities[[#This Row],[Reference Year]]&gt;2018,Activities[[#This Row],[Value]],Activities[[#This Row],[Value]]*(1+VLOOKUP(Activities[[#This Row],[Reference Year]],Inflation[#All],3,FALSE)))</f>
        <v>40000</v>
      </c>
    </row>
    <row r="1143" spans="1:15" ht="15" customHeight="1" x14ac:dyDescent="0.25">
      <c r="A1143" s="9" t="s">
        <v>257</v>
      </c>
      <c r="B1143" s="9" t="str">
        <f>INDEX(Places[Type],MATCH(Activities[[#This Row],[Jurisdiction]],Places[Jurisdiction],0))</f>
        <v>City</v>
      </c>
      <c r="C1143" s="19" t="str">
        <f>INDEX(Places[County],MATCH(Activities[[#This Row],[Jurisdiction]],Places[Jurisdiction],0))</f>
        <v>Ventura</v>
      </c>
      <c r="D1143" s="19" t="str">
        <f>INDEX(Places[Majority RB],MATCH(Activities[[#This Row],[Jurisdiction]],Places[Jurisdiction],0))</f>
        <v>Los Angeles</v>
      </c>
      <c r="E1143" s="9">
        <f>INDEX(Places[Majority RB '#],MATCH(Activities[[#This Row],[Jurisdiction]],Places[Jurisdiction],0))</f>
        <v>4</v>
      </c>
      <c r="F1143" s="28" t="str">
        <f>VLOOKUP(Activities[[#This Row],[Jurisdiction]],Places[#All],8,FALSE)</f>
        <v>Phase I MS4</v>
      </c>
      <c r="G1143" s="48" t="s">
        <v>77</v>
      </c>
      <c r="H1143" s="8"/>
      <c r="I1143" s="8"/>
      <c r="J1143" s="8" t="s">
        <v>131</v>
      </c>
      <c r="K1143" s="27" t="s">
        <v>1876</v>
      </c>
      <c r="L1143" s="28">
        <f>_xlfn.NUMBERVALUE(LEFT(Activities[[#This Row],[Fiscal Year]], 4))</f>
        <v>2018</v>
      </c>
      <c r="M1143" s="28" t="s">
        <v>1863</v>
      </c>
      <c r="N1143" s="41">
        <v>36000</v>
      </c>
      <c r="O1143" s="93">
        <f>IF(Activities[[#This Row],[Reference Year]]&gt;2018,Activities[[#This Row],[Value]],Activities[[#This Row],[Value]]*(1+VLOOKUP(Activities[[#This Row],[Reference Year]],Inflation[#All],3,FALSE)))</f>
        <v>36000</v>
      </c>
    </row>
    <row r="1144" spans="1:15" ht="15" customHeight="1" x14ac:dyDescent="0.25">
      <c r="A1144" s="9" t="s">
        <v>257</v>
      </c>
      <c r="B1144" s="9" t="str">
        <f>INDEX(Places[Type],MATCH(Activities[[#This Row],[Jurisdiction]],Places[Jurisdiction],0))</f>
        <v>City</v>
      </c>
      <c r="C1144" s="19" t="str">
        <f>INDEX(Places[County],MATCH(Activities[[#This Row],[Jurisdiction]],Places[Jurisdiction],0))</f>
        <v>Ventura</v>
      </c>
      <c r="D1144" s="19" t="str">
        <f>INDEX(Places[Majority RB],MATCH(Activities[[#This Row],[Jurisdiction]],Places[Jurisdiction],0))</f>
        <v>Los Angeles</v>
      </c>
      <c r="E1144" s="9">
        <f>INDEX(Places[Majority RB '#],MATCH(Activities[[#This Row],[Jurisdiction]],Places[Jurisdiction],0))</f>
        <v>4</v>
      </c>
      <c r="F1144" s="28" t="str">
        <f>VLOOKUP(Activities[[#This Row],[Jurisdiction]],Places[#All],8,FALSE)</f>
        <v>Phase I MS4</v>
      </c>
      <c r="G1144" s="48" t="s">
        <v>69</v>
      </c>
      <c r="H1144" s="8"/>
      <c r="I1144" s="8"/>
      <c r="J1144" s="8" t="s">
        <v>334</v>
      </c>
      <c r="K1144" s="27" t="s">
        <v>1876</v>
      </c>
      <c r="L1144" s="28">
        <f>_xlfn.NUMBERVALUE(LEFT(Activities[[#This Row],[Fiscal Year]], 4))</f>
        <v>2018</v>
      </c>
      <c r="M1144" s="28" t="s">
        <v>1863</v>
      </c>
      <c r="N1144" s="41">
        <v>382000</v>
      </c>
      <c r="O1144" s="93">
        <f>IF(Activities[[#This Row],[Reference Year]]&gt;2018,Activities[[#This Row],[Value]],Activities[[#This Row],[Value]]*(1+VLOOKUP(Activities[[#This Row],[Reference Year]],Inflation[#All],3,FALSE)))</f>
        <v>382000</v>
      </c>
    </row>
    <row r="1145" spans="1:15" ht="15" customHeight="1" x14ac:dyDescent="0.25">
      <c r="A1145" s="9" t="s">
        <v>257</v>
      </c>
      <c r="B1145" s="9" t="str">
        <f>INDEX(Places[Type],MATCH(Activities[[#This Row],[Jurisdiction]],Places[Jurisdiction],0))</f>
        <v>City</v>
      </c>
      <c r="C1145" s="19" t="str">
        <f>INDEX(Places[County],MATCH(Activities[[#This Row],[Jurisdiction]],Places[Jurisdiction],0))</f>
        <v>Ventura</v>
      </c>
      <c r="D1145" s="19" t="str">
        <f>INDEX(Places[Majority RB],MATCH(Activities[[#This Row],[Jurisdiction]],Places[Jurisdiction],0))</f>
        <v>Los Angeles</v>
      </c>
      <c r="E1145" s="9">
        <f>INDEX(Places[Majority RB '#],MATCH(Activities[[#This Row],[Jurisdiction]],Places[Jurisdiction],0))</f>
        <v>4</v>
      </c>
      <c r="F1145" s="28" t="str">
        <f>VLOOKUP(Activities[[#This Row],[Jurisdiction]],Places[#All],8,FALSE)</f>
        <v>Phase I MS4</v>
      </c>
      <c r="G1145" s="48" t="s">
        <v>71</v>
      </c>
      <c r="H1145" s="8" t="s">
        <v>484</v>
      </c>
      <c r="I1145" s="8" t="s">
        <v>458</v>
      </c>
      <c r="J1145" s="8" t="s">
        <v>71</v>
      </c>
      <c r="K1145" s="27" t="s">
        <v>1876</v>
      </c>
      <c r="L1145" s="28">
        <f>_xlfn.NUMBERVALUE(LEFT(Activities[[#This Row],[Fiscal Year]], 4))</f>
        <v>2018</v>
      </c>
      <c r="M1145" s="28" t="s">
        <v>1863</v>
      </c>
      <c r="N1145" s="41">
        <v>690000</v>
      </c>
      <c r="O1145" s="93">
        <f>IF(Activities[[#This Row],[Reference Year]]&gt;2018,Activities[[#This Row],[Value]],Activities[[#This Row],[Value]]*(1+VLOOKUP(Activities[[#This Row],[Reference Year]],Inflation[#All],3,FALSE)))</f>
        <v>690000</v>
      </c>
    </row>
    <row r="1146" spans="1:15" ht="15" customHeight="1" x14ac:dyDescent="0.25">
      <c r="A1146" s="9" t="s">
        <v>257</v>
      </c>
      <c r="B1146" s="9" t="str">
        <f>INDEX(Places[Type],MATCH(Activities[[#This Row],[Jurisdiction]],Places[Jurisdiction],0))</f>
        <v>City</v>
      </c>
      <c r="C1146" s="19" t="str">
        <f>INDEX(Places[County],MATCH(Activities[[#This Row],[Jurisdiction]],Places[Jurisdiction],0))</f>
        <v>Ventura</v>
      </c>
      <c r="D1146" s="19" t="str">
        <f>INDEX(Places[Majority RB],MATCH(Activities[[#This Row],[Jurisdiction]],Places[Jurisdiction],0))</f>
        <v>Los Angeles</v>
      </c>
      <c r="E1146" s="9">
        <f>INDEX(Places[Majority RB '#],MATCH(Activities[[#This Row],[Jurisdiction]],Places[Jurisdiction],0))</f>
        <v>4</v>
      </c>
      <c r="F1146" s="28" t="str">
        <f>VLOOKUP(Activities[[#This Row],[Jurisdiction]],Places[#All],8,FALSE)</f>
        <v>Phase I MS4</v>
      </c>
      <c r="G1146" s="48" t="s">
        <v>68</v>
      </c>
      <c r="H1146" s="8"/>
      <c r="I1146" s="8"/>
      <c r="J1146" s="8" t="s">
        <v>1456</v>
      </c>
      <c r="K1146" s="27" t="s">
        <v>1876</v>
      </c>
      <c r="L1146" s="28">
        <f>_xlfn.NUMBERVALUE(LEFT(Activities[[#This Row],[Fiscal Year]], 4))</f>
        <v>2018</v>
      </c>
      <c r="M1146" s="28" t="s">
        <v>1863</v>
      </c>
      <c r="N1146" s="41">
        <v>30000</v>
      </c>
      <c r="O1146" s="93">
        <f>IF(Activities[[#This Row],[Reference Year]]&gt;2018,Activities[[#This Row],[Value]],Activities[[#This Row],[Value]]*(1+VLOOKUP(Activities[[#This Row],[Reference Year]],Inflation[#All],3,FALSE)))</f>
        <v>30000</v>
      </c>
    </row>
    <row r="1147" spans="1:15" ht="15" customHeight="1" x14ac:dyDescent="0.25">
      <c r="A1147" s="9" t="s">
        <v>257</v>
      </c>
      <c r="B1147" s="9" t="str">
        <f>INDEX(Places[Type],MATCH(Activities[[#This Row],[Jurisdiction]],Places[Jurisdiction],0))</f>
        <v>City</v>
      </c>
      <c r="C1147" s="19" t="str">
        <f>INDEX(Places[County],MATCH(Activities[[#This Row],[Jurisdiction]],Places[Jurisdiction],0))</f>
        <v>Ventura</v>
      </c>
      <c r="D1147" s="19" t="str">
        <f>INDEX(Places[Majority RB],MATCH(Activities[[#This Row],[Jurisdiction]],Places[Jurisdiction],0))</f>
        <v>Los Angeles</v>
      </c>
      <c r="E1147" s="9">
        <f>INDEX(Places[Majority RB '#],MATCH(Activities[[#This Row],[Jurisdiction]],Places[Jurisdiction],0))</f>
        <v>4</v>
      </c>
      <c r="F1147" s="28" t="str">
        <f>VLOOKUP(Activities[[#This Row],[Jurisdiction]],Places[#All],8,FALSE)</f>
        <v>Phase I MS4</v>
      </c>
      <c r="G1147" s="48" t="s">
        <v>32</v>
      </c>
      <c r="H1147" s="8" t="s">
        <v>608</v>
      </c>
      <c r="I1147" s="94" t="s">
        <v>609</v>
      </c>
      <c r="J1147" s="8" t="s">
        <v>1894</v>
      </c>
      <c r="K1147" s="27" t="s">
        <v>1876</v>
      </c>
      <c r="L1147" s="28">
        <f>_xlfn.NUMBERVALUE(LEFT(Activities[[#This Row],[Fiscal Year]], 4))</f>
        <v>2018</v>
      </c>
      <c r="M1147" s="28" t="s">
        <v>1863</v>
      </c>
      <c r="N1147" s="41">
        <v>89000</v>
      </c>
      <c r="O1147" s="93">
        <f>IF(Activities[[#This Row],[Reference Year]]&gt;2018,Activities[[#This Row],[Value]],Activities[[#This Row],[Value]]*(1+VLOOKUP(Activities[[#This Row],[Reference Year]],Inflation[#All],3,FALSE)))</f>
        <v>89000</v>
      </c>
    </row>
    <row r="1148" spans="1:15" ht="15" customHeight="1" x14ac:dyDescent="0.25">
      <c r="A1148" s="9" t="s">
        <v>257</v>
      </c>
      <c r="B1148" s="9" t="str">
        <f>INDEX(Places[Type],MATCH(Activities[[#This Row],[Jurisdiction]],Places[Jurisdiction],0))</f>
        <v>City</v>
      </c>
      <c r="C1148" s="19" t="str">
        <f>INDEX(Places[County],MATCH(Activities[[#This Row],[Jurisdiction]],Places[Jurisdiction],0))</f>
        <v>Ventura</v>
      </c>
      <c r="D1148" s="19" t="str">
        <f>INDEX(Places[Majority RB],MATCH(Activities[[#This Row],[Jurisdiction]],Places[Jurisdiction],0))</f>
        <v>Los Angeles</v>
      </c>
      <c r="E1148" s="9">
        <f>INDEX(Places[Majority RB '#],MATCH(Activities[[#This Row],[Jurisdiction]],Places[Jurisdiction],0))</f>
        <v>4</v>
      </c>
      <c r="F1148" s="28" t="str">
        <f>VLOOKUP(Activities[[#This Row],[Jurisdiction]],Places[#All],8,FALSE)</f>
        <v>Phase I MS4</v>
      </c>
      <c r="G1148" s="48" t="s">
        <v>67</v>
      </c>
      <c r="H1148" s="8"/>
      <c r="I1148" s="8"/>
      <c r="J1148" s="8" t="s">
        <v>1896</v>
      </c>
      <c r="K1148" s="27" t="s">
        <v>1876</v>
      </c>
      <c r="L1148" s="28">
        <f>_xlfn.NUMBERVALUE(LEFT(Activities[[#This Row],[Fiscal Year]], 4))</f>
        <v>2018</v>
      </c>
      <c r="M1148" s="28" t="s">
        <v>1863</v>
      </c>
      <c r="N1148" s="41">
        <v>49000</v>
      </c>
      <c r="O1148" s="93">
        <f>IF(Activities[[#This Row],[Reference Year]]&gt;2018,Activities[[#This Row],[Value]],Activities[[#This Row],[Value]]*(1+VLOOKUP(Activities[[#This Row],[Reference Year]],Inflation[#All],3,FALSE)))</f>
        <v>49000</v>
      </c>
    </row>
    <row r="1149" spans="1:15" ht="15" customHeight="1" x14ac:dyDescent="0.25">
      <c r="A1149" s="9" t="s">
        <v>257</v>
      </c>
      <c r="B1149" s="9" t="str">
        <f>INDEX(Places[Type],MATCH(Activities[[#This Row],[Jurisdiction]],Places[Jurisdiction],0))</f>
        <v>City</v>
      </c>
      <c r="C1149" s="19" t="str">
        <f>INDEX(Places[County],MATCH(Activities[[#This Row],[Jurisdiction]],Places[Jurisdiction],0))</f>
        <v>Ventura</v>
      </c>
      <c r="D1149" s="19" t="str">
        <f>INDEX(Places[Majority RB],MATCH(Activities[[#This Row],[Jurisdiction]],Places[Jurisdiction],0))</f>
        <v>Los Angeles</v>
      </c>
      <c r="E1149" s="9">
        <f>INDEX(Places[Majority RB '#],MATCH(Activities[[#This Row],[Jurisdiction]],Places[Jurisdiction],0))</f>
        <v>4</v>
      </c>
      <c r="F1149" s="28" t="str">
        <f>VLOOKUP(Activities[[#This Row],[Jurisdiction]],Places[#All],8,FALSE)</f>
        <v>Phase I MS4</v>
      </c>
      <c r="G1149" s="48" t="s">
        <v>79</v>
      </c>
      <c r="H1149" s="8" t="s">
        <v>483</v>
      </c>
      <c r="I1149" s="8" t="s">
        <v>458</v>
      </c>
      <c r="J1149" s="8" t="s">
        <v>1896</v>
      </c>
      <c r="K1149" s="27" t="s">
        <v>1876</v>
      </c>
      <c r="L1149" s="28">
        <f>_xlfn.NUMBERVALUE(LEFT(Activities[[#This Row],[Fiscal Year]], 4))</f>
        <v>2018</v>
      </c>
      <c r="M1149" s="28" t="s">
        <v>1863</v>
      </c>
      <c r="N1149" s="41">
        <v>120000</v>
      </c>
      <c r="O1149" s="93">
        <f>IF(Activities[[#This Row],[Reference Year]]&gt;2018,Activities[[#This Row],[Value]],Activities[[#This Row],[Value]]*(1+VLOOKUP(Activities[[#This Row],[Reference Year]],Inflation[#All],3,FALSE)))</f>
        <v>120000</v>
      </c>
    </row>
    <row r="1150" spans="1:15" ht="15" customHeight="1" x14ac:dyDescent="0.25">
      <c r="A1150" s="9" t="s">
        <v>257</v>
      </c>
      <c r="B1150" s="9" t="str">
        <f>INDEX(Places[Type],MATCH(Activities[[#This Row],[Jurisdiction]],Places[Jurisdiction],0))</f>
        <v>City</v>
      </c>
      <c r="C1150" s="19" t="str">
        <f>INDEX(Places[County],MATCH(Activities[[#This Row],[Jurisdiction]],Places[Jurisdiction],0))</f>
        <v>Ventura</v>
      </c>
      <c r="D1150" s="19" t="str">
        <f>INDEX(Places[Majority RB],MATCH(Activities[[#This Row],[Jurisdiction]],Places[Jurisdiction],0))</f>
        <v>Los Angeles</v>
      </c>
      <c r="E1150" s="9">
        <f>INDEX(Places[Majority RB '#],MATCH(Activities[[#This Row],[Jurisdiction]],Places[Jurisdiction],0))</f>
        <v>4</v>
      </c>
      <c r="F1150" s="28" t="str">
        <f>VLOOKUP(Activities[[#This Row],[Jurisdiction]],Places[#All],8,FALSE)</f>
        <v>Phase I MS4</v>
      </c>
      <c r="G1150" s="48" t="s">
        <v>78</v>
      </c>
      <c r="H1150" s="8"/>
      <c r="I1150" s="8"/>
      <c r="J1150" s="8" t="s">
        <v>47</v>
      </c>
      <c r="K1150" s="27" t="s">
        <v>1876</v>
      </c>
      <c r="L1150" s="28">
        <f>_xlfn.NUMBERVALUE(LEFT(Activities[[#This Row],[Fiscal Year]], 4))</f>
        <v>2018</v>
      </c>
      <c r="M1150" s="28" t="s">
        <v>1863</v>
      </c>
      <c r="N1150" s="41">
        <v>25000</v>
      </c>
      <c r="O1150" s="93">
        <f>IF(Activities[[#This Row],[Reference Year]]&gt;2018,Activities[[#This Row],[Value]],Activities[[#This Row],[Value]]*(1+VLOOKUP(Activities[[#This Row],[Reference Year]],Inflation[#All],3,FALSE)))</f>
        <v>25000</v>
      </c>
    </row>
    <row r="1151" spans="1:15" ht="15" customHeight="1" x14ac:dyDescent="0.25">
      <c r="A1151" s="9" t="s">
        <v>257</v>
      </c>
      <c r="B1151" s="9" t="str">
        <f>INDEX(Places[Type],MATCH(Activities[[#This Row],[Jurisdiction]],Places[Jurisdiction],0))</f>
        <v>City</v>
      </c>
      <c r="C1151" s="19" t="str">
        <f>INDEX(Places[County],MATCH(Activities[[#This Row],[Jurisdiction]],Places[Jurisdiction],0))</f>
        <v>Ventura</v>
      </c>
      <c r="D1151" s="19" t="str">
        <f>INDEX(Places[Majority RB],MATCH(Activities[[#This Row],[Jurisdiction]],Places[Jurisdiction],0))</f>
        <v>Los Angeles</v>
      </c>
      <c r="E1151" s="9">
        <f>INDEX(Places[Majority RB '#],MATCH(Activities[[#This Row],[Jurisdiction]],Places[Jurisdiction],0))</f>
        <v>4</v>
      </c>
      <c r="F1151" s="28" t="str">
        <f>VLOOKUP(Activities[[#This Row],[Jurisdiction]],Places[#All],8,FALSE)</f>
        <v>Phase I MS4</v>
      </c>
      <c r="G1151" s="48" t="s">
        <v>80</v>
      </c>
      <c r="H1151" s="8"/>
      <c r="I1151" s="8"/>
      <c r="J1151" s="8" t="s">
        <v>605</v>
      </c>
      <c r="K1151" s="27" t="s">
        <v>1876</v>
      </c>
      <c r="L1151" s="28">
        <f>_xlfn.NUMBERVALUE(LEFT(Activities[[#This Row],[Fiscal Year]], 4))</f>
        <v>2018</v>
      </c>
      <c r="M1151" s="28" t="s">
        <v>1863</v>
      </c>
      <c r="N1151" s="41">
        <v>106000</v>
      </c>
      <c r="O1151" s="93">
        <f>IF(Activities[[#This Row],[Reference Year]]&gt;2018,Activities[[#This Row],[Value]],Activities[[#This Row],[Value]]*(1+VLOOKUP(Activities[[#This Row],[Reference Year]],Inflation[#All],3,FALSE)))</f>
        <v>106000</v>
      </c>
    </row>
    <row r="1152" spans="1:15" ht="15" customHeight="1" x14ac:dyDescent="0.25">
      <c r="A1152" s="9" t="s">
        <v>176</v>
      </c>
      <c r="B1152" s="9" t="str">
        <f>INDEX(Places[Type],MATCH(Activities[[#This Row],[Jurisdiction]],Places[Jurisdiction],0))</f>
        <v>City</v>
      </c>
      <c r="C1152" s="19" t="str">
        <f>INDEX(Places[County],MATCH(Activities[[#This Row],[Jurisdiction]],Places[Jurisdiction],0))</f>
        <v>Los Angeles</v>
      </c>
      <c r="D1152" s="19" t="str">
        <f>INDEX(Places[Majority RB],MATCH(Activities[[#This Row],[Jurisdiction]],Places[Jurisdiction],0))</f>
        <v>Los Angeles</v>
      </c>
      <c r="E1152" s="9">
        <f>INDEX(Places[Majority RB '#],MATCH(Activities[[#This Row],[Jurisdiction]],Places[Jurisdiction],0))</f>
        <v>4</v>
      </c>
      <c r="F1152" s="28" t="str">
        <f>VLOOKUP(Activities[[#This Row],[Jurisdiction]],Places[#All],8,FALSE)</f>
        <v>Phase I MS4</v>
      </c>
      <c r="G1152" s="48" t="s">
        <v>849</v>
      </c>
      <c r="H1152" s="8"/>
      <c r="I1152" s="8"/>
      <c r="J1152" s="8" t="s">
        <v>131</v>
      </c>
      <c r="K1152" s="27" t="s">
        <v>1873</v>
      </c>
      <c r="L1152" s="28">
        <f>_xlfn.NUMBERVALUE(LEFT(Activities[[#This Row],[Fiscal Year]], 4))</f>
        <v>2015</v>
      </c>
      <c r="M1152" s="28" t="s">
        <v>1862</v>
      </c>
      <c r="N1152" s="41">
        <v>4840</v>
      </c>
      <c r="O1152" s="93">
        <f>IF(Activities[[#This Row],[Reference Year]]&gt;2018,Activities[[#This Row],[Value]],Activities[[#This Row],[Value]]*(1+VLOOKUP(Activities[[#This Row],[Reference Year]],Inflation[#All],3,FALSE)))</f>
        <v>5138.7934177215184</v>
      </c>
    </row>
    <row r="1153" spans="1:15" ht="15" customHeight="1" x14ac:dyDescent="0.25">
      <c r="A1153" s="9" t="s">
        <v>176</v>
      </c>
      <c r="B1153" s="9" t="str">
        <f>INDEX(Places[Type],MATCH(Activities[[#This Row],[Jurisdiction]],Places[Jurisdiction],0))</f>
        <v>City</v>
      </c>
      <c r="C1153" s="19" t="str">
        <f>INDEX(Places[County],MATCH(Activities[[#This Row],[Jurisdiction]],Places[Jurisdiction],0))</f>
        <v>Los Angeles</v>
      </c>
      <c r="D1153" s="19" t="str">
        <f>INDEX(Places[Majority RB],MATCH(Activities[[#This Row],[Jurisdiction]],Places[Jurisdiction],0))</f>
        <v>Los Angeles</v>
      </c>
      <c r="E1153" s="9">
        <f>INDEX(Places[Majority RB '#],MATCH(Activities[[#This Row],[Jurisdiction]],Places[Jurisdiction],0))</f>
        <v>4</v>
      </c>
      <c r="F1153" s="28" t="str">
        <f>VLOOKUP(Activities[[#This Row],[Jurisdiction]],Places[#All],8,FALSE)</f>
        <v>Phase I MS4</v>
      </c>
      <c r="G1153" s="48" t="s">
        <v>845</v>
      </c>
      <c r="H1153" s="8"/>
      <c r="I1153" s="8"/>
      <c r="J1153" s="8" t="s">
        <v>334</v>
      </c>
      <c r="K1153" s="27" t="s">
        <v>1873</v>
      </c>
      <c r="L1153" s="28">
        <f>_xlfn.NUMBERVALUE(LEFT(Activities[[#This Row],[Fiscal Year]], 4))</f>
        <v>2015</v>
      </c>
      <c r="M1153" s="28" t="s">
        <v>1862</v>
      </c>
      <c r="N1153" s="41">
        <v>502.5</v>
      </c>
      <c r="O1153" s="93">
        <f>IF(Activities[[#This Row],[Reference Year]]&gt;2018,Activities[[#This Row],[Value]],Activities[[#This Row],[Value]]*(1+VLOOKUP(Activities[[#This Row],[Reference Year]],Inflation[#All],3,FALSE)))</f>
        <v>533.52142405063285</v>
      </c>
    </row>
    <row r="1154" spans="1:15" ht="15" customHeight="1" x14ac:dyDescent="0.25">
      <c r="A1154" s="9" t="s">
        <v>176</v>
      </c>
      <c r="B1154" s="9" t="str">
        <f>INDEX(Places[Type],MATCH(Activities[[#This Row],[Jurisdiction]],Places[Jurisdiction],0))</f>
        <v>City</v>
      </c>
      <c r="C1154" s="19" t="str">
        <f>INDEX(Places[County],MATCH(Activities[[#This Row],[Jurisdiction]],Places[Jurisdiction],0))</f>
        <v>Los Angeles</v>
      </c>
      <c r="D1154" s="19" t="str">
        <f>INDEX(Places[Majority RB],MATCH(Activities[[#This Row],[Jurisdiction]],Places[Jurisdiction],0))</f>
        <v>Los Angeles</v>
      </c>
      <c r="E1154" s="9">
        <f>INDEX(Places[Majority RB '#],MATCH(Activities[[#This Row],[Jurisdiction]],Places[Jurisdiction],0))</f>
        <v>4</v>
      </c>
      <c r="F1154" s="28" t="str">
        <f>VLOOKUP(Activities[[#This Row],[Jurisdiction]],Places[#All],8,FALSE)</f>
        <v>Phase I MS4</v>
      </c>
      <c r="G1154" s="48" t="s">
        <v>857</v>
      </c>
      <c r="H1154" s="8"/>
      <c r="I1154" s="8"/>
      <c r="J1154" s="8" t="s">
        <v>1897</v>
      </c>
      <c r="K1154" s="27" t="s">
        <v>1873</v>
      </c>
      <c r="L1154" s="28">
        <f>_xlfn.NUMBERVALUE(LEFT(Activities[[#This Row],[Fiscal Year]], 4))</f>
        <v>2015</v>
      </c>
      <c r="M1154" s="28" t="s">
        <v>1862</v>
      </c>
      <c r="N1154" s="41">
        <v>22127.5</v>
      </c>
      <c r="O1154" s="93">
        <f>IF(Activities[[#This Row],[Reference Year]]&gt;2018,Activities[[#This Row],[Value]],Activities[[#This Row],[Value]]*(1+VLOOKUP(Activities[[#This Row],[Reference Year]],Inflation[#All],3,FALSE)))</f>
        <v>23493.523006329113</v>
      </c>
    </row>
    <row r="1155" spans="1:15" ht="15" customHeight="1" x14ac:dyDescent="0.25">
      <c r="A1155" s="9" t="s">
        <v>176</v>
      </c>
      <c r="B1155" s="9" t="str">
        <f>INDEX(Places[Type],MATCH(Activities[[#This Row],[Jurisdiction]],Places[Jurisdiction],0))</f>
        <v>City</v>
      </c>
      <c r="C1155" s="19" t="str">
        <f>INDEX(Places[County],MATCH(Activities[[#This Row],[Jurisdiction]],Places[Jurisdiction],0))</f>
        <v>Los Angeles</v>
      </c>
      <c r="D1155" s="19" t="str">
        <f>INDEX(Places[Majority RB],MATCH(Activities[[#This Row],[Jurisdiction]],Places[Jurisdiction],0))</f>
        <v>Los Angeles</v>
      </c>
      <c r="E1155" s="9">
        <f>INDEX(Places[Majority RB '#],MATCH(Activities[[#This Row],[Jurisdiction]],Places[Jurisdiction],0))</f>
        <v>4</v>
      </c>
      <c r="F1155" s="28" t="str">
        <f>VLOOKUP(Activities[[#This Row],[Jurisdiction]],Places[#All],8,FALSE)</f>
        <v>Phase I MS4</v>
      </c>
      <c r="G1155" s="48" t="s">
        <v>846</v>
      </c>
      <c r="H1155" s="8"/>
      <c r="I1155" s="8"/>
      <c r="J1155" s="8" t="s">
        <v>1898</v>
      </c>
      <c r="K1155" s="27" t="s">
        <v>1873</v>
      </c>
      <c r="L1155" s="28">
        <f>_xlfn.NUMBERVALUE(LEFT(Activities[[#This Row],[Fiscal Year]], 4))</f>
        <v>2015</v>
      </c>
      <c r="M1155" s="28" t="s">
        <v>1862</v>
      </c>
      <c r="N1155" s="41">
        <v>90</v>
      </c>
      <c r="O1155" s="93">
        <f>IF(Activities[[#This Row],[Reference Year]]&gt;2018,Activities[[#This Row],[Value]],Activities[[#This Row],[Value]]*(1+VLOOKUP(Activities[[#This Row],[Reference Year]],Inflation[#All],3,FALSE)))</f>
        <v>95.556075949367084</v>
      </c>
    </row>
    <row r="1156" spans="1:15" ht="15" customHeight="1" x14ac:dyDescent="0.25">
      <c r="A1156" s="9" t="s">
        <v>176</v>
      </c>
      <c r="B1156" s="9" t="str">
        <f>INDEX(Places[Type],MATCH(Activities[[#This Row],[Jurisdiction]],Places[Jurisdiction],0))</f>
        <v>City</v>
      </c>
      <c r="C1156" s="19" t="str">
        <f>INDEX(Places[County],MATCH(Activities[[#This Row],[Jurisdiction]],Places[Jurisdiction],0))</f>
        <v>Los Angeles</v>
      </c>
      <c r="D1156" s="19" t="str">
        <f>INDEX(Places[Majority RB],MATCH(Activities[[#This Row],[Jurisdiction]],Places[Jurisdiction],0))</f>
        <v>Los Angeles</v>
      </c>
      <c r="E1156" s="9">
        <f>INDEX(Places[Majority RB '#],MATCH(Activities[[#This Row],[Jurisdiction]],Places[Jurisdiction],0))</f>
        <v>4</v>
      </c>
      <c r="F1156" s="28" t="str">
        <f>VLOOKUP(Activities[[#This Row],[Jurisdiction]],Places[#All],8,FALSE)</f>
        <v>Phase I MS4</v>
      </c>
      <c r="G1156" s="48" t="s">
        <v>844</v>
      </c>
      <c r="H1156" s="8"/>
      <c r="I1156" s="8"/>
      <c r="J1156" s="8" t="s">
        <v>1456</v>
      </c>
      <c r="K1156" s="27" t="s">
        <v>1873</v>
      </c>
      <c r="L1156" s="28">
        <f>_xlfn.NUMBERVALUE(LEFT(Activities[[#This Row],[Fiscal Year]], 4))</f>
        <v>2015</v>
      </c>
      <c r="M1156" s="28" t="s">
        <v>1862</v>
      </c>
      <c r="N1156" s="41">
        <v>4667.5</v>
      </c>
      <c r="O1156" s="93">
        <f>IF(Activities[[#This Row],[Reference Year]]&gt;2018,Activities[[#This Row],[Value]],Activities[[#This Row],[Value]]*(1+VLOOKUP(Activities[[#This Row],[Reference Year]],Inflation[#All],3,FALSE)))</f>
        <v>4955.6442721518988</v>
      </c>
    </row>
    <row r="1157" spans="1:15" ht="15" customHeight="1" x14ac:dyDescent="0.25">
      <c r="A1157" s="9" t="s">
        <v>176</v>
      </c>
      <c r="B1157" s="9" t="str">
        <f>INDEX(Places[Type],MATCH(Activities[[#This Row],[Jurisdiction]],Places[Jurisdiction],0))</f>
        <v>City</v>
      </c>
      <c r="C1157" s="19" t="str">
        <f>INDEX(Places[County],MATCH(Activities[[#This Row],[Jurisdiction]],Places[Jurisdiction],0))</f>
        <v>Los Angeles</v>
      </c>
      <c r="D1157" s="19" t="str">
        <f>INDEX(Places[Majority RB],MATCH(Activities[[#This Row],[Jurisdiction]],Places[Jurisdiction],0))</f>
        <v>Los Angeles</v>
      </c>
      <c r="E1157" s="9">
        <f>INDEX(Places[Majority RB '#],MATCH(Activities[[#This Row],[Jurisdiction]],Places[Jurisdiction],0))</f>
        <v>4</v>
      </c>
      <c r="F1157" s="28" t="str">
        <f>VLOOKUP(Activities[[#This Row],[Jurisdiction]],Places[#All],8,FALSE)</f>
        <v>Phase I MS4</v>
      </c>
      <c r="G1157" s="56" t="s">
        <v>829</v>
      </c>
      <c r="H1157" s="8"/>
      <c r="I1157" s="8"/>
      <c r="J1157" s="8" t="s">
        <v>1894</v>
      </c>
      <c r="K1157" s="27" t="s">
        <v>1873</v>
      </c>
      <c r="L1157" s="28">
        <f>_xlfn.NUMBERVALUE(LEFT(Activities[[#This Row],[Fiscal Year]], 4))</f>
        <v>2015</v>
      </c>
      <c r="M1157" s="28" t="s">
        <v>1862</v>
      </c>
      <c r="N1157" s="41">
        <v>27127.5</v>
      </c>
      <c r="O1157" s="93">
        <f>IF(Activities[[#This Row],[Reference Year]]&gt;2018,Activities[[#This Row],[Value]],Activities[[#This Row],[Value]]*(1+VLOOKUP(Activities[[#This Row],[Reference Year]],Inflation[#All],3,FALSE)))</f>
        <v>28802.193892405063</v>
      </c>
    </row>
    <row r="1158" spans="1:15" ht="15" customHeight="1" x14ac:dyDescent="0.25">
      <c r="A1158" s="9" t="s">
        <v>176</v>
      </c>
      <c r="B1158" s="9" t="str">
        <f>INDEX(Places[Type],MATCH(Activities[[#This Row],[Jurisdiction]],Places[Jurisdiction],0))</f>
        <v>City</v>
      </c>
      <c r="C1158" s="19" t="str">
        <f>INDEX(Places[County],MATCH(Activities[[#This Row],[Jurisdiction]],Places[Jurisdiction],0))</f>
        <v>Los Angeles</v>
      </c>
      <c r="D1158" s="19" t="str">
        <f>INDEX(Places[Majority RB],MATCH(Activities[[#This Row],[Jurisdiction]],Places[Jurisdiction],0))</f>
        <v>Los Angeles</v>
      </c>
      <c r="E1158" s="9">
        <f>INDEX(Places[Majority RB '#],MATCH(Activities[[#This Row],[Jurisdiction]],Places[Jurisdiction],0))</f>
        <v>4</v>
      </c>
      <c r="F1158" s="28" t="str">
        <f>VLOOKUP(Activities[[#This Row],[Jurisdiction]],Places[#All],8,FALSE)</f>
        <v>Phase I MS4</v>
      </c>
      <c r="G1158" s="56" t="s">
        <v>854</v>
      </c>
      <c r="H1158" s="8"/>
      <c r="I1158" s="8"/>
      <c r="J1158" s="8" t="s">
        <v>47</v>
      </c>
      <c r="K1158" s="27" t="s">
        <v>1873</v>
      </c>
      <c r="L1158" s="28">
        <f>_xlfn.NUMBERVALUE(LEFT(Activities[[#This Row],[Fiscal Year]], 4))</f>
        <v>2015</v>
      </c>
      <c r="M1158" s="28" t="s">
        <v>1862</v>
      </c>
      <c r="N1158" s="41">
        <v>15613</v>
      </c>
      <c r="O1158" s="93">
        <f>IF(Activities[[#This Row],[Reference Year]]&gt;2018,Activities[[#This Row],[Value]],Activities[[#This Row],[Value]]*(1+VLOOKUP(Activities[[#This Row],[Reference Year]],Inflation[#All],3,FALSE)))</f>
        <v>16576.855708860759</v>
      </c>
    </row>
    <row r="1159" spans="1:15" ht="15" customHeight="1" x14ac:dyDescent="0.25">
      <c r="A1159" s="9" t="s">
        <v>176</v>
      </c>
      <c r="B1159" s="9" t="str">
        <f>INDEX(Places[Type],MATCH(Activities[[#This Row],[Jurisdiction]],Places[Jurisdiction],0))</f>
        <v>City</v>
      </c>
      <c r="C1159" s="19" t="str">
        <f>INDEX(Places[County],MATCH(Activities[[#This Row],[Jurisdiction]],Places[Jurisdiction],0))</f>
        <v>Los Angeles</v>
      </c>
      <c r="D1159" s="19" t="str">
        <f>INDEX(Places[Majority RB],MATCH(Activities[[#This Row],[Jurisdiction]],Places[Jurisdiction],0))</f>
        <v>Los Angeles</v>
      </c>
      <c r="E1159" s="9">
        <f>INDEX(Places[Majority RB '#],MATCH(Activities[[#This Row],[Jurisdiction]],Places[Jurisdiction],0))</f>
        <v>4</v>
      </c>
      <c r="F1159" s="28" t="str">
        <f>VLOOKUP(Activities[[#This Row],[Jurisdiction]],Places[#All],8,FALSE)</f>
        <v>Phase I MS4</v>
      </c>
      <c r="G1159" s="56" t="s">
        <v>924</v>
      </c>
      <c r="H1159" s="8"/>
      <c r="I1159" s="8"/>
      <c r="J1159" s="8" t="s">
        <v>605</v>
      </c>
      <c r="K1159" s="27" t="s">
        <v>1873</v>
      </c>
      <c r="L1159" s="28">
        <f>_xlfn.NUMBERVALUE(LEFT(Activities[[#This Row],[Fiscal Year]], 4))</f>
        <v>2015</v>
      </c>
      <c r="M1159" s="28" t="s">
        <v>1862</v>
      </c>
      <c r="N1159" s="41">
        <v>24961</v>
      </c>
      <c r="O1159" s="93">
        <f>IF(Activities[[#This Row],[Reference Year]]&gt;2018,Activities[[#This Row],[Value]],Activities[[#This Row],[Value]]*(1+VLOOKUP(Activities[[#This Row],[Reference Year]],Inflation[#All],3,FALSE)))</f>
        <v>26501.946797468354</v>
      </c>
    </row>
    <row r="1160" spans="1:15" ht="15" customHeight="1" x14ac:dyDescent="0.25">
      <c r="A1160" s="9" t="s">
        <v>212</v>
      </c>
      <c r="B1160" s="9" t="str">
        <f>INDEX(Places[Type],MATCH(Activities[[#This Row],[Jurisdiction]],Places[Jurisdiction],0))</f>
        <v>City</v>
      </c>
      <c r="C1160" s="19" t="str">
        <f>INDEX(Places[County],MATCH(Activities[[#This Row],[Jurisdiction]],Places[Jurisdiction],0))</f>
        <v>Los Angeles</v>
      </c>
      <c r="D1160" s="19" t="str">
        <f>INDEX(Places[Majority RB],MATCH(Activities[[#This Row],[Jurisdiction]],Places[Jurisdiction],0))</f>
        <v>Los Angeles</v>
      </c>
      <c r="E1160" s="9">
        <f>INDEX(Places[Majority RB '#],MATCH(Activities[[#This Row],[Jurisdiction]],Places[Jurisdiction],0))</f>
        <v>4</v>
      </c>
      <c r="F1160" s="28" t="str">
        <f>VLOOKUP(Activities[[#This Row],[Jurisdiction]],Places[#All],8,FALSE)</f>
        <v>Phase I MS4</v>
      </c>
      <c r="G1160" s="48" t="s">
        <v>65</v>
      </c>
      <c r="H1160" s="8"/>
      <c r="I1160" s="8"/>
      <c r="J1160" s="8" t="s">
        <v>76</v>
      </c>
      <c r="K1160" s="27" t="s">
        <v>1873</v>
      </c>
      <c r="L1160" s="28">
        <f>_xlfn.NUMBERVALUE(LEFT(Activities[[#This Row],[Fiscal Year]], 4))</f>
        <v>2015</v>
      </c>
      <c r="M1160" s="28" t="s">
        <v>1862</v>
      </c>
      <c r="N1160" s="41">
        <v>20000</v>
      </c>
      <c r="O1160" s="93">
        <f>IF(Activities[[#This Row],[Reference Year]]&gt;2018,Activities[[#This Row],[Value]],Activities[[#This Row],[Value]]*(1+VLOOKUP(Activities[[#This Row],[Reference Year]],Inflation[#All],3,FALSE)))</f>
        <v>21234.683544303796</v>
      </c>
    </row>
    <row r="1161" spans="1:15" ht="15" customHeight="1" x14ac:dyDescent="0.25">
      <c r="A1161" s="9" t="s">
        <v>212</v>
      </c>
      <c r="B1161" s="9" t="str">
        <f>INDEX(Places[Type],MATCH(Activities[[#This Row],[Jurisdiction]],Places[Jurisdiction],0))</f>
        <v>City</v>
      </c>
      <c r="C1161" s="19" t="str">
        <f>INDEX(Places[County],MATCH(Activities[[#This Row],[Jurisdiction]],Places[Jurisdiction],0))</f>
        <v>Los Angeles</v>
      </c>
      <c r="D1161" s="19" t="str">
        <f>INDEX(Places[Majority RB],MATCH(Activities[[#This Row],[Jurisdiction]],Places[Jurisdiction],0))</f>
        <v>Los Angeles</v>
      </c>
      <c r="E1161" s="9">
        <f>INDEX(Places[Majority RB '#],MATCH(Activities[[#This Row],[Jurisdiction]],Places[Jurisdiction],0))</f>
        <v>4</v>
      </c>
      <c r="F1161" s="28" t="str">
        <f>VLOOKUP(Activities[[#This Row],[Jurisdiction]],Places[#All],8,FALSE)</f>
        <v>Phase I MS4</v>
      </c>
      <c r="G1161" s="48" t="s">
        <v>64</v>
      </c>
      <c r="H1161" s="8"/>
      <c r="I1161" s="8"/>
      <c r="J1161" s="8" t="s">
        <v>76</v>
      </c>
      <c r="K1161" s="27" t="s">
        <v>1873</v>
      </c>
      <c r="L1161" s="28">
        <f>_xlfn.NUMBERVALUE(LEFT(Activities[[#This Row],[Fiscal Year]], 4))</f>
        <v>2015</v>
      </c>
      <c r="M1161" s="28" t="s">
        <v>1862</v>
      </c>
      <c r="N1161" s="41">
        <v>3003000</v>
      </c>
      <c r="O1161" s="93">
        <f>IF(Activities[[#This Row],[Reference Year]]&gt;2018,Activities[[#This Row],[Value]],Activities[[#This Row],[Value]]*(1+VLOOKUP(Activities[[#This Row],[Reference Year]],Inflation[#All],3,FALSE)))</f>
        <v>3188387.734177215</v>
      </c>
    </row>
    <row r="1162" spans="1:15" ht="15" customHeight="1" x14ac:dyDescent="0.25">
      <c r="A1162" s="9" t="s">
        <v>212</v>
      </c>
      <c r="B1162" s="9" t="str">
        <f>INDEX(Places[Type],MATCH(Activities[[#This Row],[Jurisdiction]],Places[Jurisdiction],0))</f>
        <v>City</v>
      </c>
      <c r="C1162" s="19" t="str">
        <f>INDEX(Places[County],MATCH(Activities[[#This Row],[Jurisdiction]],Places[Jurisdiction],0))</f>
        <v>Los Angeles</v>
      </c>
      <c r="D1162" s="19" t="str">
        <f>INDEX(Places[Majority RB],MATCH(Activities[[#This Row],[Jurisdiction]],Places[Jurisdiction],0))</f>
        <v>Los Angeles</v>
      </c>
      <c r="E1162" s="9">
        <f>INDEX(Places[Majority RB '#],MATCH(Activities[[#This Row],[Jurisdiction]],Places[Jurisdiction],0))</f>
        <v>4</v>
      </c>
      <c r="F1162" s="28" t="str">
        <f>VLOOKUP(Activities[[#This Row],[Jurisdiction]],Places[#All],8,FALSE)</f>
        <v>Phase I MS4</v>
      </c>
      <c r="G1162" s="48" t="s">
        <v>62</v>
      </c>
      <c r="H1162" s="8"/>
      <c r="I1162" s="8"/>
      <c r="J1162" s="8" t="s">
        <v>131</v>
      </c>
      <c r="K1162" s="27" t="s">
        <v>1873</v>
      </c>
      <c r="L1162" s="28">
        <f>_xlfn.NUMBERVALUE(LEFT(Activities[[#This Row],[Fiscal Year]], 4))</f>
        <v>2015</v>
      </c>
      <c r="M1162" s="28" t="s">
        <v>1862</v>
      </c>
      <c r="N1162" s="41">
        <v>2500</v>
      </c>
      <c r="O1162" s="93">
        <f>IF(Activities[[#This Row],[Reference Year]]&gt;2018,Activities[[#This Row],[Value]],Activities[[#This Row],[Value]]*(1+VLOOKUP(Activities[[#This Row],[Reference Year]],Inflation[#All],3,FALSE)))</f>
        <v>2654.3354430379745</v>
      </c>
    </row>
    <row r="1163" spans="1:15" ht="15" customHeight="1" x14ac:dyDescent="0.25">
      <c r="A1163" s="9" t="s">
        <v>212</v>
      </c>
      <c r="B1163" s="9" t="str">
        <f>INDEX(Places[Type],MATCH(Activities[[#This Row],[Jurisdiction]],Places[Jurisdiction],0))</f>
        <v>City</v>
      </c>
      <c r="C1163" s="19" t="str">
        <f>INDEX(Places[County],MATCH(Activities[[#This Row],[Jurisdiction]],Places[Jurisdiction],0))</f>
        <v>Los Angeles</v>
      </c>
      <c r="D1163" s="19" t="str">
        <f>INDEX(Places[Majority RB],MATCH(Activities[[#This Row],[Jurisdiction]],Places[Jurisdiction],0))</f>
        <v>Los Angeles</v>
      </c>
      <c r="E1163" s="9">
        <f>INDEX(Places[Majority RB '#],MATCH(Activities[[#This Row],[Jurisdiction]],Places[Jurisdiction],0))</f>
        <v>4</v>
      </c>
      <c r="F1163" s="28" t="str">
        <f>VLOOKUP(Activities[[#This Row],[Jurisdiction]],Places[#All],8,FALSE)</f>
        <v>Phase I MS4</v>
      </c>
      <c r="G1163" s="48" t="s">
        <v>208</v>
      </c>
      <c r="H1163" s="8"/>
      <c r="I1163" s="8"/>
      <c r="J1163" s="8" t="s">
        <v>334</v>
      </c>
      <c r="K1163" s="27" t="s">
        <v>1873</v>
      </c>
      <c r="L1163" s="28">
        <f>_xlfn.NUMBERVALUE(LEFT(Activities[[#This Row],[Fiscal Year]], 4))</f>
        <v>2015</v>
      </c>
      <c r="M1163" s="28" t="s">
        <v>1862</v>
      </c>
      <c r="N1163" s="41">
        <v>22950</v>
      </c>
      <c r="O1163" s="93">
        <f>IF(Activities[[#This Row],[Reference Year]]&gt;2018,Activities[[#This Row],[Value]],Activities[[#This Row],[Value]]*(1+VLOOKUP(Activities[[#This Row],[Reference Year]],Inflation[#All],3,FALSE)))</f>
        <v>24366.799367088606</v>
      </c>
    </row>
    <row r="1164" spans="1:15" ht="15" customHeight="1" x14ac:dyDescent="0.25">
      <c r="A1164" s="9" t="s">
        <v>212</v>
      </c>
      <c r="B1164" s="9" t="str">
        <f>INDEX(Places[Type],MATCH(Activities[[#This Row],[Jurisdiction]],Places[Jurisdiction],0))</f>
        <v>City</v>
      </c>
      <c r="C1164" s="19" t="str">
        <f>INDEX(Places[County],MATCH(Activities[[#This Row],[Jurisdiction]],Places[Jurisdiction],0))</f>
        <v>Los Angeles</v>
      </c>
      <c r="D1164" s="19" t="str">
        <f>INDEX(Places[Majority RB],MATCH(Activities[[#This Row],[Jurisdiction]],Places[Jurisdiction],0))</f>
        <v>Los Angeles</v>
      </c>
      <c r="E1164" s="9">
        <f>INDEX(Places[Majority RB '#],MATCH(Activities[[#This Row],[Jurisdiction]],Places[Jurisdiction],0))</f>
        <v>4</v>
      </c>
      <c r="F1164" s="28" t="str">
        <f>VLOOKUP(Activities[[#This Row],[Jurisdiction]],Places[#All],8,FALSE)</f>
        <v>Phase I MS4</v>
      </c>
      <c r="G1164" s="48" t="s">
        <v>61</v>
      </c>
      <c r="H1164" s="8"/>
      <c r="I1164" s="8"/>
      <c r="J1164" s="8" t="s">
        <v>1897</v>
      </c>
      <c r="K1164" s="27" t="s">
        <v>1873</v>
      </c>
      <c r="L1164" s="28">
        <f>_xlfn.NUMBERVALUE(LEFT(Activities[[#This Row],[Fiscal Year]], 4))</f>
        <v>2015</v>
      </c>
      <c r="M1164" s="28" t="s">
        <v>1862</v>
      </c>
      <c r="N1164" s="41">
        <v>155000</v>
      </c>
      <c r="O1164" s="93">
        <f>IF(Activities[[#This Row],[Reference Year]]&gt;2018,Activities[[#This Row],[Value]],Activities[[#This Row],[Value]]*(1+VLOOKUP(Activities[[#This Row],[Reference Year]],Inflation[#All],3,FALSE)))</f>
        <v>164568.79746835443</v>
      </c>
    </row>
    <row r="1165" spans="1:15" ht="15" customHeight="1" x14ac:dyDescent="0.25">
      <c r="A1165" s="9" t="s">
        <v>212</v>
      </c>
      <c r="B1165" s="9" t="str">
        <f>INDEX(Places[Type],MATCH(Activities[[#This Row],[Jurisdiction]],Places[Jurisdiction],0))</f>
        <v>City</v>
      </c>
      <c r="C1165" s="19" t="str">
        <f>INDEX(Places[County],MATCH(Activities[[#This Row],[Jurisdiction]],Places[Jurisdiction],0))</f>
        <v>Los Angeles</v>
      </c>
      <c r="D1165" s="19" t="str">
        <f>INDEX(Places[Majority RB],MATCH(Activities[[#This Row],[Jurisdiction]],Places[Jurisdiction],0))</f>
        <v>Los Angeles</v>
      </c>
      <c r="E1165" s="9">
        <f>INDEX(Places[Majority RB '#],MATCH(Activities[[#This Row],[Jurisdiction]],Places[Jurisdiction],0))</f>
        <v>4</v>
      </c>
      <c r="F1165" s="28" t="str">
        <f>VLOOKUP(Activities[[#This Row],[Jurisdiction]],Places[#All],8,FALSE)</f>
        <v>Phase I MS4</v>
      </c>
      <c r="G1165" s="48" t="s">
        <v>60</v>
      </c>
      <c r="H1165" s="8"/>
      <c r="I1165" s="8"/>
      <c r="J1165" s="8" t="s">
        <v>1898</v>
      </c>
      <c r="K1165" s="27" t="s">
        <v>1873</v>
      </c>
      <c r="L1165" s="28">
        <f>_xlfn.NUMBERVALUE(LEFT(Activities[[#This Row],[Fiscal Year]], 4))</f>
        <v>2015</v>
      </c>
      <c r="M1165" s="28" t="s">
        <v>1862</v>
      </c>
      <c r="N1165" s="41">
        <v>5100</v>
      </c>
      <c r="O1165" s="93">
        <f>IF(Activities[[#This Row],[Reference Year]]&gt;2018,Activities[[#This Row],[Value]],Activities[[#This Row],[Value]]*(1+VLOOKUP(Activities[[#This Row],[Reference Year]],Inflation[#All],3,FALSE)))</f>
        <v>5414.8443037974685</v>
      </c>
    </row>
    <row r="1166" spans="1:15" ht="15" customHeight="1" x14ac:dyDescent="0.25">
      <c r="A1166" s="9" t="s">
        <v>212</v>
      </c>
      <c r="B1166" s="9" t="str">
        <f>INDEX(Places[Type],MATCH(Activities[[#This Row],[Jurisdiction]],Places[Jurisdiction],0))</f>
        <v>City</v>
      </c>
      <c r="C1166" s="19" t="str">
        <f>INDEX(Places[County],MATCH(Activities[[#This Row],[Jurisdiction]],Places[Jurisdiction],0))</f>
        <v>Los Angeles</v>
      </c>
      <c r="D1166" s="19" t="str">
        <f>INDEX(Places[Majority RB],MATCH(Activities[[#This Row],[Jurisdiction]],Places[Jurisdiction],0))</f>
        <v>Los Angeles</v>
      </c>
      <c r="E1166" s="9">
        <f>INDEX(Places[Majority RB '#],MATCH(Activities[[#This Row],[Jurisdiction]],Places[Jurisdiction],0))</f>
        <v>4</v>
      </c>
      <c r="F1166" s="28" t="str">
        <f>VLOOKUP(Activities[[#This Row],[Jurisdiction]],Places[#All],8,FALSE)</f>
        <v>Phase I MS4</v>
      </c>
      <c r="G1166" s="48" t="s">
        <v>59</v>
      </c>
      <c r="H1166" s="8"/>
      <c r="I1166" s="8"/>
      <c r="J1166" s="8" t="s">
        <v>1898</v>
      </c>
      <c r="K1166" s="27" t="s">
        <v>1873</v>
      </c>
      <c r="L1166" s="28">
        <f>_xlfn.NUMBERVALUE(LEFT(Activities[[#This Row],[Fiscal Year]], 4))</f>
        <v>2015</v>
      </c>
      <c r="M1166" s="28" t="s">
        <v>1862</v>
      </c>
      <c r="N1166" s="41">
        <v>21100</v>
      </c>
      <c r="O1166" s="93">
        <f>IF(Activities[[#This Row],[Reference Year]]&gt;2018,Activities[[#This Row],[Value]],Activities[[#This Row],[Value]]*(1+VLOOKUP(Activities[[#This Row],[Reference Year]],Inflation[#All],3,FALSE)))</f>
        <v>22402.591139240503</v>
      </c>
    </row>
    <row r="1167" spans="1:15" ht="15" customHeight="1" x14ac:dyDescent="0.25">
      <c r="A1167" s="9" t="s">
        <v>212</v>
      </c>
      <c r="B1167" s="9" t="str">
        <f>INDEX(Places[Type],MATCH(Activities[[#This Row],[Jurisdiction]],Places[Jurisdiction],0))</f>
        <v>City</v>
      </c>
      <c r="C1167" s="19" t="str">
        <f>INDEX(Places[County],MATCH(Activities[[#This Row],[Jurisdiction]],Places[Jurisdiction],0))</f>
        <v>Los Angeles</v>
      </c>
      <c r="D1167" s="19" t="str">
        <f>INDEX(Places[Majority RB],MATCH(Activities[[#This Row],[Jurisdiction]],Places[Jurisdiction],0))</f>
        <v>Los Angeles</v>
      </c>
      <c r="E1167" s="9">
        <f>INDEX(Places[Majority RB '#],MATCH(Activities[[#This Row],[Jurisdiction]],Places[Jurisdiction],0))</f>
        <v>4</v>
      </c>
      <c r="F1167" s="28" t="str">
        <f>VLOOKUP(Activities[[#This Row],[Jurisdiction]],Places[#All],8,FALSE)</f>
        <v>Phase I MS4</v>
      </c>
      <c r="G1167" s="48" t="s">
        <v>58</v>
      </c>
      <c r="H1167" s="8"/>
      <c r="I1167" s="8"/>
      <c r="J1167" s="8" t="s">
        <v>1456</v>
      </c>
      <c r="K1167" s="27" t="s">
        <v>1873</v>
      </c>
      <c r="L1167" s="28">
        <f>_xlfn.NUMBERVALUE(LEFT(Activities[[#This Row],[Fiscal Year]], 4))</f>
        <v>2015</v>
      </c>
      <c r="M1167" s="28" t="s">
        <v>1862</v>
      </c>
      <c r="N1167" s="41">
        <v>1550</v>
      </c>
      <c r="O1167" s="93">
        <f>IF(Activities[[#This Row],[Reference Year]]&gt;2018,Activities[[#This Row],[Value]],Activities[[#This Row],[Value]]*(1+VLOOKUP(Activities[[#This Row],[Reference Year]],Inflation[#All],3,FALSE)))</f>
        <v>1645.6879746835441</v>
      </c>
    </row>
    <row r="1168" spans="1:15" ht="15" customHeight="1" x14ac:dyDescent="0.25">
      <c r="A1168" s="9" t="s">
        <v>212</v>
      </c>
      <c r="B1168" s="9" t="str">
        <f>INDEX(Places[Type],MATCH(Activities[[#This Row],[Jurisdiction]],Places[Jurisdiction],0))</f>
        <v>City</v>
      </c>
      <c r="C1168" s="19" t="str">
        <f>INDEX(Places[County],MATCH(Activities[[#This Row],[Jurisdiction]],Places[Jurisdiction],0))</f>
        <v>Los Angeles</v>
      </c>
      <c r="D1168" s="19" t="str">
        <f>INDEX(Places[Majority RB],MATCH(Activities[[#This Row],[Jurisdiction]],Places[Jurisdiction],0))</f>
        <v>Los Angeles</v>
      </c>
      <c r="E1168" s="9">
        <f>INDEX(Places[Majority RB '#],MATCH(Activities[[#This Row],[Jurisdiction]],Places[Jurisdiction],0))</f>
        <v>4</v>
      </c>
      <c r="F1168" s="28" t="str">
        <f>VLOOKUP(Activities[[#This Row],[Jurisdiction]],Places[#All],8,FALSE)</f>
        <v>Phase I MS4</v>
      </c>
      <c r="G1168" s="48" t="s">
        <v>32</v>
      </c>
      <c r="H1168" s="8"/>
      <c r="I1168" s="8"/>
      <c r="J1168" s="8" t="s">
        <v>1894</v>
      </c>
      <c r="K1168" s="27" t="s">
        <v>1873</v>
      </c>
      <c r="L1168" s="28">
        <f>_xlfn.NUMBERVALUE(LEFT(Activities[[#This Row],[Fiscal Year]], 4))</f>
        <v>2015</v>
      </c>
      <c r="M1168" s="28" t="s">
        <v>1862</v>
      </c>
      <c r="N1168" s="41">
        <v>5650</v>
      </c>
      <c r="O1168" s="93">
        <f>IF(Activities[[#This Row],[Reference Year]]&gt;2018,Activities[[#This Row],[Value]],Activities[[#This Row],[Value]]*(1+VLOOKUP(Activities[[#This Row],[Reference Year]],Inflation[#All],3,FALSE)))</f>
        <v>5998.7981012658229</v>
      </c>
    </row>
    <row r="1169" spans="1:15" ht="15" customHeight="1" x14ac:dyDescent="0.25">
      <c r="A1169" s="9" t="s">
        <v>212</v>
      </c>
      <c r="B1169" s="9" t="str">
        <f>INDEX(Places[Type],MATCH(Activities[[#This Row],[Jurisdiction]],Places[Jurisdiction],0))</f>
        <v>City</v>
      </c>
      <c r="C1169" s="19" t="str">
        <f>INDEX(Places[County],MATCH(Activities[[#This Row],[Jurisdiction]],Places[Jurisdiction],0))</f>
        <v>Los Angeles</v>
      </c>
      <c r="D1169" s="19" t="str">
        <f>INDEX(Places[Majority RB],MATCH(Activities[[#This Row],[Jurisdiction]],Places[Jurisdiction],0))</f>
        <v>Los Angeles</v>
      </c>
      <c r="E1169" s="9">
        <f>INDEX(Places[Majority RB '#],MATCH(Activities[[#This Row],[Jurisdiction]],Places[Jurisdiction],0))</f>
        <v>4</v>
      </c>
      <c r="F1169" s="28" t="str">
        <f>VLOOKUP(Activities[[#This Row],[Jurisdiction]],Places[#All],8,FALSE)</f>
        <v>Phase I MS4</v>
      </c>
      <c r="G1169" s="48" t="s">
        <v>67</v>
      </c>
      <c r="H1169" s="8"/>
      <c r="I1169" s="8"/>
      <c r="J1169" s="8" t="s">
        <v>1896</v>
      </c>
      <c r="K1169" s="27" t="s">
        <v>1873</v>
      </c>
      <c r="L1169" s="28">
        <f>_xlfn.NUMBERVALUE(LEFT(Activities[[#This Row],[Fiscal Year]], 4))</f>
        <v>2015</v>
      </c>
      <c r="M1169" s="28" t="s">
        <v>1862</v>
      </c>
      <c r="N1169" s="41">
        <v>130000</v>
      </c>
      <c r="O1169" s="93">
        <f>IF(Activities[[#This Row],[Reference Year]]&gt;2018,Activities[[#This Row],[Value]],Activities[[#This Row],[Value]]*(1+VLOOKUP(Activities[[#This Row],[Reference Year]],Inflation[#All],3,FALSE)))</f>
        <v>138025.44303797468</v>
      </c>
    </row>
    <row r="1170" spans="1:15" ht="15" customHeight="1" x14ac:dyDescent="0.25">
      <c r="A1170" s="9" t="s">
        <v>212</v>
      </c>
      <c r="B1170" s="9" t="str">
        <f>INDEX(Places[Type],MATCH(Activities[[#This Row],[Jurisdiction]],Places[Jurisdiction],0))</f>
        <v>City</v>
      </c>
      <c r="C1170" s="19" t="str">
        <f>INDEX(Places[County],MATCH(Activities[[#This Row],[Jurisdiction]],Places[Jurisdiction],0))</f>
        <v>Los Angeles</v>
      </c>
      <c r="D1170" s="19" t="str">
        <f>INDEX(Places[Majority RB],MATCH(Activities[[#This Row],[Jurisdiction]],Places[Jurisdiction],0))</f>
        <v>Los Angeles</v>
      </c>
      <c r="E1170" s="9">
        <f>INDEX(Places[Majority RB '#],MATCH(Activities[[#This Row],[Jurisdiction]],Places[Jurisdiction],0))</f>
        <v>4</v>
      </c>
      <c r="F1170" s="28" t="str">
        <f>VLOOKUP(Activities[[#This Row],[Jurisdiction]],Places[#All],8,FALSE)</f>
        <v>Phase I MS4</v>
      </c>
      <c r="G1170" s="48" t="s">
        <v>33</v>
      </c>
      <c r="H1170" s="8"/>
      <c r="I1170" s="8"/>
      <c r="J1170" s="8" t="s">
        <v>47</v>
      </c>
      <c r="K1170" s="27" t="s">
        <v>1873</v>
      </c>
      <c r="L1170" s="28">
        <f>_xlfn.NUMBERVALUE(LEFT(Activities[[#This Row],[Fiscal Year]], 4))</f>
        <v>2015</v>
      </c>
      <c r="M1170" s="28" t="s">
        <v>1862</v>
      </c>
      <c r="N1170" s="41">
        <v>153250</v>
      </c>
      <c r="O1170" s="93">
        <f>IF(Activities[[#This Row],[Reference Year]]&gt;2018,Activities[[#This Row],[Value]],Activities[[#This Row],[Value]]*(1+VLOOKUP(Activities[[#This Row],[Reference Year]],Inflation[#All],3,FALSE)))</f>
        <v>162710.76265822785</v>
      </c>
    </row>
    <row r="1171" spans="1:15" ht="15" customHeight="1" x14ac:dyDescent="0.25">
      <c r="A1171" s="9" t="s">
        <v>193</v>
      </c>
      <c r="B1171" s="9" t="str">
        <f>INDEX(Places[Type],MATCH(Activities[[#This Row],[Jurisdiction]],Places[Jurisdiction],0))</f>
        <v>City</v>
      </c>
      <c r="C1171" s="19" t="str">
        <f>INDEX(Places[County],MATCH(Activities[[#This Row],[Jurisdiction]],Places[Jurisdiction],0))</f>
        <v>Los Angeles</v>
      </c>
      <c r="D1171" s="19" t="str">
        <f>INDEX(Places[Majority RB],MATCH(Activities[[#This Row],[Jurisdiction]],Places[Jurisdiction],0))</f>
        <v>Los Angeles</v>
      </c>
      <c r="E1171" s="9">
        <f>INDEX(Places[Majority RB '#],MATCH(Activities[[#This Row],[Jurisdiction]],Places[Jurisdiction],0))</f>
        <v>4</v>
      </c>
      <c r="F1171" s="28" t="str">
        <f>VLOOKUP(Activities[[#This Row],[Jurisdiction]],Places[#All],8,FALSE)</f>
        <v>Phase I MS4</v>
      </c>
      <c r="G1171" s="48" t="s">
        <v>64</v>
      </c>
      <c r="H1171" s="8"/>
      <c r="I1171" s="8"/>
      <c r="J1171" s="8" t="s">
        <v>76</v>
      </c>
      <c r="K1171" s="27" t="s">
        <v>1873</v>
      </c>
      <c r="L1171" s="28">
        <f>_xlfn.NUMBERVALUE(LEFT(Activities[[#This Row],[Fiscal Year]], 4))</f>
        <v>2015</v>
      </c>
      <c r="M1171" s="28" t="s">
        <v>1862</v>
      </c>
      <c r="N1171" s="41">
        <v>20000</v>
      </c>
      <c r="O1171" s="93">
        <f>IF(Activities[[#This Row],[Reference Year]]&gt;2018,Activities[[#This Row],[Value]],Activities[[#This Row],[Value]]*(1+VLOOKUP(Activities[[#This Row],[Reference Year]],Inflation[#All],3,FALSE)))</f>
        <v>21234.683544303796</v>
      </c>
    </row>
    <row r="1172" spans="1:15" ht="15" customHeight="1" x14ac:dyDescent="0.25">
      <c r="A1172" s="9" t="s">
        <v>193</v>
      </c>
      <c r="B1172" s="9" t="str">
        <f>INDEX(Places[Type],MATCH(Activities[[#This Row],[Jurisdiction]],Places[Jurisdiction],0))</f>
        <v>City</v>
      </c>
      <c r="C1172" s="19" t="str">
        <f>INDEX(Places[County],MATCH(Activities[[#This Row],[Jurisdiction]],Places[Jurisdiction],0))</f>
        <v>Los Angeles</v>
      </c>
      <c r="D1172" s="19" t="str">
        <f>INDEX(Places[Majority RB],MATCH(Activities[[#This Row],[Jurisdiction]],Places[Jurisdiction],0))</f>
        <v>Los Angeles</v>
      </c>
      <c r="E1172" s="9">
        <f>INDEX(Places[Majority RB '#],MATCH(Activities[[#This Row],[Jurisdiction]],Places[Jurisdiction],0))</f>
        <v>4</v>
      </c>
      <c r="F1172" s="28" t="str">
        <f>VLOOKUP(Activities[[#This Row],[Jurisdiction]],Places[#All],8,FALSE)</f>
        <v>Phase I MS4</v>
      </c>
      <c r="G1172" s="48" t="s">
        <v>62</v>
      </c>
      <c r="H1172" s="8"/>
      <c r="I1172" s="8"/>
      <c r="J1172" s="8" t="s">
        <v>131</v>
      </c>
      <c r="K1172" s="27" t="s">
        <v>1873</v>
      </c>
      <c r="L1172" s="28">
        <f>_xlfn.NUMBERVALUE(LEFT(Activities[[#This Row],[Fiscal Year]], 4))</f>
        <v>2015</v>
      </c>
      <c r="M1172" s="28" t="s">
        <v>1862</v>
      </c>
      <c r="N1172" s="41">
        <v>500000</v>
      </c>
      <c r="O1172" s="93">
        <f>IF(Activities[[#This Row],[Reference Year]]&gt;2018,Activities[[#This Row],[Value]],Activities[[#This Row],[Value]]*(1+VLOOKUP(Activities[[#This Row],[Reference Year]],Inflation[#All],3,FALSE)))</f>
        <v>530867.08860759495</v>
      </c>
    </row>
    <row r="1173" spans="1:15" ht="15" customHeight="1" x14ac:dyDescent="0.25">
      <c r="A1173" s="9" t="s">
        <v>193</v>
      </c>
      <c r="B1173" s="9" t="str">
        <f>INDEX(Places[Type],MATCH(Activities[[#This Row],[Jurisdiction]],Places[Jurisdiction],0))</f>
        <v>City</v>
      </c>
      <c r="C1173" s="19" t="str">
        <f>INDEX(Places[County],MATCH(Activities[[#This Row],[Jurisdiction]],Places[Jurisdiction],0))</f>
        <v>Los Angeles</v>
      </c>
      <c r="D1173" s="19" t="str">
        <f>INDEX(Places[Majority RB],MATCH(Activities[[#This Row],[Jurisdiction]],Places[Jurisdiction],0))</f>
        <v>Los Angeles</v>
      </c>
      <c r="E1173" s="9">
        <f>INDEX(Places[Majority RB '#],MATCH(Activities[[#This Row],[Jurisdiction]],Places[Jurisdiction],0))</f>
        <v>4</v>
      </c>
      <c r="F1173" s="28" t="str">
        <f>VLOOKUP(Activities[[#This Row],[Jurisdiction]],Places[#All],8,FALSE)</f>
        <v>Phase I MS4</v>
      </c>
      <c r="G1173" s="48" t="s">
        <v>208</v>
      </c>
      <c r="H1173" s="8"/>
      <c r="I1173" s="8"/>
      <c r="J1173" s="8" t="s">
        <v>334</v>
      </c>
      <c r="K1173" s="27" t="s">
        <v>1873</v>
      </c>
      <c r="L1173" s="28">
        <f>_xlfn.NUMBERVALUE(LEFT(Activities[[#This Row],[Fiscal Year]], 4))</f>
        <v>2015</v>
      </c>
      <c r="M1173" s="28" t="s">
        <v>1862</v>
      </c>
      <c r="N1173" s="41">
        <v>45000</v>
      </c>
      <c r="O1173" s="93">
        <f>IF(Activities[[#This Row],[Reference Year]]&gt;2018,Activities[[#This Row],[Value]],Activities[[#This Row],[Value]]*(1+VLOOKUP(Activities[[#This Row],[Reference Year]],Inflation[#All],3,FALSE)))</f>
        <v>47778.037974683539</v>
      </c>
    </row>
    <row r="1174" spans="1:15" ht="15" customHeight="1" x14ac:dyDescent="0.25">
      <c r="A1174" s="9" t="s">
        <v>193</v>
      </c>
      <c r="B1174" s="9" t="str">
        <f>INDEX(Places[Type],MATCH(Activities[[#This Row],[Jurisdiction]],Places[Jurisdiction],0))</f>
        <v>City</v>
      </c>
      <c r="C1174" s="19" t="str">
        <f>INDEX(Places[County],MATCH(Activities[[#This Row],[Jurisdiction]],Places[Jurisdiction],0))</f>
        <v>Los Angeles</v>
      </c>
      <c r="D1174" s="19" t="str">
        <f>INDEX(Places[Majority RB],MATCH(Activities[[#This Row],[Jurisdiction]],Places[Jurisdiction],0))</f>
        <v>Los Angeles</v>
      </c>
      <c r="E1174" s="9">
        <f>INDEX(Places[Majority RB '#],MATCH(Activities[[#This Row],[Jurisdiction]],Places[Jurisdiction],0))</f>
        <v>4</v>
      </c>
      <c r="F1174" s="28" t="str">
        <f>VLOOKUP(Activities[[#This Row],[Jurisdiction]],Places[#All],8,FALSE)</f>
        <v>Phase I MS4</v>
      </c>
      <c r="G1174" s="48" t="s">
        <v>61</v>
      </c>
      <c r="H1174" s="8"/>
      <c r="I1174" s="8"/>
      <c r="J1174" s="8" t="s">
        <v>1897</v>
      </c>
      <c r="K1174" s="27" t="s">
        <v>1873</v>
      </c>
      <c r="L1174" s="28">
        <f>_xlfn.NUMBERVALUE(LEFT(Activities[[#This Row],[Fiscal Year]], 4))</f>
        <v>2015</v>
      </c>
      <c r="M1174" s="28" t="s">
        <v>1862</v>
      </c>
      <c r="N1174" s="41">
        <v>15300000</v>
      </c>
      <c r="O1174" s="93">
        <f>IF(Activities[[#This Row],[Reference Year]]&gt;2018,Activities[[#This Row],[Value]],Activities[[#This Row],[Value]]*(1+VLOOKUP(Activities[[#This Row],[Reference Year]],Inflation[#All],3,FALSE)))</f>
        <v>16244532.911392404</v>
      </c>
    </row>
    <row r="1175" spans="1:15" ht="15" customHeight="1" x14ac:dyDescent="0.25">
      <c r="A1175" s="9" t="s">
        <v>193</v>
      </c>
      <c r="B1175" s="9" t="str">
        <f>INDEX(Places[Type],MATCH(Activities[[#This Row],[Jurisdiction]],Places[Jurisdiction],0))</f>
        <v>City</v>
      </c>
      <c r="C1175" s="19" t="str">
        <f>INDEX(Places[County],MATCH(Activities[[#This Row],[Jurisdiction]],Places[Jurisdiction],0))</f>
        <v>Los Angeles</v>
      </c>
      <c r="D1175" s="19" t="str">
        <f>INDEX(Places[Majority RB],MATCH(Activities[[#This Row],[Jurisdiction]],Places[Jurisdiction],0))</f>
        <v>Los Angeles</v>
      </c>
      <c r="E1175" s="9">
        <f>INDEX(Places[Majority RB '#],MATCH(Activities[[#This Row],[Jurisdiction]],Places[Jurisdiction],0))</f>
        <v>4</v>
      </c>
      <c r="F1175" s="28" t="str">
        <f>VLOOKUP(Activities[[#This Row],[Jurisdiction]],Places[#All],8,FALSE)</f>
        <v>Phase I MS4</v>
      </c>
      <c r="G1175" s="48" t="s">
        <v>60</v>
      </c>
      <c r="H1175" s="8"/>
      <c r="I1175" s="8"/>
      <c r="J1175" s="8" t="s">
        <v>1898</v>
      </c>
      <c r="K1175" s="27" t="s">
        <v>1873</v>
      </c>
      <c r="L1175" s="28">
        <f>_xlfn.NUMBERVALUE(LEFT(Activities[[#This Row],[Fiscal Year]], 4))</f>
        <v>2015</v>
      </c>
      <c r="M1175" s="28" t="s">
        <v>1862</v>
      </c>
      <c r="N1175" s="41">
        <v>80000</v>
      </c>
      <c r="O1175" s="93">
        <f>IF(Activities[[#This Row],[Reference Year]]&gt;2018,Activities[[#This Row],[Value]],Activities[[#This Row],[Value]]*(1+VLOOKUP(Activities[[#This Row],[Reference Year]],Inflation[#All],3,FALSE)))</f>
        <v>84938.734177215185</v>
      </c>
    </row>
    <row r="1176" spans="1:15" ht="15" customHeight="1" x14ac:dyDescent="0.25">
      <c r="A1176" s="9" t="s">
        <v>193</v>
      </c>
      <c r="B1176" s="9" t="str">
        <f>INDEX(Places[Type],MATCH(Activities[[#This Row],[Jurisdiction]],Places[Jurisdiction],0))</f>
        <v>City</v>
      </c>
      <c r="C1176" s="19" t="str">
        <f>INDEX(Places[County],MATCH(Activities[[#This Row],[Jurisdiction]],Places[Jurisdiction],0))</f>
        <v>Los Angeles</v>
      </c>
      <c r="D1176" s="19" t="str">
        <f>INDEX(Places[Majority RB],MATCH(Activities[[#This Row],[Jurisdiction]],Places[Jurisdiction],0))</f>
        <v>Los Angeles</v>
      </c>
      <c r="E1176" s="9">
        <f>INDEX(Places[Majority RB '#],MATCH(Activities[[#This Row],[Jurisdiction]],Places[Jurisdiction],0))</f>
        <v>4</v>
      </c>
      <c r="F1176" s="28" t="str">
        <f>VLOOKUP(Activities[[#This Row],[Jurisdiction]],Places[#All],8,FALSE)</f>
        <v>Phase I MS4</v>
      </c>
      <c r="G1176" s="48" t="s">
        <v>59</v>
      </c>
      <c r="H1176" s="8"/>
      <c r="I1176" s="8"/>
      <c r="J1176" s="8" t="s">
        <v>1898</v>
      </c>
      <c r="K1176" s="27" t="s">
        <v>1873</v>
      </c>
      <c r="L1176" s="28">
        <f>_xlfn.NUMBERVALUE(LEFT(Activities[[#This Row],[Fiscal Year]], 4))</f>
        <v>2015</v>
      </c>
      <c r="M1176" s="28" t="s">
        <v>1862</v>
      </c>
      <c r="N1176" s="41">
        <v>170000</v>
      </c>
      <c r="O1176" s="93">
        <f>IF(Activities[[#This Row],[Reference Year]]&gt;2018,Activities[[#This Row],[Value]],Activities[[#This Row],[Value]]*(1+VLOOKUP(Activities[[#This Row],[Reference Year]],Inflation[#All],3,FALSE)))</f>
        <v>180494.81012658228</v>
      </c>
    </row>
    <row r="1177" spans="1:15" ht="15" customHeight="1" x14ac:dyDescent="0.25">
      <c r="A1177" s="9" t="s">
        <v>193</v>
      </c>
      <c r="B1177" s="9" t="str">
        <f>INDEX(Places[Type],MATCH(Activities[[#This Row],[Jurisdiction]],Places[Jurisdiction],0))</f>
        <v>City</v>
      </c>
      <c r="C1177" s="19" t="str">
        <f>INDEX(Places[County],MATCH(Activities[[#This Row],[Jurisdiction]],Places[Jurisdiction],0))</f>
        <v>Los Angeles</v>
      </c>
      <c r="D1177" s="19" t="str">
        <f>INDEX(Places[Majority RB],MATCH(Activities[[#This Row],[Jurisdiction]],Places[Jurisdiction],0))</f>
        <v>Los Angeles</v>
      </c>
      <c r="E1177" s="9">
        <f>INDEX(Places[Majority RB '#],MATCH(Activities[[#This Row],[Jurisdiction]],Places[Jurisdiction],0))</f>
        <v>4</v>
      </c>
      <c r="F1177" s="28" t="str">
        <f>VLOOKUP(Activities[[#This Row],[Jurisdiction]],Places[#All],8,FALSE)</f>
        <v>Phase I MS4</v>
      </c>
      <c r="G1177" s="48" t="s">
        <v>58</v>
      </c>
      <c r="H1177" s="8"/>
      <c r="I1177" s="8"/>
      <c r="J1177" s="8" t="s">
        <v>1456</v>
      </c>
      <c r="K1177" s="27" t="s">
        <v>1873</v>
      </c>
      <c r="L1177" s="28">
        <f>_xlfn.NUMBERVALUE(LEFT(Activities[[#This Row],[Fiscal Year]], 4))</f>
        <v>2015</v>
      </c>
      <c r="M1177" s="28" t="s">
        <v>1862</v>
      </c>
      <c r="N1177" s="41">
        <v>40000</v>
      </c>
      <c r="O1177" s="93">
        <f>IF(Activities[[#This Row],[Reference Year]]&gt;2018,Activities[[#This Row],[Value]],Activities[[#This Row],[Value]]*(1+VLOOKUP(Activities[[#This Row],[Reference Year]],Inflation[#All],3,FALSE)))</f>
        <v>42469.367088607592</v>
      </c>
    </row>
    <row r="1178" spans="1:15" ht="15" customHeight="1" x14ac:dyDescent="0.25">
      <c r="A1178" s="9" t="s">
        <v>193</v>
      </c>
      <c r="B1178" s="9" t="str">
        <f>INDEX(Places[Type],MATCH(Activities[[#This Row],[Jurisdiction]],Places[Jurisdiction],0))</f>
        <v>City</v>
      </c>
      <c r="C1178" s="19" t="str">
        <f>INDEX(Places[County],MATCH(Activities[[#This Row],[Jurisdiction]],Places[Jurisdiction],0))</f>
        <v>Los Angeles</v>
      </c>
      <c r="D1178" s="19" t="str">
        <f>INDEX(Places[Majority RB],MATCH(Activities[[#This Row],[Jurisdiction]],Places[Jurisdiction],0))</f>
        <v>Los Angeles</v>
      </c>
      <c r="E1178" s="9">
        <f>INDEX(Places[Majority RB '#],MATCH(Activities[[#This Row],[Jurisdiction]],Places[Jurisdiction],0))</f>
        <v>4</v>
      </c>
      <c r="F1178" s="28" t="str">
        <f>VLOOKUP(Activities[[#This Row],[Jurisdiction]],Places[#All],8,FALSE)</f>
        <v>Phase I MS4</v>
      </c>
      <c r="G1178" s="48" t="s">
        <v>32</v>
      </c>
      <c r="H1178" s="8"/>
      <c r="I1178" s="8"/>
      <c r="J1178" s="8" t="s">
        <v>1894</v>
      </c>
      <c r="K1178" s="27" t="s">
        <v>1873</v>
      </c>
      <c r="L1178" s="28">
        <f>_xlfn.NUMBERVALUE(LEFT(Activities[[#This Row],[Fiscal Year]], 4))</f>
        <v>2015</v>
      </c>
      <c r="M1178" s="28" t="s">
        <v>1862</v>
      </c>
      <c r="N1178" s="41">
        <v>230000</v>
      </c>
      <c r="O1178" s="93">
        <f>IF(Activities[[#This Row],[Reference Year]]&gt;2018,Activities[[#This Row],[Value]],Activities[[#This Row],[Value]]*(1+VLOOKUP(Activities[[#This Row],[Reference Year]],Inflation[#All],3,FALSE)))</f>
        <v>244198.86075949366</v>
      </c>
    </row>
    <row r="1179" spans="1:15" ht="15" customHeight="1" x14ac:dyDescent="0.25">
      <c r="A1179" s="9" t="s">
        <v>193</v>
      </c>
      <c r="B1179" s="9" t="str">
        <f>INDEX(Places[Type],MATCH(Activities[[#This Row],[Jurisdiction]],Places[Jurisdiction],0))</f>
        <v>City</v>
      </c>
      <c r="C1179" s="19" t="str">
        <f>INDEX(Places[County],MATCH(Activities[[#This Row],[Jurisdiction]],Places[Jurisdiction],0))</f>
        <v>Los Angeles</v>
      </c>
      <c r="D1179" s="19" t="str">
        <f>INDEX(Places[Majority RB],MATCH(Activities[[#This Row],[Jurisdiction]],Places[Jurisdiction],0))</f>
        <v>Los Angeles</v>
      </c>
      <c r="E1179" s="9">
        <f>INDEX(Places[Majority RB '#],MATCH(Activities[[#This Row],[Jurisdiction]],Places[Jurisdiction],0))</f>
        <v>4</v>
      </c>
      <c r="F1179" s="28" t="str">
        <f>VLOOKUP(Activities[[#This Row],[Jurisdiction]],Places[#All],8,FALSE)</f>
        <v>Phase I MS4</v>
      </c>
      <c r="G1179" s="48" t="s">
        <v>211</v>
      </c>
      <c r="H1179" s="8"/>
      <c r="I1179" s="8"/>
      <c r="J1179" s="8" t="s">
        <v>1896</v>
      </c>
      <c r="K1179" s="27" t="s">
        <v>1873</v>
      </c>
      <c r="L1179" s="28">
        <f>_xlfn.NUMBERVALUE(LEFT(Activities[[#This Row],[Fiscal Year]], 4))</f>
        <v>2015</v>
      </c>
      <c r="M1179" s="28" t="s">
        <v>1862</v>
      </c>
      <c r="N1179" s="41">
        <v>100000</v>
      </c>
      <c r="O1179" s="93">
        <f>IF(Activities[[#This Row],[Reference Year]]&gt;2018,Activities[[#This Row],[Value]],Activities[[#This Row],[Value]]*(1+VLOOKUP(Activities[[#This Row],[Reference Year]],Inflation[#All],3,FALSE)))</f>
        <v>106173.41772151898</v>
      </c>
    </row>
    <row r="1180" spans="1:15" ht="15" customHeight="1" x14ac:dyDescent="0.25">
      <c r="A1180" s="9" t="s">
        <v>193</v>
      </c>
      <c r="B1180" s="9" t="str">
        <f>INDEX(Places[Type],MATCH(Activities[[#This Row],[Jurisdiction]],Places[Jurisdiction],0))</f>
        <v>City</v>
      </c>
      <c r="C1180" s="19" t="str">
        <f>INDEX(Places[County],MATCH(Activities[[#This Row],[Jurisdiction]],Places[Jurisdiction],0))</f>
        <v>Los Angeles</v>
      </c>
      <c r="D1180" s="19" t="str">
        <f>INDEX(Places[Majority RB],MATCH(Activities[[#This Row],[Jurisdiction]],Places[Jurisdiction],0))</f>
        <v>Los Angeles</v>
      </c>
      <c r="E1180" s="9">
        <f>INDEX(Places[Majority RB '#],MATCH(Activities[[#This Row],[Jurisdiction]],Places[Jurisdiction],0))</f>
        <v>4</v>
      </c>
      <c r="F1180" s="28" t="str">
        <f>VLOOKUP(Activities[[#This Row],[Jurisdiction]],Places[#All],8,FALSE)</f>
        <v>Phase I MS4</v>
      </c>
      <c r="G1180" s="48" t="s">
        <v>33</v>
      </c>
      <c r="H1180" s="8"/>
      <c r="I1180" s="8"/>
      <c r="J1180" s="8" t="s">
        <v>47</v>
      </c>
      <c r="K1180" s="27" t="s">
        <v>1873</v>
      </c>
      <c r="L1180" s="28">
        <f>_xlfn.NUMBERVALUE(LEFT(Activities[[#This Row],[Fiscal Year]], 4))</f>
        <v>2015</v>
      </c>
      <c r="M1180" s="28" t="s">
        <v>1862</v>
      </c>
      <c r="N1180" s="41">
        <v>220000</v>
      </c>
      <c r="O1180" s="93">
        <f>IF(Activities[[#This Row],[Reference Year]]&gt;2018,Activities[[#This Row],[Value]],Activities[[#This Row],[Value]]*(1+VLOOKUP(Activities[[#This Row],[Reference Year]],Inflation[#All],3,FALSE)))</f>
        <v>233581.51898734175</v>
      </c>
    </row>
    <row r="1181" spans="1:15" ht="15" customHeight="1" x14ac:dyDescent="0.25">
      <c r="A1181" s="9" t="s">
        <v>170</v>
      </c>
      <c r="B1181" s="9" t="str">
        <f>INDEX(Places[Type],MATCH(Activities[[#This Row],[Jurisdiction]],Places[Jurisdiction],0))</f>
        <v>City</v>
      </c>
      <c r="C1181" s="19" t="str">
        <f>INDEX(Places[County],MATCH(Activities[[#This Row],[Jurisdiction]],Places[Jurisdiction],0))</f>
        <v>Los Angeles</v>
      </c>
      <c r="D1181" s="19" t="str">
        <f>INDEX(Places[Majority RB],MATCH(Activities[[#This Row],[Jurisdiction]],Places[Jurisdiction],0))</f>
        <v>Los Angeles</v>
      </c>
      <c r="E1181" s="9">
        <f>INDEX(Places[Majority RB '#],MATCH(Activities[[#This Row],[Jurisdiction]],Places[Jurisdiction],0))</f>
        <v>4</v>
      </c>
      <c r="F1181" s="28" t="str">
        <f>VLOOKUP(Activities[[#This Row],[Jurisdiction]],Places[#All],8,FALSE)</f>
        <v>Phase I MS4</v>
      </c>
      <c r="G1181" s="48" t="s">
        <v>62</v>
      </c>
      <c r="H1181" s="8"/>
      <c r="I1181" s="8"/>
      <c r="J1181" s="8" t="s">
        <v>131</v>
      </c>
      <c r="K1181" s="27" t="s">
        <v>1873</v>
      </c>
      <c r="L1181" s="28">
        <f>_xlfn.NUMBERVALUE(LEFT(Activities[[#This Row],[Fiscal Year]], 4))</f>
        <v>2015</v>
      </c>
      <c r="M1181" s="28" t="s">
        <v>1862</v>
      </c>
      <c r="N1181" s="41">
        <v>110000</v>
      </c>
      <c r="O1181" s="93">
        <f>IF(Activities[[#This Row],[Reference Year]]&gt;2018,Activities[[#This Row],[Value]],Activities[[#This Row],[Value]]*(1+VLOOKUP(Activities[[#This Row],[Reference Year]],Inflation[#All],3,FALSE)))</f>
        <v>116790.75949367088</v>
      </c>
    </row>
    <row r="1182" spans="1:15" ht="15" customHeight="1" x14ac:dyDescent="0.25">
      <c r="A1182" s="9" t="s">
        <v>170</v>
      </c>
      <c r="B1182" s="9" t="str">
        <f>INDEX(Places[Type],MATCH(Activities[[#This Row],[Jurisdiction]],Places[Jurisdiction],0))</f>
        <v>City</v>
      </c>
      <c r="C1182" s="19" t="str">
        <f>INDEX(Places[County],MATCH(Activities[[#This Row],[Jurisdiction]],Places[Jurisdiction],0))</f>
        <v>Los Angeles</v>
      </c>
      <c r="D1182" s="19" t="str">
        <f>INDEX(Places[Majority RB],MATCH(Activities[[#This Row],[Jurisdiction]],Places[Jurisdiction],0))</f>
        <v>Los Angeles</v>
      </c>
      <c r="E1182" s="9">
        <f>INDEX(Places[Majority RB '#],MATCH(Activities[[#This Row],[Jurisdiction]],Places[Jurisdiction],0))</f>
        <v>4</v>
      </c>
      <c r="F1182" s="28" t="str">
        <f>VLOOKUP(Activities[[#This Row],[Jurisdiction]],Places[#All],8,FALSE)</f>
        <v>Phase I MS4</v>
      </c>
      <c r="G1182" s="48" t="s">
        <v>208</v>
      </c>
      <c r="H1182" s="8"/>
      <c r="I1182" s="8"/>
      <c r="J1182" s="8" t="s">
        <v>334</v>
      </c>
      <c r="K1182" s="27" t="s">
        <v>1873</v>
      </c>
      <c r="L1182" s="28">
        <f>_xlfn.NUMBERVALUE(LEFT(Activities[[#This Row],[Fiscal Year]], 4))</f>
        <v>2015</v>
      </c>
      <c r="M1182" s="28" t="s">
        <v>1862</v>
      </c>
      <c r="N1182" s="41">
        <v>25000</v>
      </c>
      <c r="O1182" s="93">
        <f>IF(Activities[[#This Row],[Reference Year]]&gt;2018,Activities[[#This Row],[Value]],Activities[[#This Row],[Value]]*(1+VLOOKUP(Activities[[#This Row],[Reference Year]],Inflation[#All],3,FALSE)))</f>
        <v>26543.354430379746</v>
      </c>
    </row>
    <row r="1183" spans="1:15" ht="15" customHeight="1" x14ac:dyDescent="0.25">
      <c r="A1183" s="9" t="s">
        <v>170</v>
      </c>
      <c r="B1183" s="9" t="str">
        <f>INDEX(Places[Type],MATCH(Activities[[#This Row],[Jurisdiction]],Places[Jurisdiction],0))</f>
        <v>City</v>
      </c>
      <c r="C1183" s="19" t="str">
        <f>INDEX(Places[County],MATCH(Activities[[#This Row],[Jurisdiction]],Places[Jurisdiction],0))</f>
        <v>Los Angeles</v>
      </c>
      <c r="D1183" s="19" t="str">
        <f>INDEX(Places[Majority RB],MATCH(Activities[[#This Row],[Jurisdiction]],Places[Jurisdiction],0))</f>
        <v>Los Angeles</v>
      </c>
      <c r="E1183" s="9">
        <f>INDEX(Places[Majority RB '#],MATCH(Activities[[#This Row],[Jurisdiction]],Places[Jurisdiction],0))</f>
        <v>4</v>
      </c>
      <c r="F1183" s="28" t="str">
        <f>VLOOKUP(Activities[[#This Row],[Jurisdiction]],Places[#All],8,FALSE)</f>
        <v>Phase I MS4</v>
      </c>
      <c r="G1183" s="48" t="s">
        <v>61</v>
      </c>
      <c r="H1183" s="8"/>
      <c r="I1183" s="8"/>
      <c r="J1183" s="8" t="s">
        <v>1897</v>
      </c>
      <c r="K1183" s="27" t="s">
        <v>1873</v>
      </c>
      <c r="L1183" s="28">
        <f>_xlfn.NUMBERVALUE(LEFT(Activities[[#This Row],[Fiscal Year]], 4))</f>
        <v>2015</v>
      </c>
      <c r="M1183" s="28" t="s">
        <v>1862</v>
      </c>
      <c r="N1183" s="41">
        <v>389500</v>
      </c>
      <c r="O1183" s="93">
        <f>IF(Activities[[#This Row],[Reference Year]]&gt;2018,Activities[[#This Row],[Value]],Activities[[#This Row],[Value]]*(1+VLOOKUP(Activities[[#This Row],[Reference Year]],Inflation[#All],3,FALSE)))</f>
        <v>413545.46202531643</v>
      </c>
    </row>
    <row r="1184" spans="1:15" ht="15" customHeight="1" x14ac:dyDescent="0.25">
      <c r="A1184" s="9" t="s">
        <v>170</v>
      </c>
      <c r="B1184" s="9" t="str">
        <f>INDEX(Places[Type],MATCH(Activities[[#This Row],[Jurisdiction]],Places[Jurisdiction],0))</f>
        <v>City</v>
      </c>
      <c r="C1184" s="19" t="str">
        <f>INDEX(Places[County],MATCH(Activities[[#This Row],[Jurisdiction]],Places[Jurisdiction],0))</f>
        <v>Los Angeles</v>
      </c>
      <c r="D1184" s="19" t="str">
        <f>INDEX(Places[Majority RB],MATCH(Activities[[#This Row],[Jurisdiction]],Places[Jurisdiction],0))</f>
        <v>Los Angeles</v>
      </c>
      <c r="E1184" s="9">
        <f>INDEX(Places[Majority RB '#],MATCH(Activities[[#This Row],[Jurisdiction]],Places[Jurisdiction],0))</f>
        <v>4</v>
      </c>
      <c r="F1184" s="28" t="str">
        <f>VLOOKUP(Activities[[#This Row],[Jurisdiction]],Places[#All],8,FALSE)</f>
        <v>Phase I MS4</v>
      </c>
      <c r="G1184" s="48" t="s">
        <v>60</v>
      </c>
      <c r="H1184" s="8"/>
      <c r="I1184" s="8"/>
      <c r="J1184" s="8" t="s">
        <v>1898</v>
      </c>
      <c r="K1184" s="27" t="s">
        <v>1873</v>
      </c>
      <c r="L1184" s="28">
        <f>_xlfn.NUMBERVALUE(LEFT(Activities[[#This Row],[Fiscal Year]], 4))</f>
        <v>2015</v>
      </c>
      <c r="M1184" s="28" t="s">
        <v>1862</v>
      </c>
      <c r="N1184" s="41">
        <v>15000</v>
      </c>
      <c r="O1184" s="93">
        <f>IF(Activities[[#This Row],[Reference Year]]&gt;2018,Activities[[#This Row],[Value]],Activities[[#This Row],[Value]]*(1+VLOOKUP(Activities[[#This Row],[Reference Year]],Inflation[#All],3,FALSE)))</f>
        <v>15926.012658227848</v>
      </c>
    </row>
    <row r="1185" spans="1:15" ht="15" customHeight="1" x14ac:dyDescent="0.25">
      <c r="A1185" s="9" t="s">
        <v>170</v>
      </c>
      <c r="B1185" s="9" t="str">
        <f>INDEX(Places[Type],MATCH(Activities[[#This Row],[Jurisdiction]],Places[Jurisdiction],0))</f>
        <v>City</v>
      </c>
      <c r="C1185" s="19" t="str">
        <f>INDEX(Places[County],MATCH(Activities[[#This Row],[Jurisdiction]],Places[Jurisdiction],0))</f>
        <v>Los Angeles</v>
      </c>
      <c r="D1185" s="19" t="str">
        <f>INDEX(Places[Majority RB],MATCH(Activities[[#This Row],[Jurisdiction]],Places[Jurisdiction],0))</f>
        <v>Los Angeles</v>
      </c>
      <c r="E1185" s="9">
        <f>INDEX(Places[Majority RB '#],MATCH(Activities[[#This Row],[Jurisdiction]],Places[Jurisdiction],0))</f>
        <v>4</v>
      </c>
      <c r="F1185" s="28" t="str">
        <f>VLOOKUP(Activities[[#This Row],[Jurisdiction]],Places[#All],8,FALSE)</f>
        <v>Phase I MS4</v>
      </c>
      <c r="G1185" s="48" t="s">
        <v>59</v>
      </c>
      <c r="H1185" s="8"/>
      <c r="I1185" s="8"/>
      <c r="J1185" s="8" t="s">
        <v>1898</v>
      </c>
      <c r="K1185" s="27" t="s">
        <v>1873</v>
      </c>
      <c r="L1185" s="28">
        <f>_xlfn.NUMBERVALUE(LEFT(Activities[[#This Row],[Fiscal Year]], 4))</f>
        <v>2015</v>
      </c>
      <c r="M1185" s="28" t="s">
        <v>1862</v>
      </c>
      <c r="N1185" s="41">
        <v>20000</v>
      </c>
      <c r="O1185" s="93">
        <f>IF(Activities[[#This Row],[Reference Year]]&gt;2018,Activities[[#This Row],[Value]],Activities[[#This Row],[Value]]*(1+VLOOKUP(Activities[[#This Row],[Reference Year]],Inflation[#All],3,FALSE)))</f>
        <v>21234.683544303796</v>
      </c>
    </row>
    <row r="1186" spans="1:15" ht="15" customHeight="1" x14ac:dyDescent="0.25">
      <c r="A1186" s="9" t="s">
        <v>170</v>
      </c>
      <c r="B1186" s="9" t="str">
        <f>INDEX(Places[Type],MATCH(Activities[[#This Row],[Jurisdiction]],Places[Jurisdiction],0))</f>
        <v>City</v>
      </c>
      <c r="C1186" s="19" t="str">
        <f>INDEX(Places[County],MATCH(Activities[[#This Row],[Jurisdiction]],Places[Jurisdiction],0))</f>
        <v>Los Angeles</v>
      </c>
      <c r="D1186" s="19" t="str">
        <f>INDEX(Places[Majority RB],MATCH(Activities[[#This Row],[Jurisdiction]],Places[Jurisdiction],0))</f>
        <v>Los Angeles</v>
      </c>
      <c r="E1186" s="9">
        <f>INDEX(Places[Majority RB '#],MATCH(Activities[[#This Row],[Jurisdiction]],Places[Jurisdiction],0))</f>
        <v>4</v>
      </c>
      <c r="F1186" s="28" t="str">
        <f>VLOOKUP(Activities[[#This Row],[Jurisdiction]],Places[#All],8,FALSE)</f>
        <v>Phase I MS4</v>
      </c>
      <c r="G1186" s="48" t="s">
        <v>58</v>
      </c>
      <c r="H1186" s="8"/>
      <c r="I1186" s="8"/>
      <c r="J1186" s="8" t="s">
        <v>1456</v>
      </c>
      <c r="K1186" s="27" t="s">
        <v>1873</v>
      </c>
      <c r="L1186" s="28">
        <f>_xlfn.NUMBERVALUE(LEFT(Activities[[#This Row],[Fiscal Year]], 4))</f>
        <v>2015</v>
      </c>
      <c r="M1186" s="28" t="s">
        <v>1862</v>
      </c>
      <c r="N1186" s="41">
        <v>10000</v>
      </c>
      <c r="O1186" s="93">
        <f>IF(Activities[[#This Row],[Reference Year]]&gt;2018,Activities[[#This Row],[Value]],Activities[[#This Row],[Value]]*(1+VLOOKUP(Activities[[#This Row],[Reference Year]],Inflation[#All],3,FALSE)))</f>
        <v>10617.341772151898</v>
      </c>
    </row>
    <row r="1187" spans="1:15" ht="15" customHeight="1" x14ac:dyDescent="0.25">
      <c r="A1187" s="9" t="s">
        <v>170</v>
      </c>
      <c r="B1187" s="9" t="str">
        <f>INDEX(Places[Type],MATCH(Activities[[#This Row],[Jurisdiction]],Places[Jurisdiction],0))</f>
        <v>City</v>
      </c>
      <c r="C1187" s="19" t="str">
        <f>INDEX(Places[County],MATCH(Activities[[#This Row],[Jurisdiction]],Places[Jurisdiction],0))</f>
        <v>Los Angeles</v>
      </c>
      <c r="D1187" s="19" t="str">
        <f>INDEX(Places[Majority RB],MATCH(Activities[[#This Row],[Jurisdiction]],Places[Jurisdiction],0))</f>
        <v>Los Angeles</v>
      </c>
      <c r="E1187" s="9">
        <f>INDEX(Places[Majority RB '#],MATCH(Activities[[#This Row],[Jurisdiction]],Places[Jurisdiction],0))</f>
        <v>4</v>
      </c>
      <c r="F1187" s="28" t="str">
        <f>VLOOKUP(Activities[[#This Row],[Jurisdiction]],Places[#All],8,FALSE)</f>
        <v>Phase I MS4</v>
      </c>
      <c r="G1187" s="48" t="s">
        <v>32</v>
      </c>
      <c r="H1187" s="8"/>
      <c r="I1187" s="8"/>
      <c r="J1187" s="8" t="s">
        <v>1894</v>
      </c>
      <c r="K1187" s="27" t="s">
        <v>1873</v>
      </c>
      <c r="L1187" s="28">
        <f>_xlfn.NUMBERVALUE(LEFT(Activities[[#This Row],[Fiscal Year]], 4))</f>
        <v>2015</v>
      </c>
      <c r="M1187" s="28" t="s">
        <v>1862</v>
      </c>
      <c r="N1187" s="41">
        <v>200000</v>
      </c>
      <c r="O1187" s="93">
        <f>IF(Activities[[#This Row],[Reference Year]]&gt;2018,Activities[[#This Row],[Value]],Activities[[#This Row],[Value]]*(1+VLOOKUP(Activities[[#This Row],[Reference Year]],Inflation[#All],3,FALSE)))</f>
        <v>212346.83544303797</v>
      </c>
    </row>
    <row r="1188" spans="1:15" ht="15" customHeight="1" x14ac:dyDescent="0.25">
      <c r="A1188" s="9" t="s">
        <v>170</v>
      </c>
      <c r="B1188" s="9" t="str">
        <f>INDEX(Places[Type],MATCH(Activities[[#This Row],[Jurisdiction]],Places[Jurisdiction],0))</f>
        <v>City</v>
      </c>
      <c r="C1188" s="19" t="str">
        <f>INDEX(Places[County],MATCH(Activities[[#This Row],[Jurisdiction]],Places[Jurisdiction],0))</f>
        <v>Los Angeles</v>
      </c>
      <c r="D1188" s="19" t="str">
        <f>INDEX(Places[Majority RB],MATCH(Activities[[#This Row],[Jurisdiction]],Places[Jurisdiction],0))</f>
        <v>Los Angeles</v>
      </c>
      <c r="E1188" s="9">
        <f>INDEX(Places[Majority RB '#],MATCH(Activities[[#This Row],[Jurisdiction]],Places[Jurisdiction],0))</f>
        <v>4</v>
      </c>
      <c r="F1188" s="28" t="str">
        <f>VLOOKUP(Activities[[#This Row],[Jurisdiction]],Places[#All],8,FALSE)</f>
        <v>Phase I MS4</v>
      </c>
      <c r="G1188" s="48" t="s">
        <v>67</v>
      </c>
      <c r="H1188" s="8" t="s">
        <v>919</v>
      </c>
      <c r="I1188" s="8" t="s">
        <v>429</v>
      </c>
      <c r="J1188" s="8" t="s">
        <v>1896</v>
      </c>
      <c r="K1188" s="27" t="s">
        <v>1873</v>
      </c>
      <c r="L1188" s="28">
        <f>_xlfn.NUMBERVALUE(LEFT(Activities[[#This Row],[Fiscal Year]], 4))</f>
        <v>2015</v>
      </c>
      <c r="M1188" s="28" t="s">
        <v>1862</v>
      </c>
      <c r="N1188" s="41">
        <v>190550</v>
      </c>
      <c r="O1188" s="93">
        <f>IF(Activities[[#This Row],[Reference Year]]&gt;2018,Activities[[#This Row],[Value]],Activities[[#This Row],[Value]]*(1+VLOOKUP(Activities[[#This Row],[Reference Year]],Inflation[#All],3,FALSE)))</f>
        <v>202313.44746835442</v>
      </c>
    </row>
    <row r="1189" spans="1:15" ht="15" customHeight="1" x14ac:dyDescent="0.25">
      <c r="A1189" s="9" t="s">
        <v>170</v>
      </c>
      <c r="B1189" s="9" t="str">
        <f>INDEX(Places[Type],MATCH(Activities[[#This Row],[Jurisdiction]],Places[Jurisdiction],0))</f>
        <v>City</v>
      </c>
      <c r="C1189" s="19" t="str">
        <f>INDEX(Places[County],MATCH(Activities[[#This Row],[Jurisdiction]],Places[Jurisdiction],0))</f>
        <v>Los Angeles</v>
      </c>
      <c r="D1189" s="19" t="str">
        <f>INDEX(Places[Majority RB],MATCH(Activities[[#This Row],[Jurisdiction]],Places[Jurisdiction],0))</f>
        <v>Los Angeles</v>
      </c>
      <c r="E1189" s="9">
        <f>INDEX(Places[Majority RB '#],MATCH(Activities[[#This Row],[Jurisdiction]],Places[Jurisdiction],0))</f>
        <v>4</v>
      </c>
      <c r="F1189" s="28" t="str">
        <f>VLOOKUP(Activities[[#This Row],[Jurisdiction]],Places[#All],8,FALSE)</f>
        <v>Phase I MS4</v>
      </c>
      <c r="G1189" s="48" t="s">
        <v>33</v>
      </c>
      <c r="H1189" s="8"/>
      <c r="I1189" s="8"/>
      <c r="J1189" s="8" t="s">
        <v>47</v>
      </c>
      <c r="K1189" s="27" t="s">
        <v>1873</v>
      </c>
      <c r="L1189" s="28">
        <f>_xlfn.NUMBERVALUE(LEFT(Activities[[#This Row],[Fiscal Year]], 4))</f>
        <v>2015</v>
      </c>
      <c r="M1189" s="28" t="s">
        <v>1862</v>
      </c>
      <c r="N1189" s="41">
        <v>15000</v>
      </c>
      <c r="O1189" s="93">
        <f>IF(Activities[[#This Row],[Reference Year]]&gt;2018,Activities[[#This Row],[Value]],Activities[[#This Row],[Value]]*(1+VLOOKUP(Activities[[#This Row],[Reference Year]],Inflation[#All],3,FALSE)))</f>
        <v>15926.012658227848</v>
      </c>
    </row>
    <row r="1190" spans="1:15" ht="15" customHeight="1" x14ac:dyDescent="0.25">
      <c r="A1190" s="9" t="s">
        <v>286</v>
      </c>
      <c r="B1190" s="9" t="str">
        <f>INDEX(Places[Type],MATCH(Activities[[#This Row],[Jurisdiction]],Places[Jurisdiction],0))</f>
        <v>City</v>
      </c>
      <c r="C1190" s="19" t="str">
        <f>INDEX(Places[County],MATCH(Activities[[#This Row],[Jurisdiction]],Places[Jurisdiction],0))</f>
        <v>Orange</v>
      </c>
      <c r="D1190" s="9" t="str">
        <f>INDEX(Places[Majority RB],MATCH(Activities[[#This Row],[Jurisdiction]],Places[Jurisdiction],0))</f>
        <v>Santa Ana</v>
      </c>
      <c r="E1190" s="9">
        <f>INDEX(Places[Majority RB '#],MATCH(Activities[[#This Row],[Jurisdiction]],Places[Jurisdiction],0))</f>
        <v>8</v>
      </c>
      <c r="F1190" s="28" t="str">
        <f>VLOOKUP(Activities[[#This Row],[Jurisdiction]],Places[#All],8,FALSE)</f>
        <v>Phase I MS4</v>
      </c>
      <c r="G1190" s="48" t="s">
        <v>1004</v>
      </c>
      <c r="H1190" s="8"/>
      <c r="I1190" s="8"/>
      <c r="J1190" s="8" t="s">
        <v>76</v>
      </c>
      <c r="K1190" s="27" t="s">
        <v>1875</v>
      </c>
      <c r="L1190" s="28">
        <f>_xlfn.NUMBERVALUE(LEFT(Activities[[#This Row],[Fiscal Year]], 4))</f>
        <v>2001</v>
      </c>
      <c r="M1190" s="28" t="s">
        <v>1862</v>
      </c>
      <c r="N1190" s="41">
        <v>1061</v>
      </c>
      <c r="O1190" s="93">
        <f>IF(Activities[[#This Row],[Reference Year]]&gt;2018,Activities[[#This Row],[Value]],Activities[[#This Row],[Value]]*(1+VLOOKUP(Activities[[#This Row],[Reference Year]],Inflation[#All],3,FALSE)))</f>
        <v>1507.5126538678712</v>
      </c>
    </row>
    <row r="1191" spans="1:15" ht="15" customHeight="1" x14ac:dyDescent="0.25">
      <c r="A1191" s="9" t="s">
        <v>286</v>
      </c>
      <c r="B1191" s="9" t="str">
        <f>INDEX(Places[Type],MATCH(Activities[[#This Row],[Jurisdiction]],Places[Jurisdiction],0))</f>
        <v>City</v>
      </c>
      <c r="C1191" s="19" t="str">
        <f>INDEX(Places[County],MATCH(Activities[[#This Row],[Jurisdiction]],Places[Jurisdiction],0))</f>
        <v>Orange</v>
      </c>
      <c r="D1191" s="9" t="str">
        <f>INDEX(Places[Majority RB],MATCH(Activities[[#This Row],[Jurisdiction]],Places[Jurisdiction],0))</f>
        <v>Santa Ana</v>
      </c>
      <c r="E1191" s="9">
        <f>INDEX(Places[Majority RB '#],MATCH(Activities[[#This Row],[Jurisdiction]],Places[Jurisdiction],0))</f>
        <v>8</v>
      </c>
      <c r="F1191" s="28" t="str">
        <f>VLOOKUP(Activities[[#This Row],[Jurisdiction]],Places[#All],8,FALSE)</f>
        <v>Phase I MS4</v>
      </c>
      <c r="G1191" s="48" t="s">
        <v>1006</v>
      </c>
      <c r="H1191" s="8"/>
      <c r="I1191" s="8"/>
      <c r="J1191" s="8" t="s">
        <v>1895</v>
      </c>
      <c r="K1191" s="27" t="s">
        <v>1875</v>
      </c>
      <c r="L1191" s="28">
        <f>_xlfn.NUMBERVALUE(LEFT(Activities[[#This Row],[Fiscal Year]], 4))</f>
        <v>2001</v>
      </c>
      <c r="M1191" s="28" t="s">
        <v>1862</v>
      </c>
      <c r="N1191" s="41">
        <v>6365</v>
      </c>
      <c r="O1191" s="93">
        <f>IF(Activities[[#This Row],[Reference Year]]&gt;2018,Activities[[#This Row],[Value]],Activities[[#This Row],[Value]]*(1+VLOOKUP(Activities[[#This Row],[Reference Year]],Inflation[#All],3,FALSE)))</f>
        <v>9043.6550818746473</v>
      </c>
    </row>
    <row r="1192" spans="1:15" ht="15" customHeight="1" x14ac:dyDescent="0.25">
      <c r="A1192" s="9" t="s">
        <v>286</v>
      </c>
      <c r="B1192" s="9" t="str">
        <f>INDEX(Places[Type],MATCH(Activities[[#This Row],[Jurisdiction]],Places[Jurisdiction],0))</f>
        <v>City</v>
      </c>
      <c r="C1192" s="19" t="str">
        <f>INDEX(Places[County],MATCH(Activities[[#This Row],[Jurisdiction]],Places[Jurisdiction],0))</f>
        <v>Orange</v>
      </c>
      <c r="D1192" s="9" t="str">
        <f>INDEX(Places[Majority RB],MATCH(Activities[[#This Row],[Jurisdiction]],Places[Jurisdiction],0))</f>
        <v>Santa Ana</v>
      </c>
      <c r="E1192" s="9">
        <f>INDEX(Places[Majority RB '#],MATCH(Activities[[#This Row],[Jurisdiction]],Places[Jurisdiction],0))</f>
        <v>8</v>
      </c>
      <c r="F1192" s="28" t="str">
        <f>VLOOKUP(Activities[[#This Row],[Jurisdiction]],Places[#All],8,FALSE)</f>
        <v>Phase I MS4</v>
      </c>
      <c r="G1192" s="48" t="s">
        <v>979</v>
      </c>
      <c r="H1192" s="8" t="s">
        <v>504</v>
      </c>
      <c r="I1192" s="8"/>
      <c r="J1192" s="8" t="s">
        <v>71</v>
      </c>
      <c r="K1192" s="27" t="s">
        <v>1875</v>
      </c>
      <c r="L1192" s="28">
        <f>_xlfn.NUMBERVALUE(LEFT(Activities[[#This Row],[Fiscal Year]], 4))</f>
        <v>2001</v>
      </c>
      <c r="M1192" s="28" t="s">
        <v>1862</v>
      </c>
      <c r="N1192" s="41">
        <v>6896</v>
      </c>
      <c r="O1192" s="93">
        <f>IF(Activities[[#This Row],[Reference Year]]&gt;2018,Activities[[#This Row],[Value]],Activities[[#This Row],[Value]]*(1+VLOOKUP(Activities[[#This Row],[Reference Year]],Inflation[#All],3,FALSE)))</f>
        <v>9798.1218294748724</v>
      </c>
    </row>
    <row r="1193" spans="1:15" ht="15" customHeight="1" x14ac:dyDescent="0.25">
      <c r="A1193" s="9" t="s">
        <v>286</v>
      </c>
      <c r="B1193" s="9" t="str">
        <f>INDEX(Places[Type],MATCH(Activities[[#This Row],[Jurisdiction]],Places[Jurisdiction],0))</f>
        <v>City</v>
      </c>
      <c r="C1193" s="19" t="str">
        <f>INDEX(Places[County],MATCH(Activities[[#This Row],[Jurisdiction]],Places[Jurisdiction],0))</f>
        <v>Orange</v>
      </c>
      <c r="D1193" s="9" t="str">
        <f>INDEX(Places[Majority RB],MATCH(Activities[[#This Row],[Jurisdiction]],Places[Jurisdiction],0))</f>
        <v>Santa Ana</v>
      </c>
      <c r="E1193" s="9">
        <f>INDEX(Places[Majority RB '#],MATCH(Activities[[#This Row],[Jurisdiction]],Places[Jurisdiction],0))</f>
        <v>8</v>
      </c>
      <c r="F1193" s="28" t="str">
        <f>VLOOKUP(Activities[[#This Row],[Jurisdiction]],Places[#All],8,FALSE)</f>
        <v>Phase I MS4</v>
      </c>
      <c r="G1193" s="48" t="s">
        <v>994</v>
      </c>
      <c r="H1193" s="8" t="s">
        <v>504</v>
      </c>
      <c r="I1193" s="8"/>
      <c r="J1193" s="8" t="s">
        <v>71</v>
      </c>
      <c r="K1193" s="27" t="s">
        <v>1875</v>
      </c>
      <c r="L1193" s="28">
        <f>_xlfn.NUMBERVALUE(LEFT(Activities[[#This Row],[Fiscal Year]], 4))</f>
        <v>2001</v>
      </c>
      <c r="M1193" s="28" t="s">
        <v>1862</v>
      </c>
      <c r="N1193" s="41">
        <v>12730</v>
      </c>
      <c r="O1193" s="93">
        <f>IF(Activities[[#This Row],[Reference Year]]&gt;2018,Activities[[#This Row],[Value]],Activities[[#This Row],[Value]]*(1+VLOOKUP(Activities[[#This Row],[Reference Year]],Inflation[#All],3,FALSE)))</f>
        <v>18087.310163749295</v>
      </c>
    </row>
    <row r="1194" spans="1:15" ht="15" customHeight="1" x14ac:dyDescent="0.25">
      <c r="A1194" s="9" t="s">
        <v>286</v>
      </c>
      <c r="B1194" s="9" t="str">
        <f>INDEX(Places[Type],MATCH(Activities[[#This Row],[Jurisdiction]],Places[Jurisdiction],0))</f>
        <v>City</v>
      </c>
      <c r="C1194" s="19" t="str">
        <f>INDEX(Places[County],MATCH(Activities[[#This Row],[Jurisdiction]],Places[Jurisdiction],0))</f>
        <v>Orange</v>
      </c>
      <c r="D1194" s="9" t="str">
        <f>INDEX(Places[Majority RB],MATCH(Activities[[#This Row],[Jurisdiction]],Places[Jurisdiction],0))</f>
        <v>Santa Ana</v>
      </c>
      <c r="E1194" s="9">
        <f>INDEX(Places[Majority RB '#],MATCH(Activities[[#This Row],[Jurisdiction]],Places[Jurisdiction],0))</f>
        <v>8</v>
      </c>
      <c r="F1194" s="28" t="str">
        <f>VLOOKUP(Activities[[#This Row],[Jurisdiction]],Places[#All],8,FALSE)</f>
        <v>Phase I MS4</v>
      </c>
      <c r="G1194" s="48" t="s">
        <v>1007</v>
      </c>
      <c r="H1194" s="8"/>
      <c r="I1194" s="8"/>
      <c r="J1194" s="8" t="s">
        <v>71</v>
      </c>
      <c r="K1194" s="27" t="s">
        <v>1875</v>
      </c>
      <c r="L1194" s="28">
        <f>_xlfn.NUMBERVALUE(LEFT(Activities[[#This Row],[Fiscal Year]], 4))</f>
        <v>2001</v>
      </c>
      <c r="M1194" s="28" t="s">
        <v>1862</v>
      </c>
      <c r="N1194" s="41">
        <v>15914</v>
      </c>
      <c r="O1194" s="93">
        <f>IF(Activities[[#This Row],[Reference Year]]&gt;2018,Activities[[#This Row],[Value]],Activities[[#This Row],[Value]]*(1+VLOOKUP(Activities[[#This Row],[Reference Year]],Inflation[#All],3,FALSE)))</f>
        <v>22611.268966685489</v>
      </c>
    </row>
    <row r="1195" spans="1:15" ht="15" customHeight="1" x14ac:dyDescent="0.25">
      <c r="A1195" s="9" t="s">
        <v>286</v>
      </c>
      <c r="B1195" s="9" t="str">
        <f>INDEX(Places[Type],MATCH(Activities[[#This Row],[Jurisdiction]],Places[Jurisdiction],0))</f>
        <v>City</v>
      </c>
      <c r="C1195" s="19" t="str">
        <f>INDEX(Places[County],MATCH(Activities[[#This Row],[Jurisdiction]],Places[Jurisdiction],0))</f>
        <v>Orange</v>
      </c>
      <c r="D1195" s="9" t="str">
        <f>INDEX(Places[Majority RB],MATCH(Activities[[#This Row],[Jurisdiction]],Places[Jurisdiction],0))</f>
        <v>Santa Ana</v>
      </c>
      <c r="E1195" s="9">
        <f>INDEX(Places[Majority RB '#],MATCH(Activities[[#This Row],[Jurisdiction]],Places[Jurisdiction],0))</f>
        <v>8</v>
      </c>
      <c r="F1195" s="28" t="str">
        <f>VLOOKUP(Activities[[#This Row],[Jurisdiction]],Places[#All],8,FALSE)</f>
        <v>Phase I MS4</v>
      </c>
      <c r="G1195" s="48" t="s">
        <v>989</v>
      </c>
      <c r="H1195" s="8" t="s">
        <v>597</v>
      </c>
      <c r="I1195" s="8" t="s">
        <v>594</v>
      </c>
      <c r="J1195" s="8" t="s">
        <v>1897</v>
      </c>
      <c r="K1195" s="27" t="s">
        <v>1875</v>
      </c>
      <c r="L1195" s="28">
        <f>_xlfn.NUMBERVALUE(LEFT(Activities[[#This Row],[Fiscal Year]], 4))</f>
        <v>2001</v>
      </c>
      <c r="M1195" s="28" t="s">
        <v>1862</v>
      </c>
      <c r="N1195" s="41">
        <v>1061</v>
      </c>
      <c r="O1195" s="93">
        <f>IF(Activities[[#This Row],[Reference Year]]&gt;2018,Activities[[#This Row],[Value]],Activities[[#This Row],[Value]]*(1+VLOOKUP(Activities[[#This Row],[Reference Year]],Inflation[#All],3,FALSE)))</f>
        <v>1507.5126538678712</v>
      </c>
    </row>
    <row r="1196" spans="1:15" ht="15" customHeight="1" x14ac:dyDescent="0.25">
      <c r="A1196" s="9" t="s">
        <v>286</v>
      </c>
      <c r="B1196" s="9" t="str">
        <f>INDEX(Places[Type],MATCH(Activities[[#This Row],[Jurisdiction]],Places[Jurisdiction],0))</f>
        <v>City</v>
      </c>
      <c r="C1196" s="19" t="str">
        <f>INDEX(Places[County],MATCH(Activities[[#This Row],[Jurisdiction]],Places[Jurisdiction],0))</f>
        <v>Orange</v>
      </c>
      <c r="D1196" s="9" t="str">
        <f>INDEX(Places[Majority RB],MATCH(Activities[[#This Row],[Jurisdiction]],Places[Jurisdiction],0))</f>
        <v>Santa Ana</v>
      </c>
      <c r="E1196" s="9">
        <f>INDEX(Places[Majority RB '#],MATCH(Activities[[#This Row],[Jurisdiction]],Places[Jurisdiction],0))</f>
        <v>8</v>
      </c>
      <c r="F1196" s="28" t="str">
        <f>VLOOKUP(Activities[[#This Row],[Jurisdiction]],Places[#All],8,FALSE)</f>
        <v>Phase I MS4</v>
      </c>
      <c r="G1196" s="48" t="s">
        <v>977</v>
      </c>
      <c r="H1196" s="8" t="s">
        <v>504</v>
      </c>
      <c r="I1196" s="8"/>
      <c r="J1196" s="8" t="s">
        <v>1897</v>
      </c>
      <c r="K1196" s="27" t="s">
        <v>1875</v>
      </c>
      <c r="L1196" s="28">
        <f>_xlfn.NUMBERVALUE(LEFT(Activities[[#This Row],[Fiscal Year]], 4))</f>
        <v>2001</v>
      </c>
      <c r="M1196" s="28" t="s">
        <v>1862</v>
      </c>
      <c r="N1196" s="41">
        <v>1379</v>
      </c>
      <c r="O1196" s="93">
        <f>IF(Activities[[#This Row],[Reference Year]]&gt;2018,Activities[[#This Row],[Value]],Activities[[#This Row],[Value]]*(1+VLOOKUP(Activities[[#This Row],[Reference Year]],Inflation[#All],3,FALSE)))</f>
        <v>1959.3401976284583</v>
      </c>
    </row>
    <row r="1197" spans="1:15" ht="15" customHeight="1" x14ac:dyDescent="0.25">
      <c r="A1197" s="9" t="s">
        <v>286</v>
      </c>
      <c r="B1197" s="9" t="str">
        <f>INDEX(Places[Type],MATCH(Activities[[#This Row],[Jurisdiction]],Places[Jurisdiction],0))</f>
        <v>City</v>
      </c>
      <c r="C1197" s="19" t="str">
        <f>INDEX(Places[County],MATCH(Activities[[#This Row],[Jurisdiction]],Places[Jurisdiction],0))</f>
        <v>Orange</v>
      </c>
      <c r="D1197" s="9" t="str">
        <f>INDEX(Places[Majority RB],MATCH(Activities[[#This Row],[Jurisdiction]],Places[Jurisdiction],0))</f>
        <v>Santa Ana</v>
      </c>
      <c r="E1197" s="9">
        <f>INDEX(Places[Majority RB '#],MATCH(Activities[[#This Row],[Jurisdiction]],Places[Jurisdiction],0))</f>
        <v>8</v>
      </c>
      <c r="F1197" s="28" t="str">
        <f>VLOOKUP(Activities[[#This Row],[Jurisdiction]],Places[#All],8,FALSE)</f>
        <v>Phase I MS4</v>
      </c>
      <c r="G1197" s="48" t="s">
        <v>999</v>
      </c>
      <c r="H1197" s="8" t="s">
        <v>504</v>
      </c>
      <c r="I1197" s="8"/>
      <c r="J1197" s="8" t="s">
        <v>1897</v>
      </c>
      <c r="K1197" s="27" t="s">
        <v>1875</v>
      </c>
      <c r="L1197" s="28">
        <f>_xlfn.NUMBERVALUE(LEFT(Activities[[#This Row],[Fiscal Year]], 4))</f>
        <v>2001</v>
      </c>
      <c r="M1197" s="28" t="s">
        <v>1862</v>
      </c>
      <c r="N1197" s="41">
        <v>3183</v>
      </c>
      <c r="O1197" s="93">
        <f>IF(Activities[[#This Row],[Reference Year]]&gt;2018,Activities[[#This Row],[Value]],Activities[[#This Row],[Value]]*(1+VLOOKUP(Activities[[#This Row],[Reference Year]],Inflation[#All],3,FALSE)))</f>
        <v>4522.5379616036134</v>
      </c>
    </row>
    <row r="1198" spans="1:15" ht="15" customHeight="1" x14ac:dyDescent="0.25">
      <c r="A1198" s="9" t="s">
        <v>286</v>
      </c>
      <c r="B1198" s="9" t="str">
        <f>INDEX(Places[Type],MATCH(Activities[[#This Row],[Jurisdiction]],Places[Jurisdiction],0))</f>
        <v>City</v>
      </c>
      <c r="C1198" s="19" t="str">
        <f>INDEX(Places[County],MATCH(Activities[[#This Row],[Jurisdiction]],Places[Jurisdiction],0))</f>
        <v>Orange</v>
      </c>
      <c r="D1198" s="9" t="str">
        <f>INDEX(Places[Majority RB],MATCH(Activities[[#This Row],[Jurisdiction]],Places[Jurisdiction],0))</f>
        <v>Santa Ana</v>
      </c>
      <c r="E1198" s="9">
        <f>INDEX(Places[Majority RB '#],MATCH(Activities[[#This Row],[Jurisdiction]],Places[Jurisdiction],0))</f>
        <v>8</v>
      </c>
      <c r="F1198" s="28" t="str">
        <f>VLOOKUP(Activities[[#This Row],[Jurisdiction]],Places[#All],8,FALSE)</f>
        <v>Phase I MS4</v>
      </c>
      <c r="G1198" s="48" t="s">
        <v>984</v>
      </c>
      <c r="H1198" s="8" t="s">
        <v>504</v>
      </c>
      <c r="I1198" s="8"/>
      <c r="J1198" s="8" t="s">
        <v>1897</v>
      </c>
      <c r="K1198" s="27" t="s">
        <v>1875</v>
      </c>
      <c r="L1198" s="28">
        <f>_xlfn.NUMBERVALUE(LEFT(Activities[[#This Row],[Fiscal Year]], 4))</f>
        <v>2001</v>
      </c>
      <c r="M1198" s="28" t="s">
        <v>1862</v>
      </c>
      <c r="N1198" s="41">
        <v>4774</v>
      </c>
      <c r="O1198" s="93">
        <f>IF(Activities[[#This Row],[Reference Year]]&gt;2018,Activities[[#This Row],[Value]],Activities[[#This Row],[Value]]*(1+VLOOKUP(Activities[[#This Row],[Reference Year]],Inflation[#All],3,FALSE)))</f>
        <v>6783.0965217391304</v>
      </c>
    </row>
    <row r="1199" spans="1:15" ht="15" customHeight="1" x14ac:dyDescent="0.25">
      <c r="A1199" s="9" t="s">
        <v>286</v>
      </c>
      <c r="B1199" s="9" t="str">
        <f>INDEX(Places[Type],MATCH(Activities[[#This Row],[Jurisdiction]],Places[Jurisdiction],0))</f>
        <v>City</v>
      </c>
      <c r="C1199" s="19" t="str">
        <f>INDEX(Places[County],MATCH(Activities[[#This Row],[Jurisdiction]],Places[Jurisdiction],0))</f>
        <v>Orange</v>
      </c>
      <c r="D1199" s="9" t="str">
        <f>INDEX(Places[Majority RB],MATCH(Activities[[#This Row],[Jurisdiction]],Places[Jurisdiction],0))</f>
        <v>Santa Ana</v>
      </c>
      <c r="E1199" s="9">
        <f>INDEX(Places[Majority RB '#],MATCH(Activities[[#This Row],[Jurisdiction]],Places[Jurisdiction],0))</f>
        <v>8</v>
      </c>
      <c r="F1199" s="28" t="str">
        <f>VLOOKUP(Activities[[#This Row],[Jurisdiction]],Places[#All],8,FALSE)</f>
        <v>Phase I MS4</v>
      </c>
      <c r="G1199" s="48" t="s">
        <v>1002</v>
      </c>
      <c r="H1199" s="8" t="s">
        <v>597</v>
      </c>
      <c r="I1199" s="8" t="s">
        <v>594</v>
      </c>
      <c r="J1199" s="8" t="s">
        <v>1897</v>
      </c>
      <c r="K1199" s="27" t="s">
        <v>1875</v>
      </c>
      <c r="L1199" s="28">
        <f>_xlfn.NUMBERVALUE(LEFT(Activities[[#This Row],[Fiscal Year]], 4))</f>
        <v>2001</v>
      </c>
      <c r="M1199" s="28" t="s">
        <v>1862</v>
      </c>
      <c r="N1199" s="41">
        <v>8487</v>
      </c>
      <c r="O1199" s="93">
        <f>IF(Activities[[#This Row],[Reference Year]]&gt;2018,Activities[[#This Row],[Value]],Activities[[#This Row],[Value]]*(1+VLOOKUP(Activities[[#This Row],[Reference Year]],Inflation[#All],3,FALSE)))</f>
        <v>12058.680389610388</v>
      </c>
    </row>
    <row r="1200" spans="1:15" ht="15" customHeight="1" x14ac:dyDescent="0.25">
      <c r="A1200" s="9" t="s">
        <v>286</v>
      </c>
      <c r="B1200" s="9" t="str">
        <f>INDEX(Places[Type],MATCH(Activities[[#This Row],[Jurisdiction]],Places[Jurisdiction],0))</f>
        <v>City</v>
      </c>
      <c r="C1200" s="19" t="str">
        <f>INDEX(Places[County],MATCH(Activities[[#This Row],[Jurisdiction]],Places[Jurisdiction],0))</f>
        <v>Orange</v>
      </c>
      <c r="D1200" s="9" t="str">
        <f>INDEX(Places[Majority RB],MATCH(Activities[[#This Row],[Jurisdiction]],Places[Jurisdiction],0))</f>
        <v>Santa Ana</v>
      </c>
      <c r="E1200" s="9">
        <f>INDEX(Places[Majority RB '#],MATCH(Activities[[#This Row],[Jurisdiction]],Places[Jurisdiction],0))</f>
        <v>8</v>
      </c>
      <c r="F1200" s="28" t="str">
        <f>VLOOKUP(Activities[[#This Row],[Jurisdiction]],Places[#All],8,FALSE)</f>
        <v>Phase I MS4</v>
      </c>
      <c r="G1200" s="48" t="s">
        <v>992</v>
      </c>
      <c r="H1200" s="8" t="s">
        <v>504</v>
      </c>
      <c r="I1200" s="8"/>
      <c r="J1200" s="8" t="s">
        <v>1897</v>
      </c>
      <c r="K1200" s="27" t="s">
        <v>1875</v>
      </c>
      <c r="L1200" s="28">
        <f>_xlfn.NUMBERVALUE(LEFT(Activities[[#This Row],[Fiscal Year]], 4))</f>
        <v>2001</v>
      </c>
      <c r="M1200" s="28" t="s">
        <v>1862</v>
      </c>
      <c r="N1200" s="41">
        <v>21218</v>
      </c>
      <c r="O1200" s="93">
        <f>IF(Activities[[#This Row],[Reference Year]]&gt;2018,Activities[[#This Row],[Value]],Activities[[#This Row],[Value]]*(1+VLOOKUP(Activities[[#This Row],[Reference Year]],Inflation[#All],3,FALSE)))</f>
        <v>30147.411394692263</v>
      </c>
    </row>
    <row r="1201" spans="1:15" ht="15" customHeight="1" x14ac:dyDescent="0.25">
      <c r="A1201" s="9" t="s">
        <v>286</v>
      </c>
      <c r="B1201" s="9" t="str">
        <f>INDEX(Places[Type],MATCH(Activities[[#This Row],[Jurisdiction]],Places[Jurisdiction],0))</f>
        <v>City</v>
      </c>
      <c r="C1201" s="19" t="str">
        <f>INDEX(Places[County],MATCH(Activities[[#This Row],[Jurisdiction]],Places[Jurisdiction],0))</f>
        <v>Orange</v>
      </c>
      <c r="D1201" s="9" t="str">
        <f>INDEX(Places[Majority RB],MATCH(Activities[[#This Row],[Jurisdiction]],Places[Jurisdiction],0))</f>
        <v>Santa Ana</v>
      </c>
      <c r="E1201" s="9">
        <f>INDEX(Places[Majority RB '#],MATCH(Activities[[#This Row],[Jurisdiction]],Places[Jurisdiction],0))</f>
        <v>8</v>
      </c>
      <c r="F1201" s="28" t="str">
        <f>VLOOKUP(Activities[[#This Row],[Jurisdiction]],Places[#All],8,FALSE)</f>
        <v>Phase I MS4</v>
      </c>
      <c r="G1201" s="48" t="s">
        <v>998</v>
      </c>
      <c r="H1201" s="8" t="s">
        <v>504</v>
      </c>
      <c r="I1201" s="8"/>
      <c r="J1201" s="8" t="s">
        <v>1897</v>
      </c>
      <c r="K1201" s="27" t="s">
        <v>1875</v>
      </c>
      <c r="L1201" s="28">
        <f>_xlfn.NUMBERVALUE(LEFT(Activities[[#This Row],[Fiscal Year]], 4))</f>
        <v>2001</v>
      </c>
      <c r="M1201" s="28" t="s">
        <v>1862</v>
      </c>
      <c r="N1201" s="41">
        <v>21218</v>
      </c>
      <c r="O1201" s="93">
        <f>IF(Activities[[#This Row],[Reference Year]]&gt;2018,Activities[[#This Row],[Value]],Activities[[#This Row],[Value]]*(1+VLOOKUP(Activities[[#This Row],[Reference Year]],Inflation[#All],3,FALSE)))</f>
        <v>30147.411394692263</v>
      </c>
    </row>
    <row r="1202" spans="1:15" ht="15" customHeight="1" x14ac:dyDescent="0.25">
      <c r="A1202" s="9" t="s">
        <v>286</v>
      </c>
      <c r="B1202" s="9" t="str">
        <f>INDEX(Places[Type],MATCH(Activities[[#This Row],[Jurisdiction]],Places[Jurisdiction],0))</f>
        <v>City</v>
      </c>
      <c r="C1202" s="19" t="str">
        <f>INDEX(Places[County],MATCH(Activities[[#This Row],[Jurisdiction]],Places[Jurisdiction],0))</f>
        <v>Orange</v>
      </c>
      <c r="D1202" s="9" t="str">
        <f>INDEX(Places[Majority RB],MATCH(Activities[[#This Row],[Jurisdiction]],Places[Jurisdiction],0))</f>
        <v>Santa Ana</v>
      </c>
      <c r="E1202" s="9">
        <f>INDEX(Places[Majority RB '#],MATCH(Activities[[#This Row],[Jurisdiction]],Places[Jurisdiction],0))</f>
        <v>8</v>
      </c>
      <c r="F1202" s="28" t="str">
        <f>VLOOKUP(Activities[[#This Row],[Jurisdiction]],Places[#All],8,FALSE)</f>
        <v>Phase I MS4</v>
      </c>
      <c r="G1202" s="48" t="s">
        <v>981</v>
      </c>
      <c r="H1202" s="8" t="s">
        <v>504</v>
      </c>
      <c r="I1202" s="8"/>
      <c r="J1202" s="8" t="s">
        <v>1897</v>
      </c>
      <c r="K1202" s="27" t="s">
        <v>1875</v>
      </c>
      <c r="L1202" s="28">
        <f>_xlfn.NUMBERVALUE(LEFT(Activities[[#This Row],[Fiscal Year]], 4))</f>
        <v>2001</v>
      </c>
      <c r="M1202" s="28" t="s">
        <v>1862</v>
      </c>
      <c r="N1202" s="41">
        <v>63654</v>
      </c>
      <c r="O1202" s="93">
        <f>IF(Activities[[#This Row],[Reference Year]]&gt;2018,Activities[[#This Row],[Value]],Activities[[#This Row],[Value]]*(1+VLOOKUP(Activities[[#This Row],[Reference Year]],Inflation[#All],3,FALSE)))</f>
        <v>90442.234184076791</v>
      </c>
    </row>
    <row r="1203" spans="1:15" ht="15" customHeight="1" x14ac:dyDescent="0.25">
      <c r="A1203" s="9" t="s">
        <v>286</v>
      </c>
      <c r="B1203" s="9" t="str">
        <f>INDEX(Places[Type],MATCH(Activities[[#This Row],[Jurisdiction]],Places[Jurisdiction],0))</f>
        <v>City</v>
      </c>
      <c r="C1203" s="19" t="str">
        <f>INDEX(Places[County],MATCH(Activities[[#This Row],[Jurisdiction]],Places[Jurisdiction],0))</f>
        <v>Orange</v>
      </c>
      <c r="D1203" s="9" t="str">
        <f>INDEX(Places[Majority RB],MATCH(Activities[[#This Row],[Jurisdiction]],Places[Jurisdiction],0))</f>
        <v>Santa Ana</v>
      </c>
      <c r="E1203" s="9">
        <f>INDEX(Places[Majority RB '#],MATCH(Activities[[#This Row],[Jurisdiction]],Places[Jurisdiction],0))</f>
        <v>8</v>
      </c>
      <c r="F1203" s="28" t="str">
        <f>VLOOKUP(Activities[[#This Row],[Jurisdiction]],Places[#All],8,FALSE)</f>
        <v>Phase I MS4</v>
      </c>
      <c r="G1203" s="48" t="s">
        <v>996</v>
      </c>
      <c r="H1203" s="8" t="s">
        <v>504</v>
      </c>
      <c r="I1203" s="8"/>
      <c r="J1203" s="8" t="s">
        <v>1897</v>
      </c>
      <c r="K1203" s="27" t="s">
        <v>1875</v>
      </c>
      <c r="L1203" s="28">
        <f>_xlfn.NUMBERVALUE(LEFT(Activities[[#This Row],[Fiscal Year]], 4))</f>
        <v>2001</v>
      </c>
      <c r="M1203" s="28" t="s">
        <v>1862</v>
      </c>
      <c r="N1203" s="41">
        <v>106090</v>
      </c>
      <c r="O1203" s="93">
        <f>IF(Activities[[#This Row],[Reference Year]]&gt;2018,Activities[[#This Row],[Value]],Activities[[#This Row],[Value]]*(1+VLOOKUP(Activities[[#This Row],[Reference Year]],Inflation[#All],3,FALSE)))</f>
        <v>150737.05697346132</v>
      </c>
    </row>
    <row r="1204" spans="1:15" ht="15" customHeight="1" x14ac:dyDescent="0.25">
      <c r="A1204" s="9" t="s">
        <v>286</v>
      </c>
      <c r="B1204" s="9" t="str">
        <f>INDEX(Places[Type],MATCH(Activities[[#This Row],[Jurisdiction]],Places[Jurisdiction],0))</f>
        <v>City</v>
      </c>
      <c r="C1204" s="19" t="str">
        <f>INDEX(Places[County],MATCH(Activities[[#This Row],[Jurisdiction]],Places[Jurisdiction],0))</f>
        <v>Orange</v>
      </c>
      <c r="D1204" s="9" t="str">
        <f>INDEX(Places[Majority RB],MATCH(Activities[[#This Row],[Jurisdiction]],Places[Jurisdiction],0))</f>
        <v>Santa Ana</v>
      </c>
      <c r="E1204" s="9">
        <f>INDEX(Places[Majority RB '#],MATCH(Activities[[#This Row],[Jurisdiction]],Places[Jurisdiction],0))</f>
        <v>8</v>
      </c>
      <c r="F1204" s="28" t="str">
        <f>VLOOKUP(Activities[[#This Row],[Jurisdiction]],Places[#All],8,FALSE)</f>
        <v>Phase I MS4</v>
      </c>
      <c r="G1204" s="48" t="s">
        <v>987</v>
      </c>
      <c r="H1204" s="8"/>
      <c r="I1204" s="8"/>
      <c r="J1204" s="8" t="s">
        <v>1898</v>
      </c>
      <c r="K1204" s="27" t="s">
        <v>1875</v>
      </c>
      <c r="L1204" s="28">
        <f>_xlfn.NUMBERVALUE(LEFT(Activities[[#This Row],[Fiscal Year]], 4))</f>
        <v>2001</v>
      </c>
      <c r="M1204" s="28" t="s">
        <v>1862</v>
      </c>
      <c r="N1204" s="41">
        <v>1061</v>
      </c>
      <c r="O1204" s="93">
        <f>IF(Activities[[#This Row],[Reference Year]]&gt;2018,Activities[[#This Row],[Value]],Activities[[#This Row],[Value]]*(1+VLOOKUP(Activities[[#This Row],[Reference Year]],Inflation[#All],3,FALSE)))</f>
        <v>1507.5126538678712</v>
      </c>
    </row>
    <row r="1205" spans="1:15" ht="15" customHeight="1" x14ac:dyDescent="0.25">
      <c r="A1205" s="9" t="s">
        <v>286</v>
      </c>
      <c r="B1205" s="9" t="str">
        <f>INDEX(Places[Type],MATCH(Activities[[#This Row],[Jurisdiction]],Places[Jurisdiction],0))</f>
        <v>City</v>
      </c>
      <c r="C1205" s="19" t="str">
        <f>INDEX(Places[County],MATCH(Activities[[#This Row],[Jurisdiction]],Places[Jurisdiction],0))</f>
        <v>Orange</v>
      </c>
      <c r="D1205" s="9" t="str">
        <f>INDEX(Places[Majority RB],MATCH(Activities[[#This Row],[Jurisdiction]],Places[Jurisdiction],0))</f>
        <v>Santa Ana</v>
      </c>
      <c r="E1205" s="9">
        <f>INDEX(Places[Majority RB '#],MATCH(Activities[[#This Row],[Jurisdiction]],Places[Jurisdiction],0))</f>
        <v>8</v>
      </c>
      <c r="F1205" s="28" t="str">
        <f>VLOOKUP(Activities[[#This Row],[Jurisdiction]],Places[#All],8,FALSE)</f>
        <v>Phase I MS4</v>
      </c>
      <c r="G1205" s="48" t="s">
        <v>1005</v>
      </c>
      <c r="H1205" s="8"/>
      <c r="I1205" s="8"/>
      <c r="J1205" s="8" t="s">
        <v>1898</v>
      </c>
      <c r="K1205" s="27" t="s">
        <v>1875</v>
      </c>
      <c r="L1205" s="28">
        <f>_xlfn.NUMBERVALUE(LEFT(Activities[[#This Row],[Fiscal Year]], 4))</f>
        <v>2001</v>
      </c>
      <c r="M1205" s="28" t="s">
        <v>1862</v>
      </c>
      <c r="N1205" s="41">
        <v>1591</v>
      </c>
      <c r="O1205" s="93">
        <f>IF(Activities[[#This Row],[Reference Year]]&gt;2018,Activities[[#This Row],[Value]],Activities[[#This Row],[Value]]*(1+VLOOKUP(Activities[[#This Row],[Reference Year]],Inflation[#All],3,FALSE)))</f>
        <v>2260.5585601355165</v>
      </c>
    </row>
    <row r="1206" spans="1:15" ht="15" customHeight="1" x14ac:dyDescent="0.25">
      <c r="A1206" s="9" t="s">
        <v>286</v>
      </c>
      <c r="B1206" s="9" t="str">
        <f>INDEX(Places[Type],MATCH(Activities[[#This Row],[Jurisdiction]],Places[Jurisdiction],0))</f>
        <v>City</v>
      </c>
      <c r="C1206" s="19" t="str">
        <f>INDEX(Places[County],MATCH(Activities[[#This Row],[Jurisdiction]],Places[Jurisdiction],0))</f>
        <v>Orange</v>
      </c>
      <c r="D1206" s="9" t="str">
        <f>INDEX(Places[Majority RB],MATCH(Activities[[#This Row],[Jurisdiction]],Places[Jurisdiction],0))</f>
        <v>Santa Ana</v>
      </c>
      <c r="E1206" s="9">
        <f>INDEX(Places[Majority RB '#],MATCH(Activities[[#This Row],[Jurisdiction]],Places[Jurisdiction],0))</f>
        <v>8</v>
      </c>
      <c r="F1206" s="28" t="str">
        <f>VLOOKUP(Activities[[#This Row],[Jurisdiction]],Places[#All],8,FALSE)</f>
        <v>Phase I MS4</v>
      </c>
      <c r="G1206" s="48" t="s">
        <v>1000</v>
      </c>
      <c r="H1206" s="8" t="s">
        <v>505</v>
      </c>
      <c r="I1206" s="8"/>
      <c r="J1206" s="8" t="s">
        <v>1456</v>
      </c>
      <c r="K1206" s="27" t="s">
        <v>1875</v>
      </c>
      <c r="L1206" s="28">
        <f>_xlfn.NUMBERVALUE(LEFT(Activities[[#This Row],[Fiscal Year]], 4))</f>
        <v>2001</v>
      </c>
      <c r="M1206" s="28" t="s">
        <v>1862</v>
      </c>
      <c r="N1206" s="41">
        <v>1591</v>
      </c>
      <c r="O1206" s="93">
        <f>IF(Activities[[#This Row],[Reference Year]]&gt;2018,Activities[[#This Row],[Value]],Activities[[#This Row],[Value]]*(1+VLOOKUP(Activities[[#This Row],[Reference Year]],Inflation[#All],3,FALSE)))</f>
        <v>2260.5585601355165</v>
      </c>
    </row>
    <row r="1207" spans="1:15" ht="15" customHeight="1" x14ac:dyDescent="0.25">
      <c r="A1207" s="9" t="s">
        <v>286</v>
      </c>
      <c r="B1207" s="9" t="str">
        <f>INDEX(Places[Type],MATCH(Activities[[#This Row],[Jurisdiction]],Places[Jurisdiction],0))</f>
        <v>City</v>
      </c>
      <c r="C1207" s="19" t="str">
        <f>INDEX(Places[County],MATCH(Activities[[#This Row],[Jurisdiction]],Places[Jurisdiction],0))</f>
        <v>Orange</v>
      </c>
      <c r="D1207" s="9" t="str">
        <f>INDEX(Places[Majority RB],MATCH(Activities[[#This Row],[Jurisdiction]],Places[Jurisdiction],0))</f>
        <v>Santa Ana</v>
      </c>
      <c r="E1207" s="9">
        <f>INDEX(Places[Majority RB '#],MATCH(Activities[[#This Row],[Jurisdiction]],Places[Jurisdiction],0))</f>
        <v>8</v>
      </c>
      <c r="F1207" s="28" t="str">
        <f>VLOOKUP(Activities[[#This Row],[Jurisdiction]],Places[#All],8,FALSE)</f>
        <v>Phase I MS4</v>
      </c>
      <c r="G1207" s="48" t="s">
        <v>1001</v>
      </c>
      <c r="H1207" s="8" t="s">
        <v>599</v>
      </c>
      <c r="I1207" s="8"/>
      <c r="J1207" s="8" t="s">
        <v>1456</v>
      </c>
      <c r="K1207" s="27" t="s">
        <v>1875</v>
      </c>
      <c r="L1207" s="28">
        <f>_xlfn.NUMBERVALUE(LEFT(Activities[[#This Row],[Fiscal Year]], 4))</f>
        <v>2001</v>
      </c>
      <c r="M1207" s="28" t="s">
        <v>1862</v>
      </c>
      <c r="N1207" s="41">
        <v>7426</v>
      </c>
      <c r="O1207" s="93">
        <f>IF(Activities[[#This Row],[Reference Year]]&gt;2018,Activities[[#This Row],[Value]],Activities[[#This Row],[Value]]*(1+VLOOKUP(Activities[[#This Row],[Reference Year]],Inflation[#All],3,FALSE)))</f>
        <v>10551.167735742518</v>
      </c>
    </row>
    <row r="1208" spans="1:15" ht="15" customHeight="1" x14ac:dyDescent="0.25">
      <c r="A1208" s="9" t="s">
        <v>286</v>
      </c>
      <c r="B1208" s="9" t="str">
        <f>INDEX(Places[Type],MATCH(Activities[[#This Row],[Jurisdiction]],Places[Jurisdiction],0))</f>
        <v>City</v>
      </c>
      <c r="C1208" s="19" t="str">
        <f>INDEX(Places[County],MATCH(Activities[[#This Row],[Jurisdiction]],Places[Jurisdiction],0))</f>
        <v>Orange</v>
      </c>
      <c r="D1208" s="9" t="str">
        <f>INDEX(Places[Majority RB],MATCH(Activities[[#This Row],[Jurisdiction]],Places[Jurisdiction],0))</f>
        <v>Santa Ana</v>
      </c>
      <c r="E1208" s="9">
        <f>INDEX(Places[Majority RB '#],MATCH(Activities[[#This Row],[Jurisdiction]],Places[Jurisdiction],0))</f>
        <v>8</v>
      </c>
      <c r="F1208" s="28" t="str">
        <f>VLOOKUP(Activities[[#This Row],[Jurisdiction]],Places[#All],8,FALSE)</f>
        <v>Phase I MS4</v>
      </c>
      <c r="G1208" s="48" t="s">
        <v>976</v>
      </c>
      <c r="H1208" s="8" t="s">
        <v>503</v>
      </c>
      <c r="I1208" s="8" t="s">
        <v>612</v>
      </c>
      <c r="J1208" s="8" t="s">
        <v>1894</v>
      </c>
      <c r="K1208" s="27" t="s">
        <v>1875</v>
      </c>
      <c r="L1208" s="28">
        <f>_xlfn.NUMBERVALUE(LEFT(Activities[[#This Row],[Fiscal Year]], 4))</f>
        <v>2001</v>
      </c>
      <c r="M1208" s="28" t="s">
        <v>1862</v>
      </c>
      <c r="N1208" s="41">
        <v>2652</v>
      </c>
      <c r="O1208" s="93">
        <f>IF(Activities[[#This Row],[Reference Year]]&gt;2018,Activities[[#This Row],[Value]],Activities[[#This Row],[Value]]*(1+VLOOKUP(Activities[[#This Row],[Reference Year]],Inflation[#All],3,FALSE)))</f>
        <v>3768.0712140033879</v>
      </c>
    </row>
    <row r="1209" spans="1:15" ht="15" customHeight="1" x14ac:dyDescent="0.25">
      <c r="A1209" s="9" t="s">
        <v>286</v>
      </c>
      <c r="B1209" s="9" t="str">
        <f>INDEX(Places[Type],MATCH(Activities[[#This Row],[Jurisdiction]],Places[Jurisdiction],0))</f>
        <v>City</v>
      </c>
      <c r="C1209" s="19" t="str">
        <f>INDEX(Places[County],MATCH(Activities[[#This Row],[Jurisdiction]],Places[Jurisdiction],0))</f>
        <v>Orange</v>
      </c>
      <c r="D1209" s="9" t="str">
        <f>INDEX(Places[Majority RB],MATCH(Activities[[#This Row],[Jurisdiction]],Places[Jurisdiction],0))</f>
        <v>Santa Ana</v>
      </c>
      <c r="E1209" s="9">
        <f>INDEX(Places[Majority RB '#],MATCH(Activities[[#This Row],[Jurisdiction]],Places[Jurisdiction],0))</f>
        <v>8</v>
      </c>
      <c r="F1209" s="28" t="str">
        <f>VLOOKUP(Activities[[#This Row],[Jurisdiction]],Places[#All],8,FALSE)</f>
        <v>Phase I MS4</v>
      </c>
      <c r="G1209" s="48" t="s">
        <v>991</v>
      </c>
      <c r="H1209" s="8" t="s">
        <v>503</v>
      </c>
      <c r="I1209" s="8"/>
      <c r="J1209" s="8" t="s">
        <v>1894</v>
      </c>
      <c r="K1209" s="27" t="s">
        <v>1875</v>
      </c>
      <c r="L1209" s="28">
        <f>_xlfn.NUMBERVALUE(LEFT(Activities[[#This Row],[Fiscal Year]], 4))</f>
        <v>2001</v>
      </c>
      <c r="M1209" s="28" t="s">
        <v>1862</v>
      </c>
      <c r="N1209" s="41">
        <v>26523</v>
      </c>
      <c r="O1209" s="93">
        <f>IF(Activities[[#This Row],[Reference Year]]&gt;2018,Activities[[#This Row],[Value]],Activities[[#This Row],[Value]]*(1+VLOOKUP(Activities[[#This Row],[Reference Year]],Inflation[#All],3,FALSE)))</f>
        <v>37684.974664031623</v>
      </c>
    </row>
    <row r="1210" spans="1:15" ht="15" customHeight="1" x14ac:dyDescent="0.25">
      <c r="A1210" s="9" t="s">
        <v>153</v>
      </c>
      <c r="B1210" s="9" t="str">
        <f>INDEX(Places[Type],MATCH(Activities[[#This Row],[Jurisdiction]],Places[Jurisdiction],0))</f>
        <v>City</v>
      </c>
      <c r="C1210" s="19" t="str">
        <f>INDEX(Places[County],MATCH(Activities[[#This Row],[Jurisdiction]],Places[Jurisdiction],0))</f>
        <v>Los Angeles</v>
      </c>
      <c r="D1210" s="19" t="str">
        <f>INDEX(Places[Majority RB],MATCH(Activities[[#This Row],[Jurisdiction]],Places[Jurisdiction],0))</f>
        <v>Los Angeles</v>
      </c>
      <c r="E1210" s="9">
        <f>INDEX(Places[Majority RB '#],MATCH(Activities[[#This Row],[Jurisdiction]],Places[Jurisdiction],0))</f>
        <v>4</v>
      </c>
      <c r="F1210" s="28" t="str">
        <f>VLOOKUP(Activities[[#This Row],[Jurisdiction]],Places[#All],8,FALSE)</f>
        <v>Phase I MS4</v>
      </c>
      <c r="G1210" s="48" t="s">
        <v>849</v>
      </c>
      <c r="H1210" s="8"/>
      <c r="I1210" s="8"/>
      <c r="J1210" s="8" t="s">
        <v>131</v>
      </c>
      <c r="K1210" s="27" t="s">
        <v>1873</v>
      </c>
      <c r="L1210" s="28">
        <f>_xlfn.NUMBERVALUE(LEFT(Activities[[#This Row],[Fiscal Year]], 4))</f>
        <v>2015</v>
      </c>
      <c r="M1210" s="28" t="s">
        <v>1862</v>
      </c>
      <c r="N1210" s="41">
        <v>3000</v>
      </c>
      <c r="O1210" s="93">
        <f>IF(Activities[[#This Row],[Reference Year]]&gt;2018,Activities[[#This Row],[Value]],Activities[[#This Row],[Value]]*(1+VLOOKUP(Activities[[#This Row],[Reference Year]],Inflation[#All],3,FALSE)))</f>
        <v>3185.2025316455693</v>
      </c>
    </row>
    <row r="1211" spans="1:15" ht="15" customHeight="1" x14ac:dyDescent="0.25">
      <c r="A1211" s="9" t="s">
        <v>153</v>
      </c>
      <c r="B1211" s="9" t="str">
        <f>INDEX(Places[Type],MATCH(Activities[[#This Row],[Jurisdiction]],Places[Jurisdiction],0))</f>
        <v>City</v>
      </c>
      <c r="C1211" s="19" t="str">
        <f>INDEX(Places[County],MATCH(Activities[[#This Row],[Jurisdiction]],Places[Jurisdiction],0))</f>
        <v>Los Angeles</v>
      </c>
      <c r="D1211" s="19" t="str">
        <f>INDEX(Places[Majority RB],MATCH(Activities[[#This Row],[Jurisdiction]],Places[Jurisdiction],0))</f>
        <v>Los Angeles</v>
      </c>
      <c r="E1211" s="9">
        <f>INDEX(Places[Majority RB '#],MATCH(Activities[[#This Row],[Jurisdiction]],Places[Jurisdiction],0))</f>
        <v>4</v>
      </c>
      <c r="F1211" s="28" t="str">
        <f>VLOOKUP(Activities[[#This Row],[Jurisdiction]],Places[#All],8,FALSE)</f>
        <v>Phase I MS4</v>
      </c>
      <c r="G1211" s="48" t="s">
        <v>845</v>
      </c>
      <c r="H1211" s="8"/>
      <c r="I1211" s="8"/>
      <c r="J1211" s="8" t="s">
        <v>334</v>
      </c>
      <c r="K1211" s="27" t="s">
        <v>1873</v>
      </c>
      <c r="L1211" s="28">
        <f>_xlfn.NUMBERVALUE(LEFT(Activities[[#This Row],[Fiscal Year]], 4))</f>
        <v>2015</v>
      </c>
      <c r="M1211" s="28" t="s">
        <v>1862</v>
      </c>
      <c r="N1211" s="41">
        <v>22654</v>
      </c>
      <c r="O1211" s="93">
        <f>IF(Activities[[#This Row],[Reference Year]]&gt;2018,Activities[[#This Row],[Value]],Activities[[#This Row],[Value]]*(1+VLOOKUP(Activities[[#This Row],[Reference Year]],Inflation[#All],3,FALSE)))</f>
        <v>24052.52605063291</v>
      </c>
    </row>
    <row r="1212" spans="1:15" ht="15" customHeight="1" x14ac:dyDescent="0.25">
      <c r="A1212" s="9" t="s">
        <v>153</v>
      </c>
      <c r="B1212" s="9" t="str">
        <f>INDEX(Places[Type],MATCH(Activities[[#This Row],[Jurisdiction]],Places[Jurisdiction],0))</f>
        <v>City</v>
      </c>
      <c r="C1212" s="19" t="str">
        <f>INDEX(Places[County],MATCH(Activities[[#This Row],[Jurisdiction]],Places[Jurisdiction],0))</f>
        <v>Los Angeles</v>
      </c>
      <c r="D1212" s="19" t="str">
        <f>INDEX(Places[Majority RB],MATCH(Activities[[#This Row],[Jurisdiction]],Places[Jurisdiction],0))</f>
        <v>Los Angeles</v>
      </c>
      <c r="E1212" s="9">
        <f>INDEX(Places[Majority RB '#],MATCH(Activities[[#This Row],[Jurisdiction]],Places[Jurisdiction],0))</f>
        <v>4</v>
      </c>
      <c r="F1212" s="28" t="str">
        <f>VLOOKUP(Activities[[#This Row],[Jurisdiction]],Places[#All],8,FALSE)</f>
        <v>Phase I MS4</v>
      </c>
      <c r="G1212" s="48" t="s">
        <v>857</v>
      </c>
      <c r="H1212" s="8"/>
      <c r="I1212" s="8"/>
      <c r="J1212" s="8" t="s">
        <v>1897</v>
      </c>
      <c r="K1212" s="27" t="s">
        <v>1873</v>
      </c>
      <c r="L1212" s="28">
        <f>_xlfn.NUMBERVALUE(LEFT(Activities[[#This Row],[Fiscal Year]], 4))</f>
        <v>2015</v>
      </c>
      <c r="M1212" s="28" t="s">
        <v>1862</v>
      </c>
      <c r="N1212" s="41">
        <v>3076784</v>
      </c>
      <c r="O1212" s="93">
        <f>IF(Activities[[#This Row],[Reference Year]]&gt;2018,Activities[[#This Row],[Value]],Activities[[#This Row],[Value]]*(1+VLOOKUP(Activities[[#This Row],[Reference Year]],Inflation[#All],3,FALSE)))</f>
        <v>3266726.7287088605</v>
      </c>
    </row>
    <row r="1213" spans="1:15" ht="15" customHeight="1" x14ac:dyDescent="0.25">
      <c r="A1213" s="9" t="s">
        <v>153</v>
      </c>
      <c r="B1213" s="9" t="str">
        <f>INDEX(Places[Type],MATCH(Activities[[#This Row],[Jurisdiction]],Places[Jurisdiction],0))</f>
        <v>City</v>
      </c>
      <c r="C1213" s="19" t="str">
        <f>INDEX(Places[County],MATCH(Activities[[#This Row],[Jurisdiction]],Places[Jurisdiction],0))</f>
        <v>Los Angeles</v>
      </c>
      <c r="D1213" s="19" t="str">
        <f>INDEX(Places[Majority RB],MATCH(Activities[[#This Row],[Jurisdiction]],Places[Jurisdiction],0))</f>
        <v>Los Angeles</v>
      </c>
      <c r="E1213" s="9">
        <f>INDEX(Places[Majority RB '#],MATCH(Activities[[#This Row],[Jurisdiction]],Places[Jurisdiction],0))</f>
        <v>4</v>
      </c>
      <c r="F1213" s="28" t="str">
        <f>VLOOKUP(Activities[[#This Row],[Jurisdiction]],Places[#All],8,FALSE)</f>
        <v>Phase I MS4</v>
      </c>
      <c r="G1213" s="48" t="s">
        <v>847</v>
      </c>
      <c r="H1213" s="8"/>
      <c r="I1213" s="8"/>
      <c r="J1213" s="8" t="s">
        <v>1898</v>
      </c>
      <c r="K1213" s="27" t="s">
        <v>1873</v>
      </c>
      <c r="L1213" s="28">
        <f>_xlfn.NUMBERVALUE(LEFT(Activities[[#This Row],[Fiscal Year]], 4))</f>
        <v>2015</v>
      </c>
      <c r="M1213" s="28" t="s">
        <v>1862</v>
      </c>
      <c r="N1213" s="41">
        <v>11686</v>
      </c>
      <c r="O1213" s="93">
        <f>IF(Activities[[#This Row],[Reference Year]]&gt;2018,Activities[[#This Row],[Value]],Activities[[#This Row],[Value]]*(1+VLOOKUP(Activities[[#This Row],[Reference Year]],Inflation[#All],3,FALSE)))</f>
        <v>12407.425594936709</v>
      </c>
    </row>
    <row r="1214" spans="1:15" ht="15" customHeight="1" x14ac:dyDescent="0.25">
      <c r="A1214" s="9" t="s">
        <v>153</v>
      </c>
      <c r="B1214" s="9" t="str">
        <f>INDEX(Places[Type],MATCH(Activities[[#This Row],[Jurisdiction]],Places[Jurisdiction],0))</f>
        <v>City</v>
      </c>
      <c r="C1214" s="19" t="str">
        <f>INDEX(Places[County],MATCH(Activities[[#This Row],[Jurisdiction]],Places[Jurisdiction],0))</f>
        <v>Los Angeles</v>
      </c>
      <c r="D1214" s="19" t="str">
        <f>INDEX(Places[Majority RB],MATCH(Activities[[#This Row],[Jurisdiction]],Places[Jurisdiction],0))</f>
        <v>Los Angeles</v>
      </c>
      <c r="E1214" s="9">
        <f>INDEX(Places[Majority RB '#],MATCH(Activities[[#This Row],[Jurisdiction]],Places[Jurisdiction],0))</f>
        <v>4</v>
      </c>
      <c r="F1214" s="28" t="str">
        <f>VLOOKUP(Activities[[#This Row],[Jurisdiction]],Places[#All],8,FALSE)</f>
        <v>Phase I MS4</v>
      </c>
      <c r="G1214" s="48" t="s">
        <v>846</v>
      </c>
      <c r="H1214" s="8"/>
      <c r="I1214" s="8"/>
      <c r="J1214" s="8" t="s">
        <v>1898</v>
      </c>
      <c r="K1214" s="27" t="s">
        <v>1873</v>
      </c>
      <c r="L1214" s="28">
        <f>_xlfn.NUMBERVALUE(LEFT(Activities[[#This Row],[Fiscal Year]], 4))</f>
        <v>2015</v>
      </c>
      <c r="M1214" s="28" t="s">
        <v>1862</v>
      </c>
      <c r="N1214" s="41">
        <v>15849</v>
      </c>
      <c r="O1214" s="93">
        <f>IF(Activities[[#This Row],[Reference Year]]&gt;2018,Activities[[#This Row],[Value]],Activities[[#This Row],[Value]]*(1+VLOOKUP(Activities[[#This Row],[Reference Year]],Inflation[#All],3,FALSE)))</f>
        <v>16827.424974683545</v>
      </c>
    </row>
    <row r="1215" spans="1:15" ht="15" customHeight="1" x14ac:dyDescent="0.25">
      <c r="A1215" s="9" t="s">
        <v>153</v>
      </c>
      <c r="B1215" s="9" t="str">
        <f>INDEX(Places[Type],MATCH(Activities[[#This Row],[Jurisdiction]],Places[Jurisdiction],0))</f>
        <v>City</v>
      </c>
      <c r="C1215" s="19" t="str">
        <f>INDEX(Places[County],MATCH(Activities[[#This Row],[Jurisdiction]],Places[Jurisdiction],0))</f>
        <v>Los Angeles</v>
      </c>
      <c r="D1215" s="19" t="str">
        <f>INDEX(Places[Majority RB],MATCH(Activities[[#This Row],[Jurisdiction]],Places[Jurisdiction],0))</f>
        <v>Los Angeles</v>
      </c>
      <c r="E1215" s="9">
        <f>INDEX(Places[Majority RB '#],MATCH(Activities[[#This Row],[Jurisdiction]],Places[Jurisdiction],0))</f>
        <v>4</v>
      </c>
      <c r="F1215" s="28" t="str">
        <f>VLOOKUP(Activities[[#This Row],[Jurisdiction]],Places[#All],8,FALSE)</f>
        <v>Phase I MS4</v>
      </c>
      <c r="G1215" s="48" t="s">
        <v>844</v>
      </c>
      <c r="H1215" s="8"/>
      <c r="I1215" s="8"/>
      <c r="J1215" s="8" t="s">
        <v>1456</v>
      </c>
      <c r="K1215" s="27" t="s">
        <v>1873</v>
      </c>
      <c r="L1215" s="28">
        <f>_xlfn.NUMBERVALUE(LEFT(Activities[[#This Row],[Fiscal Year]], 4))</f>
        <v>2015</v>
      </c>
      <c r="M1215" s="28" t="s">
        <v>1862</v>
      </c>
      <c r="N1215" s="41">
        <v>2000</v>
      </c>
      <c r="O1215" s="93">
        <f>IF(Activities[[#This Row],[Reference Year]]&gt;2018,Activities[[#This Row],[Value]],Activities[[#This Row],[Value]]*(1+VLOOKUP(Activities[[#This Row],[Reference Year]],Inflation[#All],3,FALSE)))</f>
        <v>2123.4683544303798</v>
      </c>
    </row>
    <row r="1216" spans="1:15" ht="15" customHeight="1" x14ac:dyDescent="0.25">
      <c r="A1216" s="9" t="s">
        <v>153</v>
      </c>
      <c r="B1216" s="9" t="str">
        <f>INDEX(Places[Type],MATCH(Activities[[#This Row],[Jurisdiction]],Places[Jurisdiction],0))</f>
        <v>City</v>
      </c>
      <c r="C1216" s="19" t="str">
        <f>INDEX(Places[County],MATCH(Activities[[#This Row],[Jurisdiction]],Places[Jurisdiction],0))</f>
        <v>Los Angeles</v>
      </c>
      <c r="D1216" s="19" t="str">
        <f>INDEX(Places[Majority RB],MATCH(Activities[[#This Row],[Jurisdiction]],Places[Jurisdiction],0))</f>
        <v>Los Angeles</v>
      </c>
      <c r="E1216" s="9">
        <f>INDEX(Places[Majority RB '#],MATCH(Activities[[#This Row],[Jurisdiction]],Places[Jurisdiction],0))</f>
        <v>4</v>
      </c>
      <c r="F1216" s="28" t="str">
        <f>VLOOKUP(Activities[[#This Row],[Jurisdiction]],Places[#All],8,FALSE)</f>
        <v>Phase I MS4</v>
      </c>
      <c r="G1216" s="56" t="s">
        <v>829</v>
      </c>
      <c r="H1216" s="8"/>
      <c r="I1216" s="8"/>
      <c r="J1216" s="8" t="s">
        <v>1894</v>
      </c>
      <c r="K1216" s="27" t="s">
        <v>1873</v>
      </c>
      <c r="L1216" s="28">
        <f>_xlfn.NUMBERVALUE(LEFT(Activities[[#This Row],[Fiscal Year]], 4))</f>
        <v>2015</v>
      </c>
      <c r="M1216" s="28" t="s">
        <v>1862</v>
      </c>
      <c r="N1216" s="41">
        <v>210493</v>
      </c>
      <c r="O1216" s="93">
        <f>IF(Activities[[#This Row],[Reference Year]]&gt;2018,Activities[[#This Row],[Value]],Activities[[#This Row],[Value]]*(1+VLOOKUP(Activities[[#This Row],[Reference Year]],Inflation[#All],3,FALSE)))</f>
        <v>223487.61216455695</v>
      </c>
    </row>
    <row r="1217" spans="1:15" ht="15" customHeight="1" x14ac:dyDescent="0.25">
      <c r="A1217" s="9" t="s">
        <v>153</v>
      </c>
      <c r="B1217" s="9" t="str">
        <f>INDEX(Places[Type],MATCH(Activities[[#This Row],[Jurisdiction]],Places[Jurisdiction],0))</f>
        <v>City</v>
      </c>
      <c r="C1217" s="19" t="str">
        <f>INDEX(Places[County],MATCH(Activities[[#This Row],[Jurisdiction]],Places[Jurisdiction],0))</f>
        <v>Los Angeles</v>
      </c>
      <c r="D1217" s="19" t="str">
        <f>INDEX(Places[Majority RB],MATCH(Activities[[#This Row],[Jurisdiction]],Places[Jurisdiction],0))</f>
        <v>Los Angeles</v>
      </c>
      <c r="E1217" s="9">
        <f>INDEX(Places[Majority RB '#],MATCH(Activities[[#This Row],[Jurisdiction]],Places[Jurisdiction],0))</f>
        <v>4</v>
      </c>
      <c r="F1217" s="28" t="str">
        <f>VLOOKUP(Activities[[#This Row],[Jurisdiction]],Places[#All],8,FALSE)</f>
        <v>Phase I MS4</v>
      </c>
      <c r="G1217" s="56" t="s">
        <v>854</v>
      </c>
      <c r="H1217" s="8"/>
      <c r="I1217" s="8"/>
      <c r="J1217" s="8" t="s">
        <v>47</v>
      </c>
      <c r="K1217" s="27" t="s">
        <v>1873</v>
      </c>
      <c r="L1217" s="28">
        <f>_xlfn.NUMBERVALUE(LEFT(Activities[[#This Row],[Fiscal Year]], 4))</f>
        <v>2015</v>
      </c>
      <c r="M1217" s="28" t="s">
        <v>1862</v>
      </c>
      <c r="N1217" s="41">
        <v>82860</v>
      </c>
      <c r="O1217" s="93">
        <f>IF(Activities[[#This Row],[Reference Year]]&gt;2018,Activities[[#This Row],[Value]],Activities[[#This Row],[Value]]*(1+VLOOKUP(Activities[[#This Row],[Reference Year]],Inflation[#All],3,FALSE)))</f>
        <v>87975.293924050624</v>
      </c>
    </row>
    <row r="1218" spans="1:15" ht="15" customHeight="1" x14ac:dyDescent="0.25">
      <c r="A1218" s="9" t="s">
        <v>258</v>
      </c>
      <c r="B1218" s="9" t="str">
        <f>INDEX(Places[Type],MATCH(Activities[[#This Row],[Jurisdiction]],Places[Jurisdiction],0))</f>
        <v>City</v>
      </c>
      <c r="C1218" s="19" t="str">
        <f>INDEX(Places[County],MATCH(Activities[[#This Row],[Jurisdiction]],Places[Jurisdiction],0))</f>
        <v>Ventura</v>
      </c>
      <c r="D1218" s="19" t="str">
        <f>INDEX(Places[Majority RB],MATCH(Activities[[#This Row],[Jurisdiction]],Places[Jurisdiction],0))</f>
        <v>Los Angeles</v>
      </c>
      <c r="E1218" s="9">
        <f>INDEX(Places[Majority RB '#],MATCH(Activities[[#This Row],[Jurisdiction]],Places[Jurisdiction],0))</f>
        <v>4</v>
      </c>
      <c r="F1218" s="28" t="str">
        <f>VLOOKUP(Activities[[#This Row],[Jurisdiction]],Places[#All],8,FALSE)</f>
        <v>Phase I MS4</v>
      </c>
      <c r="G1218" s="48" t="s">
        <v>70</v>
      </c>
      <c r="H1218" s="8"/>
      <c r="I1218" s="8"/>
      <c r="J1218" s="8" t="s">
        <v>1895</v>
      </c>
      <c r="K1218" s="27" t="s">
        <v>1876</v>
      </c>
      <c r="L1218" s="28">
        <f>_xlfn.NUMBERVALUE(LEFT(Activities[[#This Row],[Fiscal Year]], 4))</f>
        <v>2018</v>
      </c>
      <c r="M1218" s="28" t="s">
        <v>1863</v>
      </c>
      <c r="N1218" s="41">
        <v>3000</v>
      </c>
      <c r="O1218" s="93">
        <f>IF(Activities[[#This Row],[Reference Year]]&gt;2018,Activities[[#This Row],[Value]],Activities[[#This Row],[Value]]*(1+VLOOKUP(Activities[[#This Row],[Reference Year]],Inflation[#All],3,FALSE)))</f>
        <v>3000</v>
      </c>
    </row>
    <row r="1219" spans="1:15" ht="15" customHeight="1" x14ac:dyDescent="0.25">
      <c r="A1219" s="9" t="s">
        <v>258</v>
      </c>
      <c r="B1219" s="9" t="str">
        <f>INDEX(Places[Type],MATCH(Activities[[#This Row],[Jurisdiction]],Places[Jurisdiction],0))</f>
        <v>City</v>
      </c>
      <c r="C1219" s="19" t="str">
        <f>INDEX(Places[County],MATCH(Activities[[#This Row],[Jurisdiction]],Places[Jurisdiction],0))</f>
        <v>Ventura</v>
      </c>
      <c r="D1219" s="19" t="str">
        <f>INDEX(Places[Majority RB],MATCH(Activities[[#This Row],[Jurisdiction]],Places[Jurisdiction],0))</f>
        <v>Los Angeles</v>
      </c>
      <c r="E1219" s="9">
        <f>INDEX(Places[Majority RB '#],MATCH(Activities[[#This Row],[Jurisdiction]],Places[Jurisdiction],0))</f>
        <v>4</v>
      </c>
      <c r="F1219" s="28" t="str">
        <f>VLOOKUP(Activities[[#This Row],[Jurisdiction]],Places[#All],8,FALSE)</f>
        <v>Phase I MS4</v>
      </c>
      <c r="G1219" s="48" t="s">
        <v>77</v>
      </c>
      <c r="H1219" s="8"/>
      <c r="I1219" s="8"/>
      <c r="J1219" s="8" t="s">
        <v>131</v>
      </c>
      <c r="K1219" s="27" t="s">
        <v>1876</v>
      </c>
      <c r="L1219" s="28">
        <f>_xlfn.NUMBERVALUE(LEFT(Activities[[#This Row],[Fiscal Year]], 4))</f>
        <v>2018</v>
      </c>
      <c r="M1219" s="28" t="s">
        <v>1863</v>
      </c>
      <c r="N1219" s="41">
        <v>500</v>
      </c>
      <c r="O1219" s="93">
        <f>IF(Activities[[#This Row],[Reference Year]]&gt;2018,Activities[[#This Row],[Value]],Activities[[#This Row],[Value]]*(1+VLOOKUP(Activities[[#This Row],[Reference Year]],Inflation[#All],3,FALSE)))</f>
        <v>500</v>
      </c>
    </row>
    <row r="1220" spans="1:15" ht="15" customHeight="1" x14ac:dyDescent="0.25">
      <c r="A1220" s="9" t="s">
        <v>258</v>
      </c>
      <c r="B1220" s="9" t="str">
        <f>INDEX(Places[Type],MATCH(Activities[[#This Row],[Jurisdiction]],Places[Jurisdiction],0))</f>
        <v>City</v>
      </c>
      <c r="C1220" s="19" t="str">
        <f>INDEX(Places[County],MATCH(Activities[[#This Row],[Jurisdiction]],Places[Jurisdiction],0))</f>
        <v>Ventura</v>
      </c>
      <c r="D1220" s="19" t="str">
        <f>INDEX(Places[Majority RB],MATCH(Activities[[#This Row],[Jurisdiction]],Places[Jurisdiction],0))</f>
        <v>Los Angeles</v>
      </c>
      <c r="E1220" s="9">
        <f>INDEX(Places[Majority RB '#],MATCH(Activities[[#This Row],[Jurisdiction]],Places[Jurisdiction],0))</f>
        <v>4</v>
      </c>
      <c r="F1220" s="28" t="str">
        <f>VLOOKUP(Activities[[#This Row],[Jurisdiction]],Places[#All],8,FALSE)</f>
        <v>Phase I MS4</v>
      </c>
      <c r="G1220" s="48" t="s">
        <v>69</v>
      </c>
      <c r="H1220" s="8"/>
      <c r="I1220" s="8"/>
      <c r="J1220" s="8" t="s">
        <v>334</v>
      </c>
      <c r="K1220" s="27" t="s">
        <v>1876</v>
      </c>
      <c r="L1220" s="28">
        <f>_xlfn.NUMBERVALUE(LEFT(Activities[[#This Row],[Fiscal Year]], 4))</f>
        <v>2018</v>
      </c>
      <c r="M1220" s="28" t="s">
        <v>1863</v>
      </c>
      <c r="N1220" s="41">
        <v>1500</v>
      </c>
      <c r="O1220" s="93">
        <f>IF(Activities[[#This Row],[Reference Year]]&gt;2018,Activities[[#This Row],[Value]],Activities[[#This Row],[Value]]*(1+VLOOKUP(Activities[[#This Row],[Reference Year]],Inflation[#All],3,FALSE)))</f>
        <v>1500</v>
      </c>
    </row>
    <row r="1221" spans="1:15" ht="15" customHeight="1" x14ac:dyDescent="0.25">
      <c r="A1221" s="9" t="s">
        <v>258</v>
      </c>
      <c r="B1221" s="9" t="str">
        <f>INDEX(Places[Type],MATCH(Activities[[#This Row],[Jurisdiction]],Places[Jurisdiction],0))</f>
        <v>City</v>
      </c>
      <c r="C1221" s="19" t="str">
        <f>INDEX(Places[County],MATCH(Activities[[#This Row],[Jurisdiction]],Places[Jurisdiction],0))</f>
        <v>Ventura</v>
      </c>
      <c r="D1221" s="19" t="str">
        <f>INDEX(Places[Majority RB],MATCH(Activities[[#This Row],[Jurisdiction]],Places[Jurisdiction],0))</f>
        <v>Los Angeles</v>
      </c>
      <c r="E1221" s="9">
        <f>INDEX(Places[Majority RB '#],MATCH(Activities[[#This Row],[Jurisdiction]],Places[Jurisdiction],0))</f>
        <v>4</v>
      </c>
      <c r="F1221" s="28" t="str">
        <f>VLOOKUP(Activities[[#This Row],[Jurisdiction]],Places[#All],8,FALSE)</f>
        <v>Phase I MS4</v>
      </c>
      <c r="G1221" s="48" t="s">
        <v>71</v>
      </c>
      <c r="H1221" s="8" t="s">
        <v>484</v>
      </c>
      <c r="I1221" s="8" t="s">
        <v>458</v>
      </c>
      <c r="J1221" s="8" t="s">
        <v>71</v>
      </c>
      <c r="K1221" s="27" t="s">
        <v>1876</v>
      </c>
      <c r="L1221" s="28">
        <f>_xlfn.NUMBERVALUE(LEFT(Activities[[#This Row],[Fiscal Year]], 4))</f>
        <v>2018</v>
      </c>
      <c r="M1221" s="28" t="s">
        <v>1863</v>
      </c>
      <c r="N1221" s="41">
        <v>20000</v>
      </c>
      <c r="O1221" s="93">
        <f>IF(Activities[[#This Row],[Reference Year]]&gt;2018,Activities[[#This Row],[Value]],Activities[[#This Row],[Value]]*(1+VLOOKUP(Activities[[#This Row],[Reference Year]],Inflation[#All],3,FALSE)))</f>
        <v>20000</v>
      </c>
    </row>
    <row r="1222" spans="1:15" ht="15" customHeight="1" x14ac:dyDescent="0.25">
      <c r="A1222" s="9" t="s">
        <v>258</v>
      </c>
      <c r="B1222" s="9" t="str">
        <f>INDEX(Places[Type],MATCH(Activities[[#This Row],[Jurisdiction]],Places[Jurisdiction],0))</f>
        <v>City</v>
      </c>
      <c r="C1222" s="19" t="str">
        <f>INDEX(Places[County],MATCH(Activities[[#This Row],[Jurisdiction]],Places[Jurisdiction],0))</f>
        <v>Ventura</v>
      </c>
      <c r="D1222" s="19" t="str">
        <f>INDEX(Places[Majority RB],MATCH(Activities[[#This Row],[Jurisdiction]],Places[Jurisdiction],0))</f>
        <v>Los Angeles</v>
      </c>
      <c r="E1222" s="9">
        <f>INDEX(Places[Majority RB '#],MATCH(Activities[[#This Row],[Jurisdiction]],Places[Jurisdiction],0))</f>
        <v>4</v>
      </c>
      <c r="F1222" s="28" t="str">
        <f>VLOOKUP(Activities[[#This Row],[Jurisdiction]],Places[#All],8,FALSE)</f>
        <v>Phase I MS4</v>
      </c>
      <c r="G1222" s="48" t="s">
        <v>74</v>
      </c>
      <c r="H1222" s="8" t="s">
        <v>611</v>
      </c>
      <c r="I1222" s="8" t="s">
        <v>458</v>
      </c>
      <c r="J1222" s="8" t="s">
        <v>1897</v>
      </c>
      <c r="K1222" s="27" t="s">
        <v>1876</v>
      </c>
      <c r="L1222" s="28">
        <f>_xlfn.NUMBERVALUE(LEFT(Activities[[#This Row],[Fiscal Year]], 4))</f>
        <v>2018</v>
      </c>
      <c r="M1222" s="28" t="s">
        <v>1863</v>
      </c>
      <c r="N1222" s="41">
        <v>2000</v>
      </c>
      <c r="O1222" s="93">
        <f>IF(Activities[[#This Row],[Reference Year]]&gt;2018,Activities[[#This Row],[Value]],Activities[[#This Row],[Value]]*(1+VLOOKUP(Activities[[#This Row],[Reference Year]],Inflation[#All],3,FALSE)))</f>
        <v>2000</v>
      </c>
    </row>
    <row r="1223" spans="1:15" ht="15" customHeight="1" x14ac:dyDescent="0.25">
      <c r="A1223" s="9" t="s">
        <v>258</v>
      </c>
      <c r="B1223" s="9" t="str">
        <f>INDEX(Places[Type],MATCH(Activities[[#This Row],[Jurisdiction]],Places[Jurisdiction],0))</f>
        <v>City</v>
      </c>
      <c r="C1223" s="19" t="str">
        <f>INDEX(Places[County],MATCH(Activities[[#This Row],[Jurisdiction]],Places[Jurisdiction],0))</f>
        <v>Ventura</v>
      </c>
      <c r="D1223" s="19" t="str">
        <f>INDEX(Places[Majority RB],MATCH(Activities[[#This Row],[Jurisdiction]],Places[Jurisdiction],0))</f>
        <v>Los Angeles</v>
      </c>
      <c r="E1223" s="9">
        <f>INDEX(Places[Majority RB '#],MATCH(Activities[[#This Row],[Jurisdiction]],Places[Jurisdiction],0))</f>
        <v>4</v>
      </c>
      <c r="F1223" s="28" t="str">
        <f>VLOOKUP(Activities[[#This Row],[Jurisdiction]],Places[#All],8,FALSE)</f>
        <v>Phase I MS4</v>
      </c>
      <c r="G1223" s="48" t="s">
        <v>75</v>
      </c>
      <c r="H1223" s="8" t="s">
        <v>485</v>
      </c>
      <c r="I1223" s="8" t="s">
        <v>458</v>
      </c>
      <c r="J1223" s="8" t="s">
        <v>1897</v>
      </c>
      <c r="K1223" s="27" t="s">
        <v>1876</v>
      </c>
      <c r="L1223" s="28">
        <f>_xlfn.NUMBERVALUE(LEFT(Activities[[#This Row],[Fiscal Year]], 4))</f>
        <v>2018</v>
      </c>
      <c r="M1223" s="28" t="s">
        <v>1863</v>
      </c>
      <c r="N1223" s="41">
        <v>60000</v>
      </c>
      <c r="O1223" s="93">
        <f>IF(Activities[[#This Row],[Reference Year]]&gt;2018,Activities[[#This Row],[Value]],Activities[[#This Row],[Value]]*(1+VLOOKUP(Activities[[#This Row],[Reference Year]],Inflation[#All],3,FALSE)))</f>
        <v>60000</v>
      </c>
    </row>
    <row r="1224" spans="1:15" ht="15" customHeight="1" x14ac:dyDescent="0.25">
      <c r="A1224" s="9" t="s">
        <v>258</v>
      </c>
      <c r="B1224" s="9" t="str">
        <f>INDEX(Places[Type],MATCH(Activities[[#This Row],[Jurisdiction]],Places[Jurisdiction],0))</f>
        <v>City</v>
      </c>
      <c r="C1224" s="19" t="str">
        <f>INDEX(Places[County],MATCH(Activities[[#This Row],[Jurisdiction]],Places[Jurisdiction],0))</f>
        <v>Ventura</v>
      </c>
      <c r="D1224" s="19" t="str">
        <f>INDEX(Places[Majority RB],MATCH(Activities[[#This Row],[Jurisdiction]],Places[Jurisdiction],0))</f>
        <v>Los Angeles</v>
      </c>
      <c r="E1224" s="9">
        <f>INDEX(Places[Majority RB '#],MATCH(Activities[[#This Row],[Jurisdiction]],Places[Jurisdiction],0))</f>
        <v>4</v>
      </c>
      <c r="F1224" s="28" t="str">
        <f>VLOOKUP(Activities[[#This Row],[Jurisdiction]],Places[#All],8,FALSE)</f>
        <v>Phase I MS4</v>
      </c>
      <c r="G1224" s="48" t="s">
        <v>73</v>
      </c>
      <c r="H1224" s="8"/>
      <c r="I1224" s="8"/>
      <c r="J1224" s="8" t="s">
        <v>1897</v>
      </c>
      <c r="K1224" s="27" t="s">
        <v>1876</v>
      </c>
      <c r="L1224" s="28">
        <f>_xlfn.NUMBERVALUE(LEFT(Activities[[#This Row],[Fiscal Year]], 4))</f>
        <v>2018</v>
      </c>
      <c r="M1224" s="28" t="s">
        <v>1863</v>
      </c>
      <c r="N1224" s="41">
        <v>117000</v>
      </c>
      <c r="O1224" s="93">
        <f>IF(Activities[[#This Row],[Reference Year]]&gt;2018,Activities[[#This Row],[Value]],Activities[[#This Row],[Value]]*(1+VLOOKUP(Activities[[#This Row],[Reference Year]],Inflation[#All],3,FALSE)))</f>
        <v>117000</v>
      </c>
    </row>
    <row r="1225" spans="1:15" ht="15" customHeight="1" x14ac:dyDescent="0.25">
      <c r="A1225" s="9" t="s">
        <v>258</v>
      </c>
      <c r="B1225" s="9" t="str">
        <f>INDEX(Places[Type],MATCH(Activities[[#This Row],[Jurisdiction]],Places[Jurisdiction],0))</f>
        <v>City</v>
      </c>
      <c r="C1225" s="19" t="str">
        <f>INDEX(Places[County],MATCH(Activities[[#This Row],[Jurisdiction]],Places[Jurisdiction],0))</f>
        <v>Ventura</v>
      </c>
      <c r="D1225" s="19" t="str">
        <f>INDEX(Places[Majority RB],MATCH(Activities[[#This Row],[Jurisdiction]],Places[Jurisdiction],0))</f>
        <v>Los Angeles</v>
      </c>
      <c r="E1225" s="9">
        <f>INDEX(Places[Majority RB '#],MATCH(Activities[[#This Row],[Jurisdiction]],Places[Jurisdiction],0))</f>
        <v>4</v>
      </c>
      <c r="F1225" s="28" t="str">
        <f>VLOOKUP(Activities[[#This Row],[Jurisdiction]],Places[#All],8,FALSE)</f>
        <v>Phase I MS4</v>
      </c>
      <c r="G1225" s="48" t="s">
        <v>59</v>
      </c>
      <c r="H1225" s="8"/>
      <c r="I1225" s="8"/>
      <c r="J1225" s="8" t="s">
        <v>1898</v>
      </c>
      <c r="K1225" s="27" t="s">
        <v>1876</v>
      </c>
      <c r="L1225" s="28">
        <f>_xlfn.NUMBERVALUE(LEFT(Activities[[#This Row],[Fiscal Year]], 4))</f>
        <v>2018</v>
      </c>
      <c r="M1225" s="28" t="s">
        <v>1863</v>
      </c>
      <c r="N1225" s="41">
        <v>3000</v>
      </c>
      <c r="O1225" s="93">
        <f>IF(Activities[[#This Row],[Reference Year]]&gt;2018,Activities[[#This Row],[Value]],Activities[[#This Row],[Value]]*(1+VLOOKUP(Activities[[#This Row],[Reference Year]],Inflation[#All],3,FALSE)))</f>
        <v>3000</v>
      </c>
    </row>
    <row r="1226" spans="1:15" ht="15" customHeight="1" x14ac:dyDescent="0.25">
      <c r="A1226" s="9" t="s">
        <v>258</v>
      </c>
      <c r="B1226" s="9" t="str">
        <f>INDEX(Places[Type],MATCH(Activities[[#This Row],[Jurisdiction]],Places[Jurisdiction],0))</f>
        <v>City</v>
      </c>
      <c r="C1226" s="19" t="str">
        <f>INDEX(Places[County],MATCH(Activities[[#This Row],[Jurisdiction]],Places[Jurisdiction],0))</f>
        <v>Ventura</v>
      </c>
      <c r="D1226" s="19" t="str">
        <f>INDEX(Places[Majority RB],MATCH(Activities[[#This Row],[Jurisdiction]],Places[Jurisdiction],0))</f>
        <v>Los Angeles</v>
      </c>
      <c r="E1226" s="9">
        <f>INDEX(Places[Majority RB '#],MATCH(Activities[[#This Row],[Jurisdiction]],Places[Jurisdiction],0))</f>
        <v>4</v>
      </c>
      <c r="F1226" s="28" t="str">
        <f>VLOOKUP(Activities[[#This Row],[Jurisdiction]],Places[#All],8,FALSE)</f>
        <v>Phase I MS4</v>
      </c>
      <c r="G1226" s="48" t="s">
        <v>68</v>
      </c>
      <c r="H1226" s="8"/>
      <c r="I1226" s="8"/>
      <c r="J1226" s="8" t="s">
        <v>1456</v>
      </c>
      <c r="K1226" s="27" t="s">
        <v>1876</v>
      </c>
      <c r="L1226" s="28">
        <f>_xlfn.NUMBERVALUE(LEFT(Activities[[#This Row],[Fiscal Year]], 4))</f>
        <v>2018</v>
      </c>
      <c r="M1226" s="28" t="s">
        <v>1863</v>
      </c>
      <c r="N1226" s="41">
        <v>500</v>
      </c>
      <c r="O1226" s="93">
        <f>IF(Activities[[#This Row],[Reference Year]]&gt;2018,Activities[[#This Row],[Value]],Activities[[#This Row],[Value]]*(1+VLOOKUP(Activities[[#This Row],[Reference Year]],Inflation[#All],3,FALSE)))</f>
        <v>500</v>
      </c>
    </row>
    <row r="1227" spans="1:15" ht="15" customHeight="1" x14ac:dyDescent="0.25">
      <c r="A1227" s="9" t="s">
        <v>258</v>
      </c>
      <c r="B1227" s="9" t="str">
        <f>INDEX(Places[Type],MATCH(Activities[[#This Row],[Jurisdiction]],Places[Jurisdiction],0))</f>
        <v>City</v>
      </c>
      <c r="C1227" s="19" t="str">
        <f>INDEX(Places[County],MATCH(Activities[[#This Row],[Jurisdiction]],Places[Jurisdiction],0))</f>
        <v>Ventura</v>
      </c>
      <c r="D1227" s="19" t="str">
        <f>INDEX(Places[Majority RB],MATCH(Activities[[#This Row],[Jurisdiction]],Places[Jurisdiction],0))</f>
        <v>Los Angeles</v>
      </c>
      <c r="E1227" s="9">
        <f>INDEX(Places[Majority RB '#],MATCH(Activities[[#This Row],[Jurisdiction]],Places[Jurisdiction],0))</f>
        <v>4</v>
      </c>
      <c r="F1227" s="28" t="str">
        <f>VLOOKUP(Activities[[#This Row],[Jurisdiction]],Places[#All],8,FALSE)</f>
        <v>Phase I MS4</v>
      </c>
      <c r="G1227" s="48" t="s">
        <v>32</v>
      </c>
      <c r="H1227" s="8" t="s">
        <v>608</v>
      </c>
      <c r="I1227" s="94" t="s">
        <v>609</v>
      </c>
      <c r="J1227" s="8" t="s">
        <v>1894</v>
      </c>
      <c r="K1227" s="27" t="s">
        <v>1876</v>
      </c>
      <c r="L1227" s="28">
        <f>_xlfn.NUMBERVALUE(LEFT(Activities[[#This Row],[Fiscal Year]], 4))</f>
        <v>2018</v>
      </c>
      <c r="M1227" s="28" t="s">
        <v>1863</v>
      </c>
      <c r="N1227" s="41">
        <v>20000</v>
      </c>
      <c r="O1227" s="93">
        <f>IF(Activities[[#This Row],[Reference Year]]&gt;2018,Activities[[#This Row],[Value]],Activities[[#This Row],[Value]]*(1+VLOOKUP(Activities[[#This Row],[Reference Year]],Inflation[#All],3,FALSE)))</f>
        <v>20000</v>
      </c>
    </row>
    <row r="1228" spans="1:15" ht="15" customHeight="1" x14ac:dyDescent="0.25">
      <c r="A1228" s="9" t="s">
        <v>258</v>
      </c>
      <c r="B1228" s="9" t="str">
        <f>INDEX(Places[Type],MATCH(Activities[[#This Row],[Jurisdiction]],Places[Jurisdiction],0))</f>
        <v>City</v>
      </c>
      <c r="C1228" s="19" t="str">
        <f>INDEX(Places[County],MATCH(Activities[[#This Row],[Jurisdiction]],Places[Jurisdiction],0))</f>
        <v>Ventura</v>
      </c>
      <c r="D1228" s="19" t="str">
        <f>INDEX(Places[Majority RB],MATCH(Activities[[#This Row],[Jurisdiction]],Places[Jurisdiction],0))</f>
        <v>Los Angeles</v>
      </c>
      <c r="E1228" s="9">
        <f>INDEX(Places[Majority RB '#],MATCH(Activities[[#This Row],[Jurisdiction]],Places[Jurisdiction],0))</f>
        <v>4</v>
      </c>
      <c r="F1228" s="28" t="str">
        <f>VLOOKUP(Activities[[#This Row],[Jurisdiction]],Places[#All],8,FALSE)</f>
        <v>Phase I MS4</v>
      </c>
      <c r="G1228" s="48" t="s">
        <v>79</v>
      </c>
      <c r="H1228" s="8" t="s">
        <v>483</v>
      </c>
      <c r="I1228" s="8" t="s">
        <v>458</v>
      </c>
      <c r="J1228" s="8" t="s">
        <v>1896</v>
      </c>
      <c r="K1228" s="27" t="s">
        <v>1876</v>
      </c>
      <c r="L1228" s="28">
        <f>_xlfn.NUMBERVALUE(LEFT(Activities[[#This Row],[Fiscal Year]], 4))</f>
        <v>2018</v>
      </c>
      <c r="M1228" s="28" t="s">
        <v>1863</v>
      </c>
      <c r="N1228" s="41">
        <v>14000</v>
      </c>
      <c r="O1228" s="93">
        <f>IF(Activities[[#This Row],[Reference Year]]&gt;2018,Activities[[#This Row],[Value]],Activities[[#This Row],[Value]]*(1+VLOOKUP(Activities[[#This Row],[Reference Year]],Inflation[#All],3,FALSE)))</f>
        <v>14000</v>
      </c>
    </row>
    <row r="1229" spans="1:15" ht="15" customHeight="1" x14ac:dyDescent="0.25">
      <c r="A1229" s="9" t="s">
        <v>309</v>
      </c>
      <c r="B1229" s="9" t="str">
        <f>INDEX(Places[Type],MATCH(Activities[[#This Row],[Jurisdiction]],Places[Jurisdiction],0))</f>
        <v>City</v>
      </c>
      <c r="C1229" s="19" t="str">
        <f>INDEX(Places[County],MATCH(Activities[[#This Row],[Jurisdiction]],Places[Jurisdiction],0))</f>
        <v>San Diego</v>
      </c>
      <c r="D1229" s="9" t="str">
        <f>INDEX(Places[Majority RB],MATCH(Activities[[#This Row],[Jurisdiction]],Places[Jurisdiction],0))</f>
        <v>San Diego</v>
      </c>
      <c r="E1229" s="9">
        <f>INDEX(Places[Majority RB '#],MATCH(Activities[[#This Row],[Jurisdiction]],Places[Jurisdiction],0))</f>
        <v>9</v>
      </c>
      <c r="F1229" s="28" t="str">
        <f>VLOOKUP(Activities[[#This Row],[Jurisdiction]],Places[#All],8,FALSE)</f>
        <v>Phase I MS4</v>
      </c>
      <c r="G1229" s="48" t="s">
        <v>1273</v>
      </c>
      <c r="H1229" s="8"/>
      <c r="I1229" s="8"/>
      <c r="J1229" s="8" t="s">
        <v>1895</v>
      </c>
      <c r="K1229" s="27" t="s">
        <v>1874</v>
      </c>
      <c r="L1229" s="28">
        <f>_xlfn.NUMBERVALUE(LEFT(Activities[[#This Row],[Fiscal Year]], 4))</f>
        <v>2017</v>
      </c>
      <c r="M1229" s="28" t="s">
        <v>1863</v>
      </c>
      <c r="N1229" s="41">
        <v>48111</v>
      </c>
      <c r="O1229" s="93">
        <f>IF(Activities[[#This Row],[Reference Year]]&gt;2018,Activities[[#This Row],[Value]],Activities[[#This Row],[Value]]*(1+VLOOKUP(Activities[[#This Row],[Reference Year]],Inflation[#All],3,FALSE)))</f>
        <v>49392.97854345166</v>
      </c>
    </row>
    <row r="1230" spans="1:15" ht="15" customHeight="1" x14ac:dyDescent="0.25">
      <c r="A1230" s="9" t="s">
        <v>309</v>
      </c>
      <c r="B1230" s="9" t="str">
        <f>INDEX(Places[Type],MATCH(Activities[[#This Row],[Jurisdiction]],Places[Jurisdiction],0))</f>
        <v>City</v>
      </c>
      <c r="C1230" s="19" t="str">
        <f>INDEX(Places[County],MATCH(Activities[[#This Row],[Jurisdiction]],Places[Jurisdiction],0))</f>
        <v>San Diego</v>
      </c>
      <c r="D1230" s="9" t="str">
        <f>INDEX(Places[Majority RB],MATCH(Activities[[#This Row],[Jurisdiction]],Places[Jurisdiction],0))</f>
        <v>San Diego</v>
      </c>
      <c r="E1230" s="9">
        <f>INDEX(Places[Majority RB '#],MATCH(Activities[[#This Row],[Jurisdiction]],Places[Jurisdiction],0))</f>
        <v>9</v>
      </c>
      <c r="F1230" s="28" t="str">
        <f>VLOOKUP(Activities[[#This Row],[Jurisdiction]],Places[#All],8,FALSE)</f>
        <v>Phase I MS4</v>
      </c>
      <c r="G1230" s="48" t="s">
        <v>1145</v>
      </c>
      <c r="H1230" s="8"/>
      <c r="I1230" s="8"/>
      <c r="J1230" s="8" t="s">
        <v>334</v>
      </c>
      <c r="K1230" s="27" t="s">
        <v>1874</v>
      </c>
      <c r="L1230" s="28">
        <f>_xlfn.NUMBERVALUE(LEFT(Activities[[#This Row],[Fiscal Year]], 4))</f>
        <v>2017</v>
      </c>
      <c r="M1230" s="28" t="s">
        <v>1863</v>
      </c>
      <c r="N1230" s="41">
        <v>76111</v>
      </c>
      <c r="O1230" s="93">
        <f>IF(Activities[[#This Row],[Reference Year]]&gt;2018,Activities[[#This Row],[Value]],Activities[[#This Row],[Value]]*(1+VLOOKUP(Activities[[#This Row],[Reference Year]],Inflation[#All],3,FALSE)))</f>
        <v>78139.074014687896</v>
      </c>
    </row>
    <row r="1231" spans="1:15" ht="15" customHeight="1" x14ac:dyDescent="0.25">
      <c r="A1231" s="9" t="s">
        <v>309</v>
      </c>
      <c r="B1231" s="9" t="str">
        <f>INDEX(Places[Type],MATCH(Activities[[#This Row],[Jurisdiction]],Places[Jurisdiction],0))</f>
        <v>City</v>
      </c>
      <c r="C1231" s="19" t="str">
        <f>INDEX(Places[County],MATCH(Activities[[#This Row],[Jurisdiction]],Places[Jurisdiction],0))</f>
        <v>San Diego</v>
      </c>
      <c r="D1231" s="9" t="str">
        <f>INDEX(Places[Majority RB],MATCH(Activities[[#This Row],[Jurisdiction]],Places[Jurisdiction],0))</f>
        <v>San Diego</v>
      </c>
      <c r="E1231" s="9">
        <f>INDEX(Places[Majority RB '#],MATCH(Activities[[#This Row],[Jurisdiction]],Places[Jurisdiction],0))</f>
        <v>9</v>
      </c>
      <c r="F1231" s="28" t="str">
        <f>VLOOKUP(Activities[[#This Row],[Jurisdiction]],Places[#All],8,FALSE)</f>
        <v>Phase I MS4</v>
      </c>
      <c r="G1231" s="48" t="s">
        <v>1279</v>
      </c>
      <c r="H1231" s="8"/>
      <c r="I1231" s="8"/>
      <c r="J1231" s="8" t="s">
        <v>1897</v>
      </c>
      <c r="K1231" s="27" t="s">
        <v>1874</v>
      </c>
      <c r="L1231" s="28">
        <f>_xlfn.NUMBERVALUE(LEFT(Activities[[#This Row],[Fiscal Year]], 4))</f>
        <v>2017</v>
      </c>
      <c r="M1231" s="28" t="s">
        <v>1863</v>
      </c>
      <c r="N1231" s="41">
        <v>1119975</v>
      </c>
      <c r="O1231" s="93">
        <f>IF(Activities[[#This Row],[Reference Year]]&gt;2018,Activities[[#This Row],[Value]],Activities[[#This Row],[Value]]*(1+VLOOKUP(Activities[[#This Row],[Reference Year]],Inflation[#All],3,FALSE)))</f>
        <v>1149818.1526927785</v>
      </c>
    </row>
    <row r="1232" spans="1:15" ht="15" customHeight="1" x14ac:dyDescent="0.25">
      <c r="A1232" s="9" t="s">
        <v>309</v>
      </c>
      <c r="B1232" s="9" t="str">
        <f>INDEX(Places[Type],MATCH(Activities[[#This Row],[Jurisdiction]],Places[Jurisdiction],0))</f>
        <v>City</v>
      </c>
      <c r="C1232" s="19" t="str">
        <f>INDEX(Places[County],MATCH(Activities[[#This Row],[Jurisdiction]],Places[Jurisdiction],0))</f>
        <v>San Diego</v>
      </c>
      <c r="D1232" s="9" t="str">
        <f>INDEX(Places[Majority RB],MATCH(Activities[[#This Row],[Jurisdiction]],Places[Jurisdiction],0))</f>
        <v>San Diego</v>
      </c>
      <c r="E1232" s="9">
        <f>INDEX(Places[Majority RB '#],MATCH(Activities[[#This Row],[Jurisdiction]],Places[Jurisdiction],0))</f>
        <v>9</v>
      </c>
      <c r="F1232" s="28" t="str">
        <f>VLOOKUP(Activities[[#This Row],[Jurisdiction]],Places[#All],8,FALSE)</f>
        <v>Phase I MS4</v>
      </c>
      <c r="G1232" s="48" t="s">
        <v>1272</v>
      </c>
      <c r="H1232" s="8"/>
      <c r="I1232" s="8"/>
      <c r="J1232" s="8" t="s">
        <v>1898</v>
      </c>
      <c r="K1232" s="27" t="s">
        <v>1874</v>
      </c>
      <c r="L1232" s="28">
        <f>_xlfn.NUMBERVALUE(LEFT(Activities[[#This Row],[Fiscal Year]], 4))</f>
        <v>2017</v>
      </c>
      <c r="M1232" s="28" t="s">
        <v>1863</v>
      </c>
      <c r="N1232" s="41">
        <v>15102</v>
      </c>
      <c r="O1232" s="93">
        <f>IF(Activities[[#This Row],[Reference Year]]&gt;2018,Activities[[#This Row],[Value]],Activities[[#This Row],[Value]]*(1+VLOOKUP(Activities[[#This Row],[Reference Year]],Inflation[#All],3,FALSE)))</f>
        <v>15504.411921664629</v>
      </c>
    </row>
    <row r="1233" spans="1:15" ht="15" customHeight="1" x14ac:dyDescent="0.25">
      <c r="A1233" s="9" t="s">
        <v>309</v>
      </c>
      <c r="B1233" s="9" t="str">
        <f>INDEX(Places[Type],MATCH(Activities[[#This Row],[Jurisdiction]],Places[Jurisdiction],0))</f>
        <v>City</v>
      </c>
      <c r="C1233" s="19" t="str">
        <f>INDEX(Places[County],MATCH(Activities[[#This Row],[Jurisdiction]],Places[Jurisdiction],0))</f>
        <v>San Diego</v>
      </c>
      <c r="D1233" s="9" t="str">
        <f>INDEX(Places[Majority RB],MATCH(Activities[[#This Row],[Jurisdiction]],Places[Jurisdiction],0))</f>
        <v>San Diego</v>
      </c>
      <c r="E1233" s="9">
        <f>INDEX(Places[Majority RB '#],MATCH(Activities[[#This Row],[Jurisdiction]],Places[Jurisdiction],0))</f>
        <v>9</v>
      </c>
      <c r="F1233" s="28" t="str">
        <f>VLOOKUP(Activities[[#This Row],[Jurisdiction]],Places[#All],8,FALSE)</f>
        <v>Phase I MS4</v>
      </c>
      <c r="G1233" s="48" t="s">
        <v>1281</v>
      </c>
      <c r="H1233" s="8"/>
      <c r="I1233" s="8"/>
      <c r="J1233" s="8" t="s">
        <v>1898</v>
      </c>
      <c r="K1233" s="27" t="s">
        <v>1874</v>
      </c>
      <c r="L1233" s="28">
        <f>_xlfn.NUMBERVALUE(LEFT(Activities[[#This Row],[Fiscal Year]], 4))</f>
        <v>2017</v>
      </c>
      <c r="M1233" s="28" t="s">
        <v>1863</v>
      </c>
      <c r="N1233" s="41">
        <v>16990</v>
      </c>
      <c r="O1233" s="93">
        <f>IF(Activities[[#This Row],[Reference Year]]&gt;2018,Activities[[#This Row],[Value]],Activities[[#This Row],[Value]]*(1+VLOOKUP(Activities[[#This Row],[Reference Year]],Inflation[#All],3,FALSE)))</f>
        <v>17442.720073439414</v>
      </c>
    </row>
    <row r="1234" spans="1:15" ht="15" customHeight="1" x14ac:dyDescent="0.25">
      <c r="A1234" s="9" t="s">
        <v>309</v>
      </c>
      <c r="B1234" s="9" t="str">
        <f>INDEX(Places[Type],MATCH(Activities[[#This Row],[Jurisdiction]],Places[Jurisdiction],0))</f>
        <v>City</v>
      </c>
      <c r="C1234" s="19" t="str">
        <f>INDEX(Places[County],MATCH(Activities[[#This Row],[Jurisdiction]],Places[Jurisdiction],0))</f>
        <v>San Diego</v>
      </c>
      <c r="D1234" s="9" t="str">
        <f>INDEX(Places[Majority RB],MATCH(Activities[[#This Row],[Jurisdiction]],Places[Jurisdiction],0))</f>
        <v>San Diego</v>
      </c>
      <c r="E1234" s="9">
        <f>INDEX(Places[Majority RB '#],MATCH(Activities[[#This Row],[Jurisdiction]],Places[Jurisdiction],0))</f>
        <v>9</v>
      </c>
      <c r="F1234" s="28" t="str">
        <f>VLOOKUP(Activities[[#This Row],[Jurisdiction]],Places[#All],8,FALSE)</f>
        <v>Phase I MS4</v>
      </c>
      <c r="G1234" s="48" t="s">
        <v>1296</v>
      </c>
      <c r="H1234" s="8"/>
      <c r="I1234" s="8"/>
      <c r="J1234" s="8" t="s">
        <v>1456</v>
      </c>
      <c r="K1234" s="27" t="s">
        <v>1874</v>
      </c>
      <c r="L1234" s="28">
        <f>_xlfn.NUMBERVALUE(LEFT(Activities[[#This Row],[Fiscal Year]], 4))</f>
        <v>2017</v>
      </c>
      <c r="M1234" s="28" t="s">
        <v>1863</v>
      </c>
      <c r="N1234" s="41">
        <v>222168</v>
      </c>
      <c r="O1234" s="93">
        <f>IF(Activities[[#This Row],[Reference Year]]&gt;2018,Activities[[#This Row],[Value]],Activities[[#This Row],[Value]]*(1+VLOOKUP(Activities[[#This Row],[Reference Year]],Inflation[#All],3,FALSE)))</f>
        <v>228087.94780905754</v>
      </c>
    </row>
    <row r="1235" spans="1:15" ht="15" customHeight="1" x14ac:dyDescent="0.25">
      <c r="A1235" s="9" t="s">
        <v>309</v>
      </c>
      <c r="B1235" s="9" t="str">
        <f>INDEX(Places[Type],MATCH(Activities[[#This Row],[Jurisdiction]],Places[Jurisdiction],0))</f>
        <v>City</v>
      </c>
      <c r="C1235" s="19" t="str">
        <f>INDEX(Places[County],MATCH(Activities[[#This Row],[Jurisdiction]],Places[Jurisdiction],0))</f>
        <v>San Diego</v>
      </c>
      <c r="D1235" s="9" t="str">
        <f>INDEX(Places[Majority RB],MATCH(Activities[[#This Row],[Jurisdiction]],Places[Jurisdiction],0))</f>
        <v>San Diego</v>
      </c>
      <c r="E1235" s="9">
        <f>INDEX(Places[Majority RB '#],MATCH(Activities[[#This Row],[Jurisdiction]],Places[Jurisdiction],0))</f>
        <v>9</v>
      </c>
      <c r="F1235" s="28" t="str">
        <f>VLOOKUP(Activities[[#This Row],[Jurisdiction]],Places[#All],8,FALSE)</f>
        <v>Phase I MS4</v>
      </c>
      <c r="G1235" s="48" t="s">
        <v>1294</v>
      </c>
      <c r="H1235" s="8"/>
      <c r="I1235" s="8"/>
      <c r="J1235" s="8" t="s">
        <v>1894</v>
      </c>
      <c r="K1235" s="27" t="s">
        <v>1874</v>
      </c>
      <c r="L1235" s="28">
        <f>_xlfn.NUMBERVALUE(LEFT(Activities[[#This Row],[Fiscal Year]], 4))</f>
        <v>2017</v>
      </c>
      <c r="M1235" s="28" t="s">
        <v>1863</v>
      </c>
      <c r="N1235" s="41">
        <v>270088</v>
      </c>
      <c r="O1235" s="93">
        <f>IF(Activities[[#This Row],[Reference Year]]&gt;2018,Activities[[#This Row],[Value]],Activities[[#This Row],[Value]]*(1+VLOOKUP(Activities[[#This Row],[Reference Year]],Inflation[#All],3,FALSE)))</f>
        <v>277284.8369155447</v>
      </c>
    </row>
    <row r="1236" spans="1:15" ht="15" customHeight="1" x14ac:dyDescent="0.25">
      <c r="A1236" s="9" t="s">
        <v>309</v>
      </c>
      <c r="B1236" s="9" t="str">
        <f>INDEX(Places[Type],MATCH(Activities[[#This Row],[Jurisdiction]],Places[Jurisdiction],0))</f>
        <v>City</v>
      </c>
      <c r="C1236" s="19" t="str">
        <f>INDEX(Places[County],MATCH(Activities[[#This Row],[Jurisdiction]],Places[Jurisdiction],0))</f>
        <v>San Diego</v>
      </c>
      <c r="D1236" s="9" t="str">
        <f>INDEX(Places[Majority RB],MATCH(Activities[[#This Row],[Jurisdiction]],Places[Jurisdiction],0))</f>
        <v>San Diego</v>
      </c>
      <c r="E1236" s="9">
        <f>INDEX(Places[Majority RB '#],MATCH(Activities[[#This Row],[Jurisdiction]],Places[Jurisdiction],0))</f>
        <v>9</v>
      </c>
      <c r="F1236" s="28" t="str">
        <f>VLOOKUP(Activities[[#This Row],[Jurisdiction]],Places[#All],8,FALSE)</f>
        <v>Phase I MS4</v>
      </c>
      <c r="G1236" s="48" t="s">
        <v>1295</v>
      </c>
      <c r="H1236" s="8" t="s">
        <v>684</v>
      </c>
      <c r="I1236" s="8" t="s">
        <v>683</v>
      </c>
      <c r="J1236" s="8" t="s">
        <v>1896</v>
      </c>
      <c r="K1236" s="27" t="s">
        <v>1874</v>
      </c>
      <c r="L1236" s="28">
        <f>_xlfn.NUMBERVALUE(LEFT(Activities[[#This Row],[Fiscal Year]], 4))</f>
        <v>2017</v>
      </c>
      <c r="M1236" s="28" t="s">
        <v>1863</v>
      </c>
      <c r="N1236" s="41">
        <v>1000</v>
      </c>
      <c r="O1236" s="93">
        <f>IF(Activities[[#This Row],[Reference Year]]&gt;2018,Activities[[#This Row],[Value]],Activities[[#This Row],[Value]]*(1+VLOOKUP(Activities[[#This Row],[Reference Year]],Inflation[#All],3,FALSE)))</f>
        <v>1026.6462668298655</v>
      </c>
    </row>
    <row r="1237" spans="1:15" ht="15" customHeight="1" x14ac:dyDescent="0.25">
      <c r="A1237" s="9" t="s">
        <v>309</v>
      </c>
      <c r="B1237" s="9" t="str">
        <f>INDEX(Places[Type],MATCH(Activities[[#This Row],[Jurisdiction]],Places[Jurisdiction],0))</f>
        <v>City</v>
      </c>
      <c r="C1237" s="19" t="str">
        <f>INDEX(Places[County],MATCH(Activities[[#This Row],[Jurisdiction]],Places[Jurisdiction],0))</f>
        <v>San Diego</v>
      </c>
      <c r="D1237" s="9" t="str">
        <f>INDEX(Places[Majority RB],MATCH(Activities[[#This Row],[Jurisdiction]],Places[Jurisdiction],0))</f>
        <v>San Diego</v>
      </c>
      <c r="E1237" s="9">
        <f>INDEX(Places[Majority RB '#],MATCH(Activities[[#This Row],[Jurisdiction]],Places[Jurisdiction],0))</f>
        <v>9</v>
      </c>
      <c r="F1237" s="28" t="str">
        <f>VLOOKUP(Activities[[#This Row],[Jurisdiction]],Places[#All],8,FALSE)</f>
        <v>Phase I MS4</v>
      </c>
      <c r="G1237" s="56" t="s">
        <v>360</v>
      </c>
      <c r="H1237" s="8"/>
      <c r="I1237" s="8"/>
      <c r="J1237" s="8" t="s">
        <v>1896</v>
      </c>
      <c r="K1237" s="27" t="s">
        <v>1874</v>
      </c>
      <c r="L1237" s="28">
        <f>_xlfn.NUMBERVALUE(LEFT(Activities[[#This Row],[Fiscal Year]], 4))</f>
        <v>2017</v>
      </c>
      <c r="M1237" s="28" t="s">
        <v>1863</v>
      </c>
      <c r="N1237" s="41">
        <v>67437</v>
      </c>
      <c r="O1237" s="93">
        <f>IF(Activities[[#This Row],[Reference Year]]&gt;2018,Activities[[#This Row],[Value]],Activities[[#This Row],[Value]]*(1+VLOOKUP(Activities[[#This Row],[Reference Year]],Inflation[#All],3,FALSE)))</f>
        <v>69233.944296205635</v>
      </c>
    </row>
    <row r="1238" spans="1:15" ht="15" customHeight="1" x14ac:dyDescent="0.25">
      <c r="A1238" s="9" t="s">
        <v>309</v>
      </c>
      <c r="B1238" s="9" t="str">
        <f>INDEX(Places[Type],MATCH(Activities[[#This Row],[Jurisdiction]],Places[Jurisdiction],0))</f>
        <v>City</v>
      </c>
      <c r="C1238" s="19" t="str">
        <f>INDEX(Places[County],MATCH(Activities[[#This Row],[Jurisdiction]],Places[Jurisdiction],0))</f>
        <v>San Diego</v>
      </c>
      <c r="D1238" s="9" t="str">
        <f>INDEX(Places[Majority RB],MATCH(Activities[[#This Row],[Jurisdiction]],Places[Jurisdiction],0))</f>
        <v>San Diego</v>
      </c>
      <c r="E1238" s="9">
        <f>INDEX(Places[Majority RB '#],MATCH(Activities[[#This Row],[Jurisdiction]],Places[Jurisdiction],0))</f>
        <v>9</v>
      </c>
      <c r="F1238" s="28" t="str">
        <f>VLOOKUP(Activities[[#This Row],[Jurisdiction]],Places[#All],8,FALSE)</f>
        <v>Phase I MS4</v>
      </c>
      <c r="G1238" s="48" t="s">
        <v>1298</v>
      </c>
      <c r="H1238" s="8"/>
      <c r="I1238" s="8"/>
      <c r="J1238" s="8" t="s">
        <v>605</v>
      </c>
      <c r="K1238" s="27" t="s">
        <v>1874</v>
      </c>
      <c r="L1238" s="28">
        <f>_xlfn.NUMBERVALUE(LEFT(Activities[[#This Row],[Fiscal Year]], 4))</f>
        <v>2017</v>
      </c>
      <c r="M1238" s="28" t="s">
        <v>1863</v>
      </c>
      <c r="N1238" s="41">
        <v>44533</v>
      </c>
      <c r="O1238" s="93">
        <f>IF(Activities[[#This Row],[Reference Year]]&gt;2018,Activities[[#This Row],[Value]],Activities[[#This Row],[Value]]*(1+VLOOKUP(Activities[[#This Row],[Reference Year]],Inflation[#All],3,FALSE)))</f>
        <v>45719.6382007344</v>
      </c>
    </row>
    <row r="1239" spans="1:15" ht="15" customHeight="1" x14ac:dyDescent="0.25">
      <c r="A1239" s="9" t="s">
        <v>309</v>
      </c>
      <c r="B1239" s="9" t="str">
        <f>INDEX(Places[Type],MATCH(Activities[[#This Row],[Jurisdiction]],Places[Jurisdiction],0))</f>
        <v>City</v>
      </c>
      <c r="C1239" s="19" t="str">
        <f>INDEX(Places[County],MATCH(Activities[[#This Row],[Jurisdiction]],Places[Jurisdiction],0))</f>
        <v>San Diego</v>
      </c>
      <c r="D1239" s="9" t="str">
        <f>INDEX(Places[Majority RB],MATCH(Activities[[#This Row],[Jurisdiction]],Places[Jurisdiction],0))</f>
        <v>San Diego</v>
      </c>
      <c r="E1239" s="9">
        <f>INDEX(Places[Majority RB '#],MATCH(Activities[[#This Row],[Jurisdiction]],Places[Jurisdiction],0))</f>
        <v>9</v>
      </c>
      <c r="F1239" s="28" t="str">
        <f>VLOOKUP(Activities[[#This Row],[Jurisdiction]],Places[#All],8,FALSE)</f>
        <v>Phase I MS4</v>
      </c>
      <c r="G1239" s="48" t="s">
        <v>1297</v>
      </c>
      <c r="H1239" s="8"/>
      <c r="I1239" s="8"/>
      <c r="J1239" s="8" t="s">
        <v>605</v>
      </c>
      <c r="K1239" s="27" t="s">
        <v>1874</v>
      </c>
      <c r="L1239" s="28">
        <f>_xlfn.NUMBERVALUE(LEFT(Activities[[#This Row],[Fiscal Year]], 4))</f>
        <v>2017</v>
      </c>
      <c r="M1239" s="28" t="s">
        <v>1863</v>
      </c>
      <c r="N1239" s="41">
        <v>129323</v>
      </c>
      <c r="O1239" s="93">
        <f>IF(Activities[[#This Row],[Reference Year]]&gt;2018,Activities[[#This Row],[Value]],Activities[[#This Row],[Value]]*(1+VLOOKUP(Activities[[#This Row],[Reference Year]],Inflation[#All],3,FALSE)))</f>
        <v>132768.97516523869</v>
      </c>
    </row>
    <row r="1240" spans="1:15" ht="15" customHeight="1" x14ac:dyDescent="0.25">
      <c r="A1240" s="9" t="s">
        <v>140</v>
      </c>
      <c r="B1240" s="9" t="str">
        <f>INDEX(Places[Type],MATCH(Activities[[#This Row],[Jurisdiction]],Places[Jurisdiction],0))</f>
        <v>City</v>
      </c>
      <c r="C1240" s="19" t="str">
        <f>INDEX(Places[County],MATCH(Activities[[#This Row],[Jurisdiction]],Places[Jurisdiction],0))</f>
        <v>Sacramento</v>
      </c>
      <c r="D1240" s="9" t="str">
        <f>INDEX(Places[Majority RB],MATCH(Activities[[#This Row],[Jurisdiction]],Places[Jurisdiction],0))</f>
        <v>Central Valley</v>
      </c>
      <c r="E1240" s="9">
        <f>INDEX(Places[Majority RB '#],MATCH(Activities[[#This Row],[Jurisdiction]],Places[Jurisdiction],0))</f>
        <v>5</v>
      </c>
      <c r="F1240" s="28" t="str">
        <f>VLOOKUP(Activities[[#This Row],[Jurisdiction]],Places[#All],8,FALSE)</f>
        <v>Phase I MS4</v>
      </c>
      <c r="G1240" s="48" t="s">
        <v>1073</v>
      </c>
      <c r="H1240" s="8" t="s">
        <v>550</v>
      </c>
      <c r="I1240" s="8" t="s">
        <v>536</v>
      </c>
      <c r="J1240" s="8" t="s">
        <v>1895</v>
      </c>
      <c r="K1240" s="27" t="s">
        <v>1881</v>
      </c>
      <c r="L1240" s="28">
        <f>_xlfn.NUMBERVALUE(LEFT(Activities[[#This Row],[Fiscal Year]], 4))</f>
        <v>2014</v>
      </c>
      <c r="M1240" s="28" t="s">
        <v>1862</v>
      </c>
      <c r="N1240" s="41">
        <v>4930</v>
      </c>
      <c r="O1240" s="93">
        <f>IF(Activities[[#This Row],[Reference Year]]&gt;2018,Activities[[#This Row],[Value]],Activities[[#This Row],[Value]]*(1+VLOOKUP(Activities[[#This Row],[Reference Year]],Inflation[#All],3,FALSE)))</f>
        <v>5240.9836501901145</v>
      </c>
    </row>
    <row r="1241" spans="1:15" ht="15" customHeight="1" x14ac:dyDescent="0.25">
      <c r="A1241" s="9" t="s">
        <v>140</v>
      </c>
      <c r="B1241" s="9" t="str">
        <f>INDEX(Places[Type],MATCH(Activities[[#This Row],[Jurisdiction]],Places[Jurisdiction],0))</f>
        <v>City</v>
      </c>
      <c r="C1241" s="19" t="str">
        <f>INDEX(Places[County],MATCH(Activities[[#This Row],[Jurisdiction]],Places[Jurisdiction],0))</f>
        <v>Sacramento</v>
      </c>
      <c r="D1241" s="9" t="str">
        <f>INDEX(Places[Majority RB],MATCH(Activities[[#This Row],[Jurisdiction]],Places[Jurisdiction],0))</f>
        <v>Central Valley</v>
      </c>
      <c r="E1241" s="9">
        <f>INDEX(Places[Majority RB '#],MATCH(Activities[[#This Row],[Jurisdiction]],Places[Jurisdiction],0))</f>
        <v>5</v>
      </c>
      <c r="F1241" s="28" t="str">
        <f>VLOOKUP(Activities[[#This Row],[Jurisdiction]],Places[#All],8,FALSE)</f>
        <v>Phase I MS4</v>
      </c>
      <c r="G1241" s="48" t="s">
        <v>1075</v>
      </c>
      <c r="H1241" s="8" t="s">
        <v>539</v>
      </c>
      <c r="I1241" s="8" t="s">
        <v>536</v>
      </c>
      <c r="J1241" s="8" t="s">
        <v>1897</v>
      </c>
      <c r="K1241" s="27" t="s">
        <v>1881</v>
      </c>
      <c r="L1241" s="28">
        <f>_xlfn.NUMBERVALUE(LEFT(Activities[[#This Row],[Fiscal Year]], 4))</f>
        <v>2014</v>
      </c>
      <c r="M1241" s="28" t="s">
        <v>1862</v>
      </c>
      <c r="N1241" s="41">
        <v>1108167</v>
      </c>
      <c r="O1241" s="93">
        <f>IF(Activities[[#This Row],[Reference Year]]&gt;2018,Activities[[#This Row],[Value]],Activities[[#This Row],[Value]]*(1+VLOOKUP(Activities[[#This Row],[Reference Year]],Inflation[#All],3,FALSE)))</f>
        <v>1178070.0058174906</v>
      </c>
    </row>
    <row r="1242" spans="1:15" ht="15" customHeight="1" x14ac:dyDescent="0.25">
      <c r="A1242" s="9" t="s">
        <v>140</v>
      </c>
      <c r="B1242" s="9" t="str">
        <f>INDEX(Places[Type],MATCH(Activities[[#This Row],[Jurisdiction]],Places[Jurisdiction],0))</f>
        <v>City</v>
      </c>
      <c r="C1242" s="19" t="str">
        <f>INDEX(Places[County],MATCH(Activities[[#This Row],[Jurisdiction]],Places[Jurisdiction],0))</f>
        <v>Sacramento</v>
      </c>
      <c r="D1242" s="9" t="str">
        <f>INDEX(Places[Majority RB],MATCH(Activities[[#This Row],[Jurisdiction]],Places[Jurisdiction],0))</f>
        <v>Central Valley</v>
      </c>
      <c r="E1242" s="9">
        <f>INDEX(Places[Majority RB '#],MATCH(Activities[[#This Row],[Jurisdiction]],Places[Jurisdiction],0))</f>
        <v>5</v>
      </c>
      <c r="F1242" s="28" t="str">
        <f>VLOOKUP(Activities[[#This Row],[Jurisdiction]],Places[#All],8,FALSE)</f>
        <v>Phase I MS4</v>
      </c>
      <c r="G1242" s="48" t="s">
        <v>1116</v>
      </c>
      <c r="H1242" s="8" t="s">
        <v>1110</v>
      </c>
      <c r="I1242" s="8" t="s">
        <v>502</v>
      </c>
      <c r="J1242" s="8" t="s">
        <v>1456</v>
      </c>
      <c r="K1242" s="27" t="s">
        <v>1881</v>
      </c>
      <c r="L1242" s="28">
        <f>_xlfn.NUMBERVALUE(LEFT(Activities[[#This Row],[Fiscal Year]], 4))</f>
        <v>2014</v>
      </c>
      <c r="M1242" s="28" t="s">
        <v>1862</v>
      </c>
      <c r="N1242" s="41">
        <v>4251</v>
      </c>
      <c r="O1242" s="93">
        <f>IF(Activities[[#This Row],[Reference Year]]&gt;2018,Activities[[#This Row],[Value]],Activities[[#This Row],[Value]]*(1+VLOOKUP(Activities[[#This Row],[Reference Year]],Inflation[#All],3,FALSE)))</f>
        <v>4519.1524334600763</v>
      </c>
    </row>
    <row r="1243" spans="1:15" ht="15" customHeight="1" x14ac:dyDescent="0.25">
      <c r="A1243" s="9" t="s">
        <v>140</v>
      </c>
      <c r="B1243" s="9" t="str">
        <f>INDEX(Places[Type],MATCH(Activities[[#This Row],[Jurisdiction]],Places[Jurisdiction],0))</f>
        <v>City</v>
      </c>
      <c r="C1243" s="19" t="str">
        <f>INDEX(Places[County],MATCH(Activities[[#This Row],[Jurisdiction]],Places[Jurisdiction],0))</f>
        <v>Sacramento</v>
      </c>
      <c r="D1243" s="9" t="str">
        <f>INDEX(Places[Majority RB],MATCH(Activities[[#This Row],[Jurisdiction]],Places[Jurisdiction],0))</f>
        <v>Central Valley</v>
      </c>
      <c r="E1243" s="9">
        <f>INDEX(Places[Majority RB '#],MATCH(Activities[[#This Row],[Jurisdiction]],Places[Jurisdiction],0))</f>
        <v>5</v>
      </c>
      <c r="F1243" s="28" t="str">
        <f>VLOOKUP(Activities[[#This Row],[Jurisdiction]],Places[#All],8,FALSE)</f>
        <v>Phase I MS4</v>
      </c>
      <c r="G1243" s="48" t="s">
        <v>1111</v>
      </c>
      <c r="H1243" s="8" t="s">
        <v>552</v>
      </c>
      <c r="I1243" s="8" t="s">
        <v>536</v>
      </c>
      <c r="J1243" s="8" t="s">
        <v>1456</v>
      </c>
      <c r="K1243" s="27" t="s">
        <v>1881</v>
      </c>
      <c r="L1243" s="28">
        <f>_xlfn.NUMBERVALUE(LEFT(Activities[[#This Row],[Fiscal Year]], 4))</f>
        <v>2014</v>
      </c>
      <c r="M1243" s="28" t="s">
        <v>1862</v>
      </c>
      <c r="N1243" s="41">
        <v>30742</v>
      </c>
      <c r="O1243" s="93">
        <f>IF(Activities[[#This Row],[Reference Year]]&gt;2018,Activities[[#This Row],[Value]],Activities[[#This Row],[Value]]*(1+VLOOKUP(Activities[[#This Row],[Reference Year]],Inflation[#All],3,FALSE)))</f>
        <v>32681.200684410647</v>
      </c>
    </row>
    <row r="1244" spans="1:15" ht="15" customHeight="1" x14ac:dyDescent="0.25">
      <c r="A1244" s="9" t="s">
        <v>140</v>
      </c>
      <c r="B1244" s="9" t="str">
        <f>INDEX(Places[Type],MATCH(Activities[[#This Row],[Jurisdiction]],Places[Jurisdiction],0))</f>
        <v>City</v>
      </c>
      <c r="C1244" s="19" t="str">
        <f>INDEX(Places[County],MATCH(Activities[[#This Row],[Jurisdiction]],Places[Jurisdiction],0))</f>
        <v>Sacramento</v>
      </c>
      <c r="D1244" s="9" t="str">
        <f>INDEX(Places[Majority RB],MATCH(Activities[[#This Row],[Jurisdiction]],Places[Jurisdiction],0))</f>
        <v>Central Valley</v>
      </c>
      <c r="E1244" s="9">
        <f>INDEX(Places[Majority RB '#],MATCH(Activities[[#This Row],[Jurisdiction]],Places[Jurisdiction],0))</f>
        <v>5</v>
      </c>
      <c r="F1244" s="28" t="str">
        <f>VLOOKUP(Activities[[#This Row],[Jurisdiction]],Places[#All],8,FALSE)</f>
        <v>Phase I MS4</v>
      </c>
      <c r="G1244" s="48" t="s">
        <v>1072</v>
      </c>
      <c r="H1244" s="8"/>
      <c r="I1244" s="8"/>
      <c r="J1244" s="8" t="s">
        <v>1894</v>
      </c>
      <c r="K1244" s="27" t="s">
        <v>1881</v>
      </c>
      <c r="L1244" s="28">
        <f>_xlfn.NUMBERVALUE(LEFT(Activities[[#This Row],[Fiscal Year]], 4))</f>
        <v>2014</v>
      </c>
      <c r="M1244" s="28" t="s">
        <v>1862</v>
      </c>
      <c r="N1244" s="41">
        <v>513497</v>
      </c>
      <c r="O1244" s="93">
        <f>IF(Activities[[#This Row],[Reference Year]]&gt;2018,Activities[[#This Row],[Value]],Activities[[#This Row],[Value]]*(1+VLOOKUP(Activities[[#This Row],[Reference Year]],Inflation[#All],3,FALSE)))</f>
        <v>545888.31266159704</v>
      </c>
    </row>
    <row r="1245" spans="1:15" ht="15" customHeight="1" x14ac:dyDescent="0.25">
      <c r="A1245" s="9" t="s">
        <v>140</v>
      </c>
      <c r="B1245" s="9" t="str">
        <f>INDEX(Places[Type],MATCH(Activities[[#This Row],[Jurisdiction]],Places[Jurisdiction],0))</f>
        <v>City</v>
      </c>
      <c r="C1245" s="19" t="str">
        <f>INDEX(Places[County],MATCH(Activities[[#This Row],[Jurisdiction]],Places[Jurisdiction],0))</f>
        <v>Sacramento</v>
      </c>
      <c r="D1245" s="9" t="str">
        <f>INDEX(Places[Majority RB],MATCH(Activities[[#This Row],[Jurisdiction]],Places[Jurisdiction],0))</f>
        <v>Central Valley</v>
      </c>
      <c r="E1245" s="9">
        <f>INDEX(Places[Majority RB '#],MATCH(Activities[[#This Row],[Jurisdiction]],Places[Jurisdiction],0))</f>
        <v>5</v>
      </c>
      <c r="F1245" s="28" t="str">
        <f>VLOOKUP(Activities[[#This Row],[Jurisdiction]],Places[#All],8,FALSE)</f>
        <v>Phase I MS4</v>
      </c>
      <c r="G1245" s="48" t="s">
        <v>1114</v>
      </c>
      <c r="H1245" s="8" t="s">
        <v>631</v>
      </c>
      <c r="I1245" s="47" t="s">
        <v>628</v>
      </c>
      <c r="J1245" s="8" t="s">
        <v>1896</v>
      </c>
      <c r="K1245" s="27" t="s">
        <v>1881</v>
      </c>
      <c r="L1245" s="28">
        <f>_xlfn.NUMBERVALUE(LEFT(Activities[[#This Row],[Fiscal Year]], 4))</f>
        <v>2014</v>
      </c>
      <c r="M1245" s="28" t="s">
        <v>1862</v>
      </c>
      <c r="N1245" s="41">
        <v>782</v>
      </c>
      <c r="O1245" s="93">
        <f>IF(Activities[[#This Row],[Reference Year]]&gt;2018,Activities[[#This Row],[Value]],Activities[[#This Row],[Value]]*(1+VLOOKUP(Activities[[#This Row],[Reference Year]],Inflation[#All],3,FALSE)))</f>
        <v>831.32844106463881</v>
      </c>
    </row>
    <row r="1246" spans="1:15" ht="15" customHeight="1" x14ac:dyDescent="0.25">
      <c r="A1246" s="9" t="s">
        <v>140</v>
      </c>
      <c r="B1246" s="9" t="str">
        <f>INDEX(Places[Type],MATCH(Activities[[#This Row],[Jurisdiction]],Places[Jurisdiction],0))</f>
        <v>City</v>
      </c>
      <c r="C1246" s="19" t="str">
        <f>INDEX(Places[County],MATCH(Activities[[#This Row],[Jurisdiction]],Places[Jurisdiction],0))</f>
        <v>Sacramento</v>
      </c>
      <c r="D1246" s="9" t="str">
        <f>INDEX(Places[Majority RB],MATCH(Activities[[#This Row],[Jurisdiction]],Places[Jurisdiction],0))</f>
        <v>Central Valley</v>
      </c>
      <c r="E1246" s="9">
        <f>INDEX(Places[Majority RB '#],MATCH(Activities[[#This Row],[Jurisdiction]],Places[Jurisdiction],0))</f>
        <v>5</v>
      </c>
      <c r="F1246" s="28" t="str">
        <f>VLOOKUP(Activities[[#This Row],[Jurisdiction]],Places[#All],8,FALSE)</f>
        <v>Phase I MS4</v>
      </c>
      <c r="G1246" s="48" t="s">
        <v>1115</v>
      </c>
      <c r="H1246" s="8"/>
      <c r="I1246" s="8"/>
      <c r="J1246" s="8" t="s">
        <v>47</v>
      </c>
      <c r="K1246" s="27" t="s">
        <v>1881</v>
      </c>
      <c r="L1246" s="28">
        <f>_xlfn.NUMBERVALUE(LEFT(Activities[[#This Row],[Fiscal Year]], 4))</f>
        <v>2014</v>
      </c>
      <c r="M1246" s="28" t="s">
        <v>1862</v>
      </c>
      <c r="N1246" s="41">
        <v>6507</v>
      </c>
      <c r="O1246" s="93">
        <f>IF(Activities[[#This Row],[Reference Year]]&gt;2018,Activities[[#This Row],[Value]],Activities[[#This Row],[Value]]*(1+VLOOKUP(Activities[[#This Row],[Reference Year]],Inflation[#All],3,FALSE)))</f>
        <v>6917.4605703422058</v>
      </c>
    </row>
    <row r="1247" spans="1:15" ht="15" customHeight="1" x14ac:dyDescent="0.25">
      <c r="A1247" s="9" t="s">
        <v>178</v>
      </c>
      <c r="B1247" s="9" t="str">
        <f>INDEX(Places[Type],MATCH(Activities[[#This Row],[Jurisdiction]],Places[Jurisdiction],0))</f>
        <v>City</v>
      </c>
      <c r="C1247" s="19" t="str">
        <f>INDEX(Places[County],MATCH(Activities[[#This Row],[Jurisdiction]],Places[Jurisdiction],0))</f>
        <v>Los Angeles</v>
      </c>
      <c r="D1247" s="19" t="str">
        <f>INDEX(Places[Majority RB],MATCH(Activities[[#This Row],[Jurisdiction]],Places[Jurisdiction],0))</f>
        <v>Los Angeles</v>
      </c>
      <c r="E1247" s="9">
        <f>INDEX(Places[Majority RB '#],MATCH(Activities[[#This Row],[Jurisdiction]],Places[Jurisdiction],0))</f>
        <v>4</v>
      </c>
      <c r="F1247" s="28" t="str">
        <f>VLOOKUP(Activities[[#This Row],[Jurisdiction]],Places[#All],8,FALSE)</f>
        <v>Phase I MS4</v>
      </c>
      <c r="G1247" s="48" t="s">
        <v>62</v>
      </c>
      <c r="H1247" s="8"/>
      <c r="I1247" s="8"/>
      <c r="J1247" s="8" t="s">
        <v>131</v>
      </c>
      <c r="K1247" s="27" t="s">
        <v>1873</v>
      </c>
      <c r="L1247" s="28">
        <f>_xlfn.NUMBERVALUE(LEFT(Activities[[#This Row],[Fiscal Year]], 4))</f>
        <v>2015</v>
      </c>
      <c r="M1247" s="28" t="s">
        <v>1862</v>
      </c>
      <c r="N1247" s="41">
        <v>56922</v>
      </c>
      <c r="O1247" s="93">
        <f>IF(Activities[[#This Row],[Reference Year]]&gt;2018,Activities[[#This Row],[Value]],Activities[[#This Row],[Value]]*(1+VLOOKUP(Activities[[#This Row],[Reference Year]],Inflation[#All],3,FALSE)))</f>
        <v>60436.032835443031</v>
      </c>
    </row>
    <row r="1248" spans="1:15" ht="15" customHeight="1" x14ac:dyDescent="0.25">
      <c r="A1248" s="9" t="s">
        <v>178</v>
      </c>
      <c r="B1248" s="9" t="str">
        <f>INDEX(Places[Type],MATCH(Activities[[#This Row],[Jurisdiction]],Places[Jurisdiction],0))</f>
        <v>City</v>
      </c>
      <c r="C1248" s="19" t="str">
        <f>INDEX(Places[County],MATCH(Activities[[#This Row],[Jurisdiction]],Places[Jurisdiction],0))</f>
        <v>Los Angeles</v>
      </c>
      <c r="D1248" s="19" t="str">
        <f>INDEX(Places[Majority RB],MATCH(Activities[[#This Row],[Jurisdiction]],Places[Jurisdiction],0))</f>
        <v>Los Angeles</v>
      </c>
      <c r="E1248" s="9">
        <f>INDEX(Places[Majority RB '#],MATCH(Activities[[#This Row],[Jurisdiction]],Places[Jurisdiction],0))</f>
        <v>4</v>
      </c>
      <c r="F1248" s="28" t="str">
        <f>VLOOKUP(Activities[[#This Row],[Jurisdiction]],Places[#All],8,FALSE)</f>
        <v>Phase I MS4</v>
      </c>
      <c r="G1248" s="48" t="s">
        <v>208</v>
      </c>
      <c r="H1248" s="8"/>
      <c r="I1248" s="8"/>
      <c r="J1248" s="8" t="s">
        <v>334</v>
      </c>
      <c r="K1248" s="27" t="s">
        <v>1873</v>
      </c>
      <c r="L1248" s="28">
        <f>_xlfn.NUMBERVALUE(LEFT(Activities[[#This Row],[Fiscal Year]], 4))</f>
        <v>2015</v>
      </c>
      <c r="M1248" s="28" t="s">
        <v>1862</v>
      </c>
      <c r="N1248" s="41">
        <v>10902</v>
      </c>
      <c r="O1248" s="93">
        <f>IF(Activities[[#This Row],[Reference Year]]&gt;2018,Activities[[#This Row],[Value]],Activities[[#This Row],[Value]]*(1+VLOOKUP(Activities[[#This Row],[Reference Year]],Inflation[#All],3,FALSE)))</f>
        <v>11575.026</v>
      </c>
    </row>
    <row r="1249" spans="1:15" ht="15" customHeight="1" x14ac:dyDescent="0.25">
      <c r="A1249" s="9" t="s">
        <v>178</v>
      </c>
      <c r="B1249" s="9" t="str">
        <f>INDEX(Places[Type],MATCH(Activities[[#This Row],[Jurisdiction]],Places[Jurisdiction],0))</f>
        <v>City</v>
      </c>
      <c r="C1249" s="19" t="str">
        <f>INDEX(Places[County],MATCH(Activities[[#This Row],[Jurisdiction]],Places[Jurisdiction],0))</f>
        <v>Los Angeles</v>
      </c>
      <c r="D1249" s="19" t="str">
        <f>INDEX(Places[Majority RB],MATCH(Activities[[#This Row],[Jurisdiction]],Places[Jurisdiction],0))</f>
        <v>Los Angeles</v>
      </c>
      <c r="E1249" s="9">
        <f>INDEX(Places[Majority RB '#],MATCH(Activities[[#This Row],[Jurisdiction]],Places[Jurisdiction],0))</f>
        <v>4</v>
      </c>
      <c r="F1249" s="28" t="str">
        <f>VLOOKUP(Activities[[#This Row],[Jurisdiction]],Places[#All],8,FALSE)</f>
        <v>Phase I MS4</v>
      </c>
      <c r="G1249" s="48" t="s">
        <v>61</v>
      </c>
      <c r="H1249" s="8"/>
      <c r="I1249" s="8"/>
      <c r="J1249" s="8" t="s">
        <v>1897</v>
      </c>
      <c r="K1249" s="27" t="s">
        <v>1873</v>
      </c>
      <c r="L1249" s="28">
        <f>_xlfn.NUMBERVALUE(LEFT(Activities[[#This Row],[Fiscal Year]], 4))</f>
        <v>2015</v>
      </c>
      <c r="M1249" s="28" t="s">
        <v>1862</v>
      </c>
      <c r="N1249" s="41">
        <v>224238</v>
      </c>
      <c r="O1249" s="93">
        <f>IF(Activities[[#This Row],[Reference Year]]&gt;2018,Activities[[#This Row],[Value]],Activities[[#This Row],[Value]]*(1+VLOOKUP(Activities[[#This Row],[Reference Year]],Inflation[#All],3,FALSE)))</f>
        <v>238081.14843037972</v>
      </c>
    </row>
    <row r="1250" spans="1:15" ht="15" customHeight="1" x14ac:dyDescent="0.25">
      <c r="A1250" s="9" t="s">
        <v>178</v>
      </c>
      <c r="B1250" s="9" t="str">
        <f>INDEX(Places[Type],MATCH(Activities[[#This Row],[Jurisdiction]],Places[Jurisdiction],0))</f>
        <v>City</v>
      </c>
      <c r="C1250" s="19" t="str">
        <f>INDEX(Places[County],MATCH(Activities[[#This Row],[Jurisdiction]],Places[Jurisdiction],0))</f>
        <v>Los Angeles</v>
      </c>
      <c r="D1250" s="19" t="str">
        <f>INDEX(Places[Majority RB],MATCH(Activities[[#This Row],[Jurisdiction]],Places[Jurisdiction],0))</f>
        <v>Los Angeles</v>
      </c>
      <c r="E1250" s="9">
        <f>INDEX(Places[Majority RB '#],MATCH(Activities[[#This Row],[Jurisdiction]],Places[Jurisdiction],0))</f>
        <v>4</v>
      </c>
      <c r="F1250" s="28" t="str">
        <f>VLOOKUP(Activities[[#This Row],[Jurisdiction]],Places[#All],8,FALSE)</f>
        <v>Phase I MS4</v>
      </c>
      <c r="G1250" s="48" t="s">
        <v>59</v>
      </c>
      <c r="H1250" s="8"/>
      <c r="I1250" s="8"/>
      <c r="J1250" s="8" t="s">
        <v>1898</v>
      </c>
      <c r="K1250" s="27" t="s">
        <v>1873</v>
      </c>
      <c r="L1250" s="28">
        <f>_xlfn.NUMBERVALUE(LEFT(Activities[[#This Row],[Fiscal Year]], 4))</f>
        <v>2015</v>
      </c>
      <c r="M1250" s="28" t="s">
        <v>1862</v>
      </c>
      <c r="N1250" s="41">
        <v>933</v>
      </c>
      <c r="O1250" s="93">
        <f>IF(Activities[[#This Row],[Reference Year]]&gt;2018,Activities[[#This Row],[Value]],Activities[[#This Row],[Value]]*(1+VLOOKUP(Activities[[#This Row],[Reference Year]],Inflation[#All],3,FALSE)))</f>
        <v>990.59798734177207</v>
      </c>
    </row>
    <row r="1251" spans="1:15" ht="15" customHeight="1" x14ac:dyDescent="0.25">
      <c r="A1251" s="9" t="s">
        <v>178</v>
      </c>
      <c r="B1251" s="9" t="str">
        <f>INDEX(Places[Type],MATCH(Activities[[#This Row],[Jurisdiction]],Places[Jurisdiction],0))</f>
        <v>City</v>
      </c>
      <c r="C1251" s="19" t="str">
        <f>INDEX(Places[County],MATCH(Activities[[#This Row],[Jurisdiction]],Places[Jurisdiction],0))</f>
        <v>Los Angeles</v>
      </c>
      <c r="D1251" s="19" t="str">
        <f>INDEX(Places[Majority RB],MATCH(Activities[[#This Row],[Jurisdiction]],Places[Jurisdiction],0))</f>
        <v>Los Angeles</v>
      </c>
      <c r="E1251" s="9">
        <f>INDEX(Places[Majority RB '#],MATCH(Activities[[#This Row],[Jurisdiction]],Places[Jurisdiction],0))</f>
        <v>4</v>
      </c>
      <c r="F1251" s="28" t="str">
        <f>VLOOKUP(Activities[[#This Row],[Jurisdiction]],Places[#All],8,FALSE)</f>
        <v>Phase I MS4</v>
      </c>
      <c r="G1251" s="48" t="s">
        <v>60</v>
      </c>
      <c r="H1251" s="8"/>
      <c r="I1251" s="8"/>
      <c r="J1251" s="8" t="s">
        <v>1898</v>
      </c>
      <c r="K1251" s="27" t="s">
        <v>1873</v>
      </c>
      <c r="L1251" s="28">
        <f>_xlfn.NUMBERVALUE(LEFT(Activities[[#This Row],[Fiscal Year]], 4))</f>
        <v>2015</v>
      </c>
      <c r="M1251" s="28" t="s">
        <v>1862</v>
      </c>
      <c r="N1251" s="41">
        <v>2676</v>
      </c>
      <c r="O1251" s="93">
        <f>IF(Activities[[#This Row],[Reference Year]]&gt;2018,Activities[[#This Row],[Value]],Activities[[#This Row],[Value]]*(1+VLOOKUP(Activities[[#This Row],[Reference Year]],Inflation[#All],3,FALSE)))</f>
        <v>2841.2006582278477</v>
      </c>
    </row>
    <row r="1252" spans="1:15" ht="15" customHeight="1" x14ac:dyDescent="0.25">
      <c r="A1252" s="9" t="s">
        <v>178</v>
      </c>
      <c r="B1252" s="9" t="str">
        <f>INDEX(Places[Type],MATCH(Activities[[#This Row],[Jurisdiction]],Places[Jurisdiction],0))</f>
        <v>City</v>
      </c>
      <c r="C1252" s="19" t="str">
        <f>INDEX(Places[County],MATCH(Activities[[#This Row],[Jurisdiction]],Places[Jurisdiction],0))</f>
        <v>Los Angeles</v>
      </c>
      <c r="D1252" s="19" t="str">
        <f>INDEX(Places[Majority RB],MATCH(Activities[[#This Row],[Jurisdiction]],Places[Jurisdiction],0))</f>
        <v>Los Angeles</v>
      </c>
      <c r="E1252" s="9">
        <f>INDEX(Places[Majority RB '#],MATCH(Activities[[#This Row],[Jurisdiction]],Places[Jurisdiction],0))</f>
        <v>4</v>
      </c>
      <c r="F1252" s="28" t="str">
        <f>VLOOKUP(Activities[[#This Row],[Jurisdiction]],Places[#All],8,FALSE)</f>
        <v>Phase I MS4</v>
      </c>
      <c r="G1252" s="48" t="s">
        <v>58</v>
      </c>
      <c r="H1252" s="8"/>
      <c r="I1252" s="8"/>
      <c r="J1252" s="8" t="s">
        <v>1456</v>
      </c>
      <c r="K1252" s="27" t="s">
        <v>1873</v>
      </c>
      <c r="L1252" s="28">
        <f>_xlfn.NUMBERVALUE(LEFT(Activities[[#This Row],[Fiscal Year]], 4))</f>
        <v>2015</v>
      </c>
      <c r="M1252" s="28" t="s">
        <v>1862</v>
      </c>
      <c r="N1252" s="41">
        <v>20910</v>
      </c>
      <c r="O1252" s="93">
        <f>IF(Activities[[#This Row],[Reference Year]]&gt;2018,Activities[[#This Row],[Value]],Activities[[#This Row],[Value]]*(1+VLOOKUP(Activities[[#This Row],[Reference Year]],Inflation[#All],3,FALSE)))</f>
        <v>22200.861645569617</v>
      </c>
    </row>
    <row r="1253" spans="1:15" ht="15" customHeight="1" x14ac:dyDescent="0.25">
      <c r="A1253" s="9" t="s">
        <v>178</v>
      </c>
      <c r="B1253" s="9" t="str">
        <f>INDEX(Places[Type],MATCH(Activities[[#This Row],[Jurisdiction]],Places[Jurisdiction],0))</f>
        <v>City</v>
      </c>
      <c r="C1253" s="19" t="str">
        <f>INDEX(Places[County],MATCH(Activities[[#This Row],[Jurisdiction]],Places[Jurisdiction],0))</f>
        <v>Los Angeles</v>
      </c>
      <c r="D1253" s="19" t="str">
        <f>INDEX(Places[Majority RB],MATCH(Activities[[#This Row],[Jurisdiction]],Places[Jurisdiction],0))</f>
        <v>Los Angeles</v>
      </c>
      <c r="E1253" s="9">
        <f>INDEX(Places[Majority RB '#],MATCH(Activities[[#This Row],[Jurisdiction]],Places[Jurisdiction],0))</f>
        <v>4</v>
      </c>
      <c r="F1253" s="28" t="str">
        <f>VLOOKUP(Activities[[#This Row],[Jurisdiction]],Places[#All],8,FALSE)</f>
        <v>Phase I MS4</v>
      </c>
      <c r="G1253" s="48" t="s">
        <v>32</v>
      </c>
      <c r="H1253" s="8"/>
      <c r="I1253" s="8"/>
      <c r="J1253" s="8" t="s">
        <v>1894</v>
      </c>
      <c r="K1253" s="27" t="s">
        <v>1873</v>
      </c>
      <c r="L1253" s="28">
        <f>_xlfn.NUMBERVALUE(LEFT(Activities[[#This Row],[Fiscal Year]], 4))</f>
        <v>2015</v>
      </c>
      <c r="M1253" s="28" t="s">
        <v>1862</v>
      </c>
      <c r="N1253" s="41">
        <v>18280</v>
      </c>
      <c r="O1253" s="93">
        <f>IF(Activities[[#This Row],[Reference Year]]&gt;2018,Activities[[#This Row],[Value]],Activities[[#This Row],[Value]]*(1+VLOOKUP(Activities[[#This Row],[Reference Year]],Inflation[#All],3,FALSE)))</f>
        <v>19408.500759493669</v>
      </c>
    </row>
    <row r="1254" spans="1:15" ht="15" customHeight="1" x14ac:dyDescent="0.25">
      <c r="A1254" s="9" t="s">
        <v>178</v>
      </c>
      <c r="B1254" s="9" t="str">
        <f>INDEX(Places[Type],MATCH(Activities[[#This Row],[Jurisdiction]],Places[Jurisdiction],0))</f>
        <v>City</v>
      </c>
      <c r="C1254" s="19" t="str">
        <f>INDEX(Places[County],MATCH(Activities[[#This Row],[Jurisdiction]],Places[Jurisdiction],0))</f>
        <v>Los Angeles</v>
      </c>
      <c r="D1254" s="19" t="str">
        <f>INDEX(Places[Majority RB],MATCH(Activities[[#This Row],[Jurisdiction]],Places[Jurisdiction],0))</f>
        <v>Los Angeles</v>
      </c>
      <c r="E1254" s="9">
        <f>INDEX(Places[Majority RB '#],MATCH(Activities[[#This Row],[Jurisdiction]],Places[Jurisdiction],0))</f>
        <v>4</v>
      </c>
      <c r="F1254" s="28" t="str">
        <f>VLOOKUP(Activities[[#This Row],[Jurisdiction]],Places[#All],8,FALSE)</f>
        <v>Phase I MS4</v>
      </c>
      <c r="G1254" s="48" t="s">
        <v>67</v>
      </c>
      <c r="H1254" s="8"/>
      <c r="I1254" s="8"/>
      <c r="J1254" s="8" t="s">
        <v>1896</v>
      </c>
      <c r="K1254" s="27" t="s">
        <v>1873</v>
      </c>
      <c r="L1254" s="28">
        <f>_xlfn.NUMBERVALUE(LEFT(Activities[[#This Row],[Fiscal Year]], 4))</f>
        <v>2015</v>
      </c>
      <c r="M1254" s="28" t="s">
        <v>1862</v>
      </c>
      <c r="N1254" s="41">
        <v>15624</v>
      </c>
      <c r="O1254" s="93">
        <f>IF(Activities[[#This Row],[Reference Year]]&gt;2018,Activities[[#This Row],[Value]],Activities[[#This Row],[Value]]*(1+VLOOKUP(Activities[[#This Row],[Reference Year]],Inflation[#All],3,FALSE)))</f>
        <v>16588.534784810126</v>
      </c>
    </row>
    <row r="1255" spans="1:15" ht="15" customHeight="1" x14ac:dyDescent="0.25">
      <c r="A1255" s="9" t="s">
        <v>178</v>
      </c>
      <c r="B1255" s="9" t="str">
        <f>INDEX(Places[Type],MATCH(Activities[[#This Row],[Jurisdiction]],Places[Jurisdiction],0))</f>
        <v>City</v>
      </c>
      <c r="C1255" s="19" t="str">
        <f>INDEX(Places[County],MATCH(Activities[[#This Row],[Jurisdiction]],Places[Jurisdiction],0))</f>
        <v>Los Angeles</v>
      </c>
      <c r="D1255" s="19" t="str">
        <f>INDEX(Places[Majority RB],MATCH(Activities[[#This Row],[Jurisdiction]],Places[Jurisdiction],0))</f>
        <v>Los Angeles</v>
      </c>
      <c r="E1255" s="9">
        <f>INDEX(Places[Majority RB '#],MATCH(Activities[[#This Row],[Jurisdiction]],Places[Jurisdiction],0))</f>
        <v>4</v>
      </c>
      <c r="F1255" s="28" t="str">
        <f>VLOOKUP(Activities[[#This Row],[Jurisdiction]],Places[#All],8,FALSE)</f>
        <v>Phase I MS4</v>
      </c>
      <c r="G1255" s="48" t="s">
        <v>33</v>
      </c>
      <c r="H1255" s="8"/>
      <c r="I1255" s="8"/>
      <c r="J1255" s="8" t="s">
        <v>47</v>
      </c>
      <c r="K1255" s="27" t="s">
        <v>1873</v>
      </c>
      <c r="L1255" s="28">
        <f>_xlfn.NUMBERVALUE(LEFT(Activities[[#This Row],[Fiscal Year]], 4))</f>
        <v>2015</v>
      </c>
      <c r="M1255" s="28" t="s">
        <v>1862</v>
      </c>
      <c r="N1255" s="41">
        <v>68935</v>
      </c>
      <c r="O1255" s="93">
        <f>IF(Activities[[#This Row],[Reference Year]]&gt;2018,Activities[[#This Row],[Value]],Activities[[#This Row],[Value]]*(1+VLOOKUP(Activities[[#This Row],[Reference Year]],Inflation[#All],3,FALSE)))</f>
        <v>73190.645506329107</v>
      </c>
    </row>
    <row r="1256" spans="1:15" ht="15" customHeight="1" x14ac:dyDescent="0.25">
      <c r="A1256" s="9" t="s">
        <v>287</v>
      </c>
      <c r="B1256" s="9" t="str">
        <f>INDEX(Places[Type],MATCH(Activities[[#This Row],[Jurisdiction]],Places[Jurisdiction],0))</f>
        <v>City</v>
      </c>
      <c r="C1256" s="19" t="str">
        <f>INDEX(Places[County],MATCH(Activities[[#This Row],[Jurisdiction]],Places[Jurisdiction],0))</f>
        <v>Orange</v>
      </c>
      <c r="D1256" s="9" t="str">
        <f>INDEX(Places[Majority RB],MATCH(Activities[[#This Row],[Jurisdiction]],Places[Jurisdiction],0))</f>
        <v>San Diego</v>
      </c>
      <c r="E1256" s="9">
        <f>INDEX(Places[Majority RB '#],MATCH(Activities[[#This Row],[Jurisdiction]],Places[Jurisdiction],0))</f>
        <v>9</v>
      </c>
      <c r="F1256" s="28" t="str">
        <f>VLOOKUP(Activities[[#This Row],[Jurisdiction]],Places[#All],8,FALSE)</f>
        <v>Phase I MS4</v>
      </c>
      <c r="G1256" s="48" t="s">
        <v>1051</v>
      </c>
      <c r="H1256" s="8"/>
      <c r="I1256" s="8"/>
      <c r="J1256" s="8" t="s">
        <v>76</v>
      </c>
      <c r="K1256" s="27" t="s">
        <v>1869</v>
      </c>
      <c r="L1256" s="28">
        <f>_xlfn.NUMBERVALUE(LEFT(Activities[[#This Row],[Fiscal Year]], 4))</f>
        <v>2016</v>
      </c>
      <c r="M1256" s="28" t="s">
        <v>1862</v>
      </c>
      <c r="N1256" s="41">
        <v>23700</v>
      </c>
      <c r="O1256" s="93">
        <f>IF(Activities[[#This Row],[Reference Year]]&gt;2018,Activities[[#This Row],[Value]],Activities[[#This Row],[Value]]*(1+VLOOKUP(Activities[[#This Row],[Reference Year]],Inflation[#All],3,FALSE)))</f>
        <v>24848.561250000002</v>
      </c>
    </row>
    <row r="1257" spans="1:15" ht="15" customHeight="1" x14ac:dyDescent="0.25">
      <c r="A1257" s="9" t="s">
        <v>287</v>
      </c>
      <c r="B1257" s="9" t="str">
        <f>INDEX(Places[Type],MATCH(Activities[[#This Row],[Jurisdiction]],Places[Jurisdiction],0))</f>
        <v>City</v>
      </c>
      <c r="C1257" s="19" t="str">
        <f>INDEX(Places[County],MATCH(Activities[[#This Row],[Jurisdiction]],Places[Jurisdiction],0))</f>
        <v>Orange</v>
      </c>
      <c r="D1257" s="9" t="str">
        <f>INDEX(Places[Majority RB],MATCH(Activities[[#This Row],[Jurisdiction]],Places[Jurisdiction],0))</f>
        <v>San Diego</v>
      </c>
      <c r="E1257" s="9">
        <f>INDEX(Places[Majority RB '#],MATCH(Activities[[#This Row],[Jurisdiction]],Places[Jurisdiction],0))</f>
        <v>9</v>
      </c>
      <c r="F1257" s="28" t="str">
        <f>VLOOKUP(Activities[[#This Row],[Jurisdiction]],Places[#All],8,FALSE)</f>
        <v>Phase I MS4</v>
      </c>
      <c r="G1257" s="48" t="s">
        <v>1008</v>
      </c>
      <c r="H1257" s="8"/>
      <c r="I1257" s="8" t="s">
        <v>612</v>
      </c>
      <c r="J1257" s="8" t="s">
        <v>76</v>
      </c>
      <c r="K1257" s="27" t="s">
        <v>1869</v>
      </c>
      <c r="L1257" s="28">
        <f>_xlfn.NUMBERVALUE(LEFT(Activities[[#This Row],[Fiscal Year]], 4))</f>
        <v>2016</v>
      </c>
      <c r="M1257" s="28" t="s">
        <v>1862</v>
      </c>
      <c r="N1257" s="41">
        <v>111597.93</v>
      </c>
      <c r="O1257" s="93">
        <f>IF(Activities[[#This Row],[Reference Year]]&gt;2018,Activities[[#This Row],[Value]],Activities[[#This Row],[Value]]*(1+VLOOKUP(Activities[[#This Row],[Reference Year]],Inflation[#All],3,FALSE)))</f>
        <v>117006.24468262499</v>
      </c>
    </row>
    <row r="1258" spans="1:15" ht="15" customHeight="1" x14ac:dyDescent="0.25">
      <c r="A1258" s="9" t="s">
        <v>287</v>
      </c>
      <c r="B1258" s="9" t="str">
        <f>INDEX(Places[Type],MATCH(Activities[[#This Row],[Jurisdiction]],Places[Jurisdiction],0))</f>
        <v>City</v>
      </c>
      <c r="C1258" s="19" t="str">
        <f>INDEX(Places[County],MATCH(Activities[[#This Row],[Jurisdiction]],Places[Jurisdiction],0))</f>
        <v>Orange</v>
      </c>
      <c r="D1258" s="9" t="str">
        <f>INDEX(Places[Majority RB],MATCH(Activities[[#This Row],[Jurisdiction]],Places[Jurisdiction],0))</f>
        <v>San Diego</v>
      </c>
      <c r="E1258" s="9">
        <f>INDEX(Places[Majority RB '#],MATCH(Activities[[#This Row],[Jurisdiction]],Places[Jurisdiction],0))</f>
        <v>9</v>
      </c>
      <c r="F1258" s="28" t="str">
        <f>VLOOKUP(Activities[[#This Row],[Jurisdiction]],Places[#All],8,FALSE)</f>
        <v>Phase I MS4</v>
      </c>
      <c r="G1258" s="48" t="s">
        <v>1025</v>
      </c>
      <c r="H1258" s="8" t="s">
        <v>513</v>
      </c>
      <c r="I1258" s="8"/>
      <c r="J1258" s="8" t="s">
        <v>1895</v>
      </c>
      <c r="K1258" s="27" t="s">
        <v>1869</v>
      </c>
      <c r="L1258" s="28">
        <f>_xlfn.NUMBERVALUE(LEFT(Activities[[#This Row],[Fiscal Year]], 4))</f>
        <v>2016</v>
      </c>
      <c r="M1258" s="28" t="s">
        <v>1862</v>
      </c>
      <c r="N1258" s="41">
        <v>3919.7</v>
      </c>
      <c r="O1258" s="93">
        <f>IF(Activities[[#This Row],[Reference Year]]&gt;2018,Activities[[#This Row],[Value]],Activities[[#This Row],[Value]]*(1+VLOOKUP(Activities[[#This Row],[Reference Year]],Inflation[#All],3,FALSE)))</f>
        <v>4109.6584612500001</v>
      </c>
    </row>
    <row r="1259" spans="1:15" ht="15" customHeight="1" x14ac:dyDescent="0.25">
      <c r="A1259" s="9" t="s">
        <v>287</v>
      </c>
      <c r="B1259" s="9" t="str">
        <f>INDEX(Places[Type],MATCH(Activities[[#This Row],[Jurisdiction]],Places[Jurisdiction],0))</f>
        <v>City</v>
      </c>
      <c r="C1259" s="19" t="str">
        <f>INDEX(Places[County],MATCH(Activities[[#This Row],[Jurisdiction]],Places[Jurisdiction],0))</f>
        <v>Orange</v>
      </c>
      <c r="D1259" s="9" t="str">
        <f>INDEX(Places[Majority RB],MATCH(Activities[[#This Row],[Jurisdiction]],Places[Jurisdiction],0))</f>
        <v>San Diego</v>
      </c>
      <c r="E1259" s="9">
        <f>INDEX(Places[Majority RB '#],MATCH(Activities[[#This Row],[Jurisdiction]],Places[Jurisdiction],0))</f>
        <v>9</v>
      </c>
      <c r="F1259" s="28" t="str">
        <f>VLOOKUP(Activities[[#This Row],[Jurisdiction]],Places[#All],8,FALSE)</f>
        <v>Phase I MS4</v>
      </c>
      <c r="G1259" s="48" t="s">
        <v>1054</v>
      </c>
      <c r="H1259" s="8"/>
      <c r="I1259" s="8"/>
      <c r="J1259" s="8" t="s">
        <v>131</v>
      </c>
      <c r="K1259" s="27" t="s">
        <v>1869</v>
      </c>
      <c r="L1259" s="28">
        <f>_xlfn.NUMBERVALUE(LEFT(Activities[[#This Row],[Fiscal Year]], 4))</f>
        <v>2016</v>
      </c>
      <c r="M1259" s="28" t="s">
        <v>1862</v>
      </c>
      <c r="N1259" s="41">
        <v>1959.85</v>
      </c>
      <c r="O1259" s="93">
        <f>IF(Activities[[#This Row],[Reference Year]]&gt;2018,Activities[[#This Row],[Value]],Activities[[#This Row],[Value]]*(1+VLOOKUP(Activities[[#This Row],[Reference Year]],Inflation[#All],3,FALSE)))</f>
        <v>2054.829230625</v>
      </c>
    </row>
    <row r="1260" spans="1:15" ht="15" customHeight="1" x14ac:dyDescent="0.25">
      <c r="A1260" s="9" t="s">
        <v>287</v>
      </c>
      <c r="B1260" s="9" t="str">
        <f>INDEX(Places[Type],MATCH(Activities[[#This Row],[Jurisdiction]],Places[Jurisdiction],0))</f>
        <v>City</v>
      </c>
      <c r="C1260" s="19" t="str">
        <f>INDEX(Places[County],MATCH(Activities[[#This Row],[Jurisdiction]],Places[Jurisdiction],0))</f>
        <v>Orange</v>
      </c>
      <c r="D1260" s="9" t="str">
        <f>INDEX(Places[Majority RB],MATCH(Activities[[#This Row],[Jurisdiction]],Places[Jurisdiction],0))</f>
        <v>San Diego</v>
      </c>
      <c r="E1260" s="9">
        <f>INDEX(Places[Majority RB '#],MATCH(Activities[[#This Row],[Jurisdiction]],Places[Jurisdiction],0))</f>
        <v>9</v>
      </c>
      <c r="F1260" s="28" t="str">
        <f>VLOOKUP(Activities[[#This Row],[Jurisdiction]],Places[#All],8,FALSE)</f>
        <v>Phase I MS4</v>
      </c>
      <c r="G1260" s="48" t="s">
        <v>1020</v>
      </c>
      <c r="H1260" s="8" t="s">
        <v>509</v>
      </c>
      <c r="I1260" s="8"/>
      <c r="J1260" s="8" t="s">
        <v>334</v>
      </c>
      <c r="K1260" s="27" t="s">
        <v>1869</v>
      </c>
      <c r="L1260" s="28">
        <f>_xlfn.NUMBERVALUE(LEFT(Activities[[#This Row],[Fiscal Year]], 4))</f>
        <v>2016</v>
      </c>
      <c r="M1260" s="28" t="s">
        <v>1862</v>
      </c>
      <c r="N1260" s="41">
        <v>5879.55</v>
      </c>
      <c r="O1260" s="93">
        <f>IF(Activities[[#This Row],[Reference Year]]&gt;2018,Activities[[#This Row],[Value]],Activities[[#This Row],[Value]]*(1+VLOOKUP(Activities[[#This Row],[Reference Year]],Inflation[#All],3,FALSE)))</f>
        <v>6164.4876918750006</v>
      </c>
    </row>
    <row r="1261" spans="1:15" ht="15" customHeight="1" x14ac:dyDescent="0.25">
      <c r="A1261" s="9" t="s">
        <v>287</v>
      </c>
      <c r="B1261" s="9" t="str">
        <f>INDEX(Places[Type],MATCH(Activities[[#This Row],[Jurisdiction]],Places[Jurisdiction],0))</f>
        <v>City</v>
      </c>
      <c r="C1261" s="19" t="str">
        <f>INDEX(Places[County],MATCH(Activities[[#This Row],[Jurisdiction]],Places[Jurisdiction],0))</f>
        <v>Orange</v>
      </c>
      <c r="D1261" s="9" t="str">
        <f>INDEX(Places[Majority RB],MATCH(Activities[[#This Row],[Jurisdiction]],Places[Jurisdiction],0))</f>
        <v>San Diego</v>
      </c>
      <c r="E1261" s="9">
        <f>INDEX(Places[Majority RB '#],MATCH(Activities[[#This Row],[Jurisdiction]],Places[Jurisdiction],0))</f>
        <v>9</v>
      </c>
      <c r="F1261" s="28" t="str">
        <f>VLOOKUP(Activities[[#This Row],[Jurisdiction]],Places[#All],8,FALSE)</f>
        <v>Phase I MS4</v>
      </c>
      <c r="G1261" s="48" t="s">
        <v>1053</v>
      </c>
      <c r="H1261" s="8" t="s">
        <v>507</v>
      </c>
      <c r="I1261" s="8"/>
      <c r="J1261" s="8" t="s">
        <v>71</v>
      </c>
      <c r="K1261" s="27" t="s">
        <v>1869</v>
      </c>
      <c r="L1261" s="28">
        <f>_xlfn.NUMBERVALUE(LEFT(Activities[[#This Row],[Fiscal Year]], 4))</f>
        <v>2016</v>
      </c>
      <c r="M1261" s="28" t="s">
        <v>1862</v>
      </c>
      <c r="N1261" s="41">
        <v>40000</v>
      </c>
      <c r="O1261" s="93">
        <f>IF(Activities[[#This Row],[Reference Year]]&gt;2018,Activities[[#This Row],[Value]],Activities[[#This Row],[Value]]*(1+VLOOKUP(Activities[[#This Row],[Reference Year]],Inflation[#All],3,FALSE)))</f>
        <v>41938.5</v>
      </c>
    </row>
    <row r="1262" spans="1:15" ht="15" customHeight="1" x14ac:dyDescent="0.25">
      <c r="A1262" s="9" t="s">
        <v>287</v>
      </c>
      <c r="B1262" s="9" t="str">
        <f>INDEX(Places[Type],MATCH(Activities[[#This Row],[Jurisdiction]],Places[Jurisdiction],0))</f>
        <v>City</v>
      </c>
      <c r="C1262" s="19" t="str">
        <f>INDEX(Places[County],MATCH(Activities[[#This Row],[Jurisdiction]],Places[Jurisdiction],0))</f>
        <v>Orange</v>
      </c>
      <c r="D1262" s="9" t="str">
        <f>INDEX(Places[Majority RB],MATCH(Activities[[#This Row],[Jurisdiction]],Places[Jurisdiction],0))</f>
        <v>San Diego</v>
      </c>
      <c r="E1262" s="9">
        <f>INDEX(Places[Majority RB '#],MATCH(Activities[[#This Row],[Jurisdiction]],Places[Jurisdiction],0))</f>
        <v>9</v>
      </c>
      <c r="F1262" s="28" t="str">
        <f>VLOOKUP(Activities[[#This Row],[Jurisdiction]],Places[#All],8,FALSE)</f>
        <v>Phase I MS4</v>
      </c>
      <c r="G1262" s="48" t="s">
        <v>1042</v>
      </c>
      <c r="H1262" s="8" t="s">
        <v>507</v>
      </c>
      <c r="I1262" s="8"/>
      <c r="J1262" s="8" t="s">
        <v>1897</v>
      </c>
      <c r="K1262" s="27" t="s">
        <v>1869</v>
      </c>
      <c r="L1262" s="28">
        <f>_xlfn.NUMBERVALUE(LEFT(Activities[[#This Row],[Fiscal Year]], 4))</f>
        <v>2016</v>
      </c>
      <c r="M1262" s="28" t="s">
        <v>1862</v>
      </c>
      <c r="N1262" s="41">
        <v>831</v>
      </c>
      <c r="O1262" s="93">
        <f>IF(Activities[[#This Row],[Reference Year]]&gt;2018,Activities[[#This Row],[Value]],Activities[[#This Row],[Value]]*(1+VLOOKUP(Activities[[#This Row],[Reference Year]],Inflation[#All],3,FALSE)))</f>
        <v>871.27233750000005</v>
      </c>
    </row>
    <row r="1263" spans="1:15" ht="15" customHeight="1" x14ac:dyDescent="0.25">
      <c r="A1263" s="9" t="s">
        <v>287</v>
      </c>
      <c r="B1263" s="9" t="str">
        <f>INDEX(Places[Type],MATCH(Activities[[#This Row],[Jurisdiction]],Places[Jurisdiction],0))</f>
        <v>City</v>
      </c>
      <c r="C1263" s="19" t="str">
        <f>INDEX(Places[County],MATCH(Activities[[#This Row],[Jurisdiction]],Places[Jurisdiction],0))</f>
        <v>Orange</v>
      </c>
      <c r="D1263" s="9" t="str">
        <f>INDEX(Places[Majority RB],MATCH(Activities[[#This Row],[Jurisdiction]],Places[Jurisdiction],0))</f>
        <v>San Diego</v>
      </c>
      <c r="E1263" s="9">
        <f>INDEX(Places[Majority RB '#],MATCH(Activities[[#This Row],[Jurisdiction]],Places[Jurisdiction],0))</f>
        <v>9</v>
      </c>
      <c r="F1263" s="28" t="str">
        <f>VLOOKUP(Activities[[#This Row],[Jurisdiction]],Places[#All],8,FALSE)</f>
        <v>Phase I MS4</v>
      </c>
      <c r="G1263" s="48" t="s">
        <v>1041</v>
      </c>
      <c r="H1263" s="8" t="s">
        <v>507</v>
      </c>
      <c r="I1263" s="8"/>
      <c r="J1263" s="8" t="s">
        <v>1897</v>
      </c>
      <c r="K1263" s="27" t="s">
        <v>1869</v>
      </c>
      <c r="L1263" s="28">
        <f>_xlfn.NUMBERVALUE(LEFT(Activities[[#This Row],[Fiscal Year]], 4))</f>
        <v>2016</v>
      </c>
      <c r="M1263" s="28" t="s">
        <v>1862</v>
      </c>
      <c r="N1263" s="41">
        <v>3919.7</v>
      </c>
      <c r="O1263" s="93">
        <f>IF(Activities[[#This Row],[Reference Year]]&gt;2018,Activities[[#This Row],[Value]],Activities[[#This Row],[Value]]*(1+VLOOKUP(Activities[[#This Row],[Reference Year]],Inflation[#All],3,FALSE)))</f>
        <v>4109.6584612500001</v>
      </c>
    </row>
    <row r="1264" spans="1:15" ht="15" customHeight="1" x14ac:dyDescent="0.25">
      <c r="A1264" s="9" t="s">
        <v>287</v>
      </c>
      <c r="B1264" s="9" t="str">
        <f>INDEX(Places[Type],MATCH(Activities[[#This Row],[Jurisdiction]],Places[Jurisdiction],0))</f>
        <v>City</v>
      </c>
      <c r="C1264" s="19" t="str">
        <f>INDEX(Places[County],MATCH(Activities[[#This Row],[Jurisdiction]],Places[Jurisdiction],0))</f>
        <v>Orange</v>
      </c>
      <c r="D1264" s="9" t="str">
        <f>INDEX(Places[Majority RB],MATCH(Activities[[#This Row],[Jurisdiction]],Places[Jurisdiction],0))</f>
        <v>San Diego</v>
      </c>
      <c r="E1264" s="9">
        <f>INDEX(Places[Majority RB '#],MATCH(Activities[[#This Row],[Jurisdiction]],Places[Jurisdiction],0))</f>
        <v>9</v>
      </c>
      <c r="F1264" s="28" t="str">
        <f>VLOOKUP(Activities[[#This Row],[Jurisdiction]],Places[#All],8,FALSE)</f>
        <v>Phase I MS4</v>
      </c>
      <c r="G1264" s="48" t="s">
        <v>1052</v>
      </c>
      <c r="H1264" s="8" t="s">
        <v>507</v>
      </c>
      <c r="I1264" s="8"/>
      <c r="J1264" s="8" t="s">
        <v>1897</v>
      </c>
      <c r="K1264" s="27" t="s">
        <v>1869</v>
      </c>
      <c r="L1264" s="28">
        <f>_xlfn.NUMBERVALUE(LEFT(Activities[[#This Row],[Fiscal Year]], 4))</f>
        <v>2016</v>
      </c>
      <c r="M1264" s="28" t="s">
        <v>1862</v>
      </c>
      <c r="N1264" s="41">
        <v>18200</v>
      </c>
      <c r="O1264" s="93">
        <f>IF(Activities[[#This Row],[Reference Year]]&gt;2018,Activities[[#This Row],[Value]],Activities[[#This Row],[Value]]*(1+VLOOKUP(Activities[[#This Row],[Reference Year]],Inflation[#All],3,FALSE)))</f>
        <v>19082.017500000002</v>
      </c>
    </row>
    <row r="1265" spans="1:15" ht="15" customHeight="1" x14ac:dyDescent="0.25">
      <c r="A1265" s="9" t="s">
        <v>287</v>
      </c>
      <c r="B1265" s="9" t="str">
        <f>INDEX(Places[Type],MATCH(Activities[[#This Row],[Jurisdiction]],Places[Jurisdiction],0))</f>
        <v>City</v>
      </c>
      <c r="C1265" s="19" t="str">
        <f>INDEX(Places[County],MATCH(Activities[[#This Row],[Jurisdiction]],Places[Jurisdiction],0))</f>
        <v>Orange</v>
      </c>
      <c r="D1265" s="9" t="str">
        <f>INDEX(Places[Majority RB],MATCH(Activities[[#This Row],[Jurisdiction]],Places[Jurisdiction],0))</f>
        <v>San Diego</v>
      </c>
      <c r="E1265" s="9">
        <f>INDEX(Places[Majority RB '#],MATCH(Activities[[#This Row],[Jurisdiction]],Places[Jurisdiction],0))</f>
        <v>9</v>
      </c>
      <c r="F1265" s="28" t="str">
        <f>VLOOKUP(Activities[[#This Row],[Jurisdiction]],Places[#All],8,FALSE)</f>
        <v>Phase I MS4</v>
      </c>
      <c r="G1265" s="48" t="s">
        <v>1040</v>
      </c>
      <c r="H1265" s="8" t="s">
        <v>507</v>
      </c>
      <c r="I1265" s="8"/>
      <c r="J1265" s="8" t="s">
        <v>1897</v>
      </c>
      <c r="K1265" s="27" t="s">
        <v>1869</v>
      </c>
      <c r="L1265" s="28">
        <f>_xlfn.NUMBERVALUE(LEFT(Activities[[#This Row],[Fiscal Year]], 4))</f>
        <v>2016</v>
      </c>
      <c r="M1265" s="28" t="s">
        <v>1862</v>
      </c>
      <c r="N1265" s="41">
        <v>75694</v>
      </c>
      <c r="O1265" s="93">
        <f>IF(Activities[[#This Row],[Reference Year]]&gt;2018,Activities[[#This Row],[Value]],Activities[[#This Row],[Value]]*(1+VLOOKUP(Activities[[#This Row],[Reference Year]],Inflation[#All],3,FALSE)))</f>
        <v>79362.320475</v>
      </c>
    </row>
    <row r="1266" spans="1:15" ht="15" customHeight="1" x14ac:dyDescent="0.25">
      <c r="A1266" s="9" t="s">
        <v>287</v>
      </c>
      <c r="B1266" s="9" t="str">
        <f>INDEX(Places[Type],MATCH(Activities[[#This Row],[Jurisdiction]],Places[Jurisdiction],0))</f>
        <v>City</v>
      </c>
      <c r="C1266" s="19" t="str">
        <f>INDEX(Places[County],MATCH(Activities[[#This Row],[Jurisdiction]],Places[Jurisdiction],0))</f>
        <v>Orange</v>
      </c>
      <c r="D1266" s="9" t="str">
        <f>INDEX(Places[Majority RB],MATCH(Activities[[#This Row],[Jurisdiction]],Places[Jurisdiction],0))</f>
        <v>San Diego</v>
      </c>
      <c r="E1266" s="9">
        <f>INDEX(Places[Majority RB '#],MATCH(Activities[[#This Row],[Jurisdiction]],Places[Jurisdiction],0))</f>
        <v>9</v>
      </c>
      <c r="F1266" s="28" t="str">
        <f>VLOOKUP(Activities[[#This Row],[Jurisdiction]],Places[#All],8,FALSE)</f>
        <v>Phase I MS4</v>
      </c>
      <c r="G1266" s="48" t="s">
        <v>1045</v>
      </c>
      <c r="H1266" s="8" t="s">
        <v>512</v>
      </c>
      <c r="I1266" s="8"/>
      <c r="J1266" s="8" t="s">
        <v>1898</v>
      </c>
      <c r="K1266" s="27" t="s">
        <v>1869</v>
      </c>
      <c r="L1266" s="28">
        <f>_xlfn.NUMBERVALUE(LEFT(Activities[[#This Row],[Fiscal Year]], 4))</f>
        <v>2016</v>
      </c>
      <c r="M1266" s="28" t="s">
        <v>1862</v>
      </c>
      <c r="N1266" s="41">
        <v>7839.4</v>
      </c>
      <c r="O1266" s="93">
        <f>IF(Activities[[#This Row],[Reference Year]]&gt;2018,Activities[[#This Row],[Value]],Activities[[#This Row],[Value]]*(1+VLOOKUP(Activities[[#This Row],[Reference Year]],Inflation[#All],3,FALSE)))</f>
        <v>8219.3169225000001</v>
      </c>
    </row>
    <row r="1267" spans="1:15" ht="15" customHeight="1" x14ac:dyDescent="0.25">
      <c r="A1267" s="9" t="s">
        <v>287</v>
      </c>
      <c r="B1267" s="9" t="str">
        <f>INDEX(Places[Type],MATCH(Activities[[#This Row],[Jurisdiction]],Places[Jurisdiction],0))</f>
        <v>City</v>
      </c>
      <c r="C1267" s="19" t="str">
        <f>INDEX(Places[County],MATCH(Activities[[#This Row],[Jurisdiction]],Places[Jurisdiction],0))</f>
        <v>Orange</v>
      </c>
      <c r="D1267" s="9" t="str">
        <f>INDEX(Places[Majority RB],MATCH(Activities[[#This Row],[Jurisdiction]],Places[Jurisdiction],0))</f>
        <v>San Diego</v>
      </c>
      <c r="E1267" s="9">
        <f>INDEX(Places[Majority RB '#],MATCH(Activities[[#This Row],[Jurisdiction]],Places[Jurisdiction],0))</f>
        <v>9</v>
      </c>
      <c r="F1267" s="28" t="str">
        <f>VLOOKUP(Activities[[#This Row],[Jurisdiction]],Places[#All],8,FALSE)</f>
        <v>Phase I MS4</v>
      </c>
      <c r="G1267" s="48" t="s">
        <v>1044</v>
      </c>
      <c r="H1267" s="8" t="s">
        <v>508</v>
      </c>
      <c r="I1267" s="8"/>
      <c r="J1267" s="8" t="s">
        <v>1456</v>
      </c>
      <c r="K1267" s="27" t="s">
        <v>1869</v>
      </c>
      <c r="L1267" s="28">
        <f>_xlfn.NUMBERVALUE(LEFT(Activities[[#This Row],[Fiscal Year]], 4))</f>
        <v>2016</v>
      </c>
      <c r="M1267" s="28" t="s">
        <v>1862</v>
      </c>
      <c r="N1267" s="41">
        <v>1959.85</v>
      </c>
      <c r="O1267" s="93">
        <f>IF(Activities[[#This Row],[Reference Year]]&gt;2018,Activities[[#This Row],[Value]],Activities[[#This Row],[Value]]*(1+VLOOKUP(Activities[[#This Row],[Reference Year]],Inflation[#All],3,FALSE)))</f>
        <v>2054.829230625</v>
      </c>
    </row>
    <row r="1268" spans="1:15" ht="15" customHeight="1" x14ac:dyDescent="0.25">
      <c r="A1268" s="9" t="s">
        <v>287</v>
      </c>
      <c r="B1268" s="9" t="str">
        <f>INDEX(Places[Type],MATCH(Activities[[#This Row],[Jurisdiction]],Places[Jurisdiction],0))</f>
        <v>City</v>
      </c>
      <c r="C1268" s="19" t="str">
        <f>INDEX(Places[County],MATCH(Activities[[#This Row],[Jurisdiction]],Places[Jurisdiction],0))</f>
        <v>Orange</v>
      </c>
      <c r="D1268" s="9" t="str">
        <f>INDEX(Places[Majority RB],MATCH(Activities[[#This Row],[Jurisdiction]],Places[Jurisdiction],0))</f>
        <v>San Diego</v>
      </c>
      <c r="E1268" s="9">
        <f>INDEX(Places[Majority RB '#],MATCH(Activities[[#This Row],[Jurisdiction]],Places[Jurisdiction],0))</f>
        <v>9</v>
      </c>
      <c r="F1268" s="28" t="str">
        <f>VLOOKUP(Activities[[#This Row],[Jurisdiction]],Places[#All],8,FALSE)</f>
        <v>Phase I MS4</v>
      </c>
      <c r="G1268" s="48" t="s">
        <v>1043</v>
      </c>
      <c r="H1268" s="8" t="s">
        <v>508</v>
      </c>
      <c r="I1268" s="8"/>
      <c r="J1268" s="8" t="s">
        <v>1456</v>
      </c>
      <c r="K1268" s="27" t="s">
        <v>1869</v>
      </c>
      <c r="L1268" s="28">
        <f>_xlfn.NUMBERVALUE(LEFT(Activities[[#This Row],[Fiscal Year]], 4))</f>
        <v>2016</v>
      </c>
      <c r="M1268" s="28" t="s">
        <v>1862</v>
      </c>
      <c r="N1268" s="41">
        <v>5879.55</v>
      </c>
      <c r="O1268" s="93">
        <f>IF(Activities[[#This Row],[Reference Year]]&gt;2018,Activities[[#This Row],[Value]],Activities[[#This Row],[Value]]*(1+VLOOKUP(Activities[[#This Row],[Reference Year]],Inflation[#All],3,FALSE)))</f>
        <v>6164.4876918750006</v>
      </c>
    </row>
    <row r="1269" spans="1:15" ht="15" customHeight="1" x14ac:dyDescent="0.25">
      <c r="A1269" s="9" t="s">
        <v>287</v>
      </c>
      <c r="B1269" s="9" t="str">
        <f>INDEX(Places[Type],MATCH(Activities[[#This Row],[Jurisdiction]],Places[Jurisdiction],0))</f>
        <v>City</v>
      </c>
      <c r="C1269" s="19" t="str">
        <f>INDEX(Places[County],MATCH(Activities[[#This Row],[Jurisdiction]],Places[Jurisdiction],0))</f>
        <v>Orange</v>
      </c>
      <c r="D1269" s="9" t="str">
        <f>INDEX(Places[Majority RB],MATCH(Activities[[#This Row],[Jurisdiction]],Places[Jurisdiction],0))</f>
        <v>San Diego</v>
      </c>
      <c r="E1269" s="9">
        <f>INDEX(Places[Majority RB '#],MATCH(Activities[[#This Row],[Jurisdiction]],Places[Jurisdiction],0))</f>
        <v>9</v>
      </c>
      <c r="F1269" s="28" t="str">
        <f>VLOOKUP(Activities[[#This Row],[Jurisdiction]],Places[#All],8,FALSE)</f>
        <v>Phase I MS4</v>
      </c>
      <c r="G1269" s="48" t="s">
        <v>1011</v>
      </c>
      <c r="H1269" s="8" t="s">
        <v>511</v>
      </c>
      <c r="I1269" s="8"/>
      <c r="J1269" s="8" t="s">
        <v>1894</v>
      </c>
      <c r="K1269" s="27" t="s">
        <v>1869</v>
      </c>
      <c r="L1269" s="28">
        <f>_xlfn.NUMBERVALUE(LEFT(Activities[[#This Row],[Fiscal Year]], 4))</f>
        <v>2016</v>
      </c>
      <c r="M1269" s="28" t="s">
        <v>1862</v>
      </c>
      <c r="N1269" s="41">
        <v>7839.4</v>
      </c>
      <c r="O1269" s="93">
        <f>IF(Activities[[#This Row],[Reference Year]]&gt;2018,Activities[[#This Row],[Value]],Activities[[#This Row],[Value]]*(1+VLOOKUP(Activities[[#This Row],[Reference Year]],Inflation[#All],3,FALSE)))</f>
        <v>8219.3169225000001</v>
      </c>
    </row>
    <row r="1270" spans="1:15" ht="15" customHeight="1" x14ac:dyDescent="0.25">
      <c r="A1270" s="9" t="s">
        <v>287</v>
      </c>
      <c r="B1270" s="9" t="str">
        <f>INDEX(Places[Type],MATCH(Activities[[#This Row],[Jurisdiction]],Places[Jurisdiction],0))</f>
        <v>City</v>
      </c>
      <c r="C1270" s="19" t="str">
        <f>INDEX(Places[County],MATCH(Activities[[#This Row],[Jurisdiction]],Places[Jurisdiction],0))</f>
        <v>Orange</v>
      </c>
      <c r="D1270" s="9" t="str">
        <f>INDEX(Places[Majority RB],MATCH(Activities[[#This Row],[Jurisdiction]],Places[Jurisdiction],0))</f>
        <v>San Diego</v>
      </c>
      <c r="E1270" s="9">
        <f>INDEX(Places[Majority RB '#],MATCH(Activities[[#This Row],[Jurisdiction]],Places[Jurisdiction],0))</f>
        <v>9</v>
      </c>
      <c r="F1270" s="28" t="str">
        <f>VLOOKUP(Activities[[#This Row],[Jurisdiction]],Places[#All],8,FALSE)</f>
        <v>Phase I MS4</v>
      </c>
      <c r="G1270" s="48" t="s">
        <v>1047</v>
      </c>
      <c r="H1270" s="8"/>
      <c r="I1270" s="8"/>
      <c r="J1270" s="8" t="s">
        <v>1896</v>
      </c>
      <c r="K1270" s="27" t="s">
        <v>1869</v>
      </c>
      <c r="L1270" s="28">
        <f>_xlfn.NUMBERVALUE(LEFT(Activities[[#This Row],[Fiscal Year]], 4))</f>
        <v>2016</v>
      </c>
      <c r="M1270" s="28" t="s">
        <v>1862</v>
      </c>
      <c r="N1270" s="41">
        <v>118025</v>
      </c>
      <c r="O1270" s="93">
        <f>IF(Activities[[#This Row],[Reference Year]]&gt;2018,Activities[[#This Row],[Value]],Activities[[#This Row],[Value]]*(1+VLOOKUP(Activities[[#This Row],[Reference Year]],Inflation[#All],3,FALSE)))</f>
        <v>123744.78656250001</v>
      </c>
    </row>
    <row r="1271" spans="1:15" ht="15" customHeight="1" x14ac:dyDescent="0.25">
      <c r="A1271" s="9" t="s">
        <v>148</v>
      </c>
      <c r="B1271" s="9" t="str">
        <f>INDEX(Places[Type],MATCH(Activities[[#This Row],[Jurisdiction]],Places[Jurisdiction],0))</f>
        <v>City</v>
      </c>
      <c r="C1271" s="19" t="str">
        <f>INDEX(Places[County],MATCH(Activities[[#This Row],[Jurisdiction]],Places[Jurisdiction],0))</f>
        <v>Los Angeles</v>
      </c>
      <c r="D1271" s="19" t="str">
        <f>INDEX(Places[Majority RB],MATCH(Activities[[#This Row],[Jurisdiction]],Places[Jurisdiction],0))</f>
        <v>Los Angeles</v>
      </c>
      <c r="E1271" s="9">
        <f>INDEX(Places[Majority RB '#],MATCH(Activities[[#This Row],[Jurisdiction]],Places[Jurisdiction],0))</f>
        <v>4</v>
      </c>
      <c r="F1271" s="28" t="str">
        <f>VLOOKUP(Activities[[#This Row],[Jurisdiction]],Places[#All],8,FALSE)</f>
        <v>Phase I MS4</v>
      </c>
      <c r="G1271" s="48" t="s">
        <v>852</v>
      </c>
      <c r="H1271" s="8"/>
      <c r="I1271" s="8"/>
      <c r="J1271" s="8" t="s">
        <v>76</v>
      </c>
      <c r="K1271" s="27" t="s">
        <v>1873</v>
      </c>
      <c r="L1271" s="28">
        <f>_xlfn.NUMBERVALUE(LEFT(Activities[[#This Row],[Fiscal Year]], 4))</f>
        <v>2015</v>
      </c>
      <c r="M1271" s="28" t="s">
        <v>1862</v>
      </c>
      <c r="N1271" s="41">
        <v>5000</v>
      </c>
      <c r="O1271" s="93">
        <f>IF(Activities[[#This Row],[Reference Year]]&gt;2018,Activities[[#This Row],[Value]],Activities[[#This Row],[Value]]*(1+VLOOKUP(Activities[[#This Row],[Reference Year]],Inflation[#All],3,FALSE)))</f>
        <v>5308.6708860759491</v>
      </c>
    </row>
    <row r="1272" spans="1:15" ht="15" customHeight="1" x14ac:dyDescent="0.25">
      <c r="A1272" s="9" t="s">
        <v>148</v>
      </c>
      <c r="B1272" s="9" t="str">
        <f>INDEX(Places[Type],MATCH(Activities[[#This Row],[Jurisdiction]],Places[Jurisdiction],0))</f>
        <v>City</v>
      </c>
      <c r="C1272" s="19" t="str">
        <f>INDEX(Places[County],MATCH(Activities[[#This Row],[Jurisdiction]],Places[Jurisdiction],0))</f>
        <v>Los Angeles</v>
      </c>
      <c r="D1272" s="19" t="str">
        <f>INDEX(Places[Majority RB],MATCH(Activities[[#This Row],[Jurisdiction]],Places[Jurisdiction],0))</f>
        <v>Los Angeles</v>
      </c>
      <c r="E1272" s="9">
        <f>INDEX(Places[Majority RB '#],MATCH(Activities[[#This Row],[Jurisdiction]],Places[Jurisdiction],0))</f>
        <v>4</v>
      </c>
      <c r="F1272" s="28" t="str">
        <f>VLOOKUP(Activities[[#This Row],[Jurisdiction]],Places[#All],8,FALSE)</f>
        <v>Phase I MS4</v>
      </c>
      <c r="G1272" s="48" t="s">
        <v>853</v>
      </c>
      <c r="H1272" s="8"/>
      <c r="I1272" s="8"/>
      <c r="J1272" s="8" t="s">
        <v>76</v>
      </c>
      <c r="K1272" s="27" t="s">
        <v>1873</v>
      </c>
      <c r="L1272" s="28">
        <f>_xlfn.NUMBERVALUE(LEFT(Activities[[#This Row],[Fiscal Year]], 4))</f>
        <v>2015</v>
      </c>
      <c r="M1272" s="28" t="s">
        <v>1862</v>
      </c>
      <c r="N1272" s="41">
        <v>260000</v>
      </c>
      <c r="O1272" s="93">
        <f>IF(Activities[[#This Row],[Reference Year]]&gt;2018,Activities[[#This Row],[Value]],Activities[[#This Row],[Value]]*(1+VLOOKUP(Activities[[#This Row],[Reference Year]],Inflation[#All],3,FALSE)))</f>
        <v>276050.88607594935</v>
      </c>
    </row>
    <row r="1273" spans="1:15" ht="15" customHeight="1" x14ac:dyDescent="0.25">
      <c r="A1273" s="9" t="s">
        <v>148</v>
      </c>
      <c r="B1273" s="9" t="str">
        <f>INDEX(Places[Type],MATCH(Activities[[#This Row],[Jurisdiction]],Places[Jurisdiction],0))</f>
        <v>City</v>
      </c>
      <c r="C1273" s="19" t="str">
        <f>INDEX(Places[County],MATCH(Activities[[#This Row],[Jurisdiction]],Places[Jurisdiction],0))</f>
        <v>Los Angeles</v>
      </c>
      <c r="D1273" s="19" t="str">
        <f>INDEX(Places[Majority RB],MATCH(Activities[[#This Row],[Jurisdiction]],Places[Jurisdiction],0))</f>
        <v>Los Angeles</v>
      </c>
      <c r="E1273" s="9">
        <f>INDEX(Places[Majority RB '#],MATCH(Activities[[#This Row],[Jurisdiction]],Places[Jurisdiction],0))</f>
        <v>4</v>
      </c>
      <c r="F1273" s="28" t="str">
        <f>VLOOKUP(Activities[[#This Row],[Jurisdiction]],Places[#All],8,FALSE)</f>
        <v>Phase I MS4</v>
      </c>
      <c r="G1273" s="48" t="s">
        <v>849</v>
      </c>
      <c r="H1273" s="8"/>
      <c r="I1273" s="8"/>
      <c r="J1273" s="8" t="s">
        <v>131</v>
      </c>
      <c r="K1273" s="27" t="s">
        <v>1873</v>
      </c>
      <c r="L1273" s="28">
        <f>_xlfn.NUMBERVALUE(LEFT(Activities[[#This Row],[Fiscal Year]], 4))</f>
        <v>2015</v>
      </c>
      <c r="M1273" s="28" t="s">
        <v>1862</v>
      </c>
      <c r="N1273" s="41">
        <v>31000</v>
      </c>
      <c r="O1273" s="93">
        <f>IF(Activities[[#This Row],[Reference Year]]&gt;2018,Activities[[#This Row],[Value]],Activities[[#This Row],[Value]]*(1+VLOOKUP(Activities[[#This Row],[Reference Year]],Inflation[#All],3,FALSE)))</f>
        <v>32913.759493670885</v>
      </c>
    </row>
    <row r="1274" spans="1:15" ht="15" customHeight="1" x14ac:dyDescent="0.25">
      <c r="A1274" s="9" t="s">
        <v>148</v>
      </c>
      <c r="B1274" s="9" t="str">
        <f>INDEX(Places[Type],MATCH(Activities[[#This Row],[Jurisdiction]],Places[Jurisdiction],0))</f>
        <v>City</v>
      </c>
      <c r="C1274" s="19" t="str">
        <f>INDEX(Places[County],MATCH(Activities[[#This Row],[Jurisdiction]],Places[Jurisdiction],0))</f>
        <v>Los Angeles</v>
      </c>
      <c r="D1274" s="19" t="str">
        <f>INDEX(Places[Majority RB],MATCH(Activities[[#This Row],[Jurisdiction]],Places[Jurisdiction],0))</f>
        <v>Los Angeles</v>
      </c>
      <c r="E1274" s="9">
        <f>INDEX(Places[Majority RB '#],MATCH(Activities[[#This Row],[Jurisdiction]],Places[Jurisdiction],0))</f>
        <v>4</v>
      </c>
      <c r="F1274" s="28" t="str">
        <f>VLOOKUP(Activities[[#This Row],[Jurisdiction]],Places[#All],8,FALSE)</f>
        <v>Phase I MS4</v>
      </c>
      <c r="G1274" s="48" t="s">
        <v>845</v>
      </c>
      <c r="H1274" s="8"/>
      <c r="I1274" s="8"/>
      <c r="J1274" s="8" t="s">
        <v>334</v>
      </c>
      <c r="K1274" s="27" t="s">
        <v>1873</v>
      </c>
      <c r="L1274" s="28">
        <f>_xlfn.NUMBERVALUE(LEFT(Activities[[#This Row],[Fiscal Year]], 4))</f>
        <v>2015</v>
      </c>
      <c r="M1274" s="28" t="s">
        <v>1862</v>
      </c>
      <c r="N1274" s="41">
        <v>80000</v>
      </c>
      <c r="O1274" s="93">
        <f>IF(Activities[[#This Row],[Reference Year]]&gt;2018,Activities[[#This Row],[Value]],Activities[[#This Row],[Value]]*(1+VLOOKUP(Activities[[#This Row],[Reference Year]],Inflation[#All],3,FALSE)))</f>
        <v>84938.734177215185</v>
      </c>
    </row>
    <row r="1275" spans="1:15" ht="15" customHeight="1" x14ac:dyDescent="0.25">
      <c r="A1275" s="9" t="s">
        <v>148</v>
      </c>
      <c r="B1275" s="9" t="str">
        <f>INDEX(Places[Type],MATCH(Activities[[#This Row],[Jurisdiction]],Places[Jurisdiction],0))</f>
        <v>City</v>
      </c>
      <c r="C1275" s="19" t="str">
        <f>INDEX(Places[County],MATCH(Activities[[#This Row],[Jurisdiction]],Places[Jurisdiction],0))</f>
        <v>Los Angeles</v>
      </c>
      <c r="D1275" s="19" t="str">
        <f>INDEX(Places[Majority RB],MATCH(Activities[[#This Row],[Jurisdiction]],Places[Jurisdiction],0))</f>
        <v>Los Angeles</v>
      </c>
      <c r="E1275" s="9">
        <f>INDEX(Places[Majority RB '#],MATCH(Activities[[#This Row],[Jurisdiction]],Places[Jurisdiction],0))</f>
        <v>4</v>
      </c>
      <c r="F1275" s="28" t="str">
        <f>VLOOKUP(Activities[[#This Row],[Jurisdiction]],Places[#All],8,FALSE)</f>
        <v>Phase I MS4</v>
      </c>
      <c r="G1275" s="48" t="s">
        <v>857</v>
      </c>
      <c r="H1275" s="8"/>
      <c r="I1275" s="8"/>
      <c r="J1275" s="8" t="s">
        <v>1897</v>
      </c>
      <c r="K1275" s="27" t="s">
        <v>1873</v>
      </c>
      <c r="L1275" s="28">
        <f>_xlfn.NUMBERVALUE(LEFT(Activities[[#This Row],[Fiscal Year]], 4))</f>
        <v>2015</v>
      </c>
      <c r="M1275" s="28" t="s">
        <v>1862</v>
      </c>
      <c r="N1275" s="41">
        <v>1800000</v>
      </c>
      <c r="O1275" s="93">
        <f>IF(Activities[[#This Row],[Reference Year]]&gt;2018,Activities[[#This Row],[Value]],Activities[[#This Row],[Value]]*(1+VLOOKUP(Activities[[#This Row],[Reference Year]],Inflation[#All],3,FALSE)))</f>
        <v>1911121.5189873416</v>
      </c>
    </row>
    <row r="1276" spans="1:15" ht="15" customHeight="1" x14ac:dyDescent="0.25">
      <c r="A1276" s="9" t="s">
        <v>148</v>
      </c>
      <c r="B1276" s="9" t="str">
        <f>INDEX(Places[Type],MATCH(Activities[[#This Row],[Jurisdiction]],Places[Jurisdiction],0))</f>
        <v>City</v>
      </c>
      <c r="C1276" s="19" t="str">
        <f>INDEX(Places[County],MATCH(Activities[[#This Row],[Jurisdiction]],Places[Jurisdiction],0))</f>
        <v>Los Angeles</v>
      </c>
      <c r="D1276" s="19" t="str">
        <f>INDEX(Places[Majority RB],MATCH(Activities[[#This Row],[Jurisdiction]],Places[Jurisdiction],0))</f>
        <v>Los Angeles</v>
      </c>
      <c r="E1276" s="9">
        <f>INDEX(Places[Majority RB '#],MATCH(Activities[[#This Row],[Jurisdiction]],Places[Jurisdiction],0))</f>
        <v>4</v>
      </c>
      <c r="F1276" s="28" t="str">
        <f>VLOOKUP(Activities[[#This Row],[Jurisdiction]],Places[#All],8,FALSE)</f>
        <v>Phase I MS4</v>
      </c>
      <c r="G1276" s="48" t="s">
        <v>846</v>
      </c>
      <c r="H1276" s="8"/>
      <c r="I1276" s="8"/>
      <c r="J1276" s="8" t="s">
        <v>1898</v>
      </c>
      <c r="K1276" s="27" t="s">
        <v>1873</v>
      </c>
      <c r="L1276" s="28">
        <f>_xlfn.NUMBERVALUE(LEFT(Activities[[#This Row],[Fiscal Year]], 4))</f>
        <v>2015</v>
      </c>
      <c r="M1276" s="28" t="s">
        <v>1862</v>
      </c>
      <c r="N1276" s="41">
        <v>18000</v>
      </c>
      <c r="O1276" s="93">
        <f>IF(Activities[[#This Row],[Reference Year]]&gt;2018,Activities[[#This Row],[Value]],Activities[[#This Row],[Value]]*(1+VLOOKUP(Activities[[#This Row],[Reference Year]],Inflation[#All],3,FALSE)))</f>
        <v>19111.215189873416</v>
      </c>
    </row>
    <row r="1277" spans="1:15" ht="15" customHeight="1" x14ac:dyDescent="0.25">
      <c r="A1277" s="9" t="s">
        <v>148</v>
      </c>
      <c r="B1277" s="9" t="str">
        <f>INDEX(Places[Type],MATCH(Activities[[#This Row],[Jurisdiction]],Places[Jurisdiction],0))</f>
        <v>City</v>
      </c>
      <c r="C1277" s="19" t="str">
        <f>INDEX(Places[County],MATCH(Activities[[#This Row],[Jurisdiction]],Places[Jurisdiction],0))</f>
        <v>Los Angeles</v>
      </c>
      <c r="D1277" s="19" t="str">
        <f>INDEX(Places[Majority RB],MATCH(Activities[[#This Row],[Jurisdiction]],Places[Jurisdiction],0))</f>
        <v>Los Angeles</v>
      </c>
      <c r="E1277" s="9">
        <f>INDEX(Places[Majority RB '#],MATCH(Activities[[#This Row],[Jurisdiction]],Places[Jurisdiction],0))</f>
        <v>4</v>
      </c>
      <c r="F1277" s="28" t="str">
        <f>VLOOKUP(Activities[[#This Row],[Jurisdiction]],Places[#All],8,FALSE)</f>
        <v>Phase I MS4</v>
      </c>
      <c r="G1277" s="48" t="s">
        <v>847</v>
      </c>
      <c r="H1277" s="8"/>
      <c r="I1277" s="8"/>
      <c r="J1277" s="8" t="s">
        <v>1898</v>
      </c>
      <c r="K1277" s="27" t="s">
        <v>1873</v>
      </c>
      <c r="L1277" s="28">
        <f>_xlfn.NUMBERVALUE(LEFT(Activities[[#This Row],[Fiscal Year]], 4))</f>
        <v>2015</v>
      </c>
      <c r="M1277" s="28" t="s">
        <v>1862</v>
      </c>
      <c r="N1277" s="41">
        <v>27000</v>
      </c>
      <c r="O1277" s="93">
        <f>IF(Activities[[#This Row],[Reference Year]]&gt;2018,Activities[[#This Row],[Value]],Activities[[#This Row],[Value]]*(1+VLOOKUP(Activities[[#This Row],[Reference Year]],Inflation[#All],3,FALSE)))</f>
        <v>28666.822784810123</v>
      </c>
    </row>
    <row r="1278" spans="1:15" ht="15" customHeight="1" x14ac:dyDescent="0.25">
      <c r="A1278" s="9" t="s">
        <v>148</v>
      </c>
      <c r="B1278" s="9" t="str">
        <f>INDEX(Places[Type],MATCH(Activities[[#This Row],[Jurisdiction]],Places[Jurisdiction],0))</f>
        <v>City</v>
      </c>
      <c r="C1278" s="19" t="str">
        <f>INDEX(Places[County],MATCH(Activities[[#This Row],[Jurisdiction]],Places[Jurisdiction],0))</f>
        <v>Los Angeles</v>
      </c>
      <c r="D1278" s="19" t="str">
        <f>INDEX(Places[Majority RB],MATCH(Activities[[#This Row],[Jurisdiction]],Places[Jurisdiction],0))</f>
        <v>Los Angeles</v>
      </c>
      <c r="E1278" s="9">
        <f>INDEX(Places[Majority RB '#],MATCH(Activities[[#This Row],[Jurisdiction]],Places[Jurisdiction],0))</f>
        <v>4</v>
      </c>
      <c r="F1278" s="28" t="str">
        <f>VLOOKUP(Activities[[#This Row],[Jurisdiction]],Places[#All],8,FALSE)</f>
        <v>Phase I MS4</v>
      </c>
      <c r="G1278" s="48" t="s">
        <v>886</v>
      </c>
      <c r="H1278" s="8"/>
      <c r="I1278" s="8"/>
      <c r="J1278" s="8" t="s">
        <v>1456</v>
      </c>
      <c r="K1278" s="27" t="s">
        <v>1873</v>
      </c>
      <c r="L1278" s="28">
        <f>_xlfn.NUMBERVALUE(LEFT(Activities[[#This Row],[Fiscal Year]], 4))</f>
        <v>2015</v>
      </c>
      <c r="M1278" s="28" t="s">
        <v>1862</v>
      </c>
      <c r="N1278" s="41">
        <v>20000</v>
      </c>
      <c r="O1278" s="93">
        <f>IF(Activities[[#This Row],[Reference Year]]&gt;2018,Activities[[#This Row],[Value]],Activities[[#This Row],[Value]]*(1+VLOOKUP(Activities[[#This Row],[Reference Year]],Inflation[#All],3,FALSE)))</f>
        <v>21234.683544303796</v>
      </c>
    </row>
    <row r="1279" spans="1:15" ht="15" customHeight="1" x14ac:dyDescent="0.25">
      <c r="A1279" s="9" t="s">
        <v>148</v>
      </c>
      <c r="B1279" s="9" t="str">
        <f>INDEX(Places[Type],MATCH(Activities[[#This Row],[Jurisdiction]],Places[Jurisdiction],0))</f>
        <v>City</v>
      </c>
      <c r="C1279" s="19" t="str">
        <f>INDEX(Places[County],MATCH(Activities[[#This Row],[Jurisdiction]],Places[Jurisdiction],0))</f>
        <v>Los Angeles</v>
      </c>
      <c r="D1279" s="19" t="str">
        <f>INDEX(Places[Majority RB],MATCH(Activities[[#This Row],[Jurisdiction]],Places[Jurisdiction],0))</f>
        <v>Los Angeles</v>
      </c>
      <c r="E1279" s="9">
        <f>INDEX(Places[Majority RB '#],MATCH(Activities[[#This Row],[Jurisdiction]],Places[Jurisdiction],0))</f>
        <v>4</v>
      </c>
      <c r="F1279" s="28" t="str">
        <f>VLOOKUP(Activities[[#This Row],[Jurisdiction]],Places[#All],8,FALSE)</f>
        <v>Phase I MS4</v>
      </c>
      <c r="G1279" s="56" t="s">
        <v>829</v>
      </c>
      <c r="H1279" s="8"/>
      <c r="I1279" s="8"/>
      <c r="J1279" s="8" t="s">
        <v>1894</v>
      </c>
      <c r="K1279" s="27" t="s">
        <v>1873</v>
      </c>
      <c r="L1279" s="28">
        <f>_xlfn.NUMBERVALUE(LEFT(Activities[[#This Row],[Fiscal Year]], 4))</f>
        <v>2015</v>
      </c>
      <c r="M1279" s="28" t="s">
        <v>1862</v>
      </c>
      <c r="N1279" s="41">
        <v>80000</v>
      </c>
      <c r="O1279" s="93">
        <f>IF(Activities[[#This Row],[Reference Year]]&gt;2018,Activities[[#This Row],[Value]],Activities[[#This Row],[Value]]*(1+VLOOKUP(Activities[[#This Row],[Reference Year]],Inflation[#All],3,FALSE)))</f>
        <v>84938.734177215185</v>
      </c>
    </row>
    <row r="1280" spans="1:15" ht="15" customHeight="1" x14ac:dyDescent="0.25">
      <c r="A1280" s="9" t="s">
        <v>148</v>
      </c>
      <c r="B1280" s="9" t="str">
        <f>INDEX(Places[Type],MATCH(Activities[[#This Row],[Jurisdiction]],Places[Jurisdiction],0))</f>
        <v>City</v>
      </c>
      <c r="C1280" s="19" t="str">
        <f>INDEX(Places[County],MATCH(Activities[[#This Row],[Jurisdiction]],Places[Jurisdiction],0))</f>
        <v>Los Angeles</v>
      </c>
      <c r="D1280" s="19" t="str">
        <f>INDEX(Places[Majority RB],MATCH(Activities[[#This Row],[Jurisdiction]],Places[Jurisdiction],0))</f>
        <v>Los Angeles</v>
      </c>
      <c r="E1280" s="9">
        <f>INDEX(Places[Majority RB '#],MATCH(Activities[[#This Row],[Jurisdiction]],Places[Jurisdiction],0))</f>
        <v>4</v>
      </c>
      <c r="F1280" s="28" t="str">
        <f>VLOOKUP(Activities[[#This Row],[Jurisdiction]],Places[#All],8,FALSE)</f>
        <v>Phase I MS4</v>
      </c>
      <c r="G1280" s="48" t="s">
        <v>887</v>
      </c>
      <c r="H1280" s="8"/>
      <c r="I1280" s="8"/>
      <c r="J1280" s="8" t="s">
        <v>1896</v>
      </c>
      <c r="K1280" s="27" t="s">
        <v>1873</v>
      </c>
      <c r="L1280" s="28">
        <f>_xlfn.NUMBERVALUE(LEFT(Activities[[#This Row],[Fiscal Year]], 4))</f>
        <v>2015</v>
      </c>
      <c r="M1280" s="28" t="s">
        <v>1862</v>
      </c>
      <c r="N1280" s="41">
        <v>20000</v>
      </c>
      <c r="O1280" s="93">
        <f>IF(Activities[[#This Row],[Reference Year]]&gt;2018,Activities[[#This Row],[Value]],Activities[[#This Row],[Value]]*(1+VLOOKUP(Activities[[#This Row],[Reference Year]],Inflation[#All],3,FALSE)))</f>
        <v>21234.683544303796</v>
      </c>
    </row>
    <row r="1281" spans="1:15" ht="15" customHeight="1" x14ac:dyDescent="0.25">
      <c r="A1281" s="9" t="s">
        <v>148</v>
      </c>
      <c r="B1281" s="9" t="str">
        <f>INDEX(Places[Type],MATCH(Activities[[#This Row],[Jurisdiction]],Places[Jurisdiction],0))</f>
        <v>City</v>
      </c>
      <c r="C1281" s="19" t="str">
        <f>INDEX(Places[County],MATCH(Activities[[#This Row],[Jurisdiction]],Places[Jurisdiction],0))</f>
        <v>Los Angeles</v>
      </c>
      <c r="D1281" s="19" t="str">
        <f>INDEX(Places[Majority RB],MATCH(Activities[[#This Row],[Jurisdiction]],Places[Jurisdiction],0))</f>
        <v>Los Angeles</v>
      </c>
      <c r="E1281" s="9">
        <f>INDEX(Places[Majority RB '#],MATCH(Activities[[#This Row],[Jurisdiction]],Places[Jurisdiction],0))</f>
        <v>4</v>
      </c>
      <c r="F1281" s="28" t="str">
        <f>VLOOKUP(Activities[[#This Row],[Jurisdiction]],Places[#All],8,FALSE)</f>
        <v>Phase I MS4</v>
      </c>
      <c r="G1281" s="56" t="s">
        <v>855</v>
      </c>
      <c r="H1281" s="8"/>
      <c r="I1281" s="8"/>
      <c r="J1281" s="8" t="s">
        <v>1896</v>
      </c>
      <c r="K1281" s="27" t="s">
        <v>1873</v>
      </c>
      <c r="L1281" s="28">
        <f>_xlfn.NUMBERVALUE(LEFT(Activities[[#This Row],[Fiscal Year]], 4))</f>
        <v>2015</v>
      </c>
      <c r="M1281" s="28" t="s">
        <v>1862</v>
      </c>
      <c r="N1281" s="41">
        <v>25000</v>
      </c>
      <c r="O1281" s="93">
        <f>IF(Activities[[#This Row],[Reference Year]]&gt;2018,Activities[[#This Row],[Value]],Activities[[#This Row],[Value]]*(1+VLOOKUP(Activities[[#This Row],[Reference Year]],Inflation[#All],3,FALSE)))</f>
        <v>26543.354430379746</v>
      </c>
    </row>
    <row r="1282" spans="1:15" ht="15" customHeight="1" x14ac:dyDescent="0.25">
      <c r="A1282" s="9" t="s">
        <v>148</v>
      </c>
      <c r="B1282" s="9" t="str">
        <f>INDEX(Places[Type],MATCH(Activities[[#This Row],[Jurisdiction]],Places[Jurisdiction],0))</f>
        <v>City</v>
      </c>
      <c r="C1282" s="19" t="str">
        <f>INDEX(Places[County],MATCH(Activities[[#This Row],[Jurisdiction]],Places[Jurisdiction],0))</f>
        <v>Los Angeles</v>
      </c>
      <c r="D1282" s="19" t="str">
        <f>INDEX(Places[Majority RB],MATCH(Activities[[#This Row],[Jurisdiction]],Places[Jurisdiction],0))</f>
        <v>Los Angeles</v>
      </c>
      <c r="E1282" s="9">
        <f>INDEX(Places[Majority RB '#],MATCH(Activities[[#This Row],[Jurisdiction]],Places[Jurisdiction],0))</f>
        <v>4</v>
      </c>
      <c r="F1282" s="28" t="str">
        <f>VLOOKUP(Activities[[#This Row],[Jurisdiction]],Places[#All],8,FALSE)</f>
        <v>Phase I MS4</v>
      </c>
      <c r="G1282" s="56" t="s">
        <v>854</v>
      </c>
      <c r="H1282" s="8"/>
      <c r="I1282" s="8"/>
      <c r="J1282" s="8" t="s">
        <v>47</v>
      </c>
      <c r="K1282" s="27" t="s">
        <v>1873</v>
      </c>
      <c r="L1282" s="28">
        <f>_xlfn.NUMBERVALUE(LEFT(Activities[[#This Row],[Fiscal Year]], 4))</f>
        <v>2015</v>
      </c>
      <c r="M1282" s="28" t="s">
        <v>1862</v>
      </c>
      <c r="N1282" s="41">
        <v>60000</v>
      </c>
      <c r="O1282" s="93">
        <f>IF(Activities[[#This Row],[Reference Year]]&gt;2018,Activities[[#This Row],[Value]],Activities[[#This Row],[Value]]*(1+VLOOKUP(Activities[[#This Row],[Reference Year]],Inflation[#All],3,FALSE)))</f>
        <v>63704.050632911392</v>
      </c>
    </row>
    <row r="1283" spans="1:15" ht="15" customHeight="1" x14ac:dyDescent="0.25">
      <c r="A1283" s="9" t="s">
        <v>1446</v>
      </c>
      <c r="B1283" s="9" t="str">
        <f>INDEX(Places[Type],MATCH(Activities[[#This Row],[Jurisdiction]],Places[Jurisdiction],0))</f>
        <v>County</v>
      </c>
      <c r="C1283" s="19" t="str">
        <f>INDEX(Places[County],MATCH(Activities[[#This Row],[Jurisdiction]],Places[Jurisdiction],0))</f>
        <v>Riverside</v>
      </c>
      <c r="D1283" s="9" t="str">
        <f>INDEX(Places[Majority RB],MATCH(Activities[[#This Row],[Jurisdiction]],Places[Jurisdiction],0))</f>
        <v>Santa Ana</v>
      </c>
      <c r="E1283" s="9">
        <f>INDEX(Places[Majority RB '#],MATCH(Activities[[#This Row],[Jurisdiction]],Places[Jurisdiction],0))</f>
        <v>8</v>
      </c>
      <c r="F1283" s="28" t="str">
        <f>VLOOKUP(Activities[[#This Row],[Jurisdiction]],Places[#All],8,FALSE)</f>
        <v>Phase I MS4</v>
      </c>
      <c r="G1283" s="48" t="s">
        <v>210</v>
      </c>
      <c r="H1283" s="8" t="s">
        <v>1840</v>
      </c>
      <c r="I1283" s="47" t="s">
        <v>570</v>
      </c>
      <c r="J1283" s="8" t="s">
        <v>1895</v>
      </c>
      <c r="K1283" s="27" t="s">
        <v>1874</v>
      </c>
      <c r="L1283" s="28">
        <f>_xlfn.NUMBERVALUE(LEFT(Activities[[#This Row],[Fiscal Year]], 4))</f>
        <v>2017</v>
      </c>
      <c r="M1283" s="28" t="s">
        <v>1862</v>
      </c>
      <c r="N1283" s="41">
        <v>175000</v>
      </c>
      <c r="O1283" s="93">
        <f>IF(Activities[[#This Row],[Reference Year]]&gt;2018,Activities[[#This Row],[Value]],Activities[[#This Row],[Value]]*(1+VLOOKUP(Activities[[#This Row],[Reference Year]],Inflation[#All],3,FALSE)))</f>
        <v>179663.09669522647</v>
      </c>
    </row>
    <row r="1284" spans="1:15" ht="15" customHeight="1" x14ac:dyDescent="0.25">
      <c r="A1284" s="9" t="s">
        <v>1446</v>
      </c>
      <c r="B1284" s="9" t="str">
        <f>INDEX(Places[Type],MATCH(Activities[[#This Row],[Jurisdiction]],Places[Jurisdiction],0))</f>
        <v>County</v>
      </c>
      <c r="C1284" s="19" t="str">
        <f>INDEX(Places[County],MATCH(Activities[[#This Row],[Jurisdiction]],Places[Jurisdiction],0))</f>
        <v>Riverside</v>
      </c>
      <c r="D1284" s="9" t="str">
        <f>INDEX(Places[Majority RB],MATCH(Activities[[#This Row],[Jurisdiction]],Places[Jurisdiction],0))</f>
        <v>Santa Ana</v>
      </c>
      <c r="E1284" s="9">
        <f>INDEX(Places[Majority RB '#],MATCH(Activities[[#This Row],[Jurisdiction]],Places[Jurisdiction],0))</f>
        <v>8</v>
      </c>
      <c r="F1284" s="28" t="str">
        <f>VLOOKUP(Activities[[#This Row],[Jurisdiction]],Places[#All],8,FALSE)</f>
        <v>Phase I MS4</v>
      </c>
      <c r="G1284" s="48" t="s">
        <v>325</v>
      </c>
      <c r="H1284" s="8" t="s">
        <v>1839</v>
      </c>
      <c r="I1284" s="8"/>
      <c r="J1284" s="8" t="s">
        <v>334</v>
      </c>
      <c r="K1284" s="27" t="s">
        <v>1874</v>
      </c>
      <c r="L1284" s="28">
        <f>_xlfn.NUMBERVALUE(LEFT(Activities[[#This Row],[Fiscal Year]], 4))</f>
        <v>2017</v>
      </c>
      <c r="M1284" s="28" t="s">
        <v>1862</v>
      </c>
      <c r="N1284" s="41">
        <v>175000</v>
      </c>
      <c r="O1284" s="93">
        <f>IF(Activities[[#This Row],[Reference Year]]&gt;2018,Activities[[#This Row],[Value]],Activities[[#This Row],[Value]]*(1+VLOOKUP(Activities[[#This Row],[Reference Year]],Inflation[#All],3,FALSE)))</f>
        <v>179663.09669522647</v>
      </c>
    </row>
    <row r="1285" spans="1:15" ht="15" customHeight="1" x14ac:dyDescent="0.25">
      <c r="A1285" s="9" t="s">
        <v>1446</v>
      </c>
      <c r="B1285" s="9" t="str">
        <f>INDEX(Places[Type],MATCH(Activities[[#This Row],[Jurisdiction]],Places[Jurisdiction],0))</f>
        <v>County</v>
      </c>
      <c r="C1285" s="19" t="str">
        <f>INDEX(Places[County],MATCH(Activities[[#This Row],[Jurisdiction]],Places[Jurisdiction],0))</f>
        <v>Riverside</v>
      </c>
      <c r="D1285" s="9" t="str">
        <f>INDEX(Places[Majority RB],MATCH(Activities[[#This Row],[Jurisdiction]],Places[Jurisdiction],0))</f>
        <v>Santa Ana</v>
      </c>
      <c r="E1285" s="9">
        <f>INDEX(Places[Majority RB '#],MATCH(Activities[[#This Row],[Jurisdiction]],Places[Jurisdiction],0))</f>
        <v>8</v>
      </c>
      <c r="F1285" s="28" t="str">
        <f>VLOOKUP(Activities[[#This Row],[Jurisdiction]],Places[#All],8,FALSE)</f>
        <v>Phase I MS4</v>
      </c>
      <c r="G1285" s="48" t="s">
        <v>331</v>
      </c>
      <c r="H1285" s="8" t="s">
        <v>1839</v>
      </c>
      <c r="I1285" s="8"/>
      <c r="J1285" s="8" t="s">
        <v>1897</v>
      </c>
      <c r="K1285" s="27" t="s">
        <v>1874</v>
      </c>
      <c r="L1285" s="28">
        <f>_xlfn.NUMBERVALUE(LEFT(Activities[[#This Row],[Fiscal Year]], 4))</f>
        <v>2017</v>
      </c>
      <c r="M1285" s="28" t="s">
        <v>1862</v>
      </c>
      <c r="N1285" s="41">
        <v>206483</v>
      </c>
      <c r="O1285" s="93">
        <f>IF(Activities[[#This Row],[Reference Year]]&gt;2018,Activities[[#This Row],[Value]],Activities[[#This Row],[Value]]*(1+VLOOKUP(Activities[[#This Row],[Reference Year]],Inflation[#All],3,FALSE)))</f>
        <v>211985.00111383112</v>
      </c>
    </row>
    <row r="1286" spans="1:15" ht="15" customHeight="1" x14ac:dyDescent="0.25">
      <c r="A1286" s="9" t="s">
        <v>1446</v>
      </c>
      <c r="B1286" s="9" t="str">
        <f>INDEX(Places[Type],MATCH(Activities[[#This Row],[Jurisdiction]],Places[Jurisdiction],0))</f>
        <v>County</v>
      </c>
      <c r="C1286" s="19" t="str">
        <f>INDEX(Places[County],MATCH(Activities[[#This Row],[Jurisdiction]],Places[Jurisdiction],0))</f>
        <v>Riverside</v>
      </c>
      <c r="D1286" s="9" t="str">
        <f>INDEX(Places[Majority RB],MATCH(Activities[[#This Row],[Jurisdiction]],Places[Jurisdiction],0))</f>
        <v>Santa Ana</v>
      </c>
      <c r="E1286" s="9">
        <f>INDEX(Places[Majority RB '#],MATCH(Activities[[#This Row],[Jurisdiction]],Places[Jurisdiction],0))</f>
        <v>8</v>
      </c>
      <c r="F1286" s="28" t="str">
        <f>VLOOKUP(Activities[[#This Row],[Jurisdiction]],Places[#All],8,FALSE)</f>
        <v>Phase I MS4</v>
      </c>
      <c r="G1286" s="48" t="s">
        <v>327</v>
      </c>
      <c r="H1286" s="8" t="s">
        <v>1839</v>
      </c>
      <c r="I1286" s="8"/>
      <c r="J1286" s="8" t="s">
        <v>1897</v>
      </c>
      <c r="K1286" s="27" t="s">
        <v>1874</v>
      </c>
      <c r="L1286" s="28">
        <f>_xlfn.NUMBERVALUE(LEFT(Activities[[#This Row],[Fiscal Year]], 4))</f>
        <v>2017</v>
      </c>
      <c r="M1286" s="28" t="s">
        <v>1862</v>
      </c>
      <c r="N1286" s="41">
        <v>1364228</v>
      </c>
      <c r="O1286" s="93">
        <f>IF(Activities[[#This Row],[Reference Year]]&gt;2018,Activities[[#This Row],[Value]],Activities[[#This Row],[Value]]*(1+VLOOKUP(Activities[[#This Row],[Reference Year]],Inflation[#All],3,FALSE)))</f>
        <v>1400579.5833047738</v>
      </c>
    </row>
    <row r="1287" spans="1:15" ht="15" customHeight="1" x14ac:dyDescent="0.25">
      <c r="A1287" s="9" t="s">
        <v>1446</v>
      </c>
      <c r="B1287" s="9" t="str">
        <f>INDEX(Places[Type],MATCH(Activities[[#This Row],[Jurisdiction]],Places[Jurisdiction],0))</f>
        <v>County</v>
      </c>
      <c r="C1287" s="19" t="str">
        <f>INDEX(Places[County],MATCH(Activities[[#This Row],[Jurisdiction]],Places[Jurisdiction],0))</f>
        <v>Riverside</v>
      </c>
      <c r="D1287" s="9" t="str">
        <f>INDEX(Places[Majority RB],MATCH(Activities[[#This Row],[Jurisdiction]],Places[Jurisdiction],0))</f>
        <v>Santa Ana</v>
      </c>
      <c r="E1287" s="9">
        <f>INDEX(Places[Majority RB '#],MATCH(Activities[[#This Row],[Jurisdiction]],Places[Jurisdiction],0))</f>
        <v>8</v>
      </c>
      <c r="F1287" s="28" t="str">
        <f>VLOOKUP(Activities[[#This Row],[Jurisdiction]],Places[#All],8,FALSE)</f>
        <v>Phase I MS4</v>
      </c>
      <c r="G1287" s="48" t="s">
        <v>330</v>
      </c>
      <c r="H1287" s="8" t="s">
        <v>1839</v>
      </c>
      <c r="I1287" s="8"/>
      <c r="J1287" s="8" t="s">
        <v>1897</v>
      </c>
      <c r="K1287" s="27" t="s">
        <v>1874</v>
      </c>
      <c r="L1287" s="28">
        <f>_xlfn.NUMBERVALUE(LEFT(Activities[[#This Row],[Fiscal Year]], 4))</f>
        <v>2017</v>
      </c>
      <c r="M1287" s="28" t="s">
        <v>1862</v>
      </c>
      <c r="N1287" s="41">
        <v>3594565</v>
      </c>
      <c r="O1287" s="93">
        <f>IF(Activities[[#This Row],[Reference Year]]&gt;2018,Activities[[#This Row],[Value]],Activities[[#This Row],[Value]]*(1+VLOOKUP(Activities[[#This Row],[Reference Year]],Inflation[#All],3,FALSE)))</f>
        <v>3690346.7381272954</v>
      </c>
    </row>
    <row r="1288" spans="1:15" ht="15" customHeight="1" x14ac:dyDescent="0.25">
      <c r="A1288" s="9" t="s">
        <v>1446</v>
      </c>
      <c r="B1288" s="9" t="str">
        <f>INDEX(Places[Type],MATCH(Activities[[#This Row],[Jurisdiction]],Places[Jurisdiction],0))</f>
        <v>County</v>
      </c>
      <c r="C1288" s="19" t="str">
        <f>INDEX(Places[County],MATCH(Activities[[#This Row],[Jurisdiction]],Places[Jurisdiction],0))</f>
        <v>Riverside</v>
      </c>
      <c r="D1288" s="9" t="str">
        <f>INDEX(Places[Majority RB],MATCH(Activities[[#This Row],[Jurisdiction]],Places[Jurisdiction],0))</f>
        <v>Santa Ana</v>
      </c>
      <c r="E1288" s="9">
        <f>INDEX(Places[Majority RB '#],MATCH(Activities[[#This Row],[Jurisdiction]],Places[Jurisdiction],0))</f>
        <v>8</v>
      </c>
      <c r="F1288" s="28" t="str">
        <f>VLOOKUP(Activities[[#This Row],[Jurisdiction]],Places[#All],8,FALSE)</f>
        <v>Phase I MS4</v>
      </c>
      <c r="G1288" s="48" t="s">
        <v>209</v>
      </c>
      <c r="H1288" s="8" t="s">
        <v>1839</v>
      </c>
      <c r="I1288" s="8"/>
      <c r="J1288" s="8" t="s">
        <v>1898</v>
      </c>
      <c r="K1288" s="27" t="s">
        <v>1874</v>
      </c>
      <c r="L1288" s="28">
        <f>_xlfn.NUMBERVALUE(LEFT(Activities[[#This Row],[Fiscal Year]], 4))</f>
        <v>2017</v>
      </c>
      <c r="M1288" s="28" t="s">
        <v>1862</v>
      </c>
      <c r="N1288" s="41">
        <v>175000</v>
      </c>
      <c r="O1288" s="93">
        <f>IF(Activities[[#This Row],[Reference Year]]&gt;2018,Activities[[#This Row],[Value]],Activities[[#This Row],[Value]]*(1+VLOOKUP(Activities[[#This Row],[Reference Year]],Inflation[#All],3,FALSE)))</f>
        <v>179663.09669522647</v>
      </c>
    </row>
    <row r="1289" spans="1:15" ht="15" customHeight="1" x14ac:dyDescent="0.25">
      <c r="A1289" s="9" t="s">
        <v>1446</v>
      </c>
      <c r="B1289" s="9" t="str">
        <f>INDEX(Places[Type],MATCH(Activities[[#This Row],[Jurisdiction]],Places[Jurisdiction],0))</f>
        <v>County</v>
      </c>
      <c r="C1289" s="19" t="str">
        <f>INDEX(Places[County],MATCH(Activities[[#This Row],[Jurisdiction]],Places[Jurisdiction],0))</f>
        <v>Riverside</v>
      </c>
      <c r="D1289" s="9" t="str">
        <f>INDEX(Places[Majority RB],MATCH(Activities[[#This Row],[Jurisdiction]],Places[Jurisdiction],0))</f>
        <v>Santa Ana</v>
      </c>
      <c r="E1289" s="9">
        <f>INDEX(Places[Majority RB '#],MATCH(Activities[[#This Row],[Jurisdiction]],Places[Jurisdiction],0))</f>
        <v>8</v>
      </c>
      <c r="F1289" s="28" t="str">
        <f>VLOOKUP(Activities[[#This Row],[Jurisdiction]],Places[#All],8,FALSE)</f>
        <v>Phase I MS4</v>
      </c>
      <c r="G1289" s="48" t="s">
        <v>320</v>
      </c>
      <c r="H1289" s="8" t="s">
        <v>1839</v>
      </c>
      <c r="I1289" s="47" t="s">
        <v>569</v>
      </c>
      <c r="J1289" s="8" t="s">
        <v>1894</v>
      </c>
      <c r="K1289" s="27" t="s">
        <v>1874</v>
      </c>
      <c r="L1289" s="28">
        <f>_xlfn.NUMBERVALUE(LEFT(Activities[[#This Row],[Fiscal Year]], 4))</f>
        <v>2017</v>
      </c>
      <c r="M1289" s="28" t="s">
        <v>1862</v>
      </c>
      <c r="N1289" s="41">
        <v>56921</v>
      </c>
      <c r="O1289" s="93">
        <f>IF(Activities[[#This Row],[Reference Year]]&gt;2018,Activities[[#This Row],[Value]],Activities[[#This Row],[Value]]*(1+VLOOKUP(Activities[[#This Row],[Reference Year]],Inflation[#All],3,FALSE)))</f>
        <v>58437.732154222773</v>
      </c>
    </row>
    <row r="1290" spans="1:15" ht="15" customHeight="1" x14ac:dyDescent="0.25">
      <c r="A1290" s="9" t="s">
        <v>1446</v>
      </c>
      <c r="B1290" s="9" t="str">
        <f>INDEX(Places[Type],MATCH(Activities[[#This Row],[Jurisdiction]],Places[Jurisdiction],0))</f>
        <v>County</v>
      </c>
      <c r="C1290" s="19" t="str">
        <f>INDEX(Places[County],MATCH(Activities[[#This Row],[Jurisdiction]],Places[Jurisdiction],0))</f>
        <v>Riverside</v>
      </c>
      <c r="D1290" s="9" t="str">
        <f>INDEX(Places[Majority RB],MATCH(Activities[[#This Row],[Jurisdiction]],Places[Jurisdiction],0))</f>
        <v>Santa Ana</v>
      </c>
      <c r="E1290" s="9">
        <f>INDEX(Places[Majority RB '#],MATCH(Activities[[#This Row],[Jurisdiction]],Places[Jurisdiction],0))</f>
        <v>8</v>
      </c>
      <c r="F1290" s="28" t="str">
        <f>VLOOKUP(Activities[[#This Row],[Jurisdiction]],Places[#All],8,FALSE)</f>
        <v>Phase I MS4</v>
      </c>
      <c r="G1290" s="48" t="s">
        <v>322</v>
      </c>
      <c r="H1290" s="8" t="s">
        <v>1839</v>
      </c>
      <c r="I1290" s="8"/>
      <c r="J1290" s="8" t="s">
        <v>1894</v>
      </c>
      <c r="K1290" s="27" t="s">
        <v>1874</v>
      </c>
      <c r="L1290" s="28">
        <f>_xlfn.NUMBERVALUE(LEFT(Activities[[#This Row],[Fiscal Year]], 4))</f>
        <v>2017</v>
      </c>
      <c r="M1290" s="28" t="s">
        <v>1862</v>
      </c>
      <c r="N1290" s="41">
        <v>271992</v>
      </c>
      <c r="O1290" s="93">
        <f>IF(Activities[[#This Row],[Reference Year]]&gt;2018,Activities[[#This Row],[Value]],Activities[[#This Row],[Value]]*(1+VLOOKUP(Activities[[#This Row],[Reference Year]],Inflation[#All],3,FALSE)))</f>
        <v>279239.57140758878</v>
      </c>
    </row>
    <row r="1291" spans="1:15" ht="15" customHeight="1" x14ac:dyDescent="0.25">
      <c r="A1291" s="9" t="s">
        <v>1446</v>
      </c>
      <c r="B1291" s="9" t="str">
        <f>INDEX(Places[Type],MATCH(Activities[[#This Row],[Jurisdiction]],Places[Jurisdiction],0))</f>
        <v>County</v>
      </c>
      <c r="C1291" s="19" t="str">
        <f>INDEX(Places[County],MATCH(Activities[[#This Row],[Jurisdiction]],Places[Jurisdiction],0))</f>
        <v>Riverside</v>
      </c>
      <c r="D1291" s="9" t="str">
        <f>INDEX(Places[Majority RB],MATCH(Activities[[#This Row],[Jurisdiction]],Places[Jurisdiction],0))</f>
        <v>Santa Ana</v>
      </c>
      <c r="E1291" s="9">
        <f>INDEX(Places[Majority RB '#],MATCH(Activities[[#This Row],[Jurisdiction]],Places[Jurisdiction],0))</f>
        <v>8</v>
      </c>
      <c r="F1291" s="28" t="str">
        <f>VLOOKUP(Activities[[#This Row],[Jurisdiction]],Places[#All],8,FALSE)</f>
        <v>Phase I MS4</v>
      </c>
      <c r="G1291" s="48" t="s">
        <v>323</v>
      </c>
      <c r="H1291" s="8" t="s">
        <v>1839</v>
      </c>
      <c r="I1291" s="8"/>
      <c r="J1291" s="8" t="s">
        <v>1894</v>
      </c>
      <c r="K1291" s="27" t="s">
        <v>1874</v>
      </c>
      <c r="L1291" s="28">
        <f>_xlfn.NUMBERVALUE(LEFT(Activities[[#This Row],[Fiscal Year]], 4))</f>
        <v>2017</v>
      </c>
      <c r="M1291" s="28" t="s">
        <v>1862</v>
      </c>
      <c r="N1291" s="41">
        <v>398357</v>
      </c>
      <c r="O1291" s="93">
        <f>IF(Activities[[#This Row],[Reference Year]]&gt;2018,Activities[[#This Row],[Value]],Activities[[#This Row],[Value]]*(1+VLOOKUP(Activities[[#This Row],[Reference Year]],Inflation[#All],3,FALSE)))</f>
        <v>408971.72691554471</v>
      </c>
    </row>
    <row r="1292" spans="1:15" ht="15" customHeight="1" x14ac:dyDescent="0.25">
      <c r="A1292" s="9" t="s">
        <v>1446</v>
      </c>
      <c r="B1292" s="9" t="str">
        <f>INDEX(Places[Type],MATCH(Activities[[#This Row],[Jurisdiction]],Places[Jurisdiction],0))</f>
        <v>County</v>
      </c>
      <c r="C1292" s="19" t="str">
        <f>INDEX(Places[County],MATCH(Activities[[#This Row],[Jurisdiction]],Places[Jurisdiction],0))</f>
        <v>Riverside</v>
      </c>
      <c r="D1292" s="9" t="str">
        <f>INDEX(Places[Majority RB],MATCH(Activities[[#This Row],[Jurisdiction]],Places[Jurisdiction],0))</f>
        <v>Santa Ana</v>
      </c>
      <c r="E1292" s="9">
        <f>INDEX(Places[Majority RB '#],MATCH(Activities[[#This Row],[Jurisdiction]],Places[Jurisdiction],0))</f>
        <v>8</v>
      </c>
      <c r="F1292" s="28" t="str">
        <f>VLOOKUP(Activities[[#This Row],[Jurisdiction]],Places[#All],8,FALSE)</f>
        <v>Phase I MS4</v>
      </c>
      <c r="G1292" s="48" t="s">
        <v>329</v>
      </c>
      <c r="H1292" s="8" t="s">
        <v>632</v>
      </c>
      <c r="I1292" s="47" t="s">
        <v>633</v>
      </c>
      <c r="J1292" s="8" t="s">
        <v>1896</v>
      </c>
      <c r="K1292" s="27" t="s">
        <v>1874</v>
      </c>
      <c r="L1292" s="28">
        <f>_xlfn.NUMBERVALUE(LEFT(Activities[[#This Row],[Fiscal Year]], 4))</f>
        <v>2017</v>
      </c>
      <c r="M1292" s="28" t="s">
        <v>1862</v>
      </c>
      <c r="N1292" s="41">
        <v>10000</v>
      </c>
      <c r="O1292" s="93">
        <f>IF(Activities[[#This Row],[Reference Year]]&gt;2018,Activities[[#This Row],[Value]],Activities[[#This Row],[Value]]*(1+VLOOKUP(Activities[[#This Row],[Reference Year]],Inflation[#All],3,FALSE)))</f>
        <v>10266.462668298655</v>
      </c>
    </row>
    <row r="1293" spans="1:15" ht="15" customHeight="1" x14ac:dyDescent="0.25">
      <c r="A1293" s="9" t="s">
        <v>1446</v>
      </c>
      <c r="B1293" s="9" t="str">
        <f>INDEX(Places[Type],MATCH(Activities[[#This Row],[Jurisdiction]],Places[Jurisdiction],0))</f>
        <v>County</v>
      </c>
      <c r="C1293" s="19" t="str">
        <f>INDEX(Places[County],MATCH(Activities[[#This Row],[Jurisdiction]],Places[Jurisdiction],0))</f>
        <v>Riverside</v>
      </c>
      <c r="D1293" s="9" t="str">
        <f>INDEX(Places[Majority RB],MATCH(Activities[[#This Row],[Jurisdiction]],Places[Jurisdiction],0))</f>
        <v>Santa Ana</v>
      </c>
      <c r="E1293" s="9">
        <f>INDEX(Places[Majority RB '#],MATCH(Activities[[#This Row],[Jurisdiction]],Places[Jurisdiction],0))</f>
        <v>8</v>
      </c>
      <c r="F1293" s="28" t="str">
        <f>VLOOKUP(Activities[[#This Row],[Jurisdiction]],Places[#All],8,FALSE)</f>
        <v>Phase I MS4</v>
      </c>
      <c r="G1293" s="48" t="s">
        <v>324</v>
      </c>
      <c r="H1293" s="8" t="s">
        <v>568</v>
      </c>
      <c r="I1293" s="47" t="s">
        <v>569</v>
      </c>
      <c r="J1293" s="8" t="s">
        <v>1896</v>
      </c>
      <c r="K1293" s="27" t="s">
        <v>1874</v>
      </c>
      <c r="L1293" s="28">
        <f>_xlfn.NUMBERVALUE(LEFT(Activities[[#This Row],[Fiscal Year]], 4))</f>
        <v>2017</v>
      </c>
      <c r="M1293" s="28" t="s">
        <v>1862</v>
      </c>
      <c r="N1293" s="41">
        <v>270731</v>
      </c>
      <c r="O1293" s="93">
        <f>IF(Activities[[#This Row],[Reference Year]]&gt;2018,Activities[[#This Row],[Value]],Activities[[#This Row],[Value]]*(1+VLOOKUP(Activities[[#This Row],[Reference Year]],Inflation[#All],3,FALSE)))</f>
        <v>277944.97046511632</v>
      </c>
    </row>
    <row r="1294" spans="1:15" ht="15" customHeight="1" x14ac:dyDescent="0.25">
      <c r="A1294" s="9" t="s">
        <v>1446</v>
      </c>
      <c r="B1294" s="9" t="str">
        <f>INDEX(Places[Type],MATCH(Activities[[#This Row],[Jurisdiction]],Places[Jurisdiction],0))</f>
        <v>County</v>
      </c>
      <c r="C1294" s="19" t="str">
        <f>INDEX(Places[County],MATCH(Activities[[#This Row],[Jurisdiction]],Places[Jurisdiction],0))</f>
        <v>Riverside</v>
      </c>
      <c r="D1294" s="9" t="str">
        <f>INDEX(Places[Majority RB],MATCH(Activities[[#This Row],[Jurisdiction]],Places[Jurisdiction],0))</f>
        <v>Santa Ana</v>
      </c>
      <c r="E1294" s="9">
        <f>INDEX(Places[Majority RB '#],MATCH(Activities[[#This Row],[Jurisdiction]],Places[Jurisdiction],0))</f>
        <v>8</v>
      </c>
      <c r="F1294" s="28" t="str">
        <f>VLOOKUP(Activities[[#This Row],[Jurisdiction]],Places[#All],8,FALSE)</f>
        <v>Phase I MS4</v>
      </c>
      <c r="G1294" s="48" t="s">
        <v>332</v>
      </c>
      <c r="H1294" s="62" t="s">
        <v>1914</v>
      </c>
      <c r="I1294" s="47" t="s">
        <v>635</v>
      </c>
      <c r="J1294" s="8" t="s">
        <v>1896</v>
      </c>
      <c r="K1294" s="27" t="s">
        <v>1874</v>
      </c>
      <c r="L1294" s="28">
        <f>_xlfn.NUMBERVALUE(LEFT(Activities[[#This Row],[Fiscal Year]], 4))</f>
        <v>2017</v>
      </c>
      <c r="M1294" s="28" t="s">
        <v>1862</v>
      </c>
      <c r="N1294" s="41">
        <v>3963859</v>
      </c>
      <c r="O1294" s="93">
        <f>IF(Activities[[#This Row],[Reference Year]]&gt;2018,Activities[[#This Row],[Value]],Activities[[#This Row],[Value]]*(1+VLOOKUP(Activities[[#This Row],[Reference Year]],Inflation[#All],3,FALSE)))</f>
        <v>4069481.0445899637</v>
      </c>
    </row>
    <row r="1295" spans="1:15" ht="15" customHeight="1" x14ac:dyDescent="0.25">
      <c r="A1295" s="9" t="s">
        <v>1438</v>
      </c>
      <c r="B1295" s="9" t="str">
        <f>INDEX(Places[Type],MATCH(Activities[[#This Row],[Jurisdiction]],Places[Jurisdiction],0))</f>
        <v>FCD</v>
      </c>
      <c r="C1295" s="19" t="str">
        <f>INDEX(Places[County],MATCH(Activities[[#This Row],[Jurisdiction]],Places[Jurisdiction],0))</f>
        <v>Riverside</v>
      </c>
      <c r="D1295" s="9" t="str">
        <f>INDEX(Places[Majority RB],MATCH(Activities[[#This Row],[Jurisdiction]],Places[Jurisdiction],0))</f>
        <v>Santa Ana</v>
      </c>
      <c r="E1295" s="9">
        <f>INDEX(Places[Majority RB '#],MATCH(Activities[[#This Row],[Jurisdiction]],Places[Jurisdiction],0))</f>
        <v>8</v>
      </c>
      <c r="F1295" s="28" t="str">
        <f>VLOOKUP(Activities[[#This Row],[Jurisdiction]],Places[#All],8,FALSE)</f>
        <v>Phase I MS4</v>
      </c>
      <c r="G1295" s="48" t="s">
        <v>1124</v>
      </c>
      <c r="H1295" s="8"/>
      <c r="I1295" s="8"/>
      <c r="J1295" s="8" t="s">
        <v>1456</v>
      </c>
      <c r="K1295" s="27" t="s">
        <v>1874</v>
      </c>
      <c r="L1295" s="28">
        <f>_xlfn.NUMBERVALUE(LEFT(Activities[[#This Row],[Fiscal Year]], 4))</f>
        <v>2017</v>
      </c>
      <c r="M1295" s="28" t="s">
        <v>1862</v>
      </c>
      <c r="N1295" s="41">
        <v>54252</v>
      </c>
      <c r="O1295" s="93">
        <f>IF(Activities[[#This Row],[Reference Year]]&gt;2018,Activities[[#This Row],[Value]],Activities[[#This Row],[Value]]*(1+VLOOKUP(Activities[[#This Row],[Reference Year]],Inflation[#All],3,FALSE)))</f>
        <v>55697.613268053865</v>
      </c>
    </row>
    <row r="1296" spans="1:15" ht="15" customHeight="1" x14ac:dyDescent="0.25">
      <c r="A1296" s="9" t="s">
        <v>1438</v>
      </c>
      <c r="B1296" s="9" t="str">
        <f>INDEX(Places[Type],MATCH(Activities[[#This Row],[Jurisdiction]],Places[Jurisdiction],0))</f>
        <v>FCD</v>
      </c>
      <c r="C1296" s="19" t="str">
        <f>INDEX(Places[County],MATCH(Activities[[#This Row],[Jurisdiction]],Places[Jurisdiction],0))</f>
        <v>Riverside</v>
      </c>
      <c r="D1296" s="9" t="str">
        <f>INDEX(Places[Majority RB],MATCH(Activities[[#This Row],[Jurisdiction]],Places[Jurisdiction],0))</f>
        <v>Santa Ana</v>
      </c>
      <c r="E1296" s="9">
        <f>INDEX(Places[Majority RB '#],MATCH(Activities[[#This Row],[Jurisdiction]],Places[Jurisdiction],0))</f>
        <v>8</v>
      </c>
      <c r="F1296" s="28" t="str">
        <f>VLOOKUP(Activities[[#This Row],[Jurisdiction]],Places[#All],8,FALSE)</f>
        <v>Phase I MS4</v>
      </c>
      <c r="G1296" s="48" t="s">
        <v>1122</v>
      </c>
      <c r="H1296" s="8" t="s">
        <v>572</v>
      </c>
      <c r="I1296" s="47" t="s">
        <v>570</v>
      </c>
      <c r="J1296" s="8" t="s">
        <v>1894</v>
      </c>
      <c r="K1296" s="27" t="s">
        <v>1874</v>
      </c>
      <c r="L1296" s="28">
        <f>_xlfn.NUMBERVALUE(LEFT(Activities[[#This Row],[Fiscal Year]], 4))</f>
        <v>2017</v>
      </c>
      <c r="M1296" s="28" t="s">
        <v>1862</v>
      </c>
      <c r="N1296" s="41">
        <v>1255863</v>
      </c>
      <c r="O1296" s="93">
        <f>IF(Activities[[#This Row],[Reference Year]]&gt;2018,Activities[[#This Row],[Value]],Activities[[#This Row],[Value]]*(1+VLOOKUP(Activities[[#This Row],[Reference Year]],Inflation[#All],3,FALSE)))</f>
        <v>1289327.0605997553</v>
      </c>
    </row>
    <row r="1297" spans="1:15" ht="15" customHeight="1" x14ac:dyDescent="0.25">
      <c r="A1297" s="9" t="s">
        <v>1438</v>
      </c>
      <c r="B1297" s="9" t="str">
        <f>INDEX(Places[Type],MATCH(Activities[[#This Row],[Jurisdiction]],Places[Jurisdiction],0))</f>
        <v>FCD</v>
      </c>
      <c r="C1297" s="19" t="str">
        <f>INDEX(Places[County],MATCH(Activities[[#This Row],[Jurisdiction]],Places[Jurisdiction],0))</f>
        <v>Riverside</v>
      </c>
      <c r="D1297" s="9" t="str">
        <f>INDEX(Places[Majority RB],MATCH(Activities[[#This Row],[Jurisdiction]],Places[Jurisdiction],0))</f>
        <v>Santa Ana</v>
      </c>
      <c r="E1297" s="9">
        <f>INDEX(Places[Majority RB '#],MATCH(Activities[[#This Row],[Jurisdiction]],Places[Jurisdiction],0))</f>
        <v>8</v>
      </c>
      <c r="F1297" s="28" t="str">
        <f>VLOOKUP(Activities[[#This Row],[Jurisdiction]],Places[#All],8,FALSE)</f>
        <v>Phase I MS4</v>
      </c>
      <c r="G1297" s="48" t="s">
        <v>1125</v>
      </c>
      <c r="H1297" s="8"/>
      <c r="I1297" s="8"/>
      <c r="J1297" s="8" t="s">
        <v>47</v>
      </c>
      <c r="K1297" s="27" t="s">
        <v>1874</v>
      </c>
      <c r="L1297" s="28">
        <f>_xlfn.NUMBERVALUE(LEFT(Activities[[#This Row],[Fiscal Year]], 4))</f>
        <v>2017</v>
      </c>
      <c r="M1297" s="28" t="s">
        <v>1862</v>
      </c>
      <c r="N1297" s="41">
        <v>545289</v>
      </c>
      <c r="O1297" s="93">
        <f>IF(Activities[[#This Row],[Reference Year]]&gt;2018,Activities[[#This Row],[Value]],Activities[[#This Row],[Value]]*(1+VLOOKUP(Activities[[#This Row],[Reference Year]],Inflation[#All],3,FALSE)))</f>
        <v>559818.9161933905</v>
      </c>
    </row>
    <row r="1298" spans="1:15" ht="15" customHeight="1" x14ac:dyDescent="0.25">
      <c r="A1298" s="9" t="s">
        <v>185</v>
      </c>
      <c r="B1298" s="9" t="str">
        <f>INDEX(Places[Type],MATCH(Activities[[#This Row],[Jurisdiction]],Places[Jurisdiction],0))</f>
        <v>City</v>
      </c>
      <c r="C1298" s="19" t="str">
        <f>INDEX(Places[County],MATCH(Activities[[#This Row],[Jurisdiction]],Places[Jurisdiction],0))</f>
        <v>Los Angeles</v>
      </c>
      <c r="D1298" s="19" t="str">
        <f>INDEX(Places[Majority RB],MATCH(Activities[[#This Row],[Jurisdiction]],Places[Jurisdiction],0))</f>
        <v>Los Angeles</v>
      </c>
      <c r="E1298" s="9">
        <f>INDEX(Places[Majority RB '#],MATCH(Activities[[#This Row],[Jurisdiction]],Places[Jurisdiction],0))</f>
        <v>4</v>
      </c>
      <c r="F1298" s="28" t="str">
        <f>VLOOKUP(Activities[[#This Row],[Jurisdiction]],Places[#All],8,FALSE)</f>
        <v>Phase I MS4</v>
      </c>
      <c r="G1298" s="48" t="s">
        <v>857</v>
      </c>
      <c r="H1298" s="8"/>
      <c r="I1298" s="8"/>
      <c r="J1298" s="8" t="s">
        <v>1897</v>
      </c>
      <c r="K1298" s="27" t="s">
        <v>1873</v>
      </c>
      <c r="L1298" s="28">
        <f>_xlfn.NUMBERVALUE(LEFT(Activities[[#This Row],[Fiscal Year]], 4))</f>
        <v>2015</v>
      </c>
      <c r="M1298" s="28" t="s">
        <v>1862</v>
      </c>
      <c r="N1298" s="41">
        <v>2420</v>
      </c>
      <c r="O1298" s="93">
        <f>IF(Activities[[#This Row],[Reference Year]]&gt;2018,Activities[[#This Row],[Value]],Activities[[#This Row],[Value]]*(1+VLOOKUP(Activities[[#This Row],[Reference Year]],Inflation[#All],3,FALSE)))</f>
        <v>2569.3967088607592</v>
      </c>
    </row>
    <row r="1299" spans="1:15" ht="15" customHeight="1" x14ac:dyDescent="0.25">
      <c r="A1299" s="9" t="s">
        <v>185</v>
      </c>
      <c r="B1299" s="9" t="str">
        <f>INDEX(Places[Type],MATCH(Activities[[#This Row],[Jurisdiction]],Places[Jurisdiction],0))</f>
        <v>City</v>
      </c>
      <c r="C1299" s="19" t="str">
        <f>INDEX(Places[County],MATCH(Activities[[#This Row],[Jurisdiction]],Places[Jurisdiction],0))</f>
        <v>Los Angeles</v>
      </c>
      <c r="D1299" s="19" t="str">
        <f>INDEX(Places[Majority RB],MATCH(Activities[[#This Row],[Jurisdiction]],Places[Jurisdiction],0))</f>
        <v>Los Angeles</v>
      </c>
      <c r="E1299" s="9">
        <f>INDEX(Places[Majority RB '#],MATCH(Activities[[#This Row],[Jurisdiction]],Places[Jurisdiction],0))</f>
        <v>4</v>
      </c>
      <c r="F1299" s="28" t="str">
        <f>VLOOKUP(Activities[[#This Row],[Jurisdiction]],Places[#All],8,FALSE)</f>
        <v>Phase I MS4</v>
      </c>
      <c r="G1299" s="48" t="s">
        <v>846</v>
      </c>
      <c r="H1299" s="8"/>
      <c r="I1299" s="8"/>
      <c r="J1299" s="8" t="s">
        <v>1898</v>
      </c>
      <c r="K1299" s="27" t="s">
        <v>1873</v>
      </c>
      <c r="L1299" s="28">
        <f>_xlfn.NUMBERVALUE(LEFT(Activities[[#This Row],[Fiscal Year]], 4))</f>
        <v>2015</v>
      </c>
      <c r="M1299" s="28" t="s">
        <v>1862</v>
      </c>
      <c r="N1299" s="41">
        <v>2302.5</v>
      </c>
      <c r="O1299" s="93">
        <f>IF(Activities[[#This Row],[Reference Year]]&gt;2018,Activities[[#This Row],[Value]],Activities[[#This Row],[Value]]*(1+VLOOKUP(Activities[[#This Row],[Reference Year]],Inflation[#All],3,FALSE)))</f>
        <v>2444.6429430379744</v>
      </c>
    </row>
    <row r="1300" spans="1:15" ht="15" customHeight="1" x14ac:dyDescent="0.25">
      <c r="A1300" s="9" t="s">
        <v>185</v>
      </c>
      <c r="B1300" s="9" t="str">
        <f>INDEX(Places[Type],MATCH(Activities[[#This Row],[Jurisdiction]],Places[Jurisdiction],0))</f>
        <v>City</v>
      </c>
      <c r="C1300" s="19" t="str">
        <f>INDEX(Places[County],MATCH(Activities[[#This Row],[Jurisdiction]],Places[Jurisdiction],0))</f>
        <v>Los Angeles</v>
      </c>
      <c r="D1300" s="19" t="str">
        <f>INDEX(Places[Majority RB],MATCH(Activities[[#This Row],[Jurisdiction]],Places[Jurisdiction],0))</f>
        <v>Los Angeles</v>
      </c>
      <c r="E1300" s="9">
        <f>INDEX(Places[Majority RB '#],MATCH(Activities[[#This Row],[Jurisdiction]],Places[Jurisdiction],0))</f>
        <v>4</v>
      </c>
      <c r="F1300" s="28" t="str">
        <f>VLOOKUP(Activities[[#This Row],[Jurisdiction]],Places[#All],8,FALSE)</f>
        <v>Phase I MS4</v>
      </c>
      <c r="G1300" s="48" t="s">
        <v>844</v>
      </c>
      <c r="H1300" s="8"/>
      <c r="I1300" s="8"/>
      <c r="J1300" s="8" t="s">
        <v>1456</v>
      </c>
      <c r="K1300" s="27" t="s">
        <v>1873</v>
      </c>
      <c r="L1300" s="28">
        <f>_xlfn.NUMBERVALUE(LEFT(Activities[[#This Row],[Fiscal Year]], 4))</f>
        <v>2015</v>
      </c>
      <c r="M1300" s="28" t="s">
        <v>1862</v>
      </c>
      <c r="N1300" s="41">
        <v>2717.5</v>
      </c>
      <c r="O1300" s="93">
        <f>IF(Activities[[#This Row],[Reference Year]]&gt;2018,Activities[[#This Row],[Value]],Activities[[#This Row],[Value]]*(1+VLOOKUP(Activities[[#This Row],[Reference Year]],Inflation[#All],3,FALSE)))</f>
        <v>2885.2626265822782</v>
      </c>
    </row>
    <row r="1301" spans="1:15" ht="15" customHeight="1" x14ac:dyDescent="0.25">
      <c r="A1301" s="9" t="s">
        <v>185</v>
      </c>
      <c r="B1301" s="9" t="str">
        <f>INDEX(Places[Type],MATCH(Activities[[#This Row],[Jurisdiction]],Places[Jurisdiction],0))</f>
        <v>City</v>
      </c>
      <c r="C1301" s="19" t="str">
        <f>INDEX(Places[County],MATCH(Activities[[#This Row],[Jurisdiction]],Places[Jurisdiction],0))</f>
        <v>Los Angeles</v>
      </c>
      <c r="D1301" s="19" t="str">
        <f>INDEX(Places[Majority RB],MATCH(Activities[[#This Row],[Jurisdiction]],Places[Jurisdiction],0))</f>
        <v>Los Angeles</v>
      </c>
      <c r="E1301" s="9">
        <f>INDEX(Places[Majority RB '#],MATCH(Activities[[#This Row],[Jurisdiction]],Places[Jurisdiction],0))</f>
        <v>4</v>
      </c>
      <c r="F1301" s="28" t="str">
        <f>VLOOKUP(Activities[[#This Row],[Jurisdiction]],Places[#All],8,FALSE)</f>
        <v>Phase I MS4</v>
      </c>
      <c r="G1301" s="56" t="s">
        <v>829</v>
      </c>
      <c r="H1301" s="8"/>
      <c r="I1301" s="8"/>
      <c r="J1301" s="8" t="s">
        <v>1894</v>
      </c>
      <c r="K1301" s="27" t="s">
        <v>1873</v>
      </c>
      <c r="L1301" s="28">
        <f>_xlfn.NUMBERVALUE(LEFT(Activities[[#This Row],[Fiscal Year]], 4))</f>
        <v>2015</v>
      </c>
      <c r="M1301" s="28" t="s">
        <v>1862</v>
      </c>
      <c r="N1301" s="41">
        <v>14720</v>
      </c>
      <c r="O1301" s="93">
        <f>IF(Activities[[#This Row],[Reference Year]]&gt;2018,Activities[[#This Row],[Value]],Activities[[#This Row],[Value]]*(1+VLOOKUP(Activities[[#This Row],[Reference Year]],Inflation[#All],3,FALSE)))</f>
        <v>15628.727088607595</v>
      </c>
    </row>
    <row r="1302" spans="1:15" ht="15" customHeight="1" x14ac:dyDescent="0.25">
      <c r="A1302" s="9" t="s">
        <v>185</v>
      </c>
      <c r="B1302" s="9" t="str">
        <f>INDEX(Places[Type],MATCH(Activities[[#This Row],[Jurisdiction]],Places[Jurisdiction],0))</f>
        <v>City</v>
      </c>
      <c r="C1302" s="19" t="str">
        <f>INDEX(Places[County],MATCH(Activities[[#This Row],[Jurisdiction]],Places[Jurisdiction],0))</f>
        <v>Los Angeles</v>
      </c>
      <c r="D1302" s="19" t="str">
        <f>INDEX(Places[Majority RB],MATCH(Activities[[#This Row],[Jurisdiction]],Places[Jurisdiction],0))</f>
        <v>Los Angeles</v>
      </c>
      <c r="E1302" s="9">
        <f>INDEX(Places[Majority RB '#],MATCH(Activities[[#This Row],[Jurisdiction]],Places[Jurisdiction],0))</f>
        <v>4</v>
      </c>
      <c r="F1302" s="28" t="str">
        <f>VLOOKUP(Activities[[#This Row],[Jurisdiction]],Places[#All],8,FALSE)</f>
        <v>Phase I MS4</v>
      </c>
      <c r="G1302" s="56" t="s">
        <v>936</v>
      </c>
      <c r="H1302" s="8"/>
      <c r="I1302" s="8"/>
      <c r="J1302" s="8" t="s">
        <v>47</v>
      </c>
      <c r="K1302" s="27" t="s">
        <v>1873</v>
      </c>
      <c r="L1302" s="28">
        <f>_xlfn.NUMBERVALUE(LEFT(Activities[[#This Row],[Fiscal Year]], 4))</f>
        <v>2015</v>
      </c>
      <c r="M1302" s="28" t="s">
        <v>1862</v>
      </c>
      <c r="N1302" s="41">
        <v>41106.83</v>
      </c>
      <c r="O1302" s="93">
        <f>IF(Activities[[#This Row],[Reference Year]]&gt;2018,Activities[[#This Row],[Value]],Activities[[#This Row],[Value]]*(1+VLOOKUP(Activities[[#This Row],[Reference Year]],Inflation[#All],3,FALSE)))</f>
        <v>43644.52632797468</v>
      </c>
    </row>
    <row r="1303" spans="1:15" ht="15" customHeight="1" x14ac:dyDescent="0.25">
      <c r="A1303" s="9" t="s">
        <v>185</v>
      </c>
      <c r="B1303" s="9" t="str">
        <f>INDEX(Places[Type],MATCH(Activities[[#This Row],[Jurisdiction]],Places[Jurisdiction],0))</f>
        <v>City</v>
      </c>
      <c r="C1303" s="19" t="str">
        <f>INDEX(Places[County],MATCH(Activities[[#This Row],[Jurisdiction]],Places[Jurisdiction],0))</f>
        <v>Los Angeles</v>
      </c>
      <c r="D1303" s="19" t="str">
        <f>INDEX(Places[Majority RB],MATCH(Activities[[#This Row],[Jurisdiction]],Places[Jurisdiction],0))</f>
        <v>Los Angeles</v>
      </c>
      <c r="E1303" s="9">
        <f>INDEX(Places[Majority RB '#],MATCH(Activities[[#This Row],[Jurisdiction]],Places[Jurisdiction],0))</f>
        <v>4</v>
      </c>
      <c r="F1303" s="28" t="str">
        <f>VLOOKUP(Activities[[#This Row],[Jurisdiction]],Places[#All],8,FALSE)</f>
        <v>Phase I MS4</v>
      </c>
      <c r="G1303" s="56" t="s">
        <v>937</v>
      </c>
      <c r="H1303" s="8" t="s">
        <v>938</v>
      </c>
      <c r="I1303" s="8" t="s">
        <v>429</v>
      </c>
      <c r="J1303" s="8" t="s">
        <v>605</v>
      </c>
      <c r="K1303" s="27" t="s">
        <v>1873</v>
      </c>
      <c r="L1303" s="28">
        <f>_xlfn.NUMBERVALUE(LEFT(Activities[[#This Row],[Fiscal Year]], 4))</f>
        <v>2015</v>
      </c>
      <c r="M1303" s="28" t="s">
        <v>1862</v>
      </c>
      <c r="N1303" s="41">
        <v>9626.5</v>
      </c>
      <c r="O1303" s="93">
        <f>IF(Activities[[#This Row],[Reference Year]]&gt;2018,Activities[[#This Row],[Value]],Activities[[#This Row],[Value]]*(1+VLOOKUP(Activities[[#This Row],[Reference Year]],Inflation[#All],3,FALSE)))</f>
        <v>10220.784056962024</v>
      </c>
    </row>
    <row r="1304" spans="1:15" ht="15" customHeight="1" x14ac:dyDescent="0.25">
      <c r="A1304" s="9" t="s">
        <v>177</v>
      </c>
      <c r="B1304" s="9" t="str">
        <f>INDEX(Places[Type],MATCH(Activities[[#This Row],[Jurisdiction]],Places[Jurisdiction],0))</f>
        <v>City</v>
      </c>
      <c r="C1304" s="19" t="str">
        <f>INDEX(Places[County],MATCH(Activities[[#This Row],[Jurisdiction]],Places[Jurisdiction],0))</f>
        <v>Los Angeles</v>
      </c>
      <c r="D1304" s="19" t="str">
        <f>INDEX(Places[Majority RB],MATCH(Activities[[#This Row],[Jurisdiction]],Places[Jurisdiction],0))</f>
        <v>Los Angeles</v>
      </c>
      <c r="E1304" s="9">
        <f>INDEX(Places[Majority RB '#],MATCH(Activities[[#This Row],[Jurisdiction]],Places[Jurisdiction],0))</f>
        <v>4</v>
      </c>
      <c r="F1304" s="28" t="str">
        <f>VLOOKUP(Activities[[#This Row],[Jurisdiction]],Places[#All],8,FALSE)</f>
        <v>Phase I MS4</v>
      </c>
      <c r="G1304" s="48" t="s">
        <v>930</v>
      </c>
      <c r="H1304" s="8"/>
      <c r="I1304" s="8"/>
      <c r="J1304" s="8" t="s">
        <v>131</v>
      </c>
      <c r="K1304" s="27" t="s">
        <v>1873</v>
      </c>
      <c r="L1304" s="28">
        <f>_xlfn.NUMBERVALUE(LEFT(Activities[[#This Row],[Fiscal Year]], 4))</f>
        <v>2015</v>
      </c>
      <c r="M1304" s="28" t="s">
        <v>1862</v>
      </c>
      <c r="N1304" s="41">
        <v>36598</v>
      </c>
      <c r="O1304" s="93">
        <f>IF(Activities[[#This Row],[Reference Year]]&gt;2018,Activities[[#This Row],[Value]],Activities[[#This Row],[Value]]*(1+VLOOKUP(Activities[[#This Row],[Reference Year]],Inflation[#All],3,FALSE)))</f>
        <v>38857.347417721518</v>
      </c>
    </row>
    <row r="1305" spans="1:15" ht="15" customHeight="1" x14ac:dyDescent="0.25">
      <c r="A1305" s="9" t="s">
        <v>177</v>
      </c>
      <c r="B1305" s="9" t="str">
        <f>INDEX(Places[Type],MATCH(Activities[[#This Row],[Jurisdiction]],Places[Jurisdiction],0))</f>
        <v>City</v>
      </c>
      <c r="C1305" s="19" t="str">
        <f>INDEX(Places[County],MATCH(Activities[[#This Row],[Jurisdiction]],Places[Jurisdiction],0))</f>
        <v>Los Angeles</v>
      </c>
      <c r="D1305" s="19" t="str">
        <f>INDEX(Places[Majority RB],MATCH(Activities[[#This Row],[Jurisdiction]],Places[Jurisdiction],0))</f>
        <v>Los Angeles</v>
      </c>
      <c r="E1305" s="9">
        <f>INDEX(Places[Majority RB '#],MATCH(Activities[[#This Row],[Jurisdiction]],Places[Jurisdiction],0))</f>
        <v>4</v>
      </c>
      <c r="F1305" s="28" t="str">
        <f>VLOOKUP(Activities[[#This Row],[Jurisdiction]],Places[#All],8,FALSE)</f>
        <v>Phase I MS4</v>
      </c>
      <c r="G1305" s="48" t="s">
        <v>926</v>
      </c>
      <c r="H1305" s="8"/>
      <c r="I1305" s="8"/>
      <c r="J1305" s="8" t="s">
        <v>334</v>
      </c>
      <c r="K1305" s="27" t="s">
        <v>1873</v>
      </c>
      <c r="L1305" s="28">
        <f>_xlfn.NUMBERVALUE(LEFT(Activities[[#This Row],[Fiscal Year]], 4))</f>
        <v>2015</v>
      </c>
      <c r="M1305" s="28" t="s">
        <v>1862</v>
      </c>
      <c r="N1305" s="41">
        <v>19743</v>
      </c>
      <c r="O1305" s="93">
        <f>IF(Activities[[#This Row],[Reference Year]]&gt;2018,Activities[[#This Row],[Value]],Activities[[#This Row],[Value]]*(1+VLOOKUP(Activities[[#This Row],[Reference Year]],Inflation[#All],3,FALSE)))</f>
        <v>20961.817860759493</v>
      </c>
    </row>
    <row r="1306" spans="1:15" ht="15" customHeight="1" x14ac:dyDescent="0.25">
      <c r="A1306" s="9" t="s">
        <v>177</v>
      </c>
      <c r="B1306" s="9" t="str">
        <f>INDEX(Places[Type],MATCH(Activities[[#This Row],[Jurisdiction]],Places[Jurisdiction],0))</f>
        <v>City</v>
      </c>
      <c r="C1306" s="19" t="str">
        <f>INDEX(Places[County],MATCH(Activities[[#This Row],[Jurisdiction]],Places[Jurisdiction],0))</f>
        <v>Los Angeles</v>
      </c>
      <c r="D1306" s="19" t="str">
        <f>INDEX(Places[Majority RB],MATCH(Activities[[#This Row],[Jurisdiction]],Places[Jurisdiction],0))</f>
        <v>Los Angeles</v>
      </c>
      <c r="E1306" s="9">
        <f>INDEX(Places[Majority RB '#],MATCH(Activities[[#This Row],[Jurisdiction]],Places[Jurisdiction],0))</f>
        <v>4</v>
      </c>
      <c r="F1306" s="28" t="str">
        <f>VLOOKUP(Activities[[#This Row],[Jurisdiction]],Places[#All],8,FALSE)</f>
        <v>Phase I MS4</v>
      </c>
      <c r="G1306" s="48" t="s">
        <v>929</v>
      </c>
      <c r="H1306" s="8"/>
      <c r="I1306" s="8"/>
      <c r="J1306" s="8" t="s">
        <v>1897</v>
      </c>
      <c r="K1306" s="27" t="s">
        <v>1873</v>
      </c>
      <c r="L1306" s="28">
        <f>_xlfn.NUMBERVALUE(LEFT(Activities[[#This Row],[Fiscal Year]], 4))</f>
        <v>2015</v>
      </c>
      <c r="M1306" s="28" t="s">
        <v>1862</v>
      </c>
      <c r="N1306" s="41">
        <v>189236.5</v>
      </c>
      <c r="O1306" s="93">
        <f>IF(Activities[[#This Row],[Reference Year]]&gt;2018,Activities[[#This Row],[Value]],Activities[[#This Row],[Value]]*(1+VLOOKUP(Activities[[#This Row],[Reference Year]],Inflation[#All],3,FALSE)))</f>
        <v>200918.85962658227</v>
      </c>
    </row>
    <row r="1307" spans="1:15" ht="15" customHeight="1" x14ac:dyDescent="0.25">
      <c r="A1307" s="9" t="s">
        <v>177</v>
      </c>
      <c r="B1307" s="9" t="str">
        <f>INDEX(Places[Type],MATCH(Activities[[#This Row],[Jurisdiction]],Places[Jurisdiction],0))</f>
        <v>City</v>
      </c>
      <c r="C1307" s="19" t="str">
        <f>INDEX(Places[County],MATCH(Activities[[#This Row],[Jurisdiction]],Places[Jurisdiction],0))</f>
        <v>Los Angeles</v>
      </c>
      <c r="D1307" s="19" t="str">
        <f>INDEX(Places[Majority RB],MATCH(Activities[[#This Row],[Jurisdiction]],Places[Jurisdiction],0))</f>
        <v>Los Angeles</v>
      </c>
      <c r="E1307" s="9">
        <f>INDEX(Places[Majority RB '#],MATCH(Activities[[#This Row],[Jurisdiction]],Places[Jurisdiction],0))</f>
        <v>4</v>
      </c>
      <c r="F1307" s="28" t="str">
        <f>VLOOKUP(Activities[[#This Row],[Jurisdiction]],Places[#All],8,FALSE)</f>
        <v>Phase I MS4</v>
      </c>
      <c r="G1307" s="48" t="s">
        <v>927</v>
      </c>
      <c r="H1307" s="8"/>
      <c r="I1307" s="8"/>
      <c r="J1307" s="8" t="s">
        <v>1898</v>
      </c>
      <c r="K1307" s="27" t="s">
        <v>1873</v>
      </c>
      <c r="L1307" s="28">
        <f>_xlfn.NUMBERVALUE(LEFT(Activities[[#This Row],[Fiscal Year]], 4))</f>
        <v>2015</v>
      </c>
      <c r="M1307" s="28" t="s">
        <v>1862</v>
      </c>
      <c r="N1307" s="41">
        <v>1185</v>
      </c>
      <c r="O1307" s="93">
        <f>IF(Activities[[#This Row],[Reference Year]]&gt;2018,Activities[[#This Row],[Value]],Activities[[#This Row],[Value]]*(1+VLOOKUP(Activities[[#This Row],[Reference Year]],Inflation[#All],3,FALSE)))</f>
        <v>1258.155</v>
      </c>
    </row>
    <row r="1308" spans="1:15" ht="15" customHeight="1" x14ac:dyDescent="0.25">
      <c r="A1308" s="9" t="s">
        <v>177</v>
      </c>
      <c r="B1308" s="9" t="str">
        <f>INDEX(Places[Type],MATCH(Activities[[#This Row],[Jurisdiction]],Places[Jurisdiction],0))</f>
        <v>City</v>
      </c>
      <c r="C1308" s="19" t="str">
        <f>INDEX(Places[County],MATCH(Activities[[#This Row],[Jurisdiction]],Places[Jurisdiction],0))</f>
        <v>Los Angeles</v>
      </c>
      <c r="D1308" s="19" t="str">
        <f>INDEX(Places[Majority RB],MATCH(Activities[[#This Row],[Jurisdiction]],Places[Jurisdiction],0))</f>
        <v>Los Angeles</v>
      </c>
      <c r="E1308" s="9">
        <f>INDEX(Places[Majority RB '#],MATCH(Activities[[#This Row],[Jurisdiction]],Places[Jurisdiction],0))</f>
        <v>4</v>
      </c>
      <c r="F1308" s="28" t="str">
        <f>VLOOKUP(Activities[[#This Row],[Jurisdiction]],Places[#All],8,FALSE)</f>
        <v>Phase I MS4</v>
      </c>
      <c r="G1308" s="48" t="s">
        <v>928</v>
      </c>
      <c r="H1308" s="8"/>
      <c r="I1308" s="8"/>
      <c r="J1308" s="8" t="s">
        <v>1898</v>
      </c>
      <c r="K1308" s="27" t="s">
        <v>1873</v>
      </c>
      <c r="L1308" s="28">
        <f>_xlfn.NUMBERVALUE(LEFT(Activities[[#This Row],[Fiscal Year]], 4))</f>
        <v>2015</v>
      </c>
      <c r="M1308" s="28" t="s">
        <v>1862</v>
      </c>
      <c r="N1308" s="41">
        <v>13500</v>
      </c>
      <c r="O1308" s="93">
        <f>IF(Activities[[#This Row],[Reference Year]]&gt;2018,Activities[[#This Row],[Value]],Activities[[#This Row],[Value]]*(1+VLOOKUP(Activities[[#This Row],[Reference Year]],Inflation[#All],3,FALSE)))</f>
        <v>14333.411392405062</v>
      </c>
    </row>
    <row r="1309" spans="1:15" ht="15" customHeight="1" x14ac:dyDescent="0.25">
      <c r="A1309" s="9" t="s">
        <v>177</v>
      </c>
      <c r="B1309" s="9" t="str">
        <f>INDEX(Places[Type],MATCH(Activities[[#This Row],[Jurisdiction]],Places[Jurisdiction],0))</f>
        <v>City</v>
      </c>
      <c r="C1309" s="19" t="str">
        <f>INDEX(Places[County],MATCH(Activities[[#This Row],[Jurisdiction]],Places[Jurisdiction],0))</f>
        <v>Los Angeles</v>
      </c>
      <c r="D1309" s="19" t="str">
        <f>INDEX(Places[Majority RB],MATCH(Activities[[#This Row],[Jurisdiction]],Places[Jurisdiction],0))</f>
        <v>Los Angeles</v>
      </c>
      <c r="E1309" s="9">
        <f>INDEX(Places[Majority RB '#],MATCH(Activities[[#This Row],[Jurisdiction]],Places[Jurisdiction],0))</f>
        <v>4</v>
      </c>
      <c r="F1309" s="28" t="str">
        <f>VLOOKUP(Activities[[#This Row],[Jurisdiction]],Places[#All],8,FALSE)</f>
        <v>Phase I MS4</v>
      </c>
      <c r="G1309" s="48" t="s">
        <v>925</v>
      </c>
      <c r="H1309" s="8"/>
      <c r="I1309" s="8"/>
      <c r="J1309" s="8" t="s">
        <v>1456</v>
      </c>
      <c r="K1309" s="27" t="s">
        <v>1873</v>
      </c>
      <c r="L1309" s="28">
        <f>_xlfn.NUMBERVALUE(LEFT(Activities[[#This Row],[Fiscal Year]], 4))</f>
        <v>2015</v>
      </c>
      <c r="M1309" s="28" t="s">
        <v>1862</v>
      </c>
      <c r="N1309" s="41">
        <v>5587.5</v>
      </c>
      <c r="O1309" s="93">
        <f>IF(Activities[[#This Row],[Reference Year]]&gt;2018,Activities[[#This Row],[Value]],Activities[[#This Row],[Value]]*(1+VLOOKUP(Activities[[#This Row],[Reference Year]],Inflation[#All],3,FALSE)))</f>
        <v>5932.4397151898729</v>
      </c>
    </row>
    <row r="1310" spans="1:15" ht="15" customHeight="1" x14ac:dyDescent="0.25">
      <c r="A1310" s="9" t="s">
        <v>177</v>
      </c>
      <c r="B1310" s="9" t="str">
        <f>INDEX(Places[Type],MATCH(Activities[[#This Row],[Jurisdiction]],Places[Jurisdiction],0))</f>
        <v>City</v>
      </c>
      <c r="C1310" s="19" t="str">
        <f>INDEX(Places[County],MATCH(Activities[[#This Row],[Jurisdiction]],Places[Jurisdiction],0))</f>
        <v>Los Angeles</v>
      </c>
      <c r="D1310" s="19" t="str">
        <f>INDEX(Places[Majority RB],MATCH(Activities[[#This Row],[Jurisdiction]],Places[Jurisdiction],0))</f>
        <v>Los Angeles</v>
      </c>
      <c r="E1310" s="9">
        <f>INDEX(Places[Majority RB '#],MATCH(Activities[[#This Row],[Jurisdiction]],Places[Jurisdiction],0))</f>
        <v>4</v>
      </c>
      <c r="F1310" s="28" t="str">
        <f>VLOOKUP(Activities[[#This Row],[Jurisdiction]],Places[#All],8,FALSE)</f>
        <v>Phase I MS4</v>
      </c>
      <c r="G1310" s="56" t="s">
        <v>829</v>
      </c>
      <c r="H1310" s="8"/>
      <c r="I1310" s="8"/>
      <c r="J1310" s="8" t="s">
        <v>1894</v>
      </c>
      <c r="K1310" s="27" t="s">
        <v>1873</v>
      </c>
      <c r="L1310" s="28">
        <f>_xlfn.NUMBERVALUE(LEFT(Activities[[#This Row],[Fiscal Year]], 4))</f>
        <v>2015</v>
      </c>
      <c r="M1310" s="28" t="s">
        <v>1862</v>
      </c>
      <c r="N1310" s="41">
        <v>26004.5</v>
      </c>
      <c r="O1310" s="93">
        <f>IF(Activities[[#This Row],[Reference Year]]&gt;2018,Activities[[#This Row],[Value]],Activities[[#This Row],[Value]]*(1+VLOOKUP(Activities[[#This Row],[Reference Year]],Inflation[#All],3,FALSE)))</f>
        <v>27609.866411392402</v>
      </c>
    </row>
    <row r="1311" spans="1:15" ht="15" customHeight="1" x14ac:dyDescent="0.25">
      <c r="A1311" s="9" t="s">
        <v>177</v>
      </c>
      <c r="B1311" s="9" t="str">
        <f>INDEX(Places[Type],MATCH(Activities[[#This Row],[Jurisdiction]],Places[Jurisdiction],0))</f>
        <v>City</v>
      </c>
      <c r="C1311" s="19" t="str">
        <f>INDEX(Places[County],MATCH(Activities[[#This Row],[Jurisdiction]],Places[Jurisdiction],0))</f>
        <v>Los Angeles</v>
      </c>
      <c r="D1311" s="19" t="str">
        <f>INDEX(Places[Majority RB],MATCH(Activities[[#This Row],[Jurisdiction]],Places[Jurisdiction],0))</f>
        <v>Los Angeles</v>
      </c>
      <c r="E1311" s="9">
        <f>INDEX(Places[Majority RB '#],MATCH(Activities[[#This Row],[Jurisdiction]],Places[Jurisdiction],0))</f>
        <v>4</v>
      </c>
      <c r="F1311" s="28" t="str">
        <f>VLOOKUP(Activities[[#This Row],[Jurisdiction]],Places[#All],8,FALSE)</f>
        <v>Phase I MS4</v>
      </c>
      <c r="G1311" s="56" t="s">
        <v>854</v>
      </c>
      <c r="H1311" s="8"/>
      <c r="I1311" s="8"/>
      <c r="J1311" s="8" t="s">
        <v>47</v>
      </c>
      <c r="K1311" s="27" t="s">
        <v>1873</v>
      </c>
      <c r="L1311" s="28">
        <f>_xlfn.NUMBERVALUE(LEFT(Activities[[#This Row],[Fiscal Year]], 4))</f>
        <v>2015</v>
      </c>
      <c r="M1311" s="28" t="s">
        <v>1862</v>
      </c>
      <c r="N1311" s="41">
        <v>47981.54</v>
      </c>
      <c r="O1311" s="93">
        <f>IF(Activities[[#This Row],[Reference Year]]&gt;2018,Activities[[#This Row],[Value]],Activities[[#This Row],[Value]]*(1+VLOOKUP(Activities[[#This Row],[Reference Year]],Inflation[#All],3,FALSE)))</f>
        <v>50943.640893417716</v>
      </c>
    </row>
    <row r="1312" spans="1:15" ht="15" customHeight="1" x14ac:dyDescent="0.25">
      <c r="A1312" s="9" t="s">
        <v>177</v>
      </c>
      <c r="B1312" s="9" t="str">
        <f>INDEX(Places[Type],MATCH(Activities[[#This Row],[Jurisdiction]],Places[Jurisdiction],0))</f>
        <v>City</v>
      </c>
      <c r="C1312" s="19" t="str">
        <f>INDEX(Places[County],MATCH(Activities[[#This Row],[Jurisdiction]],Places[Jurisdiction],0))</f>
        <v>Los Angeles</v>
      </c>
      <c r="D1312" s="19" t="str">
        <f>INDEX(Places[Majority RB],MATCH(Activities[[#This Row],[Jurisdiction]],Places[Jurisdiction],0))</f>
        <v>Los Angeles</v>
      </c>
      <c r="E1312" s="9">
        <f>INDEX(Places[Majority RB '#],MATCH(Activities[[#This Row],[Jurisdiction]],Places[Jurisdiction],0))</f>
        <v>4</v>
      </c>
      <c r="F1312" s="28" t="str">
        <f>VLOOKUP(Activities[[#This Row],[Jurisdiction]],Places[#All],8,FALSE)</f>
        <v>Phase I MS4</v>
      </c>
      <c r="G1312" s="56" t="s">
        <v>924</v>
      </c>
      <c r="H1312" s="8"/>
      <c r="I1312" s="8"/>
      <c r="J1312" s="8" t="s">
        <v>605</v>
      </c>
      <c r="K1312" s="27" t="s">
        <v>1873</v>
      </c>
      <c r="L1312" s="28">
        <f>_xlfn.NUMBERVALUE(LEFT(Activities[[#This Row],[Fiscal Year]], 4))</f>
        <v>2015</v>
      </c>
      <c r="M1312" s="28" t="s">
        <v>1862</v>
      </c>
      <c r="N1312" s="41">
        <v>9520</v>
      </c>
      <c r="O1312" s="93">
        <f>IF(Activities[[#This Row],[Reference Year]]&gt;2018,Activities[[#This Row],[Value]],Activities[[#This Row],[Value]]*(1+VLOOKUP(Activities[[#This Row],[Reference Year]],Inflation[#All],3,FALSE)))</f>
        <v>10107.709367088608</v>
      </c>
    </row>
    <row r="1313" spans="1:15" ht="15" customHeight="1" x14ac:dyDescent="0.25">
      <c r="A1313" s="9" t="s">
        <v>194</v>
      </c>
      <c r="B1313" s="9" t="str">
        <f>INDEX(Places[Type],MATCH(Activities[[#This Row],[Jurisdiction]],Places[Jurisdiction],0))</f>
        <v>City</v>
      </c>
      <c r="C1313" s="19" t="str">
        <f>INDEX(Places[County],MATCH(Activities[[#This Row],[Jurisdiction]],Places[Jurisdiction],0))</f>
        <v>Los Angeles</v>
      </c>
      <c r="D1313" s="19" t="str">
        <f>INDEX(Places[Majority RB],MATCH(Activities[[#This Row],[Jurisdiction]],Places[Jurisdiction],0))</f>
        <v>Los Angeles</v>
      </c>
      <c r="E1313" s="9">
        <f>INDEX(Places[Majority RB '#],MATCH(Activities[[#This Row],[Jurisdiction]],Places[Jurisdiction],0))</f>
        <v>4</v>
      </c>
      <c r="F1313" s="28" t="str">
        <f>VLOOKUP(Activities[[#This Row],[Jurisdiction]],Places[#All],8,FALSE)</f>
        <v>Phase I MS4</v>
      </c>
      <c r="G1313" s="48" t="s">
        <v>61</v>
      </c>
      <c r="H1313" s="8"/>
      <c r="I1313" s="8"/>
      <c r="J1313" s="8" t="s">
        <v>1897</v>
      </c>
      <c r="K1313" s="27" t="s">
        <v>1873</v>
      </c>
      <c r="L1313" s="28">
        <f>_xlfn.NUMBERVALUE(LEFT(Activities[[#This Row],[Fiscal Year]], 4))</f>
        <v>2015</v>
      </c>
      <c r="M1313" s="28" t="s">
        <v>1862</v>
      </c>
      <c r="N1313" s="41">
        <v>232970</v>
      </c>
      <c r="O1313" s="93">
        <f>IF(Activities[[#This Row],[Reference Year]]&gt;2018,Activities[[#This Row],[Value]],Activities[[#This Row],[Value]]*(1+VLOOKUP(Activities[[#This Row],[Reference Year]],Inflation[#All],3,FALSE)))</f>
        <v>247352.21126582276</v>
      </c>
    </row>
    <row r="1314" spans="1:15" ht="15" customHeight="1" x14ac:dyDescent="0.25">
      <c r="A1314" s="9" t="s">
        <v>194</v>
      </c>
      <c r="B1314" s="9" t="str">
        <f>INDEX(Places[Type],MATCH(Activities[[#This Row],[Jurisdiction]],Places[Jurisdiction],0))</f>
        <v>City</v>
      </c>
      <c r="C1314" s="19" t="str">
        <f>INDEX(Places[County],MATCH(Activities[[#This Row],[Jurisdiction]],Places[Jurisdiction],0))</f>
        <v>Los Angeles</v>
      </c>
      <c r="D1314" s="19" t="str">
        <f>INDEX(Places[Majority RB],MATCH(Activities[[#This Row],[Jurisdiction]],Places[Jurisdiction],0))</f>
        <v>Los Angeles</v>
      </c>
      <c r="E1314" s="9">
        <f>INDEX(Places[Majority RB '#],MATCH(Activities[[#This Row],[Jurisdiction]],Places[Jurisdiction],0))</f>
        <v>4</v>
      </c>
      <c r="F1314" s="28" t="str">
        <f>VLOOKUP(Activities[[#This Row],[Jurisdiction]],Places[#All],8,FALSE)</f>
        <v>Phase I MS4</v>
      </c>
      <c r="G1314" s="48" t="s">
        <v>32</v>
      </c>
      <c r="H1314" s="8"/>
      <c r="I1314" s="8"/>
      <c r="J1314" s="8" t="s">
        <v>1894</v>
      </c>
      <c r="K1314" s="27" t="s">
        <v>1873</v>
      </c>
      <c r="L1314" s="28">
        <f>_xlfn.NUMBERVALUE(LEFT(Activities[[#This Row],[Fiscal Year]], 4))</f>
        <v>2015</v>
      </c>
      <c r="M1314" s="28" t="s">
        <v>1862</v>
      </c>
      <c r="N1314" s="41">
        <v>114536.26</v>
      </c>
      <c r="O1314" s="93">
        <f>IF(Activities[[#This Row],[Reference Year]]&gt;2018,Activities[[#This Row],[Value]],Activities[[#This Row],[Value]]*(1+VLOOKUP(Activities[[#This Row],[Reference Year]],Inflation[#All],3,FALSE)))</f>
        <v>121607.06177240505</v>
      </c>
    </row>
    <row r="1315" spans="1:15" ht="15" customHeight="1" x14ac:dyDescent="0.25">
      <c r="A1315" s="9" t="s">
        <v>194</v>
      </c>
      <c r="B1315" s="9" t="str">
        <f>INDEX(Places[Type],MATCH(Activities[[#This Row],[Jurisdiction]],Places[Jurisdiction],0))</f>
        <v>City</v>
      </c>
      <c r="C1315" s="19" t="str">
        <f>INDEX(Places[County],MATCH(Activities[[#This Row],[Jurisdiction]],Places[Jurisdiction],0))</f>
        <v>Los Angeles</v>
      </c>
      <c r="D1315" s="19" t="str">
        <f>INDEX(Places[Majority RB],MATCH(Activities[[#This Row],[Jurisdiction]],Places[Jurisdiction],0))</f>
        <v>Los Angeles</v>
      </c>
      <c r="E1315" s="9">
        <f>INDEX(Places[Majority RB '#],MATCH(Activities[[#This Row],[Jurisdiction]],Places[Jurisdiction],0))</f>
        <v>4</v>
      </c>
      <c r="F1315" s="28" t="str">
        <f>VLOOKUP(Activities[[#This Row],[Jurisdiction]],Places[#All],8,FALSE)</f>
        <v>Phase I MS4</v>
      </c>
      <c r="G1315" s="48" t="s">
        <v>67</v>
      </c>
      <c r="H1315" s="8" t="s">
        <v>940</v>
      </c>
      <c r="I1315" s="8" t="s">
        <v>429</v>
      </c>
      <c r="J1315" s="8" t="s">
        <v>1896</v>
      </c>
      <c r="K1315" s="27" t="s">
        <v>1873</v>
      </c>
      <c r="L1315" s="28">
        <f>_xlfn.NUMBERVALUE(LEFT(Activities[[#This Row],[Fiscal Year]], 4))</f>
        <v>2015</v>
      </c>
      <c r="M1315" s="28" t="s">
        <v>1862</v>
      </c>
      <c r="N1315" s="41">
        <v>2755.74</v>
      </c>
      <c r="O1315" s="93">
        <f>IF(Activities[[#This Row],[Reference Year]]&gt;2018,Activities[[#This Row],[Value]],Activities[[#This Row],[Value]]*(1+VLOOKUP(Activities[[#This Row],[Reference Year]],Inflation[#All],3,FALSE)))</f>
        <v>2925.863341518987</v>
      </c>
    </row>
    <row r="1316" spans="1:15" ht="15" customHeight="1" x14ac:dyDescent="0.25">
      <c r="A1316" s="9" t="s">
        <v>194</v>
      </c>
      <c r="B1316" s="9" t="str">
        <f>INDEX(Places[Type],MATCH(Activities[[#This Row],[Jurisdiction]],Places[Jurisdiction],0))</f>
        <v>City</v>
      </c>
      <c r="C1316" s="19" t="str">
        <f>INDEX(Places[County],MATCH(Activities[[#This Row],[Jurisdiction]],Places[Jurisdiction],0))</f>
        <v>Los Angeles</v>
      </c>
      <c r="D1316" s="19" t="str">
        <f>INDEX(Places[Majority RB],MATCH(Activities[[#This Row],[Jurisdiction]],Places[Jurisdiction],0))</f>
        <v>Los Angeles</v>
      </c>
      <c r="E1316" s="9">
        <f>INDEX(Places[Majority RB '#],MATCH(Activities[[#This Row],[Jurisdiction]],Places[Jurisdiction],0))</f>
        <v>4</v>
      </c>
      <c r="F1316" s="28" t="str">
        <f>VLOOKUP(Activities[[#This Row],[Jurisdiction]],Places[#All],8,FALSE)</f>
        <v>Phase I MS4</v>
      </c>
      <c r="G1316" s="48" t="s">
        <v>33</v>
      </c>
      <c r="H1316" s="8"/>
      <c r="I1316" s="8"/>
      <c r="J1316" s="8" t="s">
        <v>47</v>
      </c>
      <c r="K1316" s="27" t="s">
        <v>1873</v>
      </c>
      <c r="L1316" s="28">
        <f>_xlfn.NUMBERVALUE(LEFT(Activities[[#This Row],[Fiscal Year]], 4))</f>
        <v>2015</v>
      </c>
      <c r="M1316" s="28" t="s">
        <v>1862</v>
      </c>
      <c r="N1316" s="41">
        <v>44190</v>
      </c>
      <c r="O1316" s="93">
        <f>IF(Activities[[#This Row],[Reference Year]]&gt;2018,Activities[[#This Row],[Value]],Activities[[#This Row],[Value]]*(1+VLOOKUP(Activities[[#This Row],[Reference Year]],Inflation[#All],3,FALSE)))</f>
        <v>46918.03329113924</v>
      </c>
    </row>
    <row r="1317" spans="1:15" ht="15" customHeight="1" x14ac:dyDescent="0.25">
      <c r="A1317" s="9" t="s">
        <v>124</v>
      </c>
      <c r="B1317" s="9" t="str">
        <f>INDEX(Places[Type],MATCH(Activities[[#This Row],[Jurisdiction]],Places[Jurisdiction],0))</f>
        <v>City</v>
      </c>
      <c r="C1317" s="19" t="str">
        <f>INDEX(Places[County],MATCH(Activities[[#This Row],[Jurisdiction]],Places[Jurisdiction],0))</f>
        <v>Sacramento</v>
      </c>
      <c r="D1317" s="9" t="str">
        <f>INDEX(Places[Majority RB],MATCH(Activities[[#This Row],[Jurisdiction]],Places[Jurisdiction],0))</f>
        <v>Central Valley</v>
      </c>
      <c r="E1317" s="9">
        <f>INDEX(Places[Majority RB '#],MATCH(Activities[[#This Row],[Jurisdiction]],Places[Jurisdiction],0))</f>
        <v>5</v>
      </c>
      <c r="F1317" s="28" t="str">
        <f>VLOOKUP(Activities[[#This Row],[Jurisdiction]],Places[#All],8,FALSE)</f>
        <v>Phase I MS4</v>
      </c>
      <c r="G1317" s="48" t="s">
        <v>70</v>
      </c>
      <c r="H1317" s="8" t="s">
        <v>538</v>
      </c>
      <c r="I1317" s="8" t="s">
        <v>543</v>
      </c>
      <c r="J1317" s="8" t="s">
        <v>1895</v>
      </c>
      <c r="K1317" s="27" t="s">
        <v>1873</v>
      </c>
      <c r="L1317" s="28">
        <f>_xlfn.NUMBERVALUE(LEFT(Activities[[#This Row],[Fiscal Year]], 4))</f>
        <v>2015</v>
      </c>
      <c r="M1317" s="28" t="s">
        <v>1862</v>
      </c>
      <c r="N1317" s="41">
        <v>241470</v>
      </c>
      <c r="O1317" s="93">
        <f>IF(Activities[[#This Row],[Reference Year]]&gt;2018,Activities[[#This Row],[Value]],Activities[[#This Row],[Value]]*(1+VLOOKUP(Activities[[#This Row],[Reference Year]],Inflation[#All],3,FALSE)))</f>
        <v>256376.95177215189</v>
      </c>
    </row>
    <row r="1318" spans="1:15" ht="15" customHeight="1" x14ac:dyDescent="0.25">
      <c r="A1318" s="9" t="s">
        <v>124</v>
      </c>
      <c r="B1318" s="9" t="str">
        <f>INDEX(Places[Type],MATCH(Activities[[#This Row],[Jurisdiction]],Places[Jurisdiction],0))</f>
        <v>City</v>
      </c>
      <c r="C1318" s="19" t="str">
        <f>INDEX(Places[County],MATCH(Activities[[#This Row],[Jurisdiction]],Places[Jurisdiction],0))</f>
        <v>Sacramento</v>
      </c>
      <c r="D1318" s="9" t="str">
        <f>INDEX(Places[Majority RB],MATCH(Activities[[#This Row],[Jurisdiction]],Places[Jurisdiction],0))</f>
        <v>Central Valley</v>
      </c>
      <c r="E1318" s="9">
        <f>INDEX(Places[Majority RB '#],MATCH(Activities[[#This Row],[Jurisdiction]],Places[Jurisdiction],0))</f>
        <v>5</v>
      </c>
      <c r="F1318" s="28" t="str">
        <f>VLOOKUP(Activities[[#This Row],[Jurisdiction]],Places[#All],8,FALSE)</f>
        <v>Phase I MS4</v>
      </c>
      <c r="G1318" s="48" t="s">
        <v>131</v>
      </c>
      <c r="H1318" s="8" t="s">
        <v>541</v>
      </c>
      <c r="I1318" s="8" t="s">
        <v>536</v>
      </c>
      <c r="J1318" s="8" t="s">
        <v>131</v>
      </c>
      <c r="K1318" s="27" t="s">
        <v>1873</v>
      </c>
      <c r="L1318" s="28">
        <f>_xlfn.NUMBERVALUE(LEFT(Activities[[#This Row],[Fiscal Year]], 4))</f>
        <v>2015</v>
      </c>
      <c r="M1318" s="28" t="s">
        <v>1862</v>
      </c>
      <c r="N1318" s="41">
        <v>63960</v>
      </c>
      <c r="O1318" s="93">
        <f>IF(Activities[[#This Row],[Reference Year]]&gt;2018,Activities[[#This Row],[Value]],Activities[[#This Row],[Value]]*(1+VLOOKUP(Activities[[#This Row],[Reference Year]],Inflation[#All],3,FALSE)))</f>
        <v>67908.517974683535</v>
      </c>
    </row>
    <row r="1319" spans="1:15" ht="15" customHeight="1" x14ac:dyDescent="0.25">
      <c r="A1319" s="9" t="s">
        <v>124</v>
      </c>
      <c r="B1319" s="9" t="str">
        <f>INDEX(Places[Type],MATCH(Activities[[#This Row],[Jurisdiction]],Places[Jurisdiction],0))</f>
        <v>City</v>
      </c>
      <c r="C1319" s="19" t="str">
        <f>INDEX(Places[County],MATCH(Activities[[#This Row],[Jurisdiction]],Places[Jurisdiction],0))</f>
        <v>Sacramento</v>
      </c>
      <c r="D1319" s="9" t="str">
        <f>INDEX(Places[Majority RB],MATCH(Activities[[#This Row],[Jurisdiction]],Places[Jurisdiction],0))</f>
        <v>Central Valley</v>
      </c>
      <c r="E1319" s="9">
        <f>INDEX(Places[Majority RB '#],MATCH(Activities[[#This Row],[Jurisdiction]],Places[Jurisdiction],0))</f>
        <v>5</v>
      </c>
      <c r="F1319" s="28" t="str">
        <f>VLOOKUP(Activities[[#This Row],[Jurisdiction]],Places[#All],8,FALSE)</f>
        <v>Phase I MS4</v>
      </c>
      <c r="G1319" s="48" t="s">
        <v>130</v>
      </c>
      <c r="H1319" s="8" t="s">
        <v>537</v>
      </c>
      <c r="I1319" s="8" t="s">
        <v>536</v>
      </c>
      <c r="J1319" s="8" t="s">
        <v>334</v>
      </c>
      <c r="K1319" s="27" t="s">
        <v>1873</v>
      </c>
      <c r="L1319" s="28">
        <f>_xlfn.NUMBERVALUE(LEFT(Activities[[#This Row],[Fiscal Year]], 4))</f>
        <v>2015</v>
      </c>
      <c r="M1319" s="28" t="s">
        <v>1862</v>
      </c>
      <c r="N1319" s="41">
        <v>28288</v>
      </c>
      <c r="O1319" s="93">
        <f>IF(Activities[[#This Row],[Reference Year]]&gt;2018,Activities[[#This Row],[Value]],Activities[[#This Row],[Value]]*(1+VLOOKUP(Activities[[#This Row],[Reference Year]],Inflation[#All],3,FALSE)))</f>
        <v>30034.336405063288</v>
      </c>
    </row>
    <row r="1320" spans="1:15" ht="15" customHeight="1" x14ac:dyDescent="0.25">
      <c r="A1320" s="9" t="s">
        <v>124</v>
      </c>
      <c r="B1320" s="9" t="str">
        <f>INDEX(Places[Type],MATCH(Activities[[#This Row],[Jurisdiction]],Places[Jurisdiction],0))</f>
        <v>City</v>
      </c>
      <c r="C1320" s="19" t="str">
        <f>INDEX(Places[County],MATCH(Activities[[#This Row],[Jurisdiction]],Places[Jurisdiction],0))</f>
        <v>Sacramento</v>
      </c>
      <c r="D1320" s="9" t="str">
        <f>INDEX(Places[Majority RB],MATCH(Activities[[#This Row],[Jurisdiction]],Places[Jurisdiction],0))</f>
        <v>Central Valley</v>
      </c>
      <c r="E1320" s="9">
        <f>INDEX(Places[Majority RB '#],MATCH(Activities[[#This Row],[Jurisdiction]],Places[Jurisdiction],0))</f>
        <v>5</v>
      </c>
      <c r="F1320" s="28" t="str">
        <f>VLOOKUP(Activities[[#This Row],[Jurisdiction]],Places[#All],8,FALSE)</f>
        <v>Phase I MS4</v>
      </c>
      <c r="G1320" s="48" t="s">
        <v>127</v>
      </c>
      <c r="H1320" s="8" t="s">
        <v>540</v>
      </c>
      <c r="I1320" s="8" t="s">
        <v>536</v>
      </c>
      <c r="J1320" s="8" t="s">
        <v>1897</v>
      </c>
      <c r="K1320" s="27" t="s">
        <v>1873</v>
      </c>
      <c r="L1320" s="28">
        <f>_xlfn.NUMBERVALUE(LEFT(Activities[[#This Row],[Fiscal Year]], 4))</f>
        <v>2015</v>
      </c>
      <c r="M1320" s="28" t="s">
        <v>1862</v>
      </c>
      <c r="N1320" s="41">
        <v>248829</v>
      </c>
      <c r="O1320" s="93">
        <f>IF(Activities[[#This Row],[Reference Year]]&gt;2018,Activities[[#This Row],[Value]],Activities[[#This Row],[Value]]*(1+VLOOKUP(Activities[[#This Row],[Reference Year]],Inflation[#All],3,FALSE)))</f>
        <v>264190.25358227844</v>
      </c>
    </row>
    <row r="1321" spans="1:15" ht="15" customHeight="1" x14ac:dyDescent="0.25">
      <c r="A1321" s="9" t="s">
        <v>124</v>
      </c>
      <c r="B1321" s="9" t="str">
        <f>INDEX(Places[Type],MATCH(Activities[[#This Row],[Jurisdiction]],Places[Jurisdiction],0))</f>
        <v>City</v>
      </c>
      <c r="C1321" s="19" t="str">
        <f>INDEX(Places[County],MATCH(Activities[[#This Row],[Jurisdiction]],Places[Jurisdiction],0))</f>
        <v>Sacramento</v>
      </c>
      <c r="D1321" s="9" t="str">
        <f>INDEX(Places[Majority RB],MATCH(Activities[[#This Row],[Jurisdiction]],Places[Jurisdiction],0))</f>
        <v>Central Valley</v>
      </c>
      <c r="E1321" s="9">
        <f>INDEX(Places[Majority RB '#],MATCH(Activities[[#This Row],[Jurisdiction]],Places[Jurisdiction],0))</f>
        <v>5</v>
      </c>
      <c r="F1321" s="28" t="str">
        <f>VLOOKUP(Activities[[#This Row],[Jurisdiction]],Places[#All],8,FALSE)</f>
        <v>Phase I MS4</v>
      </c>
      <c r="G1321" s="48" t="s">
        <v>132</v>
      </c>
      <c r="H1321" s="8"/>
      <c r="I1321" s="8"/>
      <c r="J1321" s="8" t="s">
        <v>1898</v>
      </c>
      <c r="K1321" s="27" t="s">
        <v>1873</v>
      </c>
      <c r="L1321" s="28">
        <f>_xlfn.NUMBERVALUE(LEFT(Activities[[#This Row],[Fiscal Year]], 4))</f>
        <v>2015</v>
      </c>
      <c r="M1321" s="28" t="s">
        <v>1862</v>
      </c>
      <c r="N1321" s="41">
        <v>152829</v>
      </c>
      <c r="O1321" s="93">
        <f>IF(Activities[[#This Row],[Reference Year]]&gt;2018,Activities[[#This Row],[Value]],Activities[[#This Row],[Value]]*(1+VLOOKUP(Activities[[#This Row],[Reference Year]],Inflation[#All],3,FALSE)))</f>
        <v>162263.77256962025</v>
      </c>
    </row>
    <row r="1322" spans="1:15" ht="15" customHeight="1" x14ac:dyDescent="0.25">
      <c r="A1322" s="9" t="s">
        <v>124</v>
      </c>
      <c r="B1322" s="9" t="str">
        <f>INDEX(Places[Type],MATCH(Activities[[#This Row],[Jurisdiction]],Places[Jurisdiction],0))</f>
        <v>City</v>
      </c>
      <c r="C1322" s="19" t="str">
        <f>INDEX(Places[County],MATCH(Activities[[#This Row],[Jurisdiction]],Places[Jurisdiction],0))</f>
        <v>Sacramento</v>
      </c>
      <c r="D1322" s="9" t="str">
        <f>INDEX(Places[Majority RB],MATCH(Activities[[#This Row],[Jurisdiction]],Places[Jurisdiction],0))</f>
        <v>Central Valley</v>
      </c>
      <c r="E1322" s="9">
        <f>INDEX(Places[Majority RB '#],MATCH(Activities[[#This Row],[Jurisdiction]],Places[Jurisdiction],0))</f>
        <v>5</v>
      </c>
      <c r="F1322" s="28" t="str">
        <f>VLOOKUP(Activities[[#This Row],[Jurisdiction]],Places[#All],8,FALSE)</f>
        <v>Phase I MS4</v>
      </c>
      <c r="G1322" s="48" t="s">
        <v>133</v>
      </c>
      <c r="H1322" s="8" t="s">
        <v>542</v>
      </c>
      <c r="I1322" s="8" t="s">
        <v>536</v>
      </c>
      <c r="J1322" s="8" t="s">
        <v>1456</v>
      </c>
      <c r="K1322" s="27" t="s">
        <v>1873</v>
      </c>
      <c r="L1322" s="28">
        <f>_xlfn.NUMBERVALUE(LEFT(Activities[[#This Row],[Fiscal Year]], 4))</f>
        <v>2015</v>
      </c>
      <c r="M1322" s="28" t="s">
        <v>1862</v>
      </c>
      <c r="N1322" s="41">
        <v>213113</v>
      </c>
      <c r="O1322" s="93">
        <f>IF(Activities[[#This Row],[Reference Year]]&gt;2018,Activities[[#This Row],[Value]],Activities[[#This Row],[Value]]*(1+VLOOKUP(Activities[[#This Row],[Reference Year]],Inflation[#All],3,FALSE)))</f>
        <v>226269.35570886073</v>
      </c>
    </row>
    <row r="1323" spans="1:15" ht="15" customHeight="1" x14ac:dyDescent="0.25">
      <c r="A1323" s="9" t="s">
        <v>124</v>
      </c>
      <c r="B1323" s="9" t="str">
        <f>INDEX(Places[Type],MATCH(Activities[[#This Row],[Jurisdiction]],Places[Jurisdiction],0))</f>
        <v>City</v>
      </c>
      <c r="C1323" s="19" t="str">
        <f>INDEX(Places[County],MATCH(Activities[[#This Row],[Jurisdiction]],Places[Jurisdiction],0))</f>
        <v>Sacramento</v>
      </c>
      <c r="D1323" s="9" t="str">
        <f>INDEX(Places[Majority RB],MATCH(Activities[[#This Row],[Jurisdiction]],Places[Jurisdiction],0))</f>
        <v>Central Valley</v>
      </c>
      <c r="E1323" s="9">
        <f>INDEX(Places[Majority RB '#],MATCH(Activities[[#This Row],[Jurisdiction]],Places[Jurisdiction],0))</f>
        <v>5</v>
      </c>
      <c r="F1323" s="28" t="str">
        <f>VLOOKUP(Activities[[#This Row],[Jurisdiction]],Places[#All],8,FALSE)</f>
        <v>Phase I MS4</v>
      </c>
      <c r="G1323" s="48" t="s">
        <v>32</v>
      </c>
      <c r="H1323" s="8" t="s">
        <v>532</v>
      </c>
      <c r="I1323" s="47" t="s">
        <v>533</v>
      </c>
      <c r="J1323" s="8" t="s">
        <v>1894</v>
      </c>
      <c r="K1323" s="27" t="s">
        <v>1873</v>
      </c>
      <c r="L1323" s="28">
        <f>_xlfn.NUMBERVALUE(LEFT(Activities[[#This Row],[Fiscal Year]], 4))</f>
        <v>2015</v>
      </c>
      <c r="M1323" s="28" t="s">
        <v>1862</v>
      </c>
      <c r="N1323" s="41">
        <v>269694</v>
      </c>
      <c r="O1323" s="93">
        <f>IF(Activities[[#This Row],[Reference Year]]&gt;2018,Activities[[#This Row],[Value]],Activities[[#This Row],[Value]]*(1+VLOOKUP(Activities[[#This Row],[Reference Year]],Inflation[#All],3,FALSE)))</f>
        <v>286343.33718987339</v>
      </c>
    </row>
    <row r="1324" spans="1:15" ht="15" customHeight="1" x14ac:dyDescent="0.25">
      <c r="A1324" s="9" t="s">
        <v>124</v>
      </c>
      <c r="B1324" s="9" t="str">
        <f>INDEX(Places[Type],MATCH(Activities[[#This Row],[Jurisdiction]],Places[Jurisdiction],0))</f>
        <v>City</v>
      </c>
      <c r="C1324" s="19" t="str">
        <f>INDEX(Places[County],MATCH(Activities[[#This Row],[Jurisdiction]],Places[Jurisdiction],0))</f>
        <v>Sacramento</v>
      </c>
      <c r="D1324" s="9" t="str">
        <f>INDEX(Places[Majority RB],MATCH(Activities[[#This Row],[Jurisdiction]],Places[Jurisdiction],0))</f>
        <v>Central Valley</v>
      </c>
      <c r="E1324" s="9">
        <f>INDEX(Places[Majority RB '#],MATCH(Activities[[#This Row],[Jurisdiction]],Places[Jurisdiction],0))</f>
        <v>5</v>
      </c>
      <c r="F1324" s="28" t="str">
        <f>VLOOKUP(Activities[[#This Row],[Jurisdiction]],Places[#All],8,FALSE)</f>
        <v>Phase I MS4</v>
      </c>
      <c r="G1324" s="48" t="s">
        <v>134</v>
      </c>
      <c r="H1324" s="8" t="s">
        <v>627</v>
      </c>
      <c r="I1324" s="47" t="s">
        <v>628</v>
      </c>
      <c r="J1324" s="8" t="s">
        <v>1896</v>
      </c>
      <c r="K1324" s="27" t="s">
        <v>1873</v>
      </c>
      <c r="L1324" s="28">
        <f>_xlfn.NUMBERVALUE(LEFT(Activities[[#This Row],[Fiscal Year]], 4))</f>
        <v>2015</v>
      </c>
      <c r="M1324" s="28" t="s">
        <v>1862</v>
      </c>
      <c r="N1324" s="41">
        <v>73955</v>
      </c>
      <c r="O1324" s="93">
        <f>IF(Activities[[#This Row],[Reference Year]]&gt;2018,Activities[[#This Row],[Value]],Activities[[#This Row],[Value]]*(1+VLOOKUP(Activities[[#This Row],[Reference Year]],Inflation[#All],3,FALSE)))</f>
        <v>78520.551075949363</v>
      </c>
    </row>
    <row r="1325" spans="1:15" ht="15" customHeight="1" x14ac:dyDescent="0.25">
      <c r="A1325" s="9" t="s">
        <v>124</v>
      </c>
      <c r="B1325" s="9" t="str">
        <f>INDEX(Places[Type],MATCH(Activities[[#This Row],[Jurisdiction]],Places[Jurisdiction],0))</f>
        <v>City</v>
      </c>
      <c r="C1325" s="19" t="str">
        <f>INDEX(Places[County],MATCH(Activities[[#This Row],[Jurisdiction]],Places[Jurisdiction],0))</f>
        <v>Sacramento</v>
      </c>
      <c r="D1325" s="9" t="str">
        <f>INDEX(Places[Majority RB],MATCH(Activities[[#This Row],[Jurisdiction]],Places[Jurisdiction],0))</f>
        <v>Central Valley</v>
      </c>
      <c r="E1325" s="9">
        <f>INDEX(Places[Majority RB '#],MATCH(Activities[[#This Row],[Jurisdiction]],Places[Jurisdiction],0))</f>
        <v>5</v>
      </c>
      <c r="F1325" s="28" t="str">
        <f>VLOOKUP(Activities[[#This Row],[Jurisdiction]],Places[#All],8,FALSE)</f>
        <v>Phase I MS4</v>
      </c>
      <c r="G1325" s="48" t="s">
        <v>78</v>
      </c>
      <c r="H1325" s="8"/>
      <c r="I1325" s="8"/>
      <c r="J1325" s="8" t="s">
        <v>47</v>
      </c>
      <c r="K1325" s="27" t="s">
        <v>1873</v>
      </c>
      <c r="L1325" s="28">
        <f>_xlfn.NUMBERVALUE(LEFT(Activities[[#This Row],[Fiscal Year]], 4))</f>
        <v>2015</v>
      </c>
      <c r="M1325" s="28" t="s">
        <v>1862</v>
      </c>
      <c r="N1325" s="41">
        <v>434671</v>
      </c>
      <c r="O1325" s="93">
        <f>IF(Activities[[#This Row],[Reference Year]]&gt;2018,Activities[[#This Row],[Value]],Activities[[#This Row],[Value]]*(1+VLOOKUP(Activities[[#This Row],[Reference Year]],Inflation[#All],3,FALSE)))</f>
        <v>461505.05654430378</v>
      </c>
    </row>
    <row r="1326" spans="1:15" ht="15" customHeight="1" x14ac:dyDescent="0.25">
      <c r="A1326" s="9" t="s">
        <v>1443</v>
      </c>
      <c r="B1326" s="9" t="str">
        <f>INDEX(Places[Type],MATCH(Activities[[#This Row],[Jurisdiction]],Places[Jurisdiction],0))</f>
        <v>County</v>
      </c>
      <c r="C1326" s="19" t="str">
        <f>INDEX(Places[County],MATCH(Activities[[#This Row],[Jurisdiction]],Places[Jurisdiction],0))</f>
        <v>Sacramento</v>
      </c>
      <c r="D1326" s="9" t="str">
        <f>INDEX(Places[Majority RB],MATCH(Activities[[#This Row],[Jurisdiction]],Places[Jurisdiction],0))</f>
        <v>Central Valley</v>
      </c>
      <c r="E1326" s="9">
        <f>INDEX(Places[Majority RB '#],MATCH(Activities[[#This Row],[Jurisdiction]],Places[Jurisdiction],0))</f>
        <v>5</v>
      </c>
      <c r="F1326" s="28" t="str">
        <f>VLOOKUP(Activities[[#This Row],[Jurisdiction]],Places[#All],8,FALSE)</f>
        <v>Phase I MS4</v>
      </c>
      <c r="G1326" s="48" t="s">
        <v>1073</v>
      </c>
      <c r="H1326" s="8" t="s">
        <v>527</v>
      </c>
      <c r="I1326" s="8" t="s">
        <v>458</v>
      </c>
      <c r="J1326" s="8" t="s">
        <v>1895</v>
      </c>
      <c r="K1326" s="27" t="s">
        <v>1873</v>
      </c>
      <c r="L1326" s="28">
        <f>_xlfn.NUMBERVALUE(LEFT(Activities[[#This Row],[Fiscal Year]], 4))</f>
        <v>2015</v>
      </c>
      <c r="M1326" s="28" t="s">
        <v>1862</v>
      </c>
      <c r="N1326" s="41">
        <v>112718</v>
      </c>
      <c r="O1326" s="93">
        <f>IF(Activities[[#This Row],[Reference Year]]&gt;2018,Activities[[#This Row],[Value]],Activities[[#This Row],[Value]]*(1+VLOOKUP(Activities[[#This Row],[Reference Year]],Inflation[#All],3,FALSE)))</f>
        <v>119676.55298734177</v>
      </c>
    </row>
    <row r="1327" spans="1:15" ht="15" customHeight="1" x14ac:dyDescent="0.25">
      <c r="A1327" s="9" t="s">
        <v>1443</v>
      </c>
      <c r="B1327" s="9" t="str">
        <f>INDEX(Places[Type],MATCH(Activities[[#This Row],[Jurisdiction]],Places[Jurisdiction],0))</f>
        <v>County</v>
      </c>
      <c r="C1327" s="19" t="str">
        <f>INDEX(Places[County],MATCH(Activities[[#This Row],[Jurisdiction]],Places[Jurisdiction],0))</f>
        <v>Sacramento</v>
      </c>
      <c r="D1327" s="9" t="str">
        <f>INDEX(Places[Majority RB],MATCH(Activities[[#This Row],[Jurisdiction]],Places[Jurisdiction],0))</f>
        <v>Central Valley</v>
      </c>
      <c r="E1327" s="9">
        <f>INDEX(Places[Majority RB '#],MATCH(Activities[[#This Row],[Jurisdiction]],Places[Jurisdiction],0))</f>
        <v>5</v>
      </c>
      <c r="F1327" s="28" t="str">
        <f>VLOOKUP(Activities[[#This Row],[Jurisdiction]],Places[#All],8,FALSE)</f>
        <v>Phase I MS4</v>
      </c>
      <c r="G1327" s="48" t="s">
        <v>1086</v>
      </c>
      <c r="H1327" s="8" t="s">
        <v>530</v>
      </c>
      <c r="I1327" s="8"/>
      <c r="J1327" s="8" t="s">
        <v>1895</v>
      </c>
      <c r="K1327" s="27" t="s">
        <v>1873</v>
      </c>
      <c r="L1327" s="28">
        <f>_xlfn.NUMBERVALUE(LEFT(Activities[[#This Row],[Fiscal Year]], 4))</f>
        <v>2015</v>
      </c>
      <c r="M1327" s="28" t="s">
        <v>1862</v>
      </c>
      <c r="N1327" s="41">
        <v>420000</v>
      </c>
      <c r="O1327" s="93">
        <f>IF(Activities[[#This Row],[Reference Year]]&gt;2018,Activities[[#This Row],[Value]],Activities[[#This Row],[Value]]*(1+VLOOKUP(Activities[[#This Row],[Reference Year]],Inflation[#All],3,FALSE)))</f>
        <v>445928.3544303797</v>
      </c>
    </row>
    <row r="1328" spans="1:15" ht="15" customHeight="1" x14ac:dyDescent="0.25">
      <c r="A1328" s="9" t="s">
        <v>1443</v>
      </c>
      <c r="B1328" s="9" t="str">
        <f>INDEX(Places[Type],MATCH(Activities[[#This Row],[Jurisdiction]],Places[Jurisdiction],0))</f>
        <v>County</v>
      </c>
      <c r="C1328" s="19" t="str">
        <f>INDEX(Places[County],MATCH(Activities[[#This Row],[Jurisdiction]],Places[Jurisdiction],0))</f>
        <v>Sacramento</v>
      </c>
      <c r="D1328" s="9" t="str">
        <f>INDEX(Places[Majority RB],MATCH(Activities[[#This Row],[Jurisdiction]],Places[Jurisdiction],0))</f>
        <v>Central Valley</v>
      </c>
      <c r="E1328" s="9">
        <f>INDEX(Places[Majority RB '#],MATCH(Activities[[#This Row],[Jurisdiction]],Places[Jurisdiction],0))</f>
        <v>5</v>
      </c>
      <c r="F1328" s="28" t="str">
        <f>VLOOKUP(Activities[[#This Row],[Jurisdiction]],Places[#All],8,FALSE)</f>
        <v>Phase I MS4</v>
      </c>
      <c r="G1328" s="48" t="s">
        <v>1084</v>
      </c>
      <c r="H1328" s="8"/>
      <c r="I1328" s="8"/>
      <c r="J1328" s="8" t="s">
        <v>131</v>
      </c>
      <c r="K1328" s="27" t="s">
        <v>1873</v>
      </c>
      <c r="L1328" s="28">
        <f>_xlfn.NUMBERVALUE(LEFT(Activities[[#This Row],[Fiscal Year]], 4))</f>
        <v>2015</v>
      </c>
      <c r="M1328" s="28" t="s">
        <v>1862</v>
      </c>
      <c r="N1328" s="41">
        <v>21562</v>
      </c>
      <c r="O1328" s="93">
        <f>IF(Activities[[#This Row],[Reference Year]]&gt;2018,Activities[[#This Row],[Value]],Activities[[#This Row],[Value]]*(1+VLOOKUP(Activities[[#This Row],[Reference Year]],Inflation[#All],3,FALSE)))</f>
        <v>22893.112329113923</v>
      </c>
    </row>
    <row r="1329" spans="1:15" ht="15" customHeight="1" x14ac:dyDescent="0.25">
      <c r="A1329" s="9" t="s">
        <v>1443</v>
      </c>
      <c r="B1329" s="9" t="str">
        <f>INDEX(Places[Type],MATCH(Activities[[#This Row],[Jurisdiction]],Places[Jurisdiction],0))</f>
        <v>County</v>
      </c>
      <c r="C1329" s="19" t="str">
        <f>INDEX(Places[County],MATCH(Activities[[#This Row],[Jurisdiction]],Places[Jurisdiction],0))</f>
        <v>Sacramento</v>
      </c>
      <c r="D1329" s="9" t="str">
        <f>INDEX(Places[Majority RB],MATCH(Activities[[#This Row],[Jurisdiction]],Places[Jurisdiction],0))</f>
        <v>Central Valley</v>
      </c>
      <c r="E1329" s="9">
        <f>INDEX(Places[Majority RB '#],MATCH(Activities[[#This Row],[Jurisdiction]],Places[Jurisdiction],0))</f>
        <v>5</v>
      </c>
      <c r="F1329" s="28" t="str">
        <f>VLOOKUP(Activities[[#This Row],[Jurisdiction]],Places[#All],8,FALSE)</f>
        <v>Phase I MS4</v>
      </c>
      <c r="G1329" s="48" t="s">
        <v>1076</v>
      </c>
      <c r="H1329" s="8"/>
      <c r="I1329" s="8"/>
      <c r="J1329" s="8" t="s">
        <v>131</v>
      </c>
      <c r="K1329" s="27" t="s">
        <v>1873</v>
      </c>
      <c r="L1329" s="28">
        <f>_xlfn.NUMBERVALUE(LEFT(Activities[[#This Row],[Fiscal Year]], 4))</f>
        <v>2015</v>
      </c>
      <c r="M1329" s="28" t="s">
        <v>1862</v>
      </c>
      <c r="N1329" s="41">
        <v>163602</v>
      </c>
      <c r="O1329" s="93">
        <f>IF(Activities[[#This Row],[Reference Year]]&gt;2018,Activities[[#This Row],[Value]],Activities[[#This Row],[Value]]*(1+VLOOKUP(Activities[[#This Row],[Reference Year]],Inflation[#All],3,FALSE)))</f>
        <v>173701.8348607595</v>
      </c>
    </row>
    <row r="1330" spans="1:15" ht="15" customHeight="1" x14ac:dyDescent="0.25">
      <c r="A1330" s="9" t="s">
        <v>1443</v>
      </c>
      <c r="B1330" s="9" t="str">
        <f>INDEX(Places[Type],MATCH(Activities[[#This Row],[Jurisdiction]],Places[Jurisdiction],0))</f>
        <v>County</v>
      </c>
      <c r="C1330" s="19" t="str">
        <f>INDEX(Places[County],MATCH(Activities[[#This Row],[Jurisdiction]],Places[Jurisdiction],0))</f>
        <v>Sacramento</v>
      </c>
      <c r="D1330" s="9" t="str">
        <f>INDEX(Places[Majority RB],MATCH(Activities[[#This Row],[Jurisdiction]],Places[Jurisdiction],0))</f>
        <v>Central Valley</v>
      </c>
      <c r="E1330" s="9">
        <f>INDEX(Places[Majority RB '#],MATCH(Activities[[#This Row],[Jurisdiction]],Places[Jurisdiction],0))</f>
        <v>5</v>
      </c>
      <c r="F1330" s="28" t="str">
        <f>VLOOKUP(Activities[[#This Row],[Jurisdiction]],Places[#All],8,FALSE)</f>
        <v>Phase I MS4</v>
      </c>
      <c r="G1330" s="48" t="s">
        <v>1074</v>
      </c>
      <c r="H1330" s="8"/>
      <c r="I1330" s="8"/>
      <c r="J1330" s="8" t="s">
        <v>334</v>
      </c>
      <c r="K1330" s="27" t="s">
        <v>1873</v>
      </c>
      <c r="L1330" s="28">
        <f>_xlfn.NUMBERVALUE(LEFT(Activities[[#This Row],[Fiscal Year]], 4))</f>
        <v>2015</v>
      </c>
      <c r="M1330" s="28" t="s">
        <v>1862</v>
      </c>
      <c r="N1330" s="41">
        <v>310200</v>
      </c>
      <c r="O1330" s="93">
        <f>IF(Activities[[#This Row],[Reference Year]]&gt;2018,Activities[[#This Row],[Value]],Activities[[#This Row],[Value]]*(1+VLOOKUP(Activities[[#This Row],[Reference Year]],Inflation[#All],3,FALSE)))</f>
        <v>329349.94177215185</v>
      </c>
    </row>
    <row r="1331" spans="1:15" ht="15" customHeight="1" x14ac:dyDescent="0.25">
      <c r="A1331" s="9" t="s">
        <v>1443</v>
      </c>
      <c r="B1331" s="9" t="str">
        <f>INDEX(Places[Type],MATCH(Activities[[#This Row],[Jurisdiction]],Places[Jurisdiction],0))</f>
        <v>County</v>
      </c>
      <c r="C1331" s="19" t="str">
        <f>INDEX(Places[County],MATCH(Activities[[#This Row],[Jurisdiction]],Places[Jurisdiction],0))</f>
        <v>Sacramento</v>
      </c>
      <c r="D1331" s="9" t="str">
        <f>INDEX(Places[Majority RB],MATCH(Activities[[#This Row],[Jurisdiction]],Places[Jurisdiction],0))</f>
        <v>Central Valley</v>
      </c>
      <c r="E1331" s="9">
        <f>INDEX(Places[Majority RB '#],MATCH(Activities[[#This Row],[Jurisdiction]],Places[Jurisdiction],0))</f>
        <v>5</v>
      </c>
      <c r="F1331" s="28" t="str">
        <f>VLOOKUP(Activities[[#This Row],[Jurisdiction]],Places[#All],8,FALSE)</f>
        <v>Phase I MS4</v>
      </c>
      <c r="G1331" s="48" t="s">
        <v>1080</v>
      </c>
      <c r="H1331" s="8" t="s">
        <v>531</v>
      </c>
      <c r="I1331" s="8"/>
      <c r="J1331" s="8" t="s">
        <v>71</v>
      </c>
      <c r="K1331" s="27" t="s">
        <v>1873</v>
      </c>
      <c r="L1331" s="28">
        <f>_xlfn.NUMBERVALUE(LEFT(Activities[[#This Row],[Fiscal Year]], 4))</f>
        <v>2015</v>
      </c>
      <c r="M1331" s="28" t="s">
        <v>1862</v>
      </c>
      <c r="N1331" s="41">
        <v>12954399</v>
      </c>
      <c r="O1331" s="93">
        <f>IF(Activities[[#This Row],[Reference Year]]&gt;2018,Activities[[#This Row],[Value]],Activities[[#This Row],[Value]]*(1+VLOOKUP(Activities[[#This Row],[Reference Year]],Inflation[#All],3,FALSE)))</f>
        <v>13754128.163582278</v>
      </c>
    </row>
    <row r="1332" spans="1:15" ht="15" customHeight="1" x14ac:dyDescent="0.25">
      <c r="A1332" s="9" t="s">
        <v>1443</v>
      </c>
      <c r="B1332" s="9" t="str">
        <f>INDEX(Places[Type],MATCH(Activities[[#This Row],[Jurisdiction]],Places[Jurisdiction],0))</f>
        <v>County</v>
      </c>
      <c r="C1332" s="19" t="str">
        <f>INDEX(Places[County],MATCH(Activities[[#This Row],[Jurisdiction]],Places[Jurisdiction],0))</f>
        <v>Sacramento</v>
      </c>
      <c r="D1332" s="9" t="str">
        <f>INDEX(Places[Majority RB],MATCH(Activities[[#This Row],[Jurisdiction]],Places[Jurisdiction],0))</f>
        <v>Central Valley</v>
      </c>
      <c r="E1332" s="9">
        <f>INDEX(Places[Majority RB '#],MATCH(Activities[[#This Row],[Jurisdiction]],Places[Jurisdiction],0))</f>
        <v>5</v>
      </c>
      <c r="F1332" s="28" t="str">
        <f>VLOOKUP(Activities[[#This Row],[Jurisdiction]],Places[#All],8,FALSE)</f>
        <v>Phase I MS4</v>
      </c>
      <c r="G1332" s="48" t="s">
        <v>1085</v>
      </c>
      <c r="H1332" s="8" t="s">
        <v>598</v>
      </c>
      <c r="I1332" s="8" t="s">
        <v>590</v>
      </c>
      <c r="J1332" s="8" t="s">
        <v>1897</v>
      </c>
      <c r="K1332" s="27" t="s">
        <v>1873</v>
      </c>
      <c r="L1332" s="28">
        <f>_xlfn.NUMBERVALUE(LEFT(Activities[[#This Row],[Fiscal Year]], 4))</f>
        <v>2015</v>
      </c>
      <c r="M1332" s="28" t="s">
        <v>1862</v>
      </c>
      <c r="N1332" s="41">
        <v>67000</v>
      </c>
      <c r="O1332" s="93">
        <f>IF(Activities[[#This Row],[Reference Year]]&gt;2018,Activities[[#This Row],[Value]],Activities[[#This Row],[Value]]*(1+VLOOKUP(Activities[[#This Row],[Reference Year]],Inflation[#All],3,FALSE)))</f>
        <v>71136.189873417723</v>
      </c>
    </row>
    <row r="1333" spans="1:15" ht="15" customHeight="1" x14ac:dyDescent="0.25">
      <c r="A1333" s="9" t="s">
        <v>1443</v>
      </c>
      <c r="B1333" s="9" t="str">
        <f>INDEX(Places[Type],MATCH(Activities[[#This Row],[Jurisdiction]],Places[Jurisdiction],0))</f>
        <v>County</v>
      </c>
      <c r="C1333" s="19" t="str">
        <f>INDEX(Places[County],MATCH(Activities[[#This Row],[Jurisdiction]],Places[Jurisdiction],0))</f>
        <v>Sacramento</v>
      </c>
      <c r="D1333" s="9" t="str">
        <f>INDEX(Places[Majority RB],MATCH(Activities[[#This Row],[Jurisdiction]],Places[Jurisdiction],0))</f>
        <v>Central Valley</v>
      </c>
      <c r="E1333" s="9">
        <f>INDEX(Places[Majority RB '#],MATCH(Activities[[#This Row],[Jurisdiction]],Places[Jurisdiction],0))</f>
        <v>5</v>
      </c>
      <c r="F1333" s="28" t="str">
        <f>VLOOKUP(Activities[[#This Row],[Jurisdiction]],Places[#All],8,FALSE)</f>
        <v>Phase I MS4</v>
      </c>
      <c r="G1333" s="48" t="s">
        <v>1075</v>
      </c>
      <c r="H1333" s="8" t="s">
        <v>534</v>
      </c>
      <c r="I1333" s="47" t="s">
        <v>535</v>
      </c>
      <c r="J1333" s="8" t="s">
        <v>1897</v>
      </c>
      <c r="K1333" s="27" t="s">
        <v>1873</v>
      </c>
      <c r="L1333" s="28">
        <f>_xlfn.NUMBERVALUE(LEFT(Activities[[#This Row],[Fiscal Year]], 4))</f>
        <v>2015</v>
      </c>
      <c r="M1333" s="28" t="s">
        <v>1862</v>
      </c>
      <c r="N1333" s="41">
        <v>163602</v>
      </c>
      <c r="O1333" s="93">
        <f>IF(Activities[[#This Row],[Reference Year]]&gt;2018,Activities[[#This Row],[Value]],Activities[[#This Row],[Value]]*(1+VLOOKUP(Activities[[#This Row],[Reference Year]],Inflation[#All],3,FALSE)))</f>
        <v>173701.8348607595</v>
      </c>
    </row>
    <row r="1334" spans="1:15" ht="15" customHeight="1" x14ac:dyDescent="0.25">
      <c r="A1334" s="9" t="s">
        <v>1443</v>
      </c>
      <c r="B1334" s="9" t="str">
        <f>INDEX(Places[Type],MATCH(Activities[[#This Row],[Jurisdiction]],Places[Jurisdiction],0))</f>
        <v>County</v>
      </c>
      <c r="C1334" s="19" t="str">
        <f>INDEX(Places[County],MATCH(Activities[[#This Row],[Jurisdiction]],Places[Jurisdiction],0))</f>
        <v>Sacramento</v>
      </c>
      <c r="D1334" s="9" t="str">
        <f>INDEX(Places[Majority RB],MATCH(Activities[[#This Row],[Jurisdiction]],Places[Jurisdiction],0))</f>
        <v>Central Valley</v>
      </c>
      <c r="E1334" s="9">
        <f>INDEX(Places[Majority RB '#],MATCH(Activities[[#This Row],[Jurisdiction]],Places[Jurisdiction],0))</f>
        <v>5</v>
      </c>
      <c r="F1334" s="28" t="str">
        <f>VLOOKUP(Activities[[#This Row],[Jurisdiction]],Places[#All],8,FALSE)</f>
        <v>Phase I MS4</v>
      </c>
      <c r="G1334" s="48" t="s">
        <v>1082</v>
      </c>
      <c r="H1334" s="8"/>
      <c r="I1334" s="8"/>
      <c r="J1334" s="8" t="s">
        <v>1897</v>
      </c>
      <c r="K1334" s="27" t="s">
        <v>1873</v>
      </c>
      <c r="L1334" s="28">
        <f>_xlfn.NUMBERVALUE(LEFT(Activities[[#This Row],[Fiscal Year]], 4))</f>
        <v>2015</v>
      </c>
      <c r="M1334" s="28" t="s">
        <v>1862</v>
      </c>
      <c r="N1334" s="41">
        <v>373000</v>
      </c>
      <c r="O1334" s="93">
        <f>IF(Activities[[#This Row],[Reference Year]]&gt;2018,Activities[[#This Row],[Value]],Activities[[#This Row],[Value]]*(1+VLOOKUP(Activities[[#This Row],[Reference Year]],Inflation[#All],3,FALSE)))</f>
        <v>396026.84810126579</v>
      </c>
    </row>
    <row r="1335" spans="1:15" ht="15" customHeight="1" x14ac:dyDescent="0.25">
      <c r="A1335" s="9" t="s">
        <v>1443</v>
      </c>
      <c r="B1335" s="9" t="str">
        <f>INDEX(Places[Type],MATCH(Activities[[#This Row],[Jurisdiction]],Places[Jurisdiction],0))</f>
        <v>County</v>
      </c>
      <c r="C1335" s="19" t="str">
        <f>INDEX(Places[County],MATCH(Activities[[#This Row],[Jurisdiction]],Places[Jurisdiction],0))</f>
        <v>Sacramento</v>
      </c>
      <c r="D1335" s="9" t="str">
        <f>INDEX(Places[Majority RB],MATCH(Activities[[#This Row],[Jurisdiction]],Places[Jurisdiction],0))</f>
        <v>Central Valley</v>
      </c>
      <c r="E1335" s="9">
        <f>INDEX(Places[Majority RB '#],MATCH(Activities[[#This Row],[Jurisdiction]],Places[Jurisdiction],0))</f>
        <v>5</v>
      </c>
      <c r="F1335" s="28" t="str">
        <f>VLOOKUP(Activities[[#This Row],[Jurisdiction]],Places[#All],8,FALSE)</f>
        <v>Phase I MS4</v>
      </c>
      <c r="G1335" s="48" t="s">
        <v>1083</v>
      </c>
      <c r="H1335" s="8"/>
      <c r="I1335" s="8"/>
      <c r="J1335" s="8" t="s">
        <v>1897</v>
      </c>
      <c r="K1335" s="27" t="s">
        <v>1873</v>
      </c>
      <c r="L1335" s="28">
        <f>_xlfn.NUMBERVALUE(LEFT(Activities[[#This Row],[Fiscal Year]], 4))</f>
        <v>2015</v>
      </c>
      <c r="M1335" s="28" t="s">
        <v>1862</v>
      </c>
      <c r="N1335" s="41">
        <v>980000</v>
      </c>
      <c r="O1335" s="93">
        <f>IF(Activities[[#This Row],[Reference Year]]&gt;2018,Activities[[#This Row],[Value]],Activities[[#This Row],[Value]]*(1+VLOOKUP(Activities[[#This Row],[Reference Year]],Inflation[#All],3,FALSE)))</f>
        <v>1040499.493670886</v>
      </c>
    </row>
    <row r="1336" spans="1:15" ht="15" customHeight="1" x14ac:dyDescent="0.25">
      <c r="A1336" s="9" t="s">
        <v>1443</v>
      </c>
      <c r="B1336" s="9" t="str">
        <f>INDEX(Places[Type],MATCH(Activities[[#This Row],[Jurisdiction]],Places[Jurisdiction],0))</f>
        <v>County</v>
      </c>
      <c r="C1336" s="19" t="str">
        <f>INDEX(Places[County],MATCH(Activities[[#This Row],[Jurisdiction]],Places[Jurisdiction],0))</f>
        <v>Sacramento</v>
      </c>
      <c r="D1336" s="9" t="str">
        <f>INDEX(Places[Majority RB],MATCH(Activities[[#This Row],[Jurisdiction]],Places[Jurisdiction],0))</f>
        <v>Central Valley</v>
      </c>
      <c r="E1336" s="9">
        <f>INDEX(Places[Majority RB '#],MATCH(Activities[[#This Row],[Jurisdiction]],Places[Jurisdiction],0))</f>
        <v>5</v>
      </c>
      <c r="F1336" s="28" t="str">
        <f>VLOOKUP(Activities[[#This Row],[Jurisdiction]],Places[#All],8,FALSE)</f>
        <v>Phase I MS4</v>
      </c>
      <c r="G1336" s="48" t="s">
        <v>1081</v>
      </c>
      <c r="H1336" s="8"/>
      <c r="I1336" s="8"/>
      <c r="J1336" s="8" t="s">
        <v>1897</v>
      </c>
      <c r="K1336" s="27" t="s">
        <v>1873</v>
      </c>
      <c r="L1336" s="28">
        <f>_xlfn.NUMBERVALUE(LEFT(Activities[[#This Row],[Fiscal Year]], 4))</f>
        <v>2015</v>
      </c>
      <c r="M1336" s="28" t="s">
        <v>1862</v>
      </c>
      <c r="N1336" s="41">
        <v>1232665</v>
      </c>
      <c r="O1336" s="93">
        <f>IF(Activities[[#This Row],[Reference Year]]&gt;2018,Activities[[#This Row],[Value]],Activities[[#This Row],[Value]]*(1+VLOOKUP(Activities[[#This Row],[Reference Year]],Inflation[#All],3,FALSE)))</f>
        <v>1308762.559556962</v>
      </c>
    </row>
    <row r="1337" spans="1:15" ht="15" customHeight="1" x14ac:dyDescent="0.25">
      <c r="A1337" s="9" t="s">
        <v>1443</v>
      </c>
      <c r="B1337" s="9" t="str">
        <f>INDEX(Places[Type],MATCH(Activities[[#This Row],[Jurisdiction]],Places[Jurisdiction],0))</f>
        <v>County</v>
      </c>
      <c r="C1337" s="19" t="str">
        <f>INDEX(Places[County],MATCH(Activities[[#This Row],[Jurisdiction]],Places[Jurisdiction],0))</f>
        <v>Sacramento</v>
      </c>
      <c r="D1337" s="9" t="str">
        <f>INDEX(Places[Majority RB],MATCH(Activities[[#This Row],[Jurisdiction]],Places[Jurisdiction],0))</f>
        <v>Central Valley</v>
      </c>
      <c r="E1337" s="9">
        <f>INDEX(Places[Majority RB '#],MATCH(Activities[[#This Row],[Jurisdiction]],Places[Jurisdiction],0))</f>
        <v>5</v>
      </c>
      <c r="F1337" s="28" t="str">
        <f>VLOOKUP(Activities[[#This Row],[Jurisdiction]],Places[#All],8,FALSE)</f>
        <v>Phase I MS4</v>
      </c>
      <c r="G1337" s="48" t="s">
        <v>1078</v>
      </c>
      <c r="H1337" s="8"/>
      <c r="I1337" s="8"/>
      <c r="J1337" s="8" t="s">
        <v>1898</v>
      </c>
      <c r="K1337" s="27" t="s">
        <v>1873</v>
      </c>
      <c r="L1337" s="28">
        <f>_xlfn.NUMBERVALUE(LEFT(Activities[[#This Row],[Fiscal Year]], 4))</f>
        <v>2015</v>
      </c>
      <c r="M1337" s="28" t="s">
        <v>1862</v>
      </c>
      <c r="N1337" s="41">
        <v>112718</v>
      </c>
      <c r="O1337" s="93">
        <f>IF(Activities[[#This Row],[Reference Year]]&gt;2018,Activities[[#This Row],[Value]],Activities[[#This Row],[Value]]*(1+VLOOKUP(Activities[[#This Row],[Reference Year]],Inflation[#All],3,FALSE)))</f>
        <v>119676.55298734177</v>
      </c>
    </row>
    <row r="1338" spans="1:15" ht="15" customHeight="1" x14ac:dyDescent="0.25">
      <c r="A1338" s="9" t="s">
        <v>1443</v>
      </c>
      <c r="B1338" s="9" t="str">
        <f>INDEX(Places[Type],MATCH(Activities[[#This Row],[Jurisdiction]],Places[Jurisdiction],0))</f>
        <v>County</v>
      </c>
      <c r="C1338" s="19" t="str">
        <f>INDEX(Places[County],MATCH(Activities[[#This Row],[Jurisdiction]],Places[Jurisdiction],0))</f>
        <v>Sacramento</v>
      </c>
      <c r="D1338" s="9" t="str">
        <f>INDEX(Places[Majority RB],MATCH(Activities[[#This Row],[Jurisdiction]],Places[Jurisdiction],0))</f>
        <v>Central Valley</v>
      </c>
      <c r="E1338" s="9">
        <f>INDEX(Places[Majority RB '#],MATCH(Activities[[#This Row],[Jurisdiction]],Places[Jurisdiction],0))</f>
        <v>5</v>
      </c>
      <c r="F1338" s="28" t="str">
        <f>VLOOKUP(Activities[[#This Row],[Jurisdiction]],Places[#All],8,FALSE)</f>
        <v>Phase I MS4</v>
      </c>
      <c r="G1338" s="48" t="s">
        <v>1089</v>
      </c>
      <c r="H1338" s="8"/>
      <c r="I1338" s="8"/>
      <c r="J1338" s="8" t="s">
        <v>1456</v>
      </c>
      <c r="K1338" s="27" t="s">
        <v>1873</v>
      </c>
      <c r="L1338" s="28">
        <f>_xlfn.NUMBERVALUE(LEFT(Activities[[#This Row],[Fiscal Year]], 4))</f>
        <v>2015</v>
      </c>
      <c r="M1338" s="28" t="s">
        <v>1862</v>
      </c>
      <c r="N1338" s="41">
        <v>170220</v>
      </c>
      <c r="O1338" s="93">
        <f>IF(Activities[[#This Row],[Reference Year]]&gt;2018,Activities[[#This Row],[Value]],Activities[[#This Row],[Value]]*(1+VLOOKUP(Activities[[#This Row],[Reference Year]],Inflation[#All],3,FALSE)))</f>
        <v>180728.39164556962</v>
      </c>
    </row>
    <row r="1339" spans="1:15" ht="15" customHeight="1" x14ac:dyDescent="0.25">
      <c r="A1339" s="9" t="s">
        <v>1443</v>
      </c>
      <c r="B1339" s="9" t="str">
        <f>INDEX(Places[Type],MATCH(Activities[[#This Row],[Jurisdiction]],Places[Jurisdiction],0))</f>
        <v>County</v>
      </c>
      <c r="C1339" s="19" t="str">
        <f>INDEX(Places[County],MATCH(Activities[[#This Row],[Jurisdiction]],Places[Jurisdiction],0))</f>
        <v>Sacramento</v>
      </c>
      <c r="D1339" s="9" t="str">
        <f>INDEX(Places[Majority RB],MATCH(Activities[[#This Row],[Jurisdiction]],Places[Jurisdiction],0))</f>
        <v>Central Valley</v>
      </c>
      <c r="E1339" s="9">
        <f>INDEX(Places[Majority RB '#],MATCH(Activities[[#This Row],[Jurisdiction]],Places[Jurisdiction],0))</f>
        <v>5</v>
      </c>
      <c r="F1339" s="28" t="str">
        <f>VLOOKUP(Activities[[#This Row],[Jurisdiction]],Places[#All],8,FALSE)</f>
        <v>Phase I MS4</v>
      </c>
      <c r="G1339" s="48" t="s">
        <v>1077</v>
      </c>
      <c r="H1339" s="8"/>
      <c r="I1339" s="8"/>
      <c r="J1339" s="8" t="s">
        <v>1456</v>
      </c>
      <c r="K1339" s="27" t="s">
        <v>1873</v>
      </c>
      <c r="L1339" s="28">
        <f>_xlfn.NUMBERVALUE(LEFT(Activities[[#This Row],[Fiscal Year]], 4))</f>
        <v>2015</v>
      </c>
      <c r="M1339" s="28" t="s">
        <v>1862</v>
      </c>
      <c r="N1339" s="41">
        <v>300055</v>
      </c>
      <c r="O1339" s="93">
        <f>IF(Activities[[#This Row],[Reference Year]]&gt;2018,Activities[[#This Row],[Value]],Activities[[#This Row],[Value]]*(1+VLOOKUP(Activities[[#This Row],[Reference Year]],Inflation[#All],3,FALSE)))</f>
        <v>318578.64854430378</v>
      </c>
    </row>
    <row r="1340" spans="1:15" ht="15" customHeight="1" x14ac:dyDescent="0.25">
      <c r="A1340" s="9" t="s">
        <v>1443</v>
      </c>
      <c r="B1340" s="9" t="str">
        <f>INDEX(Places[Type],MATCH(Activities[[#This Row],[Jurisdiction]],Places[Jurisdiction],0))</f>
        <v>County</v>
      </c>
      <c r="C1340" s="19" t="str">
        <f>INDEX(Places[County],MATCH(Activities[[#This Row],[Jurisdiction]],Places[Jurisdiction],0))</f>
        <v>Sacramento</v>
      </c>
      <c r="D1340" s="9" t="str">
        <f>INDEX(Places[Majority RB],MATCH(Activities[[#This Row],[Jurisdiction]],Places[Jurisdiction],0))</f>
        <v>Central Valley</v>
      </c>
      <c r="E1340" s="9">
        <f>INDEX(Places[Majority RB '#],MATCH(Activities[[#This Row],[Jurisdiction]],Places[Jurisdiction],0))</f>
        <v>5</v>
      </c>
      <c r="F1340" s="28" t="str">
        <f>VLOOKUP(Activities[[#This Row],[Jurisdiction]],Places[#All],8,FALSE)</f>
        <v>Phase I MS4</v>
      </c>
      <c r="G1340" s="48" t="s">
        <v>1072</v>
      </c>
      <c r="H1340" s="8" t="s">
        <v>526</v>
      </c>
      <c r="I1340" s="47" t="s">
        <v>525</v>
      </c>
      <c r="J1340" s="8" t="s">
        <v>1894</v>
      </c>
      <c r="K1340" s="27" t="s">
        <v>1873</v>
      </c>
      <c r="L1340" s="28">
        <f>_xlfn.NUMBERVALUE(LEFT(Activities[[#This Row],[Fiscal Year]], 4))</f>
        <v>2015</v>
      </c>
      <c r="M1340" s="28" t="s">
        <v>1862</v>
      </c>
      <c r="N1340" s="41">
        <v>195290</v>
      </c>
      <c r="O1340" s="93">
        <f>IF(Activities[[#This Row],[Reference Year]]&gt;2018,Activities[[#This Row],[Value]],Activities[[#This Row],[Value]]*(1+VLOOKUP(Activities[[#This Row],[Reference Year]],Inflation[#All],3,FALSE)))</f>
        <v>207346.06746835442</v>
      </c>
    </row>
    <row r="1341" spans="1:15" ht="15" customHeight="1" x14ac:dyDescent="0.25">
      <c r="A1341" s="9" t="s">
        <v>1443</v>
      </c>
      <c r="B1341" s="9" t="str">
        <f>INDEX(Places[Type],MATCH(Activities[[#This Row],[Jurisdiction]],Places[Jurisdiction],0))</f>
        <v>County</v>
      </c>
      <c r="C1341" s="19" t="str">
        <f>INDEX(Places[County],MATCH(Activities[[#This Row],[Jurisdiction]],Places[Jurisdiction],0))</f>
        <v>Sacramento</v>
      </c>
      <c r="D1341" s="9" t="str">
        <f>INDEX(Places[Majority RB],MATCH(Activities[[#This Row],[Jurisdiction]],Places[Jurisdiction],0))</f>
        <v>Central Valley</v>
      </c>
      <c r="E1341" s="9">
        <f>INDEX(Places[Majority RB '#],MATCH(Activities[[#This Row],[Jurisdiction]],Places[Jurisdiction],0))</f>
        <v>5</v>
      </c>
      <c r="F1341" s="28" t="str">
        <f>VLOOKUP(Activities[[#This Row],[Jurisdiction]],Places[#All],8,FALSE)</f>
        <v>Phase I MS4</v>
      </c>
      <c r="G1341" s="48" t="s">
        <v>1088</v>
      </c>
      <c r="H1341" s="8" t="s">
        <v>529</v>
      </c>
      <c r="I1341" s="47" t="s">
        <v>628</v>
      </c>
      <c r="J1341" s="8" t="s">
        <v>1896</v>
      </c>
      <c r="K1341" s="27" t="s">
        <v>1873</v>
      </c>
      <c r="L1341" s="28">
        <f>_xlfn.NUMBERVALUE(LEFT(Activities[[#This Row],[Fiscal Year]], 4))</f>
        <v>2015</v>
      </c>
      <c r="M1341" s="28" t="s">
        <v>1862</v>
      </c>
      <c r="N1341" s="41">
        <v>65895</v>
      </c>
      <c r="O1341" s="93">
        <f>IF(Activities[[#This Row],[Reference Year]]&gt;2018,Activities[[#This Row],[Value]],Activities[[#This Row],[Value]]*(1+VLOOKUP(Activities[[#This Row],[Reference Year]],Inflation[#All],3,FALSE)))</f>
        <v>69962.973607594933</v>
      </c>
    </row>
    <row r="1342" spans="1:15" ht="15" customHeight="1" x14ac:dyDescent="0.25">
      <c r="A1342" s="9" t="s">
        <v>1443</v>
      </c>
      <c r="B1342" s="9" t="str">
        <f>INDEX(Places[Type],MATCH(Activities[[#This Row],[Jurisdiction]],Places[Jurisdiction],0))</f>
        <v>County</v>
      </c>
      <c r="C1342" s="19" t="str">
        <f>INDEX(Places[County],MATCH(Activities[[#This Row],[Jurisdiction]],Places[Jurisdiction],0))</f>
        <v>Sacramento</v>
      </c>
      <c r="D1342" s="9" t="str">
        <f>INDEX(Places[Majority RB],MATCH(Activities[[#This Row],[Jurisdiction]],Places[Jurisdiction],0))</f>
        <v>Central Valley</v>
      </c>
      <c r="E1342" s="9">
        <f>INDEX(Places[Majority RB '#],MATCH(Activities[[#This Row],[Jurisdiction]],Places[Jurisdiction],0))</f>
        <v>5</v>
      </c>
      <c r="F1342" s="28" t="str">
        <f>VLOOKUP(Activities[[#This Row],[Jurisdiction]],Places[#All],8,FALSE)</f>
        <v>Phase I MS4</v>
      </c>
      <c r="G1342" s="48" t="s">
        <v>1079</v>
      </c>
      <c r="H1342" s="8" t="s">
        <v>528</v>
      </c>
      <c r="I1342" s="8" t="s">
        <v>458</v>
      </c>
      <c r="J1342" s="8" t="s">
        <v>1896</v>
      </c>
      <c r="K1342" s="27" t="s">
        <v>1873</v>
      </c>
      <c r="L1342" s="28">
        <f>_xlfn.NUMBERVALUE(LEFT(Activities[[#This Row],[Fiscal Year]], 4))</f>
        <v>2015</v>
      </c>
      <c r="M1342" s="28" t="s">
        <v>1862</v>
      </c>
      <c r="N1342" s="41">
        <v>113507</v>
      </c>
      <c r="O1342" s="93">
        <f>IF(Activities[[#This Row],[Reference Year]]&gt;2018,Activities[[#This Row],[Value]],Activities[[#This Row],[Value]]*(1+VLOOKUP(Activities[[#This Row],[Reference Year]],Inflation[#All],3,FALSE)))</f>
        <v>120514.26125316454</v>
      </c>
    </row>
    <row r="1343" spans="1:15" ht="15" customHeight="1" x14ac:dyDescent="0.25">
      <c r="A1343" s="9" t="s">
        <v>1443</v>
      </c>
      <c r="B1343" s="9" t="str">
        <f>INDEX(Places[Type],MATCH(Activities[[#This Row],[Jurisdiction]],Places[Jurisdiction],0))</f>
        <v>County</v>
      </c>
      <c r="C1343" s="19" t="str">
        <f>INDEX(Places[County],MATCH(Activities[[#This Row],[Jurisdiction]],Places[Jurisdiction],0))</f>
        <v>Sacramento</v>
      </c>
      <c r="D1343" s="9" t="str">
        <f>INDEX(Places[Majority RB],MATCH(Activities[[#This Row],[Jurisdiction]],Places[Jurisdiction],0))</f>
        <v>Central Valley</v>
      </c>
      <c r="E1343" s="9">
        <f>INDEX(Places[Majority RB '#],MATCH(Activities[[#This Row],[Jurisdiction]],Places[Jurisdiction],0))</f>
        <v>5</v>
      </c>
      <c r="F1343" s="28" t="str">
        <f>VLOOKUP(Activities[[#This Row],[Jurisdiction]],Places[#All],8,FALSE)</f>
        <v>Phase I MS4</v>
      </c>
      <c r="G1343" s="48" t="s">
        <v>1087</v>
      </c>
      <c r="H1343" s="8"/>
      <c r="I1343" s="8"/>
      <c r="J1343" s="8" t="s">
        <v>1896</v>
      </c>
      <c r="K1343" s="27" t="s">
        <v>1873</v>
      </c>
      <c r="L1343" s="28">
        <f>_xlfn.NUMBERVALUE(LEFT(Activities[[#This Row],[Fiscal Year]], 4))</f>
        <v>2015</v>
      </c>
      <c r="M1343" s="28" t="s">
        <v>1862</v>
      </c>
      <c r="N1343" s="41">
        <v>300000</v>
      </c>
      <c r="O1343" s="93">
        <f>IF(Activities[[#This Row],[Reference Year]]&gt;2018,Activities[[#This Row],[Value]],Activities[[#This Row],[Value]]*(1+VLOOKUP(Activities[[#This Row],[Reference Year]],Inflation[#All],3,FALSE)))</f>
        <v>318520.25316455693</v>
      </c>
    </row>
    <row r="1344" spans="1:15" ht="15" customHeight="1" x14ac:dyDescent="0.25">
      <c r="A1344" s="9" t="s">
        <v>1443</v>
      </c>
      <c r="B1344" s="9" t="str">
        <f>INDEX(Places[Type],MATCH(Activities[[#This Row],[Jurisdiction]],Places[Jurisdiction],0))</f>
        <v>County</v>
      </c>
      <c r="C1344" s="19" t="str">
        <f>INDEX(Places[County],MATCH(Activities[[#This Row],[Jurisdiction]],Places[Jurisdiction],0))</f>
        <v>Sacramento</v>
      </c>
      <c r="D1344" s="9" t="str">
        <f>INDEX(Places[Majority RB],MATCH(Activities[[#This Row],[Jurisdiction]],Places[Jurisdiction],0))</f>
        <v>Central Valley</v>
      </c>
      <c r="E1344" s="9">
        <f>INDEX(Places[Majority RB '#],MATCH(Activities[[#This Row],[Jurisdiction]],Places[Jurisdiction],0))</f>
        <v>5</v>
      </c>
      <c r="F1344" s="28" t="str">
        <f>VLOOKUP(Activities[[#This Row],[Jurisdiction]],Places[#All],8,FALSE)</f>
        <v>Phase I MS4</v>
      </c>
      <c r="G1344" s="48" t="s">
        <v>1090</v>
      </c>
      <c r="H1344" s="8"/>
      <c r="I1344" s="8"/>
      <c r="J1344" s="8" t="s">
        <v>47</v>
      </c>
      <c r="K1344" s="27" t="s">
        <v>1873</v>
      </c>
      <c r="L1344" s="28">
        <f>_xlfn.NUMBERVALUE(LEFT(Activities[[#This Row],[Fiscal Year]], 4))</f>
        <v>2015</v>
      </c>
      <c r="M1344" s="28" t="s">
        <v>1862</v>
      </c>
      <c r="N1344" s="41">
        <v>181446</v>
      </c>
      <c r="O1344" s="93">
        <f>IF(Activities[[#This Row],[Reference Year]]&gt;2018,Activities[[#This Row],[Value]],Activities[[#This Row],[Value]]*(1+VLOOKUP(Activities[[#This Row],[Reference Year]],Inflation[#All],3,FALSE)))</f>
        <v>192647.41951898733</v>
      </c>
    </row>
    <row r="1345" spans="1:15" ht="15" customHeight="1" x14ac:dyDescent="0.25">
      <c r="A1345" s="9" t="s">
        <v>7</v>
      </c>
      <c r="B1345" s="9" t="str">
        <f>INDEX(Places[Type],MATCH(Activities[[#This Row],[Jurisdiction]],Places[Jurisdiction],0))</f>
        <v>City</v>
      </c>
      <c r="C1345" s="19" t="str">
        <f>INDEX(Places[County],MATCH(Activities[[#This Row],[Jurisdiction]],Places[Jurisdiction],0))</f>
        <v>Monterey</v>
      </c>
      <c r="D1345" s="19" t="str">
        <f>INDEX(Places[Majority RB],MATCH(Activities[[#This Row],[Jurisdiction]],Places[Jurisdiction],0))</f>
        <v>Central Coast</v>
      </c>
      <c r="E1345" s="9">
        <f>INDEX(Places[Majority RB '#],MATCH(Activities[[#This Row],[Jurisdiction]],Places[Jurisdiction],0))</f>
        <v>3</v>
      </c>
      <c r="F1345" s="28" t="str">
        <f>VLOOKUP(Activities[[#This Row],[Jurisdiction]],Places[#All],8,FALSE)</f>
        <v>Phase I MS4</v>
      </c>
      <c r="G1345" s="48" t="s">
        <v>51</v>
      </c>
      <c r="H1345" s="8" t="s">
        <v>646</v>
      </c>
      <c r="I1345" s="8" t="s">
        <v>642</v>
      </c>
      <c r="J1345" s="8" t="s">
        <v>1895</v>
      </c>
      <c r="K1345" s="27" t="s">
        <v>1874</v>
      </c>
      <c r="L1345" s="28">
        <f>_xlfn.NUMBERVALUE(LEFT(Activities[[#This Row],[Fiscal Year]], 4))</f>
        <v>2017</v>
      </c>
      <c r="M1345" s="28" t="s">
        <v>1862</v>
      </c>
      <c r="N1345" s="41">
        <v>152324</v>
      </c>
      <c r="O1345" s="93">
        <f>IF(Activities[[#This Row],[Reference Year]]&gt;2018,Activities[[#This Row],[Value]],Activities[[#This Row],[Value]]*(1+VLOOKUP(Activities[[#This Row],[Reference Year]],Inflation[#All],3,FALSE)))</f>
        <v>156382.86594859243</v>
      </c>
    </row>
    <row r="1346" spans="1:15" ht="15" customHeight="1" x14ac:dyDescent="0.25">
      <c r="A1346" s="9" t="s">
        <v>7</v>
      </c>
      <c r="B1346" s="9" t="str">
        <f>INDEX(Places[Type],MATCH(Activities[[#This Row],[Jurisdiction]],Places[Jurisdiction],0))</f>
        <v>City</v>
      </c>
      <c r="C1346" s="19" t="str">
        <f>INDEX(Places[County],MATCH(Activities[[#This Row],[Jurisdiction]],Places[Jurisdiction],0))</f>
        <v>Monterey</v>
      </c>
      <c r="D1346" s="19" t="str">
        <f>INDEX(Places[Majority RB],MATCH(Activities[[#This Row],[Jurisdiction]],Places[Jurisdiction],0))</f>
        <v>Central Coast</v>
      </c>
      <c r="E1346" s="9">
        <f>INDEX(Places[Majority RB '#],MATCH(Activities[[#This Row],[Jurisdiction]],Places[Jurisdiction],0))</f>
        <v>3</v>
      </c>
      <c r="F1346" s="28" t="str">
        <f>VLOOKUP(Activities[[#This Row],[Jurisdiction]],Places[#All],8,FALSE)</f>
        <v>Phase I MS4</v>
      </c>
      <c r="G1346" s="48" t="s">
        <v>41</v>
      </c>
      <c r="H1346" s="8"/>
      <c r="I1346" s="8" t="s">
        <v>642</v>
      </c>
      <c r="J1346" s="8" t="s">
        <v>131</v>
      </c>
      <c r="K1346" s="27" t="s">
        <v>1874</v>
      </c>
      <c r="L1346" s="28">
        <f>_xlfn.NUMBERVALUE(LEFT(Activities[[#This Row],[Fiscal Year]], 4))</f>
        <v>2017</v>
      </c>
      <c r="M1346" s="28" t="s">
        <v>1862</v>
      </c>
      <c r="N1346" s="41">
        <v>469438</v>
      </c>
      <c r="O1346" s="93">
        <f>IF(Activities[[#This Row],[Reference Year]]&gt;2018,Activities[[#This Row],[Value]],Activities[[#This Row],[Value]]*(1+VLOOKUP(Activities[[#This Row],[Reference Year]],Inflation[#All],3,FALSE)))</f>
        <v>481946.77020807838</v>
      </c>
    </row>
    <row r="1347" spans="1:15" ht="15" customHeight="1" x14ac:dyDescent="0.25">
      <c r="A1347" s="9" t="s">
        <v>7</v>
      </c>
      <c r="B1347" s="9" t="str">
        <f>INDEX(Places[Type],MATCH(Activities[[#This Row],[Jurisdiction]],Places[Jurisdiction],0))</f>
        <v>City</v>
      </c>
      <c r="C1347" s="19" t="str">
        <f>INDEX(Places[County],MATCH(Activities[[#This Row],[Jurisdiction]],Places[Jurisdiction],0))</f>
        <v>Monterey</v>
      </c>
      <c r="D1347" s="19" t="str">
        <f>INDEX(Places[Majority RB],MATCH(Activities[[#This Row],[Jurisdiction]],Places[Jurisdiction],0))</f>
        <v>Central Coast</v>
      </c>
      <c r="E1347" s="9">
        <f>INDEX(Places[Majority RB '#],MATCH(Activities[[#This Row],[Jurisdiction]],Places[Jurisdiction],0))</f>
        <v>3</v>
      </c>
      <c r="F1347" s="28" t="str">
        <f>VLOOKUP(Activities[[#This Row],[Jurisdiction]],Places[#All],8,FALSE)</f>
        <v>Phase I MS4</v>
      </c>
      <c r="G1347" s="48" t="s">
        <v>48</v>
      </c>
      <c r="H1347" s="8" t="s">
        <v>473</v>
      </c>
      <c r="I1347" s="8" t="s">
        <v>642</v>
      </c>
      <c r="J1347" s="8" t="s">
        <v>334</v>
      </c>
      <c r="K1347" s="27" t="s">
        <v>1874</v>
      </c>
      <c r="L1347" s="28">
        <f>_xlfn.NUMBERVALUE(LEFT(Activities[[#This Row],[Fiscal Year]], 4))</f>
        <v>2017</v>
      </c>
      <c r="M1347" s="28" t="s">
        <v>1862</v>
      </c>
      <c r="N1347" s="41">
        <v>672351</v>
      </c>
      <c r="O1347" s="93">
        <f>IF(Activities[[#This Row],[Reference Year]]&gt;2018,Activities[[#This Row],[Value]],Activities[[#This Row],[Value]]*(1+VLOOKUP(Activities[[#This Row],[Reference Year]],Inflation[#All],3,FALSE)))</f>
        <v>690266.64414932684</v>
      </c>
    </row>
    <row r="1348" spans="1:15" ht="15" customHeight="1" x14ac:dyDescent="0.25">
      <c r="A1348" s="9" t="s">
        <v>7</v>
      </c>
      <c r="B1348" s="9" t="str">
        <f>INDEX(Places[Type],MATCH(Activities[[#This Row],[Jurisdiction]],Places[Jurisdiction],0))</f>
        <v>City</v>
      </c>
      <c r="C1348" s="19" t="str">
        <f>INDEX(Places[County],MATCH(Activities[[#This Row],[Jurisdiction]],Places[Jurisdiction],0))</f>
        <v>Monterey</v>
      </c>
      <c r="D1348" s="19" t="str">
        <f>INDEX(Places[Majority RB],MATCH(Activities[[#This Row],[Jurisdiction]],Places[Jurisdiction],0))</f>
        <v>Central Coast</v>
      </c>
      <c r="E1348" s="9">
        <f>INDEX(Places[Majority RB '#],MATCH(Activities[[#This Row],[Jurisdiction]],Places[Jurisdiction],0))</f>
        <v>3</v>
      </c>
      <c r="F1348" s="28" t="str">
        <f>VLOOKUP(Activities[[#This Row],[Jurisdiction]],Places[#All],8,FALSE)</f>
        <v>Phase I MS4</v>
      </c>
      <c r="G1348" s="48" t="s">
        <v>101</v>
      </c>
      <c r="H1348" s="8" t="s">
        <v>472</v>
      </c>
      <c r="I1348" s="8" t="s">
        <v>642</v>
      </c>
      <c r="J1348" s="8" t="s">
        <v>71</v>
      </c>
      <c r="K1348" s="27" t="s">
        <v>1874</v>
      </c>
      <c r="L1348" s="28">
        <f>_xlfn.NUMBERVALUE(LEFT(Activities[[#This Row],[Fiscal Year]], 4))</f>
        <v>2017</v>
      </c>
      <c r="M1348" s="28" t="s">
        <v>1862</v>
      </c>
      <c r="N1348" s="41">
        <v>1485408</v>
      </c>
      <c r="O1348" s="93">
        <f>IF(Activities[[#This Row],[Reference Year]]&gt;2018,Activities[[#This Row],[Value]],Activities[[#This Row],[Value]]*(1+VLOOKUP(Activities[[#This Row],[Reference Year]],Inflation[#All],3,FALSE)))</f>
        <v>1524988.5779192168</v>
      </c>
    </row>
    <row r="1349" spans="1:15" ht="15" customHeight="1" x14ac:dyDescent="0.25">
      <c r="A1349" s="9" t="s">
        <v>7</v>
      </c>
      <c r="B1349" s="9" t="str">
        <f>INDEX(Places[Type],MATCH(Activities[[#This Row],[Jurisdiction]],Places[Jurisdiction],0))</f>
        <v>City</v>
      </c>
      <c r="C1349" s="19" t="str">
        <f>INDEX(Places[County],MATCH(Activities[[#This Row],[Jurisdiction]],Places[Jurisdiction],0))</f>
        <v>Monterey</v>
      </c>
      <c r="D1349" s="19" t="str">
        <f>INDEX(Places[Majority RB],MATCH(Activities[[#This Row],[Jurisdiction]],Places[Jurisdiction],0))</f>
        <v>Central Coast</v>
      </c>
      <c r="E1349" s="9">
        <f>INDEX(Places[Majority RB '#],MATCH(Activities[[#This Row],[Jurisdiction]],Places[Jurisdiction],0))</f>
        <v>3</v>
      </c>
      <c r="F1349" s="28" t="str">
        <f>VLOOKUP(Activities[[#This Row],[Jurisdiction]],Places[#All],8,FALSE)</f>
        <v>Phase I MS4</v>
      </c>
      <c r="G1349" s="48" t="s">
        <v>54</v>
      </c>
      <c r="H1349" s="8"/>
      <c r="I1349" s="8" t="s">
        <v>642</v>
      </c>
      <c r="J1349" s="8" t="s">
        <v>1897</v>
      </c>
      <c r="K1349" s="27" t="s">
        <v>1874</v>
      </c>
      <c r="L1349" s="28">
        <f>_xlfn.NUMBERVALUE(LEFT(Activities[[#This Row],[Fiscal Year]], 4))</f>
        <v>2017</v>
      </c>
      <c r="M1349" s="28" t="s">
        <v>1862</v>
      </c>
      <c r="N1349" s="41">
        <v>431089</v>
      </c>
      <c r="O1349" s="93">
        <f>IF(Activities[[#This Row],[Reference Year]]&gt;2018,Activities[[#This Row],[Value]],Activities[[#This Row],[Value]]*(1+VLOOKUP(Activities[[#This Row],[Reference Year]],Inflation[#All],3,FALSE)))</f>
        <v>442575.91252141987</v>
      </c>
    </row>
    <row r="1350" spans="1:15" ht="15" customHeight="1" x14ac:dyDescent="0.25">
      <c r="A1350" s="9" t="s">
        <v>7</v>
      </c>
      <c r="B1350" s="9" t="str">
        <f>INDEX(Places[Type],MATCH(Activities[[#This Row],[Jurisdiction]],Places[Jurisdiction],0))</f>
        <v>City</v>
      </c>
      <c r="C1350" s="19" t="str">
        <f>INDEX(Places[County],MATCH(Activities[[#This Row],[Jurisdiction]],Places[Jurisdiction],0))</f>
        <v>Monterey</v>
      </c>
      <c r="D1350" s="19" t="str">
        <f>INDEX(Places[Majority RB],MATCH(Activities[[#This Row],[Jurisdiction]],Places[Jurisdiction],0))</f>
        <v>Central Coast</v>
      </c>
      <c r="E1350" s="9">
        <f>INDEX(Places[Majority RB '#],MATCH(Activities[[#This Row],[Jurisdiction]],Places[Jurisdiction],0))</f>
        <v>3</v>
      </c>
      <c r="F1350" s="28" t="str">
        <f>VLOOKUP(Activities[[#This Row],[Jurisdiction]],Places[#All],8,FALSE)</f>
        <v>Phase I MS4</v>
      </c>
      <c r="G1350" s="48" t="s">
        <v>49</v>
      </c>
      <c r="H1350" s="8" t="s">
        <v>474</v>
      </c>
      <c r="I1350" s="8" t="s">
        <v>642</v>
      </c>
      <c r="J1350" s="8" t="s">
        <v>1898</v>
      </c>
      <c r="K1350" s="27" t="s">
        <v>1874</v>
      </c>
      <c r="L1350" s="28">
        <f>_xlfn.NUMBERVALUE(LEFT(Activities[[#This Row],[Fiscal Year]], 4))</f>
        <v>2017</v>
      </c>
      <c r="M1350" s="28" t="s">
        <v>1862</v>
      </c>
      <c r="N1350" s="41">
        <v>7171</v>
      </c>
      <c r="O1350" s="93">
        <f>IF(Activities[[#This Row],[Reference Year]]&gt;2018,Activities[[#This Row],[Value]],Activities[[#This Row],[Value]]*(1+VLOOKUP(Activities[[#This Row],[Reference Year]],Inflation[#All],3,FALSE)))</f>
        <v>7362.0803794369658</v>
      </c>
    </row>
    <row r="1351" spans="1:15" ht="15" customHeight="1" x14ac:dyDescent="0.25">
      <c r="A1351" s="9" t="s">
        <v>7</v>
      </c>
      <c r="B1351" s="9" t="str">
        <f>INDEX(Places[Type],MATCH(Activities[[#This Row],[Jurisdiction]],Places[Jurisdiction],0))</f>
        <v>City</v>
      </c>
      <c r="C1351" s="19" t="str">
        <f>INDEX(Places[County],MATCH(Activities[[#This Row],[Jurisdiction]],Places[Jurisdiction],0))</f>
        <v>Monterey</v>
      </c>
      <c r="D1351" s="19" t="str">
        <f>INDEX(Places[Majority RB],MATCH(Activities[[#This Row],[Jurisdiction]],Places[Jurisdiction],0))</f>
        <v>Central Coast</v>
      </c>
      <c r="E1351" s="9">
        <f>INDEX(Places[Majority RB '#],MATCH(Activities[[#This Row],[Jurisdiction]],Places[Jurisdiction],0))</f>
        <v>3</v>
      </c>
      <c r="F1351" s="28" t="str">
        <f>VLOOKUP(Activities[[#This Row],[Jurisdiction]],Places[#All],8,FALSE)</f>
        <v>Phase I MS4</v>
      </c>
      <c r="G1351" s="48" t="s">
        <v>52</v>
      </c>
      <c r="H1351" s="8"/>
      <c r="I1351" s="8" t="s">
        <v>642</v>
      </c>
      <c r="J1351" s="8" t="s">
        <v>1898</v>
      </c>
      <c r="K1351" s="27" t="s">
        <v>1874</v>
      </c>
      <c r="L1351" s="28">
        <f>_xlfn.NUMBERVALUE(LEFT(Activities[[#This Row],[Fiscal Year]], 4))</f>
        <v>2017</v>
      </c>
      <c r="M1351" s="28" t="s">
        <v>1862</v>
      </c>
      <c r="N1351" s="41">
        <v>22829</v>
      </c>
      <c r="O1351" s="93">
        <f>IF(Activities[[#This Row],[Reference Year]]&gt;2018,Activities[[#This Row],[Value]],Activities[[#This Row],[Value]]*(1+VLOOKUP(Activities[[#This Row],[Reference Year]],Inflation[#All],3,FALSE)))</f>
        <v>23437.307625458998</v>
      </c>
    </row>
    <row r="1352" spans="1:15" ht="15" customHeight="1" x14ac:dyDescent="0.25">
      <c r="A1352" s="9" t="s">
        <v>7</v>
      </c>
      <c r="B1352" s="9" t="str">
        <f>INDEX(Places[Type],MATCH(Activities[[#This Row],[Jurisdiction]],Places[Jurisdiction],0))</f>
        <v>City</v>
      </c>
      <c r="C1352" s="19" t="str">
        <f>INDEX(Places[County],MATCH(Activities[[#This Row],[Jurisdiction]],Places[Jurisdiction],0))</f>
        <v>Monterey</v>
      </c>
      <c r="D1352" s="19" t="str">
        <f>INDEX(Places[Majority RB],MATCH(Activities[[#This Row],[Jurisdiction]],Places[Jurisdiction],0))</f>
        <v>Central Coast</v>
      </c>
      <c r="E1352" s="9">
        <f>INDEX(Places[Majority RB '#],MATCH(Activities[[#This Row],[Jurisdiction]],Places[Jurisdiction],0))</f>
        <v>3</v>
      </c>
      <c r="F1352" s="28" t="str">
        <f>VLOOKUP(Activities[[#This Row],[Jurisdiction]],Places[#All],8,FALSE)</f>
        <v>Phase I MS4</v>
      </c>
      <c r="G1352" s="48" t="s">
        <v>50</v>
      </c>
      <c r="H1352" s="8" t="s">
        <v>475</v>
      </c>
      <c r="I1352" s="8" t="s">
        <v>642</v>
      </c>
      <c r="J1352" s="8" t="s">
        <v>1898</v>
      </c>
      <c r="K1352" s="27" t="s">
        <v>1874</v>
      </c>
      <c r="L1352" s="28">
        <f>_xlfn.NUMBERVALUE(LEFT(Activities[[#This Row],[Fiscal Year]], 4))</f>
        <v>2017</v>
      </c>
      <c r="M1352" s="28" t="s">
        <v>1862</v>
      </c>
      <c r="N1352" s="41">
        <v>131583</v>
      </c>
      <c r="O1352" s="93">
        <f>IF(Activities[[#This Row],[Reference Year]]&gt;2018,Activities[[#This Row],[Value]],Activities[[#This Row],[Value]]*(1+VLOOKUP(Activities[[#This Row],[Reference Year]],Inflation[#All],3,FALSE)))</f>
        <v>135089.19572827418</v>
      </c>
    </row>
    <row r="1353" spans="1:15" ht="15" customHeight="1" x14ac:dyDescent="0.25">
      <c r="A1353" s="9" t="s">
        <v>7</v>
      </c>
      <c r="B1353" s="9" t="str">
        <f>INDEX(Places[Type],MATCH(Activities[[#This Row],[Jurisdiction]],Places[Jurisdiction],0))</f>
        <v>City</v>
      </c>
      <c r="C1353" s="19" t="str">
        <f>INDEX(Places[County],MATCH(Activities[[#This Row],[Jurisdiction]],Places[Jurisdiction],0))</f>
        <v>Monterey</v>
      </c>
      <c r="D1353" s="19" t="str">
        <f>INDEX(Places[Majority RB],MATCH(Activities[[#This Row],[Jurisdiction]],Places[Jurisdiction],0))</f>
        <v>Central Coast</v>
      </c>
      <c r="E1353" s="9">
        <f>INDEX(Places[Majority RB '#],MATCH(Activities[[#This Row],[Jurisdiction]],Places[Jurisdiction],0))</f>
        <v>3</v>
      </c>
      <c r="F1353" s="28" t="str">
        <f>VLOOKUP(Activities[[#This Row],[Jurisdiction]],Places[#All],8,FALSE)</f>
        <v>Phase I MS4</v>
      </c>
      <c r="G1353" s="48" t="s">
        <v>53</v>
      </c>
      <c r="H1353" s="8"/>
      <c r="I1353" s="8" t="s">
        <v>642</v>
      </c>
      <c r="J1353" s="8" t="s">
        <v>1456</v>
      </c>
      <c r="K1353" s="27" t="s">
        <v>1874</v>
      </c>
      <c r="L1353" s="28">
        <f>_xlfn.NUMBERVALUE(LEFT(Activities[[#This Row],[Fiscal Year]], 4))</f>
        <v>2017</v>
      </c>
      <c r="M1353" s="28" t="s">
        <v>1862</v>
      </c>
      <c r="N1353" s="41">
        <v>80663</v>
      </c>
      <c r="O1353" s="93">
        <f>IF(Activities[[#This Row],[Reference Year]]&gt;2018,Activities[[#This Row],[Value]],Activities[[#This Row],[Value]]*(1+VLOOKUP(Activities[[#This Row],[Reference Year]],Inflation[#All],3,FALSE)))</f>
        <v>82812.367821297434</v>
      </c>
    </row>
    <row r="1354" spans="1:15" ht="15" customHeight="1" x14ac:dyDescent="0.25">
      <c r="A1354" s="9" t="s">
        <v>7</v>
      </c>
      <c r="B1354" s="9" t="str">
        <f>INDEX(Places[Type],MATCH(Activities[[#This Row],[Jurisdiction]],Places[Jurisdiction],0))</f>
        <v>City</v>
      </c>
      <c r="C1354" s="19" t="str">
        <f>INDEX(Places[County],MATCH(Activities[[#This Row],[Jurisdiction]],Places[Jurisdiction],0))</f>
        <v>Monterey</v>
      </c>
      <c r="D1354" s="19" t="str">
        <f>INDEX(Places[Majority RB],MATCH(Activities[[#This Row],[Jurisdiction]],Places[Jurisdiction],0))</f>
        <v>Central Coast</v>
      </c>
      <c r="E1354" s="9">
        <f>INDEX(Places[Majority RB '#],MATCH(Activities[[#This Row],[Jurisdiction]],Places[Jurisdiction],0))</f>
        <v>3</v>
      </c>
      <c r="F1354" s="28" t="str">
        <f>VLOOKUP(Activities[[#This Row],[Jurisdiction]],Places[#All],8,FALSE)</f>
        <v>Phase I MS4</v>
      </c>
      <c r="G1354" s="48" t="s">
        <v>57</v>
      </c>
      <c r="H1354" s="8" t="s">
        <v>476</v>
      </c>
      <c r="I1354" s="8" t="s">
        <v>642</v>
      </c>
      <c r="J1354" s="8" t="s">
        <v>1894</v>
      </c>
      <c r="K1354" s="27" t="s">
        <v>1874</v>
      </c>
      <c r="L1354" s="28">
        <f>_xlfn.NUMBERVALUE(LEFT(Activities[[#This Row],[Fiscal Year]], 4))</f>
        <v>2017</v>
      </c>
      <c r="M1354" s="28" t="s">
        <v>1862</v>
      </c>
      <c r="N1354" s="41">
        <v>42974</v>
      </c>
      <c r="O1354" s="93">
        <f>IF(Activities[[#This Row],[Reference Year]]&gt;2018,Activities[[#This Row],[Value]],Activities[[#This Row],[Value]]*(1+VLOOKUP(Activities[[#This Row],[Reference Year]],Inflation[#All],3,FALSE)))</f>
        <v>44119.096670746636</v>
      </c>
    </row>
    <row r="1355" spans="1:15" ht="15" customHeight="1" x14ac:dyDescent="0.25">
      <c r="A1355" s="9" t="s">
        <v>7</v>
      </c>
      <c r="B1355" s="9" t="str">
        <f>INDEX(Places[Type],MATCH(Activities[[#This Row],[Jurisdiction]],Places[Jurisdiction],0))</f>
        <v>City</v>
      </c>
      <c r="C1355" s="19" t="str">
        <f>INDEX(Places[County],MATCH(Activities[[#This Row],[Jurisdiction]],Places[Jurisdiction],0))</f>
        <v>Monterey</v>
      </c>
      <c r="D1355" s="19" t="str">
        <f>INDEX(Places[Majority RB],MATCH(Activities[[#This Row],[Jurisdiction]],Places[Jurisdiction],0))</f>
        <v>Central Coast</v>
      </c>
      <c r="E1355" s="9">
        <f>INDEX(Places[Majority RB '#],MATCH(Activities[[#This Row],[Jurisdiction]],Places[Jurisdiction],0))</f>
        <v>3</v>
      </c>
      <c r="F1355" s="28" t="str">
        <f>VLOOKUP(Activities[[#This Row],[Jurisdiction]],Places[#All],8,FALSE)</f>
        <v>Phase I MS4</v>
      </c>
      <c r="G1355" s="48" t="s">
        <v>423</v>
      </c>
      <c r="H1355" s="8"/>
      <c r="I1355" s="8"/>
      <c r="J1355" s="8" t="s">
        <v>1894</v>
      </c>
      <c r="K1355" s="27" t="s">
        <v>1874</v>
      </c>
      <c r="L1355" s="28">
        <f>_xlfn.NUMBERVALUE(LEFT(Activities[[#This Row],[Fiscal Year]], 4))</f>
        <v>2017</v>
      </c>
      <c r="M1355" s="28" t="s">
        <v>1862</v>
      </c>
      <c r="N1355" s="41">
        <v>470853</v>
      </c>
      <c r="O1355" s="93">
        <f>IF(Activities[[#This Row],[Reference Year]]&gt;2018,Activities[[#This Row],[Value]],Activities[[#This Row],[Value]]*(1+VLOOKUP(Activities[[#This Row],[Reference Year]],Inflation[#All],3,FALSE)))</f>
        <v>483399.47467564268</v>
      </c>
    </row>
    <row r="1356" spans="1:15" ht="15" customHeight="1" x14ac:dyDescent="0.25">
      <c r="A1356" s="9" t="s">
        <v>7</v>
      </c>
      <c r="B1356" s="9" t="str">
        <f>INDEX(Places[Type],MATCH(Activities[[#This Row],[Jurisdiction]],Places[Jurisdiction],0))</f>
        <v>City</v>
      </c>
      <c r="C1356" s="19" t="str">
        <f>INDEX(Places[County],MATCH(Activities[[#This Row],[Jurisdiction]],Places[Jurisdiction],0))</f>
        <v>Monterey</v>
      </c>
      <c r="D1356" s="19" t="str">
        <f>INDEX(Places[Majority RB],MATCH(Activities[[#This Row],[Jurisdiction]],Places[Jurisdiction],0))</f>
        <v>Central Coast</v>
      </c>
      <c r="E1356" s="9">
        <f>INDEX(Places[Majority RB '#],MATCH(Activities[[#This Row],[Jurisdiction]],Places[Jurisdiction],0))</f>
        <v>3</v>
      </c>
      <c r="F1356" s="28" t="str">
        <f>VLOOKUP(Activities[[#This Row],[Jurisdiction]],Places[#All],8,FALSE)</f>
        <v>Phase I MS4</v>
      </c>
      <c r="G1356" s="48" t="s">
        <v>828</v>
      </c>
      <c r="H1356" s="8"/>
      <c r="I1356" s="8" t="s">
        <v>642</v>
      </c>
      <c r="J1356" s="8" t="s">
        <v>47</v>
      </c>
      <c r="K1356" s="27" t="s">
        <v>1874</v>
      </c>
      <c r="L1356" s="28">
        <f>_xlfn.NUMBERVALUE(LEFT(Activities[[#This Row],[Fiscal Year]], 4))</f>
        <v>2017</v>
      </c>
      <c r="M1356" s="28" t="s">
        <v>1862</v>
      </c>
      <c r="N1356" s="41">
        <v>469881</v>
      </c>
      <c r="O1356" s="93">
        <f>IF(Activities[[#This Row],[Reference Year]]&gt;2018,Activities[[#This Row],[Value]],Activities[[#This Row],[Value]]*(1+VLOOKUP(Activities[[#This Row],[Reference Year]],Inflation[#All],3,FALSE)))</f>
        <v>482401.57450428401</v>
      </c>
    </row>
    <row r="1357" spans="1:15" ht="15" customHeight="1" x14ac:dyDescent="0.25">
      <c r="A1357" s="9" t="s">
        <v>7</v>
      </c>
      <c r="B1357" s="9" t="str">
        <f>INDEX(Places[Type],MATCH(Activities[[#This Row],[Jurisdiction]],Places[Jurisdiction],0))</f>
        <v>City</v>
      </c>
      <c r="C1357" s="19" t="str">
        <f>INDEX(Places[County],MATCH(Activities[[#This Row],[Jurisdiction]],Places[Jurisdiction],0))</f>
        <v>Monterey</v>
      </c>
      <c r="D1357" s="19" t="str">
        <f>INDEX(Places[Majority RB],MATCH(Activities[[#This Row],[Jurisdiction]],Places[Jurisdiction],0))</f>
        <v>Central Coast</v>
      </c>
      <c r="E1357" s="9">
        <f>INDEX(Places[Majority RB '#],MATCH(Activities[[#This Row],[Jurisdiction]],Places[Jurisdiction],0))</f>
        <v>3</v>
      </c>
      <c r="F1357" s="28" t="str">
        <f>VLOOKUP(Activities[[#This Row],[Jurisdiction]],Places[#All],8,FALSE)</f>
        <v>Phase I MS4</v>
      </c>
      <c r="G1357" s="48" t="s">
        <v>56</v>
      </c>
      <c r="H1357" s="8"/>
      <c r="I1357" s="8" t="s">
        <v>642</v>
      </c>
      <c r="J1357" s="8" t="s">
        <v>605</v>
      </c>
      <c r="K1357" s="27" t="s">
        <v>1874</v>
      </c>
      <c r="L1357" s="28">
        <f>_xlfn.NUMBERVALUE(LEFT(Activities[[#This Row],[Fiscal Year]], 4))</f>
        <v>2017</v>
      </c>
      <c r="M1357" s="28" t="s">
        <v>1862</v>
      </c>
      <c r="N1357" s="41">
        <v>10986</v>
      </c>
      <c r="O1357" s="93">
        <f>IF(Activities[[#This Row],[Reference Year]]&gt;2018,Activities[[#This Row],[Value]],Activities[[#This Row],[Value]]*(1+VLOOKUP(Activities[[#This Row],[Reference Year]],Inflation[#All],3,FALSE)))</f>
        <v>11278.735887392902</v>
      </c>
    </row>
    <row r="1358" spans="1:15" ht="15" customHeight="1" x14ac:dyDescent="0.25">
      <c r="A1358" s="9" t="s">
        <v>7</v>
      </c>
      <c r="B1358" s="9" t="str">
        <f>INDEX(Places[Type],MATCH(Activities[[#This Row],[Jurisdiction]],Places[Jurisdiction],0))</f>
        <v>City</v>
      </c>
      <c r="C1358" s="19" t="str">
        <f>INDEX(Places[County],MATCH(Activities[[#This Row],[Jurisdiction]],Places[Jurisdiction],0))</f>
        <v>Monterey</v>
      </c>
      <c r="D1358" s="19" t="str">
        <f>INDEX(Places[Majority RB],MATCH(Activities[[#This Row],[Jurisdiction]],Places[Jurisdiction],0))</f>
        <v>Central Coast</v>
      </c>
      <c r="E1358" s="9">
        <f>INDEX(Places[Majority RB '#],MATCH(Activities[[#This Row],[Jurisdiction]],Places[Jurisdiction],0))</f>
        <v>3</v>
      </c>
      <c r="F1358" s="28" t="str">
        <f>VLOOKUP(Activities[[#This Row],[Jurisdiction]],Places[#All],8,FALSE)</f>
        <v>Phase I MS4</v>
      </c>
      <c r="G1358" s="48" t="s">
        <v>55</v>
      </c>
      <c r="H1358" s="8"/>
      <c r="I1358" s="8" t="s">
        <v>642</v>
      </c>
      <c r="J1358" s="8" t="s">
        <v>605</v>
      </c>
      <c r="K1358" s="27" t="s">
        <v>1874</v>
      </c>
      <c r="L1358" s="28">
        <f>_xlfn.NUMBERVALUE(LEFT(Activities[[#This Row],[Fiscal Year]], 4))</f>
        <v>2017</v>
      </c>
      <c r="M1358" s="28" t="s">
        <v>1862</v>
      </c>
      <c r="N1358" s="41">
        <v>11240</v>
      </c>
      <c r="O1358" s="93">
        <f>IF(Activities[[#This Row],[Reference Year]]&gt;2018,Activities[[#This Row],[Value]],Activities[[#This Row],[Value]]*(1+VLOOKUP(Activities[[#This Row],[Reference Year]],Inflation[#All],3,FALSE)))</f>
        <v>11539.504039167688</v>
      </c>
    </row>
    <row r="1359" spans="1:15" ht="15" customHeight="1" x14ac:dyDescent="0.25">
      <c r="A1359" s="12" t="s">
        <v>1761</v>
      </c>
      <c r="B1359" s="9" t="str">
        <f>INDEX(Places[Type],MATCH(Activities[[#This Row],[Jurisdiction]],Places[Jurisdiction],0))</f>
        <v>City</v>
      </c>
      <c r="C1359" s="19" t="str">
        <f>INDEX(Places[County],MATCH(Activities[[#This Row],[Jurisdiction]],Places[Jurisdiction],0))</f>
        <v>Ventura</v>
      </c>
      <c r="D1359" s="19" t="str">
        <f>INDEX(Places[Majority RB],MATCH(Activities[[#This Row],[Jurisdiction]],Places[Jurisdiction],0))</f>
        <v>Los Angeles</v>
      </c>
      <c r="E1359" s="9">
        <f>INDEX(Places[Majority RB '#],MATCH(Activities[[#This Row],[Jurisdiction]],Places[Jurisdiction],0))</f>
        <v>4</v>
      </c>
      <c r="F1359" s="28" t="str">
        <f>VLOOKUP(Activities[[#This Row],[Jurisdiction]],Places[#All],8,FALSE)</f>
        <v>Phase I MS4</v>
      </c>
      <c r="G1359" s="48" t="s">
        <v>76</v>
      </c>
      <c r="H1359" s="8"/>
      <c r="I1359" s="8"/>
      <c r="J1359" s="8" t="s">
        <v>76</v>
      </c>
      <c r="K1359" s="27" t="s">
        <v>1876</v>
      </c>
      <c r="L1359" s="28">
        <f>_xlfn.NUMBERVALUE(LEFT(Activities[[#This Row],[Fiscal Year]], 4))</f>
        <v>2018</v>
      </c>
      <c r="M1359" s="28" t="s">
        <v>1862</v>
      </c>
      <c r="N1359" s="41">
        <v>100000</v>
      </c>
      <c r="O1359" s="93">
        <f>IF(Activities[[#This Row],[Reference Year]]&gt;2018,Activities[[#This Row],[Value]],Activities[[#This Row],[Value]]*(1+VLOOKUP(Activities[[#This Row],[Reference Year]],Inflation[#All],3,FALSE)))</f>
        <v>100000</v>
      </c>
    </row>
    <row r="1360" spans="1:15" ht="15" customHeight="1" x14ac:dyDescent="0.25">
      <c r="A1360" s="12" t="s">
        <v>1761</v>
      </c>
      <c r="B1360" s="9" t="str">
        <f>INDEX(Places[Type],MATCH(Activities[[#This Row],[Jurisdiction]],Places[Jurisdiction],0))</f>
        <v>City</v>
      </c>
      <c r="C1360" s="19" t="str">
        <f>INDEX(Places[County],MATCH(Activities[[#This Row],[Jurisdiction]],Places[Jurisdiction],0))</f>
        <v>Ventura</v>
      </c>
      <c r="D1360" s="19" t="str">
        <f>INDEX(Places[Majority RB],MATCH(Activities[[#This Row],[Jurisdiction]],Places[Jurisdiction],0))</f>
        <v>Los Angeles</v>
      </c>
      <c r="E1360" s="9">
        <f>INDEX(Places[Majority RB '#],MATCH(Activities[[#This Row],[Jurisdiction]],Places[Jurisdiction],0))</f>
        <v>4</v>
      </c>
      <c r="F1360" s="28" t="str">
        <f>VLOOKUP(Activities[[#This Row],[Jurisdiction]],Places[#All],8,FALSE)</f>
        <v>Phase I MS4</v>
      </c>
      <c r="G1360" s="48" t="s">
        <v>70</v>
      </c>
      <c r="H1360" s="8"/>
      <c r="I1360" s="8"/>
      <c r="J1360" s="8" t="s">
        <v>1895</v>
      </c>
      <c r="K1360" s="27" t="s">
        <v>1876</v>
      </c>
      <c r="L1360" s="28">
        <f>_xlfn.NUMBERVALUE(LEFT(Activities[[#This Row],[Fiscal Year]], 4))</f>
        <v>2018</v>
      </c>
      <c r="M1360" s="28" t="s">
        <v>1862</v>
      </c>
      <c r="N1360" s="41">
        <v>45000</v>
      </c>
      <c r="O1360" s="93">
        <f>IF(Activities[[#This Row],[Reference Year]]&gt;2018,Activities[[#This Row],[Value]],Activities[[#This Row],[Value]]*(1+VLOOKUP(Activities[[#This Row],[Reference Year]],Inflation[#All],3,FALSE)))</f>
        <v>45000</v>
      </c>
    </row>
    <row r="1361" spans="1:15" ht="15" customHeight="1" x14ac:dyDescent="0.25">
      <c r="A1361" s="12" t="s">
        <v>1761</v>
      </c>
      <c r="B1361" s="9" t="str">
        <f>INDEX(Places[Type],MATCH(Activities[[#This Row],[Jurisdiction]],Places[Jurisdiction],0))</f>
        <v>City</v>
      </c>
      <c r="C1361" s="19" t="str">
        <f>INDEX(Places[County],MATCH(Activities[[#This Row],[Jurisdiction]],Places[Jurisdiction],0))</f>
        <v>Ventura</v>
      </c>
      <c r="D1361" s="19" t="str">
        <f>INDEX(Places[Majority RB],MATCH(Activities[[#This Row],[Jurisdiction]],Places[Jurisdiction],0))</f>
        <v>Los Angeles</v>
      </c>
      <c r="E1361" s="9">
        <f>INDEX(Places[Majority RB '#],MATCH(Activities[[#This Row],[Jurisdiction]],Places[Jurisdiction],0))</f>
        <v>4</v>
      </c>
      <c r="F1361" s="28" t="str">
        <f>VLOOKUP(Activities[[#This Row],[Jurisdiction]],Places[#All],8,FALSE)</f>
        <v>Phase I MS4</v>
      </c>
      <c r="G1361" s="48" t="s">
        <v>77</v>
      </c>
      <c r="H1361" s="8"/>
      <c r="I1361" s="8"/>
      <c r="J1361" s="8" t="s">
        <v>131</v>
      </c>
      <c r="K1361" s="27" t="s">
        <v>1876</v>
      </c>
      <c r="L1361" s="28">
        <f>_xlfn.NUMBERVALUE(LEFT(Activities[[#This Row],[Fiscal Year]], 4))</f>
        <v>2018</v>
      </c>
      <c r="M1361" s="28" t="s">
        <v>1862</v>
      </c>
      <c r="N1361" s="41">
        <v>30000</v>
      </c>
      <c r="O1361" s="93">
        <f>IF(Activities[[#This Row],[Reference Year]]&gt;2018,Activities[[#This Row],[Value]],Activities[[#This Row],[Value]]*(1+VLOOKUP(Activities[[#This Row],[Reference Year]],Inflation[#All],3,FALSE)))</f>
        <v>30000</v>
      </c>
    </row>
    <row r="1362" spans="1:15" ht="15" customHeight="1" x14ac:dyDescent="0.25">
      <c r="A1362" s="12" t="s">
        <v>1761</v>
      </c>
      <c r="B1362" s="9" t="str">
        <f>INDEX(Places[Type],MATCH(Activities[[#This Row],[Jurisdiction]],Places[Jurisdiction],0))</f>
        <v>City</v>
      </c>
      <c r="C1362" s="19" t="str">
        <f>INDEX(Places[County],MATCH(Activities[[#This Row],[Jurisdiction]],Places[Jurisdiction],0))</f>
        <v>Ventura</v>
      </c>
      <c r="D1362" s="19" t="str">
        <f>INDEX(Places[Majority RB],MATCH(Activities[[#This Row],[Jurisdiction]],Places[Jurisdiction],0))</f>
        <v>Los Angeles</v>
      </c>
      <c r="E1362" s="9">
        <f>INDEX(Places[Majority RB '#],MATCH(Activities[[#This Row],[Jurisdiction]],Places[Jurisdiction],0))</f>
        <v>4</v>
      </c>
      <c r="F1362" s="28" t="str">
        <f>VLOOKUP(Activities[[#This Row],[Jurisdiction]],Places[#All],8,FALSE)</f>
        <v>Phase I MS4</v>
      </c>
      <c r="G1362" s="48" t="s">
        <v>69</v>
      </c>
      <c r="H1362" s="8"/>
      <c r="I1362" s="8"/>
      <c r="J1362" s="8" t="s">
        <v>334</v>
      </c>
      <c r="K1362" s="27" t="s">
        <v>1876</v>
      </c>
      <c r="L1362" s="28">
        <f>_xlfn.NUMBERVALUE(LEFT(Activities[[#This Row],[Fiscal Year]], 4))</f>
        <v>2018</v>
      </c>
      <c r="M1362" s="28" t="s">
        <v>1862</v>
      </c>
      <c r="N1362" s="41">
        <v>120000</v>
      </c>
      <c r="O1362" s="93">
        <f>IF(Activities[[#This Row],[Reference Year]]&gt;2018,Activities[[#This Row],[Value]],Activities[[#This Row],[Value]]*(1+VLOOKUP(Activities[[#This Row],[Reference Year]],Inflation[#All],3,FALSE)))</f>
        <v>120000</v>
      </c>
    </row>
    <row r="1363" spans="1:15" ht="15" customHeight="1" x14ac:dyDescent="0.25">
      <c r="A1363" s="12" t="s">
        <v>1761</v>
      </c>
      <c r="B1363" s="9" t="str">
        <f>INDEX(Places[Type],MATCH(Activities[[#This Row],[Jurisdiction]],Places[Jurisdiction],0))</f>
        <v>City</v>
      </c>
      <c r="C1363" s="19" t="str">
        <f>INDEX(Places[County],MATCH(Activities[[#This Row],[Jurisdiction]],Places[Jurisdiction],0))</f>
        <v>Ventura</v>
      </c>
      <c r="D1363" s="19" t="str">
        <f>INDEX(Places[Majority RB],MATCH(Activities[[#This Row],[Jurisdiction]],Places[Jurisdiction],0))</f>
        <v>Los Angeles</v>
      </c>
      <c r="E1363" s="9">
        <f>INDEX(Places[Majority RB '#],MATCH(Activities[[#This Row],[Jurisdiction]],Places[Jurisdiction],0))</f>
        <v>4</v>
      </c>
      <c r="F1363" s="28" t="str">
        <f>VLOOKUP(Activities[[#This Row],[Jurisdiction]],Places[#All],8,FALSE)</f>
        <v>Phase I MS4</v>
      </c>
      <c r="G1363" s="48" t="s">
        <v>71</v>
      </c>
      <c r="H1363" s="8" t="s">
        <v>484</v>
      </c>
      <c r="I1363" s="8" t="s">
        <v>458</v>
      </c>
      <c r="J1363" s="8" t="s">
        <v>71</v>
      </c>
      <c r="K1363" s="27" t="s">
        <v>1876</v>
      </c>
      <c r="L1363" s="28">
        <f>_xlfn.NUMBERVALUE(LEFT(Activities[[#This Row],[Fiscal Year]], 4))</f>
        <v>2018</v>
      </c>
      <c r="M1363" s="28" t="s">
        <v>1862</v>
      </c>
      <c r="N1363" s="41">
        <v>325000</v>
      </c>
      <c r="O1363" s="93">
        <f>IF(Activities[[#This Row],[Reference Year]]&gt;2018,Activities[[#This Row],[Value]],Activities[[#This Row],[Value]]*(1+VLOOKUP(Activities[[#This Row],[Reference Year]],Inflation[#All],3,FALSE)))</f>
        <v>325000</v>
      </c>
    </row>
    <row r="1364" spans="1:15" ht="15" customHeight="1" x14ac:dyDescent="0.25">
      <c r="A1364" s="12" t="s">
        <v>1761</v>
      </c>
      <c r="B1364" s="9" t="str">
        <f>INDEX(Places[Type],MATCH(Activities[[#This Row],[Jurisdiction]],Places[Jurisdiction],0))</f>
        <v>City</v>
      </c>
      <c r="C1364" s="19" t="str">
        <f>INDEX(Places[County],MATCH(Activities[[#This Row],[Jurisdiction]],Places[Jurisdiction],0))</f>
        <v>Ventura</v>
      </c>
      <c r="D1364" s="19" t="str">
        <f>INDEX(Places[Majority RB],MATCH(Activities[[#This Row],[Jurisdiction]],Places[Jurisdiction],0))</f>
        <v>Los Angeles</v>
      </c>
      <c r="E1364" s="9">
        <f>INDEX(Places[Majority RB '#],MATCH(Activities[[#This Row],[Jurisdiction]],Places[Jurisdiction],0))</f>
        <v>4</v>
      </c>
      <c r="F1364" s="28" t="str">
        <f>VLOOKUP(Activities[[#This Row],[Jurisdiction]],Places[#All],8,FALSE)</f>
        <v>Phase I MS4</v>
      </c>
      <c r="G1364" s="48" t="s">
        <v>74</v>
      </c>
      <c r="H1364" s="8" t="s">
        <v>611</v>
      </c>
      <c r="I1364" s="8" t="s">
        <v>458</v>
      </c>
      <c r="J1364" s="8" t="s">
        <v>1897</v>
      </c>
      <c r="K1364" s="27" t="s">
        <v>1876</v>
      </c>
      <c r="L1364" s="28">
        <f>_xlfn.NUMBERVALUE(LEFT(Activities[[#This Row],[Fiscal Year]], 4))</f>
        <v>2018</v>
      </c>
      <c r="M1364" s="28" t="s">
        <v>1862</v>
      </c>
      <c r="N1364" s="41">
        <v>10000</v>
      </c>
      <c r="O1364" s="93">
        <f>IF(Activities[[#This Row],[Reference Year]]&gt;2018,Activities[[#This Row],[Value]],Activities[[#This Row],[Value]]*(1+VLOOKUP(Activities[[#This Row],[Reference Year]],Inflation[#All],3,FALSE)))</f>
        <v>10000</v>
      </c>
    </row>
    <row r="1365" spans="1:15" ht="15" customHeight="1" x14ac:dyDescent="0.25">
      <c r="A1365" s="12" t="s">
        <v>1761</v>
      </c>
      <c r="B1365" s="9" t="str">
        <f>INDEX(Places[Type],MATCH(Activities[[#This Row],[Jurisdiction]],Places[Jurisdiction],0))</f>
        <v>City</v>
      </c>
      <c r="C1365" s="19" t="str">
        <f>INDEX(Places[County],MATCH(Activities[[#This Row],[Jurisdiction]],Places[Jurisdiction],0))</f>
        <v>Ventura</v>
      </c>
      <c r="D1365" s="19" t="str">
        <f>INDEX(Places[Majority RB],MATCH(Activities[[#This Row],[Jurisdiction]],Places[Jurisdiction],0))</f>
        <v>Los Angeles</v>
      </c>
      <c r="E1365" s="9">
        <f>INDEX(Places[Majority RB '#],MATCH(Activities[[#This Row],[Jurisdiction]],Places[Jurisdiction],0))</f>
        <v>4</v>
      </c>
      <c r="F1365" s="28" t="str">
        <f>VLOOKUP(Activities[[#This Row],[Jurisdiction]],Places[#All],8,FALSE)</f>
        <v>Phase I MS4</v>
      </c>
      <c r="G1365" s="48" t="s">
        <v>75</v>
      </c>
      <c r="H1365" s="8" t="s">
        <v>485</v>
      </c>
      <c r="I1365" s="8" t="s">
        <v>458</v>
      </c>
      <c r="J1365" s="8" t="s">
        <v>1897</v>
      </c>
      <c r="K1365" s="27" t="s">
        <v>1876</v>
      </c>
      <c r="L1365" s="28">
        <f>_xlfn.NUMBERVALUE(LEFT(Activities[[#This Row],[Fiscal Year]], 4))</f>
        <v>2018</v>
      </c>
      <c r="M1365" s="28" t="s">
        <v>1862</v>
      </c>
      <c r="N1365" s="41">
        <v>40000</v>
      </c>
      <c r="O1365" s="93">
        <f>IF(Activities[[#This Row],[Reference Year]]&gt;2018,Activities[[#This Row],[Value]],Activities[[#This Row],[Value]]*(1+VLOOKUP(Activities[[#This Row],[Reference Year]],Inflation[#All],3,FALSE)))</f>
        <v>40000</v>
      </c>
    </row>
    <row r="1366" spans="1:15" ht="15" customHeight="1" x14ac:dyDescent="0.25">
      <c r="A1366" s="12" t="s">
        <v>1761</v>
      </c>
      <c r="B1366" s="9" t="str">
        <f>INDEX(Places[Type],MATCH(Activities[[#This Row],[Jurisdiction]],Places[Jurisdiction],0))</f>
        <v>City</v>
      </c>
      <c r="C1366" s="19" t="str">
        <f>INDEX(Places[County],MATCH(Activities[[#This Row],[Jurisdiction]],Places[Jurisdiction],0))</f>
        <v>Ventura</v>
      </c>
      <c r="D1366" s="19" t="str">
        <f>INDEX(Places[Majority RB],MATCH(Activities[[#This Row],[Jurisdiction]],Places[Jurisdiction],0))</f>
        <v>Los Angeles</v>
      </c>
      <c r="E1366" s="9">
        <f>INDEX(Places[Majority RB '#],MATCH(Activities[[#This Row],[Jurisdiction]],Places[Jurisdiction],0))</f>
        <v>4</v>
      </c>
      <c r="F1366" s="28" t="str">
        <f>VLOOKUP(Activities[[#This Row],[Jurisdiction]],Places[#All],8,FALSE)</f>
        <v>Phase I MS4</v>
      </c>
      <c r="G1366" s="48" t="s">
        <v>73</v>
      </c>
      <c r="H1366" s="8"/>
      <c r="I1366" s="8"/>
      <c r="J1366" s="8" t="s">
        <v>1897</v>
      </c>
      <c r="K1366" s="27" t="s">
        <v>1876</v>
      </c>
      <c r="L1366" s="28">
        <f>_xlfn.NUMBERVALUE(LEFT(Activities[[#This Row],[Fiscal Year]], 4))</f>
        <v>2018</v>
      </c>
      <c r="M1366" s="28" t="s">
        <v>1862</v>
      </c>
      <c r="N1366" s="41">
        <v>50000</v>
      </c>
      <c r="O1366" s="93">
        <f>IF(Activities[[#This Row],[Reference Year]]&gt;2018,Activities[[#This Row],[Value]],Activities[[#This Row],[Value]]*(1+VLOOKUP(Activities[[#This Row],[Reference Year]],Inflation[#All],3,FALSE)))</f>
        <v>50000</v>
      </c>
    </row>
    <row r="1367" spans="1:15" ht="15" customHeight="1" x14ac:dyDescent="0.25">
      <c r="A1367" s="12" t="s">
        <v>1761</v>
      </c>
      <c r="B1367" s="9" t="str">
        <f>INDEX(Places[Type],MATCH(Activities[[#This Row],[Jurisdiction]],Places[Jurisdiction],0))</f>
        <v>City</v>
      </c>
      <c r="C1367" s="19" t="str">
        <f>INDEX(Places[County],MATCH(Activities[[#This Row],[Jurisdiction]],Places[Jurisdiction],0))</f>
        <v>Ventura</v>
      </c>
      <c r="D1367" s="19" t="str">
        <f>INDEX(Places[Majority RB],MATCH(Activities[[#This Row],[Jurisdiction]],Places[Jurisdiction],0))</f>
        <v>Los Angeles</v>
      </c>
      <c r="E1367" s="9">
        <f>INDEX(Places[Majority RB '#],MATCH(Activities[[#This Row],[Jurisdiction]],Places[Jurisdiction],0))</f>
        <v>4</v>
      </c>
      <c r="F1367" s="28" t="str">
        <f>VLOOKUP(Activities[[#This Row],[Jurisdiction]],Places[#All],8,FALSE)</f>
        <v>Phase I MS4</v>
      </c>
      <c r="G1367" s="48" t="s">
        <v>59</v>
      </c>
      <c r="H1367" s="8"/>
      <c r="I1367" s="8"/>
      <c r="J1367" s="8" t="s">
        <v>1898</v>
      </c>
      <c r="K1367" s="27" t="s">
        <v>1876</v>
      </c>
      <c r="L1367" s="28">
        <f>_xlfn.NUMBERVALUE(LEFT(Activities[[#This Row],[Fiscal Year]], 4))</f>
        <v>2018</v>
      </c>
      <c r="M1367" s="28" t="s">
        <v>1862</v>
      </c>
      <c r="N1367" s="41">
        <v>400000</v>
      </c>
      <c r="O1367" s="93">
        <f>IF(Activities[[#This Row],[Reference Year]]&gt;2018,Activities[[#This Row],[Value]],Activities[[#This Row],[Value]]*(1+VLOOKUP(Activities[[#This Row],[Reference Year]],Inflation[#All],3,FALSE)))</f>
        <v>400000</v>
      </c>
    </row>
    <row r="1368" spans="1:15" ht="15" customHeight="1" x14ac:dyDescent="0.25">
      <c r="A1368" s="12" t="s">
        <v>1761</v>
      </c>
      <c r="B1368" s="9" t="str">
        <f>INDEX(Places[Type],MATCH(Activities[[#This Row],[Jurisdiction]],Places[Jurisdiction],0))</f>
        <v>City</v>
      </c>
      <c r="C1368" s="19" t="str">
        <f>INDEX(Places[County],MATCH(Activities[[#This Row],[Jurisdiction]],Places[Jurisdiction],0))</f>
        <v>Ventura</v>
      </c>
      <c r="D1368" s="19" t="str">
        <f>INDEX(Places[Majority RB],MATCH(Activities[[#This Row],[Jurisdiction]],Places[Jurisdiction],0))</f>
        <v>Los Angeles</v>
      </c>
      <c r="E1368" s="9">
        <f>INDEX(Places[Majority RB '#],MATCH(Activities[[#This Row],[Jurisdiction]],Places[Jurisdiction],0))</f>
        <v>4</v>
      </c>
      <c r="F1368" s="28" t="str">
        <f>VLOOKUP(Activities[[#This Row],[Jurisdiction]],Places[#All],8,FALSE)</f>
        <v>Phase I MS4</v>
      </c>
      <c r="G1368" s="48" t="s">
        <v>68</v>
      </c>
      <c r="H1368" s="8"/>
      <c r="I1368" s="8"/>
      <c r="J1368" s="8" t="s">
        <v>1456</v>
      </c>
      <c r="K1368" s="27" t="s">
        <v>1876</v>
      </c>
      <c r="L1368" s="28">
        <f>_xlfn.NUMBERVALUE(LEFT(Activities[[#This Row],[Fiscal Year]], 4))</f>
        <v>2018</v>
      </c>
      <c r="M1368" s="28" t="s">
        <v>1862</v>
      </c>
      <c r="N1368" s="41">
        <v>33000</v>
      </c>
      <c r="O1368" s="93">
        <f>IF(Activities[[#This Row],[Reference Year]]&gt;2018,Activities[[#This Row],[Value]],Activities[[#This Row],[Value]]*(1+VLOOKUP(Activities[[#This Row],[Reference Year]],Inflation[#All],3,FALSE)))</f>
        <v>33000</v>
      </c>
    </row>
    <row r="1369" spans="1:15" ht="15" customHeight="1" x14ac:dyDescent="0.25">
      <c r="A1369" s="12" t="s">
        <v>1761</v>
      </c>
      <c r="B1369" s="9" t="str">
        <f>INDEX(Places[Type],MATCH(Activities[[#This Row],[Jurisdiction]],Places[Jurisdiction],0))</f>
        <v>City</v>
      </c>
      <c r="C1369" s="19" t="str">
        <f>INDEX(Places[County],MATCH(Activities[[#This Row],[Jurisdiction]],Places[Jurisdiction],0))</f>
        <v>Ventura</v>
      </c>
      <c r="D1369" s="19" t="str">
        <f>INDEX(Places[Majority RB],MATCH(Activities[[#This Row],[Jurisdiction]],Places[Jurisdiction],0))</f>
        <v>Los Angeles</v>
      </c>
      <c r="E1369" s="9">
        <f>INDEX(Places[Majority RB '#],MATCH(Activities[[#This Row],[Jurisdiction]],Places[Jurisdiction],0))</f>
        <v>4</v>
      </c>
      <c r="F1369" s="28" t="str">
        <f>VLOOKUP(Activities[[#This Row],[Jurisdiction]],Places[#All],8,FALSE)</f>
        <v>Phase I MS4</v>
      </c>
      <c r="G1369" s="48" t="s">
        <v>32</v>
      </c>
      <c r="H1369" s="8" t="s">
        <v>608</v>
      </c>
      <c r="I1369" s="94" t="s">
        <v>609</v>
      </c>
      <c r="J1369" s="8" t="s">
        <v>1894</v>
      </c>
      <c r="K1369" s="27" t="s">
        <v>1876</v>
      </c>
      <c r="L1369" s="28">
        <f>_xlfn.NUMBERVALUE(LEFT(Activities[[#This Row],[Fiscal Year]], 4))</f>
        <v>2018</v>
      </c>
      <c r="M1369" s="28" t="s">
        <v>1862</v>
      </c>
      <c r="N1369" s="41">
        <v>107000</v>
      </c>
      <c r="O1369" s="93">
        <f>IF(Activities[[#This Row],[Reference Year]]&gt;2018,Activities[[#This Row],[Value]],Activities[[#This Row],[Value]]*(1+VLOOKUP(Activities[[#This Row],[Reference Year]],Inflation[#All],3,FALSE)))</f>
        <v>107000</v>
      </c>
    </row>
    <row r="1370" spans="1:15" ht="15" customHeight="1" x14ac:dyDescent="0.25">
      <c r="A1370" s="12" t="s">
        <v>1761</v>
      </c>
      <c r="B1370" s="9" t="str">
        <f>INDEX(Places[Type],MATCH(Activities[[#This Row],[Jurisdiction]],Places[Jurisdiction],0))</f>
        <v>City</v>
      </c>
      <c r="C1370" s="19" t="str">
        <f>INDEX(Places[County],MATCH(Activities[[#This Row],[Jurisdiction]],Places[Jurisdiction],0))</f>
        <v>Ventura</v>
      </c>
      <c r="D1370" s="19" t="str">
        <f>INDEX(Places[Majority RB],MATCH(Activities[[#This Row],[Jurisdiction]],Places[Jurisdiction],0))</f>
        <v>Los Angeles</v>
      </c>
      <c r="E1370" s="9">
        <f>INDEX(Places[Majority RB '#],MATCH(Activities[[#This Row],[Jurisdiction]],Places[Jurisdiction],0))</f>
        <v>4</v>
      </c>
      <c r="F1370" s="28" t="str">
        <f>VLOOKUP(Activities[[#This Row],[Jurisdiction]],Places[#All],8,FALSE)</f>
        <v>Phase I MS4</v>
      </c>
      <c r="G1370" s="48" t="s">
        <v>79</v>
      </c>
      <c r="H1370" s="8" t="s">
        <v>483</v>
      </c>
      <c r="I1370" s="8" t="s">
        <v>458</v>
      </c>
      <c r="J1370" s="8" t="s">
        <v>1896</v>
      </c>
      <c r="K1370" s="27" t="s">
        <v>1876</v>
      </c>
      <c r="L1370" s="28">
        <f>_xlfn.NUMBERVALUE(LEFT(Activities[[#This Row],[Fiscal Year]], 4))</f>
        <v>2018</v>
      </c>
      <c r="M1370" s="28" t="s">
        <v>1862</v>
      </c>
      <c r="N1370" s="41">
        <v>133000</v>
      </c>
      <c r="O1370" s="93">
        <f>IF(Activities[[#This Row],[Reference Year]]&gt;2018,Activities[[#This Row],[Value]],Activities[[#This Row],[Value]]*(1+VLOOKUP(Activities[[#This Row],[Reference Year]],Inflation[#All],3,FALSE)))</f>
        <v>133000</v>
      </c>
    </row>
    <row r="1371" spans="1:15" ht="15" customHeight="1" x14ac:dyDescent="0.25">
      <c r="A1371" s="12" t="s">
        <v>1761</v>
      </c>
      <c r="B1371" s="9" t="str">
        <f>INDEX(Places[Type],MATCH(Activities[[#This Row],[Jurisdiction]],Places[Jurisdiction],0))</f>
        <v>City</v>
      </c>
      <c r="C1371" s="19" t="str">
        <f>INDEX(Places[County],MATCH(Activities[[#This Row],[Jurisdiction]],Places[Jurisdiction],0))</f>
        <v>Ventura</v>
      </c>
      <c r="D1371" s="19" t="str">
        <f>INDEX(Places[Majority RB],MATCH(Activities[[#This Row],[Jurisdiction]],Places[Jurisdiction],0))</f>
        <v>Los Angeles</v>
      </c>
      <c r="E1371" s="9">
        <f>INDEX(Places[Majority RB '#],MATCH(Activities[[#This Row],[Jurisdiction]],Places[Jurisdiction],0))</f>
        <v>4</v>
      </c>
      <c r="F1371" s="28" t="str">
        <f>VLOOKUP(Activities[[#This Row],[Jurisdiction]],Places[#All],8,FALSE)</f>
        <v>Phase I MS4</v>
      </c>
      <c r="G1371" s="48" t="s">
        <v>80</v>
      </c>
      <c r="H1371" s="8"/>
      <c r="I1371" s="8"/>
      <c r="J1371" s="8" t="s">
        <v>605</v>
      </c>
      <c r="K1371" s="27" t="s">
        <v>1876</v>
      </c>
      <c r="L1371" s="28">
        <f>_xlfn.NUMBERVALUE(LEFT(Activities[[#This Row],[Fiscal Year]], 4))</f>
        <v>2018</v>
      </c>
      <c r="M1371" s="28" t="s">
        <v>1862</v>
      </c>
      <c r="N1371" s="41">
        <v>75000</v>
      </c>
      <c r="O1371" s="93">
        <f>IF(Activities[[#This Row],[Reference Year]]&gt;2018,Activities[[#This Row],[Value]],Activities[[#This Row],[Value]]*(1+VLOOKUP(Activities[[#This Row],[Reference Year]],Inflation[#All],3,FALSE)))</f>
        <v>75000</v>
      </c>
    </row>
    <row r="1372" spans="1:15" ht="15" customHeight="1" x14ac:dyDescent="0.25">
      <c r="A1372" s="9" t="s">
        <v>21</v>
      </c>
      <c r="B1372" s="9" t="str">
        <f>INDEX(Places[Type],MATCH(Activities[[#This Row],[Jurisdiction]],Places[Jurisdiction],0))</f>
        <v>City</v>
      </c>
      <c r="C1372" s="19" t="str">
        <f>INDEX(Places[County],MATCH(Activities[[#This Row],[Jurisdiction]],Places[Jurisdiction],0))</f>
        <v>San Diego</v>
      </c>
      <c r="D1372" s="9" t="str">
        <f>INDEX(Places[Majority RB],MATCH(Activities[[#This Row],[Jurisdiction]],Places[Jurisdiction],0))</f>
        <v>San Diego</v>
      </c>
      <c r="E1372" s="9">
        <f>INDEX(Places[Majority RB '#],MATCH(Activities[[#This Row],[Jurisdiction]],Places[Jurisdiction],0))</f>
        <v>9</v>
      </c>
      <c r="F1372" s="28" t="str">
        <f>VLOOKUP(Activities[[#This Row],[Jurisdiction]],Places[#All],8,FALSE)</f>
        <v>Phase I MS4</v>
      </c>
      <c r="G1372" s="48" t="s">
        <v>1144</v>
      </c>
      <c r="H1372" s="8"/>
      <c r="I1372" s="8"/>
      <c r="J1372" s="8" t="s">
        <v>76</v>
      </c>
      <c r="K1372" s="27" t="s">
        <v>1874</v>
      </c>
      <c r="L1372" s="28">
        <f>_xlfn.NUMBERVALUE(LEFT(Activities[[#This Row],[Fiscal Year]], 4))</f>
        <v>2017</v>
      </c>
      <c r="M1372" s="28" t="s">
        <v>1862</v>
      </c>
      <c r="N1372" s="41">
        <v>1196196</v>
      </c>
      <c r="O1372" s="93">
        <f>IF(Activities[[#This Row],[Reference Year]]&gt;2018,Activities[[#This Row],[Value]],Activities[[#This Row],[Value]]*(1+VLOOKUP(Activities[[#This Row],[Reference Year]],Inflation[#All],3,FALSE)))</f>
        <v>1228070.1577968178</v>
      </c>
    </row>
    <row r="1373" spans="1:15" ht="15" customHeight="1" x14ac:dyDescent="0.25">
      <c r="A1373" s="9" t="s">
        <v>21</v>
      </c>
      <c r="B1373" s="9" t="str">
        <f>INDEX(Places[Type],MATCH(Activities[[#This Row],[Jurisdiction]],Places[Jurisdiction],0))</f>
        <v>City</v>
      </c>
      <c r="C1373" s="19" t="str">
        <f>INDEX(Places[County],MATCH(Activities[[#This Row],[Jurisdiction]],Places[Jurisdiction],0))</f>
        <v>San Diego</v>
      </c>
      <c r="D1373" s="9" t="str">
        <f>INDEX(Places[Majority RB],MATCH(Activities[[#This Row],[Jurisdiction]],Places[Jurisdiction],0))</f>
        <v>San Diego</v>
      </c>
      <c r="E1373" s="9">
        <f>INDEX(Places[Majority RB '#],MATCH(Activities[[#This Row],[Jurisdiction]],Places[Jurisdiction],0))</f>
        <v>9</v>
      </c>
      <c r="F1373" s="28" t="str">
        <f>VLOOKUP(Activities[[#This Row],[Jurisdiction]],Places[#All],8,FALSE)</f>
        <v>Phase I MS4</v>
      </c>
      <c r="G1373" s="48" t="s">
        <v>1142</v>
      </c>
      <c r="H1373" s="8"/>
      <c r="I1373" s="8"/>
      <c r="J1373" s="8" t="s">
        <v>1895</v>
      </c>
      <c r="K1373" s="27" t="s">
        <v>1874</v>
      </c>
      <c r="L1373" s="28">
        <f>_xlfn.NUMBERVALUE(LEFT(Activities[[#This Row],[Fiscal Year]], 4))</f>
        <v>2017</v>
      </c>
      <c r="M1373" s="28" t="s">
        <v>1862</v>
      </c>
      <c r="N1373" s="41">
        <v>854195</v>
      </c>
      <c r="O1373" s="93">
        <f>IF(Activities[[#This Row],[Reference Year]]&gt;2018,Activities[[#This Row],[Value]],Activities[[#This Row],[Value]]*(1+VLOOKUP(Activities[[#This Row],[Reference Year]],Inflation[#All],3,FALSE)))</f>
        <v>876956.10789473692</v>
      </c>
    </row>
    <row r="1374" spans="1:15" ht="15" customHeight="1" x14ac:dyDescent="0.25">
      <c r="A1374" s="9" t="s">
        <v>21</v>
      </c>
      <c r="B1374" s="9" t="str">
        <f>INDEX(Places[Type],MATCH(Activities[[#This Row],[Jurisdiction]],Places[Jurisdiction],0))</f>
        <v>City</v>
      </c>
      <c r="C1374" s="19" t="str">
        <f>INDEX(Places[County],MATCH(Activities[[#This Row],[Jurisdiction]],Places[Jurisdiction],0))</f>
        <v>San Diego</v>
      </c>
      <c r="D1374" s="9" t="str">
        <f>INDEX(Places[Majority RB],MATCH(Activities[[#This Row],[Jurisdiction]],Places[Jurisdiction],0))</f>
        <v>San Diego</v>
      </c>
      <c r="E1374" s="9">
        <f>INDEX(Places[Majority RB '#],MATCH(Activities[[#This Row],[Jurisdiction]],Places[Jurisdiction],0))</f>
        <v>9</v>
      </c>
      <c r="F1374" s="28" t="str">
        <f>VLOOKUP(Activities[[#This Row],[Jurisdiction]],Places[#All],8,FALSE)</f>
        <v>Phase I MS4</v>
      </c>
      <c r="G1374" s="48" t="s">
        <v>1147</v>
      </c>
      <c r="H1374" s="8"/>
      <c r="I1374" s="8"/>
      <c r="J1374" s="8" t="s">
        <v>131</v>
      </c>
      <c r="K1374" s="27" t="s">
        <v>1874</v>
      </c>
      <c r="L1374" s="28">
        <f>_xlfn.NUMBERVALUE(LEFT(Activities[[#This Row],[Fiscal Year]], 4))</f>
        <v>2017</v>
      </c>
      <c r="M1374" s="28" t="s">
        <v>1862</v>
      </c>
      <c r="N1374" s="41">
        <v>7680158</v>
      </c>
      <c r="O1374" s="93">
        <f>IF(Activities[[#This Row],[Reference Year]]&gt;2018,Activities[[#This Row],[Value]],Activities[[#This Row],[Value]]*(1+VLOOKUP(Activities[[#This Row],[Reference Year]],Inflation[#All],3,FALSE)))</f>
        <v>7884805.5393635258</v>
      </c>
    </row>
    <row r="1375" spans="1:15" ht="15" customHeight="1" x14ac:dyDescent="0.25">
      <c r="A1375" s="9" t="s">
        <v>21</v>
      </c>
      <c r="B1375" s="9" t="str">
        <f>INDEX(Places[Type],MATCH(Activities[[#This Row],[Jurisdiction]],Places[Jurisdiction],0))</f>
        <v>City</v>
      </c>
      <c r="C1375" s="19" t="str">
        <f>INDEX(Places[County],MATCH(Activities[[#This Row],[Jurisdiction]],Places[Jurisdiction],0))</f>
        <v>San Diego</v>
      </c>
      <c r="D1375" s="9" t="str">
        <f>INDEX(Places[Majority RB],MATCH(Activities[[#This Row],[Jurisdiction]],Places[Jurisdiction],0))</f>
        <v>San Diego</v>
      </c>
      <c r="E1375" s="9">
        <f>INDEX(Places[Majority RB '#],MATCH(Activities[[#This Row],[Jurisdiction]],Places[Jurisdiction],0))</f>
        <v>9</v>
      </c>
      <c r="F1375" s="28" t="str">
        <f>VLOOKUP(Activities[[#This Row],[Jurisdiction]],Places[#All],8,FALSE)</f>
        <v>Phase I MS4</v>
      </c>
      <c r="G1375" s="48" t="s">
        <v>1145</v>
      </c>
      <c r="H1375" s="8"/>
      <c r="I1375" s="8"/>
      <c r="J1375" s="8" t="s">
        <v>334</v>
      </c>
      <c r="K1375" s="27" t="s">
        <v>1874</v>
      </c>
      <c r="L1375" s="28">
        <f>_xlfn.NUMBERVALUE(LEFT(Activities[[#This Row],[Fiscal Year]], 4))</f>
        <v>2017</v>
      </c>
      <c r="M1375" s="28" t="s">
        <v>1862</v>
      </c>
      <c r="N1375" s="41">
        <v>1706604</v>
      </c>
      <c r="O1375" s="93">
        <f>IF(Activities[[#This Row],[Reference Year]]&gt;2018,Activities[[#This Row],[Value]],Activities[[#This Row],[Value]]*(1+VLOOKUP(Activities[[#This Row],[Reference Year]],Inflation[#All],3,FALSE)))</f>
        <v>1752078.6255569158</v>
      </c>
    </row>
    <row r="1376" spans="1:15" ht="15" customHeight="1" x14ac:dyDescent="0.25">
      <c r="A1376" s="9" t="s">
        <v>21</v>
      </c>
      <c r="B1376" s="9" t="str">
        <f>INDEX(Places[Type],MATCH(Activities[[#This Row],[Jurisdiction]],Places[Jurisdiction],0))</f>
        <v>City</v>
      </c>
      <c r="C1376" s="19" t="str">
        <f>INDEX(Places[County],MATCH(Activities[[#This Row],[Jurisdiction]],Places[Jurisdiction],0))</f>
        <v>San Diego</v>
      </c>
      <c r="D1376" s="9" t="str">
        <f>INDEX(Places[Majority RB],MATCH(Activities[[#This Row],[Jurisdiction]],Places[Jurisdiction],0))</f>
        <v>San Diego</v>
      </c>
      <c r="E1376" s="9">
        <f>INDEX(Places[Majority RB '#],MATCH(Activities[[#This Row],[Jurisdiction]],Places[Jurisdiction],0))</f>
        <v>9</v>
      </c>
      <c r="F1376" s="28" t="str">
        <f>VLOOKUP(Activities[[#This Row],[Jurisdiction]],Places[#All],8,FALSE)</f>
        <v>Phase I MS4</v>
      </c>
      <c r="G1376" s="48" t="s">
        <v>1143</v>
      </c>
      <c r="H1376" s="8" t="s">
        <v>665</v>
      </c>
      <c r="I1376" s="94" t="s">
        <v>664</v>
      </c>
      <c r="J1376" s="8" t="s">
        <v>1897</v>
      </c>
      <c r="K1376" s="27" t="s">
        <v>1874</v>
      </c>
      <c r="L1376" s="28">
        <f>_xlfn.NUMBERVALUE(LEFT(Activities[[#This Row],[Fiscal Year]], 4))</f>
        <v>2017</v>
      </c>
      <c r="M1376" s="28" t="s">
        <v>1862</v>
      </c>
      <c r="N1376" s="41">
        <v>35368156</v>
      </c>
      <c r="O1376" s="93">
        <f>IF(Activities[[#This Row],[Reference Year]]&gt;2018,Activities[[#This Row],[Value]],Activities[[#This Row],[Value]]*(1+VLOOKUP(Activities[[#This Row],[Reference Year]],Inflation[#All],3,FALSE)))</f>
        <v>36310585.322056308</v>
      </c>
    </row>
    <row r="1377" spans="1:15" ht="15" customHeight="1" x14ac:dyDescent="0.25">
      <c r="A1377" s="9" t="s">
        <v>21</v>
      </c>
      <c r="B1377" s="9" t="str">
        <f>INDEX(Places[Type],MATCH(Activities[[#This Row],[Jurisdiction]],Places[Jurisdiction],0))</f>
        <v>City</v>
      </c>
      <c r="C1377" s="19" t="str">
        <f>INDEX(Places[County],MATCH(Activities[[#This Row],[Jurisdiction]],Places[Jurisdiction],0))</f>
        <v>San Diego</v>
      </c>
      <c r="D1377" s="9" t="str">
        <f>INDEX(Places[Majority RB],MATCH(Activities[[#This Row],[Jurisdiction]],Places[Jurisdiction],0))</f>
        <v>San Diego</v>
      </c>
      <c r="E1377" s="9">
        <f>INDEX(Places[Majority RB '#],MATCH(Activities[[#This Row],[Jurisdiction]],Places[Jurisdiction],0))</f>
        <v>9</v>
      </c>
      <c r="F1377" s="28" t="str">
        <f>VLOOKUP(Activities[[#This Row],[Jurisdiction]],Places[#All],8,FALSE)</f>
        <v>Phase I MS4</v>
      </c>
      <c r="G1377" s="48" t="s">
        <v>1141</v>
      </c>
      <c r="H1377" s="8" t="s">
        <v>582</v>
      </c>
      <c r="I1377" s="47" t="s">
        <v>580</v>
      </c>
      <c r="J1377" s="8" t="s">
        <v>1898</v>
      </c>
      <c r="K1377" s="27" t="s">
        <v>1874</v>
      </c>
      <c r="L1377" s="28">
        <f>_xlfn.NUMBERVALUE(LEFT(Activities[[#This Row],[Fiscal Year]], 4))</f>
        <v>2017</v>
      </c>
      <c r="M1377" s="28" t="s">
        <v>1862</v>
      </c>
      <c r="N1377" s="41">
        <v>1965750</v>
      </c>
      <c r="O1377" s="93">
        <f>IF(Activities[[#This Row],[Reference Year]]&gt;2018,Activities[[#This Row],[Value]],Activities[[#This Row],[Value]]*(1+VLOOKUP(Activities[[#This Row],[Reference Year]],Inflation[#All],3,FALSE)))</f>
        <v>2018129.8990208081</v>
      </c>
    </row>
    <row r="1378" spans="1:15" ht="15" customHeight="1" x14ac:dyDescent="0.25">
      <c r="A1378" s="9" t="s">
        <v>21</v>
      </c>
      <c r="B1378" s="9" t="str">
        <f>INDEX(Places[Type],MATCH(Activities[[#This Row],[Jurisdiction]],Places[Jurisdiction],0))</f>
        <v>City</v>
      </c>
      <c r="C1378" s="19" t="str">
        <f>INDEX(Places[County],MATCH(Activities[[#This Row],[Jurisdiction]],Places[Jurisdiction],0))</f>
        <v>San Diego</v>
      </c>
      <c r="D1378" s="9" t="str">
        <f>INDEX(Places[Majority RB],MATCH(Activities[[#This Row],[Jurisdiction]],Places[Jurisdiction],0))</f>
        <v>San Diego</v>
      </c>
      <c r="E1378" s="9">
        <f>INDEX(Places[Majority RB '#],MATCH(Activities[[#This Row],[Jurisdiction]],Places[Jurisdiction],0))</f>
        <v>9</v>
      </c>
      <c r="F1378" s="28" t="str">
        <f>VLOOKUP(Activities[[#This Row],[Jurisdiction]],Places[#All],8,FALSE)</f>
        <v>Phase I MS4</v>
      </c>
      <c r="G1378" s="48" t="s">
        <v>1146</v>
      </c>
      <c r="H1378" s="8"/>
      <c r="I1378" s="8"/>
      <c r="J1378" s="8" t="s">
        <v>1456</v>
      </c>
      <c r="K1378" s="27" t="s">
        <v>1874</v>
      </c>
      <c r="L1378" s="28">
        <f>_xlfn.NUMBERVALUE(LEFT(Activities[[#This Row],[Fiscal Year]], 4))</f>
        <v>2017</v>
      </c>
      <c r="M1378" s="28" t="s">
        <v>1862</v>
      </c>
      <c r="N1378" s="41">
        <v>6591636</v>
      </c>
      <c r="O1378" s="93">
        <f>IF(Activities[[#This Row],[Reference Year]]&gt;2018,Activities[[#This Row],[Value]],Activities[[#This Row],[Value]]*(1+VLOOKUP(Activities[[#This Row],[Reference Year]],Inflation[#All],3,FALSE)))</f>
        <v>6767278.4917013468</v>
      </c>
    </row>
    <row r="1379" spans="1:15" ht="15" customHeight="1" x14ac:dyDescent="0.25">
      <c r="A1379" s="9" t="s">
        <v>21</v>
      </c>
      <c r="B1379" s="9" t="str">
        <f>INDEX(Places[Type],MATCH(Activities[[#This Row],[Jurisdiction]],Places[Jurisdiction],0))</f>
        <v>City</v>
      </c>
      <c r="C1379" s="19" t="str">
        <f>INDEX(Places[County],MATCH(Activities[[#This Row],[Jurisdiction]],Places[Jurisdiction],0))</f>
        <v>San Diego</v>
      </c>
      <c r="D1379" s="9" t="str">
        <f>INDEX(Places[Majority RB],MATCH(Activities[[#This Row],[Jurisdiction]],Places[Jurisdiction],0))</f>
        <v>San Diego</v>
      </c>
      <c r="E1379" s="9">
        <f>INDEX(Places[Majority RB '#],MATCH(Activities[[#This Row],[Jurisdiction]],Places[Jurisdiction],0))</f>
        <v>9</v>
      </c>
      <c r="F1379" s="28" t="str">
        <f>VLOOKUP(Activities[[#This Row],[Jurisdiction]],Places[#All],8,FALSE)</f>
        <v>Phase I MS4</v>
      </c>
      <c r="G1379" s="48" t="s">
        <v>1140</v>
      </c>
      <c r="H1379" s="8"/>
      <c r="I1379" s="8"/>
      <c r="J1379" s="8" t="s">
        <v>1894</v>
      </c>
      <c r="K1379" s="27" t="s">
        <v>1874</v>
      </c>
      <c r="L1379" s="28">
        <f>_xlfn.NUMBERVALUE(LEFT(Activities[[#This Row],[Fiscal Year]], 4))</f>
        <v>2017</v>
      </c>
      <c r="M1379" s="28" t="s">
        <v>1862</v>
      </c>
      <c r="N1379" s="41">
        <v>10552305</v>
      </c>
      <c r="O1379" s="93">
        <f>IF(Activities[[#This Row],[Reference Year]]&gt;2018,Activities[[#This Row],[Value]],Activities[[#This Row],[Value]]*(1+VLOOKUP(Activities[[#This Row],[Reference Year]],Inflation[#All],3,FALSE)))</f>
        <v>10833484.534700124</v>
      </c>
    </row>
    <row r="1380" spans="1:15" ht="15" customHeight="1" x14ac:dyDescent="0.25">
      <c r="A1380" s="9" t="s">
        <v>21</v>
      </c>
      <c r="B1380" s="9" t="str">
        <f>INDEX(Places[Type],MATCH(Activities[[#This Row],[Jurisdiction]],Places[Jurisdiction],0))</f>
        <v>City</v>
      </c>
      <c r="C1380" s="19" t="str">
        <f>INDEX(Places[County],MATCH(Activities[[#This Row],[Jurisdiction]],Places[Jurisdiction],0))</f>
        <v>San Diego</v>
      </c>
      <c r="D1380" s="9" t="str">
        <f>INDEX(Places[Majority RB],MATCH(Activities[[#This Row],[Jurisdiction]],Places[Jurisdiction],0))</f>
        <v>San Diego</v>
      </c>
      <c r="E1380" s="9">
        <f>INDEX(Places[Majority RB '#],MATCH(Activities[[#This Row],[Jurisdiction]],Places[Jurisdiction],0))</f>
        <v>9</v>
      </c>
      <c r="F1380" s="28" t="str">
        <f>VLOOKUP(Activities[[#This Row],[Jurisdiction]],Places[#All],8,FALSE)</f>
        <v>Phase I MS4</v>
      </c>
      <c r="G1380" s="48" t="s">
        <v>1154</v>
      </c>
      <c r="H1380" s="8"/>
      <c r="I1380" s="8"/>
      <c r="J1380" s="8" t="s">
        <v>1896</v>
      </c>
      <c r="K1380" s="27" t="s">
        <v>1874</v>
      </c>
      <c r="L1380" s="28">
        <f>_xlfn.NUMBERVALUE(LEFT(Activities[[#This Row],[Fiscal Year]], 4))</f>
        <v>2017</v>
      </c>
      <c r="M1380" s="28" t="s">
        <v>1862</v>
      </c>
      <c r="N1380" s="41">
        <v>249000</v>
      </c>
      <c r="O1380" s="93">
        <f>IF(Activities[[#This Row],[Reference Year]]&gt;2018,Activities[[#This Row],[Value]],Activities[[#This Row],[Value]]*(1+VLOOKUP(Activities[[#This Row],[Reference Year]],Inflation[#All],3,FALSE)))</f>
        <v>255634.92044063652</v>
      </c>
    </row>
    <row r="1381" spans="1:15" ht="15" customHeight="1" x14ac:dyDescent="0.25">
      <c r="A1381" s="9" t="s">
        <v>21</v>
      </c>
      <c r="B1381" s="9" t="str">
        <f>INDEX(Places[Type],MATCH(Activities[[#This Row],[Jurisdiction]],Places[Jurisdiction],0))</f>
        <v>City</v>
      </c>
      <c r="C1381" s="19" t="str">
        <f>INDEX(Places[County],MATCH(Activities[[#This Row],[Jurisdiction]],Places[Jurisdiction],0))</f>
        <v>San Diego</v>
      </c>
      <c r="D1381" s="9" t="str">
        <f>INDEX(Places[Majority RB],MATCH(Activities[[#This Row],[Jurisdiction]],Places[Jurisdiction],0))</f>
        <v>San Diego</v>
      </c>
      <c r="E1381" s="9">
        <f>INDEX(Places[Majority RB '#],MATCH(Activities[[#This Row],[Jurisdiction]],Places[Jurisdiction],0))</f>
        <v>9</v>
      </c>
      <c r="F1381" s="28" t="str">
        <f>VLOOKUP(Activities[[#This Row],[Jurisdiction]],Places[#All],8,FALSE)</f>
        <v>Phase I MS4</v>
      </c>
      <c r="G1381" s="48" t="s">
        <v>1155</v>
      </c>
      <c r="H1381" s="8"/>
      <c r="I1381" s="8"/>
      <c r="J1381" s="8" t="s">
        <v>1896</v>
      </c>
      <c r="K1381" s="27" t="s">
        <v>1874</v>
      </c>
      <c r="L1381" s="28">
        <f>_xlfn.NUMBERVALUE(LEFT(Activities[[#This Row],[Fiscal Year]], 4))</f>
        <v>2017</v>
      </c>
      <c r="M1381" s="28" t="s">
        <v>1862</v>
      </c>
      <c r="N1381" s="41">
        <v>297339</v>
      </c>
      <c r="O1381" s="93">
        <f>IF(Activities[[#This Row],[Reference Year]]&gt;2018,Activities[[#This Row],[Value]],Activities[[#This Row],[Value]]*(1+VLOOKUP(Activities[[#This Row],[Reference Year]],Inflation[#All],3,FALSE)))</f>
        <v>305261.9743329254</v>
      </c>
    </row>
    <row r="1382" spans="1:15" ht="15" customHeight="1" x14ac:dyDescent="0.25">
      <c r="A1382" s="9" t="s">
        <v>21</v>
      </c>
      <c r="B1382" s="9" t="str">
        <f>INDEX(Places[Type],MATCH(Activities[[#This Row],[Jurisdiction]],Places[Jurisdiction],0))</f>
        <v>City</v>
      </c>
      <c r="C1382" s="19" t="str">
        <f>INDEX(Places[County],MATCH(Activities[[#This Row],[Jurisdiction]],Places[Jurisdiction],0))</f>
        <v>San Diego</v>
      </c>
      <c r="D1382" s="9" t="str">
        <f>INDEX(Places[Majority RB],MATCH(Activities[[#This Row],[Jurisdiction]],Places[Jurisdiction],0))</f>
        <v>San Diego</v>
      </c>
      <c r="E1382" s="9">
        <f>INDEX(Places[Majority RB '#],MATCH(Activities[[#This Row],[Jurisdiction]],Places[Jurisdiction],0))</f>
        <v>9</v>
      </c>
      <c r="F1382" s="28" t="str">
        <f>VLOOKUP(Activities[[#This Row],[Jurisdiction]],Places[#All],8,FALSE)</f>
        <v>Phase I MS4</v>
      </c>
      <c r="G1382" s="48" t="s">
        <v>1148</v>
      </c>
      <c r="H1382" s="8"/>
      <c r="I1382" s="8"/>
      <c r="J1382" s="8" t="s">
        <v>605</v>
      </c>
      <c r="K1382" s="27" t="s">
        <v>1874</v>
      </c>
      <c r="L1382" s="28">
        <f>_xlfn.NUMBERVALUE(LEFT(Activities[[#This Row],[Fiscal Year]], 4))</f>
        <v>2017</v>
      </c>
      <c r="M1382" s="28" t="s">
        <v>1862</v>
      </c>
      <c r="N1382" s="41">
        <v>986995</v>
      </c>
      <c r="O1382" s="93">
        <f>IF(Activities[[#This Row],[Reference Year]]&gt;2018,Activities[[#This Row],[Value]],Activities[[#This Row],[Value]]*(1+VLOOKUP(Activities[[#This Row],[Reference Year]],Inflation[#All],3,FALSE)))</f>
        <v>1013294.7321297431</v>
      </c>
    </row>
    <row r="1383" spans="1:15" ht="15" customHeight="1" x14ac:dyDescent="0.25">
      <c r="A1383" s="9" t="s">
        <v>21</v>
      </c>
      <c r="B1383" s="9" t="str">
        <f>INDEX(Places[Type],MATCH(Activities[[#This Row],[Jurisdiction]],Places[Jurisdiction],0))</f>
        <v>City</v>
      </c>
      <c r="C1383" s="19" t="str">
        <f>INDEX(Places[County],MATCH(Activities[[#This Row],[Jurisdiction]],Places[Jurisdiction],0))</f>
        <v>San Diego</v>
      </c>
      <c r="D1383" s="9" t="str">
        <f>INDEX(Places[Majority RB],MATCH(Activities[[#This Row],[Jurisdiction]],Places[Jurisdiction],0))</f>
        <v>San Diego</v>
      </c>
      <c r="E1383" s="9">
        <f>INDEX(Places[Majority RB '#],MATCH(Activities[[#This Row],[Jurisdiction]],Places[Jurisdiction],0))</f>
        <v>9</v>
      </c>
      <c r="F1383" s="28" t="str">
        <f>VLOOKUP(Activities[[#This Row],[Jurisdiction]],Places[#All],8,FALSE)</f>
        <v>Phase I MS4</v>
      </c>
      <c r="G1383" s="48" t="s">
        <v>1151</v>
      </c>
      <c r="H1383" s="8"/>
      <c r="I1383" s="8"/>
      <c r="J1383" s="8" t="s">
        <v>605</v>
      </c>
      <c r="K1383" s="27" t="s">
        <v>1874</v>
      </c>
      <c r="L1383" s="28">
        <f>_xlfn.NUMBERVALUE(LEFT(Activities[[#This Row],[Fiscal Year]], 4))</f>
        <v>2017</v>
      </c>
      <c r="M1383" s="28" t="s">
        <v>1862</v>
      </c>
      <c r="N1383" s="41">
        <v>1016177</v>
      </c>
      <c r="O1383" s="93">
        <f>IF(Activities[[#This Row],[Reference Year]]&gt;2018,Activities[[#This Row],[Value]],Activities[[#This Row],[Value]]*(1+VLOOKUP(Activities[[#This Row],[Reference Year]],Inflation[#All],3,FALSE)))</f>
        <v>1043254.3234883723</v>
      </c>
    </row>
    <row r="1384" spans="1:15" ht="15" customHeight="1" x14ac:dyDescent="0.25">
      <c r="A1384" s="9" t="s">
        <v>21</v>
      </c>
      <c r="B1384" s="9" t="str">
        <f>INDEX(Places[Type],MATCH(Activities[[#This Row],[Jurisdiction]],Places[Jurisdiction],0))</f>
        <v>City</v>
      </c>
      <c r="C1384" s="19" t="str">
        <f>INDEX(Places[County],MATCH(Activities[[#This Row],[Jurisdiction]],Places[Jurisdiction],0))</f>
        <v>San Diego</v>
      </c>
      <c r="D1384" s="9" t="str">
        <f>INDEX(Places[Majority RB],MATCH(Activities[[#This Row],[Jurisdiction]],Places[Jurisdiction],0))</f>
        <v>San Diego</v>
      </c>
      <c r="E1384" s="9">
        <f>INDEX(Places[Majority RB '#],MATCH(Activities[[#This Row],[Jurisdiction]],Places[Jurisdiction],0))</f>
        <v>9</v>
      </c>
      <c r="F1384" s="28" t="str">
        <f>VLOOKUP(Activities[[#This Row],[Jurisdiction]],Places[#All],8,FALSE)</f>
        <v>Phase I MS4</v>
      </c>
      <c r="G1384" s="48" t="s">
        <v>1150</v>
      </c>
      <c r="H1384" s="8"/>
      <c r="I1384" s="8"/>
      <c r="J1384" s="8" t="s">
        <v>605</v>
      </c>
      <c r="K1384" s="27" t="s">
        <v>1874</v>
      </c>
      <c r="L1384" s="28">
        <f>_xlfn.NUMBERVALUE(LEFT(Activities[[#This Row],[Fiscal Year]], 4))</f>
        <v>2017</v>
      </c>
      <c r="M1384" s="28" t="s">
        <v>1862</v>
      </c>
      <c r="N1384" s="41">
        <v>1087300</v>
      </c>
      <c r="O1384" s="93">
        <f>IF(Activities[[#This Row],[Reference Year]]&gt;2018,Activities[[#This Row],[Value]],Activities[[#This Row],[Value]]*(1+VLOOKUP(Activities[[#This Row],[Reference Year]],Inflation[#All],3,FALSE)))</f>
        <v>1116272.4859241128</v>
      </c>
    </row>
    <row r="1385" spans="1:15" ht="15" customHeight="1" x14ac:dyDescent="0.25">
      <c r="A1385" s="9" t="s">
        <v>21</v>
      </c>
      <c r="B1385" s="9" t="str">
        <f>INDEX(Places[Type],MATCH(Activities[[#This Row],[Jurisdiction]],Places[Jurisdiction],0))</f>
        <v>City</v>
      </c>
      <c r="C1385" s="19" t="str">
        <f>INDEX(Places[County],MATCH(Activities[[#This Row],[Jurisdiction]],Places[Jurisdiction],0))</f>
        <v>San Diego</v>
      </c>
      <c r="D1385" s="9" t="str">
        <f>INDEX(Places[Majority RB],MATCH(Activities[[#This Row],[Jurisdiction]],Places[Jurisdiction],0))</f>
        <v>San Diego</v>
      </c>
      <c r="E1385" s="9">
        <f>INDEX(Places[Majority RB '#],MATCH(Activities[[#This Row],[Jurisdiction]],Places[Jurisdiction],0))</f>
        <v>9</v>
      </c>
      <c r="F1385" s="28" t="str">
        <f>VLOOKUP(Activities[[#This Row],[Jurisdiction]],Places[#All],8,FALSE)</f>
        <v>Phase I MS4</v>
      </c>
      <c r="G1385" s="48" t="s">
        <v>1149</v>
      </c>
      <c r="H1385" s="8"/>
      <c r="I1385" s="8"/>
      <c r="J1385" s="8" t="s">
        <v>605</v>
      </c>
      <c r="K1385" s="27" t="s">
        <v>1874</v>
      </c>
      <c r="L1385" s="28">
        <f>_xlfn.NUMBERVALUE(LEFT(Activities[[#This Row],[Fiscal Year]], 4))</f>
        <v>2017</v>
      </c>
      <c r="M1385" s="28" t="s">
        <v>1862</v>
      </c>
      <c r="N1385" s="41">
        <v>1124027</v>
      </c>
      <c r="O1385" s="93">
        <f>IF(Activities[[#This Row],[Reference Year]]&gt;2018,Activities[[#This Row],[Value]],Activities[[#This Row],[Value]]*(1+VLOOKUP(Activities[[#This Row],[Reference Year]],Inflation[#All],3,FALSE)))</f>
        <v>1153978.1233659731</v>
      </c>
    </row>
    <row r="1386" spans="1:15" ht="15" customHeight="1" x14ac:dyDescent="0.25">
      <c r="A1386" s="9" t="s">
        <v>21</v>
      </c>
      <c r="B1386" s="9" t="str">
        <f>INDEX(Places[Type],MATCH(Activities[[#This Row],[Jurisdiction]],Places[Jurisdiction],0))</f>
        <v>City</v>
      </c>
      <c r="C1386" s="19" t="str">
        <f>INDEX(Places[County],MATCH(Activities[[#This Row],[Jurisdiction]],Places[Jurisdiction],0))</f>
        <v>San Diego</v>
      </c>
      <c r="D1386" s="9" t="str">
        <f>INDEX(Places[Majority RB],MATCH(Activities[[#This Row],[Jurisdiction]],Places[Jurisdiction],0))</f>
        <v>San Diego</v>
      </c>
      <c r="E1386" s="9">
        <f>INDEX(Places[Majority RB '#],MATCH(Activities[[#This Row],[Jurisdiction]],Places[Jurisdiction],0))</f>
        <v>9</v>
      </c>
      <c r="F1386" s="28" t="str">
        <f>VLOOKUP(Activities[[#This Row],[Jurisdiction]],Places[#All],8,FALSE)</f>
        <v>Phase I MS4</v>
      </c>
      <c r="G1386" s="48" t="s">
        <v>1153</v>
      </c>
      <c r="H1386" s="8"/>
      <c r="I1386" s="8"/>
      <c r="J1386" s="8" t="s">
        <v>605</v>
      </c>
      <c r="K1386" s="27" t="s">
        <v>1874</v>
      </c>
      <c r="L1386" s="28">
        <f>_xlfn.NUMBERVALUE(LEFT(Activities[[#This Row],[Fiscal Year]], 4))</f>
        <v>2017</v>
      </c>
      <c r="M1386" s="28" t="s">
        <v>1862</v>
      </c>
      <c r="N1386" s="41">
        <v>1210676</v>
      </c>
      <c r="O1386" s="93">
        <f>IF(Activities[[#This Row],[Reference Year]]&gt;2018,Activities[[#This Row],[Value]],Activities[[#This Row],[Value]]*(1+VLOOKUP(Activities[[#This Row],[Reference Year]],Inflation[#All],3,FALSE)))</f>
        <v>1242935.9957405142</v>
      </c>
    </row>
    <row r="1387" spans="1:15" ht="15" customHeight="1" x14ac:dyDescent="0.25">
      <c r="A1387" s="9" t="s">
        <v>21</v>
      </c>
      <c r="B1387" s="9" t="str">
        <f>INDEX(Places[Type],MATCH(Activities[[#This Row],[Jurisdiction]],Places[Jurisdiction],0))</f>
        <v>City</v>
      </c>
      <c r="C1387" s="19" t="str">
        <f>INDEX(Places[County],MATCH(Activities[[#This Row],[Jurisdiction]],Places[Jurisdiction],0))</f>
        <v>San Diego</v>
      </c>
      <c r="D1387" s="9" t="str">
        <f>INDEX(Places[Majority RB],MATCH(Activities[[#This Row],[Jurisdiction]],Places[Jurisdiction],0))</f>
        <v>San Diego</v>
      </c>
      <c r="E1387" s="9">
        <f>INDEX(Places[Majority RB '#],MATCH(Activities[[#This Row],[Jurisdiction]],Places[Jurisdiction],0))</f>
        <v>9</v>
      </c>
      <c r="F1387" s="28" t="str">
        <f>VLOOKUP(Activities[[#This Row],[Jurisdiction]],Places[#All],8,FALSE)</f>
        <v>Phase I MS4</v>
      </c>
      <c r="G1387" s="48" t="s">
        <v>1152</v>
      </c>
      <c r="H1387" s="8"/>
      <c r="I1387" s="8"/>
      <c r="J1387" s="8" t="s">
        <v>605</v>
      </c>
      <c r="K1387" s="27" t="s">
        <v>1874</v>
      </c>
      <c r="L1387" s="28">
        <f>_xlfn.NUMBERVALUE(LEFT(Activities[[#This Row],[Fiscal Year]], 4))</f>
        <v>2017</v>
      </c>
      <c r="M1387" s="28" t="s">
        <v>1862</v>
      </c>
      <c r="N1387" s="41">
        <v>2528113</v>
      </c>
      <c r="O1387" s="93">
        <f>IF(Activities[[#This Row],[Reference Year]]&gt;2018,Activities[[#This Row],[Value]],Activities[[#This Row],[Value]]*(1+VLOOKUP(Activities[[#This Row],[Reference Year]],Inflation[#All],3,FALSE)))</f>
        <v>2595477.7735740519</v>
      </c>
    </row>
    <row r="1388" spans="1:15" ht="15" customHeight="1" x14ac:dyDescent="0.25">
      <c r="A1388" s="9" t="s">
        <v>1428</v>
      </c>
      <c r="B1388" s="9" t="str">
        <f>INDEX(Places[Type],MATCH(Activities[[#This Row],[Jurisdiction]],Places[Jurisdiction],0))</f>
        <v>County</v>
      </c>
      <c r="C1388" s="19" t="str">
        <f>INDEX(Places[County],MATCH(Activities[[#This Row],[Jurisdiction]],Places[Jurisdiction],0))</f>
        <v>San Diego</v>
      </c>
      <c r="D1388" s="9" t="str">
        <f>INDEX(Places[Majority RB],MATCH(Activities[[#This Row],[Jurisdiction]],Places[Jurisdiction],0))</f>
        <v>San Diego</v>
      </c>
      <c r="E1388" s="9">
        <f>INDEX(Places[Majority RB '#],MATCH(Activities[[#This Row],[Jurisdiction]],Places[Jurisdiction],0))</f>
        <v>9</v>
      </c>
      <c r="F1388" s="28" t="str">
        <f>VLOOKUP(Activities[[#This Row],[Jurisdiction]],Places[#All],8,FALSE)</f>
        <v>Phase I MS4</v>
      </c>
      <c r="G1388" s="56" t="s">
        <v>1214</v>
      </c>
      <c r="H1388" s="52"/>
      <c r="I1388" s="52"/>
      <c r="J1388" s="8" t="s">
        <v>76</v>
      </c>
      <c r="K1388" s="27" t="s">
        <v>1874</v>
      </c>
      <c r="L1388" s="28">
        <f>_xlfn.NUMBERVALUE(LEFT(Activities[[#This Row],[Fiscal Year]], 4))</f>
        <v>2017</v>
      </c>
      <c r="M1388" s="28" t="s">
        <v>1862</v>
      </c>
      <c r="N1388" s="41">
        <v>1494</v>
      </c>
      <c r="O1388" s="93">
        <f>IF(Activities[[#This Row],[Reference Year]]&gt;2018,Activities[[#This Row],[Value]],Activities[[#This Row],[Value]]*(1+VLOOKUP(Activities[[#This Row],[Reference Year]],Inflation[#All],3,FALSE)))</f>
        <v>1533.809522643819</v>
      </c>
    </row>
    <row r="1389" spans="1:15" ht="15" customHeight="1" x14ac:dyDescent="0.25">
      <c r="A1389" s="9" t="s">
        <v>1428</v>
      </c>
      <c r="B1389" s="9" t="str">
        <f>INDEX(Places[Type],MATCH(Activities[[#This Row],[Jurisdiction]],Places[Jurisdiction],0))</f>
        <v>County</v>
      </c>
      <c r="C1389" s="19" t="str">
        <f>INDEX(Places[County],MATCH(Activities[[#This Row],[Jurisdiction]],Places[Jurisdiction],0))</f>
        <v>San Diego</v>
      </c>
      <c r="D1389" s="9" t="str">
        <f>INDEX(Places[Majority RB],MATCH(Activities[[#This Row],[Jurisdiction]],Places[Jurisdiction],0))</f>
        <v>San Diego</v>
      </c>
      <c r="E1389" s="9">
        <f>INDEX(Places[Majority RB '#],MATCH(Activities[[#This Row],[Jurisdiction]],Places[Jurisdiction],0))</f>
        <v>9</v>
      </c>
      <c r="F1389" s="28" t="str">
        <f>VLOOKUP(Activities[[#This Row],[Jurisdiction]],Places[#All],8,FALSE)</f>
        <v>Phase I MS4</v>
      </c>
      <c r="G1389" s="64" t="s">
        <v>1182</v>
      </c>
      <c r="H1389" s="52"/>
      <c r="I1389" s="52"/>
      <c r="J1389" s="8" t="s">
        <v>76</v>
      </c>
      <c r="K1389" s="27" t="s">
        <v>1874</v>
      </c>
      <c r="L1389" s="28">
        <f>_xlfn.NUMBERVALUE(LEFT(Activities[[#This Row],[Fiscal Year]], 4))</f>
        <v>2017</v>
      </c>
      <c r="M1389" s="28" t="s">
        <v>1862</v>
      </c>
      <c r="N1389" s="41">
        <v>43500</v>
      </c>
      <c r="O1389" s="93">
        <f>IF(Activities[[#This Row],[Reference Year]]&gt;2018,Activities[[#This Row],[Value]],Activities[[#This Row],[Value]]*(1+VLOOKUP(Activities[[#This Row],[Reference Year]],Inflation[#All],3,FALSE)))</f>
        <v>44659.112607099145</v>
      </c>
    </row>
    <row r="1390" spans="1:15" ht="15" customHeight="1" x14ac:dyDescent="0.25">
      <c r="A1390" s="9" t="s">
        <v>1428</v>
      </c>
      <c r="B1390" s="9" t="str">
        <f>INDEX(Places[Type],MATCH(Activities[[#This Row],[Jurisdiction]],Places[Jurisdiction],0))</f>
        <v>County</v>
      </c>
      <c r="C1390" s="19" t="str">
        <f>INDEX(Places[County],MATCH(Activities[[#This Row],[Jurisdiction]],Places[Jurisdiction],0))</f>
        <v>San Diego</v>
      </c>
      <c r="D1390" s="9" t="str">
        <f>INDEX(Places[Majority RB],MATCH(Activities[[#This Row],[Jurisdiction]],Places[Jurisdiction],0))</f>
        <v>San Diego</v>
      </c>
      <c r="E1390" s="9">
        <f>INDEX(Places[Majority RB '#],MATCH(Activities[[#This Row],[Jurisdiction]],Places[Jurisdiction],0))</f>
        <v>9</v>
      </c>
      <c r="F1390" s="28" t="str">
        <f>VLOOKUP(Activities[[#This Row],[Jurisdiction]],Places[#All],8,FALSE)</f>
        <v>Phase I MS4</v>
      </c>
      <c r="G1390" s="56" t="s">
        <v>1202</v>
      </c>
      <c r="H1390" s="52"/>
      <c r="I1390" s="52"/>
      <c r="J1390" s="8" t="s">
        <v>76</v>
      </c>
      <c r="K1390" s="27" t="s">
        <v>1874</v>
      </c>
      <c r="L1390" s="28">
        <f>_xlfn.NUMBERVALUE(LEFT(Activities[[#This Row],[Fiscal Year]], 4))</f>
        <v>2017</v>
      </c>
      <c r="M1390" s="28" t="s">
        <v>1862</v>
      </c>
      <c r="N1390" s="41">
        <v>102950</v>
      </c>
      <c r="O1390" s="93">
        <f>IF(Activities[[#This Row],[Reference Year]]&gt;2018,Activities[[#This Row],[Value]],Activities[[#This Row],[Value]]*(1+VLOOKUP(Activities[[#This Row],[Reference Year]],Inflation[#All],3,FALSE)))</f>
        <v>105693.23317013466</v>
      </c>
    </row>
    <row r="1391" spans="1:15" ht="15" customHeight="1" x14ac:dyDescent="0.25">
      <c r="A1391" s="9" t="s">
        <v>1428</v>
      </c>
      <c r="B1391" s="9" t="str">
        <f>INDEX(Places[Type],MATCH(Activities[[#This Row],[Jurisdiction]],Places[Jurisdiction],0))</f>
        <v>County</v>
      </c>
      <c r="C1391" s="19" t="str">
        <f>INDEX(Places[County],MATCH(Activities[[#This Row],[Jurisdiction]],Places[Jurisdiction],0))</f>
        <v>San Diego</v>
      </c>
      <c r="D1391" s="9" t="str">
        <f>INDEX(Places[Majority RB],MATCH(Activities[[#This Row],[Jurisdiction]],Places[Jurisdiction],0))</f>
        <v>San Diego</v>
      </c>
      <c r="E1391" s="9">
        <f>INDEX(Places[Majority RB '#],MATCH(Activities[[#This Row],[Jurisdiction]],Places[Jurisdiction],0))</f>
        <v>9</v>
      </c>
      <c r="F1391" s="28" t="str">
        <f>VLOOKUP(Activities[[#This Row],[Jurisdiction]],Places[#All],8,FALSE)</f>
        <v>Phase I MS4</v>
      </c>
      <c r="G1391" s="56" t="s">
        <v>1198</v>
      </c>
      <c r="H1391" s="52"/>
      <c r="I1391" s="52"/>
      <c r="J1391" s="8" t="s">
        <v>76</v>
      </c>
      <c r="K1391" s="27" t="s">
        <v>1874</v>
      </c>
      <c r="L1391" s="28">
        <f>_xlfn.NUMBERVALUE(LEFT(Activities[[#This Row],[Fiscal Year]], 4))</f>
        <v>2017</v>
      </c>
      <c r="M1391" s="28" t="s">
        <v>1862</v>
      </c>
      <c r="N1391" s="41">
        <v>117000</v>
      </c>
      <c r="O1391" s="93">
        <f>IF(Activities[[#This Row],[Reference Year]]&gt;2018,Activities[[#This Row],[Value]],Activities[[#This Row],[Value]]*(1+VLOOKUP(Activities[[#This Row],[Reference Year]],Inflation[#All],3,FALSE)))</f>
        <v>120117.61321909426</v>
      </c>
    </row>
    <row r="1392" spans="1:15" ht="15" customHeight="1" x14ac:dyDescent="0.25">
      <c r="A1392" s="9" t="s">
        <v>1428</v>
      </c>
      <c r="B1392" s="9" t="str">
        <f>INDEX(Places[Type],MATCH(Activities[[#This Row],[Jurisdiction]],Places[Jurisdiction],0))</f>
        <v>County</v>
      </c>
      <c r="C1392" s="19" t="str">
        <f>INDEX(Places[County],MATCH(Activities[[#This Row],[Jurisdiction]],Places[Jurisdiction],0))</f>
        <v>San Diego</v>
      </c>
      <c r="D1392" s="9" t="str">
        <f>INDEX(Places[Majority RB],MATCH(Activities[[#This Row],[Jurisdiction]],Places[Jurisdiction],0))</f>
        <v>San Diego</v>
      </c>
      <c r="E1392" s="9">
        <f>INDEX(Places[Majority RB '#],MATCH(Activities[[#This Row],[Jurisdiction]],Places[Jurisdiction],0))</f>
        <v>9</v>
      </c>
      <c r="F1392" s="28" t="str">
        <f>VLOOKUP(Activities[[#This Row],[Jurisdiction]],Places[#All],8,FALSE)</f>
        <v>Phase I MS4</v>
      </c>
      <c r="G1392" s="56" t="s">
        <v>1183</v>
      </c>
      <c r="H1392" s="52"/>
      <c r="I1392" s="52"/>
      <c r="J1392" s="8" t="s">
        <v>76</v>
      </c>
      <c r="K1392" s="27" t="s">
        <v>1874</v>
      </c>
      <c r="L1392" s="28">
        <f>_xlfn.NUMBERVALUE(LEFT(Activities[[#This Row],[Fiscal Year]], 4))</f>
        <v>2017</v>
      </c>
      <c r="M1392" s="28" t="s">
        <v>1862</v>
      </c>
      <c r="N1392" s="41">
        <v>118546</v>
      </c>
      <c r="O1392" s="93">
        <f>IF(Activities[[#This Row],[Reference Year]]&gt;2018,Activities[[#This Row],[Value]],Activities[[#This Row],[Value]]*(1+VLOOKUP(Activities[[#This Row],[Reference Year]],Inflation[#All],3,FALSE)))</f>
        <v>121704.80834761323</v>
      </c>
    </row>
    <row r="1393" spans="1:15" ht="15" customHeight="1" x14ac:dyDescent="0.25">
      <c r="A1393" s="9" t="s">
        <v>1428</v>
      </c>
      <c r="B1393" s="9" t="str">
        <f>INDEX(Places[Type],MATCH(Activities[[#This Row],[Jurisdiction]],Places[Jurisdiction],0))</f>
        <v>County</v>
      </c>
      <c r="C1393" s="19" t="str">
        <f>INDEX(Places[County],MATCH(Activities[[#This Row],[Jurisdiction]],Places[Jurisdiction],0))</f>
        <v>San Diego</v>
      </c>
      <c r="D1393" s="9" t="str">
        <f>INDEX(Places[Majority RB],MATCH(Activities[[#This Row],[Jurisdiction]],Places[Jurisdiction],0))</f>
        <v>San Diego</v>
      </c>
      <c r="E1393" s="9">
        <f>INDEX(Places[Majority RB '#],MATCH(Activities[[#This Row],[Jurisdiction]],Places[Jurisdiction],0))</f>
        <v>9</v>
      </c>
      <c r="F1393" s="28" t="str">
        <f>VLOOKUP(Activities[[#This Row],[Jurisdiction]],Places[#All],8,FALSE)</f>
        <v>Phase I MS4</v>
      </c>
      <c r="G1393" s="56" t="s">
        <v>1194</v>
      </c>
      <c r="H1393" s="8"/>
      <c r="I1393" s="8"/>
      <c r="J1393" s="8" t="s">
        <v>76</v>
      </c>
      <c r="K1393" s="27" t="s">
        <v>1874</v>
      </c>
      <c r="L1393" s="28">
        <f>_xlfn.NUMBERVALUE(LEFT(Activities[[#This Row],[Fiscal Year]], 4))</f>
        <v>2017</v>
      </c>
      <c r="M1393" s="28" t="s">
        <v>1862</v>
      </c>
      <c r="N1393" s="41">
        <v>123810</v>
      </c>
      <c r="O1393" s="93">
        <f>IF(Activities[[#This Row],[Reference Year]]&gt;2018,Activities[[#This Row],[Value]],Activities[[#This Row],[Value]]*(1+VLOOKUP(Activities[[#This Row],[Reference Year]],Inflation[#All],3,FALSE)))</f>
        <v>127109.07429620564</v>
      </c>
    </row>
    <row r="1394" spans="1:15" ht="15" customHeight="1" x14ac:dyDescent="0.25">
      <c r="A1394" s="9" t="s">
        <v>1428</v>
      </c>
      <c r="B1394" s="9" t="str">
        <f>INDEX(Places[Type],MATCH(Activities[[#This Row],[Jurisdiction]],Places[Jurisdiction],0))</f>
        <v>County</v>
      </c>
      <c r="C1394" s="19" t="str">
        <f>INDEX(Places[County],MATCH(Activities[[#This Row],[Jurisdiction]],Places[Jurisdiction],0))</f>
        <v>San Diego</v>
      </c>
      <c r="D1394" s="9" t="str">
        <f>INDEX(Places[Majority RB],MATCH(Activities[[#This Row],[Jurisdiction]],Places[Jurisdiction],0))</f>
        <v>San Diego</v>
      </c>
      <c r="E1394" s="9">
        <f>INDEX(Places[Majority RB '#],MATCH(Activities[[#This Row],[Jurisdiction]],Places[Jurisdiction],0))</f>
        <v>9</v>
      </c>
      <c r="F1394" s="28" t="str">
        <f>VLOOKUP(Activities[[#This Row],[Jurisdiction]],Places[#All],8,FALSE)</f>
        <v>Phase I MS4</v>
      </c>
      <c r="G1394" s="56" t="s">
        <v>1227</v>
      </c>
      <c r="H1394" s="52"/>
      <c r="I1394" s="52"/>
      <c r="J1394" s="8" t="s">
        <v>76</v>
      </c>
      <c r="K1394" s="27" t="s">
        <v>1874</v>
      </c>
      <c r="L1394" s="28">
        <f>_xlfn.NUMBERVALUE(LEFT(Activities[[#This Row],[Fiscal Year]], 4))</f>
        <v>2017</v>
      </c>
      <c r="M1394" s="28" t="s">
        <v>1862</v>
      </c>
      <c r="N1394" s="41">
        <v>162925</v>
      </c>
      <c r="O1394" s="93">
        <f>IF(Activities[[#This Row],[Reference Year]]&gt;2018,Activities[[#This Row],[Value]],Activities[[#This Row],[Value]]*(1+VLOOKUP(Activities[[#This Row],[Reference Year]],Inflation[#All],3,FALSE)))</f>
        <v>167266.34302325585</v>
      </c>
    </row>
    <row r="1395" spans="1:15" ht="15" customHeight="1" x14ac:dyDescent="0.25">
      <c r="A1395" s="9" t="s">
        <v>1428</v>
      </c>
      <c r="B1395" s="9" t="str">
        <f>INDEX(Places[Type],MATCH(Activities[[#This Row],[Jurisdiction]],Places[Jurisdiction],0))</f>
        <v>County</v>
      </c>
      <c r="C1395" s="19" t="str">
        <f>INDEX(Places[County],MATCH(Activities[[#This Row],[Jurisdiction]],Places[Jurisdiction],0))</f>
        <v>San Diego</v>
      </c>
      <c r="D1395" s="9" t="str">
        <f>INDEX(Places[Majority RB],MATCH(Activities[[#This Row],[Jurisdiction]],Places[Jurisdiction],0))</f>
        <v>San Diego</v>
      </c>
      <c r="E1395" s="9">
        <f>INDEX(Places[Majority RB '#],MATCH(Activities[[#This Row],[Jurisdiction]],Places[Jurisdiction],0))</f>
        <v>9</v>
      </c>
      <c r="F1395" s="28" t="str">
        <f>VLOOKUP(Activities[[#This Row],[Jurisdiction]],Places[#All],8,FALSE)</f>
        <v>Phase I MS4</v>
      </c>
      <c r="G1395" s="56" t="s">
        <v>1210</v>
      </c>
      <c r="H1395" s="8"/>
      <c r="I1395" s="8"/>
      <c r="J1395" s="8" t="s">
        <v>76</v>
      </c>
      <c r="K1395" s="27" t="s">
        <v>1874</v>
      </c>
      <c r="L1395" s="28">
        <f>_xlfn.NUMBERVALUE(LEFT(Activities[[#This Row],[Fiscal Year]], 4))</f>
        <v>2017</v>
      </c>
      <c r="M1395" s="28" t="s">
        <v>1862</v>
      </c>
      <c r="N1395" s="41">
        <v>187890</v>
      </c>
      <c r="O1395" s="93">
        <f>IF(Activities[[#This Row],[Reference Year]]&gt;2018,Activities[[#This Row],[Value]],Activities[[#This Row],[Value]]*(1+VLOOKUP(Activities[[#This Row],[Reference Year]],Inflation[#All],3,FALSE)))</f>
        <v>192896.56707466341</v>
      </c>
    </row>
    <row r="1396" spans="1:15" ht="15" customHeight="1" x14ac:dyDescent="0.25">
      <c r="A1396" s="9" t="s">
        <v>1428</v>
      </c>
      <c r="B1396" s="9" t="str">
        <f>INDEX(Places[Type],MATCH(Activities[[#This Row],[Jurisdiction]],Places[Jurisdiction],0))</f>
        <v>County</v>
      </c>
      <c r="C1396" s="19" t="str">
        <f>INDEX(Places[County],MATCH(Activities[[#This Row],[Jurisdiction]],Places[Jurisdiction],0))</f>
        <v>San Diego</v>
      </c>
      <c r="D1396" s="9" t="str">
        <f>INDEX(Places[Majority RB],MATCH(Activities[[#This Row],[Jurisdiction]],Places[Jurisdiction],0))</f>
        <v>San Diego</v>
      </c>
      <c r="E1396" s="9">
        <f>INDEX(Places[Majority RB '#],MATCH(Activities[[#This Row],[Jurisdiction]],Places[Jurisdiction],0))</f>
        <v>9</v>
      </c>
      <c r="F1396" s="28" t="str">
        <f>VLOOKUP(Activities[[#This Row],[Jurisdiction]],Places[#All],8,FALSE)</f>
        <v>Phase I MS4</v>
      </c>
      <c r="G1396" s="56" t="s">
        <v>1219</v>
      </c>
      <c r="H1396" s="8"/>
      <c r="I1396" s="8"/>
      <c r="J1396" s="8" t="s">
        <v>76</v>
      </c>
      <c r="K1396" s="27" t="s">
        <v>1874</v>
      </c>
      <c r="L1396" s="28">
        <f>_xlfn.NUMBERVALUE(LEFT(Activities[[#This Row],[Fiscal Year]], 4))</f>
        <v>2017</v>
      </c>
      <c r="M1396" s="28" t="s">
        <v>1862</v>
      </c>
      <c r="N1396" s="41">
        <v>200000</v>
      </c>
      <c r="O1396" s="93">
        <f>IF(Activities[[#This Row],[Reference Year]]&gt;2018,Activities[[#This Row],[Value]],Activities[[#This Row],[Value]]*(1+VLOOKUP(Activities[[#This Row],[Reference Year]],Inflation[#All],3,FALSE)))</f>
        <v>205329.2533659731</v>
      </c>
    </row>
    <row r="1397" spans="1:15" ht="15" customHeight="1" x14ac:dyDescent="0.25">
      <c r="A1397" s="9" t="s">
        <v>1428</v>
      </c>
      <c r="B1397" s="9" t="str">
        <f>INDEX(Places[Type],MATCH(Activities[[#This Row],[Jurisdiction]],Places[Jurisdiction],0))</f>
        <v>County</v>
      </c>
      <c r="C1397" s="19" t="str">
        <f>INDEX(Places[County],MATCH(Activities[[#This Row],[Jurisdiction]],Places[Jurisdiction],0))</f>
        <v>San Diego</v>
      </c>
      <c r="D1397" s="9" t="str">
        <f>INDEX(Places[Majority RB],MATCH(Activities[[#This Row],[Jurisdiction]],Places[Jurisdiction],0))</f>
        <v>San Diego</v>
      </c>
      <c r="E1397" s="9">
        <f>INDEX(Places[Majority RB '#],MATCH(Activities[[#This Row],[Jurisdiction]],Places[Jurisdiction],0))</f>
        <v>9</v>
      </c>
      <c r="F1397" s="28" t="str">
        <f>VLOOKUP(Activities[[#This Row],[Jurisdiction]],Places[#All],8,FALSE)</f>
        <v>Phase I MS4</v>
      </c>
      <c r="G1397" s="56" t="s">
        <v>1180</v>
      </c>
      <c r="H1397" s="52"/>
      <c r="I1397" s="52"/>
      <c r="J1397" s="8" t="s">
        <v>76</v>
      </c>
      <c r="K1397" s="27" t="s">
        <v>1874</v>
      </c>
      <c r="L1397" s="28">
        <f>_xlfn.NUMBERVALUE(LEFT(Activities[[#This Row],[Fiscal Year]], 4))</f>
        <v>2017</v>
      </c>
      <c r="M1397" s="28" t="s">
        <v>1862</v>
      </c>
      <c r="N1397" s="41">
        <v>252662</v>
      </c>
      <c r="O1397" s="93">
        <f>IF(Activities[[#This Row],[Reference Year]]&gt;2018,Activities[[#This Row],[Value]],Activities[[#This Row],[Value]]*(1+VLOOKUP(Activities[[#This Row],[Reference Year]],Inflation[#All],3,FALSE)))</f>
        <v>259394.49906976748</v>
      </c>
    </row>
    <row r="1398" spans="1:15" ht="15" customHeight="1" x14ac:dyDescent="0.25">
      <c r="A1398" s="9" t="s">
        <v>1428</v>
      </c>
      <c r="B1398" s="9" t="str">
        <f>INDEX(Places[Type],MATCH(Activities[[#This Row],[Jurisdiction]],Places[Jurisdiction],0))</f>
        <v>County</v>
      </c>
      <c r="C1398" s="19" t="str">
        <f>INDEX(Places[County],MATCH(Activities[[#This Row],[Jurisdiction]],Places[Jurisdiction],0))</f>
        <v>San Diego</v>
      </c>
      <c r="D1398" s="9" t="str">
        <f>INDEX(Places[Majority RB],MATCH(Activities[[#This Row],[Jurisdiction]],Places[Jurisdiction],0))</f>
        <v>San Diego</v>
      </c>
      <c r="E1398" s="9">
        <f>INDEX(Places[Majority RB '#],MATCH(Activities[[#This Row],[Jurisdiction]],Places[Jurisdiction],0))</f>
        <v>9</v>
      </c>
      <c r="F1398" s="28" t="str">
        <f>VLOOKUP(Activities[[#This Row],[Jurisdiction]],Places[#All],8,FALSE)</f>
        <v>Phase I MS4</v>
      </c>
      <c r="G1398" s="56" t="s">
        <v>1222</v>
      </c>
      <c r="H1398" s="52"/>
      <c r="I1398" s="52"/>
      <c r="J1398" s="8" t="s">
        <v>76</v>
      </c>
      <c r="K1398" s="27" t="s">
        <v>1874</v>
      </c>
      <c r="L1398" s="28">
        <f>_xlfn.NUMBERVALUE(LEFT(Activities[[#This Row],[Fiscal Year]], 4))</f>
        <v>2017</v>
      </c>
      <c r="M1398" s="28" t="s">
        <v>1862</v>
      </c>
      <c r="N1398" s="41">
        <v>1005264</v>
      </c>
      <c r="O1398" s="93">
        <f>IF(Activities[[#This Row],[Reference Year]]&gt;2018,Activities[[#This Row],[Value]],Activities[[#This Row],[Value]]*(1+VLOOKUP(Activities[[#This Row],[Reference Year]],Inflation[#All],3,FALSE)))</f>
        <v>1032050.5327784579</v>
      </c>
    </row>
    <row r="1399" spans="1:15" ht="15" customHeight="1" x14ac:dyDescent="0.25">
      <c r="A1399" s="9" t="s">
        <v>1428</v>
      </c>
      <c r="B1399" s="9" t="str">
        <f>INDEX(Places[Type],MATCH(Activities[[#This Row],[Jurisdiction]],Places[Jurisdiction],0))</f>
        <v>County</v>
      </c>
      <c r="C1399" s="19" t="str">
        <f>INDEX(Places[County],MATCH(Activities[[#This Row],[Jurisdiction]],Places[Jurisdiction],0))</f>
        <v>San Diego</v>
      </c>
      <c r="D1399" s="9" t="str">
        <f>INDEX(Places[Majority RB],MATCH(Activities[[#This Row],[Jurisdiction]],Places[Jurisdiction],0))</f>
        <v>San Diego</v>
      </c>
      <c r="E1399" s="9">
        <f>INDEX(Places[Majority RB '#],MATCH(Activities[[#This Row],[Jurisdiction]],Places[Jurisdiction],0))</f>
        <v>9</v>
      </c>
      <c r="F1399" s="28" t="str">
        <f>VLOOKUP(Activities[[#This Row],[Jurisdiction]],Places[#All],8,FALSE)</f>
        <v>Phase I MS4</v>
      </c>
      <c r="G1399" s="56" t="s">
        <v>1181</v>
      </c>
      <c r="H1399" s="52"/>
      <c r="I1399" s="52"/>
      <c r="J1399" s="8" t="s">
        <v>76</v>
      </c>
      <c r="K1399" s="27" t="s">
        <v>1874</v>
      </c>
      <c r="L1399" s="28">
        <f>_xlfn.NUMBERVALUE(LEFT(Activities[[#This Row],[Fiscal Year]], 4))</f>
        <v>2017</v>
      </c>
      <c r="M1399" s="28" t="s">
        <v>1862</v>
      </c>
      <c r="N1399" s="41">
        <v>1074593</v>
      </c>
      <c r="O1399" s="93">
        <f>IF(Activities[[#This Row],[Reference Year]]&gt;2018,Activities[[#This Row],[Value]],Activities[[#This Row],[Value]]*(1+VLOOKUP(Activities[[#This Row],[Reference Year]],Inflation[#All],3,FALSE)))</f>
        <v>1103226.8918115057</v>
      </c>
    </row>
    <row r="1400" spans="1:15" ht="15" customHeight="1" x14ac:dyDescent="0.25">
      <c r="A1400" s="9" t="s">
        <v>1428</v>
      </c>
      <c r="B1400" s="9" t="str">
        <f>INDEX(Places[Type],MATCH(Activities[[#This Row],[Jurisdiction]],Places[Jurisdiction],0))</f>
        <v>County</v>
      </c>
      <c r="C1400" s="19" t="str">
        <f>INDEX(Places[County],MATCH(Activities[[#This Row],[Jurisdiction]],Places[Jurisdiction],0))</f>
        <v>San Diego</v>
      </c>
      <c r="D1400" s="9" t="str">
        <f>INDEX(Places[Majority RB],MATCH(Activities[[#This Row],[Jurisdiction]],Places[Jurisdiction],0))</f>
        <v>San Diego</v>
      </c>
      <c r="E1400" s="9">
        <f>INDEX(Places[Majority RB '#],MATCH(Activities[[#This Row],[Jurisdiction]],Places[Jurisdiction],0))</f>
        <v>9</v>
      </c>
      <c r="F1400" s="28" t="str">
        <f>VLOOKUP(Activities[[#This Row],[Jurisdiction]],Places[#All],8,FALSE)</f>
        <v>Phase I MS4</v>
      </c>
      <c r="G1400" s="56" t="s">
        <v>1189</v>
      </c>
      <c r="H1400" s="8"/>
      <c r="I1400" s="8"/>
      <c r="J1400" s="8" t="s">
        <v>76</v>
      </c>
      <c r="K1400" s="27" t="s">
        <v>1874</v>
      </c>
      <c r="L1400" s="28">
        <f>_xlfn.NUMBERVALUE(LEFT(Activities[[#This Row],[Fiscal Year]], 4))</f>
        <v>2017</v>
      </c>
      <c r="M1400" s="28" t="s">
        <v>1862</v>
      </c>
      <c r="N1400" s="41">
        <v>1178673</v>
      </c>
      <c r="O1400" s="93">
        <f>IF(Activities[[#This Row],[Reference Year]]&gt;2018,Activities[[#This Row],[Value]],Activities[[#This Row],[Value]]*(1+VLOOKUP(Activities[[#This Row],[Reference Year]],Inflation[#All],3,FALSE)))</f>
        <v>1210080.2352631581</v>
      </c>
    </row>
    <row r="1401" spans="1:15" ht="15" customHeight="1" x14ac:dyDescent="0.25">
      <c r="A1401" s="9" t="s">
        <v>1428</v>
      </c>
      <c r="B1401" s="9" t="str">
        <f>INDEX(Places[Type],MATCH(Activities[[#This Row],[Jurisdiction]],Places[Jurisdiction],0))</f>
        <v>County</v>
      </c>
      <c r="C1401" s="19" t="str">
        <f>INDEX(Places[County],MATCH(Activities[[#This Row],[Jurisdiction]],Places[Jurisdiction],0))</f>
        <v>San Diego</v>
      </c>
      <c r="D1401" s="9" t="str">
        <f>INDEX(Places[Majority RB],MATCH(Activities[[#This Row],[Jurisdiction]],Places[Jurisdiction],0))</f>
        <v>San Diego</v>
      </c>
      <c r="E1401" s="9">
        <f>INDEX(Places[Majority RB '#],MATCH(Activities[[#This Row],[Jurisdiction]],Places[Jurisdiction],0))</f>
        <v>9</v>
      </c>
      <c r="F1401" s="28" t="str">
        <f>VLOOKUP(Activities[[#This Row],[Jurisdiction]],Places[#All],8,FALSE)</f>
        <v>Phase I MS4</v>
      </c>
      <c r="G1401" s="56" t="s">
        <v>1188</v>
      </c>
      <c r="H1401" s="8"/>
      <c r="I1401" s="8"/>
      <c r="J1401" s="8" t="s">
        <v>1895</v>
      </c>
      <c r="K1401" s="27" t="s">
        <v>1874</v>
      </c>
      <c r="L1401" s="28">
        <f>_xlfn.NUMBERVALUE(LEFT(Activities[[#This Row],[Fiscal Year]], 4))</f>
        <v>2017</v>
      </c>
      <c r="M1401" s="28" t="s">
        <v>1862</v>
      </c>
      <c r="N1401" s="41">
        <v>1533589</v>
      </c>
      <c r="O1401" s="93">
        <f>IF(Activities[[#This Row],[Reference Year]]&gt;2018,Activities[[#This Row],[Value]],Activities[[#This Row],[Value]]*(1+VLOOKUP(Activities[[#This Row],[Reference Year]],Inflation[#All],3,FALSE)))</f>
        <v>1574453.4217013465</v>
      </c>
    </row>
    <row r="1402" spans="1:15" ht="15" customHeight="1" x14ac:dyDescent="0.25">
      <c r="A1402" s="9" t="s">
        <v>1428</v>
      </c>
      <c r="B1402" s="9" t="str">
        <f>INDEX(Places[Type],MATCH(Activities[[#This Row],[Jurisdiction]],Places[Jurisdiction],0))</f>
        <v>County</v>
      </c>
      <c r="C1402" s="19" t="str">
        <f>INDEX(Places[County],MATCH(Activities[[#This Row],[Jurisdiction]],Places[Jurisdiction],0))</f>
        <v>San Diego</v>
      </c>
      <c r="D1402" s="9" t="str">
        <f>INDEX(Places[Majority RB],MATCH(Activities[[#This Row],[Jurisdiction]],Places[Jurisdiction],0))</f>
        <v>San Diego</v>
      </c>
      <c r="E1402" s="9">
        <f>INDEX(Places[Majority RB '#],MATCH(Activities[[#This Row],[Jurisdiction]],Places[Jurisdiction],0))</f>
        <v>9</v>
      </c>
      <c r="F1402" s="28" t="str">
        <f>VLOOKUP(Activities[[#This Row],[Jurisdiction]],Places[#All],8,FALSE)</f>
        <v>Phase I MS4</v>
      </c>
      <c r="G1402" s="56" t="s">
        <v>1190</v>
      </c>
      <c r="H1402" s="8"/>
      <c r="I1402" s="8"/>
      <c r="J1402" s="8" t="s">
        <v>1895</v>
      </c>
      <c r="K1402" s="27" t="s">
        <v>1874</v>
      </c>
      <c r="L1402" s="28">
        <f>_xlfn.NUMBERVALUE(LEFT(Activities[[#This Row],[Fiscal Year]], 4))</f>
        <v>2017</v>
      </c>
      <c r="M1402" s="28" t="s">
        <v>1862</v>
      </c>
      <c r="N1402" s="41">
        <v>1791775</v>
      </c>
      <c r="O1402" s="93">
        <f>IF(Activities[[#This Row],[Reference Year]]&gt;2018,Activities[[#This Row],[Value]],Activities[[#This Row],[Value]]*(1+VLOOKUP(Activities[[#This Row],[Reference Year]],Inflation[#All],3,FALSE)))</f>
        <v>1839519.1147490821</v>
      </c>
    </row>
    <row r="1403" spans="1:15" ht="15" customHeight="1" x14ac:dyDescent="0.25">
      <c r="A1403" s="9" t="s">
        <v>1428</v>
      </c>
      <c r="B1403" s="9" t="str">
        <f>INDEX(Places[Type],MATCH(Activities[[#This Row],[Jurisdiction]],Places[Jurisdiction],0))</f>
        <v>County</v>
      </c>
      <c r="C1403" s="19" t="str">
        <f>INDEX(Places[County],MATCH(Activities[[#This Row],[Jurisdiction]],Places[Jurisdiction],0))</f>
        <v>San Diego</v>
      </c>
      <c r="D1403" s="9" t="str">
        <f>INDEX(Places[Majority RB],MATCH(Activities[[#This Row],[Jurisdiction]],Places[Jurisdiction],0))</f>
        <v>San Diego</v>
      </c>
      <c r="E1403" s="9">
        <f>INDEX(Places[Majority RB '#],MATCH(Activities[[#This Row],[Jurisdiction]],Places[Jurisdiction],0))</f>
        <v>9</v>
      </c>
      <c r="F1403" s="28" t="str">
        <f>VLOOKUP(Activities[[#This Row],[Jurisdiction]],Places[#All],8,FALSE)</f>
        <v>Phase I MS4</v>
      </c>
      <c r="G1403" s="56" t="s">
        <v>1160</v>
      </c>
      <c r="H1403" s="8"/>
      <c r="I1403" s="8"/>
      <c r="J1403" s="8" t="s">
        <v>131</v>
      </c>
      <c r="K1403" s="27" t="s">
        <v>1874</v>
      </c>
      <c r="L1403" s="28">
        <f>_xlfn.NUMBERVALUE(LEFT(Activities[[#This Row],[Fiscal Year]], 4))</f>
        <v>2017</v>
      </c>
      <c r="M1403" s="28" t="s">
        <v>1862</v>
      </c>
      <c r="N1403" s="41">
        <v>424900</v>
      </c>
      <c r="O1403" s="93">
        <f>IF(Activities[[#This Row],[Reference Year]]&gt;2018,Activities[[#This Row],[Value]],Activities[[#This Row],[Value]]*(1+VLOOKUP(Activities[[#This Row],[Reference Year]],Inflation[#All],3,FALSE)))</f>
        <v>436221.99877600983</v>
      </c>
    </row>
    <row r="1404" spans="1:15" ht="15" customHeight="1" x14ac:dyDescent="0.25">
      <c r="A1404" s="9" t="s">
        <v>1428</v>
      </c>
      <c r="B1404" s="9" t="str">
        <f>INDEX(Places[Type],MATCH(Activities[[#This Row],[Jurisdiction]],Places[Jurisdiction],0))</f>
        <v>County</v>
      </c>
      <c r="C1404" s="19" t="str">
        <f>INDEX(Places[County],MATCH(Activities[[#This Row],[Jurisdiction]],Places[Jurisdiction],0))</f>
        <v>San Diego</v>
      </c>
      <c r="D1404" s="9" t="str">
        <f>INDEX(Places[Majority RB],MATCH(Activities[[#This Row],[Jurisdiction]],Places[Jurisdiction],0))</f>
        <v>San Diego</v>
      </c>
      <c r="E1404" s="9">
        <f>INDEX(Places[Majority RB '#],MATCH(Activities[[#This Row],[Jurisdiction]],Places[Jurisdiction],0))</f>
        <v>9</v>
      </c>
      <c r="F1404" s="28" t="str">
        <f>VLOOKUP(Activities[[#This Row],[Jurisdiction]],Places[#All],8,FALSE)</f>
        <v>Phase I MS4</v>
      </c>
      <c r="G1404" s="56" t="s">
        <v>1235</v>
      </c>
      <c r="H1404" s="52"/>
      <c r="I1404" s="52"/>
      <c r="J1404" s="8" t="s">
        <v>334</v>
      </c>
      <c r="K1404" s="27" t="s">
        <v>1874</v>
      </c>
      <c r="L1404" s="28">
        <f>_xlfn.NUMBERVALUE(LEFT(Activities[[#This Row],[Fiscal Year]], 4))</f>
        <v>2017</v>
      </c>
      <c r="M1404" s="28" t="s">
        <v>1862</v>
      </c>
      <c r="N1404" s="41">
        <v>224724</v>
      </c>
      <c r="O1404" s="93">
        <f>IF(Activities[[#This Row],[Reference Year]]&gt;2018,Activities[[#This Row],[Value]],Activities[[#This Row],[Value]]*(1+VLOOKUP(Activities[[#This Row],[Reference Year]],Inflation[#All],3,FALSE)))</f>
        <v>230712.05566707469</v>
      </c>
    </row>
    <row r="1405" spans="1:15" ht="15" customHeight="1" x14ac:dyDescent="0.25">
      <c r="A1405" s="9" t="s">
        <v>1428</v>
      </c>
      <c r="B1405" s="9" t="str">
        <f>INDEX(Places[Type],MATCH(Activities[[#This Row],[Jurisdiction]],Places[Jurisdiction],0))</f>
        <v>County</v>
      </c>
      <c r="C1405" s="19" t="str">
        <f>INDEX(Places[County],MATCH(Activities[[#This Row],[Jurisdiction]],Places[Jurisdiction],0))</f>
        <v>San Diego</v>
      </c>
      <c r="D1405" s="9" t="str">
        <f>INDEX(Places[Majority RB],MATCH(Activities[[#This Row],[Jurisdiction]],Places[Jurisdiction],0))</f>
        <v>San Diego</v>
      </c>
      <c r="E1405" s="9">
        <f>INDEX(Places[Majority RB '#],MATCH(Activities[[#This Row],[Jurisdiction]],Places[Jurisdiction],0))</f>
        <v>9</v>
      </c>
      <c r="F1405" s="28" t="str">
        <f>VLOOKUP(Activities[[#This Row],[Jurisdiction]],Places[#All],8,FALSE)</f>
        <v>Phase I MS4</v>
      </c>
      <c r="G1405" s="56" t="s">
        <v>1233</v>
      </c>
      <c r="H1405" s="52"/>
      <c r="I1405" s="52"/>
      <c r="J1405" s="8" t="s">
        <v>334</v>
      </c>
      <c r="K1405" s="27" t="s">
        <v>1874</v>
      </c>
      <c r="L1405" s="28">
        <f>_xlfn.NUMBERVALUE(LEFT(Activities[[#This Row],[Fiscal Year]], 4))</f>
        <v>2017</v>
      </c>
      <c r="M1405" s="28" t="s">
        <v>1862</v>
      </c>
      <c r="N1405" s="41">
        <v>259787</v>
      </c>
      <c r="O1405" s="93">
        <f>IF(Activities[[#This Row],[Reference Year]]&gt;2018,Activities[[#This Row],[Value]],Activities[[#This Row],[Value]]*(1+VLOOKUP(Activities[[#This Row],[Reference Year]],Inflation[#All],3,FALSE)))</f>
        <v>266709.35372093029</v>
      </c>
    </row>
    <row r="1406" spans="1:15" ht="15" customHeight="1" x14ac:dyDescent="0.25">
      <c r="A1406" s="9" t="s">
        <v>1428</v>
      </c>
      <c r="B1406" s="9" t="str">
        <f>INDEX(Places[Type],MATCH(Activities[[#This Row],[Jurisdiction]],Places[Jurisdiction],0))</f>
        <v>County</v>
      </c>
      <c r="C1406" s="19" t="str">
        <f>INDEX(Places[County],MATCH(Activities[[#This Row],[Jurisdiction]],Places[Jurisdiction],0))</f>
        <v>San Diego</v>
      </c>
      <c r="D1406" s="9" t="str">
        <f>INDEX(Places[Majority RB],MATCH(Activities[[#This Row],[Jurisdiction]],Places[Jurisdiction],0))</f>
        <v>San Diego</v>
      </c>
      <c r="E1406" s="9">
        <f>INDEX(Places[Majority RB '#],MATCH(Activities[[#This Row],[Jurisdiction]],Places[Jurisdiction],0))</f>
        <v>9</v>
      </c>
      <c r="F1406" s="28" t="str">
        <f>VLOOKUP(Activities[[#This Row],[Jurisdiction]],Places[#All],8,FALSE)</f>
        <v>Phase I MS4</v>
      </c>
      <c r="G1406" s="56" t="s">
        <v>1234</v>
      </c>
      <c r="H1406" s="52"/>
      <c r="I1406" s="52"/>
      <c r="J1406" s="8" t="s">
        <v>334</v>
      </c>
      <c r="K1406" s="27" t="s">
        <v>1874</v>
      </c>
      <c r="L1406" s="28">
        <f>_xlfn.NUMBERVALUE(LEFT(Activities[[#This Row],[Fiscal Year]], 4))</f>
        <v>2017</v>
      </c>
      <c r="M1406" s="28" t="s">
        <v>1862</v>
      </c>
      <c r="N1406" s="41">
        <v>949924</v>
      </c>
      <c r="O1406" s="93">
        <f>IF(Activities[[#This Row],[Reference Year]]&gt;2018,Activities[[#This Row],[Value]],Activities[[#This Row],[Value]]*(1+VLOOKUP(Activities[[#This Row],[Reference Year]],Inflation[#All],3,FALSE)))</f>
        <v>975235.92837209313</v>
      </c>
    </row>
    <row r="1407" spans="1:15" ht="15" customHeight="1" x14ac:dyDescent="0.25">
      <c r="A1407" s="9" t="s">
        <v>1428</v>
      </c>
      <c r="B1407" s="9" t="str">
        <f>INDEX(Places[Type],MATCH(Activities[[#This Row],[Jurisdiction]],Places[Jurisdiction],0))</f>
        <v>County</v>
      </c>
      <c r="C1407" s="19" t="str">
        <f>INDEX(Places[County],MATCH(Activities[[#This Row],[Jurisdiction]],Places[Jurisdiction],0))</f>
        <v>San Diego</v>
      </c>
      <c r="D1407" s="9" t="str">
        <f>INDEX(Places[Majority RB],MATCH(Activities[[#This Row],[Jurisdiction]],Places[Jurisdiction],0))</f>
        <v>San Diego</v>
      </c>
      <c r="E1407" s="9">
        <f>INDEX(Places[Majority RB '#],MATCH(Activities[[#This Row],[Jurisdiction]],Places[Jurisdiction],0))</f>
        <v>9</v>
      </c>
      <c r="F1407" s="28" t="str">
        <f>VLOOKUP(Activities[[#This Row],[Jurisdiction]],Places[#All],8,FALSE)</f>
        <v>Phase I MS4</v>
      </c>
      <c r="G1407" s="56" t="s">
        <v>1217</v>
      </c>
      <c r="H1407" s="8"/>
      <c r="I1407" s="8"/>
      <c r="J1407" s="8" t="s">
        <v>71</v>
      </c>
      <c r="K1407" s="27" t="s">
        <v>1874</v>
      </c>
      <c r="L1407" s="28">
        <f>_xlfn.NUMBERVALUE(LEFT(Activities[[#This Row],[Fiscal Year]], 4))</f>
        <v>2017</v>
      </c>
      <c r="M1407" s="28" t="s">
        <v>1862</v>
      </c>
      <c r="N1407" s="41">
        <v>50000</v>
      </c>
      <c r="O1407" s="93">
        <f>IF(Activities[[#This Row],[Reference Year]]&gt;2018,Activities[[#This Row],[Value]],Activities[[#This Row],[Value]]*(1+VLOOKUP(Activities[[#This Row],[Reference Year]],Inflation[#All],3,FALSE)))</f>
        <v>51332.313341493274</v>
      </c>
    </row>
    <row r="1408" spans="1:15" ht="15" customHeight="1" x14ac:dyDescent="0.25">
      <c r="A1408" s="9" t="s">
        <v>1428</v>
      </c>
      <c r="B1408" s="9" t="str">
        <f>INDEX(Places[Type],MATCH(Activities[[#This Row],[Jurisdiction]],Places[Jurisdiction],0))</f>
        <v>County</v>
      </c>
      <c r="C1408" s="19" t="str">
        <f>INDEX(Places[County],MATCH(Activities[[#This Row],[Jurisdiction]],Places[Jurisdiction],0))</f>
        <v>San Diego</v>
      </c>
      <c r="D1408" s="9" t="str">
        <f>INDEX(Places[Majority RB],MATCH(Activities[[#This Row],[Jurisdiction]],Places[Jurisdiction],0))</f>
        <v>San Diego</v>
      </c>
      <c r="E1408" s="9">
        <f>INDEX(Places[Majority RB '#],MATCH(Activities[[#This Row],[Jurisdiction]],Places[Jurisdiction],0))</f>
        <v>9</v>
      </c>
      <c r="F1408" s="28" t="str">
        <f>VLOOKUP(Activities[[#This Row],[Jurisdiction]],Places[#All],8,FALSE)</f>
        <v>Phase I MS4</v>
      </c>
      <c r="G1408" s="56" t="s">
        <v>1213</v>
      </c>
      <c r="H1408" s="52"/>
      <c r="I1408" s="52"/>
      <c r="J1408" s="8" t="s">
        <v>71</v>
      </c>
      <c r="K1408" s="27" t="s">
        <v>1874</v>
      </c>
      <c r="L1408" s="28">
        <f>_xlfn.NUMBERVALUE(LEFT(Activities[[#This Row],[Fiscal Year]], 4))</f>
        <v>2017</v>
      </c>
      <c r="M1408" s="28" t="s">
        <v>1862</v>
      </c>
      <c r="N1408" s="41">
        <v>8284</v>
      </c>
      <c r="O1408" s="93">
        <f>IF(Activities[[#This Row],[Reference Year]]&gt;2018,Activities[[#This Row],[Value]],Activities[[#This Row],[Value]]*(1+VLOOKUP(Activities[[#This Row],[Reference Year]],Inflation[#All],3,FALSE)))</f>
        <v>8504.7376744186058</v>
      </c>
    </row>
    <row r="1409" spans="1:15" ht="15" customHeight="1" x14ac:dyDescent="0.25">
      <c r="A1409" s="9" t="s">
        <v>1428</v>
      </c>
      <c r="B1409" s="9" t="str">
        <f>INDEX(Places[Type],MATCH(Activities[[#This Row],[Jurisdiction]],Places[Jurisdiction],0))</f>
        <v>County</v>
      </c>
      <c r="C1409" s="19" t="str">
        <f>INDEX(Places[County],MATCH(Activities[[#This Row],[Jurisdiction]],Places[Jurisdiction],0))</f>
        <v>San Diego</v>
      </c>
      <c r="D1409" s="9" t="str">
        <f>INDEX(Places[Majority RB],MATCH(Activities[[#This Row],[Jurisdiction]],Places[Jurisdiction],0))</f>
        <v>San Diego</v>
      </c>
      <c r="E1409" s="9">
        <f>INDEX(Places[Majority RB '#],MATCH(Activities[[#This Row],[Jurisdiction]],Places[Jurisdiction],0))</f>
        <v>9</v>
      </c>
      <c r="F1409" s="28" t="str">
        <f>VLOOKUP(Activities[[#This Row],[Jurisdiction]],Places[#All],8,FALSE)</f>
        <v>Phase I MS4</v>
      </c>
      <c r="G1409" s="56" t="s">
        <v>1201</v>
      </c>
      <c r="H1409" s="52"/>
      <c r="I1409" s="52"/>
      <c r="J1409" s="8" t="s">
        <v>71</v>
      </c>
      <c r="K1409" s="27" t="s">
        <v>1874</v>
      </c>
      <c r="L1409" s="28">
        <f>_xlfn.NUMBERVALUE(LEFT(Activities[[#This Row],[Fiscal Year]], 4))</f>
        <v>2017</v>
      </c>
      <c r="M1409" s="28" t="s">
        <v>1862</v>
      </c>
      <c r="N1409" s="41">
        <v>14500</v>
      </c>
      <c r="O1409" s="93">
        <f>IF(Activities[[#This Row],[Reference Year]]&gt;2018,Activities[[#This Row],[Value]],Activities[[#This Row],[Value]]*(1+VLOOKUP(Activities[[#This Row],[Reference Year]],Inflation[#All],3,FALSE)))</f>
        <v>14886.37086903305</v>
      </c>
    </row>
    <row r="1410" spans="1:15" ht="15" customHeight="1" x14ac:dyDescent="0.25">
      <c r="A1410" s="9" t="s">
        <v>1428</v>
      </c>
      <c r="B1410" s="9" t="str">
        <f>INDEX(Places[Type],MATCH(Activities[[#This Row],[Jurisdiction]],Places[Jurisdiction],0))</f>
        <v>County</v>
      </c>
      <c r="C1410" s="19" t="str">
        <f>INDEX(Places[County],MATCH(Activities[[#This Row],[Jurisdiction]],Places[Jurisdiction],0))</f>
        <v>San Diego</v>
      </c>
      <c r="D1410" s="9" t="str">
        <f>INDEX(Places[Majority RB],MATCH(Activities[[#This Row],[Jurisdiction]],Places[Jurisdiction],0))</f>
        <v>San Diego</v>
      </c>
      <c r="E1410" s="9">
        <f>INDEX(Places[Majority RB '#],MATCH(Activities[[#This Row],[Jurisdiction]],Places[Jurisdiction],0))</f>
        <v>9</v>
      </c>
      <c r="F1410" s="28" t="str">
        <f>VLOOKUP(Activities[[#This Row],[Jurisdiction]],Places[#All],8,FALSE)</f>
        <v>Phase I MS4</v>
      </c>
      <c r="G1410" s="56" t="s">
        <v>1205</v>
      </c>
      <c r="H1410" s="8"/>
      <c r="I1410" s="8"/>
      <c r="J1410" s="8" t="s">
        <v>71</v>
      </c>
      <c r="K1410" s="27" t="s">
        <v>1874</v>
      </c>
      <c r="L1410" s="28">
        <f>_xlfn.NUMBERVALUE(LEFT(Activities[[#This Row],[Fiscal Year]], 4))</f>
        <v>2017</v>
      </c>
      <c r="M1410" s="28" t="s">
        <v>1862</v>
      </c>
      <c r="N1410" s="41">
        <v>50000</v>
      </c>
      <c r="O1410" s="93">
        <f>IF(Activities[[#This Row],[Reference Year]]&gt;2018,Activities[[#This Row],[Value]],Activities[[#This Row],[Value]]*(1+VLOOKUP(Activities[[#This Row],[Reference Year]],Inflation[#All],3,FALSE)))</f>
        <v>51332.313341493274</v>
      </c>
    </row>
    <row r="1411" spans="1:15" ht="15" customHeight="1" x14ac:dyDescent="0.25">
      <c r="A1411" s="9" t="s">
        <v>1428</v>
      </c>
      <c r="B1411" s="9" t="str">
        <f>INDEX(Places[Type],MATCH(Activities[[#This Row],[Jurisdiction]],Places[Jurisdiction],0))</f>
        <v>County</v>
      </c>
      <c r="C1411" s="19" t="str">
        <f>INDEX(Places[County],MATCH(Activities[[#This Row],[Jurisdiction]],Places[Jurisdiction],0))</f>
        <v>San Diego</v>
      </c>
      <c r="D1411" s="9" t="str">
        <f>INDEX(Places[Majority RB],MATCH(Activities[[#This Row],[Jurisdiction]],Places[Jurisdiction],0))</f>
        <v>San Diego</v>
      </c>
      <c r="E1411" s="9">
        <f>INDEX(Places[Majority RB '#],MATCH(Activities[[#This Row],[Jurisdiction]],Places[Jurisdiction],0))</f>
        <v>9</v>
      </c>
      <c r="F1411" s="28" t="str">
        <f>VLOOKUP(Activities[[#This Row],[Jurisdiction]],Places[#All],8,FALSE)</f>
        <v>Phase I MS4</v>
      </c>
      <c r="G1411" s="56" t="s">
        <v>1226</v>
      </c>
      <c r="H1411" s="52"/>
      <c r="I1411" s="52"/>
      <c r="J1411" s="8" t="s">
        <v>71</v>
      </c>
      <c r="K1411" s="27" t="s">
        <v>1874</v>
      </c>
      <c r="L1411" s="28">
        <f>_xlfn.NUMBERVALUE(LEFT(Activities[[#This Row],[Fiscal Year]], 4))</f>
        <v>2017</v>
      </c>
      <c r="M1411" s="28" t="s">
        <v>1862</v>
      </c>
      <c r="N1411" s="41">
        <v>113779</v>
      </c>
      <c r="O1411" s="93">
        <f>IF(Activities[[#This Row],[Reference Year]]&gt;2018,Activities[[#This Row],[Value]],Activities[[#This Row],[Value]]*(1+VLOOKUP(Activities[[#This Row],[Reference Year]],Inflation[#All],3,FALSE)))</f>
        <v>116810.78559363527</v>
      </c>
    </row>
    <row r="1412" spans="1:15" ht="15" customHeight="1" x14ac:dyDescent="0.25">
      <c r="A1412" s="9" t="s">
        <v>1428</v>
      </c>
      <c r="B1412" s="9" t="str">
        <f>INDEX(Places[Type],MATCH(Activities[[#This Row],[Jurisdiction]],Places[Jurisdiction],0))</f>
        <v>County</v>
      </c>
      <c r="C1412" s="19" t="str">
        <f>INDEX(Places[County],MATCH(Activities[[#This Row],[Jurisdiction]],Places[Jurisdiction],0))</f>
        <v>San Diego</v>
      </c>
      <c r="D1412" s="9" t="str">
        <f>INDEX(Places[Majority RB],MATCH(Activities[[#This Row],[Jurisdiction]],Places[Jurisdiction],0))</f>
        <v>San Diego</v>
      </c>
      <c r="E1412" s="9">
        <f>INDEX(Places[Majority RB '#],MATCH(Activities[[#This Row],[Jurisdiction]],Places[Jurisdiction],0))</f>
        <v>9</v>
      </c>
      <c r="F1412" s="28" t="str">
        <f>VLOOKUP(Activities[[#This Row],[Jurisdiction]],Places[#All],8,FALSE)</f>
        <v>Phase I MS4</v>
      </c>
      <c r="G1412" s="56" t="s">
        <v>1209</v>
      </c>
      <c r="H1412" s="8"/>
      <c r="I1412" s="8"/>
      <c r="J1412" s="8" t="s">
        <v>71</v>
      </c>
      <c r="K1412" s="27" t="s">
        <v>1874</v>
      </c>
      <c r="L1412" s="28">
        <f>_xlfn.NUMBERVALUE(LEFT(Activities[[#This Row],[Fiscal Year]], 4))</f>
        <v>2017</v>
      </c>
      <c r="M1412" s="28" t="s">
        <v>1862</v>
      </c>
      <c r="N1412" s="41">
        <v>666736</v>
      </c>
      <c r="O1412" s="93">
        <f>IF(Activities[[#This Row],[Reference Year]]&gt;2018,Activities[[#This Row],[Value]],Activities[[#This Row],[Value]]*(1+VLOOKUP(Activities[[#This Row],[Reference Year]],Inflation[#All],3,FALSE)))</f>
        <v>684502.02536107716</v>
      </c>
    </row>
    <row r="1413" spans="1:15" ht="15" customHeight="1" x14ac:dyDescent="0.25">
      <c r="A1413" s="9" t="s">
        <v>1428</v>
      </c>
      <c r="B1413" s="9" t="str">
        <f>INDEX(Places[Type],MATCH(Activities[[#This Row],[Jurisdiction]],Places[Jurisdiction],0))</f>
        <v>County</v>
      </c>
      <c r="C1413" s="19" t="str">
        <f>INDEX(Places[County],MATCH(Activities[[#This Row],[Jurisdiction]],Places[Jurisdiction],0))</f>
        <v>San Diego</v>
      </c>
      <c r="D1413" s="9" t="str">
        <f>INDEX(Places[Majority RB],MATCH(Activities[[#This Row],[Jurisdiction]],Places[Jurisdiction],0))</f>
        <v>San Diego</v>
      </c>
      <c r="E1413" s="9">
        <f>INDEX(Places[Majority RB '#],MATCH(Activities[[#This Row],[Jurisdiction]],Places[Jurisdiction],0))</f>
        <v>9</v>
      </c>
      <c r="F1413" s="28" t="str">
        <f>VLOOKUP(Activities[[#This Row],[Jurisdiction]],Places[#All],8,FALSE)</f>
        <v>Phase I MS4</v>
      </c>
      <c r="G1413" s="56" t="s">
        <v>1197</v>
      </c>
      <c r="H1413" s="52"/>
      <c r="I1413" s="52"/>
      <c r="J1413" s="8" t="s">
        <v>71</v>
      </c>
      <c r="K1413" s="27" t="s">
        <v>1874</v>
      </c>
      <c r="L1413" s="28">
        <f>_xlfn.NUMBERVALUE(LEFT(Activities[[#This Row],[Fiscal Year]], 4))</f>
        <v>2017</v>
      </c>
      <c r="M1413" s="28" t="s">
        <v>1862</v>
      </c>
      <c r="N1413" s="41">
        <v>1046000</v>
      </c>
      <c r="O1413" s="93">
        <f>IF(Activities[[#This Row],[Reference Year]]&gt;2018,Activities[[#This Row],[Value]],Activities[[#This Row],[Value]]*(1+VLOOKUP(Activities[[#This Row],[Reference Year]],Inflation[#All],3,FALSE)))</f>
        <v>1073871.9951040393</v>
      </c>
    </row>
    <row r="1414" spans="1:15" ht="15" customHeight="1" x14ac:dyDescent="0.25">
      <c r="A1414" s="9" t="s">
        <v>1428</v>
      </c>
      <c r="B1414" s="9" t="str">
        <f>INDEX(Places[Type],MATCH(Activities[[#This Row],[Jurisdiction]],Places[Jurisdiction],0))</f>
        <v>County</v>
      </c>
      <c r="C1414" s="19" t="str">
        <f>INDEX(Places[County],MATCH(Activities[[#This Row],[Jurisdiction]],Places[Jurisdiction],0))</f>
        <v>San Diego</v>
      </c>
      <c r="D1414" s="9" t="str">
        <f>INDEX(Places[Majority RB],MATCH(Activities[[#This Row],[Jurisdiction]],Places[Jurisdiction],0))</f>
        <v>San Diego</v>
      </c>
      <c r="E1414" s="9">
        <f>INDEX(Places[Majority RB '#],MATCH(Activities[[#This Row],[Jurisdiction]],Places[Jurisdiction],0))</f>
        <v>9</v>
      </c>
      <c r="F1414" s="28" t="str">
        <f>VLOOKUP(Activities[[#This Row],[Jurisdiction]],Places[#All],8,FALSE)</f>
        <v>Phase I MS4</v>
      </c>
      <c r="G1414" s="56" t="s">
        <v>1193</v>
      </c>
      <c r="H1414" s="8"/>
      <c r="I1414" s="8"/>
      <c r="J1414" s="8" t="s">
        <v>71</v>
      </c>
      <c r="K1414" s="27" t="s">
        <v>1874</v>
      </c>
      <c r="L1414" s="28">
        <f>_xlfn.NUMBERVALUE(LEFT(Activities[[#This Row],[Fiscal Year]], 4))</f>
        <v>2017</v>
      </c>
      <c r="M1414" s="28" t="s">
        <v>1862</v>
      </c>
      <c r="N1414" s="41">
        <v>5189016</v>
      </c>
      <c r="O1414" s="93">
        <f>IF(Activities[[#This Row],[Reference Year]]&gt;2018,Activities[[#This Row],[Value]],Activities[[#This Row],[Value]]*(1+VLOOKUP(Activities[[#This Row],[Reference Year]],Inflation[#All],3,FALSE)))</f>
        <v>5327283.9049204411</v>
      </c>
    </row>
    <row r="1415" spans="1:15" ht="15" customHeight="1" x14ac:dyDescent="0.25">
      <c r="A1415" s="9" t="s">
        <v>1428</v>
      </c>
      <c r="B1415" s="9" t="str">
        <f>INDEX(Places[Type],MATCH(Activities[[#This Row],[Jurisdiction]],Places[Jurisdiction],0))</f>
        <v>County</v>
      </c>
      <c r="C1415" s="19" t="str">
        <f>INDEX(Places[County],MATCH(Activities[[#This Row],[Jurisdiction]],Places[Jurisdiction],0))</f>
        <v>San Diego</v>
      </c>
      <c r="D1415" s="9" t="str">
        <f>INDEX(Places[Majority RB],MATCH(Activities[[#This Row],[Jurisdiction]],Places[Jurisdiction],0))</f>
        <v>San Diego</v>
      </c>
      <c r="E1415" s="9">
        <f>INDEX(Places[Majority RB '#],MATCH(Activities[[#This Row],[Jurisdiction]],Places[Jurisdiction],0))</f>
        <v>9</v>
      </c>
      <c r="F1415" s="28" t="str">
        <f>VLOOKUP(Activities[[#This Row],[Jurisdiction]],Places[#All],8,FALSE)</f>
        <v>Phase I MS4</v>
      </c>
      <c r="G1415" s="56" t="s">
        <v>1218</v>
      </c>
      <c r="H1415" s="8"/>
      <c r="I1415" s="8"/>
      <c r="J1415" s="8" t="s">
        <v>1897</v>
      </c>
      <c r="K1415" s="27" t="s">
        <v>1874</v>
      </c>
      <c r="L1415" s="28">
        <f>_xlfn.NUMBERVALUE(LEFT(Activities[[#This Row],[Fiscal Year]], 4))</f>
        <v>2017</v>
      </c>
      <c r="M1415" s="28" t="s">
        <v>1862</v>
      </c>
      <c r="N1415" s="41">
        <v>8380</v>
      </c>
      <c r="O1415" s="93">
        <f>IF(Activities[[#This Row],[Reference Year]]&gt;2018,Activities[[#This Row],[Value]],Activities[[#This Row],[Value]]*(1+VLOOKUP(Activities[[#This Row],[Reference Year]],Inflation[#All],3,FALSE)))</f>
        <v>8603.2957160342721</v>
      </c>
    </row>
    <row r="1416" spans="1:15" ht="15" customHeight="1" x14ac:dyDescent="0.25">
      <c r="A1416" s="9" t="s">
        <v>1428</v>
      </c>
      <c r="B1416" s="9" t="str">
        <f>INDEX(Places[Type],MATCH(Activities[[#This Row],[Jurisdiction]],Places[Jurisdiction],0))</f>
        <v>County</v>
      </c>
      <c r="C1416" s="19" t="str">
        <f>INDEX(Places[County],MATCH(Activities[[#This Row],[Jurisdiction]],Places[Jurisdiction],0))</f>
        <v>San Diego</v>
      </c>
      <c r="D1416" s="9" t="str">
        <f>INDEX(Places[Majority RB],MATCH(Activities[[#This Row],[Jurisdiction]],Places[Jurisdiction],0))</f>
        <v>San Diego</v>
      </c>
      <c r="E1416" s="9">
        <f>INDEX(Places[Majority RB '#],MATCH(Activities[[#This Row],[Jurisdiction]],Places[Jurisdiction],0))</f>
        <v>9</v>
      </c>
      <c r="F1416" s="28" t="str">
        <f>VLOOKUP(Activities[[#This Row],[Jurisdiction]],Places[#All],8,FALSE)</f>
        <v>Phase I MS4</v>
      </c>
      <c r="G1416" s="56" t="s">
        <v>1204</v>
      </c>
      <c r="H1416" s="8"/>
      <c r="I1416" s="8"/>
      <c r="J1416" s="8" t="s">
        <v>1897</v>
      </c>
      <c r="K1416" s="27" t="s">
        <v>1874</v>
      </c>
      <c r="L1416" s="28">
        <f>_xlfn.NUMBERVALUE(LEFT(Activities[[#This Row],[Fiscal Year]], 4))</f>
        <v>2017</v>
      </c>
      <c r="M1416" s="28" t="s">
        <v>1862</v>
      </c>
      <c r="N1416" s="41">
        <v>10000</v>
      </c>
      <c r="O1416" s="93">
        <f>IF(Activities[[#This Row],[Reference Year]]&gt;2018,Activities[[#This Row],[Value]],Activities[[#This Row],[Value]]*(1+VLOOKUP(Activities[[#This Row],[Reference Year]],Inflation[#All],3,FALSE)))</f>
        <v>10266.462668298655</v>
      </c>
    </row>
    <row r="1417" spans="1:15" ht="15" customHeight="1" x14ac:dyDescent="0.25">
      <c r="A1417" s="9" t="s">
        <v>1428</v>
      </c>
      <c r="B1417" s="9" t="str">
        <f>INDEX(Places[Type],MATCH(Activities[[#This Row],[Jurisdiction]],Places[Jurisdiction],0))</f>
        <v>County</v>
      </c>
      <c r="C1417" s="19" t="str">
        <f>INDEX(Places[County],MATCH(Activities[[#This Row],[Jurisdiction]],Places[Jurisdiction],0))</f>
        <v>San Diego</v>
      </c>
      <c r="D1417" s="9" t="str">
        <f>INDEX(Places[Majority RB],MATCH(Activities[[#This Row],[Jurisdiction]],Places[Jurisdiction],0))</f>
        <v>San Diego</v>
      </c>
      <c r="E1417" s="9">
        <f>INDEX(Places[Majority RB '#],MATCH(Activities[[#This Row],[Jurisdiction]],Places[Jurisdiction],0))</f>
        <v>9</v>
      </c>
      <c r="F1417" s="28" t="str">
        <f>VLOOKUP(Activities[[#This Row],[Jurisdiction]],Places[#All],8,FALSE)</f>
        <v>Phase I MS4</v>
      </c>
      <c r="G1417" s="56" t="s">
        <v>1216</v>
      </c>
      <c r="H1417" s="8"/>
      <c r="I1417" s="8"/>
      <c r="J1417" s="8" t="s">
        <v>1897</v>
      </c>
      <c r="K1417" s="27" t="s">
        <v>1874</v>
      </c>
      <c r="L1417" s="28">
        <f>_xlfn.NUMBERVALUE(LEFT(Activities[[#This Row],[Fiscal Year]], 4))</f>
        <v>2017</v>
      </c>
      <c r="M1417" s="28" t="s">
        <v>1862</v>
      </c>
      <c r="N1417" s="41">
        <v>20000</v>
      </c>
      <c r="O1417" s="93">
        <f>IF(Activities[[#This Row],[Reference Year]]&gt;2018,Activities[[#This Row],[Value]],Activities[[#This Row],[Value]]*(1+VLOOKUP(Activities[[#This Row],[Reference Year]],Inflation[#All],3,FALSE)))</f>
        <v>20532.925336597309</v>
      </c>
    </row>
    <row r="1418" spans="1:15" ht="15" customHeight="1" x14ac:dyDescent="0.25">
      <c r="A1418" s="9" t="s">
        <v>1428</v>
      </c>
      <c r="B1418" s="9" t="str">
        <f>INDEX(Places[Type],MATCH(Activities[[#This Row],[Jurisdiction]],Places[Jurisdiction],0))</f>
        <v>County</v>
      </c>
      <c r="C1418" s="19" t="str">
        <f>INDEX(Places[County],MATCH(Activities[[#This Row],[Jurisdiction]],Places[Jurisdiction],0))</f>
        <v>San Diego</v>
      </c>
      <c r="D1418" s="9" t="str">
        <f>INDEX(Places[Majority RB],MATCH(Activities[[#This Row],[Jurisdiction]],Places[Jurisdiction],0))</f>
        <v>San Diego</v>
      </c>
      <c r="E1418" s="9">
        <f>INDEX(Places[Majority RB '#],MATCH(Activities[[#This Row],[Jurisdiction]],Places[Jurisdiction],0))</f>
        <v>9</v>
      </c>
      <c r="F1418" s="28" t="str">
        <f>VLOOKUP(Activities[[#This Row],[Jurisdiction]],Places[#All],8,FALSE)</f>
        <v>Phase I MS4</v>
      </c>
      <c r="G1418" s="56" t="s">
        <v>1220</v>
      </c>
      <c r="H1418" s="52"/>
      <c r="I1418" s="52"/>
      <c r="J1418" s="8" t="s">
        <v>1897</v>
      </c>
      <c r="K1418" s="27" t="s">
        <v>1874</v>
      </c>
      <c r="L1418" s="28">
        <f>_xlfn.NUMBERVALUE(LEFT(Activities[[#This Row],[Fiscal Year]], 4))</f>
        <v>2017</v>
      </c>
      <c r="M1418" s="28" t="s">
        <v>1862</v>
      </c>
      <c r="N1418" s="41">
        <v>24750</v>
      </c>
      <c r="O1418" s="93">
        <f>IF(Activities[[#This Row],[Reference Year]]&gt;2018,Activities[[#This Row],[Value]],Activities[[#This Row],[Value]]*(1+VLOOKUP(Activities[[#This Row],[Reference Year]],Inflation[#All],3,FALSE)))</f>
        <v>25409.495104039172</v>
      </c>
    </row>
    <row r="1419" spans="1:15" ht="15" customHeight="1" x14ac:dyDescent="0.25">
      <c r="A1419" s="9" t="s">
        <v>1428</v>
      </c>
      <c r="B1419" s="9" t="str">
        <f>INDEX(Places[Type],MATCH(Activities[[#This Row],[Jurisdiction]],Places[Jurisdiction],0))</f>
        <v>County</v>
      </c>
      <c r="C1419" s="19" t="str">
        <f>INDEX(Places[County],MATCH(Activities[[#This Row],[Jurisdiction]],Places[Jurisdiction],0))</f>
        <v>San Diego</v>
      </c>
      <c r="D1419" s="9" t="str">
        <f>INDEX(Places[Majority RB],MATCH(Activities[[#This Row],[Jurisdiction]],Places[Jurisdiction],0))</f>
        <v>San Diego</v>
      </c>
      <c r="E1419" s="9">
        <f>INDEX(Places[Majority RB '#],MATCH(Activities[[#This Row],[Jurisdiction]],Places[Jurisdiction],0))</f>
        <v>9</v>
      </c>
      <c r="F1419" s="28" t="str">
        <f>VLOOKUP(Activities[[#This Row],[Jurisdiction]],Places[#All],8,FALSE)</f>
        <v>Phase I MS4</v>
      </c>
      <c r="G1419" s="56" t="s">
        <v>1200</v>
      </c>
      <c r="H1419" s="52"/>
      <c r="I1419" s="52"/>
      <c r="J1419" s="8" t="s">
        <v>1897</v>
      </c>
      <c r="K1419" s="27" t="s">
        <v>1874</v>
      </c>
      <c r="L1419" s="28">
        <f>_xlfn.NUMBERVALUE(LEFT(Activities[[#This Row],[Fiscal Year]], 4))</f>
        <v>2017</v>
      </c>
      <c r="M1419" s="28" t="s">
        <v>1862</v>
      </c>
      <c r="N1419" s="41">
        <v>38650</v>
      </c>
      <c r="O1419" s="93">
        <f>IF(Activities[[#This Row],[Reference Year]]&gt;2018,Activities[[#This Row],[Value]],Activities[[#This Row],[Value]]*(1+VLOOKUP(Activities[[#This Row],[Reference Year]],Inflation[#All],3,FALSE)))</f>
        <v>39679.878212974298</v>
      </c>
    </row>
    <row r="1420" spans="1:15" ht="15" customHeight="1" x14ac:dyDescent="0.25">
      <c r="A1420" s="9" t="s">
        <v>1428</v>
      </c>
      <c r="B1420" s="9" t="str">
        <f>INDEX(Places[Type],MATCH(Activities[[#This Row],[Jurisdiction]],Places[Jurisdiction],0))</f>
        <v>County</v>
      </c>
      <c r="C1420" s="19" t="str">
        <f>INDEX(Places[County],MATCH(Activities[[#This Row],[Jurisdiction]],Places[Jurisdiction],0))</f>
        <v>San Diego</v>
      </c>
      <c r="D1420" s="9" t="str">
        <f>INDEX(Places[Majority RB],MATCH(Activities[[#This Row],[Jurisdiction]],Places[Jurisdiction],0))</f>
        <v>San Diego</v>
      </c>
      <c r="E1420" s="9">
        <f>INDEX(Places[Majority RB '#],MATCH(Activities[[#This Row],[Jurisdiction]],Places[Jurisdiction],0))</f>
        <v>9</v>
      </c>
      <c r="F1420" s="28" t="str">
        <f>VLOOKUP(Activities[[#This Row],[Jurisdiction]],Places[#All],8,FALSE)</f>
        <v>Phase I MS4</v>
      </c>
      <c r="G1420" s="56" t="s">
        <v>1208</v>
      </c>
      <c r="H1420" s="8"/>
      <c r="I1420" s="8"/>
      <c r="J1420" s="8" t="s">
        <v>1897</v>
      </c>
      <c r="K1420" s="27" t="s">
        <v>1874</v>
      </c>
      <c r="L1420" s="28">
        <f>_xlfn.NUMBERVALUE(LEFT(Activities[[#This Row],[Fiscal Year]], 4))</f>
        <v>2017</v>
      </c>
      <c r="M1420" s="28" t="s">
        <v>1862</v>
      </c>
      <c r="N1420" s="41">
        <v>85463</v>
      </c>
      <c r="O1420" s="93">
        <f>IF(Activities[[#This Row],[Reference Year]]&gt;2018,Activities[[#This Row],[Value]],Activities[[#This Row],[Value]]*(1+VLOOKUP(Activities[[#This Row],[Reference Year]],Inflation[#All],3,FALSE)))</f>
        <v>87740.269902080792</v>
      </c>
    </row>
    <row r="1421" spans="1:15" ht="15" customHeight="1" x14ac:dyDescent="0.25">
      <c r="A1421" s="9" t="s">
        <v>1428</v>
      </c>
      <c r="B1421" s="9" t="str">
        <f>INDEX(Places[Type],MATCH(Activities[[#This Row],[Jurisdiction]],Places[Jurisdiction],0))</f>
        <v>County</v>
      </c>
      <c r="C1421" s="19" t="str">
        <f>INDEX(Places[County],MATCH(Activities[[#This Row],[Jurisdiction]],Places[Jurisdiction],0))</f>
        <v>San Diego</v>
      </c>
      <c r="D1421" s="9" t="str">
        <f>INDEX(Places[Majority RB],MATCH(Activities[[#This Row],[Jurisdiction]],Places[Jurisdiction],0))</f>
        <v>San Diego</v>
      </c>
      <c r="E1421" s="9">
        <f>INDEX(Places[Majority RB '#],MATCH(Activities[[#This Row],[Jurisdiction]],Places[Jurisdiction],0))</f>
        <v>9</v>
      </c>
      <c r="F1421" s="28" t="str">
        <f>VLOOKUP(Activities[[#This Row],[Jurisdiction]],Places[#All],8,FALSE)</f>
        <v>Phase I MS4</v>
      </c>
      <c r="G1421" s="56" t="s">
        <v>1206</v>
      </c>
      <c r="H1421" s="8"/>
      <c r="I1421" s="8"/>
      <c r="J1421" s="8" t="s">
        <v>1897</v>
      </c>
      <c r="K1421" s="27" t="s">
        <v>1874</v>
      </c>
      <c r="L1421" s="28">
        <f>_xlfn.NUMBERVALUE(LEFT(Activities[[#This Row],[Fiscal Year]], 4))</f>
        <v>2017</v>
      </c>
      <c r="M1421" s="28" t="s">
        <v>1862</v>
      </c>
      <c r="N1421" s="41">
        <v>85725</v>
      </c>
      <c r="O1421" s="93">
        <f>IF(Activities[[#This Row],[Reference Year]]&gt;2018,Activities[[#This Row],[Value]],Activities[[#This Row],[Value]]*(1+VLOOKUP(Activities[[#This Row],[Reference Year]],Inflation[#All],3,FALSE)))</f>
        <v>88009.251223990213</v>
      </c>
    </row>
    <row r="1422" spans="1:15" ht="15" customHeight="1" x14ac:dyDescent="0.25">
      <c r="A1422" s="9" t="s">
        <v>1428</v>
      </c>
      <c r="B1422" s="9" t="str">
        <f>INDEX(Places[Type],MATCH(Activities[[#This Row],[Jurisdiction]],Places[Jurisdiction],0))</f>
        <v>County</v>
      </c>
      <c r="C1422" s="19" t="str">
        <f>INDEX(Places[County],MATCH(Activities[[#This Row],[Jurisdiction]],Places[Jurisdiction],0))</f>
        <v>San Diego</v>
      </c>
      <c r="D1422" s="9" t="str">
        <f>INDEX(Places[Majority RB],MATCH(Activities[[#This Row],[Jurisdiction]],Places[Jurisdiction],0))</f>
        <v>San Diego</v>
      </c>
      <c r="E1422" s="9">
        <f>INDEX(Places[Majority RB '#],MATCH(Activities[[#This Row],[Jurisdiction]],Places[Jurisdiction],0))</f>
        <v>9</v>
      </c>
      <c r="F1422" s="28" t="str">
        <f>VLOOKUP(Activities[[#This Row],[Jurisdiction]],Places[#All],8,FALSE)</f>
        <v>Phase I MS4</v>
      </c>
      <c r="G1422" s="56" t="s">
        <v>1229</v>
      </c>
      <c r="H1422" s="52"/>
      <c r="I1422" s="52"/>
      <c r="J1422" s="8" t="s">
        <v>1897</v>
      </c>
      <c r="K1422" s="27" t="s">
        <v>1874</v>
      </c>
      <c r="L1422" s="28">
        <f>_xlfn.NUMBERVALUE(LEFT(Activities[[#This Row],[Fiscal Year]], 4))</f>
        <v>2017</v>
      </c>
      <c r="M1422" s="28" t="s">
        <v>1862</v>
      </c>
      <c r="N1422" s="41">
        <v>95209</v>
      </c>
      <c r="O1422" s="93">
        <f>IF(Activities[[#This Row],[Reference Year]]&gt;2018,Activities[[#This Row],[Value]],Activities[[#This Row],[Value]]*(1+VLOOKUP(Activities[[#This Row],[Reference Year]],Inflation[#All],3,FALSE)))</f>
        <v>97745.964418604664</v>
      </c>
    </row>
    <row r="1423" spans="1:15" ht="15" customHeight="1" x14ac:dyDescent="0.25">
      <c r="A1423" s="9" t="s">
        <v>1428</v>
      </c>
      <c r="B1423" s="9" t="str">
        <f>INDEX(Places[Type],MATCH(Activities[[#This Row],[Jurisdiction]],Places[Jurisdiction],0))</f>
        <v>County</v>
      </c>
      <c r="C1423" s="19" t="str">
        <f>INDEX(Places[County],MATCH(Activities[[#This Row],[Jurisdiction]],Places[Jurisdiction],0))</f>
        <v>San Diego</v>
      </c>
      <c r="D1423" s="9" t="str">
        <f>INDEX(Places[Majority RB],MATCH(Activities[[#This Row],[Jurisdiction]],Places[Jurisdiction],0))</f>
        <v>San Diego</v>
      </c>
      <c r="E1423" s="9">
        <f>INDEX(Places[Majority RB '#],MATCH(Activities[[#This Row],[Jurisdiction]],Places[Jurisdiction],0))</f>
        <v>9</v>
      </c>
      <c r="F1423" s="28" t="str">
        <f>VLOOKUP(Activities[[#This Row],[Jurisdiction]],Places[#All],8,FALSE)</f>
        <v>Phase I MS4</v>
      </c>
      <c r="G1423" s="56" t="s">
        <v>1221</v>
      </c>
      <c r="H1423" s="52"/>
      <c r="I1423" s="52"/>
      <c r="J1423" s="8" t="s">
        <v>1897</v>
      </c>
      <c r="K1423" s="27" t="s">
        <v>1874</v>
      </c>
      <c r="L1423" s="28">
        <f>_xlfn.NUMBERVALUE(LEFT(Activities[[#This Row],[Fiscal Year]], 4))</f>
        <v>2017</v>
      </c>
      <c r="M1423" s="28" t="s">
        <v>1862</v>
      </c>
      <c r="N1423" s="41">
        <v>110448</v>
      </c>
      <c r="O1423" s="93">
        <f>IF(Activities[[#This Row],[Reference Year]]&gt;2018,Activities[[#This Row],[Value]],Activities[[#This Row],[Value]]*(1+VLOOKUP(Activities[[#This Row],[Reference Year]],Inflation[#All],3,FALSE)))</f>
        <v>113391.02687882498</v>
      </c>
    </row>
    <row r="1424" spans="1:15" ht="15" customHeight="1" x14ac:dyDescent="0.25">
      <c r="A1424" s="9" t="s">
        <v>1428</v>
      </c>
      <c r="B1424" s="9" t="str">
        <f>INDEX(Places[Type],MATCH(Activities[[#This Row],[Jurisdiction]],Places[Jurisdiction],0))</f>
        <v>County</v>
      </c>
      <c r="C1424" s="19" t="str">
        <f>INDEX(Places[County],MATCH(Activities[[#This Row],[Jurisdiction]],Places[Jurisdiction],0))</f>
        <v>San Diego</v>
      </c>
      <c r="D1424" s="9" t="str">
        <f>INDEX(Places[Majority RB],MATCH(Activities[[#This Row],[Jurisdiction]],Places[Jurisdiction],0))</f>
        <v>San Diego</v>
      </c>
      <c r="E1424" s="9">
        <f>INDEX(Places[Majority RB '#],MATCH(Activities[[#This Row],[Jurisdiction]],Places[Jurisdiction],0))</f>
        <v>9</v>
      </c>
      <c r="F1424" s="28" t="str">
        <f>VLOOKUP(Activities[[#This Row],[Jurisdiction]],Places[#All],8,FALSE)</f>
        <v>Phase I MS4</v>
      </c>
      <c r="G1424" s="56" t="s">
        <v>1199</v>
      </c>
      <c r="H1424" s="52"/>
      <c r="I1424" s="52"/>
      <c r="J1424" s="8" t="s">
        <v>1897</v>
      </c>
      <c r="K1424" s="27" t="s">
        <v>1874</v>
      </c>
      <c r="L1424" s="28">
        <f>_xlfn.NUMBERVALUE(LEFT(Activities[[#This Row],[Fiscal Year]], 4))</f>
        <v>2017</v>
      </c>
      <c r="M1424" s="28" t="s">
        <v>1862</v>
      </c>
      <c r="N1424" s="41">
        <v>114000</v>
      </c>
      <c r="O1424" s="93">
        <f>IF(Activities[[#This Row],[Reference Year]]&gt;2018,Activities[[#This Row],[Value]],Activities[[#This Row],[Value]]*(1+VLOOKUP(Activities[[#This Row],[Reference Year]],Inflation[#All],3,FALSE)))</f>
        <v>117037.67441860467</v>
      </c>
    </row>
    <row r="1425" spans="1:15" ht="15" customHeight="1" x14ac:dyDescent="0.25">
      <c r="A1425" s="9" t="s">
        <v>1428</v>
      </c>
      <c r="B1425" s="9" t="str">
        <f>INDEX(Places[Type],MATCH(Activities[[#This Row],[Jurisdiction]],Places[Jurisdiction],0))</f>
        <v>County</v>
      </c>
      <c r="C1425" s="19" t="str">
        <f>INDEX(Places[County],MATCH(Activities[[#This Row],[Jurisdiction]],Places[Jurisdiction],0))</f>
        <v>San Diego</v>
      </c>
      <c r="D1425" s="9" t="str">
        <f>INDEX(Places[Majority RB],MATCH(Activities[[#This Row],[Jurisdiction]],Places[Jurisdiction],0))</f>
        <v>San Diego</v>
      </c>
      <c r="E1425" s="9">
        <f>INDEX(Places[Majority RB '#],MATCH(Activities[[#This Row],[Jurisdiction]],Places[Jurisdiction],0))</f>
        <v>9</v>
      </c>
      <c r="F1425" s="28" t="str">
        <f>VLOOKUP(Activities[[#This Row],[Jurisdiction]],Places[#All],8,FALSE)</f>
        <v>Phase I MS4</v>
      </c>
      <c r="G1425" s="56" t="s">
        <v>1223</v>
      </c>
      <c r="H1425" s="52"/>
      <c r="I1425" s="52"/>
      <c r="J1425" s="8" t="s">
        <v>1897</v>
      </c>
      <c r="K1425" s="27" t="s">
        <v>1874</v>
      </c>
      <c r="L1425" s="28">
        <f>_xlfn.NUMBERVALUE(LEFT(Activities[[#This Row],[Fiscal Year]], 4))</f>
        <v>2017</v>
      </c>
      <c r="M1425" s="28" t="s">
        <v>1862</v>
      </c>
      <c r="N1425" s="41">
        <v>114036</v>
      </c>
      <c r="O1425" s="93">
        <f>IF(Activities[[#This Row],[Reference Year]]&gt;2018,Activities[[#This Row],[Value]],Activities[[#This Row],[Value]]*(1+VLOOKUP(Activities[[#This Row],[Reference Year]],Inflation[#All],3,FALSE)))</f>
        <v>117074.63368421054</v>
      </c>
    </row>
    <row r="1426" spans="1:15" ht="15" customHeight="1" x14ac:dyDescent="0.25">
      <c r="A1426" s="9" t="s">
        <v>1428</v>
      </c>
      <c r="B1426" s="9" t="str">
        <f>INDEX(Places[Type],MATCH(Activities[[#This Row],[Jurisdiction]],Places[Jurisdiction],0))</f>
        <v>County</v>
      </c>
      <c r="C1426" s="19" t="str">
        <f>INDEX(Places[County],MATCH(Activities[[#This Row],[Jurisdiction]],Places[Jurisdiction],0))</f>
        <v>San Diego</v>
      </c>
      <c r="D1426" s="9" t="str">
        <f>INDEX(Places[Majority RB],MATCH(Activities[[#This Row],[Jurisdiction]],Places[Jurisdiction],0))</f>
        <v>San Diego</v>
      </c>
      <c r="E1426" s="9">
        <f>INDEX(Places[Majority RB '#],MATCH(Activities[[#This Row],[Jurisdiction]],Places[Jurisdiction],0))</f>
        <v>9</v>
      </c>
      <c r="F1426" s="28" t="str">
        <f>VLOOKUP(Activities[[#This Row],[Jurisdiction]],Places[#All],8,FALSE)</f>
        <v>Phase I MS4</v>
      </c>
      <c r="G1426" s="56" t="s">
        <v>1203</v>
      </c>
      <c r="H1426" s="52"/>
      <c r="I1426" s="52"/>
      <c r="J1426" s="8" t="s">
        <v>1897</v>
      </c>
      <c r="K1426" s="27" t="s">
        <v>1874</v>
      </c>
      <c r="L1426" s="28">
        <f>_xlfn.NUMBERVALUE(LEFT(Activities[[#This Row],[Fiscal Year]], 4))</f>
        <v>2017</v>
      </c>
      <c r="M1426" s="28" t="s">
        <v>1862</v>
      </c>
      <c r="N1426" s="41">
        <v>182382</v>
      </c>
      <c r="O1426" s="93">
        <f>IF(Activities[[#This Row],[Reference Year]]&gt;2018,Activities[[#This Row],[Value]],Activities[[#This Row],[Value]]*(1+VLOOKUP(Activities[[#This Row],[Reference Year]],Inflation[#All],3,FALSE)))</f>
        <v>187241.79943696453</v>
      </c>
    </row>
    <row r="1427" spans="1:15" ht="15" customHeight="1" x14ac:dyDescent="0.25">
      <c r="A1427" s="9" t="s">
        <v>1428</v>
      </c>
      <c r="B1427" s="9" t="str">
        <f>INDEX(Places[Type],MATCH(Activities[[#This Row],[Jurisdiction]],Places[Jurisdiction],0))</f>
        <v>County</v>
      </c>
      <c r="C1427" s="19" t="str">
        <f>INDEX(Places[County],MATCH(Activities[[#This Row],[Jurisdiction]],Places[Jurisdiction],0))</f>
        <v>San Diego</v>
      </c>
      <c r="D1427" s="9" t="str">
        <f>INDEX(Places[Majority RB],MATCH(Activities[[#This Row],[Jurisdiction]],Places[Jurisdiction],0))</f>
        <v>San Diego</v>
      </c>
      <c r="E1427" s="9">
        <f>INDEX(Places[Majority RB '#],MATCH(Activities[[#This Row],[Jurisdiction]],Places[Jurisdiction],0))</f>
        <v>9</v>
      </c>
      <c r="F1427" s="28" t="str">
        <f>VLOOKUP(Activities[[#This Row],[Jurisdiction]],Places[#All],8,FALSE)</f>
        <v>Phase I MS4</v>
      </c>
      <c r="G1427" s="56" t="s">
        <v>1191</v>
      </c>
      <c r="H1427" s="8"/>
      <c r="I1427" s="8"/>
      <c r="J1427" s="8" t="s">
        <v>1897</v>
      </c>
      <c r="K1427" s="27" t="s">
        <v>1874</v>
      </c>
      <c r="L1427" s="28">
        <f>_xlfn.NUMBERVALUE(LEFT(Activities[[#This Row],[Fiscal Year]], 4))</f>
        <v>2017</v>
      </c>
      <c r="M1427" s="28" t="s">
        <v>1862</v>
      </c>
      <c r="N1427" s="41">
        <v>191806</v>
      </c>
      <c r="O1427" s="93">
        <f>IF(Activities[[#This Row],[Reference Year]]&gt;2018,Activities[[#This Row],[Value]],Activities[[#This Row],[Value]]*(1+VLOOKUP(Activities[[#This Row],[Reference Year]],Inflation[#All],3,FALSE)))</f>
        <v>196916.91385556918</v>
      </c>
    </row>
    <row r="1428" spans="1:15" ht="15" customHeight="1" x14ac:dyDescent="0.25">
      <c r="A1428" s="9" t="s">
        <v>1428</v>
      </c>
      <c r="B1428" s="9" t="str">
        <f>INDEX(Places[Type],MATCH(Activities[[#This Row],[Jurisdiction]],Places[Jurisdiction],0))</f>
        <v>County</v>
      </c>
      <c r="C1428" s="19" t="str">
        <f>INDEX(Places[County],MATCH(Activities[[#This Row],[Jurisdiction]],Places[Jurisdiction],0))</f>
        <v>San Diego</v>
      </c>
      <c r="D1428" s="9" t="str">
        <f>INDEX(Places[Majority RB],MATCH(Activities[[#This Row],[Jurisdiction]],Places[Jurisdiction],0))</f>
        <v>San Diego</v>
      </c>
      <c r="E1428" s="9">
        <f>INDEX(Places[Majority RB '#],MATCH(Activities[[#This Row],[Jurisdiction]],Places[Jurisdiction],0))</f>
        <v>9</v>
      </c>
      <c r="F1428" s="28" t="str">
        <f>VLOOKUP(Activities[[#This Row],[Jurisdiction]],Places[#All],8,FALSE)</f>
        <v>Phase I MS4</v>
      </c>
      <c r="G1428" s="56" t="s">
        <v>1192</v>
      </c>
      <c r="H1428" s="8"/>
      <c r="I1428" s="8"/>
      <c r="J1428" s="8" t="s">
        <v>1897</v>
      </c>
      <c r="K1428" s="27" t="s">
        <v>1874</v>
      </c>
      <c r="L1428" s="28">
        <f>_xlfn.NUMBERVALUE(LEFT(Activities[[#This Row],[Fiscal Year]], 4))</f>
        <v>2017</v>
      </c>
      <c r="M1428" s="28" t="s">
        <v>1862</v>
      </c>
      <c r="N1428" s="41">
        <v>531283</v>
      </c>
      <c r="O1428" s="93">
        <f>IF(Activities[[#This Row],[Reference Year]]&gt;2018,Activities[[#This Row],[Value]],Activities[[#This Row],[Value]]*(1+VLOOKUP(Activities[[#This Row],[Reference Year]],Inflation[#All],3,FALSE)))</f>
        <v>545439.70858017146</v>
      </c>
    </row>
    <row r="1429" spans="1:15" ht="15" customHeight="1" x14ac:dyDescent="0.25">
      <c r="A1429" s="9" t="s">
        <v>1428</v>
      </c>
      <c r="B1429" s="9" t="str">
        <f>INDEX(Places[Type],MATCH(Activities[[#This Row],[Jurisdiction]],Places[Jurisdiction],0))</f>
        <v>County</v>
      </c>
      <c r="C1429" s="19" t="str">
        <f>INDEX(Places[County],MATCH(Activities[[#This Row],[Jurisdiction]],Places[Jurisdiction],0))</f>
        <v>San Diego</v>
      </c>
      <c r="D1429" s="9" t="str">
        <f>INDEX(Places[Majority RB],MATCH(Activities[[#This Row],[Jurisdiction]],Places[Jurisdiction],0))</f>
        <v>San Diego</v>
      </c>
      <c r="E1429" s="9">
        <f>INDEX(Places[Majority RB '#],MATCH(Activities[[#This Row],[Jurisdiction]],Places[Jurisdiction],0))</f>
        <v>9</v>
      </c>
      <c r="F1429" s="28" t="str">
        <f>VLOOKUP(Activities[[#This Row],[Jurisdiction]],Places[#All],8,FALSE)</f>
        <v>Phase I MS4</v>
      </c>
      <c r="G1429" s="56" t="s">
        <v>1196</v>
      </c>
      <c r="H1429" s="52"/>
      <c r="I1429" s="52"/>
      <c r="J1429" s="8" t="s">
        <v>1897</v>
      </c>
      <c r="K1429" s="27" t="s">
        <v>1874</v>
      </c>
      <c r="L1429" s="28">
        <f>_xlfn.NUMBERVALUE(LEFT(Activities[[#This Row],[Fiscal Year]], 4))</f>
        <v>2017</v>
      </c>
      <c r="M1429" s="28" t="s">
        <v>1862</v>
      </c>
      <c r="N1429" s="41">
        <v>563208</v>
      </c>
      <c r="O1429" s="93">
        <f>IF(Activities[[#This Row],[Reference Year]]&gt;2018,Activities[[#This Row],[Value]],Activities[[#This Row],[Value]]*(1+VLOOKUP(Activities[[#This Row],[Reference Year]],Inflation[#All],3,FALSE)))</f>
        <v>578215.39064871485</v>
      </c>
    </row>
    <row r="1430" spans="1:15" ht="15" customHeight="1" x14ac:dyDescent="0.25">
      <c r="A1430" s="9" t="s">
        <v>1428</v>
      </c>
      <c r="B1430" s="9" t="str">
        <f>INDEX(Places[Type],MATCH(Activities[[#This Row],[Jurisdiction]],Places[Jurisdiction],0))</f>
        <v>County</v>
      </c>
      <c r="C1430" s="19" t="str">
        <f>INDEX(Places[County],MATCH(Activities[[#This Row],[Jurisdiction]],Places[Jurisdiction],0))</f>
        <v>San Diego</v>
      </c>
      <c r="D1430" s="9" t="str">
        <f>INDEX(Places[Majority RB],MATCH(Activities[[#This Row],[Jurisdiction]],Places[Jurisdiction],0))</f>
        <v>San Diego</v>
      </c>
      <c r="E1430" s="9">
        <f>INDEX(Places[Majority RB '#],MATCH(Activities[[#This Row],[Jurisdiction]],Places[Jurisdiction],0))</f>
        <v>9</v>
      </c>
      <c r="F1430" s="28" t="str">
        <f>VLOOKUP(Activities[[#This Row],[Jurisdiction]],Places[#All],8,FALSE)</f>
        <v>Phase I MS4</v>
      </c>
      <c r="G1430" s="56" t="s">
        <v>1237</v>
      </c>
      <c r="H1430" s="52"/>
      <c r="I1430" s="52"/>
      <c r="J1430" s="8" t="s">
        <v>1898</v>
      </c>
      <c r="K1430" s="27" t="s">
        <v>1874</v>
      </c>
      <c r="L1430" s="28">
        <f>_xlfn.NUMBERVALUE(LEFT(Activities[[#This Row],[Fiscal Year]], 4))</f>
        <v>2017</v>
      </c>
      <c r="M1430" s="28" t="s">
        <v>1862</v>
      </c>
      <c r="N1430" s="41">
        <v>260229</v>
      </c>
      <c r="O1430" s="93">
        <f>IF(Activities[[#This Row],[Reference Year]]&gt;2018,Activities[[#This Row],[Value]],Activities[[#This Row],[Value]]*(1+VLOOKUP(Activities[[#This Row],[Reference Year]],Inflation[#All],3,FALSE)))</f>
        <v>267163.13137086906</v>
      </c>
    </row>
    <row r="1431" spans="1:15" ht="15" customHeight="1" x14ac:dyDescent="0.25">
      <c r="A1431" s="9" t="s">
        <v>1428</v>
      </c>
      <c r="B1431" s="9" t="str">
        <f>INDEX(Places[Type],MATCH(Activities[[#This Row],[Jurisdiction]],Places[Jurisdiction],0))</f>
        <v>County</v>
      </c>
      <c r="C1431" s="19" t="str">
        <f>INDEX(Places[County],MATCH(Activities[[#This Row],[Jurisdiction]],Places[Jurisdiction],0))</f>
        <v>San Diego</v>
      </c>
      <c r="D1431" s="9" t="str">
        <f>INDEX(Places[Majority RB],MATCH(Activities[[#This Row],[Jurisdiction]],Places[Jurisdiction],0))</f>
        <v>San Diego</v>
      </c>
      <c r="E1431" s="9">
        <f>INDEX(Places[Majority RB '#],MATCH(Activities[[#This Row],[Jurisdiction]],Places[Jurisdiction],0))</f>
        <v>9</v>
      </c>
      <c r="F1431" s="28" t="str">
        <f>VLOOKUP(Activities[[#This Row],[Jurisdiction]],Places[#All],8,FALSE)</f>
        <v>Phase I MS4</v>
      </c>
      <c r="G1431" s="56" t="s">
        <v>1184</v>
      </c>
      <c r="H1431" s="52"/>
      <c r="I1431" s="52"/>
      <c r="J1431" s="8" t="s">
        <v>1898</v>
      </c>
      <c r="K1431" s="27" t="s">
        <v>1874</v>
      </c>
      <c r="L1431" s="28">
        <f>_xlfn.NUMBERVALUE(LEFT(Activities[[#This Row],[Fiscal Year]], 4))</f>
        <v>2017</v>
      </c>
      <c r="M1431" s="28" t="s">
        <v>1862</v>
      </c>
      <c r="N1431" s="41">
        <v>558073</v>
      </c>
      <c r="O1431" s="93">
        <f>IF(Activities[[#This Row],[Reference Year]]&gt;2018,Activities[[#This Row],[Value]],Activities[[#This Row],[Value]]*(1+VLOOKUP(Activities[[#This Row],[Reference Year]],Inflation[#All],3,FALSE)))</f>
        <v>572943.56206854351</v>
      </c>
    </row>
    <row r="1432" spans="1:15" ht="15" customHeight="1" x14ac:dyDescent="0.25">
      <c r="A1432" s="9" t="s">
        <v>1428</v>
      </c>
      <c r="B1432" s="9" t="str">
        <f>INDEX(Places[Type],MATCH(Activities[[#This Row],[Jurisdiction]],Places[Jurisdiction],0))</f>
        <v>County</v>
      </c>
      <c r="C1432" s="19" t="str">
        <f>INDEX(Places[County],MATCH(Activities[[#This Row],[Jurisdiction]],Places[Jurisdiction],0))</f>
        <v>San Diego</v>
      </c>
      <c r="D1432" s="9" t="str">
        <f>INDEX(Places[Majority RB],MATCH(Activities[[#This Row],[Jurisdiction]],Places[Jurisdiction],0))</f>
        <v>San Diego</v>
      </c>
      <c r="E1432" s="9">
        <f>INDEX(Places[Majority RB '#],MATCH(Activities[[#This Row],[Jurisdiction]],Places[Jurisdiction],0))</f>
        <v>9</v>
      </c>
      <c r="F1432" s="28" t="str">
        <f>VLOOKUP(Activities[[#This Row],[Jurisdiction]],Places[#All],8,FALSE)</f>
        <v>Phase I MS4</v>
      </c>
      <c r="G1432" s="56" t="s">
        <v>1238</v>
      </c>
      <c r="H1432" s="8"/>
      <c r="I1432" s="8"/>
      <c r="J1432" s="8" t="s">
        <v>1898</v>
      </c>
      <c r="K1432" s="27" t="s">
        <v>1874</v>
      </c>
      <c r="L1432" s="28">
        <f>_xlfn.NUMBERVALUE(LEFT(Activities[[#This Row],[Fiscal Year]], 4))</f>
        <v>2017</v>
      </c>
      <c r="M1432" s="28" t="s">
        <v>1862</v>
      </c>
      <c r="N1432" s="41">
        <v>924124</v>
      </c>
      <c r="O1432" s="93">
        <f>IF(Activities[[#This Row],[Reference Year]]&gt;2018,Activities[[#This Row],[Value]],Activities[[#This Row],[Value]]*(1+VLOOKUP(Activities[[#This Row],[Reference Year]],Inflation[#All],3,FALSE)))</f>
        <v>948748.45468788256</v>
      </c>
    </row>
    <row r="1433" spans="1:15" ht="15" customHeight="1" x14ac:dyDescent="0.25">
      <c r="A1433" s="9" t="s">
        <v>1428</v>
      </c>
      <c r="B1433" s="9" t="str">
        <f>INDEX(Places[Type],MATCH(Activities[[#This Row],[Jurisdiction]],Places[Jurisdiction],0))</f>
        <v>County</v>
      </c>
      <c r="C1433" s="19" t="str">
        <f>INDEX(Places[County],MATCH(Activities[[#This Row],[Jurisdiction]],Places[Jurisdiction],0))</f>
        <v>San Diego</v>
      </c>
      <c r="D1433" s="9" t="str">
        <f>INDEX(Places[Majority RB],MATCH(Activities[[#This Row],[Jurisdiction]],Places[Jurisdiction],0))</f>
        <v>San Diego</v>
      </c>
      <c r="E1433" s="9">
        <f>INDEX(Places[Majority RB '#],MATCH(Activities[[#This Row],[Jurisdiction]],Places[Jurisdiction],0))</f>
        <v>9</v>
      </c>
      <c r="F1433" s="28" t="str">
        <f>VLOOKUP(Activities[[#This Row],[Jurisdiction]],Places[#All],8,FALSE)</f>
        <v>Phase I MS4</v>
      </c>
      <c r="G1433" s="56" t="s">
        <v>1187</v>
      </c>
      <c r="H1433" s="52"/>
      <c r="I1433" s="52"/>
      <c r="J1433" s="8" t="s">
        <v>1898</v>
      </c>
      <c r="K1433" s="27" t="s">
        <v>1874</v>
      </c>
      <c r="L1433" s="28">
        <f>_xlfn.NUMBERVALUE(LEFT(Activities[[#This Row],[Fiscal Year]], 4))</f>
        <v>2017</v>
      </c>
      <c r="M1433" s="28" t="s">
        <v>1862</v>
      </c>
      <c r="N1433" s="41">
        <v>2047374</v>
      </c>
      <c r="O1433" s="93">
        <f>IF(Activities[[#This Row],[Reference Year]]&gt;2018,Activities[[#This Row],[Value]],Activities[[#This Row],[Value]]*(1+VLOOKUP(Activities[[#This Row],[Reference Year]],Inflation[#All],3,FALSE)))</f>
        <v>2101928.873904529</v>
      </c>
    </row>
    <row r="1434" spans="1:15" ht="15" customHeight="1" x14ac:dyDescent="0.25">
      <c r="A1434" s="9" t="s">
        <v>1428</v>
      </c>
      <c r="B1434" s="9" t="str">
        <f>INDEX(Places[Type],MATCH(Activities[[#This Row],[Jurisdiction]],Places[Jurisdiction],0))</f>
        <v>County</v>
      </c>
      <c r="C1434" s="19" t="str">
        <f>INDEX(Places[County],MATCH(Activities[[#This Row],[Jurisdiction]],Places[Jurisdiction],0))</f>
        <v>San Diego</v>
      </c>
      <c r="D1434" s="9" t="str">
        <f>INDEX(Places[Majority RB],MATCH(Activities[[#This Row],[Jurisdiction]],Places[Jurisdiction],0))</f>
        <v>San Diego</v>
      </c>
      <c r="E1434" s="9">
        <f>INDEX(Places[Majority RB '#],MATCH(Activities[[#This Row],[Jurisdiction]],Places[Jurisdiction],0))</f>
        <v>9</v>
      </c>
      <c r="F1434" s="28" t="str">
        <f>VLOOKUP(Activities[[#This Row],[Jurisdiction]],Places[#All],8,FALSE)</f>
        <v>Phase I MS4</v>
      </c>
      <c r="G1434" s="56" t="s">
        <v>1162</v>
      </c>
      <c r="H1434" s="52"/>
      <c r="I1434" s="52"/>
      <c r="J1434" s="8" t="s">
        <v>1456</v>
      </c>
      <c r="K1434" s="27" t="s">
        <v>1874</v>
      </c>
      <c r="L1434" s="28">
        <f>_xlfn.NUMBERVALUE(LEFT(Activities[[#This Row],[Fiscal Year]], 4))</f>
        <v>2017</v>
      </c>
      <c r="M1434" s="28" t="s">
        <v>1862</v>
      </c>
      <c r="N1434" s="41">
        <v>32500</v>
      </c>
      <c r="O1434" s="93">
        <f>IF(Activities[[#This Row],[Reference Year]]&gt;2018,Activities[[#This Row],[Value]],Activities[[#This Row],[Value]]*(1+VLOOKUP(Activities[[#This Row],[Reference Year]],Inflation[#All],3,FALSE)))</f>
        <v>33366.003671970626</v>
      </c>
    </row>
    <row r="1435" spans="1:15" ht="15" customHeight="1" x14ac:dyDescent="0.25">
      <c r="A1435" s="9" t="s">
        <v>1428</v>
      </c>
      <c r="B1435" s="9" t="str">
        <f>INDEX(Places[Type],MATCH(Activities[[#This Row],[Jurisdiction]],Places[Jurisdiction],0))</f>
        <v>County</v>
      </c>
      <c r="C1435" s="19" t="str">
        <f>INDEX(Places[County],MATCH(Activities[[#This Row],[Jurisdiction]],Places[Jurisdiction],0))</f>
        <v>San Diego</v>
      </c>
      <c r="D1435" s="9" t="str">
        <f>INDEX(Places[Majority RB],MATCH(Activities[[#This Row],[Jurisdiction]],Places[Jurisdiction],0))</f>
        <v>San Diego</v>
      </c>
      <c r="E1435" s="9">
        <f>INDEX(Places[Majority RB '#],MATCH(Activities[[#This Row],[Jurisdiction]],Places[Jurisdiction],0))</f>
        <v>9</v>
      </c>
      <c r="F1435" s="28" t="str">
        <f>VLOOKUP(Activities[[#This Row],[Jurisdiction]],Places[#All],8,FALSE)</f>
        <v>Phase I MS4</v>
      </c>
      <c r="G1435" s="56" t="s">
        <v>1239</v>
      </c>
      <c r="H1435" s="8"/>
      <c r="I1435" s="8"/>
      <c r="J1435" s="8" t="s">
        <v>1456</v>
      </c>
      <c r="K1435" s="27" t="s">
        <v>1874</v>
      </c>
      <c r="L1435" s="28">
        <f>_xlfn.NUMBERVALUE(LEFT(Activities[[#This Row],[Fiscal Year]], 4))</f>
        <v>2017</v>
      </c>
      <c r="M1435" s="28" t="s">
        <v>1862</v>
      </c>
      <c r="N1435" s="41">
        <v>961692</v>
      </c>
      <c r="O1435" s="93">
        <f>IF(Activities[[#This Row],[Reference Year]]&gt;2018,Activities[[#This Row],[Value]],Activities[[#This Row],[Value]]*(1+VLOOKUP(Activities[[#This Row],[Reference Year]],Inflation[#All],3,FALSE)))</f>
        <v>987317.50164014695</v>
      </c>
    </row>
    <row r="1436" spans="1:15" ht="15" customHeight="1" x14ac:dyDescent="0.25">
      <c r="A1436" s="9" t="s">
        <v>1428</v>
      </c>
      <c r="B1436" s="9" t="str">
        <f>INDEX(Places[Type],MATCH(Activities[[#This Row],[Jurisdiction]],Places[Jurisdiction],0))</f>
        <v>County</v>
      </c>
      <c r="C1436" s="19" t="str">
        <f>INDEX(Places[County],MATCH(Activities[[#This Row],[Jurisdiction]],Places[Jurisdiction],0))</f>
        <v>San Diego</v>
      </c>
      <c r="D1436" s="9" t="str">
        <f>INDEX(Places[Majority RB],MATCH(Activities[[#This Row],[Jurisdiction]],Places[Jurisdiction],0))</f>
        <v>San Diego</v>
      </c>
      <c r="E1436" s="9">
        <f>INDEX(Places[Majority RB '#],MATCH(Activities[[#This Row],[Jurisdiction]],Places[Jurisdiction],0))</f>
        <v>9</v>
      </c>
      <c r="F1436" s="28" t="str">
        <f>VLOOKUP(Activities[[#This Row],[Jurisdiction]],Places[#All],8,FALSE)</f>
        <v>Phase I MS4</v>
      </c>
      <c r="G1436" s="56" t="s">
        <v>1212</v>
      </c>
      <c r="H1436" s="52"/>
      <c r="I1436" s="52"/>
      <c r="J1436" s="8" t="s">
        <v>1894</v>
      </c>
      <c r="K1436" s="27" t="s">
        <v>1874</v>
      </c>
      <c r="L1436" s="28">
        <f>_xlfn.NUMBERVALUE(LEFT(Activities[[#This Row],[Fiscal Year]], 4))</f>
        <v>2017</v>
      </c>
      <c r="M1436" s="28" t="s">
        <v>1862</v>
      </c>
      <c r="N1436" s="41">
        <v>1643</v>
      </c>
      <c r="O1436" s="93">
        <f>IF(Activities[[#This Row],[Reference Year]]&gt;2018,Activities[[#This Row],[Value]],Activities[[#This Row],[Value]]*(1+VLOOKUP(Activities[[#This Row],[Reference Year]],Inflation[#All],3,FALSE)))</f>
        <v>1686.7798164014689</v>
      </c>
    </row>
    <row r="1437" spans="1:15" ht="15" customHeight="1" x14ac:dyDescent="0.25">
      <c r="A1437" s="9" t="s">
        <v>1428</v>
      </c>
      <c r="B1437" s="9" t="str">
        <f>INDEX(Places[Type],MATCH(Activities[[#This Row],[Jurisdiction]],Places[Jurisdiction],0))</f>
        <v>County</v>
      </c>
      <c r="C1437" s="19" t="str">
        <f>INDEX(Places[County],MATCH(Activities[[#This Row],[Jurisdiction]],Places[Jurisdiction],0))</f>
        <v>San Diego</v>
      </c>
      <c r="D1437" s="9" t="str">
        <f>INDEX(Places[Majority RB],MATCH(Activities[[#This Row],[Jurisdiction]],Places[Jurisdiction],0))</f>
        <v>San Diego</v>
      </c>
      <c r="E1437" s="9">
        <f>INDEX(Places[Majority RB '#],MATCH(Activities[[#This Row],[Jurisdiction]],Places[Jurisdiction],0))</f>
        <v>9</v>
      </c>
      <c r="F1437" s="28" t="str">
        <f>VLOOKUP(Activities[[#This Row],[Jurisdiction]],Places[#All],8,FALSE)</f>
        <v>Phase I MS4</v>
      </c>
      <c r="G1437" s="56" t="s">
        <v>1156</v>
      </c>
      <c r="H1437" s="8"/>
      <c r="I1437" s="47" t="s">
        <v>636</v>
      </c>
      <c r="J1437" s="8" t="s">
        <v>1894</v>
      </c>
      <c r="K1437" s="27" t="s">
        <v>1874</v>
      </c>
      <c r="L1437" s="28">
        <f>_xlfn.NUMBERVALUE(LEFT(Activities[[#This Row],[Fiscal Year]], 4))</f>
        <v>2017</v>
      </c>
      <c r="M1437" s="28" t="s">
        <v>1862</v>
      </c>
      <c r="N1437" s="41">
        <v>8654026</v>
      </c>
      <c r="O1437" s="93">
        <f>IF(Activities[[#This Row],[Reference Year]]&gt;2018,Activities[[#This Row],[Value]],Activities[[#This Row],[Value]]*(1+VLOOKUP(Activities[[#This Row],[Reference Year]],Inflation[#All],3,FALSE)))</f>
        <v>8884623.4859485943</v>
      </c>
    </row>
    <row r="1438" spans="1:15" ht="15" customHeight="1" x14ac:dyDescent="0.25">
      <c r="A1438" s="9" t="s">
        <v>1428</v>
      </c>
      <c r="B1438" s="9" t="str">
        <f>INDEX(Places[Type],MATCH(Activities[[#This Row],[Jurisdiction]],Places[Jurisdiction],0))</f>
        <v>County</v>
      </c>
      <c r="C1438" s="19" t="str">
        <f>INDEX(Places[County],MATCH(Activities[[#This Row],[Jurisdiction]],Places[Jurisdiction],0))</f>
        <v>San Diego</v>
      </c>
      <c r="D1438" s="9" t="str">
        <f>INDEX(Places[Majority RB],MATCH(Activities[[#This Row],[Jurisdiction]],Places[Jurisdiction],0))</f>
        <v>San Diego</v>
      </c>
      <c r="E1438" s="9">
        <f>INDEX(Places[Majority RB '#],MATCH(Activities[[#This Row],[Jurisdiction]],Places[Jurisdiction],0))</f>
        <v>9</v>
      </c>
      <c r="F1438" s="28" t="str">
        <f>VLOOKUP(Activities[[#This Row],[Jurisdiction]],Places[#All],8,FALSE)</f>
        <v>Phase I MS4</v>
      </c>
      <c r="G1438" s="56" t="s">
        <v>1170</v>
      </c>
      <c r="H1438" s="8"/>
      <c r="I1438" s="8"/>
      <c r="J1438" s="8" t="s">
        <v>1896</v>
      </c>
      <c r="K1438" s="27" t="s">
        <v>1874</v>
      </c>
      <c r="L1438" s="28">
        <f>_xlfn.NUMBERVALUE(LEFT(Activities[[#This Row],[Fiscal Year]], 4))</f>
        <v>2017</v>
      </c>
      <c r="M1438" s="28" t="s">
        <v>1862</v>
      </c>
      <c r="N1438" s="41">
        <v>1072369</v>
      </c>
      <c r="O1438" s="93">
        <f>IF(Activities[[#This Row],[Reference Year]]&gt;2018,Activities[[#This Row],[Value]],Activities[[#This Row],[Value]]*(1+VLOOKUP(Activities[[#This Row],[Reference Year]],Inflation[#All],3,FALSE)))</f>
        <v>1100943.630514076</v>
      </c>
    </row>
    <row r="1439" spans="1:15" ht="15" customHeight="1" x14ac:dyDescent="0.25">
      <c r="A1439" s="9" t="s">
        <v>1428</v>
      </c>
      <c r="B1439" s="9" t="str">
        <f>INDEX(Places[Type],MATCH(Activities[[#This Row],[Jurisdiction]],Places[Jurisdiction],0))</f>
        <v>County</v>
      </c>
      <c r="C1439" s="19" t="str">
        <f>INDEX(Places[County],MATCH(Activities[[#This Row],[Jurisdiction]],Places[Jurisdiction],0))</f>
        <v>San Diego</v>
      </c>
      <c r="D1439" s="9" t="str">
        <f>INDEX(Places[Majority RB],MATCH(Activities[[#This Row],[Jurisdiction]],Places[Jurisdiction],0))</f>
        <v>San Diego</v>
      </c>
      <c r="E1439" s="9">
        <f>INDEX(Places[Majority RB '#],MATCH(Activities[[#This Row],[Jurisdiction]],Places[Jurisdiction],0))</f>
        <v>9</v>
      </c>
      <c r="F1439" s="28" t="str">
        <f>VLOOKUP(Activities[[#This Row],[Jurisdiction]],Places[#All],8,FALSE)</f>
        <v>Phase I MS4</v>
      </c>
      <c r="G1439" s="56" t="s">
        <v>1166</v>
      </c>
      <c r="H1439" s="8"/>
      <c r="I1439" s="8"/>
      <c r="J1439" s="8" t="s">
        <v>605</v>
      </c>
      <c r="K1439" s="27" t="s">
        <v>1874</v>
      </c>
      <c r="L1439" s="28">
        <f>_xlfn.NUMBERVALUE(LEFT(Activities[[#This Row],[Fiscal Year]], 4))</f>
        <v>2017</v>
      </c>
      <c r="M1439" s="28" t="s">
        <v>1862</v>
      </c>
      <c r="N1439" s="41">
        <v>1055954</v>
      </c>
      <c r="O1439" s="93">
        <f>IF(Activities[[#This Row],[Reference Year]]&gt;2018,Activities[[#This Row],[Value]],Activities[[#This Row],[Value]]*(1+VLOOKUP(Activities[[#This Row],[Reference Year]],Inflation[#All],3,FALSE)))</f>
        <v>1084091.2320440637</v>
      </c>
    </row>
    <row r="1440" spans="1:15" ht="15" customHeight="1" x14ac:dyDescent="0.25">
      <c r="A1440" s="9" t="s">
        <v>1428</v>
      </c>
      <c r="B1440" s="9" t="str">
        <f>INDEX(Places[Type],MATCH(Activities[[#This Row],[Jurisdiction]],Places[Jurisdiction],0))</f>
        <v>County</v>
      </c>
      <c r="C1440" s="19" t="str">
        <f>INDEX(Places[County],MATCH(Activities[[#This Row],[Jurisdiction]],Places[Jurisdiction],0))</f>
        <v>San Diego</v>
      </c>
      <c r="D1440" s="9" t="str">
        <f>INDEX(Places[Majority RB],MATCH(Activities[[#This Row],[Jurisdiction]],Places[Jurisdiction],0))</f>
        <v>San Diego</v>
      </c>
      <c r="E1440" s="9">
        <f>INDEX(Places[Majority RB '#],MATCH(Activities[[#This Row],[Jurisdiction]],Places[Jurisdiction],0))</f>
        <v>9</v>
      </c>
      <c r="F1440" s="28" t="str">
        <f>VLOOKUP(Activities[[#This Row],[Jurisdiction]],Places[#All],8,FALSE)</f>
        <v>Phase I MS4</v>
      </c>
      <c r="G1440" s="56" t="s">
        <v>1165</v>
      </c>
      <c r="H1440" s="8"/>
      <c r="I1440" s="8"/>
      <c r="J1440" s="8" t="s">
        <v>605</v>
      </c>
      <c r="K1440" s="27" t="s">
        <v>1874</v>
      </c>
      <c r="L1440" s="28">
        <f>_xlfn.NUMBERVALUE(LEFT(Activities[[#This Row],[Fiscal Year]], 4))</f>
        <v>2017</v>
      </c>
      <c r="M1440" s="28" t="s">
        <v>1862</v>
      </c>
      <c r="N1440" s="41">
        <v>1364567</v>
      </c>
      <c r="O1440" s="93">
        <f>IF(Activities[[#This Row],[Reference Year]]&gt;2018,Activities[[#This Row],[Value]],Activities[[#This Row],[Value]]*(1+VLOOKUP(Activities[[#This Row],[Reference Year]],Inflation[#All],3,FALSE)))</f>
        <v>1400927.616389229</v>
      </c>
    </row>
    <row r="1441" spans="1:15" ht="15" customHeight="1" x14ac:dyDescent="0.25">
      <c r="A1441" s="9" t="s">
        <v>1428</v>
      </c>
      <c r="B1441" s="9" t="str">
        <f>INDEX(Places[Type],MATCH(Activities[[#This Row],[Jurisdiction]],Places[Jurisdiction],0))</f>
        <v>County</v>
      </c>
      <c r="C1441" s="19" t="str">
        <f>INDEX(Places[County],MATCH(Activities[[#This Row],[Jurisdiction]],Places[Jurisdiction],0))</f>
        <v>San Diego</v>
      </c>
      <c r="D1441" s="9" t="str">
        <f>INDEX(Places[Majority RB],MATCH(Activities[[#This Row],[Jurisdiction]],Places[Jurisdiction],0))</f>
        <v>San Diego</v>
      </c>
      <c r="E1441" s="9">
        <f>INDEX(Places[Majority RB '#],MATCH(Activities[[#This Row],[Jurisdiction]],Places[Jurisdiction],0))</f>
        <v>9</v>
      </c>
      <c r="F1441" s="28" t="str">
        <f>VLOOKUP(Activities[[#This Row],[Jurisdiction]],Places[#All],8,FALSE)</f>
        <v>Phase I MS4</v>
      </c>
      <c r="G1441" s="56" t="s">
        <v>1167</v>
      </c>
      <c r="H1441" s="52"/>
      <c r="I1441" s="52"/>
      <c r="J1441" s="8" t="s">
        <v>605</v>
      </c>
      <c r="K1441" s="27" t="s">
        <v>1874</v>
      </c>
      <c r="L1441" s="28">
        <f>_xlfn.NUMBERVALUE(LEFT(Activities[[#This Row],[Fiscal Year]], 4))</f>
        <v>2017</v>
      </c>
      <c r="M1441" s="28" t="s">
        <v>1862</v>
      </c>
      <c r="N1441" s="41">
        <v>3077350</v>
      </c>
      <c r="O1441" s="93">
        <f>IF(Activities[[#This Row],[Reference Year]]&gt;2018,Activities[[#This Row],[Value]],Activities[[#This Row],[Value]]*(1+VLOOKUP(Activities[[#This Row],[Reference Year]],Inflation[#All],3,FALSE)))</f>
        <v>3159349.8892288865</v>
      </c>
    </row>
    <row r="1442" spans="1:15" ht="15" customHeight="1" x14ac:dyDescent="0.25">
      <c r="A1442" s="9" t="s">
        <v>301</v>
      </c>
      <c r="B1442" s="9" t="str">
        <f>INDEX(Places[Type],MATCH(Activities[[#This Row],[Jurisdiction]],Places[Jurisdiction],0))</f>
        <v>Other</v>
      </c>
      <c r="C1442" s="19" t="str">
        <f>INDEX(Places[County],MATCH(Activities[[#This Row],[Jurisdiction]],Places[Jurisdiction],0))</f>
        <v>San Diego</v>
      </c>
      <c r="D1442" s="9" t="str">
        <f>INDEX(Places[Majority RB],MATCH(Activities[[#This Row],[Jurisdiction]],Places[Jurisdiction],0))</f>
        <v>San Diego</v>
      </c>
      <c r="E1442" s="9">
        <f>INDEX(Places[Majority RB '#],MATCH(Activities[[#This Row],[Jurisdiction]],Places[Jurisdiction],0))</f>
        <v>9</v>
      </c>
      <c r="F1442" s="28" t="str">
        <f>VLOOKUP(Activities[[#This Row],[Jurisdiction]],Places[#All],8,FALSE)</f>
        <v>Phase I MS4</v>
      </c>
      <c r="G1442" s="48" t="s">
        <v>1242</v>
      </c>
      <c r="H1442" s="8"/>
      <c r="I1442" s="8"/>
      <c r="J1442" s="8" t="s">
        <v>1895</v>
      </c>
      <c r="K1442" s="27" t="s">
        <v>1869</v>
      </c>
      <c r="L1442" s="28">
        <f>_xlfn.NUMBERVALUE(LEFT(Activities[[#This Row],[Fiscal Year]], 4))</f>
        <v>2016</v>
      </c>
      <c r="M1442" s="28" t="s">
        <v>1862</v>
      </c>
      <c r="N1442" s="41">
        <v>124025</v>
      </c>
      <c r="O1442" s="93">
        <f>IF(Activities[[#This Row],[Reference Year]]&gt;2018,Activities[[#This Row],[Value]],Activities[[#This Row],[Value]]*(1+VLOOKUP(Activities[[#This Row],[Reference Year]],Inflation[#All],3,FALSE)))</f>
        <v>130035.56156250001</v>
      </c>
    </row>
    <row r="1443" spans="1:15" ht="15" customHeight="1" x14ac:dyDescent="0.25">
      <c r="A1443" s="9" t="s">
        <v>301</v>
      </c>
      <c r="B1443" s="9" t="str">
        <f>INDEX(Places[Type],MATCH(Activities[[#This Row],[Jurisdiction]],Places[Jurisdiction],0))</f>
        <v>Other</v>
      </c>
      <c r="C1443" s="19" t="str">
        <f>INDEX(Places[County],MATCH(Activities[[#This Row],[Jurisdiction]],Places[Jurisdiction],0))</f>
        <v>San Diego</v>
      </c>
      <c r="D1443" s="9" t="str">
        <f>INDEX(Places[Majority RB],MATCH(Activities[[#This Row],[Jurisdiction]],Places[Jurisdiction],0))</f>
        <v>San Diego</v>
      </c>
      <c r="E1443" s="9">
        <f>INDEX(Places[Majority RB '#],MATCH(Activities[[#This Row],[Jurisdiction]],Places[Jurisdiction],0))</f>
        <v>9</v>
      </c>
      <c r="F1443" s="28" t="str">
        <f>VLOOKUP(Activities[[#This Row],[Jurisdiction]],Places[#All],8,FALSE)</f>
        <v>Phase I MS4</v>
      </c>
      <c r="G1443" s="48" t="s">
        <v>1246</v>
      </c>
      <c r="H1443" s="8"/>
      <c r="I1443" s="8"/>
      <c r="J1443" s="8" t="s">
        <v>131</v>
      </c>
      <c r="K1443" s="27" t="s">
        <v>1869</v>
      </c>
      <c r="L1443" s="28">
        <f>_xlfn.NUMBERVALUE(LEFT(Activities[[#This Row],[Fiscal Year]], 4))</f>
        <v>2016</v>
      </c>
      <c r="M1443" s="28" t="s">
        <v>1862</v>
      </c>
      <c r="N1443" s="41">
        <v>21555</v>
      </c>
      <c r="O1443" s="93">
        <f>IF(Activities[[#This Row],[Reference Year]]&gt;2018,Activities[[#This Row],[Value]],Activities[[#This Row],[Value]]*(1+VLOOKUP(Activities[[#This Row],[Reference Year]],Inflation[#All],3,FALSE)))</f>
        <v>22599.609187500002</v>
      </c>
    </row>
    <row r="1444" spans="1:15" ht="15" customHeight="1" x14ac:dyDescent="0.25">
      <c r="A1444" s="9" t="s">
        <v>301</v>
      </c>
      <c r="B1444" s="9" t="str">
        <f>INDEX(Places[Type],MATCH(Activities[[#This Row],[Jurisdiction]],Places[Jurisdiction],0))</f>
        <v>Other</v>
      </c>
      <c r="C1444" s="19" t="str">
        <f>INDEX(Places[County],MATCH(Activities[[#This Row],[Jurisdiction]],Places[Jurisdiction],0))</f>
        <v>San Diego</v>
      </c>
      <c r="D1444" s="9" t="str">
        <f>INDEX(Places[Majority RB],MATCH(Activities[[#This Row],[Jurisdiction]],Places[Jurisdiction],0))</f>
        <v>San Diego</v>
      </c>
      <c r="E1444" s="9">
        <f>INDEX(Places[Majority RB '#],MATCH(Activities[[#This Row],[Jurisdiction]],Places[Jurisdiction],0))</f>
        <v>9</v>
      </c>
      <c r="F1444" s="28" t="str">
        <f>VLOOKUP(Activities[[#This Row],[Jurisdiction]],Places[#All],8,FALSE)</f>
        <v>Phase I MS4</v>
      </c>
      <c r="G1444" s="48" t="s">
        <v>1244</v>
      </c>
      <c r="H1444" s="8"/>
      <c r="I1444" s="8"/>
      <c r="J1444" s="8" t="s">
        <v>334</v>
      </c>
      <c r="K1444" s="27" t="s">
        <v>1869</v>
      </c>
      <c r="L1444" s="28">
        <f>_xlfn.NUMBERVALUE(LEFT(Activities[[#This Row],[Fiscal Year]], 4))</f>
        <v>2016</v>
      </c>
      <c r="M1444" s="28" t="s">
        <v>1862</v>
      </c>
      <c r="N1444" s="41">
        <v>628735</v>
      </c>
      <c r="O1444" s="93">
        <f>IF(Activities[[#This Row],[Reference Year]]&gt;2018,Activities[[#This Row],[Value]],Activities[[#This Row],[Value]]*(1+VLOOKUP(Activities[[#This Row],[Reference Year]],Inflation[#All],3,FALSE)))</f>
        <v>659205.06993750005</v>
      </c>
    </row>
    <row r="1445" spans="1:15" ht="15" customHeight="1" x14ac:dyDescent="0.25">
      <c r="A1445" s="9" t="s">
        <v>301</v>
      </c>
      <c r="B1445" s="9" t="str">
        <f>INDEX(Places[Type],MATCH(Activities[[#This Row],[Jurisdiction]],Places[Jurisdiction],0))</f>
        <v>Other</v>
      </c>
      <c r="C1445" s="19" t="str">
        <f>INDEX(Places[County],MATCH(Activities[[#This Row],[Jurisdiction]],Places[Jurisdiction],0))</f>
        <v>San Diego</v>
      </c>
      <c r="D1445" s="9" t="str">
        <f>INDEX(Places[Majority RB],MATCH(Activities[[#This Row],[Jurisdiction]],Places[Jurisdiction],0))</f>
        <v>San Diego</v>
      </c>
      <c r="E1445" s="9">
        <f>INDEX(Places[Majority RB '#],MATCH(Activities[[#This Row],[Jurisdiction]],Places[Jurisdiction],0))</f>
        <v>9</v>
      </c>
      <c r="F1445" s="28" t="str">
        <f>VLOOKUP(Activities[[#This Row],[Jurisdiction]],Places[#All],8,FALSE)</f>
        <v>Phase I MS4</v>
      </c>
      <c r="G1445" s="48" t="s">
        <v>1250</v>
      </c>
      <c r="H1445" s="8" t="s">
        <v>665</v>
      </c>
      <c r="I1445" s="94" t="s">
        <v>664</v>
      </c>
      <c r="J1445" s="8" t="s">
        <v>1897</v>
      </c>
      <c r="K1445" s="27" t="s">
        <v>1869</v>
      </c>
      <c r="L1445" s="28">
        <f>_xlfn.NUMBERVALUE(LEFT(Activities[[#This Row],[Fiscal Year]], 4))</f>
        <v>2016</v>
      </c>
      <c r="M1445" s="28" t="s">
        <v>1862</v>
      </c>
      <c r="N1445" s="41">
        <v>28270</v>
      </c>
      <c r="O1445" s="93">
        <f>IF(Activities[[#This Row],[Reference Year]]&gt;2018,Activities[[#This Row],[Value]],Activities[[#This Row],[Value]]*(1+VLOOKUP(Activities[[#This Row],[Reference Year]],Inflation[#All],3,FALSE)))</f>
        <v>29640.034875000001</v>
      </c>
    </row>
    <row r="1446" spans="1:15" ht="15" customHeight="1" x14ac:dyDescent="0.25">
      <c r="A1446" s="9" t="s">
        <v>301</v>
      </c>
      <c r="B1446" s="9" t="str">
        <f>INDEX(Places[Type],MATCH(Activities[[#This Row],[Jurisdiction]],Places[Jurisdiction],0))</f>
        <v>Other</v>
      </c>
      <c r="C1446" s="19" t="str">
        <f>INDEX(Places[County],MATCH(Activities[[#This Row],[Jurisdiction]],Places[Jurisdiction],0))</f>
        <v>San Diego</v>
      </c>
      <c r="D1446" s="9" t="str">
        <f>INDEX(Places[Majority RB],MATCH(Activities[[#This Row],[Jurisdiction]],Places[Jurisdiction],0))</f>
        <v>San Diego</v>
      </c>
      <c r="E1446" s="9">
        <f>INDEX(Places[Majority RB '#],MATCH(Activities[[#This Row],[Jurisdiction]],Places[Jurisdiction],0))</f>
        <v>9</v>
      </c>
      <c r="F1446" s="28" t="str">
        <f>VLOOKUP(Activities[[#This Row],[Jurisdiction]],Places[#All],8,FALSE)</f>
        <v>Phase I MS4</v>
      </c>
      <c r="G1446" s="48" t="s">
        <v>1243</v>
      </c>
      <c r="H1446" s="8"/>
      <c r="I1446" s="8"/>
      <c r="J1446" s="8" t="s">
        <v>1897</v>
      </c>
      <c r="K1446" s="27" t="s">
        <v>1869</v>
      </c>
      <c r="L1446" s="28">
        <f>_xlfn.NUMBERVALUE(LEFT(Activities[[#This Row],[Fiscal Year]], 4))</f>
        <v>2016</v>
      </c>
      <c r="M1446" s="28" t="s">
        <v>1862</v>
      </c>
      <c r="N1446" s="41">
        <v>1489345</v>
      </c>
      <c r="O1446" s="93">
        <f>IF(Activities[[#This Row],[Reference Year]]&gt;2018,Activities[[#This Row],[Value]],Activities[[#This Row],[Value]]*(1+VLOOKUP(Activities[[#This Row],[Reference Year]],Inflation[#All],3,FALSE)))</f>
        <v>1561522.3820625001</v>
      </c>
    </row>
    <row r="1447" spans="1:15" ht="15" customHeight="1" x14ac:dyDescent="0.25">
      <c r="A1447" s="9" t="s">
        <v>301</v>
      </c>
      <c r="B1447" s="9" t="str">
        <f>INDEX(Places[Type],MATCH(Activities[[#This Row],[Jurisdiction]],Places[Jurisdiction],0))</f>
        <v>Other</v>
      </c>
      <c r="C1447" s="19" t="str">
        <f>INDEX(Places[County],MATCH(Activities[[#This Row],[Jurisdiction]],Places[Jurisdiction],0))</f>
        <v>San Diego</v>
      </c>
      <c r="D1447" s="9" t="str">
        <f>INDEX(Places[Majority RB],MATCH(Activities[[#This Row],[Jurisdiction]],Places[Jurisdiction],0))</f>
        <v>San Diego</v>
      </c>
      <c r="E1447" s="9">
        <f>INDEX(Places[Majority RB '#],MATCH(Activities[[#This Row],[Jurisdiction]],Places[Jurisdiction],0))</f>
        <v>9</v>
      </c>
      <c r="F1447" s="28" t="str">
        <f>VLOOKUP(Activities[[#This Row],[Jurisdiction]],Places[#All],8,FALSE)</f>
        <v>Phase I MS4</v>
      </c>
      <c r="G1447" s="48" t="s">
        <v>1252</v>
      </c>
      <c r="H1447" s="8"/>
      <c r="I1447" s="8"/>
      <c r="J1447" s="8" t="s">
        <v>1898</v>
      </c>
      <c r="K1447" s="27" t="s">
        <v>1869</v>
      </c>
      <c r="L1447" s="28">
        <f>_xlfn.NUMBERVALUE(LEFT(Activities[[#This Row],[Fiscal Year]], 4))</f>
        <v>2016</v>
      </c>
      <c r="M1447" s="28" t="s">
        <v>1862</v>
      </c>
      <c r="N1447" s="41">
        <v>29530</v>
      </c>
      <c r="O1447" s="93">
        <f>IF(Activities[[#This Row],[Reference Year]]&gt;2018,Activities[[#This Row],[Value]],Activities[[#This Row],[Value]]*(1+VLOOKUP(Activities[[#This Row],[Reference Year]],Inflation[#All],3,FALSE)))</f>
        <v>30961.097625000002</v>
      </c>
    </row>
    <row r="1448" spans="1:15" ht="15" customHeight="1" x14ac:dyDescent="0.25">
      <c r="A1448" s="9" t="s">
        <v>301</v>
      </c>
      <c r="B1448" s="9" t="str">
        <f>INDEX(Places[Type],MATCH(Activities[[#This Row],[Jurisdiction]],Places[Jurisdiction],0))</f>
        <v>Other</v>
      </c>
      <c r="C1448" s="19" t="str">
        <f>INDEX(Places[County],MATCH(Activities[[#This Row],[Jurisdiction]],Places[Jurisdiction],0))</f>
        <v>San Diego</v>
      </c>
      <c r="D1448" s="9" t="str">
        <f>INDEX(Places[Majority RB],MATCH(Activities[[#This Row],[Jurisdiction]],Places[Jurisdiction],0))</f>
        <v>San Diego</v>
      </c>
      <c r="E1448" s="9">
        <f>INDEX(Places[Majority RB '#],MATCH(Activities[[#This Row],[Jurisdiction]],Places[Jurisdiction],0))</f>
        <v>9</v>
      </c>
      <c r="F1448" s="28" t="str">
        <f>VLOOKUP(Activities[[#This Row],[Jurisdiction]],Places[#All],8,FALSE)</f>
        <v>Phase I MS4</v>
      </c>
      <c r="G1448" s="48" t="s">
        <v>1241</v>
      </c>
      <c r="H1448" s="8"/>
      <c r="I1448" s="8"/>
      <c r="J1448" s="8" t="s">
        <v>1898</v>
      </c>
      <c r="K1448" s="27" t="s">
        <v>1869</v>
      </c>
      <c r="L1448" s="28">
        <f>_xlfn.NUMBERVALUE(LEFT(Activities[[#This Row],[Fiscal Year]], 4))</f>
        <v>2016</v>
      </c>
      <c r="M1448" s="28" t="s">
        <v>1862</v>
      </c>
      <c r="N1448" s="41">
        <v>67165</v>
      </c>
      <c r="O1448" s="93">
        <f>IF(Activities[[#This Row],[Reference Year]]&gt;2018,Activities[[#This Row],[Value]],Activities[[#This Row],[Value]]*(1+VLOOKUP(Activities[[#This Row],[Reference Year]],Inflation[#All],3,FALSE)))</f>
        <v>70419.98381250001</v>
      </c>
    </row>
    <row r="1449" spans="1:15" ht="15" customHeight="1" x14ac:dyDescent="0.25">
      <c r="A1449" s="9" t="s">
        <v>301</v>
      </c>
      <c r="B1449" s="9" t="str">
        <f>INDEX(Places[Type],MATCH(Activities[[#This Row],[Jurisdiction]],Places[Jurisdiction],0))</f>
        <v>Other</v>
      </c>
      <c r="C1449" s="19" t="str">
        <f>INDEX(Places[County],MATCH(Activities[[#This Row],[Jurisdiction]],Places[Jurisdiction],0))</f>
        <v>San Diego</v>
      </c>
      <c r="D1449" s="9" t="str">
        <f>INDEX(Places[Majority RB],MATCH(Activities[[#This Row],[Jurisdiction]],Places[Jurisdiction],0))</f>
        <v>San Diego</v>
      </c>
      <c r="E1449" s="9">
        <f>INDEX(Places[Majority RB '#],MATCH(Activities[[#This Row],[Jurisdiction]],Places[Jurisdiction],0))</f>
        <v>9</v>
      </c>
      <c r="F1449" s="28" t="str">
        <f>VLOOKUP(Activities[[#This Row],[Jurisdiction]],Places[#All],8,FALSE)</f>
        <v>Phase I MS4</v>
      </c>
      <c r="G1449" s="48" t="s">
        <v>1248</v>
      </c>
      <c r="H1449" s="8"/>
      <c r="I1449" s="8"/>
      <c r="J1449" s="8" t="s">
        <v>1456</v>
      </c>
      <c r="K1449" s="27" t="s">
        <v>1869</v>
      </c>
      <c r="L1449" s="28">
        <f>_xlfn.NUMBERVALUE(LEFT(Activities[[#This Row],[Fiscal Year]], 4))</f>
        <v>2016</v>
      </c>
      <c r="M1449" s="28" t="s">
        <v>1862</v>
      </c>
      <c r="N1449" s="41">
        <v>40480</v>
      </c>
      <c r="O1449" s="93">
        <f>IF(Activities[[#This Row],[Reference Year]]&gt;2018,Activities[[#This Row],[Value]],Activities[[#This Row],[Value]]*(1+VLOOKUP(Activities[[#This Row],[Reference Year]],Inflation[#All],3,FALSE)))</f>
        <v>42441.762000000002</v>
      </c>
    </row>
    <row r="1450" spans="1:15" ht="15" customHeight="1" x14ac:dyDescent="0.25">
      <c r="A1450" s="9" t="s">
        <v>301</v>
      </c>
      <c r="B1450" s="9" t="str">
        <f>INDEX(Places[Type],MATCH(Activities[[#This Row],[Jurisdiction]],Places[Jurisdiction],0))</f>
        <v>Other</v>
      </c>
      <c r="C1450" s="19" t="str">
        <f>INDEX(Places[County],MATCH(Activities[[#This Row],[Jurisdiction]],Places[Jurisdiction],0))</f>
        <v>San Diego</v>
      </c>
      <c r="D1450" s="9" t="str">
        <f>INDEX(Places[Majority RB],MATCH(Activities[[#This Row],[Jurisdiction]],Places[Jurisdiction],0))</f>
        <v>San Diego</v>
      </c>
      <c r="E1450" s="9">
        <f>INDEX(Places[Majority RB '#],MATCH(Activities[[#This Row],[Jurisdiction]],Places[Jurisdiction],0))</f>
        <v>9</v>
      </c>
      <c r="F1450" s="28" t="str">
        <f>VLOOKUP(Activities[[#This Row],[Jurisdiction]],Places[#All],8,FALSE)</f>
        <v>Phase I MS4</v>
      </c>
      <c r="G1450" s="48" t="s">
        <v>1251</v>
      </c>
      <c r="H1450" s="8" t="s">
        <v>584</v>
      </c>
      <c r="I1450" s="8"/>
      <c r="J1450" s="8" t="s">
        <v>1894</v>
      </c>
      <c r="K1450" s="27" t="s">
        <v>1869</v>
      </c>
      <c r="L1450" s="28">
        <f>_xlfn.NUMBERVALUE(LEFT(Activities[[#This Row],[Fiscal Year]], 4))</f>
        <v>2016</v>
      </c>
      <c r="M1450" s="28" t="s">
        <v>1862</v>
      </c>
      <c r="N1450" s="41">
        <v>2335</v>
      </c>
      <c r="O1450" s="93">
        <f>IF(Activities[[#This Row],[Reference Year]]&gt;2018,Activities[[#This Row],[Value]],Activities[[#This Row],[Value]]*(1+VLOOKUP(Activities[[#This Row],[Reference Year]],Inflation[#All],3,FALSE)))</f>
        <v>2448.1599375000001</v>
      </c>
    </row>
    <row r="1451" spans="1:15" ht="15" customHeight="1" x14ac:dyDescent="0.25">
      <c r="A1451" s="9" t="s">
        <v>301</v>
      </c>
      <c r="B1451" s="9" t="str">
        <f>INDEX(Places[Type],MATCH(Activities[[#This Row],[Jurisdiction]],Places[Jurisdiction],0))</f>
        <v>Other</v>
      </c>
      <c r="C1451" s="19" t="str">
        <f>INDEX(Places[County],MATCH(Activities[[#This Row],[Jurisdiction]],Places[Jurisdiction],0))</f>
        <v>San Diego</v>
      </c>
      <c r="D1451" s="9" t="str">
        <f>INDEX(Places[Majority RB],MATCH(Activities[[#This Row],[Jurisdiction]],Places[Jurisdiction],0))</f>
        <v>San Diego</v>
      </c>
      <c r="E1451" s="9">
        <f>INDEX(Places[Majority RB '#],MATCH(Activities[[#This Row],[Jurisdiction]],Places[Jurisdiction],0))</f>
        <v>9</v>
      </c>
      <c r="F1451" s="28" t="str">
        <f>VLOOKUP(Activities[[#This Row],[Jurisdiction]],Places[#All],8,FALSE)</f>
        <v>Phase I MS4</v>
      </c>
      <c r="G1451" s="48" t="s">
        <v>1240</v>
      </c>
      <c r="H1451" s="8" t="s">
        <v>583</v>
      </c>
      <c r="I1451" s="8"/>
      <c r="J1451" s="8" t="s">
        <v>1894</v>
      </c>
      <c r="K1451" s="27" t="s">
        <v>1869</v>
      </c>
      <c r="L1451" s="28">
        <f>_xlfn.NUMBERVALUE(LEFT(Activities[[#This Row],[Fiscal Year]], 4))</f>
        <v>2016</v>
      </c>
      <c r="M1451" s="28" t="s">
        <v>1862</v>
      </c>
      <c r="N1451" s="41">
        <v>37960</v>
      </c>
      <c r="O1451" s="93">
        <f>IF(Activities[[#This Row],[Reference Year]]&gt;2018,Activities[[#This Row],[Value]],Activities[[#This Row],[Value]]*(1+VLOOKUP(Activities[[#This Row],[Reference Year]],Inflation[#All],3,FALSE)))</f>
        <v>39799.636500000001</v>
      </c>
    </row>
    <row r="1452" spans="1:15" ht="15" customHeight="1" x14ac:dyDescent="0.25">
      <c r="A1452" s="9" t="s">
        <v>301</v>
      </c>
      <c r="B1452" s="9" t="str">
        <f>INDEX(Places[Type],MATCH(Activities[[#This Row],[Jurisdiction]],Places[Jurisdiction],0))</f>
        <v>Other</v>
      </c>
      <c r="C1452" s="19" t="str">
        <f>INDEX(Places[County],MATCH(Activities[[#This Row],[Jurisdiction]],Places[Jurisdiction],0))</f>
        <v>San Diego</v>
      </c>
      <c r="D1452" s="9" t="str">
        <f>INDEX(Places[Majority RB],MATCH(Activities[[#This Row],[Jurisdiction]],Places[Jurisdiction],0))</f>
        <v>San Diego</v>
      </c>
      <c r="E1452" s="9">
        <f>INDEX(Places[Majority RB '#],MATCH(Activities[[#This Row],[Jurisdiction]],Places[Jurisdiction],0))</f>
        <v>9</v>
      </c>
      <c r="F1452" s="28" t="str">
        <f>VLOOKUP(Activities[[#This Row],[Jurisdiction]],Places[#All],8,FALSE)</f>
        <v>Phase I MS4</v>
      </c>
      <c r="G1452" s="48" t="s">
        <v>1256</v>
      </c>
      <c r="H1452" s="8"/>
      <c r="I1452" s="8"/>
      <c r="J1452" s="8" t="s">
        <v>1896</v>
      </c>
      <c r="K1452" s="27" t="s">
        <v>1869</v>
      </c>
      <c r="L1452" s="28">
        <f>_xlfn.NUMBERVALUE(LEFT(Activities[[#This Row],[Fiscal Year]], 4))</f>
        <v>2016</v>
      </c>
      <c r="M1452" s="28" t="s">
        <v>1862</v>
      </c>
      <c r="N1452" s="41">
        <v>1730</v>
      </c>
      <c r="O1452" s="93">
        <f>IF(Activities[[#This Row],[Reference Year]]&gt;2018,Activities[[#This Row],[Value]],Activities[[#This Row],[Value]]*(1+VLOOKUP(Activities[[#This Row],[Reference Year]],Inflation[#All],3,FALSE)))</f>
        <v>1813.8401250000002</v>
      </c>
    </row>
    <row r="1453" spans="1:15" ht="15" customHeight="1" x14ac:dyDescent="0.25">
      <c r="A1453" s="9" t="s">
        <v>301</v>
      </c>
      <c r="B1453" s="9" t="str">
        <f>INDEX(Places[Type],MATCH(Activities[[#This Row],[Jurisdiction]],Places[Jurisdiction],0))</f>
        <v>Other</v>
      </c>
      <c r="C1453" s="19" t="str">
        <f>INDEX(Places[County],MATCH(Activities[[#This Row],[Jurisdiction]],Places[Jurisdiction],0))</f>
        <v>San Diego</v>
      </c>
      <c r="D1453" s="9" t="str">
        <f>INDEX(Places[Majority RB],MATCH(Activities[[#This Row],[Jurisdiction]],Places[Jurisdiction],0))</f>
        <v>San Diego</v>
      </c>
      <c r="E1453" s="9">
        <f>INDEX(Places[Majority RB '#],MATCH(Activities[[#This Row],[Jurisdiction]],Places[Jurisdiction],0))</f>
        <v>9</v>
      </c>
      <c r="F1453" s="28" t="str">
        <f>VLOOKUP(Activities[[#This Row],[Jurisdiction]],Places[#All],8,FALSE)</f>
        <v>Phase I MS4</v>
      </c>
      <c r="G1453" s="48" t="s">
        <v>1253</v>
      </c>
      <c r="H1453" s="8"/>
      <c r="I1453" s="8"/>
      <c r="J1453" s="8" t="s">
        <v>1896</v>
      </c>
      <c r="K1453" s="27" t="s">
        <v>1869</v>
      </c>
      <c r="L1453" s="28">
        <f>_xlfn.NUMBERVALUE(LEFT(Activities[[#This Row],[Fiscal Year]], 4))</f>
        <v>2016</v>
      </c>
      <c r="M1453" s="28" t="s">
        <v>1862</v>
      </c>
      <c r="N1453" s="41">
        <v>4465</v>
      </c>
      <c r="O1453" s="93">
        <f>IF(Activities[[#This Row],[Reference Year]]&gt;2018,Activities[[#This Row],[Value]],Activities[[#This Row],[Value]]*(1+VLOOKUP(Activities[[#This Row],[Reference Year]],Inflation[#All],3,FALSE)))</f>
        <v>4681.3850625000005</v>
      </c>
    </row>
    <row r="1454" spans="1:15" ht="15" customHeight="1" x14ac:dyDescent="0.25">
      <c r="A1454" s="9" t="s">
        <v>301</v>
      </c>
      <c r="B1454" s="9" t="str">
        <f>INDEX(Places[Type],MATCH(Activities[[#This Row],[Jurisdiction]],Places[Jurisdiction],0))</f>
        <v>Other</v>
      </c>
      <c r="C1454" s="19" t="str">
        <f>INDEX(Places[County],MATCH(Activities[[#This Row],[Jurisdiction]],Places[Jurisdiction],0))</f>
        <v>San Diego</v>
      </c>
      <c r="D1454" s="9" t="str">
        <f>INDEX(Places[Majority RB],MATCH(Activities[[#This Row],[Jurisdiction]],Places[Jurisdiction],0))</f>
        <v>San Diego</v>
      </c>
      <c r="E1454" s="9">
        <f>INDEX(Places[Majority RB '#],MATCH(Activities[[#This Row],[Jurisdiction]],Places[Jurisdiction],0))</f>
        <v>9</v>
      </c>
      <c r="F1454" s="28" t="str">
        <f>VLOOKUP(Activities[[#This Row],[Jurisdiction]],Places[#All],8,FALSE)</f>
        <v>Phase I MS4</v>
      </c>
      <c r="G1454" s="48" t="s">
        <v>1247</v>
      </c>
      <c r="H1454" s="8" t="s">
        <v>638</v>
      </c>
      <c r="I1454" s="47" t="s">
        <v>637</v>
      </c>
      <c r="J1454" s="8" t="s">
        <v>1896</v>
      </c>
      <c r="K1454" s="27" t="s">
        <v>1869</v>
      </c>
      <c r="L1454" s="28">
        <f>_xlfn.NUMBERVALUE(LEFT(Activities[[#This Row],[Fiscal Year]], 4))</f>
        <v>2016</v>
      </c>
      <c r="M1454" s="28" t="s">
        <v>1862</v>
      </c>
      <c r="N1454" s="41">
        <v>38580</v>
      </c>
      <c r="O1454" s="93">
        <f>IF(Activities[[#This Row],[Reference Year]]&gt;2018,Activities[[#This Row],[Value]],Activities[[#This Row],[Value]]*(1+VLOOKUP(Activities[[#This Row],[Reference Year]],Inflation[#All],3,FALSE)))</f>
        <v>40449.683250000002</v>
      </c>
    </row>
    <row r="1455" spans="1:15" ht="15" customHeight="1" x14ac:dyDescent="0.25">
      <c r="A1455" s="9" t="s">
        <v>301</v>
      </c>
      <c r="B1455" s="9" t="str">
        <f>INDEX(Places[Type],MATCH(Activities[[#This Row],[Jurisdiction]],Places[Jurisdiction],0))</f>
        <v>Other</v>
      </c>
      <c r="C1455" s="19" t="str">
        <f>INDEX(Places[County],MATCH(Activities[[#This Row],[Jurisdiction]],Places[Jurisdiction],0))</f>
        <v>San Diego</v>
      </c>
      <c r="D1455" s="9" t="str">
        <f>INDEX(Places[Majority RB],MATCH(Activities[[#This Row],[Jurisdiction]],Places[Jurisdiction],0))</f>
        <v>San Diego</v>
      </c>
      <c r="E1455" s="9">
        <f>INDEX(Places[Majority RB '#],MATCH(Activities[[#This Row],[Jurisdiction]],Places[Jurisdiction],0))</f>
        <v>9</v>
      </c>
      <c r="F1455" s="28" t="str">
        <f>VLOOKUP(Activities[[#This Row],[Jurisdiction]],Places[#All],8,FALSE)</f>
        <v>Phase I MS4</v>
      </c>
      <c r="G1455" s="48" t="s">
        <v>1249</v>
      </c>
      <c r="H1455" s="8"/>
      <c r="I1455" s="8"/>
      <c r="J1455" s="8" t="s">
        <v>1896</v>
      </c>
      <c r="K1455" s="27" t="s">
        <v>1869</v>
      </c>
      <c r="L1455" s="28">
        <f>_xlfn.NUMBERVALUE(LEFT(Activities[[#This Row],[Fiscal Year]], 4))</f>
        <v>2016</v>
      </c>
      <c r="M1455" s="28" t="s">
        <v>1862</v>
      </c>
      <c r="N1455" s="41">
        <v>114620</v>
      </c>
      <c r="O1455" s="93">
        <f>IF(Activities[[#This Row],[Reference Year]]&gt;2018,Activities[[#This Row],[Value]],Activities[[#This Row],[Value]]*(1+VLOOKUP(Activities[[#This Row],[Reference Year]],Inflation[#All],3,FALSE)))</f>
        <v>120174.77175000001</v>
      </c>
    </row>
    <row r="1456" spans="1:15" ht="15" customHeight="1" x14ac:dyDescent="0.25">
      <c r="A1456" s="106" t="s">
        <v>301</v>
      </c>
      <c r="B1456" s="106" t="str">
        <f>INDEX(Places[Type],MATCH(Activities[[#This Row],[Jurisdiction]],Places[Jurisdiction],0))</f>
        <v>Other</v>
      </c>
      <c r="C1456" s="107" t="str">
        <f>INDEX(Places[County],MATCH(Activities[[#This Row],[Jurisdiction]],Places[Jurisdiction],0))</f>
        <v>San Diego</v>
      </c>
      <c r="D1456" s="106" t="str">
        <f>INDEX(Places[Majority RB],MATCH(Activities[[#This Row],[Jurisdiction]],Places[Jurisdiction],0))</f>
        <v>San Diego</v>
      </c>
      <c r="E1456" s="106">
        <f>INDEX(Places[Majority RB '#],MATCH(Activities[[#This Row],[Jurisdiction]],Places[Jurisdiction],0))</f>
        <v>9</v>
      </c>
      <c r="F1456" s="108" t="str">
        <f>VLOOKUP(Activities[[#This Row],[Jurisdiction]],Places[#All],8,FALSE)</f>
        <v>Phase I MS4</v>
      </c>
      <c r="G1456" s="109" t="s">
        <v>1899</v>
      </c>
      <c r="H1456" s="110"/>
      <c r="I1456" s="110"/>
      <c r="J1456" s="110" t="s">
        <v>605</v>
      </c>
      <c r="K1456" s="111" t="s">
        <v>1869</v>
      </c>
      <c r="L1456" s="108">
        <f>_xlfn.NUMBERVALUE(LEFT(Activities[[#This Row],[Fiscal Year]], 4))</f>
        <v>2016</v>
      </c>
      <c r="M1456" s="108" t="s">
        <v>1862</v>
      </c>
      <c r="N1456" s="112">
        <v>1795</v>
      </c>
      <c r="O1456" s="113">
        <f>IF(Activities[[#This Row],[Reference Year]]&gt;2018,Activities[[#This Row],[Value]],Activities[[#This Row],[Value]]*(1+VLOOKUP(Activities[[#This Row],[Reference Year]],Inflation[#All],3,FALSE)))</f>
        <v>1881.9901875</v>
      </c>
    </row>
    <row r="1457" spans="1:15" ht="15" customHeight="1" x14ac:dyDescent="0.25">
      <c r="A1457" s="9" t="s">
        <v>300</v>
      </c>
      <c r="B1457" s="9" t="str">
        <f>INDEX(Places[Type],MATCH(Activities[[#This Row],[Jurisdiction]],Places[Jurisdiction],0))</f>
        <v>Other</v>
      </c>
      <c r="C1457" s="19" t="str">
        <f>INDEX(Places[County],MATCH(Activities[[#This Row],[Jurisdiction]],Places[Jurisdiction],0))</f>
        <v>San Diego</v>
      </c>
      <c r="D1457" s="9" t="str">
        <f>INDEX(Places[Majority RB],MATCH(Activities[[#This Row],[Jurisdiction]],Places[Jurisdiction],0))</f>
        <v>San Diego</v>
      </c>
      <c r="E1457" s="9">
        <f>INDEX(Places[Majority RB '#],MATCH(Activities[[#This Row],[Jurisdiction]],Places[Jurisdiction],0))</f>
        <v>9</v>
      </c>
      <c r="F1457" s="28" t="str">
        <f>VLOOKUP(Activities[[#This Row],[Jurisdiction]],Places[#All],8,FALSE)</f>
        <v>Phase I MS4</v>
      </c>
      <c r="G1457" s="48" t="s">
        <v>1410</v>
      </c>
      <c r="H1457" s="8"/>
      <c r="I1457" s="8"/>
      <c r="J1457" s="8" t="s">
        <v>76</v>
      </c>
      <c r="K1457" s="27" t="s">
        <v>1874</v>
      </c>
      <c r="L1457" s="28">
        <f>_xlfn.NUMBERVALUE(LEFT(Activities[[#This Row],[Fiscal Year]], 4))</f>
        <v>2017</v>
      </c>
      <c r="M1457" s="28" t="s">
        <v>1862</v>
      </c>
      <c r="N1457" s="41">
        <v>66402</v>
      </c>
      <c r="O1457" s="93">
        <f>IF(Activities[[#This Row],[Reference Year]]&gt;2018,Activities[[#This Row],[Value]],Activities[[#This Row],[Value]]*(1+VLOOKUP(Activities[[#This Row],[Reference Year]],Inflation[#All],3,FALSE)))</f>
        <v>68171.365410036728</v>
      </c>
    </row>
    <row r="1458" spans="1:15" ht="15" customHeight="1" x14ac:dyDescent="0.25">
      <c r="A1458" s="9" t="s">
        <v>300</v>
      </c>
      <c r="B1458" s="9" t="str">
        <f>INDEX(Places[Type],MATCH(Activities[[#This Row],[Jurisdiction]],Places[Jurisdiction],0))</f>
        <v>Other</v>
      </c>
      <c r="C1458" s="19" t="str">
        <f>INDEX(Places[County],MATCH(Activities[[#This Row],[Jurisdiction]],Places[Jurisdiction],0))</f>
        <v>San Diego</v>
      </c>
      <c r="D1458" s="9" t="str">
        <f>INDEX(Places[Majority RB],MATCH(Activities[[#This Row],[Jurisdiction]],Places[Jurisdiction],0))</f>
        <v>San Diego</v>
      </c>
      <c r="E1458" s="9">
        <f>INDEX(Places[Majority RB '#],MATCH(Activities[[#This Row],[Jurisdiction]],Places[Jurisdiction],0))</f>
        <v>9</v>
      </c>
      <c r="F1458" s="28" t="str">
        <f>VLOOKUP(Activities[[#This Row],[Jurisdiction]],Places[#All],8,FALSE)</f>
        <v>Phase I MS4</v>
      </c>
      <c r="G1458" s="48" t="s">
        <v>1413</v>
      </c>
      <c r="H1458" s="8"/>
      <c r="I1458" s="8"/>
      <c r="J1458" s="8" t="s">
        <v>334</v>
      </c>
      <c r="K1458" s="27" t="s">
        <v>1874</v>
      </c>
      <c r="L1458" s="28">
        <f>_xlfn.NUMBERVALUE(LEFT(Activities[[#This Row],[Fiscal Year]], 4))</f>
        <v>2017</v>
      </c>
      <c r="M1458" s="28" t="s">
        <v>1862</v>
      </c>
      <c r="N1458" s="41">
        <v>4051</v>
      </c>
      <c r="O1458" s="93">
        <f>IF(Activities[[#This Row],[Reference Year]]&gt;2018,Activities[[#This Row],[Value]],Activities[[#This Row],[Value]]*(1+VLOOKUP(Activities[[#This Row],[Reference Year]],Inflation[#All],3,FALSE)))</f>
        <v>4158.9440269277848</v>
      </c>
    </row>
    <row r="1459" spans="1:15" ht="15" customHeight="1" x14ac:dyDescent="0.25">
      <c r="A1459" s="9" t="s">
        <v>300</v>
      </c>
      <c r="B1459" s="9" t="str">
        <f>INDEX(Places[Type],MATCH(Activities[[#This Row],[Jurisdiction]],Places[Jurisdiction],0))</f>
        <v>Other</v>
      </c>
      <c r="C1459" s="19" t="str">
        <f>INDEX(Places[County],MATCH(Activities[[#This Row],[Jurisdiction]],Places[Jurisdiction],0))</f>
        <v>San Diego</v>
      </c>
      <c r="D1459" s="9" t="str">
        <f>INDEX(Places[Majority RB],MATCH(Activities[[#This Row],[Jurisdiction]],Places[Jurisdiction],0))</f>
        <v>San Diego</v>
      </c>
      <c r="E1459" s="9">
        <f>INDEX(Places[Majority RB '#],MATCH(Activities[[#This Row],[Jurisdiction]],Places[Jurisdiction],0))</f>
        <v>9</v>
      </c>
      <c r="F1459" s="28" t="str">
        <f>VLOOKUP(Activities[[#This Row],[Jurisdiction]],Places[#All],8,FALSE)</f>
        <v>Phase I MS4</v>
      </c>
      <c r="G1459" s="48" t="s">
        <v>1382</v>
      </c>
      <c r="H1459" s="96"/>
      <c r="I1459" s="8"/>
      <c r="J1459" s="8" t="s">
        <v>334</v>
      </c>
      <c r="K1459" s="27" t="s">
        <v>1874</v>
      </c>
      <c r="L1459" s="28">
        <f>_xlfn.NUMBERVALUE(LEFT(Activities[[#This Row],[Fiscal Year]], 4))</f>
        <v>2017</v>
      </c>
      <c r="M1459" s="28" t="s">
        <v>1862</v>
      </c>
      <c r="N1459" s="41">
        <v>12676</v>
      </c>
      <c r="O1459" s="93">
        <f>IF(Activities[[#This Row],[Reference Year]]&gt;2018,Activities[[#This Row],[Value]],Activities[[#This Row],[Value]]*(1+VLOOKUP(Activities[[#This Row],[Reference Year]],Inflation[#All],3,FALSE)))</f>
        <v>13013.768078335375</v>
      </c>
    </row>
    <row r="1460" spans="1:15" ht="15" customHeight="1" x14ac:dyDescent="0.25">
      <c r="A1460" s="9" t="s">
        <v>300</v>
      </c>
      <c r="B1460" s="9" t="str">
        <f>INDEX(Places[Type],MATCH(Activities[[#This Row],[Jurisdiction]],Places[Jurisdiction],0))</f>
        <v>Other</v>
      </c>
      <c r="C1460" s="19" t="str">
        <f>INDEX(Places[County],MATCH(Activities[[#This Row],[Jurisdiction]],Places[Jurisdiction],0))</f>
        <v>San Diego</v>
      </c>
      <c r="D1460" s="9" t="str">
        <f>INDEX(Places[Majority RB],MATCH(Activities[[#This Row],[Jurisdiction]],Places[Jurisdiction],0))</f>
        <v>San Diego</v>
      </c>
      <c r="E1460" s="9">
        <f>INDEX(Places[Majority RB '#],MATCH(Activities[[#This Row],[Jurisdiction]],Places[Jurisdiction],0))</f>
        <v>9</v>
      </c>
      <c r="F1460" s="28" t="str">
        <f>VLOOKUP(Activities[[#This Row],[Jurisdiction]],Places[#All],8,FALSE)</f>
        <v>Phase I MS4</v>
      </c>
      <c r="G1460" s="48" t="s">
        <v>1383</v>
      </c>
      <c r="H1460" s="96"/>
      <c r="I1460" s="8"/>
      <c r="J1460" s="8" t="s">
        <v>334</v>
      </c>
      <c r="K1460" s="27" t="s">
        <v>1874</v>
      </c>
      <c r="L1460" s="28">
        <f>_xlfn.NUMBERVALUE(LEFT(Activities[[#This Row],[Fiscal Year]], 4))</f>
        <v>2017</v>
      </c>
      <c r="M1460" s="28" t="s">
        <v>1862</v>
      </c>
      <c r="N1460" s="41">
        <v>24180</v>
      </c>
      <c r="O1460" s="93">
        <f>IF(Activities[[#This Row],[Reference Year]]&gt;2018,Activities[[#This Row],[Value]],Activities[[#This Row],[Value]]*(1+VLOOKUP(Activities[[#This Row],[Reference Year]],Inflation[#All],3,FALSE)))</f>
        <v>24824.306731946148</v>
      </c>
    </row>
    <row r="1461" spans="1:15" ht="15" customHeight="1" x14ac:dyDescent="0.25">
      <c r="A1461" s="9" t="s">
        <v>300</v>
      </c>
      <c r="B1461" s="9" t="str">
        <f>INDEX(Places[Type],MATCH(Activities[[#This Row],[Jurisdiction]],Places[Jurisdiction],0))</f>
        <v>Other</v>
      </c>
      <c r="C1461" s="19" t="str">
        <f>INDEX(Places[County],MATCH(Activities[[#This Row],[Jurisdiction]],Places[Jurisdiction],0))</f>
        <v>San Diego</v>
      </c>
      <c r="D1461" s="9" t="str">
        <f>INDEX(Places[Majority RB],MATCH(Activities[[#This Row],[Jurisdiction]],Places[Jurisdiction],0))</f>
        <v>San Diego</v>
      </c>
      <c r="E1461" s="9">
        <f>INDEX(Places[Majority RB '#],MATCH(Activities[[#This Row],[Jurisdiction]],Places[Jurisdiction],0))</f>
        <v>9</v>
      </c>
      <c r="F1461" s="28" t="str">
        <f>VLOOKUP(Activities[[#This Row],[Jurisdiction]],Places[#All],8,FALSE)</f>
        <v>Phase I MS4</v>
      </c>
      <c r="G1461" s="48" t="s">
        <v>1381</v>
      </c>
      <c r="H1461" s="96" t="s">
        <v>587</v>
      </c>
      <c r="I1461" s="8"/>
      <c r="J1461" s="8" t="s">
        <v>334</v>
      </c>
      <c r="K1461" s="27" t="s">
        <v>1874</v>
      </c>
      <c r="L1461" s="28">
        <f>_xlfn.NUMBERVALUE(LEFT(Activities[[#This Row],[Fiscal Year]], 4))</f>
        <v>2017</v>
      </c>
      <c r="M1461" s="28" t="s">
        <v>1862</v>
      </c>
      <c r="N1461" s="41">
        <v>36448</v>
      </c>
      <c r="O1461" s="93">
        <f>IF(Activities[[#This Row],[Reference Year]]&gt;2018,Activities[[#This Row],[Value]],Activities[[#This Row],[Value]]*(1+VLOOKUP(Activities[[#This Row],[Reference Year]],Inflation[#All],3,FALSE)))</f>
        <v>37419.203133414936</v>
      </c>
    </row>
    <row r="1462" spans="1:15" ht="15" customHeight="1" x14ac:dyDescent="0.25">
      <c r="A1462" s="9" t="s">
        <v>300</v>
      </c>
      <c r="B1462" s="9" t="str">
        <f>INDEX(Places[Type],MATCH(Activities[[#This Row],[Jurisdiction]],Places[Jurisdiction],0))</f>
        <v>Other</v>
      </c>
      <c r="C1462" s="19" t="str">
        <f>INDEX(Places[County],MATCH(Activities[[#This Row],[Jurisdiction]],Places[Jurisdiction],0))</f>
        <v>San Diego</v>
      </c>
      <c r="D1462" s="9" t="str">
        <f>INDEX(Places[Majority RB],MATCH(Activities[[#This Row],[Jurisdiction]],Places[Jurisdiction],0))</f>
        <v>San Diego</v>
      </c>
      <c r="E1462" s="9">
        <f>INDEX(Places[Majority RB '#],MATCH(Activities[[#This Row],[Jurisdiction]],Places[Jurisdiction],0))</f>
        <v>9</v>
      </c>
      <c r="F1462" s="28" t="str">
        <f>VLOOKUP(Activities[[#This Row],[Jurisdiction]],Places[#All],8,FALSE)</f>
        <v>Phase I MS4</v>
      </c>
      <c r="G1462" s="48" t="s">
        <v>1419</v>
      </c>
      <c r="H1462" s="8"/>
      <c r="I1462" s="8"/>
      <c r="J1462" s="8" t="s">
        <v>334</v>
      </c>
      <c r="K1462" s="27" t="s">
        <v>1874</v>
      </c>
      <c r="L1462" s="28">
        <f>_xlfn.NUMBERVALUE(LEFT(Activities[[#This Row],[Fiscal Year]], 4))</f>
        <v>2017</v>
      </c>
      <c r="M1462" s="28" t="s">
        <v>1862</v>
      </c>
      <c r="N1462" s="41">
        <v>70904</v>
      </c>
      <c r="O1462" s="93">
        <f>IF(Activities[[#This Row],[Reference Year]]&gt;2018,Activities[[#This Row],[Value]],Activities[[#This Row],[Value]]*(1+VLOOKUP(Activities[[#This Row],[Reference Year]],Inflation[#All],3,FALSE)))</f>
        <v>72793.326903304784</v>
      </c>
    </row>
    <row r="1463" spans="1:15" ht="15" customHeight="1" x14ac:dyDescent="0.25">
      <c r="A1463" s="9" t="s">
        <v>300</v>
      </c>
      <c r="B1463" s="9" t="str">
        <f>INDEX(Places[Type],MATCH(Activities[[#This Row],[Jurisdiction]],Places[Jurisdiction],0))</f>
        <v>Other</v>
      </c>
      <c r="C1463" s="19" t="str">
        <f>INDEX(Places[County],MATCH(Activities[[#This Row],[Jurisdiction]],Places[Jurisdiction],0))</f>
        <v>San Diego</v>
      </c>
      <c r="D1463" s="9" t="str">
        <f>INDEX(Places[Majority RB],MATCH(Activities[[#This Row],[Jurisdiction]],Places[Jurisdiction],0))</f>
        <v>San Diego</v>
      </c>
      <c r="E1463" s="9">
        <f>INDEX(Places[Majority RB '#],MATCH(Activities[[#This Row],[Jurisdiction]],Places[Jurisdiction],0))</f>
        <v>9</v>
      </c>
      <c r="F1463" s="28" t="str">
        <f>VLOOKUP(Activities[[#This Row],[Jurisdiction]],Places[#All],8,FALSE)</f>
        <v>Phase I MS4</v>
      </c>
      <c r="G1463" s="48" t="s">
        <v>1412</v>
      </c>
      <c r="H1463" s="8"/>
      <c r="I1463" s="8"/>
      <c r="J1463" s="8" t="s">
        <v>334</v>
      </c>
      <c r="K1463" s="27" t="s">
        <v>1874</v>
      </c>
      <c r="L1463" s="28">
        <f>_xlfn.NUMBERVALUE(LEFT(Activities[[#This Row],[Fiscal Year]], 4))</f>
        <v>2017</v>
      </c>
      <c r="M1463" s="28" t="s">
        <v>1862</v>
      </c>
      <c r="N1463" s="41">
        <v>75800</v>
      </c>
      <c r="O1463" s="93">
        <f>IF(Activities[[#This Row],[Reference Year]]&gt;2018,Activities[[#This Row],[Value]],Activities[[#This Row],[Value]]*(1+VLOOKUP(Activities[[#This Row],[Reference Year]],Inflation[#All],3,FALSE)))</f>
        <v>77819.787025703801</v>
      </c>
    </row>
    <row r="1464" spans="1:15" ht="15" customHeight="1" x14ac:dyDescent="0.25">
      <c r="A1464" s="9" t="s">
        <v>300</v>
      </c>
      <c r="B1464" s="9" t="str">
        <f>INDEX(Places[Type],MATCH(Activities[[#This Row],[Jurisdiction]],Places[Jurisdiction],0))</f>
        <v>Other</v>
      </c>
      <c r="C1464" s="19" t="str">
        <f>INDEX(Places[County],MATCH(Activities[[#This Row],[Jurisdiction]],Places[Jurisdiction],0))</f>
        <v>San Diego</v>
      </c>
      <c r="D1464" s="9" t="str">
        <f>INDEX(Places[Majority RB],MATCH(Activities[[#This Row],[Jurisdiction]],Places[Jurisdiction],0))</f>
        <v>San Diego</v>
      </c>
      <c r="E1464" s="9">
        <f>INDEX(Places[Majority RB '#],MATCH(Activities[[#This Row],[Jurisdiction]],Places[Jurisdiction],0))</f>
        <v>9</v>
      </c>
      <c r="F1464" s="28" t="str">
        <f>VLOOKUP(Activities[[#This Row],[Jurisdiction]],Places[#All],8,FALSE)</f>
        <v>Phase I MS4</v>
      </c>
      <c r="G1464" s="48" t="s">
        <v>1425</v>
      </c>
      <c r="H1464" s="8"/>
      <c r="I1464" s="8"/>
      <c r="J1464" s="8" t="s">
        <v>71</v>
      </c>
      <c r="K1464" s="27" t="s">
        <v>1874</v>
      </c>
      <c r="L1464" s="28">
        <f>_xlfn.NUMBERVALUE(LEFT(Activities[[#This Row],[Fiscal Year]], 4))</f>
        <v>2017</v>
      </c>
      <c r="M1464" s="28" t="s">
        <v>1862</v>
      </c>
      <c r="N1464" s="41">
        <v>104320</v>
      </c>
      <c r="O1464" s="93">
        <f>IF(Activities[[#This Row],[Reference Year]]&gt;2018,Activities[[#This Row],[Value]],Activities[[#This Row],[Value]]*(1+VLOOKUP(Activities[[#This Row],[Reference Year]],Inflation[#All],3,FALSE)))</f>
        <v>107099.73855569157</v>
      </c>
    </row>
    <row r="1465" spans="1:15" ht="15" customHeight="1" x14ac:dyDescent="0.25">
      <c r="A1465" s="9" t="s">
        <v>300</v>
      </c>
      <c r="B1465" s="9" t="str">
        <f>INDEX(Places[Type],MATCH(Activities[[#This Row],[Jurisdiction]],Places[Jurisdiction],0))</f>
        <v>Other</v>
      </c>
      <c r="C1465" s="19" t="str">
        <f>INDEX(Places[County],MATCH(Activities[[#This Row],[Jurisdiction]],Places[Jurisdiction],0))</f>
        <v>San Diego</v>
      </c>
      <c r="D1465" s="9" t="str">
        <f>INDEX(Places[Majority RB],MATCH(Activities[[#This Row],[Jurisdiction]],Places[Jurisdiction],0))</f>
        <v>San Diego</v>
      </c>
      <c r="E1465" s="9">
        <f>INDEX(Places[Majority RB '#],MATCH(Activities[[#This Row],[Jurisdiction]],Places[Jurisdiction],0))</f>
        <v>9</v>
      </c>
      <c r="F1465" s="28" t="str">
        <f>VLOOKUP(Activities[[#This Row],[Jurisdiction]],Places[#All],8,FALSE)</f>
        <v>Phase I MS4</v>
      </c>
      <c r="G1465" s="48" t="s">
        <v>1375</v>
      </c>
      <c r="H1465" s="8"/>
      <c r="I1465" s="8"/>
      <c r="J1465" s="8" t="s">
        <v>1897</v>
      </c>
      <c r="K1465" s="27" t="s">
        <v>1874</v>
      </c>
      <c r="L1465" s="28">
        <f>_xlfn.NUMBERVALUE(LEFT(Activities[[#This Row],[Fiscal Year]], 4))</f>
        <v>2017</v>
      </c>
      <c r="M1465" s="28" t="s">
        <v>1862</v>
      </c>
      <c r="N1465" s="41">
        <v>13124</v>
      </c>
      <c r="O1465" s="93">
        <f>IF(Activities[[#This Row],[Reference Year]]&gt;2018,Activities[[#This Row],[Value]],Activities[[#This Row],[Value]]*(1+VLOOKUP(Activities[[#This Row],[Reference Year]],Inflation[#All],3,FALSE)))</f>
        <v>13473.705605875155</v>
      </c>
    </row>
    <row r="1466" spans="1:15" ht="15" customHeight="1" x14ac:dyDescent="0.25">
      <c r="A1466" s="9" t="s">
        <v>300</v>
      </c>
      <c r="B1466" s="9" t="str">
        <f>INDEX(Places[Type],MATCH(Activities[[#This Row],[Jurisdiction]],Places[Jurisdiction],0))</f>
        <v>Other</v>
      </c>
      <c r="C1466" s="19" t="str">
        <f>INDEX(Places[County],MATCH(Activities[[#This Row],[Jurisdiction]],Places[Jurisdiction],0))</f>
        <v>San Diego</v>
      </c>
      <c r="D1466" s="9" t="str">
        <f>INDEX(Places[Majority RB],MATCH(Activities[[#This Row],[Jurisdiction]],Places[Jurisdiction],0))</f>
        <v>San Diego</v>
      </c>
      <c r="E1466" s="9">
        <f>INDEX(Places[Majority RB '#],MATCH(Activities[[#This Row],[Jurisdiction]],Places[Jurisdiction],0))</f>
        <v>9</v>
      </c>
      <c r="F1466" s="28" t="str">
        <f>VLOOKUP(Activities[[#This Row],[Jurisdiction]],Places[#All],8,FALSE)</f>
        <v>Phase I MS4</v>
      </c>
      <c r="G1466" s="48" t="s">
        <v>1423</v>
      </c>
      <c r="H1466" s="8"/>
      <c r="I1466" s="8"/>
      <c r="J1466" s="8" t="s">
        <v>1897</v>
      </c>
      <c r="K1466" s="27" t="s">
        <v>1874</v>
      </c>
      <c r="L1466" s="28">
        <f>_xlfn.NUMBERVALUE(LEFT(Activities[[#This Row],[Fiscal Year]], 4))</f>
        <v>2017</v>
      </c>
      <c r="M1466" s="28" t="s">
        <v>1862</v>
      </c>
      <c r="N1466" s="41">
        <v>21000</v>
      </c>
      <c r="O1466" s="93">
        <f>IF(Activities[[#This Row],[Reference Year]]&gt;2018,Activities[[#This Row],[Value]],Activities[[#This Row],[Value]]*(1+VLOOKUP(Activities[[#This Row],[Reference Year]],Inflation[#All],3,FALSE)))</f>
        <v>21559.571603427175</v>
      </c>
    </row>
    <row r="1467" spans="1:15" ht="15" customHeight="1" x14ac:dyDescent="0.25">
      <c r="A1467" s="9" t="s">
        <v>300</v>
      </c>
      <c r="B1467" s="9" t="str">
        <f>INDEX(Places[Type],MATCH(Activities[[#This Row],[Jurisdiction]],Places[Jurisdiction],0))</f>
        <v>Other</v>
      </c>
      <c r="C1467" s="19" t="str">
        <f>INDEX(Places[County],MATCH(Activities[[#This Row],[Jurisdiction]],Places[Jurisdiction],0))</f>
        <v>San Diego</v>
      </c>
      <c r="D1467" s="9" t="str">
        <f>INDEX(Places[Majority RB],MATCH(Activities[[#This Row],[Jurisdiction]],Places[Jurisdiction],0))</f>
        <v>San Diego</v>
      </c>
      <c r="E1467" s="9">
        <f>INDEX(Places[Majority RB '#],MATCH(Activities[[#This Row],[Jurisdiction]],Places[Jurisdiction],0))</f>
        <v>9</v>
      </c>
      <c r="F1467" s="28" t="str">
        <f>VLOOKUP(Activities[[#This Row],[Jurisdiction]],Places[#All],8,FALSE)</f>
        <v>Phase I MS4</v>
      </c>
      <c r="G1467" s="48" t="s">
        <v>1378</v>
      </c>
      <c r="H1467" s="8"/>
      <c r="I1467" s="8"/>
      <c r="J1467" s="8" t="s">
        <v>1897</v>
      </c>
      <c r="K1467" s="27" t="s">
        <v>1874</v>
      </c>
      <c r="L1467" s="28">
        <f>_xlfn.NUMBERVALUE(LEFT(Activities[[#This Row],[Fiscal Year]], 4))</f>
        <v>2017</v>
      </c>
      <c r="M1467" s="28" t="s">
        <v>1862</v>
      </c>
      <c r="N1467" s="41">
        <v>22172</v>
      </c>
      <c r="O1467" s="93">
        <f>IF(Activities[[#This Row],[Reference Year]]&gt;2018,Activities[[#This Row],[Value]],Activities[[#This Row],[Value]]*(1+VLOOKUP(Activities[[#This Row],[Reference Year]],Inflation[#All],3,FALSE)))</f>
        <v>22762.801028151778</v>
      </c>
    </row>
    <row r="1468" spans="1:15" ht="15" customHeight="1" x14ac:dyDescent="0.25">
      <c r="A1468" s="9" t="s">
        <v>300</v>
      </c>
      <c r="B1468" s="9" t="str">
        <f>INDEX(Places[Type],MATCH(Activities[[#This Row],[Jurisdiction]],Places[Jurisdiction],0))</f>
        <v>Other</v>
      </c>
      <c r="C1468" s="19" t="str">
        <f>INDEX(Places[County],MATCH(Activities[[#This Row],[Jurisdiction]],Places[Jurisdiction],0))</f>
        <v>San Diego</v>
      </c>
      <c r="D1468" s="9" t="str">
        <f>INDEX(Places[Majority RB],MATCH(Activities[[#This Row],[Jurisdiction]],Places[Jurisdiction],0))</f>
        <v>San Diego</v>
      </c>
      <c r="E1468" s="9">
        <f>INDEX(Places[Majority RB '#],MATCH(Activities[[#This Row],[Jurisdiction]],Places[Jurisdiction],0))</f>
        <v>9</v>
      </c>
      <c r="F1468" s="28" t="str">
        <f>VLOOKUP(Activities[[#This Row],[Jurisdiction]],Places[#All],8,FALSE)</f>
        <v>Phase I MS4</v>
      </c>
      <c r="G1468" s="48" t="s">
        <v>1374</v>
      </c>
      <c r="H1468" s="8"/>
      <c r="I1468" s="8"/>
      <c r="J1468" s="8" t="s">
        <v>1897</v>
      </c>
      <c r="K1468" s="27" t="s">
        <v>1874</v>
      </c>
      <c r="L1468" s="28">
        <f>_xlfn.NUMBERVALUE(LEFT(Activities[[#This Row],[Fiscal Year]], 4))</f>
        <v>2017</v>
      </c>
      <c r="M1468" s="28" t="s">
        <v>1862</v>
      </c>
      <c r="N1468" s="41">
        <v>58769</v>
      </c>
      <c r="O1468" s="93">
        <f>IF(Activities[[#This Row],[Reference Year]]&gt;2018,Activities[[#This Row],[Value]],Activities[[#This Row],[Value]]*(1+VLOOKUP(Activities[[#This Row],[Reference Year]],Inflation[#All],3,FALSE)))</f>
        <v>60334.974455324365</v>
      </c>
    </row>
    <row r="1469" spans="1:15" ht="15" customHeight="1" x14ac:dyDescent="0.25">
      <c r="A1469" s="9" t="s">
        <v>300</v>
      </c>
      <c r="B1469" s="9" t="str">
        <f>INDEX(Places[Type],MATCH(Activities[[#This Row],[Jurisdiction]],Places[Jurisdiction],0))</f>
        <v>Other</v>
      </c>
      <c r="C1469" s="19" t="str">
        <f>INDEX(Places[County],MATCH(Activities[[#This Row],[Jurisdiction]],Places[Jurisdiction],0))</f>
        <v>San Diego</v>
      </c>
      <c r="D1469" s="9" t="str">
        <f>INDEX(Places[Majority RB],MATCH(Activities[[#This Row],[Jurisdiction]],Places[Jurisdiction],0))</f>
        <v>San Diego</v>
      </c>
      <c r="E1469" s="9">
        <f>INDEX(Places[Majority RB '#],MATCH(Activities[[#This Row],[Jurisdiction]],Places[Jurisdiction],0))</f>
        <v>9</v>
      </c>
      <c r="F1469" s="28" t="str">
        <f>VLOOKUP(Activities[[#This Row],[Jurisdiction]],Places[#All],8,FALSE)</f>
        <v>Phase I MS4</v>
      </c>
      <c r="G1469" s="48" t="s">
        <v>1376</v>
      </c>
      <c r="H1469" s="8"/>
      <c r="I1469" s="8"/>
      <c r="J1469" s="8" t="s">
        <v>1897</v>
      </c>
      <c r="K1469" s="27" t="s">
        <v>1874</v>
      </c>
      <c r="L1469" s="28">
        <f>_xlfn.NUMBERVALUE(LEFT(Activities[[#This Row],[Fiscal Year]], 4))</f>
        <v>2017</v>
      </c>
      <c r="M1469" s="28" t="s">
        <v>1862</v>
      </c>
      <c r="N1469" s="41">
        <v>84298</v>
      </c>
      <c r="O1469" s="93">
        <f>IF(Activities[[#This Row],[Reference Year]]&gt;2018,Activities[[#This Row],[Value]],Activities[[#This Row],[Value]]*(1+VLOOKUP(Activities[[#This Row],[Reference Year]],Inflation[#All],3,FALSE)))</f>
        <v>86544.227001224004</v>
      </c>
    </row>
    <row r="1470" spans="1:15" ht="15" customHeight="1" x14ac:dyDescent="0.25">
      <c r="A1470" s="9" t="s">
        <v>300</v>
      </c>
      <c r="B1470" s="9" t="str">
        <f>INDEX(Places[Type],MATCH(Activities[[#This Row],[Jurisdiction]],Places[Jurisdiction],0))</f>
        <v>Other</v>
      </c>
      <c r="C1470" s="19" t="str">
        <f>INDEX(Places[County],MATCH(Activities[[#This Row],[Jurisdiction]],Places[Jurisdiction],0))</f>
        <v>San Diego</v>
      </c>
      <c r="D1470" s="9" t="str">
        <f>INDEX(Places[Majority RB],MATCH(Activities[[#This Row],[Jurisdiction]],Places[Jurisdiction],0))</f>
        <v>San Diego</v>
      </c>
      <c r="E1470" s="9">
        <f>INDEX(Places[Majority RB '#],MATCH(Activities[[#This Row],[Jurisdiction]],Places[Jurisdiction],0))</f>
        <v>9</v>
      </c>
      <c r="F1470" s="28" t="str">
        <f>VLOOKUP(Activities[[#This Row],[Jurisdiction]],Places[#All],8,FALSE)</f>
        <v>Phase I MS4</v>
      </c>
      <c r="G1470" s="48" t="s">
        <v>1373</v>
      </c>
      <c r="H1470" s="8" t="s">
        <v>586</v>
      </c>
      <c r="I1470" s="8"/>
      <c r="J1470" s="8" t="s">
        <v>1897</v>
      </c>
      <c r="K1470" s="27" t="s">
        <v>1874</v>
      </c>
      <c r="L1470" s="28">
        <f>_xlfn.NUMBERVALUE(LEFT(Activities[[#This Row],[Fiscal Year]], 4))</f>
        <v>2017</v>
      </c>
      <c r="M1470" s="28" t="s">
        <v>1862</v>
      </c>
      <c r="N1470" s="41">
        <v>221654</v>
      </c>
      <c r="O1470" s="93">
        <f>IF(Activities[[#This Row],[Reference Year]]&gt;2018,Activities[[#This Row],[Value]],Activities[[#This Row],[Value]]*(1+VLOOKUP(Activities[[#This Row],[Reference Year]],Inflation[#All],3,FALSE)))</f>
        <v>227560.25162790701</v>
      </c>
    </row>
    <row r="1471" spans="1:15" ht="15" customHeight="1" x14ac:dyDescent="0.25">
      <c r="A1471" s="9" t="s">
        <v>300</v>
      </c>
      <c r="B1471" s="9" t="str">
        <f>INDEX(Places[Type],MATCH(Activities[[#This Row],[Jurisdiction]],Places[Jurisdiction],0))</f>
        <v>Other</v>
      </c>
      <c r="C1471" s="19" t="str">
        <f>INDEX(Places[County],MATCH(Activities[[#This Row],[Jurisdiction]],Places[Jurisdiction],0))</f>
        <v>San Diego</v>
      </c>
      <c r="D1471" s="9" t="str">
        <f>INDEX(Places[Majority RB],MATCH(Activities[[#This Row],[Jurisdiction]],Places[Jurisdiction],0))</f>
        <v>San Diego</v>
      </c>
      <c r="E1471" s="9">
        <f>INDEX(Places[Majority RB '#],MATCH(Activities[[#This Row],[Jurisdiction]],Places[Jurisdiction],0))</f>
        <v>9</v>
      </c>
      <c r="F1471" s="28" t="str">
        <f>VLOOKUP(Activities[[#This Row],[Jurisdiction]],Places[#All],8,FALSE)</f>
        <v>Phase I MS4</v>
      </c>
      <c r="G1471" s="48" t="s">
        <v>1422</v>
      </c>
      <c r="H1471" s="8"/>
      <c r="I1471" s="8"/>
      <c r="J1471" s="8" t="s">
        <v>1897</v>
      </c>
      <c r="K1471" s="27" t="s">
        <v>1874</v>
      </c>
      <c r="L1471" s="28">
        <f>_xlfn.NUMBERVALUE(LEFT(Activities[[#This Row],[Fiscal Year]], 4))</f>
        <v>2017</v>
      </c>
      <c r="M1471" s="28" t="s">
        <v>1862</v>
      </c>
      <c r="N1471" s="41">
        <v>303358</v>
      </c>
      <c r="O1471" s="93">
        <f>IF(Activities[[#This Row],[Reference Year]]&gt;2018,Activities[[#This Row],[Value]],Activities[[#This Row],[Value]]*(1+VLOOKUP(Activities[[#This Row],[Reference Year]],Inflation[#All],3,FALSE)))</f>
        <v>311441.35821297433</v>
      </c>
    </row>
    <row r="1472" spans="1:15" ht="15" customHeight="1" x14ac:dyDescent="0.25">
      <c r="A1472" s="9" t="s">
        <v>300</v>
      </c>
      <c r="B1472" s="9" t="str">
        <f>INDEX(Places[Type],MATCH(Activities[[#This Row],[Jurisdiction]],Places[Jurisdiction],0))</f>
        <v>Other</v>
      </c>
      <c r="C1472" s="19" t="str">
        <f>INDEX(Places[County],MATCH(Activities[[#This Row],[Jurisdiction]],Places[Jurisdiction],0))</f>
        <v>San Diego</v>
      </c>
      <c r="D1472" s="9" t="str">
        <f>INDEX(Places[Majority RB],MATCH(Activities[[#This Row],[Jurisdiction]],Places[Jurisdiction],0))</f>
        <v>San Diego</v>
      </c>
      <c r="E1472" s="9">
        <f>INDEX(Places[Majority RB '#],MATCH(Activities[[#This Row],[Jurisdiction]],Places[Jurisdiction],0))</f>
        <v>9</v>
      </c>
      <c r="F1472" s="28" t="str">
        <f>VLOOKUP(Activities[[#This Row],[Jurisdiction]],Places[#All],8,FALSE)</f>
        <v>Phase I MS4</v>
      </c>
      <c r="G1472" s="48" t="s">
        <v>1376</v>
      </c>
      <c r="H1472" s="8"/>
      <c r="I1472" s="8"/>
      <c r="J1472" s="8" t="s">
        <v>1897</v>
      </c>
      <c r="K1472" s="27" t="s">
        <v>1874</v>
      </c>
      <c r="L1472" s="28">
        <f>_xlfn.NUMBERVALUE(LEFT(Activities[[#This Row],[Fiscal Year]], 4))</f>
        <v>2017</v>
      </c>
      <c r="M1472" s="28" t="s">
        <v>1862</v>
      </c>
      <c r="N1472" s="41">
        <v>638952</v>
      </c>
      <c r="O1472" s="93">
        <f>IF(Activities[[#This Row],[Reference Year]]&gt;2018,Activities[[#This Row],[Value]],Activities[[#This Row],[Value]]*(1+VLOOKUP(Activities[[#This Row],[Reference Year]],Inflation[#All],3,FALSE)))</f>
        <v>655977.68548347626</v>
      </c>
    </row>
    <row r="1473" spans="1:15" ht="15" customHeight="1" x14ac:dyDescent="0.25">
      <c r="A1473" s="9" t="s">
        <v>300</v>
      </c>
      <c r="B1473" s="9" t="str">
        <f>INDEX(Places[Type],MATCH(Activities[[#This Row],[Jurisdiction]],Places[Jurisdiction],0))</f>
        <v>Other</v>
      </c>
      <c r="C1473" s="19" t="str">
        <f>INDEX(Places[County],MATCH(Activities[[#This Row],[Jurisdiction]],Places[Jurisdiction],0))</f>
        <v>San Diego</v>
      </c>
      <c r="D1473" s="9" t="str">
        <f>INDEX(Places[Majority RB],MATCH(Activities[[#This Row],[Jurisdiction]],Places[Jurisdiction],0))</f>
        <v>San Diego</v>
      </c>
      <c r="E1473" s="9">
        <f>INDEX(Places[Majority RB '#],MATCH(Activities[[#This Row],[Jurisdiction]],Places[Jurisdiction],0))</f>
        <v>9</v>
      </c>
      <c r="F1473" s="28" t="str">
        <f>VLOOKUP(Activities[[#This Row],[Jurisdiction]],Places[#All],8,FALSE)</f>
        <v>Phase I MS4</v>
      </c>
      <c r="G1473" s="48" t="s">
        <v>1377</v>
      </c>
      <c r="H1473" s="8"/>
      <c r="I1473" s="8"/>
      <c r="J1473" s="8" t="s">
        <v>1897</v>
      </c>
      <c r="K1473" s="27" t="s">
        <v>1874</v>
      </c>
      <c r="L1473" s="28">
        <f>_xlfn.NUMBERVALUE(LEFT(Activities[[#This Row],[Fiscal Year]], 4))</f>
        <v>2017</v>
      </c>
      <c r="M1473" s="28" t="s">
        <v>1862</v>
      </c>
      <c r="N1473" s="41">
        <v>1676456</v>
      </c>
      <c r="O1473" s="93">
        <f>IF(Activities[[#This Row],[Reference Year]]&gt;2018,Activities[[#This Row],[Value]],Activities[[#This Row],[Value]]*(1+VLOOKUP(Activities[[#This Row],[Reference Year]],Inflation[#All],3,FALSE)))</f>
        <v>1721127.293904529</v>
      </c>
    </row>
    <row r="1474" spans="1:15" ht="15" customHeight="1" x14ac:dyDescent="0.25">
      <c r="A1474" s="9" t="s">
        <v>300</v>
      </c>
      <c r="B1474" s="9" t="str">
        <f>INDEX(Places[Type],MATCH(Activities[[#This Row],[Jurisdiction]],Places[Jurisdiction],0))</f>
        <v>Other</v>
      </c>
      <c r="C1474" s="19" t="str">
        <f>INDEX(Places[County],MATCH(Activities[[#This Row],[Jurisdiction]],Places[Jurisdiction],0))</f>
        <v>San Diego</v>
      </c>
      <c r="D1474" s="9" t="str">
        <f>INDEX(Places[Majority RB],MATCH(Activities[[#This Row],[Jurisdiction]],Places[Jurisdiction],0))</f>
        <v>San Diego</v>
      </c>
      <c r="E1474" s="9">
        <f>INDEX(Places[Majority RB '#],MATCH(Activities[[#This Row],[Jurisdiction]],Places[Jurisdiction],0))</f>
        <v>9</v>
      </c>
      <c r="F1474" s="28" t="str">
        <f>VLOOKUP(Activities[[#This Row],[Jurisdiction]],Places[#All],8,FALSE)</f>
        <v>Phase I MS4</v>
      </c>
      <c r="G1474" s="48" t="s">
        <v>1380</v>
      </c>
      <c r="H1474" s="95" t="s">
        <v>616</v>
      </c>
      <c r="I1474" s="8" t="s">
        <v>590</v>
      </c>
      <c r="J1474" s="8" t="s">
        <v>1898</v>
      </c>
      <c r="K1474" s="27" t="s">
        <v>1874</v>
      </c>
      <c r="L1474" s="28">
        <f>_xlfn.NUMBERVALUE(LEFT(Activities[[#This Row],[Fiscal Year]], 4))</f>
        <v>2017</v>
      </c>
      <c r="M1474" s="28" t="s">
        <v>1862</v>
      </c>
      <c r="N1474" s="41">
        <v>44677</v>
      </c>
      <c r="O1474" s="93">
        <f>IF(Activities[[#This Row],[Reference Year]]&gt;2018,Activities[[#This Row],[Value]],Activities[[#This Row],[Value]]*(1+VLOOKUP(Activities[[#This Row],[Reference Year]],Inflation[#All],3,FALSE)))</f>
        <v>45867.475263157903</v>
      </c>
    </row>
    <row r="1475" spans="1:15" ht="15" customHeight="1" x14ac:dyDescent="0.25">
      <c r="A1475" s="9" t="s">
        <v>300</v>
      </c>
      <c r="B1475" s="9" t="str">
        <f>INDEX(Places[Type],MATCH(Activities[[#This Row],[Jurisdiction]],Places[Jurisdiction],0))</f>
        <v>Other</v>
      </c>
      <c r="C1475" s="19" t="str">
        <f>INDEX(Places[County],MATCH(Activities[[#This Row],[Jurisdiction]],Places[Jurisdiction],0))</f>
        <v>San Diego</v>
      </c>
      <c r="D1475" s="9" t="str">
        <f>INDEX(Places[Majority RB],MATCH(Activities[[#This Row],[Jurisdiction]],Places[Jurisdiction],0))</f>
        <v>San Diego</v>
      </c>
      <c r="E1475" s="9">
        <f>INDEX(Places[Majority RB '#],MATCH(Activities[[#This Row],[Jurisdiction]],Places[Jurisdiction],0))</f>
        <v>9</v>
      </c>
      <c r="F1475" s="28" t="str">
        <f>VLOOKUP(Activities[[#This Row],[Jurisdiction]],Places[#All],8,FALSE)</f>
        <v>Phase I MS4</v>
      </c>
      <c r="G1475" s="48" t="s">
        <v>1379</v>
      </c>
      <c r="H1475" s="95" t="s">
        <v>617</v>
      </c>
      <c r="I1475" s="8" t="s">
        <v>590</v>
      </c>
      <c r="J1475" s="8" t="s">
        <v>1898</v>
      </c>
      <c r="K1475" s="27" t="s">
        <v>1874</v>
      </c>
      <c r="L1475" s="28">
        <f>_xlfn.NUMBERVALUE(LEFT(Activities[[#This Row],[Fiscal Year]], 4))</f>
        <v>2017</v>
      </c>
      <c r="M1475" s="28" t="s">
        <v>1862</v>
      </c>
      <c r="N1475" s="41">
        <v>45574</v>
      </c>
      <c r="O1475" s="93">
        <f>IF(Activities[[#This Row],[Reference Year]]&gt;2018,Activities[[#This Row],[Value]],Activities[[#This Row],[Value]]*(1+VLOOKUP(Activities[[#This Row],[Reference Year]],Inflation[#All],3,FALSE)))</f>
        <v>46788.376964504292</v>
      </c>
    </row>
    <row r="1476" spans="1:15" ht="15" customHeight="1" x14ac:dyDescent="0.25">
      <c r="A1476" s="9" t="s">
        <v>300</v>
      </c>
      <c r="B1476" s="9" t="str">
        <f>INDEX(Places[Type],MATCH(Activities[[#This Row],[Jurisdiction]],Places[Jurisdiction],0))</f>
        <v>Other</v>
      </c>
      <c r="C1476" s="19" t="str">
        <f>INDEX(Places[County],MATCH(Activities[[#This Row],[Jurisdiction]],Places[Jurisdiction],0))</f>
        <v>San Diego</v>
      </c>
      <c r="D1476" s="9" t="str">
        <f>INDEX(Places[Majority RB],MATCH(Activities[[#This Row],[Jurisdiction]],Places[Jurisdiction],0))</f>
        <v>San Diego</v>
      </c>
      <c r="E1476" s="9">
        <f>INDEX(Places[Majority RB '#],MATCH(Activities[[#This Row],[Jurisdiction]],Places[Jurisdiction],0))</f>
        <v>9</v>
      </c>
      <c r="F1476" s="28" t="str">
        <f>VLOOKUP(Activities[[#This Row],[Jurisdiction]],Places[#All],8,FALSE)</f>
        <v>Phase I MS4</v>
      </c>
      <c r="G1476" s="48" t="s">
        <v>1402</v>
      </c>
      <c r="H1476" s="8"/>
      <c r="I1476" s="8"/>
      <c r="J1476" s="8" t="s">
        <v>1456</v>
      </c>
      <c r="K1476" s="27" t="s">
        <v>1874</v>
      </c>
      <c r="L1476" s="28">
        <f>_xlfn.NUMBERVALUE(LEFT(Activities[[#This Row],[Fiscal Year]], 4))</f>
        <v>2017</v>
      </c>
      <c r="M1476" s="28" t="s">
        <v>1862</v>
      </c>
      <c r="N1476" s="41">
        <v>10000</v>
      </c>
      <c r="O1476" s="93">
        <f>IF(Activities[[#This Row],[Reference Year]]&gt;2018,Activities[[#This Row],[Value]],Activities[[#This Row],[Value]]*(1+VLOOKUP(Activities[[#This Row],[Reference Year]],Inflation[#All],3,FALSE)))</f>
        <v>10266.462668298655</v>
      </c>
    </row>
    <row r="1477" spans="1:15" ht="15" customHeight="1" x14ac:dyDescent="0.25">
      <c r="A1477" s="9" t="s">
        <v>300</v>
      </c>
      <c r="B1477" s="9" t="str">
        <f>INDEX(Places[Type],MATCH(Activities[[#This Row],[Jurisdiction]],Places[Jurisdiction],0))</f>
        <v>Other</v>
      </c>
      <c r="C1477" s="19" t="str">
        <f>INDEX(Places[County],MATCH(Activities[[#This Row],[Jurisdiction]],Places[Jurisdiction],0))</f>
        <v>San Diego</v>
      </c>
      <c r="D1477" s="9" t="str">
        <f>INDEX(Places[Majority RB],MATCH(Activities[[#This Row],[Jurisdiction]],Places[Jurisdiction],0))</f>
        <v>San Diego</v>
      </c>
      <c r="E1477" s="9">
        <f>INDEX(Places[Majority RB '#],MATCH(Activities[[#This Row],[Jurisdiction]],Places[Jurisdiction],0))</f>
        <v>9</v>
      </c>
      <c r="F1477" s="28" t="str">
        <f>VLOOKUP(Activities[[#This Row],[Jurisdiction]],Places[#All],8,FALSE)</f>
        <v>Phase I MS4</v>
      </c>
      <c r="G1477" s="48" t="s">
        <v>1405</v>
      </c>
      <c r="H1477" s="8"/>
      <c r="I1477" s="8"/>
      <c r="J1477" s="8" t="s">
        <v>1456</v>
      </c>
      <c r="K1477" s="27" t="s">
        <v>1874</v>
      </c>
      <c r="L1477" s="28">
        <f>_xlfn.NUMBERVALUE(LEFT(Activities[[#This Row],[Fiscal Year]], 4))</f>
        <v>2017</v>
      </c>
      <c r="M1477" s="28" t="s">
        <v>1862</v>
      </c>
      <c r="N1477" s="41">
        <v>10000</v>
      </c>
      <c r="O1477" s="93">
        <f>IF(Activities[[#This Row],[Reference Year]]&gt;2018,Activities[[#This Row],[Value]],Activities[[#This Row],[Value]]*(1+VLOOKUP(Activities[[#This Row],[Reference Year]],Inflation[#All],3,FALSE)))</f>
        <v>10266.462668298655</v>
      </c>
    </row>
    <row r="1478" spans="1:15" ht="15" customHeight="1" x14ac:dyDescent="0.25">
      <c r="A1478" s="9" t="s">
        <v>300</v>
      </c>
      <c r="B1478" s="9" t="str">
        <f>INDEX(Places[Type],MATCH(Activities[[#This Row],[Jurisdiction]],Places[Jurisdiction],0))</f>
        <v>Other</v>
      </c>
      <c r="C1478" s="19" t="str">
        <f>INDEX(Places[County],MATCH(Activities[[#This Row],[Jurisdiction]],Places[Jurisdiction],0))</f>
        <v>San Diego</v>
      </c>
      <c r="D1478" s="9" t="str">
        <f>INDEX(Places[Majority RB],MATCH(Activities[[#This Row],[Jurisdiction]],Places[Jurisdiction],0))</f>
        <v>San Diego</v>
      </c>
      <c r="E1478" s="9">
        <f>INDEX(Places[Majority RB '#],MATCH(Activities[[#This Row],[Jurisdiction]],Places[Jurisdiction],0))</f>
        <v>9</v>
      </c>
      <c r="F1478" s="28" t="str">
        <f>VLOOKUP(Activities[[#This Row],[Jurisdiction]],Places[#All],8,FALSE)</f>
        <v>Phase I MS4</v>
      </c>
      <c r="G1478" s="48" t="s">
        <v>1396</v>
      </c>
      <c r="H1478" s="8"/>
      <c r="I1478" s="8"/>
      <c r="J1478" s="8" t="s">
        <v>1456</v>
      </c>
      <c r="K1478" s="27" t="s">
        <v>1874</v>
      </c>
      <c r="L1478" s="28">
        <f>_xlfn.NUMBERVALUE(LEFT(Activities[[#This Row],[Fiscal Year]], 4))</f>
        <v>2017</v>
      </c>
      <c r="M1478" s="28" t="s">
        <v>1862</v>
      </c>
      <c r="N1478" s="41">
        <v>10512</v>
      </c>
      <c r="O1478" s="93">
        <f>IF(Activities[[#This Row],[Reference Year]]&gt;2018,Activities[[#This Row],[Value]],Activities[[#This Row],[Value]]*(1+VLOOKUP(Activities[[#This Row],[Reference Year]],Inflation[#All],3,FALSE)))</f>
        <v>10792.105556915545</v>
      </c>
    </row>
    <row r="1479" spans="1:15" ht="15" customHeight="1" x14ac:dyDescent="0.25">
      <c r="A1479" s="9" t="s">
        <v>300</v>
      </c>
      <c r="B1479" s="9" t="str">
        <f>INDEX(Places[Type],MATCH(Activities[[#This Row],[Jurisdiction]],Places[Jurisdiction],0))</f>
        <v>Other</v>
      </c>
      <c r="C1479" s="19" t="str">
        <f>INDEX(Places[County],MATCH(Activities[[#This Row],[Jurisdiction]],Places[Jurisdiction],0))</f>
        <v>San Diego</v>
      </c>
      <c r="D1479" s="9" t="str">
        <f>INDEX(Places[Majority RB],MATCH(Activities[[#This Row],[Jurisdiction]],Places[Jurisdiction],0))</f>
        <v>San Diego</v>
      </c>
      <c r="E1479" s="9">
        <f>INDEX(Places[Majority RB '#],MATCH(Activities[[#This Row],[Jurisdiction]],Places[Jurisdiction],0))</f>
        <v>9</v>
      </c>
      <c r="F1479" s="28" t="str">
        <f>VLOOKUP(Activities[[#This Row],[Jurisdiction]],Places[#All],8,FALSE)</f>
        <v>Phase I MS4</v>
      </c>
      <c r="G1479" s="48" t="s">
        <v>1407</v>
      </c>
      <c r="H1479" s="8"/>
      <c r="I1479" s="8"/>
      <c r="J1479" s="8" t="s">
        <v>1456</v>
      </c>
      <c r="K1479" s="27" t="s">
        <v>1874</v>
      </c>
      <c r="L1479" s="28">
        <f>_xlfn.NUMBERVALUE(LEFT(Activities[[#This Row],[Fiscal Year]], 4))</f>
        <v>2017</v>
      </c>
      <c r="M1479" s="28" t="s">
        <v>1862</v>
      </c>
      <c r="N1479" s="41">
        <v>11860</v>
      </c>
      <c r="O1479" s="93">
        <f>IF(Activities[[#This Row],[Reference Year]]&gt;2018,Activities[[#This Row],[Value]],Activities[[#This Row],[Value]]*(1+VLOOKUP(Activities[[#This Row],[Reference Year]],Inflation[#All],3,FALSE)))</f>
        <v>12176.024724602205</v>
      </c>
    </row>
    <row r="1480" spans="1:15" ht="15" customHeight="1" x14ac:dyDescent="0.25">
      <c r="A1480" s="9" t="s">
        <v>300</v>
      </c>
      <c r="B1480" s="9" t="str">
        <f>INDEX(Places[Type],MATCH(Activities[[#This Row],[Jurisdiction]],Places[Jurisdiction],0))</f>
        <v>Other</v>
      </c>
      <c r="C1480" s="19" t="str">
        <f>INDEX(Places[County],MATCH(Activities[[#This Row],[Jurisdiction]],Places[Jurisdiction],0))</f>
        <v>San Diego</v>
      </c>
      <c r="D1480" s="9" t="str">
        <f>INDEX(Places[Majority RB],MATCH(Activities[[#This Row],[Jurisdiction]],Places[Jurisdiction],0))</f>
        <v>San Diego</v>
      </c>
      <c r="E1480" s="9">
        <f>INDEX(Places[Majority RB '#],MATCH(Activities[[#This Row],[Jurisdiction]],Places[Jurisdiction],0))</f>
        <v>9</v>
      </c>
      <c r="F1480" s="28" t="str">
        <f>VLOOKUP(Activities[[#This Row],[Jurisdiction]],Places[#All],8,FALSE)</f>
        <v>Phase I MS4</v>
      </c>
      <c r="G1480" s="48" t="s">
        <v>1406</v>
      </c>
      <c r="H1480" s="8"/>
      <c r="I1480" s="8"/>
      <c r="J1480" s="8" t="s">
        <v>1456</v>
      </c>
      <c r="K1480" s="27" t="s">
        <v>1874</v>
      </c>
      <c r="L1480" s="28">
        <f>_xlfn.NUMBERVALUE(LEFT(Activities[[#This Row],[Fiscal Year]], 4))</f>
        <v>2017</v>
      </c>
      <c r="M1480" s="28" t="s">
        <v>1862</v>
      </c>
      <c r="N1480" s="41">
        <v>13014</v>
      </c>
      <c r="O1480" s="93">
        <f>IF(Activities[[#This Row],[Reference Year]]&gt;2018,Activities[[#This Row],[Value]],Activities[[#This Row],[Value]]*(1+VLOOKUP(Activities[[#This Row],[Reference Year]],Inflation[#All],3,FALSE)))</f>
        <v>13360.77451652387</v>
      </c>
    </row>
    <row r="1481" spans="1:15" ht="15" customHeight="1" x14ac:dyDescent="0.25">
      <c r="A1481" s="9" t="s">
        <v>300</v>
      </c>
      <c r="B1481" s="9" t="str">
        <f>INDEX(Places[Type],MATCH(Activities[[#This Row],[Jurisdiction]],Places[Jurisdiction],0))</f>
        <v>Other</v>
      </c>
      <c r="C1481" s="19" t="str">
        <f>INDEX(Places[County],MATCH(Activities[[#This Row],[Jurisdiction]],Places[Jurisdiction],0))</f>
        <v>San Diego</v>
      </c>
      <c r="D1481" s="9" t="str">
        <f>INDEX(Places[Majority RB],MATCH(Activities[[#This Row],[Jurisdiction]],Places[Jurisdiction],0))</f>
        <v>San Diego</v>
      </c>
      <c r="E1481" s="9">
        <f>INDEX(Places[Majority RB '#],MATCH(Activities[[#This Row],[Jurisdiction]],Places[Jurisdiction],0))</f>
        <v>9</v>
      </c>
      <c r="F1481" s="28" t="str">
        <f>VLOOKUP(Activities[[#This Row],[Jurisdiction]],Places[#All],8,FALSE)</f>
        <v>Phase I MS4</v>
      </c>
      <c r="G1481" s="48" t="s">
        <v>1401</v>
      </c>
      <c r="H1481" s="8"/>
      <c r="I1481" s="8"/>
      <c r="J1481" s="8" t="s">
        <v>1456</v>
      </c>
      <c r="K1481" s="27" t="s">
        <v>1874</v>
      </c>
      <c r="L1481" s="28">
        <f>_xlfn.NUMBERVALUE(LEFT(Activities[[#This Row],[Fiscal Year]], 4))</f>
        <v>2017</v>
      </c>
      <c r="M1481" s="28" t="s">
        <v>1862</v>
      </c>
      <c r="N1481" s="41">
        <v>15000</v>
      </c>
      <c r="O1481" s="93">
        <f>IF(Activities[[#This Row],[Reference Year]]&gt;2018,Activities[[#This Row],[Value]],Activities[[#This Row],[Value]]*(1+VLOOKUP(Activities[[#This Row],[Reference Year]],Inflation[#All],3,FALSE)))</f>
        <v>15399.694002447983</v>
      </c>
    </row>
    <row r="1482" spans="1:15" ht="15" customHeight="1" x14ac:dyDescent="0.25">
      <c r="A1482" s="9" t="s">
        <v>300</v>
      </c>
      <c r="B1482" s="9" t="str">
        <f>INDEX(Places[Type],MATCH(Activities[[#This Row],[Jurisdiction]],Places[Jurisdiction],0))</f>
        <v>Other</v>
      </c>
      <c r="C1482" s="19" t="str">
        <f>INDEX(Places[County],MATCH(Activities[[#This Row],[Jurisdiction]],Places[Jurisdiction],0))</f>
        <v>San Diego</v>
      </c>
      <c r="D1482" s="9" t="str">
        <f>INDEX(Places[Majority RB],MATCH(Activities[[#This Row],[Jurisdiction]],Places[Jurisdiction],0))</f>
        <v>San Diego</v>
      </c>
      <c r="E1482" s="9">
        <f>INDEX(Places[Majority RB '#],MATCH(Activities[[#This Row],[Jurisdiction]],Places[Jurisdiction],0))</f>
        <v>9</v>
      </c>
      <c r="F1482" s="28" t="str">
        <f>VLOOKUP(Activities[[#This Row],[Jurisdiction]],Places[#All],8,FALSE)</f>
        <v>Phase I MS4</v>
      </c>
      <c r="G1482" s="48" t="s">
        <v>1403</v>
      </c>
      <c r="H1482" s="8"/>
      <c r="I1482" s="8"/>
      <c r="J1482" s="8" t="s">
        <v>1456</v>
      </c>
      <c r="K1482" s="27" t="s">
        <v>1874</v>
      </c>
      <c r="L1482" s="28">
        <f>_xlfn.NUMBERVALUE(LEFT(Activities[[#This Row],[Fiscal Year]], 4))</f>
        <v>2017</v>
      </c>
      <c r="M1482" s="28" t="s">
        <v>1862</v>
      </c>
      <c r="N1482" s="41">
        <v>20400</v>
      </c>
      <c r="O1482" s="93">
        <f>IF(Activities[[#This Row],[Reference Year]]&gt;2018,Activities[[#This Row],[Value]],Activities[[#This Row],[Value]]*(1+VLOOKUP(Activities[[#This Row],[Reference Year]],Inflation[#All],3,FALSE)))</f>
        <v>20943.583843329256</v>
      </c>
    </row>
    <row r="1483" spans="1:15" ht="15" customHeight="1" x14ac:dyDescent="0.25">
      <c r="A1483" s="9" t="s">
        <v>300</v>
      </c>
      <c r="B1483" s="9" t="str">
        <f>INDEX(Places[Type],MATCH(Activities[[#This Row],[Jurisdiction]],Places[Jurisdiction],0))</f>
        <v>Other</v>
      </c>
      <c r="C1483" s="19" t="str">
        <f>INDEX(Places[County],MATCH(Activities[[#This Row],[Jurisdiction]],Places[Jurisdiction],0))</f>
        <v>San Diego</v>
      </c>
      <c r="D1483" s="9" t="str">
        <f>INDEX(Places[Majority RB],MATCH(Activities[[#This Row],[Jurisdiction]],Places[Jurisdiction],0))</f>
        <v>San Diego</v>
      </c>
      <c r="E1483" s="9">
        <f>INDEX(Places[Majority RB '#],MATCH(Activities[[#This Row],[Jurisdiction]],Places[Jurisdiction],0))</f>
        <v>9</v>
      </c>
      <c r="F1483" s="28" t="str">
        <f>VLOOKUP(Activities[[#This Row],[Jurisdiction]],Places[#All],8,FALSE)</f>
        <v>Phase I MS4</v>
      </c>
      <c r="G1483" s="48" t="s">
        <v>1384</v>
      </c>
      <c r="H1483" s="96"/>
      <c r="I1483" s="8"/>
      <c r="J1483" s="8" t="s">
        <v>1456</v>
      </c>
      <c r="K1483" s="27" t="s">
        <v>1874</v>
      </c>
      <c r="L1483" s="28">
        <f>_xlfn.NUMBERVALUE(LEFT(Activities[[#This Row],[Fiscal Year]], 4))</f>
        <v>2017</v>
      </c>
      <c r="M1483" s="28" t="s">
        <v>1862</v>
      </c>
      <c r="N1483" s="41">
        <v>20576</v>
      </c>
      <c r="O1483" s="93">
        <f>IF(Activities[[#This Row],[Reference Year]]&gt;2018,Activities[[#This Row],[Value]],Activities[[#This Row],[Value]]*(1+VLOOKUP(Activities[[#This Row],[Reference Year]],Inflation[#All],3,FALSE)))</f>
        <v>21124.27358629131</v>
      </c>
    </row>
    <row r="1484" spans="1:15" ht="15" customHeight="1" x14ac:dyDescent="0.25">
      <c r="A1484" s="9" t="s">
        <v>300</v>
      </c>
      <c r="B1484" s="9" t="str">
        <f>INDEX(Places[Type],MATCH(Activities[[#This Row],[Jurisdiction]],Places[Jurisdiction],0))</f>
        <v>Other</v>
      </c>
      <c r="C1484" s="19" t="str">
        <f>INDEX(Places[County],MATCH(Activities[[#This Row],[Jurisdiction]],Places[Jurisdiction],0))</f>
        <v>San Diego</v>
      </c>
      <c r="D1484" s="9" t="str">
        <f>INDEX(Places[Majority RB],MATCH(Activities[[#This Row],[Jurisdiction]],Places[Jurisdiction],0))</f>
        <v>San Diego</v>
      </c>
      <c r="E1484" s="9">
        <f>INDEX(Places[Majority RB '#],MATCH(Activities[[#This Row],[Jurisdiction]],Places[Jurisdiction],0))</f>
        <v>9</v>
      </c>
      <c r="F1484" s="28" t="str">
        <f>VLOOKUP(Activities[[#This Row],[Jurisdiction]],Places[#All],8,FALSE)</f>
        <v>Phase I MS4</v>
      </c>
      <c r="G1484" s="48" t="s">
        <v>1404</v>
      </c>
      <c r="H1484" s="8"/>
      <c r="I1484" s="8"/>
      <c r="J1484" s="8" t="s">
        <v>1456</v>
      </c>
      <c r="K1484" s="27" t="s">
        <v>1874</v>
      </c>
      <c r="L1484" s="28">
        <f>_xlfn.NUMBERVALUE(LEFT(Activities[[#This Row],[Fiscal Year]], 4))</f>
        <v>2017</v>
      </c>
      <c r="M1484" s="28" t="s">
        <v>1862</v>
      </c>
      <c r="N1484" s="41">
        <v>21000</v>
      </c>
      <c r="O1484" s="93">
        <f>IF(Activities[[#This Row],[Reference Year]]&gt;2018,Activities[[#This Row],[Value]],Activities[[#This Row],[Value]]*(1+VLOOKUP(Activities[[#This Row],[Reference Year]],Inflation[#All],3,FALSE)))</f>
        <v>21559.571603427175</v>
      </c>
    </row>
    <row r="1485" spans="1:15" ht="15" customHeight="1" x14ac:dyDescent="0.25">
      <c r="A1485" s="9" t="s">
        <v>300</v>
      </c>
      <c r="B1485" s="9" t="str">
        <f>INDEX(Places[Type],MATCH(Activities[[#This Row],[Jurisdiction]],Places[Jurisdiction],0))</f>
        <v>Other</v>
      </c>
      <c r="C1485" s="19" t="str">
        <f>INDEX(Places[County],MATCH(Activities[[#This Row],[Jurisdiction]],Places[Jurisdiction],0))</f>
        <v>San Diego</v>
      </c>
      <c r="D1485" s="9" t="str">
        <f>INDEX(Places[Majority RB],MATCH(Activities[[#This Row],[Jurisdiction]],Places[Jurisdiction],0))</f>
        <v>San Diego</v>
      </c>
      <c r="E1485" s="9">
        <f>INDEX(Places[Majority RB '#],MATCH(Activities[[#This Row],[Jurisdiction]],Places[Jurisdiction],0))</f>
        <v>9</v>
      </c>
      <c r="F1485" s="28" t="str">
        <f>VLOOKUP(Activities[[#This Row],[Jurisdiction]],Places[#All],8,FALSE)</f>
        <v>Phase I MS4</v>
      </c>
      <c r="G1485" s="48" t="s">
        <v>1398</v>
      </c>
      <c r="H1485" s="8"/>
      <c r="I1485" s="8"/>
      <c r="J1485" s="8" t="s">
        <v>1456</v>
      </c>
      <c r="K1485" s="27" t="s">
        <v>1874</v>
      </c>
      <c r="L1485" s="28">
        <f>_xlfn.NUMBERVALUE(LEFT(Activities[[#This Row],[Fiscal Year]], 4))</f>
        <v>2017</v>
      </c>
      <c r="M1485" s="28" t="s">
        <v>1862</v>
      </c>
      <c r="N1485" s="41">
        <v>21595</v>
      </c>
      <c r="O1485" s="93">
        <f>IF(Activities[[#This Row],[Reference Year]]&gt;2018,Activities[[#This Row],[Value]],Activities[[#This Row],[Value]]*(1+VLOOKUP(Activities[[#This Row],[Reference Year]],Inflation[#All],3,FALSE)))</f>
        <v>22170.426132190943</v>
      </c>
    </row>
    <row r="1486" spans="1:15" ht="15" customHeight="1" x14ac:dyDescent="0.25">
      <c r="A1486" s="9" t="s">
        <v>300</v>
      </c>
      <c r="B1486" s="9" t="str">
        <f>INDEX(Places[Type],MATCH(Activities[[#This Row],[Jurisdiction]],Places[Jurisdiction],0))</f>
        <v>Other</v>
      </c>
      <c r="C1486" s="19" t="str">
        <f>INDEX(Places[County],MATCH(Activities[[#This Row],[Jurisdiction]],Places[Jurisdiction],0))</f>
        <v>San Diego</v>
      </c>
      <c r="D1486" s="9" t="str">
        <f>INDEX(Places[Majority RB],MATCH(Activities[[#This Row],[Jurisdiction]],Places[Jurisdiction],0))</f>
        <v>San Diego</v>
      </c>
      <c r="E1486" s="9">
        <f>INDEX(Places[Majority RB '#],MATCH(Activities[[#This Row],[Jurisdiction]],Places[Jurisdiction],0))</f>
        <v>9</v>
      </c>
      <c r="F1486" s="28" t="str">
        <f>VLOOKUP(Activities[[#This Row],[Jurisdiction]],Places[#All],8,FALSE)</f>
        <v>Phase I MS4</v>
      </c>
      <c r="G1486" s="48" t="s">
        <v>1408</v>
      </c>
      <c r="H1486" s="8"/>
      <c r="I1486" s="8"/>
      <c r="J1486" s="8" t="s">
        <v>1456</v>
      </c>
      <c r="K1486" s="27" t="s">
        <v>1874</v>
      </c>
      <c r="L1486" s="28">
        <f>_xlfn.NUMBERVALUE(LEFT(Activities[[#This Row],[Fiscal Year]], 4))</f>
        <v>2017</v>
      </c>
      <c r="M1486" s="28" t="s">
        <v>1862</v>
      </c>
      <c r="N1486" s="41">
        <v>37875</v>
      </c>
      <c r="O1486" s="93">
        <f>IF(Activities[[#This Row],[Reference Year]]&gt;2018,Activities[[#This Row],[Value]],Activities[[#This Row],[Value]]*(1+VLOOKUP(Activities[[#This Row],[Reference Year]],Inflation[#All],3,FALSE)))</f>
        <v>38884.227356181153</v>
      </c>
    </row>
    <row r="1487" spans="1:15" ht="15" customHeight="1" x14ac:dyDescent="0.25">
      <c r="A1487" s="9" t="s">
        <v>300</v>
      </c>
      <c r="B1487" s="9" t="str">
        <f>INDEX(Places[Type],MATCH(Activities[[#This Row],[Jurisdiction]],Places[Jurisdiction],0))</f>
        <v>Other</v>
      </c>
      <c r="C1487" s="19" t="str">
        <f>INDEX(Places[County],MATCH(Activities[[#This Row],[Jurisdiction]],Places[Jurisdiction],0))</f>
        <v>San Diego</v>
      </c>
      <c r="D1487" s="9" t="str">
        <f>INDEX(Places[Majority RB],MATCH(Activities[[#This Row],[Jurisdiction]],Places[Jurisdiction],0))</f>
        <v>San Diego</v>
      </c>
      <c r="E1487" s="9">
        <f>INDEX(Places[Majority RB '#],MATCH(Activities[[#This Row],[Jurisdiction]],Places[Jurisdiction],0))</f>
        <v>9</v>
      </c>
      <c r="F1487" s="28" t="str">
        <f>VLOOKUP(Activities[[#This Row],[Jurisdiction]],Places[#All],8,FALSE)</f>
        <v>Phase I MS4</v>
      </c>
      <c r="G1487" s="48" t="s">
        <v>1400</v>
      </c>
      <c r="H1487" s="8"/>
      <c r="I1487" s="8"/>
      <c r="J1487" s="8" t="s">
        <v>1456</v>
      </c>
      <c r="K1487" s="27" t="s">
        <v>1874</v>
      </c>
      <c r="L1487" s="28">
        <f>_xlfn.NUMBERVALUE(LEFT(Activities[[#This Row],[Fiscal Year]], 4))</f>
        <v>2017</v>
      </c>
      <c r="M1487" s="28" t="s">
        <v>1862</v>
      </c>
      <c r="N1487" s="41">
        <v>55000</v>
      </c>
      <c r="O1487" s="93">
        <f>IF(Activities[[#This Row],[Reference Year]]&gt;2018,Activities[[#This Row],[Value]],Activities[[#This Row],[Value]]*(1+VLOOKUP(Activities[[#This Row],[Reference Year]],Inflation[#All],3,FALSE)))</f>
        <v>56465.544675642603</v>
      </c>
    </row>
    <row r="1488" spans="1:15" ht="15" customHeight="1" x14ac:dyDescent="0.25">
      <c r="A1488" s="9" t="s">
        <v>300</v>
      </c>
      <c r="B1488" s="9" t="str">
        <f>INDEX(Places[Type],MATCH(Activities[[#This Row],[Jurisdiction]],Places[Jurisdiction],0))</f>
        <v>Other</v>
      </c>
      <c r="C1488" s="19" t="str">
        <f>INDEX(Places[County],MATCH(Activities[[#This Row],[Jurisdiction]],Places[Jurisdiction],0))</f>
        <v>San Diego</v>
      </c>
      <c r="D1488" s="9" t="str">
        <f>INDEX(Places[Majority RB],MATCH(Activities[[#This Row],[Jurisdiction]],Places[Jurisdiction],0))</f>
        <v>San Diego</v>
      </c>
      <c r="E1488" s="9">
        <f>INDEX(Places[Majority RB '#],MATCH(Activities[[#This Row],[Jurisdiction]],Places[Jurisdiction],0))</f>
        <v>9</v>
      </c>
      <c r="F1488" s="28" t="str">
        <f>VLOOKUP(Activities[[#This Row],[Jurisdiction]],Places[#All],8,FALSE)</f>
        <v>Phase I MS4</v>
      </c>
      <c r="G1488" s="48" t="s">
        <v>1397</v>
      </c>
      <c r="H1488" s="8"/>
      <c r="I1488" s="8"/>
      <c r="J1488" s="8" t="s">
        <v>1456</v>
      </c>
      <c r="K1488" s="27" t="s">
        <v>1874</v>
      </c>
      <c r="L1488" s="28">
        <f>_xlfn.NUMBERVALUE(LEFT(Activities[[#This Row],[Fiscal Year]], 4))</f>
        <v>2017</v>
      </c>
      <c r="M1488" s="28" t="s">
        <v>1862</v>
      </c>
      <c r="N1488" s="41">
        <v>58765</v>
      </c>
      <c r="O1488" s="93">
        <f>IF(Activities[[#This Row],[Reference Year]]&gt;2018,Activities[[#This Row],[Value]],Activities[[#This Row],[Value]]*(1+VLOOKUP(Activities[[#This Row],[Reference Year]],Inflation[#All],3,FALSE)))</f>
        <v>60330.867870257047</v>
      </c>
    </row>
    <row r="1489" spans="1:15" ht="15" customHeight="1" x14ac:dyDescent="0.25">
      <c r="A1489" s="9" t="s">
        <v>300</v>
      </c>
      <c r="B1489" s="9" t="str">
        <f>INDEX(Places[Type],MATCH(Activities[[#This Row],[Jurisdiction]],Places[Jurisdiction],0))</f>
        <v>Other</v>
      </c>
      <c r="C1489" s="19" t="str">
        <f>INDEX(Places[County],MATCH(Activities[[#This Row],[Jurisdiction]],Places[Jurisdiction],0))</f>
        <v>San Diego</v>
      </c>
      <c r="D1489" s="9" t="str">
        <f>INDEX(Places[Majority RB],MATCH(Activities[[#This Row],[Jurisdiction]],Places[Jurisdiction],0))</f>
        <v>San Diego</v>
      </c>
      <c r="E1489" s="9">
        <f>INDEX(Places[Majority RB '#],MATCH(Activities[[#This Row],[Jurisdiction]],Places[Jurisdiction],0))</f>
        <v>9</v>
      </c>
      <c r="F1489" s="28" t="str">
        <f>VLOOKUP(Activities[[#This Row],[Jurisdiction]],Places[#All],8,FALSE)</f>
        <v>Phase I MS4</v>
      </c>
      <c r="G1489" s="48" t="s">
        <v>1399</v>
      </c>
      <c r="H1489" s="8"/>
      <c r="I1489" s="8"/>
      <c r="J1489" s="8" t="s">
        <v>1456</v>
      </c>
      <c r="K1489" s="27" t="s">
        <v>1874</v>
      </c>
      <c r="L1489" s="28">
        <f>_xlfn.NUMBERVALUE(LEFT(Activities[[#This Row],[Fiscal Year]], 4))</f>
        <v>2017</v>
      </c>
      <c r="M1489" s="28" t="s">
        <v>1862</v>
      </c>
      <c r="N1489" s="41">
        <v>123333</v>
      </c>
      <c r="O1489" s="93">
        <f>IF(Activities[[#This Row],[Reference Year]]&gt;2018,Activities[[#This Row],[Value]],Activities[[#This Row],[Value]]*(1+VLOOKUP(Activities[[#This Row],[Reference Year]],Inflation[#All],3,FALSE)))</f>
        <v>126619.3640269278</v>
      </c>
    </row>
    <row r="1490" spans="1:15" ht="15" customHeight="1" x14ac:dyDescent="0.25">
      <c r="A1490" s="9" t="s">
        <v>300</v>
      </c>
      <c r="B1490" s="9" t="str">
        <f>INDEX(Places[Type],MATCH(Activities[[#This Row],[Jurisdiction]],Places[Jurisdiction],0))</f>
        <v>Other</v>
      </c>
      <c r="C1490" s="19" t="str">
        <f>INDEX(Places[County],MATCH(Activities[[#This Row],[Jurisdiction]],Places[Jurisdiction],0))</f>
        <v>San Diego</v>
      </c>
      <c r="D1490" s="9" t="str">
        <f>INDEX(Places[Majority RB],MATCH(Activities[[#This Row],[Jurisdiction]],Places[Jurisdiction],0))</f>
        <v>San Diego</v>
      </c>
      <c r="E1490" s="9">
        <f>INDEX(Places[Majority RB '#],MATCH(Activities[[#This Row],[Jurisdiction]],Places[Jurisdiction],0))</f>
        <v>9</v>
      </c>
      <c r="F1490" s="28" t="str">
        <f>VLOOKUP(Activities[[#This Row],[Jurisdiction]],Places[#All],8,FALSE)</f>
        <v>Phase I MS4</v>
      </c>
      <c r="G1490" s="48" t="s">
        <v>1395</v>
      </c>
      <c r="H1490" s="8"/>
      <c r="I1490" s="8"/>
      <c r="J1490" s="8" t="s">
        <v>1894</v>
      </c>
      <c r="K1490" s="27" t="s">
        <v>1874</v>
      </c>
      <c r="L1490" s="28">
        <f>_xlfn.NUMBERVALUE(LEFT(Activities[[#This Row],[Fiscal Year]], 4))</f>
        <v>2017</v>
      </c>
      <c r="M1490" s="28" t="s">
        <v>1862</v>
      </c>
      <c r="N1490" s="41">
        <v>5021</v>
      </c>
      <c r="O1490" s="93">
        <f>IF(Activities[[#This Row],[Reference Year]]&gt;2018,Activities[[#This Row],[Value]],Activities[[#This Row],[Value]]*(1+VLOOKUP(Activities[[#This Row],[Reference Year]],Inflation[#All],3,FALSE)))</f>
        <v>5154.790905752755</v>
      </c>
    </row>
    <row r="1491" spans="1:15" ht="15" customHeight="1" x14ac:dyDescent="0.25">
      <c r="A1491" s="9" t="s">
        <v>300</v>
      </c>
      <c r="B1491" s="9" t="str">
        <f>INDEX(Places[Type],MATCH(Activities[[#This Row],[Jurisdiction]],Places[Jurisdiction],0))</f>
        <v>Other</v>
      </c>
      <c r="C1491" s="19" t="str">
        <f>INDEX(Places[County],MATCH(Activities[[#This Row],[Jurisdiction]],Places[Jurisdiction],0))</f>
        <v>San Diego</v>
      </c>
      <c r="D1491" s="9" t="str">
        <f>INDEX(Places[Majority RB],MATCH(Activities[[#This Row],[Jurisdiction]],Places[Jurisdiction],0))</f>
        <v>San Diego</v>
      </c>
      <c r="E1491" s="9">
        <f>INDEX(Places[Majority RB '#],MATCH(Activities[[#This Row],[Jurisdiction]],Places[Jurisdiction],0))</f>
        <v>9</v>
      </c>
      <c r="F1491" s="28" t="str">
        <f>VLOOKUP(Activities[[#This Row],[Jurisdiction]],Places[#All],8,FALSE)</f>
        <v>Phase I MS4</v>
      </c>
      <c r="G1491" s="48" t="s">
        <v>1424</v>
      </c>
      <c r="H1491" s="8"/>
      <c r="I1491" s="8"/>
      <c r="J1491" s="8" t="s">
        <v>1894</v>
      </c>
      <c r="K1491" s="27" t="s">
        <v>1874</v>
      </c>
      <c r="L1491" s="28">
        <f>_xlfn.NUMBERVALUE(LEFT(Activities[[#This Row],[Fiscal Year]], 4))</f>
        <v>2017</v>
      </c>
      <c r="M1491" s="28" t="s">
        <v>1862</v>
      </c>
      <c r="N1491" s="41">
        <v>7309</v>
      </c>
      <c r="O1491" s="93">
        <f>IF(Activities[[#This Row],[Reference Year]]&gt;2018,Activities[[#This Row],[Value]],Activities[[#This Row],[Value]]*(1+VLOOKUP(Activities[[#This Row],[Reference Year]],Inflation[#All],3,FALSE)))</f>
        <v>7503.7575642594866</v>
      </c>
    </row>
    <row r="1492" spans="1:15" ht="15" customHeight="1" x14ac:dyDescent="0.25">
      <c r="A1492" s="9" t="s">
        <v>300</v>
      </c>
      <c r="B1492" s="9" t="str">
        <f>INDEX(Places[Type],MATCH(Activities[[#This Row],[Jurisdiction]],Places[Jurisdiction],0))</f>
        <v>Other</v>
      </c>
      <c r="C1492" s="19" t="str">
        <f>INDEX(Places[County],MATCH(Activities[[#This Row],[Jurisdiction]],Places[Jurisdiction],0))</f>
        <v>San Diego</v>
      </c>
      <c r="D1492" s="9" t="str">
        <f>INDEX(Places[Majority RB],MATCH(Activities[[#This Row],[Jurisdiction]],Places[Jurisdiction],0))</f>
        <v>San Diego</v>
      </c>
      <c r="E1492" s="9">
        <f>INDEX(Places[Majority RB '#],MATCH(Activities[[#This Row],[Jurisdiction]],Places[Jurisdiction],0))</f>
        <v>9</v>
      </c>
      <c r="F1492" s="28" t="str">
        <f>VLOOKUP(Activities[[#This Row],[Jurisdiction]],Places[#All],8,FALSE)</f>
        <v>Phase I MS4</v>
      </c>
      <c r="G1492" s="48" t="s">
        <v>1421</v>
      </c>
      <c r="H1492" s="8"/>
      <c r="I1492" s="8"/>
      <c r="J1492" s="8" t="s">
        <v>1894</v>
      </c>
      <c r="K1492" s="27" t="s">
        <v>1874</v>
      </c>
      <c r="L1492" s="28">
        <f>_xlfn.NUMBERVALUE(LEFT(Activities[[#This Row],[Fiscal Year]], 4))</f>
        <v>2017</v>
      </c>
      <c r="M1492" s="28" t="s">
        <v>1862</v>
      </c>
      <c r="N1492" s="41">
        <v>168192</v>
      </c>
      <c r="O1492" s="93">
        <f>IF(Activities[[#This Row],[Reference Year]]&gt;2018,Activities[[#This Row],[Value]],Activities[[#This Row],[Value]]*(1+VLOOKUP(Activities[[#This Row],[Reference Year]],Inflation[#All],3,FALSE)))</f>
        <v>172673.68891064872</v>
      </c>
    </row>
    <row r="1493" spans="1:15" ht="15" customHeight="1" x14ac:dyDescent="0.25">
      <c r="A1493" s="9" t="s">
        <v>300</v>
      </c>
      <c r="B1493" s="9" t="str">
        <f>INDEX(Places[Type],MATCH(Activities[[#This Row],[Jurisdiction]],Places[Jurisdiction],0))</f>
        <v>Other</v>
      </c>
      <c r="C1493" s="19" t="str">
        <f>INDEX(Places[County],MATCH(Activities[[#This Row],[Jurisdiction]],Places[Jurisdiction],0))</f>
        <v>San Diego</v>
      </c>
      <c r="D1493" s="9" t="str">
        <f>INDEX(Places[Majority RB],MATCH(Activities[[#This Row],[Jurisdiction]],Places[Jurisdiction],0))</f>
        <v>San Diego</v>
      </c>
      <c r="E1493" s="9">
        <f>INDEX(Places[Majority RB '#],MATCH(Activities[[#This Row],[Jurisdiction]],Places[Jurisdiction],0))</f>
        <v>9</v>
      </c>
      <c r="F1493" s="28" t="str">
        <f>VLOOKUP(Activities[[#This Row],[Jurisdiction]],Places[#All],8,FALSE)</f>
        <v>Phase I MS4</v>
      </c>
      <c r="G1493" s="48" t="s">
        <v>1393</v>
      </c>
      <c r="H1493" s="8"/>
      <c r="I1493" s="8"/>
      <c r="J1493" s="8" t="s">
        <v>1896</v>
      </c>
      <c r="K1493" s="27" t="s">
        <v>1874</v>
      </c>
      <c r="L1493" s="28">
        <f>_xlfn.NUMBERVALUE(LEFT(Activities[[#This Row],[Fiscal Year]], 4))</f>
        <v>2017</v>
      </c>
      <c r="M1493" s="28" t="s">
        <v>1862</v>
      </c>
      <c r="N1493" s="41">
        <v>1913</v>
      </c>
      <c r="O1493" s="93">
        <f>IF(Activities[[#This Row],[Reference Year]]&gt;2018,Activities[[#This Row],[Value]],Activities[[#This Row],[Value]]*(1+VLOOKUP(Activities[[#This Row],[Reference Year]],Inflation[#All],3,FALSE)))</f>
        <v>1963.9743084455326</v>
      </c>
    </row>
    <row r="1494" spans="1:15" ht="15" customHeight="1" x14ac:dyDescent="0.25">
      <c r="A1494" s="9" t="s">
        <v>300</v>
      </c>
      <c r="B1494" s="9" t="str">
        <f>INDEX(Places[Type],MATCH(Activities[[#This Row],[Jurisdiction]],Places[Jurisdiction],0))</f>
        <v>Other</v>
      </c>
      <c r="C1494" s="19" t="str">
        <f>INDEX(Places[County],MATCH(Activities[[#This Row],[Jurisdiction]],Places[Jurisdiction],0))</f>
        <v>San Diego</v>
      </c>
      <c r="D1494" s="9" t="str">
        <f>INDEX(Places[Majority RB],MATCH(Activities[[#This Row],[Jurisdiction]],Places[Jurisdiction],0))</f>
        <v>San Diego</v>
      </c>
      <c r="E1494" s="9">
        <f>INDEX(Places[Majority RB '#],MATCH(Activities[[#This Row],[Jurisdiction]],Places[Jurisdiction],0))</f>
        <v>9</v>
      </c>
      <c r="F1494" s="28" t="str">
        <f>VLOOKUP(Activities[[#This Row],[Jurisdiction]],Places[#All],8,FALSE)</f>
        <v>Phase I MS4</v>
      </c>
      <c r="G1494" s="48" t="s">
        <v>1394</v>
      </c>
      <c r="H1494" s="8"/>
      <c r="I1494" s="8"/>
      <c r="J1494" s="8" t="s">
        <v>1896</v>
      </c>
      <c r="K1494" s="27" t="s">
        <v>1874</v>
      </c>
      <c r="L1494" s="28">
        <f>_xlfn.NUMBERVALUE(LEFT(Activities[[#This Row],[Fiscal Year]], 4))</f>
        <v>2017</v>
      </c>
      <c r="M1494" s="28" t="s">
        <v>1862</v>
      </c>
      <c r="N1494" s="41">
        <v>5708</v>
      </c>
      <c r="O1494" s="93">
        <f>IF(Activities[[#This Row],[Reference Year]]&gt;2018,Activities[[#This Row],[Value]],Activities[[#This Row],[Value]]*(1+VLOOKUP(Activities[[#This Row],[Reference Year]],Inflation[#All],3,FALSE)))</f>
        <v>5860.0968910648726</v>
      </c>
    </row>
    <row r="1495" spans="1:15" ht="15" customHeight="1" x14ac:dyDescent="0.25">
      <c r="A1495" s="9" t="s">
        <v>300</v>
      </c>
      <c r="B1495" s="9" t="str">
        <f>INDEX(Places[Type],MATCH(Activities[[#This Row],[Jurisdiction]],Places[Jurisdiction],0))</f>
        <v>Other</v>
      </c>
      <c r="C1495" s="19" t="str">
        <f>INDEX(Places[County],MATCH(Activities[[#This Row],[Jurisdiction]],Places[Jurisdiction],0))</f>
        <v>San Diego</v>
      </c>
      <c r="D1495" s="9" t="str">
        <f>INDEX(Places[Majority RB],MATCH(Activities[[#This Row],[Jurisdiction]],Places[Jurisdiction],0))</f>
        <v>San Diego</v>
      </c>
      <c r="E1495" s="9">
        <f>INDEX(Places[Majority RB '#],MATCH(Activities[[#This Row],[Jurisdiction]],Places[Jurisdiction],0))</f>
        <v>9</v>
      </c>
      <c r="F1495" s="28" t="str">
        <f>VLOOKUP(Activities[[#This Row],[Jurisdiction]],Places[#All],8,FALSE)</f>
        <v>Phase I MS4</v>
      </c>
      <c r="G1495" s="48" t="s">
        <v>1409</v>
      </c>
      <c r="H1495" s="8" t="s">
        <v>649</v>
      </c>
      <c r="I1495" s="94" t="s">
        <v>650</v>
      </c>
      <c r="J1495" s="8" t="s">
        <v>1896</v>
      </c>
      <c r="K1495" s="27" t="s">
        <v>1874</v>
      </c>
      <c r="L1495" s="28">
        <f>_xlfn.NUMBERVALUE(LEFT(Activities[[#This Row],[Fiscal Year]], 4))</f>
        <v>2017</v>
      </c>
      <c r="M1495" s="28" t="s">
        <v>1862</v>
      </c>
      <c r="N1495" s="41">
        <v>172805</v>
      </c>
      <c r="O1495" s="93">
        <f>IF(Activities[[#This Row],[Reference Year]]&gt;2018,Activities[[#This Row],[Value]],Activities[[#This Row],[Value]]*(1+VLOOKUP(Activities[[#This Row],[Reference Year]],Inflation[#All],3,FALSE)))</f>
        <v>177409.60813953492</v>
      </c>
    </row>
    <row r="1496" spans="1:15" ht="15" customHeight="1" x14ac:dyDescent="0.25">
      <c r="A1496" s="9" t="s">
        <v>300</v>
      </c>
      <c r="B1496" s="9" t="str">
        <f>INDEX(Places[Type],MATCH(Activities[[#This Row],[Jurisdiction]],Places[Jurisdiction],0))</f>
        <v>Other</v>
      </c>
      <c r="C1496" s="19" t="str">
        <f>INDEX(Places[County],MATCH(Activities[[#This Row],[Jurisdiction]],Places[Jurisdiction],0))</f>
        <v>San Diego</v>
      </c>
      <c r="D1496" s="9" t="str">
        <f>INDEX(Places[Majority RB],MATCH(Activities[[#This Row],[Jurisdiction]],Places[Jurisdiction],0))</f>
        <v>San Diego</v>
      </c>
      <c r="E1496" s="9">
        <f>INDEX(Places[Majority RB '#],MATCH(Activities[[#This Row],[Jurisdiction]],Places[Jurisdiction],0))</f>
        <v>9</v>
      </c>
      <c r="F1496" s="28" t="str">
        <f>VLOOKUP(Activities[[#This Row],[Jurisdiction]],Places[#All],8,FALSE)</f>
        <v>Phase I MS4</v>
      </c>
      <c r="G1496" s="48" t="s">
        <v>1411</v>
      </c>
      <c r="H1496" s="8"/>
      <c r="I1496" s="94" t="s">
        <v>651</v>
      </c>
      <c r="J1496" s="8" t="s">
        <v>1896</v>
      </c>
      <c r="K1496" s="27" t="s">
        <v>1874</v>
      </c>
      <c r="L1496" s="28">
        <f>_xlfn.NUMBERVALUE(LEFT(Activities[[#This Row],[Fiscal Year]], 4))</f>
        <v>2017</v>
      </c>
      <c r="M1496" s="28" t="s">
        <v>1862</v>
      </c>
      <c r="N1496" s="41">
        <v>197923</v>
      </c>
      <c r="O1496" s="93">
        <f>IF(Activities[[#This Row],[Reference Year]]&gt;2018,Activities[[#This Row],[Value]],Activities[[#This Row],[Value]]*(1+VLOOKUP(Activities[[#This Row],[Reference Year]],Inflation[#All],3,FALSE)))</f>
        <v>203196.90906976745</v>
      </c>
    </row>
    <row r="1497" spans="1:15" ht="15" customHeight="1" x14ac:dyDescent="0.25">
      <c r="A1497" s="9" t="s">
        <v>300</v>
      </c>
      <c r="B1497" s="9" t="str">
        <f>INDEX(Places[Type],MATCH(Activities[[#This Row],[Jurisdiction]],Places[Jurisdiction],0))</f>
        <v>Other</v>
      </c>
      <c r="C1497" s="19" t="str">
        <f>INDEX(Places[County],MATCH(Activities[[#This Row],[Jurisdiction]],Places[Jurisdiction],0))</f>
        <v>San Diego</v>
      </c>
      <c r="D1497" s="9" t="str">
        <f>INDEX(Places[Majority RB],MATCH(Activities[[#This Row],[Jurisdiction]],Places[Jurisdiction],0))</f>
        <v>San Diego</v>
      </c>
      <c r="E1497" s="9">
        <f>INDEX(Places[Majority RB '#],MATCH(Activities[[#This Row],[Jurisdiction]],Places[Jurisdiction],0))</f>
        <v>9</v>
      </c>
      <c r="F1497" s="28" t="str">
        <f>VLOOKUP(Activities[[#This Row],[Jurisdiction]],Places[#All],8,FALSE)</f>
        <v>Phase I MS4</v>
      </c>
      <c r="G1497" s="48" t="s">
        <v>1418</v>
      </c>
      <c r="H1497" s="8"/>
      <c r="I1497" s="8"/>
      <c r="J1497" s="8" t="s">
        <v>47</v>
      </c>
      <c r="K1497" s="27" t="s">
        <v>1874</v>
      </c>
      <c r="L1497" s="28">
        <f>_xlfn.NUMBERVALUE(LEFT(Activities[[#This Row],[Fiscal Year]], 4))</f>
        <v>2017</v>
      </c>
      <c r="M1497" s="28" t="s">
        <v>1862</v>
      </c>
      <c r="N1497" s="41">
        <v>2824</v>
      </c>
      <c r="O1497" s="93">
        <f>IF(Activities[[#This Row],[Reference Year]]&gt;2018,Activities[[#This Row],[Value]],Activities[[#This Row],[Value]]*(1+VLOOKUP(Activities[[#This Row],[Reference Year]],Inflation[#All],3,FALSE)))</f>
        <v>2899.2490575275401</v>
      </c>
    </row>
    <row r="1498" spans="1:15" ht="15" customHeight="1" x14ac:dyDescent="0.25">
      <c r="A1498" s="9" t="s">
        <v>300</v>
      </c>
      <c r="B1498" s="9" t="str">
        <f>INDEX(Places[Type],MATCH(Activities[[#This Row],[Jurisdiction]],Places[Jurisdiction],0))</f>
        <v>Other</v>
      </c>
      <c r="C1498" s="19" t="str">
        <f>INDEX(Places[County],MATCH(Activities[[#This Row],[Jurisdiction]],Places[Jurisdiction],0))</f>
        <v>San Diego</v>
      </c>
      <c r="D1498" s="9" t="str">
        <f>INDEX(Places[Majority RB],MATCH(Activities[[#This Row],[Jurisdiction]],Places[Jurisdiction],0))</f>
        <v>San Diego</v>
      </c>
      <c r="E1498" s="9">
        <f>INDEX(Places[Majority RB '#],MATCH(Activities[[#This Row],[Jurisdiction]],Places[Jurisdiction],0))</f>
        <v>9</v>
      </c>
      <c r="F1498" s="28" t="str">
        <f>VLOOKUP(Activities[[#This Row],[Jurisdiction]],Places[#All],8,FALSE)</f>
        <v>Phase I MS4</v>
      </c>
      <c r="G1498" s="48" t="s">
        <v>1391</v>
      </c>
      <c r="H1498" s="96"/>
      <c r="I1498" s="8"/>
      <c r="J1498" s="8" t="s">
        <v>47</v>
      </c>
      <c r="K1498" s="27" t="s">
        <v>1874</v>
      </c>
      <c r="L1498" s="28">
        <f>_xlfn.NUMBERVALUE(LEFT(Activities[[#This Row],[Fiscal Year]], 4))</f>
        <v>2017</v>
      </c>
      <c r="M1498" s="28" t="s">
        <v>1862</v>
      </c>
      <c r="N1498" s="41">
        <v>10992</v>
      </c>
      <c r="O1498" s="93">
        <f>IF(Activities[[#This Row],[Reference Year]]&gt;2018,Activities[[#This Row],[Value]],Activities[[#This Row],[Value]]*(1+VLOOKUP(Activities[[#This Row],[Reference Year]],Inflation[#All],3,FALSE)))</f>
        <v>11284.895764993882</v>
      </c>
    </row>
    <row r="1499" spans="1:15" ht="15" customHeight="1" x14ac:dyDescent="0.25">
      <c r="A1499" s="9" t="s">
        <v>300</v>
      </c>
      <c r="B1499" s="9" t="str">
        <f>INDEX(Places[Type],MATCH(Activities[[#This Row],[Jurisdiction]],Places[Jurisdiction],0))</f>
        <v>Other</v>
      </c>
      <c r="C1499" s="19" t="str">
        <f>INDEX(Places[County],MATCH(Activities[[#This Row],[Jurisdiction]],Places[Jurisdiction],0))</f>
        <v>San Diego</v>
      </c>
      <c r="D1499" s="9" t="str">
        <f>INDEX(Places[Majority RB],MATCH(Activities[[#This Row],[Jurisdiction]],Places[Jurisdiction],0))</f>
        <v>San Diego</v>
      </c>
      <c r="E1499" s="9">
        <f>INDEX(Places[Majority RB '#],MATCH(Activities[[#This Row],[Jurisdiction]],Places[Jurisdiction],0))</f>
        <v>9</v>
      </c>
      <c r="F1499" s="28" t="str">
        <f>VLOOKUP(Activities[[#This Row],[Jurisdiction]],Places[#All],8,FALSE)</f>
        <v>Phase I MS4</v>
      </c>
      <c r="G1499" s="48" t="s">
        <v>1392</v>
      </c>
      <c r="H1499" s="8"/>
      <c r="I1499" s="8"/>
      <c r="J1499" s="8" t="s">
        <v>47</v>
      </c>
      <c r="K1499" s="27" t="s">
        <v>1874</v>
      </c>
      <c r="L1499" s="28">
        <f>_xlfn.NUMBERVALUE(LEFT(Activities[[#This Row],[Fiscal Year]], 4))</f>
        <v>2017</v>
      </c>
      <c r="M1499" s="28" t="s">
        <v>1862</v>
      </c>
      <c r="N1499" s="41">
        <v>13139</v>
      </c>
      <c r="O1499" s="93">
        <f>IF(Activities[[#This Row],[Reference Year]]&gt;2018,Activities[[#This Row],[Value]],Activities[[#This Row],[Value]]*(1+VLOOKUP(Activities[[#This Row],[Reference Year]],Inflation[#All],3,FALSE)))</f>
        <v>13489.105299877603</v>
      </c>
    </row>
    <row r="1500" spans="1:15" ht="15" customHeight="1" x14ac:dyDescent="0.25">
      <c r="A1500" s="9" t="s">
        <v>300</v>
      </c>
      <c r="B1500" s="9" t="str">
        <f>INDEX(Places[Type],MATCH(Activities[[#This Row],[Jurisdiction]],Places[Jurisdiction],0))</f>
        <v>Other</v>
      </c>
      <c r="C1500" s="19" t="str">
        <f>INDEX(Places[County],MATCH(Activities[[#This Row],[Jurisdiction]],Places[Jurisdiction],0))</f>
        <v>San Diego</v>
      </c>
      <c r="D1500" s="9" t="str">
        <f>INDEX(Places[Majority RB],MATCH(Activities[[#This Row],[Jurisdiction]],Places[Jurisdiction],0))</f>
        <v>San Diego</v>
      </c>
      <c r="E1500" s="9">
        <f>INDEX(Places[Majority RB '#],MATCH(Activities[[#This Row],[Jurisdiction]],Places[Jurisdiction],0))</f>
        <v>9</v>
      </c>
      <c r="F1500" s="28" t="str">
        <f>VLOOKUP(Activities[[#This Row],[Jurisdiction]],Places[#All],8,FALSE)</f>
        <v>Phase I MS4</v>
      </c>
      <c r="G1500" s="48" t="s">
        <v>1390</v>
      </c>
      <c r="H1500" s="96"/>
      <c r="I1500" s="8"/>
      <c r="J1500" s="8" t="s">
        <v>47</v>
      </c>
      <c r="K1500" s="27" t="s">
        <v>1874</v>
      </c>
      <c r="L1500" s="28">
        <f>_xlfn.NUMBERVALUE(LEFT(Activities[[#This Row],[Fiscal Year]], 4))</f>
        <v>2017</v>
      </c>
      <c r="M1500" s="28" t="s">
        <v>1862</v>
      </c>
      <c r="N1500" s="41">
        <v>14940</v>
      </c>
      <c r="O1500" s="93">
        <f>IF(Activities[[#This Row],[Reference Year]]&gt;2018,Activities[[#This Row],[Value]],Activities[[#This Row],[Value]]*(1+VLOOKUP(Activities[[#This Row],[Reference Year]],Inflation[#All],3,FALSE)))</f>
        <v>15338.09522643819</v>
      </c>
    </row>
    <row r="1501" spans="1:15" ht="15" customHeight="1" x14ac:dyDescent="0.25">
      <c r="A1501" s="9" t="s">
        <v>300</v>
      </c>
      <c r="B1501" s="9" t="str">
        <f>INDEX(Places[Type],MATCH(Activities[[#This Row],[Jurisdiction]],Places[Jurisdiction],0))</f>
        <v>Other</v>
      </c>
      <c r="C1501" s="19" t="str">
        <f>INDEX(Places[County],MATCH(Activities[[#This Row],[Jurisdiction]],Places[Jurisdiction],0))</f>
        <v>San Diego</v>
      </c>
      <c r="D1501" s="9" t="str">
        <f>INDEX(Places[Majority RB],MATCH(Activities[[#This Row],[Jurisdiction]],Places[Jurisdiction],0))</f>
        <v>San Diego</v>
      </c>
      <c r="E1501" s="9">
        <f>INDEX(Places[Majority RB '#],MATCH(Activities[[#This Row],[Jurisdiction]],Places[Jurisdiction],0))</f>
        <v>9</v>
      </c>
      <c r="F1501" s="28" t="str">
        <f>VLOOKUP(Activities[[#This Row],[Jurisdiction]],Places[#All],8,FALSE)</f>
        <v>Phase I MS4</v>
      </c>
      <c r="G1501" s="48" t="s">
        <v>1417</v>
      </c>
      <c r="H1501" s="8"/>
      <c r="I1501" s="8"/>
      <c r="J1501" s="8" t="s">
        <v>47</v>
      </c>
      <c r="K1501" s="27" t="s">
        <v>1874</v>
      </c>
      <c r="L1501" s="28">
        <f>_xlfn.NUMBERVALUE(LEFT(Activities[[#This Row],[Fiscal Year]], 4))</f>
        <v>2017</v>
      </c>
      <c r="M1501" s="28" t="s">
        <v>1862</v>
      </c>
      <c r="N1501" s="41">
        <v>70066</v>
      </c>
      <c r="O1501" s="93">
        <f>IF(Activities[[#This Row],[Reference Year]]&gt;2018,Activities[[#This Row],[Value]],Activities[[#This Row],[Value]]*(1+VLOOKUP(Activities[[#This Row],[Reference Year]],Inflation[#All],3,FALSE)))</f>
        <v>71932.99733170135</v>
      </c>
    </row>
    <row r="1502" spans="1:15" ht="15" customHeight="1" x14ac:dyDescent="0.25">
      <c r="A1502" s="9" t="s">
        <v>300</v>
      </c>
      <c r="B1502" s="9" t="str">
        <f>INDEX(Places[Type],MATCH(Activities[[#This Row],[Jurisdiction]],Places[Jurisdiction],0))</f>
        <v>Other</v>
      </c>
      <c r="C1502" s="19" t="str">
        <f>INDEX(Places[County],MATCH(Activities[[#This Row],[Jurisdiction]],Places[Jurisdiction],0))</f>
        <v>San Diego</v>
      </c>
      <c r="D1502" s="9" t="str">
        <f>INDEX(Places[Majority RB],MATCH(Activities[[#This Row],[Jurisdiction]],Places[Jurisdiction],0))</f>
        <v>San Diego</v>
      </c>
      <c r="E1502" s="9">
        <f>INDEX(Places[Majority RB '#],MATCH(Activities[[#This Row],[Jurisdiction]],Places[Jurisdiction],0))</f>
        <v>9</v>
      </c>
      <c r="F1502" s="28" t="str">
        <f>VLOOKUP(Activities[[#This Row],[Jurisdiction]],Places[#All],8,FALSE)</f>
        <v>Phase I MS4</v>
      </c>
      <c r="G1502" s="48" t="s">
        <v>1388</v>
      </c>
      <c r="H1502" s="96"/>
      <c r="I1502" s="8"/>
      <c r="J1502" s="8" t="s">
        <v>605</v>
      </c>
      <c r="K1502" s="27" t="s">
        <v>1874</v>
      </c>
      <c r="L1502" s="28">
        <f>_xlfn.NUMBERVALUE(LEFT(Activities[[#This Row],[Fiscal Year]], 4))</f>
        <v>2017</v>
      </c>
      <c r="M1502" s="28" t="s">
        <v>1862</v>
      </c>
      <c r="N1502" s="41">
        <v>869</v>
      </c>
      <c r="O1502" s="93">
        <f>IF(Activities[[#This Row],[Reference Year]]&gt;2018,Activities[[#This Row],[Value]],Activities[[#This Row],[Value]]*(1+VLOOKUP(Activities[[#This Row],[Reference Year]],Inflation[#All],3,FALSE)))</f>
        <v>892.15560587515313</v>
      </c>
    </row>
    <row r="1503" spans="1:15" ht="15" customHeight="1" x14ac:dyDescent="0.25">
      <c r="A1503" s="9" t="s">
        <v>300</v>
      </c>
      <c r="B1503" s="9" t="str">
        <f>INDEX(Places[Type],MATCH(Activities[[#This Row],[Jurisdiction]],Places[Jurisdiction],0))</f>
        <v>Other</v>
      </c>
      <c r="C1503" s="19" t="str">
        <f>INDEX(Places[County],MATCH(Activities[[#This Row],[Jurisdiction]],Places[Jurisdiction],0))</f>
        <v>San Diego</v>
      </c>
      <c r="D1503" s="9" t="str">
        <f>INDEX(Places[Majority RB],MATCH(Activities[[#This Row],[Jurisdiction]],Places[Jurisdiction],0))</f>
        <v>San Diego</v>
      </c>
      <c r="E1503" s="9">
        <f>INDEX(Places[Majority RB '#],MATCH(Activities[[#This Row],[Jurisdiction]],Places[Jurisdiction],0))</f>
        <v>9</v>
      </c>
      <c r="F1503" s="28" t="str">
        <f>VLOOKUP(Activities[[#This Row],[Jurisdiction]],Places[#All],8,FALSE)</f>
        <v>Phase I MS4</v>
      </c>
      <c r="G1503" s="48" t="s">
        <v>1416</v>
      </c>
      <c r="H1503" s="8"/>
      <c r="I1503" s="8"/>
      <c r="J1503" s="8" t="s">
        <v>605</v>
      </c>
      <c r="K1503" s="27" t="s">
        <v>1874</v>
      </c>
      <c r="L1503" s="28">
        <f>_xlfn.NUMBERVALUE(LEFT(Activities[[#This Row],[Fiscal Year]], 4))</f>
        <v>2017</v>
      </c>
      <c r="M1503" s="28" t="s">
        <v>1862</v>
      </c>
      <c r="N1503" s="41">
        <v>6317</v>
      </c>
      <c r="O1503" s="93">
        <f>IF(Activities[[#This Row],[Reference Year]]&gt;2018,Activities[[#This Row],[Value]],Activities[[#This Row],[Value]]*(1+VLOOKUP(Activities[[#This Row],[Reference Year]],Inflation[#All],3,FALSE)))</f>
        <v>6485.32446756426</v>
      </c>
    </row>
    <row r="1504" spans="1:15" ht="15" customHeight="1" x14ac:dyDescent="0.25">
      <c r="A1504" s="9" t="s">
        <v>300</v>
      </c>
      <c r="B1504" s="9" t="str">
        <f>INDEX(Places[Type],MATCH(Activities[[#This Row],[Jurisdiction]],Places[Jurisdiction],0))</f>
        <v>Other</v>
      </c>
      <c r="C1504" s="19" t="str">
        <f>INDEX(Places[County],MATCH(Activities[[#This Row],[Jurisdiction]],Places[Jurisdiction],0))</f>
        <v>San Diego</v>
      </c>
      <c r="D1504" s="9" t="str">
        <f>INDEX(Places[Majority RB],MATCH(Activities[[#This Row],[Jurisdiction]],Places[Jurisdiction],0))</f>
        <v>San Diego</v>
      </c>
      <c r="E1504" s="9">
        <f>INDEX(Places[Majority RB '#],MATCH(Activities[[#This Row],[Jurisdiction]],Places[Jurisdiction],0))</f>
        <v>9</v>
      </c>
      <c r="F1504" s="28" t="str">
        <f>VLOOKUP(Activities[[#This Row],[Jurisdiction]],Places[#All],8,FALSE)</f>
        <v>Phase I MS4</v>
      </c>
      <c r="G1504" s="48" t="s">
        <v>1387</v>
      </c>
      <c r="H1504" s="96"/>
      <c r="I1504" s="8"/>
      <c r="J1504" s="8" t="s">
        <v>605</v>
      </c>
      <c r="K1504" s="27" t="s">
        <v>1874</v>
      </c>
      <c r="L1504" s="28">
        <f>_xlfn.NUMBERVALUE(LEFT(Activities[[#This Row],[Fiscal Year]], 4))</f>
        <v>2017</v>
      </c>
      <c r="M1504" s="28" t="s">
        <v>1862</v>
      </c>
      <c r="N1504" s="41">
        <v>9097</v>
      </c>
      <c r="O1504" s="93">
        <f>IF(Activities[[#This Row],[Reference Year]]&gt;2018,Activities[[#This Row],[Value]],Activities[[#This Row],[Value]]*(1+VLOOKUP(Activities[[#This Row],[Reference Year]],Inflation[#All],3,FALSE)))</f>
        <v>9339.4010893512859</v>
      </c>
    </row>
    <row r="1505" spans="1:15" ht="15" customHeight="1" x14ac:dyDescent="0.25">
      <c r="A1505" s="9" t="s">
        <v>300</v>
      </c>
      <c r="B1505" s="9" t="str">
        <f>INDEX(Places[Type],MATCH(Activities[[#This Row],[Jurisdiction]],Places[Jurisdiction],0))</f>
        <v>Other</v>
      </c>
      <c r="C1505" s="19" t="str">
        <f>INDEX(Places[County],MATCH(Activities[[#This Row],[Jurisdiction]],Places[Jurisdiction],0))</f>
        <v>San Diego</v>
      </c>
      <c r="D1505" s="9" t="str">
        <f>INDEX(Places[Majority RB],MATCH(Activities[[#This Row],[Jurisdiction]],Places[Jurisdiction],0))</f>
        <v>San Diego</v>
      </c>
      <c r="E1505" s="9">
        <f>INDEX(Places[Majority RB '#],MATCH(Activities[[#This Row],[Jurisdiction]],Places[Jurisdiction],0))</f>
        <v>9</v>
      </c>
      <c r="F1505" s="28" t="str">
        <f>VLOOKUP(Activities[[#This Row],[Jurisdiction]],Places[#All],8,FALSE)</f>
        <v>Phase I MS4</v>
      </c>
      <c r="G1505" s="48" t="s">
        <v>1389</v>
      </c>
      <c r="H1505" s="96"/>
      <c r="I1505" s="8"/>
      <c r="J1505" s="8" t="s">
        <v>605</v>
      </c>
      <c r="K1505" s="27" t="s">
        <v>1874</v>
      </c>
      <c r="L1505" s="28">
        <f>_xlfn.NUMBERVALUE(LEFT(Activities[[#This Row],[Fiscal Year]], 4))</f>
        <v>2017</v>
      </c>
      <c r="M1505" s="28" t="s">
        <v>1862</v>
      </c>
      <c r="N1505" s="41">
        <v>32584</v>
      </c>
      <c r="O1505" s="93">
        <f>IF(Activities[[#This Row],[Reference Year]]&gt;2018,Activities[[#This Row],[Value]],Activities[[#This Row],[Value]]*(1+VLOOKUP(Activities[[#This Row],[Reference Year]],Inflation[#All],3,FALSE)))</f>
        <v>33452.241958384337</v>
      </c>
    </row>
    <row r="1506" spans="1:15" ht="15" customHeight="1" x14ac:dyDescent="0.25">
      <c r="A1506" s="9" t="s">
        <v>300</v>
      </c>
      <c r="B1506" s="9" t="str">
        <f>INDEX(Places[Type],MATCH(Activities[[#This Row],[Jurisdiction]],Places[Jurisdiction],0))</f>
        <v>Other</v>
      </c>
      <c r="C1506" s="19" t="str">
        <f>INDEX(Places[County],MATCH(Activities[[#This Row],[Jurisdiction]],Places[Jurisdiction],0))</f>
        <v>San Diego</v>
      </c>
      <c r="D1506" s="9" t="str">
        <f>INDEX(Places[Majority RB],MATCH(Activities[[#This Row],[Jurisdiction]],Places[Jurisdiction],0))</f>
        <v>San Diego</v>
      </c>
      <c r="E1506" s="9">
        <f>INDEX(Places[Majority RB '#],MATCH(Activities[[#This Row],[Jurisdiction]],Places[Jurisdiction],0))</f>
        <v>9</v>
      </c>
      <c r="F1506" s="28" t="str">
        <f>VLOOKUP(Activities[[#This Row],[Jurisdiction]],Places[#All],8,FALSE)</f>
        <v>Phase I MS4</v>
      </c>
      <c r="G1506" s="48" t="s">
        <v>1415</v>
      </c>
      <c r="H1506" s="8"/>
      <c r="I1506" s="8"/>
      <c r="J1506" s="8" t="s">
        <v>605</v>
      </c>
      <c r="K1506" s="27" t="s">
        <v>1874</v>
      </c>
      <c r="L1506" s="28">
        <f>_xlfn.NUMBERVALUE(LEFT(Activities[[#This Row],[Fiscal Year]], 4))</f>
        <v>2017</v>
      </c>
      <c r="M1506" s="28" t="s">
        <v>1862</v>
      </c>
      <c r="N1506" s="41">
        <v>39998</v>
      </c>
      <c r="O1506" s="93">
        <f>IF(Activities[[#This Row],[Reference Year]]&gt;2018,Activities[[#This Row],[Value]],Activities[[#This Row],[Value]]*(1+VLOOKUP(Activities[[#This Row],[Reference Year]],Inflation[#All],3,FALSE)))</f>
        <v>41063.797380660959</v>
      </c>
    </row>
    <row r="1507" spans="1:15" ht="15" customHeight="1" x14ac:dyDescent="0.25">
      <c r="A1507" s="9" t="s">
        <v>300</v>
      </c>
      <c r="B1507" s="9" t="str">
        <f>INDEX(Places[Type],MATCH(Activities[[#This Row],[Jurisdiction]],Places[Jurisdiction],0))</f>
        <v>Other</v>
      </c>
      <c r="C1507" s="19" t="str">
        <f>INDEX(Places[County],MATCH(Activities[[#This Row],[Jurisdiction]],Places[Jurisdiction],0))</f>
        <v>San Diego</v>
      </c>
      <c r="D1507" s="9" t="str">
        <f>INDEX(Places[Majority RB],MATCH(Activities[[#This Row],[Jurisdiction]],Places[Jurisdiction],0))</f>
        <v>San Diego</v>
      </c>
      <c r="E1507" s="9">
        <f>INDEX(Places[Majority RB '#],MATCH(Activities[[#This Row],[Jurisdiction]],Places[Jurisdiction],0))</f>
        <v>9</v>
      </c>
      <c r="F1507" s="28" t="str">
        <f>VLOOKUP(Activities[[#This Row],[Jurisdiction]],Places[#All],8,FALSE)</f>
        <v>Phase I MS4</v>
      </c>
      <c r="G1507" s="48" t="s">
        <v>1385</v>
      </c>
      <c r="H1507" s="96"/>
      <c r="I1507" s="8"/>
      <c r="J1507" s="8" t="s">
        <v>605</v>
      </c>
      <c r="K1507" s="27" t="s">
        <v>1874</v>
      </c>
      <c r="L1507" s="28">
        <f>_xlfn.NUMBERVALUE(LEFT(Activities[[#This Row],[Fiscal Year]], 4))</f>
        <v>2017</v>
      </c>
      <c r="M1507" s="28" t="s">
        <v>1862</v>
      </c>
      <c r="N1507" s="41">
        <v>42306</v>
      </c>
      <c r="O1507" s="93">
        <f>IF(Activities[[#This Row],[Reference Year]]&gt;2018,Activities[[#This Row],[Value]],Activities[[#This Row],[Value]]*(1+VLOOKUP(Activities[[#This Row],[Reference Year]],Inflation[#All],3,FALSE)))</f>
        <v>43433.29696450429</v>
      </c>
    </row>
    <row r="1508" spans="1:15" ht="15" customHeight="1" x14ac:dyDescent="0.25">
      <c r="A1508" s="9" t="s">
        <v>300</v>
      </c>
      <c r="B1508" s="9" t="str">
        <f>INDEX(Places[Type],MATCH(Activities[[#This Row],[Jurisdiction]],Places[Jurisdiction],0))</f>
        <v>Other</v>
      </c>
      <c r="C1508" s="19" t="str">
        <f>INDEX(Places[County],MATCH(Activities[[#This Row],[Jurisdiction]],Places[Jurisdiction],0))</f>
        <v>San Diego</v>
      </c>
      <c r="D1508" s="9" t="str">
        <f>INDEX(Places[Majority RB],MATCH(Activities[[#This Row],[Jurisdiction]],Places[Jurisdiction],0))</f>
        <v>San Diego</v>
      </c>
      <c r="E1508" s="9">
        <f>INDEX(Places[Majority RB '#],MATCH(Activities[[#This Row],[Jurisdiction]],Places[Jurisdiction],0))</f>
        <v>9</v>
      </c>
      <c r="F1508" s="28" t="str">
        <f>VLOOKUP(Activities[[#This Row],[Jurisdiction]],Places[#All],8,FALSE)</f>
        <v>Phase I MS4</v>
      </c>
      <c r="G1508" s="48" t="s">
        <v>1420</v>
      </c>
      <c r="H1508" s="8"/>
      <c r="I1508" s="8"/>
      <c r="J1508" s="8" t="s">
        <v>605</v>
      </c>
      <c r="K1508" s="27" t="s">
        <v>1874</v>
      </c>
      <c r="L1508" s="28">
        <f>_xlfn.NUMBERVALUE(LEFT(Activities[[#This Row],[Fiscal Year]], 4))</f>
        <v>2017</v>
      </c>
      <c r="M1508" s="28" t="s">
        <v>1862</v>
      </c>
      <c r="N1508" s="41">
        <v>46910</v>
      </c>
      <c r="O1508" s="93">
        <f>IF(Activities[[#This Row],[Reference Year]]&gt;2018,Activities[[#This Row],[Value]],Activities[[#This Row],[Value]]*(1+VLOOKUP(Activities[[#This Row],[Reference Year]],Inflation[#All],3,FALSE)))</f>
        <v>48159.976376988991</v>
      </c>
    </row>
    <row r="1509" spans="1:15" ht="15" customHeight="1" x14ac:dyDescent="0.25">
      <c r="A1509" s="9" t="s">
        <v>300</v>
      </c>
      <c r="B1509" s="9" t="str">
        <f>INDEX(Places[Type],MATCH(Activities[[#This Row],[Jurisdiction]],Places[Jurisdiction],0))</f>
        <v>Other</v>
      </c>
      <c r="C1509" s="19" t="str">
        <f>INDEX(Places[County],MATCH(Activities[[#This Row],[Jurisdiction]],Places[Jurisdiction],0))</f>
        <v>San Diego</v>
      </c>
      <c r="D1509" s="9" t="str">
        <f>INDEX(Places[Majority RB],MATCH(Activities[[#This Row],[Jurisdiction]],Places[Jurisdiction],0))</f>
        <v>San Diego</v>
      </c>
      <c r="E1509" s="9">
        <f>INDEX(Places[Majority RB '#],MATCH(Activities[[#This Row],[Jurisdiction]],Places[Jurisdiction],0))</f>
        <v>9</v>
      </c>
      <c r="F1509" s="28" t="str">
        <f>VLOOKUP(Activities[[#This Row],[Jurisdiction]],Places[#All],8,FALSE)</f>
        <v>Phase I MS4</v>
      </c>
      <c r="G1509" s="48" t="s">
        <v>1386</v>
      </c>
      <c r="H1509" s="96"/>
      <c r="I1509" s="8"/>
      <c r="J1509" s="8" t="s">
        <v>605</v>
      </c>
      <c r="K1509" s="27" t="s">
        <v>1874</v>
      </c>
      <c r="L1509" s="28">
        <f>_xlfn.NUMBERVALUE(LEFT(Activities[[#This Row],[Fiscal Year]], 4))</f>
        <v>2017</v>
      </c>
      <c r="M1509" s="28" t="s">
        <v>1862</v>
      </c>
      <c r="N1509" s="41">
        <v>69934</v>
      </c>
      <c r="O1509" s="93">
        <f>IF(Activities[[#This Row],[Reference Year]]&gt;2018,Activities[[#This Row],[Value]],Activities[[#This Row],[Value]]*(1+VLOOKUP(Activities[[#This Row],[Reference Year]],Inflation[#All],3,FALSE)))</f>
        <v>71797.48002447981</v>
      </c>
    </row>
    <row r="1510" spans="1:15" ht="15" customHeight="1" x14ac:dyDescent="0.25">
      <c r="A1510" s="9" t="s">
        <v>300</v>
      </c>
      <c r="B1510" s="9" t="str">
        <f>INDEX(Places[Type],MATCH(Activities[[#This Row],[Jurisdiction]],Places[Jurisdiction],0))</f>
        <v>Other</v>
      </c>
      <c r="C1510" s="19" t="str">
        <f>INDEX(Places[County],MATCH(Activities[[#This Row],[Jurisdiction]],Places[Jurisdiction],0))</f>
        <v>San Diego</v>
      </c>
      <c r="D1510" s="9" t="str">
        <f>INDEX(Places[Majority RB],MATCH(Activities[[#This Row],[Jurisdiction]],Places[Jurisdiction],0))</f>
        <v>San Diego</v>
      </c>
      <c r="E1510" s="9">
        <f>INDEX(Places[Majority RB '#],MATCH(Activities[[#This Row],[Jurisdiction]],Places[Jurisdiction],0))</f>
        <v>9</v>
      </c>
      <c r="F1510" s="28" t="str">
        <f>VLOOKUP(Activities[[#This Row],[Jurisdiction]],Places[#All],8,FALSE)</f>
        <v>Phase I MS4</v>
      </c>
      <c r="G1510" s="48" t="s">
        <v>1414</v>
      </c>
      <c r="H1510" s="8"/>
      <c r="I1510" s="8"/>
      <c r="J1510" s="8" t="s">
        <v>605</v>
      </c>
      <c r="K1510" s="27" t="s">
        <v>1874</v>
      </c>
      <c r="L1510" s="28">
        <f>_xlfn.NUMBERVALUE(LEFT(Activities[[#This Row],[Fiscal Year]], 4))</f>
        <v>2017</v>
      </c>
      <c r="M1510" s="28" t="s">
        <v>1862</v>
      </c>
      <c r="N1510" s="41">
        <v>222260</v>
      </c>
      <c r="O1510" s="93">
        <f>IF(Activities[[#This Row],[Reference Year]]&gt;2018,Activities[[#This Row],[Value]],Activities[[#This Row],[Value]]*(1+VLOOKUP(Activities[[#This Row],[Reference Year]],Inflation[#All],3,FALSE)))</f>
        <v>228182.3992656059</v>
      </c>
    </row>
    <row r="1511" spans="1:15" ht="15" customHeight="1" x14ac:dyDescent="0.25">
      <c r="A1511" s="9" t="s">
        <v>154</v>
      </c>
      <c r="B1511" s="9" t="str">
        <f>INDEX(Places[Type],MATCH(Activities[[#This Row],[Jurisdiction]],Places[Jurisdiction],0))</f>
        <v>City</v>
      </c>
      <c r="C1511" s="19" t="str">
        <f>INDEX(Places[County],MATCH(Activities[[#This Row],[Jurisdiction]],Places[Jurisdiction],0))</f>
        <v>Los Angeles</v>
      </c>
      <c r="D1511" s="19" t="str">
        <f>INDEX(Places[Majority RB],MATCH(Activities[[#This Row],[Jurisdiction]],Places[Jurisdiction],0))</f>
        <v>Los Angeles</v>
      </c>
      <c r="E1511" s="9">
        <f>INDEX(Places[Majority RB '#],MATCH(Activities[[#This Row],[Jurisdiction]],Places[Jurisdiction],0))</f>
        <v>4</v>
      </c>
      <c r="F1511" s="28" t="str">
        <f>VLOOKUP(Activities[[#This Row],[Jurisdiction]],Places[#All],8,FALSE)</f>
        <v>Phase I MS4</v>
      </c>
      <c r="G1511" s="48" t="s">
        <v>851</v>
      </c>
      <c r="H1511" s="8"/>
      <c r="I1511" s="8"/>
      <c r="J1511" s="8" t="s">
        <v>76</v>
      </c>
      <c r="K1511" s="27" t="s">
        <v>1873</v>
      </c>
      <c r="L1511" s="28">
        <f>_xlfn.NUMBERVALUE(LEFT(Activities[[#This Row],[Fiscal Year]], 4))</f>
        <v>2015</v>
      </c>
      <c r="M1511" s="28" t="s">
        <v>1862</v>
      </c>
      <c r="N1511" s="41">
        <v>50000</v>
      </c>
      <c r="O1511" s="93">
        <f>IF(Activities[[#This Row],[Reference Year]]&gt;2018,Activities[[#This Row],[Value]],Activities[[#This Row],[Value]]*(1+VLOOKUP(Activities[[#This Row],[Reference Year]],Inflation[#All],3,FALSE)))</f>
        <v>53086.708860759492</v>
      </c>
    </row>
    <row r="1512" spans="1:15" ht="15" customHeight="1" x14ac:dyDescent="0.25">
      <c r="A1512" s="9" t="s">
        <v>154</v>
      </c>
      <c r="B1512" s="9" t="str">
        <f>INDEX(Places[Type],MATCH(Activities[[#This Row],[Jurisdiction]],Places[Jurisdiction],0))</f>
        <v>City</v>
      </c>
      <c r="C1512" s="19" t="str">
        <f>INDEX(Places[County],MATCH(Activities[[#This Row],[Jurisdiction]],Places[Jurisdiction],0))</f>
        <v>Los Angeles</v>
      </c>
      <c r="D1512" s="19" t="str">
        <f>INDEX(Places[Majority RB],MATCH(Activities[[#This Row],[Jurisdiction]],Places[Jurisdiction],0))</f>
        <v>Los Angeles</v>
      </c>
      <c r="E1512" s="9">
        <f>INDEX(Places[Majority RB '#],MATCH(Activities[[#This Row],[Jurisdiction]],Places[Jurisdiction],0))</f>
        <v>4</v>
      </c>
      <c r="F1512" s="28" t="str">
        <f>VLOOKUP(Activities[[#This Row],[Jurisdiction]],Places[#All],8,FALSE)</f>
        <v>Phase I MS4</v>
      </c>
      <c r="G1512" s="48" t="s">
        <v>852</v>
      </c>
      <c r="H1512" s="8"/>
      <c r="I1512" s="8"/>
      <c r="J1512" s="8" t="s">
        <v>76</v>
      </c>
      <c r="K1512" s="27" t="s">
        <v>1873</v>
      </c>
      <c r="L1512" s="28">
        <f>_xlfn.NUMBERVALUE(LEFT(Activities[[#This Row],[Fiscal Year]], 4))</f>
        <v>2015</v>
      </c>
      <c r="M1512" s="28" t="s">
        <v>1862</v>
      </c>
      <c r="N1512" s="41">
        <v>50000</v>
      </c>
      <c r="O1512" s="93">
        <f>IF(Activities[[#This Row],[Reference Year]]&gt;2018,Activities[[#This Row],[Value]],Activities[[#This Row],[Value]]*(1+VLOOKUP(Activities[[#This Row],[Reference Year]],Inflation[#All],3,FALSE)))</f>
        <v>53086.708860759492</v>
      </c>
    </row>
    <row r="1513" spans="1:15" ht="15" customHeight="1" x14ac:dyDescent="0.25">
      <c r="A1513" s="9" t="s">
        <v>154</v>
      </c>
      <c r="B1513" s="9" t="str">
        <f>INDEX(Places[Type],MATCH(Activities[[#This Row],[Jurisdiction]],Places[Jurisdiction],0))</f>
        <v>City</v>
      </c>
      <c r="C1513" s="19" t="str">
        <f>INDEX(Places[County],MATCH(Activities[[#This Row],[Jurisdiction]],Places[Jurisdiction],0))</f>
        <v>Los Angeles</v>
      </c>
      <c r="D1513" s="19" t="str">
        <f>INDEX(Places[Majority RB],MATCH(Activities[[#This Row],[Jurisdiction]],Places[Jurisdiction],0))</f>
        <v>Los Angeles</v>
      </c>
      <c r="E1513" s="9">
        <f>INDEX(Places[Majority RB '#],MATCH(Activities[[#This Row],[Jurisdiction]],Places[Jurisdiction],0))</f>
        <v>4</v>
      </c>
      <c r="F1513" s="28" t="str">
        <f>VLOOKUP(Activities[[#This Row],[Jurisdiction]],Places[#All],8,FALSE)</f>
        <v>Phase I MS4</v>
      </c>
      <c r="G1513" s="48" t="s">
        <v>849</v>
      </c>
      <c r="H1513" s="8"/>
      <c r="I1513" s="8"/>
      <c r="J1513" s="8" t="s">
        <v>131</v>
      </c>
      <c r="K1513" s="27" t="s">
        <v>1873</v>
      </c>
      <c r="L1513" s="28">
        <f>_xlfn.NUMBERVALUE(LEFT(Activities[[#This Row],[Fiscal Year]], 4))</f>
        <v>2015</v>
      </c>
      <c r="M1513" s="28" t="s">
        <v>1862</v>
      </c>
      <c r="N1513" s="41">
        <v>30000</v>
      </c>
      <c r="O1513" s="93">
        <f>IF(Activities[[#This Row],[Reference Year]]&gt;2018,Activities[[#This Row],[Value]],Activities[[#This Row],[Value]]*(1+VLOOKUP(Activities[[#This Row],[Reference Year]],Inflation[#All],3,FALSE)))</f>
        <v>31852.025316455696</v>
      </c>
    </row>
    <row r="1514" spans="1:15" ht="15" customHeight="1" x14ac:dyDescent="0.25">
      <c r="A1514" s="9" t="s">
        <v>154</v>
      </c>
      <c r="B1514" s="9" t="str">
        <f>INDEX(Places[Type],MATCH(Activities[[#This Row],[Jurisdiction]],Places[Jurisdiction],0))</f>
        <v>City</v>
      </c>
      <c r="C1514" s="19" t="str">
        <f>INDEX(Places[County],MATCH(Activities[[#This Row],[Jurisdiction]],Places[Jurisdiction],0))</f>
        <v>Los Angeles</v>
      </c>
      <c r="D1514" s="19" t="str">
        <f>INDEX(Places[Majority RB],MATCH(Activities[[#This Row],[Jurisdiction]],Places[Jurisdiction],0))</f>
        <v>Los Angeles</v>
      </c>
      <c r="E1514" s="9">
        <f>INDEX(Places[Majority RB '#],MATCH(Activities[[#This Row],[Jurisdiction]],Places[Jurisdiction],0))</f>
        <v>4</v>
      </c>
      <c r="F1514" s="28" t="str">
        <f>VLOOKUP(Activities[[#This Row],[Jurisdiction]],Places[#All],8,FALSE)</f>
        <v>Phase I MS4</v>
      </c>
      <c r="G1514" s="48" t="s">
        <v>845</v>
      </c>
      <c r="H1514" s="8"/>
      <c r="I1514" s="8"/>
      <c r="J1514" s="8" t="s">
        <v>334</v>
      </c>
      <c r="K1514" s="27" t="s">
        <v>1873</v>
      </c>
      <c r="L1514" s="28">
        <f>_xlfn.NUMBERVALUE(LEFT(Activities[[#This Row],[Fiscal Year]], 4))</f>
        <v>2015</v>
      </c>
      <c r="M1514" s="28" t="s">
        <v>1862</v>
      </c>
      <c r="N1514" s="41">
        <v>20000</v>
      </c>
      <c r="O1514" s="93">
        <f>IF(Activities[[#This Row],[Reference Year]]&gt;2018,Activities[[#This Row],[Value]],Activities[[#This Row],[Value]]*(1+VLOOKUP(Activities[[#This Row],[Reference Year]],Inflation[#All],3,FALSE)))</f>
        <v>21234.683544303796</v>
      </c>
    </row>
    <row r="1515" spans="1:15" ht="15" customHeight="1" x14ac:dyDescent="0.25">
      <c r="A1515" s="9" t="s">
        <v>154</v>
      </c>
      <c r="B1515" s="9" t="str">
        <f>INDEX(Places[Type],MATCH(Activities[[#This Row],[Jurisdiction]],Places[Jurisdiction],0))</f>
        <v>City</v>
      </c>
      <c r="C1515" s="19" t="str">
        <f>INDEX(Places[County],MATCH(Activities[[#This Row],[Jurisdiction]],Places[Jurisdiction],0))</f>
        <v>Los Angeles</v>
      </c>
      <c r="D1515" s="19" t="str">
        <f>INDEX(Places[Majority RB],MATCH(Activities[[#This Row],[Jurisdiction]],Places[Jurisdiction],0))</f>
        <v>Los Angeles</v>
      </c>
      <c r="E1515" s="9">
        <f>INDEX(Places[Majority RB '#],MATCH(Activities[[#This Row],[Jurisdiction]],Places[Jurisdiction],0))</f>
        <v>4</v>
      </c>
      <c r="F1515" s="28" t="str">
        <f>VLOOKUP(Activities[[#This Row],[Jurisdiction]],Places[#All],8,FALSE)</f>
        <v>Phase I MS4</v>
      </c>
      <c r="G1515" s="48" t="s">
        <v>857</v>
      </c>
      <c r="H1515" s="8"/>
      <c r="I1515" s="8"/>
      <c r="J1515" s="8" t="s">
        <v>1897</v>
      </c>
      <c r="K1515" s="27" t="s">
        <v>1873</v>
      </c>
      <c r="L1515" s="28">
        <f>_xlfn.NUMBERVALUE(LEFT(Activities[[#This Row],[Fiscal Year]], 4))</f>
        <v>2015</v>
      </c>
      <c r="M1515" s="28" t="s">
        <v>1862</v>
      </c>
      <c r="N1515" s="41">
        <v>250000</v>
      </c>
      <c r="O1515" s="93">
        <f>IF(Activities[[#This Row],[Reference Year]]&gt;2018,Activities[[#This Row],[Value]],Activities[[#This Row],[Value]]*(1+VLOOKUP(Activities[[#This Row],[Reference Year]],Inflation[#All],3,FALSE)))</f>
        <v>265433.54430379748</v>
      </c>
    </row>
    <row r="1516" spans="1:15" ht="15" customHeight="1" x14ac:dyDescent="0.25">
      <c r="A1516" s="9" t="s">
        <v>154</v>
      </c>
      <c r="B1516" s="9" t="str">
        <f>INDEX(Places[Type],MATCH(Activities[[#This Row],[Jurisdiction]],Places[Jurisdiction],0))</f>
        <v>City</v>
      </c>
      <c r="C1516" s="19" t="str">
        <f>INDEX(Places[County],MATCH(Activities[[#This Row],[Jurisdiction]],Places[Jurisdiction],0))</f>
        <v>Los Angeles</v>
      </c>
      <c r="D1516" s="19" t="str">
        <f>INDEX(Places[Majority RB],MATCH(Activities[[#This Row],[Jurisdiction]],Places[Jurisdiction],0))</f>
        <v>Los Angeles</v>
      </c>
      <c r="E1516" s="9">
        <f>INDEX(Places[Majority RB '#],MATCH(Activities[[#This Row],[Jurisdiction]],Places[Jurisdiction],0))</f>
        <v>4</v>
      </c>
      <c r="F1516" s="28" t="str">
        <f>VLOOKUP(Activities[[#This Row],[Jurisdiction]],Places[#All],8,FALSE)</f>
        <v>Phase I MS4</v>
      </c>
      <c r="G1516" s="48" t="s">
        <v>846</v>
      </c>
      <c r="H1516" s="8"/>
      <c r="I1516" s="8"/>
      <c r="J1516" s="8" t="s">
        <v>1898</v>
      </c>
      <c r="K1516" s="27" t="s">
        <v>1873</v>
      </c>
      <c r="L1516" s="28">
        <f>_xlfn.NUMBERVALUE(LEFT(Activities[[#This Row],[Fiscal Year]], 4))</f>
        <v>2015</v>
      </c>
      <c r="M1516" s="28" t="s">
        <v>1862</v>
      </c>
      <c r="N1516" s="41">
        <v>1000</v>
      </c>
      <c r="O1516" s="93">
        <f>IF(Activities[[#This Row],[Reference Year]]&gt;2018,Activities[[#This Row],[Value]],Activities[[#This Row],[Value]]*(1+VLOOKUP(Activities[[#This Row],[Reference Year]],Inflation[#All],3,FALSE)))</f>
        <v>1061.7341772151899</v>
      </c>
    </row>
    <row r="1517" spans="1:15" ht="15" customHeight="1" x14ac:dyDescent="0.25">
      <c r="A1517" s="9" t="s">
        <v>154</v>
      </c>
      <c r="B1517" s="9" t="str">
        <f>INDEX(Places[Type],MATCH(Activities[[#This Row],[Jurisdiction]],Places[Jurisdiction],0))</f>
        <v>City</v>
      </c>
      <c r="C1517" s="19" t="str">
        <f>INDEX(Places[County],MATCH(Activities[[#This Row],[Jurisdiction]],Places[Jurisdiction],0))</f>
        <v>Los Angeles</v>
      </c>
      <c r="D1517" s="19" t="str">
        <f>INDEX(Places[Majority RB],MATCH(Activities[[#This Row],[Jurisdiction]],Places[Jurisdiction],0))</f>
        <v>Los Angeles</v>
      </c>
      <c r="E1517" s="9">
        <f>INDEX(Places[Majority RB '#],MATCH(Activities[[#This Row],[Jurisdiction]],Places[Jurisdiction],0))</f>
        <v>4</v>
      </c>
      <c r="F1517" s="28" t="str">
        <f>VLOOKUP(Activities[[#This Row],[Jurisdiction]],Places[#All],8,FALSE)</f>
        <v>Phase I MS4</v>
      </c>
      <c r="G1517" s="48" t="s">
        <v>847</v>
      </c>
      <c r="H1517" s="8"/>
      <c r="I1517" s="8"/>
      <c r="J1517" s="8" t="s">
        <v>1898</v>
      </c>
      <c r="K1517" s="27" t="s">
        <v>1873</v>
      </c>
      <c r="L1517" s="28">
        <f>_xlfn.NUMBERVALUE(LEFT(Activities[[#This Row],[Fiscal Year]], 4))</f>
        <v>2015</v>
      </c>
      <c r="M1517" s="28" t="s">
        <v>1862</v>
      </c>
      <c r="N1517" s="41">
        <v>10000</v>
      </c>
      <c r="O1517" s="93">
        <f>IF(Activities[[#This Row],[Reference Year]]&gt;2018,Activities[[#This Row],[Value]],Activities[[#This Row],[Value]]*(1+VLOOKUP(Activities[[#This Row],[Reference Year]],Inflation[#All],3,FALSE)))</f>
        <v>10617.341772151898</v>
      </c>
    </row>
    <row r="1518" spans="1:15" ht="15" customHeight="1" x14ac:dyDescent="0.25">
      <c r="A1518" s="9" t="s">
        <v>154</v>
      </c>
      <c r="B1518" s="9" t="str">
        <f>INDEX(Places[Type],MATCH(Activities[[#This Row],[Jurisdiction]],Places[Jurisdiction],0))</f>
        <v>City</v>
      </c>
      <c r="C1518" s="19" t="str">
        <f>INDEX(Places[County],MATCH(Activities[[#This Row],[Jurisdiction]],Places[Jurisdiction],0))</f>
        <v>Los Angeles</v>
      </c>
      <c r="D1518" s="19" t="str">
        <f>INDEX(Places[Majority RB],MATCH(Activities[[#This Row],[Jurisdiction]],Places[Jurisdiction],0))</f>
        <v>Los Angeles</v>
      </c>
      <c r="E1518" s="9">
        <f>INDEX(Places[Majority RB '#],MATCH(Activities[[#This Row],[Jurisdiction]],Places[Jurisdiction],0))</f>
        <v>4</v>
      </c>
      <c r="F1518" s="28" t="str">
        <f>VLOOKUP(Activities[[#This Row],[Jurisdiction]],Places[#All],8,FALSE)</f>
        <v>Phase I MS4</v>
      </c>
      <c r="G1518" s="48" t="s">
        <v>844</v>
      </c>
      <c r="H1518" s="8"/>
      <c r="I1518" s="8"/>
      <c r="J1518" s="8" t="s">
        <v>1456</v>
      </c>
      <c r="K1518" s="27" t="s">
        <v>1873</v>
      </c>
      <c r="L1518" s="28">
        <f>_xlfn.NUMBERVALUE(LEFT(Activities[[#This Row],[Fiscal Year]], 4))</f>
        <v>2015</v>
      </c>
      <c r="M1518" s="28" t="s">
        <v>1862</v>
      </c>
      <c r="N1518" s="41">
        <v>9000</v>
      </c>
      <c r="O1518" s="93">
        <f>IF(Activities[[#This Row],[Reference Year]]&gt;2018,Activities[[#This Row],[Value]],Activities[[#This Row],[Value]]*(1+VLOOKUP(Activities[[#This Row],[Reference Year]],Inflation[#All],3,FALSE)))</f>
        <v>9555.6075949367078</v>
      </c>
    </row>
    <row r="1519" spans="1:15" ht="15" customHeight="1" x14ac:dyDescent="0.25">
      <c r="A1519" s="9" t="s">
        <v>154</v>
      </c>
      <c r="B1519" s="9" t="str">
        <f>INDEX(Places[Type],MATCH(Activities[[#This Row],[Jurisdiction]],Places[Jurisdiction],0))</f>
        <v>City</v>
      </c>
      <c r="C1519" s="19" t="str">
        <f>INDEX(Places[County],MATCH(Activities[[#This Row],[Jurisdiction]],Places[Jurisdiction],0))</f>
        <v>Los Angeles</v>
      </c>
      <c r="D1519" s="19" t="str">
        <f>INDEX(Places[Majority RB],MATCH(Activities[[#This Row],[Jurisdiction]],Places[Jurisdiction],0))</f>
        <v>Los Angeles</v>
      </c>
      <c r="E1519" s="9">
        <f>INDEX(Places[Majority RB '#],MATCH(Activities[[#This Row],[Jurisdiction]],Places[Jurisdiction],0))</f>
        <v>4</v>
      </c>
      <c r="F1519" s="28" t="str">
        <f>VLOOKUP(Activities[[#This Row],[Jurisdiction]],Places[#All],8,FALSE)</f>
        <v>Phase I MS4</v>
      </c>
      <c r="G1519" s="56" t="s">
        <v>829</v>
      </c>
      <c r="H1519" s="8"/>
      <c r="I1519" s="8"/>
      <c r="J1519" s="8" t="s">
        <v>1894</v>
      </c>
      <c r="K1519" s="27" t="s">
        <v>1873</v>
      </c>
      <c r="L1519" s="28">
        <f>_xlfn.NUMBERVALUE(LEFT(Activities[[#This Row],[Fiscal Year]], 4))</f>
        <v>2015</v>
      </c>
      <c r="M1519" s="28" t="s">
        <v>1862</v>
      </c>
      <c r="N1519" s="41">
        <v>90000</v>
      </c>
      <c r="O1519" s="93">
        <f>IF(Activities[[#This Row],[Reference Year]]&gt;2018,Activities[[#This Row],[Value]],Activities[[#This Row],[Value]]*(1+VLOOKUP(Activities[[#This Row],[Reference Year]],Inflation[#All],3,FALSE)))</f>
        <v>95556.075949367078</v>
      </c>
    </row>
    <row r="1520" spans="1:15" ht="15" customHeight="1" x14ac:dyDescent="0.25">
      <c r="A1520" s="9" t="s">
        <v>154</v>
      </c>
      <c r="B1520" s="9" t="str">
        <f>INDEX(Places[Type],MATCH(Activities[[#This Row],[Jurisdiction]],Places[Jurisdiction],0))</f>
        <v>City</v>
      </c>
      <c r="C1520" s="19" t="str">
        <f>INDEX(Places[County],MATCH(Activities[[#This Row],[Jurisdiction]],Places[Jurisdiction],0))</f>
        <v>Los Angeles</v>
      </c>
      <c r="D1520" s="19" t="str">
        <f>INDEX(Places[Majority RB],MATCH(Activities[[#This Row],[Jurisdiction]],Places[Jurisdiction],0))</f>
        <v>Los Angeles</v>
      </c>
      <c r="E1520" s="9">
        <f>INDEX(Places[Majority RB '#],MATCH(Activities[[#This Row],[Jurisdiction]],Places[Jurisdiction],0))</f>
        <v>4</v>
      </c>
      <c r="F1520" s="28" t="str">
        <f>VLOOKUP(Activities[[#This Row],[Jurisdiction]],Places[#All],8,FALSE)</f>
        <v>Phase I MS4</v>
      </c>
      <c r="G1520" s="56" t="s">
        <v>902</v>
      </c>
      <c r="H1520" s="8"/>
      <c r="I1520" s="8"/>
      <c r="J1520" s="8" t="s">
        <v>1896</v>
      </c>
      <c r="K1520" s="27" t="s">
        <v>1873</v>
      </c>
      <c r="L1520" s="28">
        <f>_xlfn.NUMBERVALUE(LEFT(Activities[[#This Row],[Fiscal Year]], 4))</f>
        <v>2015</v>
      </c>
      <c r="M1520" s="28" t="s">
        <v>1862</v>
      </c>
      <c r="N1520" s="41">
        <v>40000</v>
      </c>
      <c r="O1520" s="93">
        <f>IF(Activities[[#This Row],[Reference Year]]&gt;2018,Activities[[#This Row],[Value]],Activities[[#This Row],[Value]]*(1+VLOOKUP(Activities[[#This Row],[Reference Year]],Inflation[#All],3,FALSE)))</f>
        <v>42469.367088607592</v>
      </c>
    </row>
    <row r="1521" spans="1:15" ht="15" customHeight="1" x14ac:dyDescent="0.25">
      <c r="A1521" s="9" t="s">
        <v>154</v>
      </c>
      <c r="B1521" s="9" t="str">
        <f>INDEX(Places[Type],MATCH(Activities[[#This Row],[Jurisdiction]],Places[Jurisdiction],0))</f>
        <v>City</v>
      </c>
      <c r="C1521" s="19" t="str">
        <f>INDEX(Places[County],MATCH(Activities[[#This Row],[Jurisdiction]],Places[Jurisdiction],0))</f>
        <v>Los Angeles</v>
      </c>
      <c r="D1521" s="19" t="str">
        <f>INDEX(Places[Majority RB],MATCH(Activities[[#This Row],[Jurisdiction]],Places[Jurisdiction],0))</f>
        <v>Los Angeles</v>
      </c>
      <c r="E1521" s="9">
        <f>INDEX(Places[Majority RB '#],MATCH(Activities[[#This Row],[Jurisdiction]],Places[Jurisdiction],0))</f>
        <v>4</v>
      </c>
      <c r="F1521" s="28" t="str">
        <f>VLOOKUP(Activities[[#This Row],[Jurisdiction]],Places[#All],8,FALSE)</f>
        <v>Phase I MS4</v>
      </c>
      <c r="G1521" s="56" t="s">
        <v>854</v>
      </c>
      <c r="H1521" s="8"/>
      <c r="I1521" s="8"/>
      <c r="J1521" s="8" t="s">
        <v>47</v>
      </c>
      <c r="K1521" s="27" t="s">
        <v>1873</v>
      </c>
      <c r="L1521" s="28">
        <f>_xlfn.NUMBERVALUE(LEFT(Activities[[#This Row],[Fiscal Year]], 4))</f>
        <v>2015</v>
      </c>
      <c r="M1521" s="28" t="s">
        <v>1862</v>
      </c>
      <c r="N1521" s="41">
        <v>30000</v>
      </c>
      <c r="O1521" s="93">
        <f>IF(Activities[[#This Row],[Reference Year]]&gt;2018,Activities[[#This Row],[Value]],Activities[[#This Row],[Value]]*(1+VLOOKUP(Activities[[#This Row],[Reference Year]],Inflation[#All],3,FALSE)))</f>
        <v>31852.025316455696</v>
      </c>
    </row>
    <row r="1522" spans="1:15" ht="15" customHeight="1" x14ac:dyDescent="0.25">
      <c r="A1522" s="9" t="s">
        <v>195</v>
      </c>
      <c r="B1522" s="9" t="str">
        <f>INDEX(Places[Type],MATCH(Activities[[#This Row],[Jurisdiction]],Places[Jurisdiction],0))</f>
        <v>City</v>
      </c>
      <c r="C1522" s="19" t="str">
        <f>INDEX(Places[County],MATCH(Activities[[#This Row],[Jurisdiction]],Places[Jurisdiction],0))</f>
        <v>Los Angeles</v>
      </c>
      <c r="D1522" s="19" t="str">
        <f>INDEX(Places[Majority RB],MATCH(Activities[[#This Row],[Jurisdiction]],Places[Jurisdiction],0))</f>
        <v>Los Angeles</v>
      </c>
      <c r="E1522" s="9">
        <f>INDEX(Places[Majority RB '#],MATCH(Activities[[#This Row],[Jurisdiction]],Places[Jurisdiction],0))</f>
        <v>4</v>
      </c>
      <c r="F1522" s="28" t="str">
        <f>VLOOKUP(Activities[[#This Row],[Jurisdiction]],Places[#All],8,FALSE)</f>
        <v>Phase I MS4</v>
      </c>
      <c r="G1522" s="48" t="s">
        <v>62</v>
      </c>
      <c r="H1522" s="8"/>
      <c r="I1522" s="8"/>
      <c r="J1522" s="8" t="s">
        <v>131</v>
      </c>
      <c r="K1522" s="27" t="s">
        <v>1873</v>
      </c>
      <c r="L1522" s="28">
        <f>_xlfn.NUMBERVALUE(LEFT(Activities[[#This Row],[Fiscal Year]], 4))</f>
        <v>2015</v>
      </c>
      <c r="M1522" s="28" t="s">
        <v>1862</v>
      </c>
      <c r="N1522" s="41">
        <v>8000</v>
      </c>
      <c r="O1522" s="93">
        <f>IF(Activities[[#This Row],[Reference Year]]&gt;2018,Activities[[#This Row],[Value]],Activities[[#This Row],[Value]]*(1+VLOOKUP(Activities[[#This Row],[Reference Year]],Inflation[#All],3,FALSE)))</f>
        <v>8493.8734177215192</v>
      </c>
    </row>
    <row r="1523" spans="1:15" ht="15" customHeight="1" x14ac:dyDescent="0.25">
      <c r="A1523" s="9" t="s">
        <v>195</v>
      </c>
      <c r="B1523" s="9" t="str">
        <f>INDEX(Places[Type],MATCH(Activities[[#This Row],[Jurisdiction]],Places[Jurisdiction],0))</f>
        <v>City</v>
      </c>
      <c r="C1523" s="19" t="str">
        <f>INDEX(Places[County],MATCH(Activities[[#This Row],[Jurisdiction]],Places[Jurisdiction],0))</f>
        <v>Los Angeles</v>
      </c>
      <c r="D1523" s="19" t="str">
        <f>INDEX(Places[Majority RB],MATCH(Activities[[#This Row],[Jurisdiction]],Places[Jurisdiction],0))</f>
        <v>Los Angeles</v>
      </c>
      <c r="E1523" s="9">
        <f>INDEX(Places[Majority RB '#],MATCH(Activities[[#This Row],[Jurisdiction]],Places[Jurisdiction],0))</f>
        <v>4</v>
      </c>
      <c r="F1523" s="28" t="str">
        <f>VLOOKUP(Activities[[#This Row],[Jurisdiction]],Places[#All],8,FALSE)</f>
        <v>Phase I MS4</v>
      </c>
      <c r="G1523" s="48" t="s">
        <v>208</v>
      </c>
      <c r="H1523" s="8"/>
      <c r="I1523" s="8"/>
      <c r="J1523" s="8" t="s">
        <v>334</v>
      </c>
      <c r="K1523" s="27" t="s">
        <v>1873</v>
      </c>
      <c r="L1523" s="28">
        <f>_xlfn.NUMBERVALUE(LEFT(Activities[[#This Row],[Fiscal Year]], 4))</f>
        <v>2015</v>
      </c>
      <c r="M1523" s="28" t="s">
        <v>1862</v>
      </c>
      <c r="N1523" s="41">
        <v>20000</v>
      </c>
      <c r="O1523" s="93">
        <f>IF(Activities[[#This Row],[Reference Year]]&gt;2018,Activities[[#This Row],[Value]],Activities[[#This Row],[Value]]*(1+VLOOKUP(Activities[[#This Row],[Reference Year]],Inflation[#All],3,FALSE)))</f>
        <v>21234.683544303796</v>
      </c>
    </row>
    <row r="1524" spans="1:15" ht="15" customHeight="1" x14ac:dyDescent="0.25">
      <c r="A1524" s="9" t="s">
        <v>195</v>
      </c>
      <c r="B1524" s="9" t="str">
        <f>INDEX(Places[Type],MATCH(Activities[[#This Row],[Jurisdiction]],Places[Jurisdiction],0))</f>
        <v>City</v>
      </c>
      <c r="C1524" s="19" t="str">
        <f>INDEX(Places[County],MATCH(Activities[[#This Row],[Jurisdiction]],Places[Jurisdiction],0))</f>
        <v>Los Angeles</v>
      </c>
      <c r="D1524" s="19" t="str">
        <f>INDEX(Places[Majority RB],MATCH(Activities[[#This Row],[Jurisdiction]],Places[Jurisdiction],0))</f>
        <v>Los Angeles</v>
      </c>
      <c r="E1524" s="9">
        <f>INDEX(Places[Majority RB '#],MATCH(Activities[[#This Row],[Jurisdiction]],Places[Jurisdiction],0))</f>
        <v>4</v>
      </c>
      <c r="F1524" s="28" t="str">
        <f>VLOOKUP(Activities[[#This Row],[Jurisdiction]],Places[#All],8,FALSE)</f>
        <v>Phase I MS4</v>
      </c>
      <c r="G1524" s="48" t="s">
        <v>61</v>
      </c>
      <c r="H1524" s="8"/>
      <c r="I1524" s="8"/>
      <c r="J1524" s="8" t="s">
        <v>1897</v>
      </c>
      <c r="K1524" s="27" t="s">
        <v>1873</v>
      </c>
      <c r="L1524" s="28">
        <f>_xlfn.NUMBERVALUE(LEFT(Activities[[#This Row],[Fiscal Year]], 4))</f>
        <v>2015</v>
      </c>
      <c r="M1524" s="28" t="s">
        <v>1862</v>
      </c>
      <c r="N1524" s="41">
        <v>289000</v>
      </c>
      <c r="O1524" s="93">
        <f>IF(Activities[[#This Row],[Reference Year]]&gt;2018,Activities[[#This Row],[Value]],Activities[[#This Row],[Value]]*(1+VLOOKUP(Activities[[#This Row],[Reference Year]],Inflation[#All],3,FALSE)))</f>
        <v>306841.17721518985</v>
      </c>
    </row>
    <row r="1525" spans="1:15" ht="15" customHeight="1" x14ac:dyDescent="0.25">
      <c r="A1525" s="9" t="s">
        <v>195</v>
      </c>
      <c r="B1525" s="9" t="str">
        <f>INDEX(Places[Type],MATCH(Activities[[#This Row],[Jurisdiction]],Places[Jurisdiction],0))</f>
        <v>City</v>
      </c>
      <c r="C1525" s="19" t="str">
        <f>INDEX(Places[County],MATCH(Activities[[#This Row],[Jurisdiction]],Places[Jurisdiction],0))</f>
        <v>Los Angeles</v>
      </c>
      <c r="D1525" s="19" t="str">
        <f>INDEX(Places[Majority RB],MATCH(Activities[[#This Row],[Jurisdiction]],Places[Jurisdiction],0))</f>
        <v>Los Angeles</v>
      </c>
      <c r="E1525" s="9">
        <f>INDEX(Places[Majority RB '#],MATCH(Activities[[#This Row],[Jurisdiction]],Places[Jurisdiction],0))</f>
        <v>4</v>
      </c>
      <c r="F1525" s="28" t="str">
        <f>VLOOKUP(Activities[[#This Row],[Jurisdiction]],Places[#All],8,FALSE)</f>
        <v>Phase I MS4</v>
      </c>
      <c r="G1525" s="48" t="s">
        <v>60</v>
      </c>
      <c r="H1525" s="8"/>
      <c r="I1525" s="8"/>
      <c r="J1525" s="8" t="s">
        <v>1898</v>
      </c>
      <c r="K1525" s="27" t="s">
        <v>1873</v>
      </c>
      <c r="L1525" s="28">
        <f>_xlfn.NUMBERVALUE(LEFT(Activities[[#This Row],[Fiscal Year]], 4))</f>
        <v>2015</v>
      </c>
      <c r="M1525" s="28" t="s">
        <v>1862</v>
      </c>
      <c r="N1525" s="41">
        <v>5000</v>
      </c>
      <c r="O1525" s="93">
        <f>IF(Activities[[#This Row],[Reference Year]]&gt;2018,Activities[[#This Row],[Value]],Activities[[#This Row],[Value]]*(1+VLOOKUP(Activities[[#This Row],[Reference Year]],Inflation[#All],3,FALSE)))</f>
        <v>5308.6708860759491</v>
      </c>
    </row>
    <row r="1526" spans="1:15" ht="15" customHeight="1" x14ac:dyDescent="0.25">
      <c r="A1526" s="9" t="s">
        <v>195</v>
      </c>
      <c r="B1526" s="9" t="str">
        <f>INDEX(Places[Type],MATCH(Activities[[#This Row],[Jurisdiction]],Places[Jurisdiction],0))</f>
        <v>City</v>
      </c>
      <c r="C1526" s="19" t="str">
        <f>INDEX(Places[County],MATCH(Activities[[#This Row],[Jurisdiction]],Places[Jurisdiction],0))</f>
        <v>Los Angeles</v>
      </c>
      <c r="D1526" s="19" t="str">
        <f>INDEX(Places[Majority RB],MATCH(Activities[[#This Row],[Jurisdiction]],Places[Jurisdiction],0))</f>
        <v>Los Angeles</v>
      </c>
      <c r="E1526" s="9">
        <f>INDEX(Places[Majority RB '#],MATCH(Activities[[#This Row],[Jurisdiction]],Places[Jurisdiction],0))</f>
        <v>4</v>
      </c>
      <c r="F1526" s="28" t="str">
        <f>VLOOKUP(Activities[[#This Row],[Jurisdiction]],Places[#All],8,FALSE)</f>
        <v>Phase I MS4</v>
      </c>
      <c r="G1526" s="48" t="s">
        <v>59</v>
      </c>
      <c r="H1526" s="8"/>
      <c r="I1526" s="8"/>
      <c r="J1526" s="8" t="s">
        <v>1898</v>
      </c>
      <c r="K1526" s="27" t="s">
        <v>1873</v>
      </c>
      <c r="L1526" s="28">
        <f>_xlfn.NUMBERVALUE(LEFT(Activities[[#This Row],[Fiscal Year]], 4))</f>
        <v>2015</v>
      </c>
      <c r="M1526" s="28" t="s">
        <v>1862</v>
      </c>
      <c r="N1526" s="41">
        <v>15000</v>
      </c>
      <c r="O1526" s="93">
        <f>IF(Activities[[#This Row],[Reference Year]]&gt;2018,Activities[[#This Row],[Value]],Activities[[#This Row],[Value]]*(1+VLOOKUP(Activities[[#This Row],[Reference Year]],Inflation[#All],3,FALSE)))</f>
        <v>15926.012658227848</v>
      </c>
    </row>
    <row r="1527" spans="1:15" ht="15" customHeight="1" x14ac:dyDescent="0.25">
      <c r="A1527" s="9" t="s">
        <v>195</v>
      </c>
      <c r="B1527" s="9" t="str">
        <f>INDEX(Places[Type],MATCH(Activities[[#This Row],[Jurisdiction]],Places[Jurisdiction],0))</f>
        <v>City</v>
      </c>
      <c r="C1527" s="19" t="str">
        <f>INDEX(Places[County],MATCH(Activities[[#This Row],[Jurisdiction]],Places[Jurisdiction],0))</f>
        <v>Los Angeles</v>
      </c>
      <c r="D1527" s="19" t="str">
        <f>INDEX(Places[Majority RB],MATCH(Activities[[#This Row],[Jurisdiction]],Places[Jurisdiction],0))</f>
        <v>Los Angeles</v>
      </c>
      <c r="E1527" s="9">
        <f>INDEX(Places[Majority RB '#],MATCH(Activities[[#This Row],[Jurisdiction]],Places[Jurisdiction],0))</f>
        <v>4</v>
      </c>
      <c r="F1527" s="28" t="str">
        <f>VLOOKUP(Activities[[#This Row],[Jurisdiction]],Places[#All],8,FALSE)</f>
        <v>Phase I MS4</v>
      </c>
      <c r="G1527" s="48" t="s">
        <v>58</v>
      </c>
      <c r="H1527" s="8"/>
      <c r="I1527" s="8"/>
      <c r="J1527" s="8" t="s">
        <v>1456</v>
      </c>
      <c r="K1527" s="27" t="s">
        <v>1873</v>
      </c>
      <c r="L1527" s="28">
        <f>_xlfn.NUMBERVALUE(LEFT(Activities[[#This Row],[Fiscal Year]], 4))</f>
        <v>2015</v>
      </c>
      <c r="M1527" s="28" t="s">
        <v>1862</v>
      </c>
      <c r="N1527" s="41">
        <v>7500</v>
      </c>
      <c r="O1527" s="93">
        <f>IF(Activities[[#This Row],[Reference Year]]&gt;2018,Activities[[#This Row],[Value]],Activities[[#This Row],[Value]]*(1+VLOOKUP(Activities[[#This Row],[Reference Year]],Inflation[#All],3,FALSE)))</f>
        <v>7963.006329113924</v>
      </c>
    </row>
    <row r="1528" spans="1:15" ht="15" customHeight="1" x14ac:dyDescent="0.25">
      <c r="A1528" s="9" t="s">
        <v>195</v>
      </c>
      <c r="B1528" s="9" t="str">
        <f>INDEX(Places[Type],MATCH(Activities[[#This Row],[Jurisdiction]],Places[Jurisdiction],0))</f>
        <v>City</v>
      </c>
      <c r="C1528" s="19" t="str">
        <f>INDEX(Places[County],MATCH(Activities[[#This Row],[Jurisdiction]],Places[Jurisdiction],0))</f>
        <v>Los Angeles</v>
      </c>
      <c r="D1528" s="19" t="str">
        <f>INDEX(Places[Majority RB],MATCH(Activities[[#This Row],[Jurisdiction]],Places[Jurisdiction],0))</f>
        <v>Los Angeles</v>
      </c>
      <c r="E1528" s="9">
        <f>INDEX(Places[Majority RB '#],MATCH(Activities[[#This Row],[Jurisdiction]],Places[Jurisdiction],0))</f>
        <v>4</v>
      </c>
      <c r="F1528" s="28" t="str">
        <f>VLOOKUP(Activities[[#This Row],[Jurisdiction]],Places[#All],8,FALSE)</f>
        <v>Phase I MS4</v>
      </c>
      <c r="G1528" s="48" t="s">
        <v>32</v>
      </c>
      <c r="H1528" s="8"/>
      <c r="I1528" s="8"/>
      <c r="J1528" s="8" t="s">
        <v>1894</v>
      </c>
      <c r="K1528" s="27" t="s">
        <v>1873</v>
      </c>
      <c r="L1528" s="28">
        <f>_xlfn.NUMBERVALUE(LEFT(Activities[[#This Row],[Fiscal Year]], 4))</f>
        <v>2015</v>
      </c>
      <c r="M1528" s="28" t="s">
        <v>1862</v>
      </c>
      <c r="N1528" s="41">
        <v>30000</v>
      </c>
      <c r="O1528" s="93">
        <f>IF(Activities[[#This Row],[Reference Year]]&gt;2018,Activities[[#This Row],[Value]],Activities[[#This Row],[Value]]*(1+VLOOKUP(Activities[[#This Row],[Reference Year]],Inflation[#All],3,FALSE)))</f>
        <v>31852.025316455696</v>
      </c>
    </row>
    <row r="1529" spans="1:15" ht="15" customHeight="1" x14ac:dyDescent="0.25">
      <c r="A1529" s="9" t="s">
        <v>195</v>
      </c>
      <c r="B1529" s="9" t="str">
        <f>INDEX(Places[Type],MATCH(Activities[[#This Row],[Jurisdiction]],Places[Jurisdiction],0))</f>
        <v>City</v>
      </c>
      <c r="C1529" s="19" t="str">
        <f>INDEX(Places[County],MATCH(Activities[[#This Row],[Jurisdiction]],Places[Jurisdiction],0))</f>
        <v>Los Angeles</v>
      </c>
      <c r="D1529" s="19" t="str">
        <f>INDEX(Places[Majority RB],MATCH(Activities[[#This Row],[Jurisdiction]],Places[Jurisdiction],0))</f>
        <v>Los Angeles</v>
      </c>
      <c r="E1529" s="9">
        <f>INDEX(Places[Majority RB '#],MATCH(Activities[[#This Row],[Jurisdiction]],Places[Jurisdiction],0))</f>
        <v>4</v>
      </c>
      <c r="F1529" s="28" t="str">
        <f>VLOOKUP(Activities[[#This Row],[Jurisdiction]],Places[#All],8,FALSE)</f>
        <v>Phase I MS4</v>
      </c>
      <c r="G1529" s="48" t="s">
        <v>33</v>
      </c>
      <c r="H1529" s="8"/>
      <c r="I1529" s="8"/>
      <c r="J1529" s="8" t="s">
        <v>47</v>
      </c>
      <c r="K1529" s="27" t="s">
        <v>1873</v>
      </c>
      <c r="L1529" s="28">
        <f>_xlfn.NUMBERVALUE(LEFT(Activities[[#This Row],[Fiscal Year]], 4))</f>
        <v>2015</v>
      </c>
      <c r="M1529" s="28" t="s">
        <v>1862</v>
      </c>
      <c r="N1529" s="41">
        <v>10000</v>
      </c>
      <c r="O1529" s="93">
        <f>IF(Activities[[#This Row],[Reference Year]]&gt;2018,Activities[[#This Row],[Value]],Activities[[#This Row],[Value]]*(1+VLOOKUP(Activities[[#This Row],[Reference Year]],Inflation[#All],3,FALSE)))</f>
        <v>10617.341772151898</v>
      </c>
    </row>
    <row r="1530" spans="1:15" ht="15" customHeight="1" x14ac:dyDescent="0.25">
      <c r="A1530" s="9" t="s">
        <v>196</v>
      </c>
      <c r="B1530" s="9" t="str">
        <f>INDEX(Places[Type],MATCH(Activities[[#This Row],[Jurisdiction]],Places[Jurisdiction],0))</f>
        <v>City</v>
      </c>
      <c r="C1530" s="19" t="str">
        <f>INDEX(Places[County],MATCH(Activities[[#This Row],[Jurisdiction]],Places[Jurisdiction],0))</f>
        <v>Los Angeles</v>
      </c>
      <c r="D1530" s="19" t="str">
        <f>INDEX(Places[Majority RB],MATCH(Activities[[#This Row],[Jurisdiction]],Places[Jurisdiction],0))</f>
        <v>Los Angeles</v>
      </c>
      <c r="E1530" s="9">
        <f>INDEX(Places[Majority RB '#],MATCH(Activities[[#This Row],[Jurisdiction]],Places[Jurisdiction],0))</f>
        <v>4</v>
      </c>
      <c r="F1530" s="28" t="str">
        <f>VLOOKUP(Activities[[#This Row],[Jurisdiction]],Places[#All],8,FALSE)</f>
        <v>Phase I MS4</v>
      </c>
      <c r="G1530" s="48" t="s">
        <v>64</v>
      </c>
      <c r="H1530" s="8"/>
      <c r="I1530" s="8"/>
      <c r="J1530" s="8" t="s">
        <v>76</v>
      </c>
      <c r="K1530" s="27" t="s">
        <v>1873</v>
      </c>
      <c r="L1530" s="28">
        <f>_xlfn.NUMBERVALUE(LEFT(Activities[[#This Row],[Fiscal Year]], 4))</f>
        <v>2015</v>
      </c>
      <c r="M1530" s="28" t="s">
        <v>1862</v>
      </c>
      <c r="N1530" s="41">
        <v>20000</v>
      </c>
      <c r="O1530" s="93">
        <f>IF(Activities[[#This Row],[Reference Year]]&gt;2018,Activities[[#This Row],[Value]],Activities[[#This Row],[Value]]*(1+VLOOKUP(Activities[[#This Row],[Reference Year]],Inflation[#All],3,FALSE)))</f>
        <v>21234.683544303796</v>
      </c>
    </row>
    <row r="1531" spans="1:15" ht="15" customHeight="1" x14ac:dyDescent="0.25">
      <c r="A1531" s="9" t="s">
        <v>196</v>
      </c>
      <c r="B1531" s="9" t="str">
        <f>INDEX(Places[Type],MATCH(Activities[[#This Row],[Jurisdiction]],Places[Jurisdiction],0))</f>
        <v>City</v>
      </c>
      <c r="C1531" s="19" t="str">
        <f>INDEX(Places[County],MATCH(Activities[[#This Row],[Jurisdiction]],Places[Jurisdiction],0))</f>
        <v>Los Angeles</v>
      </c>
      <c r="D1531" s="19" t="str">
        <f>INDEX(Places[Majority RB],MATCH(Activities[[#This Row],[Jurisdiction]],Places[Jurisdiction],0))</f>
        <v>Los Angeles</v>
      </c>
      <c r="E1531" s="9">
        <f>INDEX(Places[Majority RB '#],MATCH(Activities[[#This Row],[Jurisdiction]],Places[Jurisdiction],0))</f>
        <v>4</v>
      </c>
      <c r="F1531" s="28" t="str">
        <f>VLOOKUP(Activities[[#This Row],[Jurisdiction]],Places[#All],8,FALSE)</f>
        <v>Phase I MS4</v>
      </c>
      <c r="G1531" s="48" t="s">
        <v>62</v>
      </c>
      <c r="H1531" s="8"/>
      <c r="I1531" s="8"/>
      <c r="J1531" s="8" t="s">
        <v>131</v>
      </c>
      <c r="K1531" s="27" t="s">
        <v>1873</v>
      </c>
      <c r="L1531" s="28">
        <f>_xlfn.NUMBERVALUE(LEFT(Activities[[#This Row],[Fiscal Year]], 4))</f>
        <v>2015</v>
      </c>
      <c r="M1531" s="28" t="s">
        <v>1862</v>
      </c>
      <c r="N1531" s="41">
        <v>10000</v>
      </c>
      <c r="O1531" s="93">
        <f>IF(Activities[[#This Row],[Reference Year]]&gt;2018,Activities[[#This Row],[Value]],Activities[[#This Row],[Value]]*(1+VLOOKUP(Activities[[#This Row],[Reference Year]],Inflation[#All],3,FALSE)))</f>
        <v>10617.341772151898</v>
      </c>
    </row>
    <row r="1532" spans="1:15" ht="15" customHeight="1" x14ac:dyDescent="0.25">
      <c r="A1532" s="9" t="s">
        <v>196</v>
      </c>
      <c r="B1532" s="9" t="str">
        <f>INDEX(Places[Type],MATCH(Activities[[#This Row],[Jurisdiction]],Places[Jurisdiction],0))</f>
        <v>City</v>
      </c>
      <c r="C1532" s="19" t="str">
        <f>INDEX(Places[County],MATCH(Activities[[#This Row],[Jurisdiction]],Places[Jurisdiction],0))</f>
        <v>Los Angeles</v>
      </c>
      <c r="D1532" s="19" t="str">
        <f>INDEX(Places[Majority RB],MATCH(Activities[[#This Row],[Jurisdiction]],Places[Jurisdiction],0))</f>
        <v>Los Angeles</v>
      </c>
      <c r="E1532" s="9">
        <f>INDEX(Places[Majority RB '#],MATCH(Activities[[#This Row],[Jurisdiction]],Places[Jurisdiction],0))</f>
        <v>4</v>
      </c>
      <c r="F1532" s="28" t="str">
        <f>VLOOKUP(Activities[[#This Row],[Jurisdiction]],Places[#All],8,FALSE)</f>
        <v>Phase I MS4</v>
      </c>
      <c r="G1532" s="48" t="s">
        <v>208</v>
      </c>
      <c r="H1532" s="8"/>
      <c r="I1532" s="8"/>
      <c r="J1532" s="8" t="s">
        <v>334</v>
      </c>
      <c r="K1532" s="27" t="s">
        <v>1873</v>
      </c>
      <c r="L1532" s="28">
        <f>_xlfn.NUMBERVALUE(LEFT(Activities[[#This Row],[Fiscal Year]], 4))</f>
        <v>2015</v>
      </c>
      <c r="M1532" s="28" t="s">
        <v>1862</v>
      </c>
      <c r="N1532" s="41">
        <v>16000</v>
      </c>
      <c r="O1532" s="93">
        <f>IF(Activities[[#This Row],[Reference Year]]&gt;2018,Activities[[#This Row],[Value]],Activities[[#This Row],[Value]]*(1+VLOOKUP(Activities[[#This Row],[Reference Year]],Inflation[#All],3,FALSE)))</f>
        <v>16987.746835443038</v>
      </c>
    </row>
    <row r="1533" spans="1:15" ht="15" customHeight="1" x14ac:dyDescent="0.25">
      <c r="A1533" s="9" t="s">
        <v>196</v>
      </c>
      <c r="B1533" s="9" t="str">
        <f>INDEX(Places[Type],MATCH(Activities[[#This Row],[Jurisdiction]],Places[Jurisdiction],0))</f>
        <v>City</v>
      </c>
      <c r="C1533" s="19" t="str">
        <f>INDEX(Places[County],MATCH(Activities[[#This Row],[Jurisdiction]],Places[Jurisdiction],0))</f>
        <v>Los Angeles</v>
      </c>
      <c r="D1533" s="19" t="str">
        <f>INDEX(Places[Majority RB],MATCH(Activities[[#This Row],[Jurisdiction]],Places[Jurisdiction],0))</f>
        <v>Los Angeles</v>
      </c>
      <c r="E1533" s="9">
        <f>INDEX(Places[Majority RB '#],MATCH(Activities[[#This Row],[Jurisdiction]],Places[Jurisdiction],0))</f>
        <v>4</v>
      </c>
      <c r="F1533" s="28" t="str">
        <f>VLOOKUP(Activities[[#This Row],[Jurisdiction]],Places[#All],8,FALSE)</f>
        <v>Phase I MS4</v>
      </c>
      <c r="G1533" s="48" t="s">
        <v>61</v>
      </c>
      <c r="H1533" s="8"/>
      <c r="I1533" s="8"/>
      <c r="J1533" s="8" t="s">
        <v>1897</v>
      </c>
      <c r="K1533" s="27" t="s">
        <v>1873</v>
      </c>
      <c r="L1533" s="28">
        <f>_xlfn.NUMBERVALUE(LEFT(Activities[[#This Row],[Fiscal Year]], 4))</f>
        <v>2015</v>
      </c>
      <c r="M1533" s="28" t="s">
        <v>1862</v>
      </c>
      <c r="N1533" s="41">
        <v>224000</v>
      </c>
      <c r="O1533" s="93">
        <f>IF(Activities[[#This Row],[Reference Year]]&gt;2018,Activities[[#This Row],[Value]],Activities[[#This Row],[Value]]*(1+VLOOKUP(Activities[[#This Row],[Reference Year]],Inflation[#All],3,FALSE)))</f>
        <v>237828.45569620252</v>
      </c>
    </row>
    <row r="1534" spans="1:15" ht="15" customHeight="1" x14ac:dyDescent="0.25">
      <c r="A1534" s="9" t="s">
        <v>196</v>
      </c>
      <c r="B1534" s="9" t="str">
        <f>INDEX(Places[Type],MATCH(Activities[[#This Row],[Jurisdiction]],Places[Jurisdiction],0))</f>
        <v>City</v>
      </c>
      <c r="C1534" s="19" t="str">
        <f>INDEX(Places[County],MATCH(Activities[[#This Row],[Jurisdiction]],Places[Jurisdiction],0))</f>
        <v>Los Angeles</v>
      </c>
      <c r="D1534" s="19" t="str">
        <f>INDEX(Places[Majority RB],MATCH(Activities[[#This Row],[Jurisdiction]],Places[Jurisdiction],0))</f>
        <v>Los Angeles</v>
      </c>
      <c r="E1534" s="9">
        <f>INDEX(Places[Majority RB '#],MATCH(Activities[[#This Row],[Jurisdiction]],Places[Jurisdiction],0))</f>
        <v>4</v>
      </c>
      <c r="F1534" s="28" t="str">
        <f>VLOOKUP(Activities[[#This Row],[Jurisdiction]],Places[#All],8,FALSE)</f>
        <v>Phase I MS4</v>
      </c>
      <c r="G1534" s="48" t="s">
        <v>60</v>
      </c>
      <c r="H1534" s="8"/>
      <c r="I1534" s="8"/>
      <c r="J1534" s="8" t="s">
        <v>1898</v>
      </c>
      <c r="K1534" s="27" t="s">
        <v>1873</v>
      </c>
      <c r="L1534" s="28">
        <f>_xlfn.NUMBERVALUE(LEFT(Activities[[#This Row],[Fiscal Year]], 4))</f>
        <v>2015</v>
      </c>
      <c r="M1534" s="28" t="s">
        <v>1862</v>
      </c>
      <c r="N1534" s="41">
        <v>25000</v>
      </c>
      <c r="O1534" s="93">
        <f>IF(Activities[[#This Row],[Reference Year]]&gt;2018,Activities[[#This Row],[Value]],Activities[[#This Row],[Value]]*(1+VLOOKUP(Activities[[#This Row],[Reference Year]],Inflation[#All],3,FALSE)))</f>
        <v>26543.354430379746</v>
      </c>
    </row>
    <row r="1535" spans="1:15" ht="15" customHeight="1" x14ac:dyDescent="0.25">
      <c r="A1535" s="9" t="s">
        <v>196</v>
      </c>
      <c r="B1535" s="9" t="str">
        <f>INDEX(Places[Type],MATCH(Activities[[#This Row],[Jurisdiction]],Places[Jurisdiction],0))</f>
        <v>City</v>
      </c>
      <c r="C1535" s="19" t="str">
        <f>INDEX(Places[County],MATCH(Activities[[#This Row],[Jurisdiction]],Places[Jurisdiction],0))</f>
        <v>Los Angeles</v>
      </c>
      <c r="D1535" s="19" t="str">
        <f>INDEX(Places[Majority RB],MATCH(Activities[[#This Row],[Jurisdiction]],Places[Jurisdiction],0))</f>
        <v>Los Angeles</v>
      </c>
      <c r="E1535" s="9">
        <f>INDEX(Places[Majority RB '#],MATCH(Activities[[#This Row],[Jurisdiction]],Places[Jurisdiction],0))</f>
        <v>4</v>
      </c>
      <c r="F1535" s="28" t="str">
        <f>VLOOKUP(Activities[[#This Row],[Jurisdiction]],Places[#All],8,FALSE)</f>
        <v>Phase I MS4</v>
      </c>
      <c r="G1535" s="48" t="s">
        <v>67</v>
      </c>
      <c r="H1535" s="8"/>
      <c r="I1535" s="8"/>
      <c r="J1535" s="8" t="s">
        <v>1896</v>
      </c>
      <c r="K1535" s="27" t="s">
        <v>1873</v>
      </c>
      <c r="L1535" s="28">
        <f>_xlfn.NUMBERVALUE(LEFT(Activities[[#This Row],[Fiscal Year]], 4))</f>
        <v>2015</v>
      </c>
      <c r="M1535" s="28" t="s">
        <v>1862</v>
      </c>
      <c r="N1535" s="41">
        <v>47235</v>
      </c>
      <c r="O1535" s="93">
        <f>IF(Activities[[#This Row],[Reference Year]]&gt;2018,Activities[[#This Row],[Value]],Activities[[#This Row],[Value]]*(1+VLOOKUP(Activities[[#This Row],[Reference Year]],Inflation[#All],3,FALSE)))</f>
        <v>50151.013860759493</v>
      </c>
    </row>
    <row r="1536" spans="1:15" ht="15" customHeight="1" x14ac:dyDescent="0.25">
      <c r="A1536" s="9" t="s">
        <v>196</v>
      </c>
      <c r="B1536" s="9" t="str">
        <f>INDEX(Places[Type],MATCH(Activities[[#This Row],[Jurisdiction]],Places[Jurisdiction],0))</f>
        <v>City</v>
      </c>
      <c r="C1536" s="19" t="str">
        <f>INDEX(Places[County],MATCH(Activities[[#This Row],[Jurisdiction]],Places[Jurisdiction],0))</f>
        <v>Los Angeles</v>
      </c>
      <c r="D1536" s="19" t="str">
        <f>INDEX(Places[Majority RB],MATCH(Activities[[#This Row],[Jurisdiction]],Places[Jurisdiction],0))</f>
        <v>Los Angeles</v>
      </c>
      <c r="E1536" s="9">
        <f>INDEX(Places[Majority RB '#],MATCH(Activities[[#This Row],[Jurisdiction]],Places[Jurisdiction],0))</f>
        <v>4</v>
      </c>
      <c r="F1536" s="28" t="str">
        <f>VLOOKUP(Activities[[#This Row],[Jurisdiction]],Places[#All],8,FALSE)</f>
        <v>Phase I MS4</v>
      </c>
      <c r="G1536" s="48" t="s">
        <v>33</v>
      </c>
      <c r="H1536" s="8"/>
      <c r="I1536" s="8"/>
      <c r="J1536" s="8" t="s">
        <v>47</v>
      </c>
      <c r="K1536" s="27" t="s">
        <v>1873</v>
      </c>
      <c r="L1536" s="28">
        <f>_xlfn.NUMBERVALUE(LEFT(Activities[[#This Row],[Fiscal Year]], 4))</f>
        <v>2015</v>
      </c>
      <c r="M1536" s="28" t="s">
        <v>1862</v>
      </c>
      <c r="N1536" s="41">
        <v>66597.3</v>
      </c>
      <c r="O1536" s="93">
        <f>IF(Activities[[#This Row],[Reference Year]]&gt;2018,Activities[[#This Row],[Value]],Activities[[#This Row],[Value]]*(1+VLOOKUP(Activities[[#This Row],[Reference Year]],Inflation[#All],3,FALSE)))</f>
        <v>70708.629520253162</v>
      </c>
    </row>
    <row r="1537" spans="1:15" ht="15" customHeight="1" x14ac:dyDescent="0.25">
      <c r="A1537" s="9" t="s">
        <v>1450</v>
      </c>
      <c r="B1537" s="9" t="str">
        <f>INDEX(Places[Type],MATCH(Activities[[#This Row],[Jurisdiction]],Places[Jurisdiction],0))</f>
        <v>County</v>
      </c>
      <c r="C1537" s="19" t="str">
        <f>INDEX(Places[County],MATCH(Activities[[#This Row],[Jurisdiction]],Places[Jurisdiction],0))</f>
        <v>San Joaquin</v>
      </c>
      <c r="D1537" s="9" t="str">
        <f>INDEX(Places[Majority RB],MATCH(Activities[[#This Row],[Jurisdiction]],Places[Jurisdiction],0))</f>
        <v>Central Valley</v>
      </c>
      <c r="E1537" s="9">
        <f>INDEX(Places[Majority RB '#],MATCH(Activities[[#This Row],[Jurisdiction]],Places[Jurisdiction],0))</f>
        <v>5</v>
      </c>
      <c r="F1537" s="28" t="str">
        <f>VLOOKUP(Activities[[#This Row],[Jurisdiction]],Places[#All],8,FALSE)</f>
        <v>Phase I MS4</v>
      </c>
      <c r="G1537" s="48" t="s">
        <v>70</v>
      </c>
      <c r="H1537" s="8" t="s">
        <v>564</v>
      </c>
      <c r="I1537" s="8" t="s">
        <v>458</v>
      </c>
      <c r="J1537" s="8" t="s">
        <v>1895</v>
      </c>
      <c r="K1537" s="27" t="s">
        <v>1874</v>
      </c>
      <c r="L1537" s="28">
        <f>_xlfn.NUMBERVALUE(LEFT(Activities[[#This Row],[Fiscal Year]], 4))</f>
        <v>2017</v>
      </c>
      <c r="M1537" s="28" t="s">
        <v>1862</v>
      </c>
      <c r="N1537" s="41">
        <v>7676</v>
      </c>
      <c r="O1537" s="93">
        <f>IF(Activities[[#This Row],[Reference Year]]&gt;2018,Activities[[#This Row],[Value]],Activities[[#This Row],[Value]]*(1+VLOOKUP(Activities[[#This Row],[Reference Year]],Inflation[#All],3,FALSE)))</f>
        <v>7880.5367441860471</v>
      </c>
    </row>
    <row r="1538" spans="1:15" ht="15" customHeight="1" x14ac:dyDescent="0.25">
      <c r="A1538" s="9" t="s">
        <v>1450</v>
      </c>
      <c r="B1538" s="9" t="str">
        <f>INDEX(Places[Type],MATCH(Activities[[#This Row],[Jurisdiction]],Places[Jurisdiction],0))</f>
        <v>County</v>
      </c>
      <c r="C1538" s="19" t="str">
        <f>INDEX(Places[County],MATCH(Activities[[#This Row],[Jurisdiction]],Places[Jurisdiction],0))</f>
        <v>San Joaquin</v>
      </c>
      <c r="D1538" s="9" t="str">
        <f>INDEX(Places[Majority RB],MATCH(Activities[[#This Row],[Jurisdiction]],Places[Jurisdiction],0))</f>
        <v>Central Valley</v>
      </c>
      <c r="E1538" s="9">
        <f>INDEX(Places[Majority RB '#],MATCH(Activities[[#This Row],[Jurisdiction]],Places[Jurisdiction],0))</f>
        <v>5</v>
      </c>
      <c r="F1538" s="28" t="str">
        <f>VLOOKUP(Activities[[#This Row],[Jurisdiction]],Places[#All],8,FALSE)</f>
        <v>Phase I MS4</v>
      </c>
      <c r="G1538" s="48" t="s">
        <v>421</v>
      </c>
      <c r="H1538" s="8"/>
      <c r="I1538" s="8" t="s">
        <v>458</v>
      </c>
      <c r="J1538" s="8" t="s">
        <v>131</v>
      </c>
      <c r="K1538" s="27" t="s">
        <v>1874</v>
      </c>
      <c r="L1538" s="28">
        <f>_xlfn.NUMBERVALUE(LEFT(Activities[[#This Row],[Fiscal Year]], 4))</f>
        <v>2017</v>
      </c>
      <c r="M1538" s="28" t="s">
        <v>1862</v>
      </c>
      <c r="N1538" s="41">
        <v>10670</v>
      </c>
      <c r="O1538" s="93">
        <f>IF(Activities[[#This Row],[Reference Year]]&gt;2018,Activities[[#This Row],[Value]],Activities[[#This Row],[Value]]*(1+VLOOKUP(Activities[[#This Row],[Reference Year]],Inflation[#All],3,FALSE)))</f>
        <v>10954.315667074665</v>
      </c>
    </row>
    <row r="1539" spans="1:15" ht="15" customHeight="1" x14ac:dyDescent="0.25">
      <c r="A1539" s="9" t="s">
        <v>1450</v>
      </c>
      <c r="B1539" s="9" t="str">
        <f>INDEX(Places[Type],MATCH(Activities[[#This Row],[Jurisdiction]],Places[Jurisdiction],0))</f>
        <v>County</v>
      </c>
      <c r="C1539" s="19" t="str">
        <f>INDEX(Places[County],MATCH(Activities[[#This Row],[Jurisdiction]],Places[Jurisdiction],0))</f>
        <v>San Joaquin</v>
      </c>
      <c r="D1539" s="9" t="str">
        <f>INDEX(Places[Majority RB],MATCH(Activities[[#This Row],[Jurisdiction]],Places[Jurisdiction],0))</f>
        <v>Central Valley</v>
      </c>
      <c r="E1539" s="9">
        <f>INDEX(Places[Majority RB '#],MATCH(Activities[[#This Row],[Jurisdiction]],Places[Jurisdiction],0))</f>
        <v>5</v>
      </c>
      <c r="F1539" s="28" t="str">
        <f>VLOOKUP(Activities[[#This Row],[Jurisdiction]],Places[#All],8,FALSE)</f>
        <v>Phase I MS4</v>
      </c>
      <c r="G1539" s="48" t="s">
        <v>334</v>
      </c>
      <c r="H1539" s="8" t="s">
        <v>563</v>
      </c>
      <c r="I1539" s="8" t="s">
        <v>458</v>
      </c>
      <c r="J1539" s="8" t="s">
        <v>334</v>
      </c>
      <c r="K1539" s="27" t="s">
        <v>1874</v>
      </c>
      <c r="L1539" s="28">
        <f>_xlfn.NUMBERVALUE(LEFT(Activities[[#This Row],[Fiscal Year]], 4))</f>
        <v>2017</v>
      </c>
      <c r="M1539" s="28" t="s">
        <v>1862</v>
      </c>
      <c r="N1539" s="41">
        <v>34213</v>
      </c>
      <c r="O1539" s="93">
        <f>IF(Activities[[#This Row],[Reference Year]]&gt;2018,Activities[[#This Row],[Value]],Activities[[#This Row],[Value]]*(1+VLOOKUP(Activities[[#This Row],[Reference Year]],Inflation[#All],3,FALSE)))</f>
        <v>35124.648727050189</v>
      </c>
    </row>
    <row r="1540" spans="1:15" ht="15" customHeight="1" x14ac:dyDescent="0.25">
      <c r="A1540" s="9" t="s">
        <v>1450</v>
      </c>
      <c r="B1540" s="9" t="str">
        <f>INDEX(Places[Type],MATCH(Activities[[#This Row],[Jurisdiction]],Places[Jurisdiction],0))</f>
        <v>County</v>
      </c>
      <c r="C1540" s="19" t="str">
        <f>INDEX(Places[County],MATCH(Activities[[#This Row],[Jurisdiction]],Places[Jurisdiction],0))</f>
        <v>San Joaquin</v>
      </c>
      <c r="D1540" s="9" t="str">
        <f>INDEX(Places[Majority RB],MATCH(Activities[[#This Row],[Jurisdiction]],Places[Jurisdiction],0))</f>
        <v>Central Valley</v>
      </c>
      <c r="E1540" s="9">
        <f>INDEX(Places[Majority RB '#],MATCH(Activities[[#This Row],[Jurisdiction]],Places[Jurisdiction],0))</f>
        <v>5</v>
      </c>
      <c r="F1540" s="28" t="str">
        <f>VLOOKUP(Activities[[#This Row],[Jurisdiction]],Places[#All],8,FALSE)</f>
        <v>Phase I MS4</v>
      </c>
      <c r="G1540" s="48" t="s">
        <v>127</v>
      </c>
      <c r="H1540" s="8" t="s">
        <v>562</v>
      </c>
      <c r="I1540" s="8" t="s">
        <v>458</v>
      </c>
      <c r="J1540" s="8" t="s">
        <v>1897</v>
      </c>
      <c r="K1540" s="27" t="s">
        <v>1874</v>
      </c>
      <c r="L1540" s="28">
        <f>_xlfn.NUMBERVALUE(LEFT(Activities[[#This Row],[Fiscal Year]], 4))</f>
        <v>2017</v>
      </c>
      <c r="M1540" s="28" t="s">
        <v>1862</v>
      </c>
      <c r="N1540" s="41">
        <v>53184</v>
      </c>
      <c r="O1540" s="93">
        <f>IF(Activities[[#This Row],[Reference Year]]&gt;2018,Activities[[#This Row],[Value]],Activities[[#This Row],[Value]]*(1+VLOOKUP(Activities[[#This Row],[Reference Year]],Inflation[#All],3,FALSE)))</f>
        <v>54601.155055079565</v>
      </c>
    </row>
    <row r="1541" spans="1:15" ht="15" customHeight="1" x14ac:dyDescent="0.25">
      <c r="A1541" s="9" t="s">
        <v>1450</v>
      </c>
      <c r="B1541" s="9" t="str">
        <f>INDEX(Places[Type],MATCH(Activities[[#This Row],[Jurisdiction]],Places[Jurisdiction],0))</f>
        <v>County</v>
      </c>
      <c r="C1541" s="19" t="str">
        <f>INDEX(Places[County],MATCH(Activities[[#This Row],[Jurisdiction]],Places[Jurisdiction],0))</f>
        <v>San Joaquin</v>
      </c>
      <c r="D1541" s="9" t="str">
        <f>INDEX(Places[Majority RB],MATCH(Activities[[#This Row],[Jurisdiction]],Places[Jurisdiction],0))</f>
        <v>Central Valley</v>
      </c>
      <c r="E1541" s="9">
        <f>INDEX(Places[Majority RB '#],MATCH(Activities[[#This Row],[Jurisdiction]],Places[Jurisdiction],0))</f>
        <v>5</v>
      </c>
      <c r="F1541" s="28" t="str">
        <f>VLOOKUP(Activities[[#This Row],[Jurisdiction]],Places[#All],8,FALSE)</f>
        <v>Phase I MS4</v>
      </c>
      <c r="G1541" s="48" t="s">
        <v>418</v>
      </c>
      <c r="H1541" s="8" t="s">
        <v>565</v>
      </c>
      <c r="I1541" s="8" t="s">
        <v>458</v>
      </c>
      <c r="J1541" s="8" t="s">
        <v>1898</v>
      </c>
      <c r="K1541" s="27" t="s">
        <v>1874</v>
      </c>
      <c r="L1541" s="28">
        <f>_xlfn.NUMBERVALUE(LEFT(Activities[[#This Row],[Fiscal Year]], 4))</f>
        <v>2017</v>
      </c>
      <c r="M1541" s="28" t="s">
        <v>1862</v>
      </c>
      <c r="N1541" s="41">
        <v>12344</v>
      </c>
      <c r="O1541" s="93">
        <f>IF(Activities[[#This Row],[Reference Year]]&gt;2018,Activities[[#This Row],[Value]],Activities[[#This Row],[Value]]*(1+VLOOKUP(Activities[[#This Row],[Reference Year]],Inflation[#All],3,FALSE)))</f>
        <v>12672.92151774786</v>
      </c>
    </row>
    <row r="1542" spans="1:15" ht="15" customHeight="1" x14ac:dyDescent="0.25">
      <c r="A1542" s="9" t="s">
        <v>1450</v>
      </c>
      <c r="B1542" s="9" t="str">
        <f>INDEX(Places[Type],MATCH(Activities[[#This Row],[Jurisdiction]],Places[Jurisdiction],0))</f>
        <v>County</v>
      </c>
      <c r="C1542" s="19" t="str">
        <f>INDEX(Places[County],MATCH(Activities[[#This Row],[Jurisdiction]],Places[Jurisdiction],0))</f>
        <v>San Joaquin</v>
      </c>
      <c r="D1542" s="9" t="str">
        <f>INDEX(Places[Majority RB],MATCH(Activities[[#This Row],[Jurisdiction]],Places[Jurisdiction],0))</f>
        <v>Central Valley</v>
      </c>
      <c r="E1542" s="9">
        <f>INDEX(Places[Majority RB '#],MATCH(Activities[[#This Row],[Jurisdiction]],Places[Jurisdiction],0))</f>
        <v>5</v>
      </c>
      <c r="F1542" s="28" t="str">
        <f>VLOOKUP(Activities[[#This Row],[Jurisdiction]],Places[#All],8,FALSE)</f>
        <v>Phase I MS4</v>
      </c>
      <c r="G1542" s="48" t="s">
        <v>68</v>
      </c>
      <c r="H1542" s="8" t="s">
        <v>560</v>
      </c>
      <c r="I1542" s="47" t="s">
        <v>561</v>
      </c>
      <c r="J1542" s="8" t="s">
        <v>1456</v>
      </c>
      <c r="K1542" s="27" t="s">
        <v>1874</v>
      </c>
      <c r="L1542" s="28">
        <f>_xlfn.NUMBERVALUE(LEFT(Activities[[#This Row],[Fiscal Year]], 4))</f>
        <v>2017</v>
      </c>
      <c r="M1542" s="28" t="s">
        <v>1862</v>
      </c>
      <c r="N1542" s="41">
        <v>11076</v>
      </c>
      <c r="O1542" s="93">
        <f>IF(Activities[[#This Row],[Reference Year]]&gt;2018,Activities[[#This Row],[Value]],Activities[[#This Row],[Value]]*(1+VLOOKUP(Activities[[#This Row],[Reference Year]],Inflation[#All],3,FALSE)))</f>
        <v>11371.134051407591</v>
      </c>
    </row>
    <row r="1543" spans="1:15" ht="15" customHeight="1" x14ac:dyDescent="0.25">
      <c r="A1543" s="9" t="s">
        <v>1450</v>
      </c>
      <c r="B1543" s="9" t="str">
        <f>INDEX(Places[Type],MATCH(Activities[[#This Row],[Jurisdiction]],Places[Jurisdiction],0))</f>
        <v>County</v>
      </c>
      <c r="C1543" s="19" t="str">
        <f>INDEX(Places[County],MATCH(Activities[[#This Row],[Jurisdiction]],Places[Jurisdiction],0))</f>
        <v>San Joaquin</v>
      </c>
      <c r="D1543" s="9" t="str">
        <f>INDEX(Places[Majority RB],MATCH(Activities[[#This Row],[Jurisdiction]],Places[Jurisdiction],0))</f>
        <v>Central Valley</v>
      </c>
      <c r="E1543" s="9">
        <f>INDEX(Places[Majority RB '#],MATCH(Activities[[#This Row],[Jurisdiction]],Places[Jurisdiction],0))</f>
        <v>5</v>
      </c>
      <c r="F1543" s="28" t="str">
        <f>VLOOKUP(Activities[[#This Row],[Jurisdiction]],Places[#All],8,FALSE)</f>
        <v>Phase I MS4</v>
      </c>
      <c r="G1543" s="48" t="s">
        <v>32</v>
      </c>
      <c r="H1543" s="8" t="s">
        <v>1121</v>
      </c>
      <c r="I1543" s="8" t="s">
        <v>429</v>
      </c>
      <c r="J1543" s="8" t="s">
        <v>1894</v>
      </c>
      <c r="K1543" s="27" t="s">
        <v>1874</v>
      </c>
      <c r="L1543" s="28">
        <f>_xlfn.NUMBERVALUE(LEFT(Activities[[#This Row],[Fiscal Year]], 4))</f>
        <v>2017</v>
      </c>
      <c r="M1543" s="28" t="s">
        <v>1862</v>
      </c>
      <c r="N1543" s="41">
        <v>87437</v>
      </c>
      <c r="O1543" s="93">
        <f>IF(Activities[[#This Row],[Reference Year]]&gt;2018,Activities[[#This Row],[Value]],Activities[[#This Row],[Value]]*(1+VLOOKUP(Activities[[#This Row],[Reference Year]],Inflation[#All],3,FALSE)))</f>
        <v>89766.869632802947</v>
      </c>
    </row>
    <row r="1544" spans="1:15" ht="15" customHeight="1" x14ac:dyDescent="0.25">
      <c r="A1544" s="9" t="s">
        <v>1450</v>
      </c>
      <c r="B1544" s="9" t="str">
        <f>INDEX(Places[Type],MATCH(Activities[[#This Row],[Jurisdiction]],Places[Jurisdiction],0))</f>
        <v>County</v>
      </c>
      <c r="C1544" s="19" t="str">
        <f>INDEX(Places[County],MATCH(Activities[[#This Row],[Jurisdiction]],Places[Jurisdiction],0))</f>
        <v>San Joaquin</v>
      </c>
      <c r="D1544" s="9" t="str">
        <f>INDEX(Places[Majority RB],MATCH(Activities[[#This Row],[Jurisdiction]],Places[Jurisdiction],0))</f>
        <v>Central Valley</v>
      </c>
      <c r="E1544" s="9">
        <f>INDEX(Places[Majority RB '#],MATCH(Activities[[#This Row],[Jurisdiction]],Places[Jurisdiction],0))</f>
        <v>5</v>
      </c>
      <c r="F1544" s="28" t="str">
        <f>VLOOKUP(Activities[[#This Row],[Jurisdiction]],Places[#All],8,FALSE)</f>
        <v>Phase I MS4</v>
      </c>
      <c r="G1544" s="48" t="s">
        <v>422</v>
      </c>
      <c r="H1544" s="8"/>
      <c r="I1544" s="8"/>
      <c r="J1544" s="8" t="s">
        <v>1894</v>
      </c>
      <c r="K1544" s="27" t="s">
        <v>1874</v>
      </c>
      <c r="L1544" s="28">
        <f>_xlfn.NUMBERVALUE(LEFT(Activities[[#This Row],[Fiscal Year]], 4))</f>
        <v>2017</v>
      </c>
      <c r="M1544" s="28" t="s">
        <v>1862</v>
      </c>
      <c r="N1544" s="41">
        <v>149549</v>
      </c>
      <c r="O1544" s="93">
        <f>IF(Activities[[#This Row],[Reference Year]]&gt;2018,Activities[[#This Row],[Value]],Activities[[#This Row],[Value]]*(1+VLOOKUP(Activities[[#This Row],[Reference Year]],Inflation[#All],3,FALSE)))</f>
        <v>153533.92255813954</v>
      </c>
    </row>
    <row r="1545" spans="1:15" ht="15" customHeight="1" x14ac:dyDescent="0.25">
      <c r="A1545" s="9" t="s">
        <v>1450</v>
      </c>
      <c r="B1545" s="9" t="str">
        <f>INDEX(Places[Type],MATCH(Activities[[#This Row],[Jurisdiction]],Places[Jurisdiction],0))</f>
        <v>County</v>
      </c>
      <c r="C1545" s="19" t="str">
        <f>INDEX(Places[County],MATCH(Activities[[#This Row],[Jurisdiction]],Places[Jurisdiction],0))</f>
        <v>San Joaquin</v>
      </c>
      <c r="D1545" s="9" t="str">
        <f>INDEX(Places[Majority RB],MATCH(Activities[[#This Row],[Jurisdiction]],Places[Jurisdiction],0))</f>
        <v>Central Valley</v>
      </c>
      <c r="E1545" s="9">
        <f>INDEX(Places[Majority RB '#],MATCH(Activities[[#This Row],[Jurisdiction]],Places[Jurisdiction],0))</f>
        <v>5</v>
      </c>
      <c r="F1545" s="28" t="str">
        <f>VLOOKUP(Activities[[#This Row],[Jurisdiction]],Places[#All],8,FALSE)</f>
        <v>Phase I MS4</v>
      </c>
      <c r="G1545" s="48" t="s">
        <v>420</v>
      </c>
      <c r="H1545" s="8" t="s">
        <v>566</v>
      </c>
      <c r="I1545" s="47" t="s">
        <v>567</v>
      </c>
      <c r="J1545" s="8" t="s">
        <v>1896</v>
      </c>
      <c r="K1545" s="27" t="s">
        <v>1874</v>
      </c>
      <c r="L1545" s="28">
        <f>_xlfn.NUMBERVALUE(LEFT(Activities[[#This Row],[Fiscal Year]], 4))</f>
        <v>2017</v>
      </c>
      <c r="M1545" s="28" t="s">
        <v>1862</v>
      </c>
      <c r="N1545" s="41">
        <v>1987</v>
      </c>
      <c r="O1545" s="93">
        <f>IF(Activities[[#This Row],[Reference Year]]&gt;2018,Activities[[#This Row],[Value]],Activities[[#This Row],[Value]]*(1+VLOOKUP(Activities[[#This Row],[Reference Year]],Inflation[#All],3,FALSE)))</f>
        <v>2039.9461321909428</v>
      </c>
    </row>
    <row r="1546" spans="1:15" ht="15" customHeight="1" x14ac:dyDescent="0.25">
      <c r="A1546" s="9" t="s">
        <v>1450</v>
      </c>
      <c r="B1546" s="9" t="str">
        <f>INDEX(Places[Type],MATCH(Activities[[#This Row],[Jurisdiction]],Places[Jurisdiction],0))</f>
        <v>County</v>
      </c>
      <c r="C1546" s="19" t="str">
        <f>INDEX(Places[County],MATCH(Activities[[#This Row],[Jurisdiction]],Places[Jurisdiction],0))</f>
        <v>San Joaquin</v>
      </c>
      <c r="D1546" s="9" t="str">
        <f>INDEX(Places[Majority RB],MATCH(Activities[[#This Row],[Jurisdiction]],Places[Jurisdiction],0))</f>
        <v>Central Valley</v>
      </c>
      <c r="E1546" s="9">
        <f>INDEX(Places[Majority RB '#],MATCH(Activities[[#This Row],[Jurisdiction]],Places[Jurisdiction],0))</f>
        <v>5</v>
      </c>
      <c r="F1546" s="28" t="str">
        <f>VLOOKUP(Activities[[#This Row],[Jurisdiction]],Places[#All],8,FALSE)</f>
        <v>Phase I MS4</v>
      </c>
      <c r="G1546" s="48" t="s">
        <v>419</v>
      </c>
      <c r="H1546" s="8"/>
      <c r="I1546" s="8"/>
      <c r="J1546" s="8" t="s">
        <v>47</v>
      </c>
      <c r="K1546" s="27" t="s">
        <v>1874</v>
      </c>
      <c r="L1546" s="28">
        <f>_xlfn.NUMBERVALUE(LEFT(Activities[[#This Row],[Fiscal Year]], 4))</f>
        <v>2017</v>
      </c>
      <c r="M1546" s="28" t="s">
        <v>1862</v>
      </c>
      <c r="N1546" s="41">
        <v>22847</v>
      </c>
      <c r="O1546" s="93">
        <f>IF(Activities[[#This Row],[Reference Year]]&gt;2018,Activities[[#This Row],[Value]],Activities[[#This Row],[Value]]*(1+VLOOKUP(Activities[[#This Row],[Reference Year]],Inflation[#All],3,FALSE)))</f>
        <v>23455.787258261938</v>
      </c>
    </row>
    <row r="1547" spans="1:15" ht="15" customHeight="1" x14ac:dyDescent="0.25">
      <c r="A1547" s="9" t="s">
        <v>289</v>
      </c>
      <c r="B1547" s="9" t="str">
        <f>INDEX(Places[Type],MATCH(Activities[[#This Row],[Jurisdiction]],Places[Jurisdiction],0))</f>
        <v>City</v>
      </c>
      <c r="C1547" s="19" t="str">
        <f>INDEX(Places[County],MATCH(Activities[[#This Row],[Jurisdiction]],Places[Jurisdiction],0))</f>
        <v>Orange</v>
      </c>
      <c r="D1547" s="9" t="str">
        <f>INDEX(Places[Majority RB],MATCH(Activities[[#This Row],[Jurisdiction]],Places[Jurisdiction],0))</f>
        <v>San Diego</v>
      </c>
      <c r="E1547" s="9">
        <f>INDEX(Places[Majority RB '#],MATCH(Activities[[#This Row],[Jurisdiction]],Places[Jurisdiction],0))</f>
        <v>9</v>
      </c>
      <c r="F1547" s="28" t="str">
        <f>VLOOKUP(Activities[[#This Row],[Jurisdiction]],Places[#All],8,FALSE)</f>
        <v>Phase I MS4</v>
      </c>
      <c r="G1547" s="48" t="s">
        <v>1026</v>
      </c>
      <c r="H1547" s="8"/>
      <c r="I1547" s="8" t="s">
        <v>612</v>
      </c>
      <c r="J1547" s="8" t="s">
        <v>76</v>
      </c>
      <c r="K1547" s="27" t="s">
        <v>1874</v>
      </c>
      <c r="L1547" s="28">
        <f>_xlfn.NUMBERVALUE(LEFT(Activities[[#This Row],[Fiscal Year]], 4))</f>
        <v>2017</v>
      </c>
      <c r="M1547" s="28" t="s">
        <v>1862</v>
      </c>
      <c r="N1547" s="41">
        <v>29471</v>
      </c>
      <c r="O1547" s="93">
        <f>IF(Activities[[#This Row],[Reference Year]]&gt;2018,Activities[[#This Row],[Value]],Activities[[#This Row],[Value]]*(1+VLOOKUP(Activities[[#This Row],[Reference Year]],Inflation[#All],3,FALSE)))</f>
        <v>30256.292129742964</v>
      </c>
    </row>
    <row r="1548" spans="1:15" ht="15" customHeight="1" x14ac:dyDescent="0.25">
      <c r="A1548" s="9" t="s">
        <v>289</v>
      </c>
      <c r="B1548" s="9" t="str">
        <f>INDEX(Places[Type],MATCH(Activities[[#This Row],[Jurisdiction]],Places[Jurisdiction],0))</f>
        <v>City</v>
      </c>
      <c r="C1548" s="19" t="str">
        <f>INDEX(Places[County],MATCH(Activities[[#This Row],[Jurisdiction]],Places[Jurisdiction],0))</f>
        <v>Orange</v>
      </c>
      <c r="D1548" s="9" t="str">
        <f>INDEX(Places[Majority RB],MATCH(Activities[[#This Row],[Jurisdiction]],Places[Jurisdiction],0))</f>
        <v>San Diego</v>
      </c>
      <c r="E1548" s="9">
        <f>INDEX(Places[Majority RB '#],MATCH(Activities[[#This Row],[Jurisdiction]],Places[Jurisdiction],0))</f>
        <v>9</v>
      </c>
      <c r="F1548" s="28" t="str">
        <f>VLOOKUP(Activities[[#This Row],[Jurisdiction]],Places[#All],8,FALSE)</f>
        <v>Phase I MS4</v>
      </c>
      <c r="G1548" s="48" t="s">
        <v>1010</v>
      </c>
      <c r="H1548" s="8"/>
      <c r="I1548" s="8"/>
      <c r="J1548" s="8" t="s">
        <v>76</v>
      </c>
      <c r="K1548" s="27" t="s">
        <v>1874</v>
      </c>
      <c r="L1548" s="28">
        <f>_xlfn.NUMBERVALUE(LEFT(Activities[[#This Row],[Fiscal Year]], 4))</f>
        <v>2017</v>
      </c>
      <c r="M1548" s="28" t="s">
        <v>1862</v>
      </c>
      <c r="N1548" s="41">
        <v>1110386</v>
      </c>
      <c r="O1548" s="93">
        <f>IF(Activities[[#This Row],[Reference Year]]&gt;2018,Activities[[#This Row],[Value]],Activities[[#This Row],[Value]]*(1+VLOOKUP(Activities[[#This Row],[Reference Year]],Inflation[#All],3,FALSE)))</f>
        <v>1139973.641640147</v>
      </c>
    </row>
    <row r="1549" spans="1:15" ht="15" customHeight="1" x14ac:dyDescent="0.25">
      <c r="A1549" s="9" t="s">
        <v>289</v>
      </c>
      <c r="B1549" s="9" t="str">
        <f>INDEX(Places[Type],MATCH(Activities[[#This Row],[Jurisdiction]],Places[Jurisdiction],0))</f>
        <v>City</v>
      </c>
      <c r="C1549" s="19" t="str">
        <f>INDEX(Places[County],MATCH(Activities[[#This Row],[Jurisdiction]],Places[Jurisdiction],0))</f>
        <v>Orange</v>
      </c>
      <c r="D1549" s="9" t="str">
        <f>INDEX(Places[Majority RB],MATCH(Activities[[#This Row],[Jurisdiction]],Places[Jurisdiction],0))</f>
        <v>San Diego</v>
      </c>
      <c r="E1549" s="9">
        <f>INDEX(Places[Majority RB '#],MATCH(Activities[[#This Row],[Jurisdiction]],Places[Jurisdiction],0))</f>
        <v>9</v>
      </c>
      <c r="F1549" s="28" t="str">
        <f>VLOOKUP(Activities[[#This Row],[Jurisdiction]],Places[#All],8,FALSE)</f>
        <v>Phase I MS4</v>
      </c>
      <c r="G1549" s="48" t="s">
        <v>1037</v>
      </c>
      <c r="H1549" s="8"/>
      <c r="I1549" s="8"/>
      <c r="J1549" s="8" t="s">
        <v>76</v>
      </c>
      <c r="K1549" s="27" t="s">
        <v>1874</v>
      </c>
      <c r="L1549" s="28">
        <f>_xlfn.NUMBERVALUE(LEFT(Activities[[#This Row],[Fiscal Year]], 4))</f>
        <v>2017</v>
      </c>
      <c r="M1549" s="28" t="s">
        <v>1862</v>
      </c>
      <c r="N1549" s="41">
        <v>1196092</v>
      </c>
      <c r="O1549" s="93">
        <f>IF(Activities[[#This Row],[Reference Year]]&gt;2018,Activities[[#This Row],[Value]],Activities[[#This Row],[Value]]*(1+VLOOKUP(Activities[[#This Row],[Reference Year]],Inflation[#All],3,FALSE)))</f>
        <v>1227963.3865850675</v>
      </c>
    </row>
    <row r="1550" spans="1:15" ht="15" customHeight="1" x14ac:dyDescent="0.25">
      <c r="A1550" s="9" t="s">
        <v>289</v>
      </c>
      <c r="B1550" s="9" t="str">
        <f>INDEX(Places[Type],MATCH(Activities[[#This Row],[Jurisdiction]],Places[Jurisdiction],0))</f>
        <v>City</v>
      </c>
      <c r="C1550" s="19" t="str">
        <f>INDEX(Places[County],MATCH(Activities[[#This Row],[Jurisdiction]],Places[Jurisdiction],0))</f>
        <v>Orange</v>
      </c>
      <c r="D1550" s="9" t="str">
        <f>INDEX(Places[Majority RB],MATCH(Activities[[#This Row],[Jurisdiction]],Places[Jurisdiction],0))</f>
        <v>San Diego</v>
      </c>
      <c r="E1550" s="9">
        <f>INDEX(Places[Majority RB '#],MATCH(Activities[[#This Row],[Jurisdiction]],Places[Jurisdiction],0))</f>
        <v>9</v>
      </c>
      <c r="F1550" s="28" t="str">
        <f>VLOOKUP(Activities[[#This Row],[Jurisdiction]],Places[#All],8,FALSE)</f>
        <v>Phase I MS4</v>
      </c>
      <c r="G1550" s="48" t="s">
        <v>1069</v>
      </c>
      <c r="H1550" s="8" t="s">
        <v>513</v>
      </c>
      <c r="I1550" s="8"/>
      <c r="J1550" s="8" t="s">
        <v>1895</v>
      </c>
      <c r="K1550" s="27" t="s">
        <v>1874</v>
      </c>
      <c r="L1550" s="28">
        <f>_xlfn.NUMBERVALUE(LEFT(Activities[[#This Row],[Fiscal Year]], 4))</f>
        <v>2017</v>
      </c>
      <c r="M1550" s="28" t="s">
        <v>1862</v>
      </c>
      <c r="N1550" s="41">
        <v>70200</v>
      </c>
      <c r="O1550" s="93">
        <f>IF(Activities[[#This Row],[Reference Year]]&gt;2018,Activities[[#This Row],[Value]],Activities[[#This Row],[Value]]*(1+VLOOKUP(Activities[[#This Row],[Reference Year]],Inflation[#All],3,FALSE)))</f>
        <v>72070.567931456564</v>
      </c>
    </row>
    <row r="1551" spans="1:15" ht="15" customHeight="1" x14ac:dyDescent="0.25">
      <c r="A1551" s="9" t="s">
        <v>289</v>
      </c>
      <c r="B1551" s="9" t="str">
        <f>INDEX(Places[Type],MATCH(Activities[[#This Row],[Jurisdiction]],Places[Jurisdiction],0))</f>
        <v>City</v>
      </c>
      <c r="C1551" s="19" t="str">
        <f>INDEX(Places[County],MATCH(Activities[[#This Row],[Jurisdiction]],Places[Jurisdiction],0))</f>
        <v>Orange</v>
      </c>
      <c r="D1551" s="9" t="str">
        <f>INDEX(Places[Majority RB],MATCH(Activities[[#This Row],[Jurisdiction]],Places[Jurisdiction],0))</f>
        <v>San Diego</v>
      </c>
      <c r="E1551" s="9">
        <f>INDEX(Places[Majority RB '#],MATCH(Activities[[#This Row],[Jurisdiction]],Places[Jurisdiction],0))</f>
        <v>9</v>
      </c>
      <c r="F1551" s="28" t="str">
        <f>VLOOKUP(Activities[[#This Row],[Jurisdiction]],Places[#All],8,FALSE)</f>
        <v>Phase I MS4</v>
      </c>
      <c r="G1551" s="48" t="s">
        <v>1071</v>
      </c>
      <c r="H1551" s="8" t="s">
        <v>510</v>
      </c>
      <c r="I1551" s="8"/>
      <c r="J1551" s="8" t="s">
        <v>131</v>
      </c>
      <c r="K1551" s="27" t="s">
        <v>1874</v>
      </c>
      <c r="L1551" s="28">
        <f>_xlfn.NUMBERVALUE(LEFT(Activities[[#This Row],[Fiscal Year]], 4))</f>
        <v>2017</v>
      </c>
      <c r="M1551" s="28" t="s">
        <v>1862</v>
      </c>
      <c r="N1551" s="41">
        <v>60351.5</v>
      </c>
      <c r="O1551" s="93">
        <f>IF(Activities[[#This Row],[Reference Year]]&gt;2018,Activities[[#This Row],[Value]],Activities[[#This Row],[Value]]*(1+VLOOKUP(Activities[[#This Row],[Reference Year]],Inflation[#All],3,FALSE)))</f>
        <v>61959.642172582629</v>
      </c>
    </row>
    <row r="1552" spans="1:15" ht="15" customHeight="1" x14ac:dyDescent="0.25">
      <c r="A1552" s="9" t="s">
        <v>289</v>
      </c>
      <c r="B1552" s="9" t="str">
        <f>INDEX(Places[Type],MATCH(Activities[[#This Row],[Jurisdiction]],Places[Jurisdiction],0))</f>
        <v>City</v>
      </c>
      <c r="C1552" s="19" t="str">
        <f>INDEX(Places[County],MATCH(Activities[[#This Row],[Jurisdiction]],Places[Jurisdiction],0))</f>
        <v>Orange</v>
      </c>
      <c r="D1552" s="9" t="str">
        <f>INDEX(Places[Majority RB],MATCH(Activities[[#This Row],[Jurisdiction]],Places[Jurisdiction],0))</f>
        <v>San Diego</v>
      </c>
      <c r="E1552" s="9">
        <f>INDEX(Places[Majority RB '#],MATCH(Activities[[#This Row],[Jurisdiction]],Places[Jurisdiction],0))</f>
        <v>9</v>
      </c>
      <c r="F1552" s="28" t="str">
        <f>VLOOKUP(Activities[[#This Row],[Jurisdiction]],Places[#All],8,FALSE)</f>
        <v>Phase I MS4</v>
      </c>
      <c r="G1552" s="48" t="s">
        <v>1070</v>
      </c>
      <c r="H1552" s="8" t="s">
        <v>509</v>
      </c>
      <c r="I1552" s="8"/>
      <c r="J1552" s="8" t="s">
        <v>334</v>
      </c>
      <c r="K1552" s="27" t="s">
        <v>1874</v>
      </c>
      <c r="L1552" s="28">
        <f>_xlfn.NUMBERVALUE(LEFT(Activities[[#This Row],[Fiscal Year]], 4))</f>
        <v>2017</v>
      </c>
      <c r="M1552" s="28" t="s">
        <v>1862</v>
      </c>
      <c r="N1552" s="41">
        <v>24200</v>
      </c>
      <c r="O1552" s="93">
        <f>IF(Activities[[#This Row],[Reference Year]]&gt;2018,Activities[[#This Row],[Value]],Activities[[#This Row],[Value]]*(1+VLOOKUP(Activities[[#This Row],[Reference Year]],Inflation[#All],3,FALSE)))</f>
        <v>24844.839657282744</v>
      </c>
    </row>
    <row r="1553" spans="1:15" ht="15" customHeight="1" x14ac:dyDescent="0.25">
      <c r="A1553" s="9" t="s">
        <v>289</v>
      </c>
      <c r="B1553" s="9" t="str">
        <f>INDEX(Places[Type],MATCH(Activities[[#This Row],[Jurisdiction]],Places[Jurisdiction],0))</f>
        <v>City</v>
      </c>
      <c r="C1553" s="19" t="str">
        <f>INDEX(Places[County],MATCH(Activities[[#This Row],[Jurisdiction]],Places[Jurisdiction],0))</f>
        <v>Orange</v>
      </c>
      <c r="D1553" s="9" t="str">
        <f>INDEX(Places[Majority RB],MATCH(Activities[[#This Row],[Jurisdiction]],Places[Jurisdiction],0))</f>
        <v>San Diego</v>
      </c>
      <c r="E1553" s="9">
        <f>INDEX(Places[Majority RB '#],MATCH(Activities[[#This Row],[Jurisdiction]],Places[Jurisdiction],0))</f>
        <v>9</v>
      </c>
      <c r="F1553" s="28" t="str">
        <f>VLOOKUP(Activities[[#This Row],[Jurisdiction]],Places[#All],8,FALSE)</f>
        <v>Phase I MS4</v>
      </c>
      <c r="G1553" s="48" t="s">
        <v>1062</v>
      </c>
      <c r="H1553" s="8" t="s">
        <v>507</v>
      </c>
      <c r="I1553" s="8"/>
      <c r="J1553" s="8" t="s">
        <v>71</v>
      </c>
      <c r="K1553" s="27" t="s">
        <v>1874</v>
      </c>
      <c r="L1553" s="28">
        <f>_xlfn.NUMBERVALUE(LEFT(Activities[[#This Row],[Fiscal Year]], 4))</f>
        <v>2017</v>
      </c>
      <c r="M1553" s="28" t="s">
        <v>1862</v>
      </c>
      <c r="N1553" s="41">
        <v>226026</v>
      </c>
      <c r="O1553" s="93">
        <f>IF(Activities[[#This Row],[Reference Year]]&gt;2018,Activities[[#This Row],[Value]],Activities[[#This Row],[Value]]*(1+VLOOKUP(Activities[[#This Row],[Reference Year]],Inflation[#All],3,FALSE)))</f>
        <v>232048.74910648717</v>
      </c>
    </row>
    <row r="1554" spans="1:15" ht="15" customHeight="1" x14ac:dyDescent="0.25">
      <c r="A1554" s="9" t="s">
        <v>289</v>
      </c>
      <c r="B1554" s="9" t="str">
        <f>INDEX(Places[Type],MATCH(Activities[[#This Row],[Jurisdiction]],Places[Jurisdiction],0))</f>
        <v>City</v>
      </c>
      <c r="C1554" s="19" t="str">
        <f>INDEX(Places[County],MATCH(Activities[[#This Row],[Jurisdiction]],Places[Jurisdiction],0))</f>
        <v>Orange</v>
      </c>
      <c r="D1554" s="9" t="str">
        <f>INDEX(Places[Majority RB],MATCH(Activities[[#This Row],[Jurisdiction]],Places[Jurisdiction],0))</f>
        <v>San Diego</v>
      </c>
      <c r="E1554" s="9">
        <f>INDEX(Places[Majority RB '#],MATCH(Activities[[#This Row],[Jurisdiction]],Places[Jurisdiction],0))</f>
        <v>9</v>
      </c>
      <c r="F1554" s="28" t="str">
        <f>VLOOKUP(Activities[[#This Row],[Jurisdiction]],Places[#All],8,FALSE)</f>
        <v>Phase I MS4</v>
      </c>
      <c r="G1554" s="48" t="s">
        <v>1064</v>
      </c>
      <c r="H1554" s="8" t="s">
        <v>507</v>
      </c>
      <c r="I1554" s="8"/>
      <c r="J1554" s="8" t="s">
        <v>1897</v>
      </c>
      <c r="K1554" s="27" t="s">
        <v>1874</v>
      </c>
      <c r="L1554" s="28">
        <f>_xlfn.NUMBERVALUE(LEFT(Activities[[#This Row],[Fiscal Year]], 4))</f>
        <v>2017</v>
      </c>
      <c r="M1554" s="28" t="s">
        <v>1862</v>
      </c>
      <c r="N1554" s="41">
        <v>26198.02</v>
      </c>
      <c r="O1554" s="93">
        <f>IF(Activities[[#This Row],[Reference Year]]&gt;2018,Activities[[#This Row],[Value]],Activities[[#This Row],[Value]]*(1+VLOOKUP(Activities[[#This Row],[Reference Year]],Inflation[#All],3,FALSE)))</f>
        <v>26896.099431334154</v>
      </c>
    </row>
    <row r="1555" spans="1:15" ht="15" customHeight="1" x14ac:dyDescent="0.25">
      <c r="A1555" s="9" t="s">
        <v>289</v>
      </c>
      <c r="B1555" s="9" t="str">
        <f>INDEX(Places[Type],MATCH(Activities[[#This Row],[Jurisdiction]],Places[Jurisdiction],0))</f>
        <v>City</v>
      </c>
      <c r="C1555" s="19" t="str">
        <f>INDEX(Places[County],MATCH(Activities[[#This Row],[Jurisdiction]],Places[Jurisdiction],0))</f>
        <v>Orange</v>
      </c>
      <c r="D1555" s="9" t="str">
        <f>INDEX(Places[Majority RB],MATCH(Activities[[#This Row],[Jurisdiction]],Places[Jurisdiction],0))</f>
        <v>San Diego</v>
      </c>
      <c r="E1555" s="9">
        <f>INDEX(Places[Majority RB '#],MATCH(Activities[[#This Row],[Jurisdiction]],Places[Jurisdiction],0))</f>
        <v>9</v>
      </c>
      <c r="F1555" s="28" t="str">
        <f>VLOOKUP(Activities[[#This Row],[Jurisdiction]],Places[#All],8,FALSE)</f>
        <v>Phase I MS4</v>
      </c>
      <c r="G1555" s="48" t="s">
        <v>1061</v>
      </c>
      <c r="H1555" s="8" t="s">
        <v>507</v>
      </c>
      <c r="I1555" s="8"/>
      <c r="J1555" s="8" t="s">
        <v>1897</v>
      </c>
      <c r="K1555" s="27" t="s">
        <v>1874</v>
      </c>
      <c r="L1555" s="28">
        <f>_xlfn.NUMBERVALUE(LEFT(Activities[[#This Row],[Fiscal Year]], 4))</f>
        <v>2017</v>
      </c>
      <c r="M1555" s="28" t="s">
        <v>1862</v>
      </c>
      <c r="N1555" s="41">
        <v>81412</v>
      </c>
      <c r="O1555" s="93">
        <f>IF(Activities[[#This Row],[Reference Year]]&gt;2018,Activities[[#This Row],[Value]],Activities[[#This Row],[Value]]*(1+VLOOKUP(Activities[[#This Row],[Reference Year]],Inflation[#All],3,FALSE)))</f>
        <v>83581.325875153008</v>
      </c>
    </row>
    <row r="1556" spans="1:15" ht="15" customHeight="1" x14ac:dyDescent="0.25">
      <c r="A1556" s="9" t="s">
        <v>289</v>
      </c>
      <c r="B1556" s="9" t="str">
        <f>INDEX(Places[Type],MATCH(Activities[[#This Row],[Jurisdiction]],Places[Jurisdiction],0))</f>
        <v>City</v>
      </c>
      <c r="C1556" s="19" t="str">
        <f>INDEX(Places[County],MATCH(Activities[[#This Row],[Jurisdiction]],Places[Jurisdiction],0))</f>
        <v>Orange</v>
      </c>
      <c r="D1556" s="9" t="str">
        <f>INDEX(Places[Majority RB],MATCH(Activities[[#This Row],[Jurisdiction]],Places[Jurisdiction],0))</f>
        <v>San Diego</v>
      </c>
      <c r="E1556" s="9">
        <f>INDEX(Places[Majority RB '#],MATCH(Activities[[#This Row],[Jurisdiction]],Places[Jurisdiction],0))</f>
        <v>9</v>
      </c>
      <c r="F1556" s="28" t="str">
        <f>VLOOKUP(Activities[[#This Row],[Jurisdiction]],Places[#All],8,FALSE)</f>
        <v>Phase I MS4</v>
      </c>
      <c r="G1556" s="48" t="s">
        <v>1063</v>
      </c>
      <c r="H1556" s="8" t="s">
        <v>507</v>
      </c>
      <c r="I1556" s="8"/>
      <c r="J1556" s="8" t="s">
        <v>1897</v>
      </c>
      <c r="K1556" s="27" t="s">
        <v>1874</v>
      </c>
      <c r="L1556" s="28">
        <f>_xlfn.NUMBERVALUE(LEFT(Activities[[#This Row],[Fiscal Year]], 4))</f>
        <v>2017</v>
      </c>
      <c r="M1556" s="28" t="s">
        <v>1862</v>
      </c>
      <c r="N1556" s="41">
        <v>156611</v>
      </c>
      <c r="O1556" s="93">
        <f>IF(Activities[[#This Row],[Reference Year]]&gt;2018,Activities[[#This Row],[Value]],Activities[[#This Row],[Value]]*(1+VLOOKUP(Activities[[#This Row],[Reference Year]],Inflation[#All],3,FALSE)))</f>
        <v>160784.09849449206</v>
      </c>
    </row>
    <row r="1557" spans="1:15" ht="15" customHeight="1" x14ac:dyDescent="0.25">
      <c r="A1557" s="9" t="s">
        <v>289</v>
      </c>
      <c r="B1557" s="9" t="str">
        <f>INDEX(Places[Type],MATCH(Activities[[#This Row],[Jurisdiction]],Places[Jurisdiction],0))</f>
        <v>City</v>
      </c>
      <c r="C1557" s="19" t="str">
        <f>INDEX(Places[County],MATCH(Activities[[#This Row],[Jurisdiction]],Places[Jurisdiction],0))</f>
        <v>Orange</v>
      </c>
      <c r="D1557" s="9" t="str">
        <f>INDEX(Places[Majority RB],MATCH(Activities[[#This Row],[Jurisdiction]],Places[Jurisdiction],0))</f>
        <v>San Diego</v>
      </c>
      <c r="E1557" s="9">
        <f>INDEX(Places[Majority RB '#],MATCH(Activities[[#This Row],[Jurisdiction]],Places[Jurisdiction],0))</f>
        <v>9</v>
      </c>
      <c r="F1557" s="28" t="str">
        <f>VLOOKUP(Activities[[#This Row],[Jurisdiction]],Places[#All],8,FALSE)</f>
        <v>Phase I MS4</v>
      </c>
      <c r="G1557" s="48" t="s">
        <v>1068</v>
      </c>
      <c r="H1557" s="8" t="s">
        <v>512</v>
      </c>
      <c r="I1557" s="8"/>
      <c r="J1557" s="8" t="s">
        <v>1898</v>
      </c>
      <c r="K1557" s="27" t="s">
        <v>1874</v>
      </c>
      <c r="L1557" s="28">
        <f>_xlfn.NUMBERVALUE(LEFT(Activities[[#This Row],[Fiscal Year]], 4))</f>
        <v>2017</v>
      </c>
      <c r="M1557" s="28" t="s">
        <v>1862</v>
      </c>
      <c r="N1557" s="41">
        <v>533089.29</v>
      </c>
      <c r="O1557" s="93">
        <f>IF(Activities[[#This Row],[Reference Year]]&gt;2018,Activities[[#This Row],[Value]],Activities[[#This Row],[Value]]*(1+VLOOKUP(Activities[[#This Row],[Reference Year]],Inflation[#All],3,FALSE)))</f>
        <v>547294.12946548359</v>
      </c>
    </row>
    <row r="1558" spans="1:15" ht="15" customHeight="1" x14ac:dyDescent="0.25">
      <c r="A1558" s="9" t="s">
        <v>289</v>
      </c>
      <c r="B1558" s="9" t="str">
        <f>INDEX(Places[Type],MATCH(Activities[[#This Row],[Jurisdiction]],Places[Jurisdiction],0))</f>
        <v>City</v>
      </c>
      <c r="C1558" s="19" t="str">
        <f>INDEX(Places[County],MATCH(Activities[[#This Row],[Jurisdiction]],Places[Jurisdiction],0))</f>
        <v>Orange</v>
      </c>
      <c r="D1558" s="9" t="str">
        <f>INDEX(Places[Majority RB],MATCH(Activities[[#This Row],[Jurisdiction]],Places[Jurisdiction],0))</f>
        <v>San Diego</v>
      </c>
      <c r="E1558" s="9">
        <f>INDEX(Places[Majority RB '#],MATCH(Activities[[#This Row],[Jurisdiction]],Places[Jurisdiction],0))</f>
        <v>9</v>
      </c>
      <c r="F1558" s="28" t="str">
        <f>VLOOKUP(Activities[[#This Row],[Jurisdiction]],Places[#All],8,FALSE)</f>
        <v>Phase I MS4</v>
      </c>
      <c r="G1558" s="48" t="s">
        <v>1066</v>
      </c>
      <c r="H1558" s="8" t="s">
        <v>508</v>
      </c>
      <c r="I1558" s="8"/>
      <c r="J1558" s="8" t="s">
        <v>1456</v>
      </c>
      <c r="K1558" s="27" t="s">
        <v>1874</v>
      </c>
      <c r="L1558" s="28">
        <f>_xlfn.NUMBERVALUE(LEFT(Activities[[#This Row],[Fiscal Year]], 4))</f>
        <v>2017</v>
      </c>
      <c r="M1558" s="28" t="s">
        <v>1862</v>
      </c>
      <c r="N1558" s="41">
        <v>95909.5</v>
      </c>
      <c r="O1558" s="93">
        <f>IF(Activities[[#This Row],[Reference Year]]&gt;2018,Activities[[#This Row],[Value]],Activities[[#This Row],[Value]]*(1+VLOOKUP(Activities[[#This Row],[Reference Year]],Inflation[#All],3,FALSE)))</f>
        <v>98465.130128518984</v>
      </c>
    </row>
    <row r="1559" spans="1:15" ht="15" customHeight="1" x14ac:dyDescent="0.25">
      <c r="A1559" s="9" t="s">
        <v>289</v>
      </c>
      <c r="B1559" s="9" t="str">
        <f>INDEX(Places[Type],MATCH(Activities[[#This Row],[Jurisdiction]],Places[Jurisdiction],0))</f>
        <v>City</v>
      </c>
      <c r="C1559" s="19" t="str">
        <f>INDEX(Places[County],MATCH(Activities[[#This Row],[Jurisdiction]],Places[Jurisdiction],0))</f>
        <v>Orange</v>
      </c>
      <c r="D1559" s="9" t="str">
        <f>INDEX(Places[Majority RB],MATCH(Activities[[#This Row],[Jurisdiction]],Places[Jurisdiction],0))</f>
        <v>San Diego</v>
      </c>
      <c r="E1559" s="9">
        <f>INDEX(Places[Majority RB '#],MATCH(Activities[[#This Row],[Jurisdiction]],Places[Jurisdiction],0))</f>
        <v>9</v>
      </c>
      <c r="F1559" s="28" t="str">
        <f>VLOOKUP(Activities[[#This Row],[Jurisdiction]],Places[#All],8,FALSE)</f>
        <v>Phase I MS4</v>
      </c>
      <c r="G1559" s="48" t="s">
        <v>1060</v>
      </c>
      <c r="H1559" s="8" t="s">
        <v>511</v>
      </c>
      <c r="I1559" s="8"/>
      <c r="J1559" s="8" t="s">
        <v>1894</v>
      </c>
      <c r="K1559" s="27" t="s">
        <v>1874</v>
      </c>
      <c r="L1559" s="28">
        <f>_xlfn.NUMBERVALUE(LEFT(Activities[[#This Row],[Fiscal Year]], 4))</f>
        <v>2017</v>
      </c>
      <c r="M1559" s="28" t="s">
        <v>1862</v>
      </c>
      <c r="N1559" s="41">
        <v>275714.5</v>
      </c>
      <c r="O1559" s="93">
        <f>IF(Activities[[#This Row],[Reference Year]]&gt;2018,Activities[[#This Row],[Value]],Activities[[#This Row],[Value]]*(1+VLOOKUP(Activities[[#This Row],[Reference Year]],Inflation[#All],3,FALSE)))</f>
        <v>283061.26213586295</v>
      </c>
    </row>
    <row r="1560" spans="1:15" ht="15" customHeight="1" x14ac:dyDescent="0.25">
      <c r="A1560" s="9" t="s">
        <v>289</v>
      </c>
      <c r="B1560" s="9" t="str">
        <f>INDEX(Places[Type],MATCH(Activities[[#This Row],[Jurisdiction]],Places[Jurisdiction],0))</f>
        <v>City</v>
      </c>
      <c r="C1560" s="19" t="str">
        <f>INDEX(Places[County],MATCH(Activities[[#This Row],[Jurisdiction]],Places[Jurisdiction],0))</f>
        <v>Orange</v>
      </c>
      <c r="D1560" s="9" t="str">
        <f>INDEX(Places[Majority RB],MATCH(Activities[[#This Row],[Jurisdiction]],Places[Jurisdiction],0))</f>
        <v>San Diego</v>
      </c>
      <c r="E1560" s="9">
        <f>INDEX(Places[Majority RB '#],MATCH(Activities[[#This Row],[Jurisdiction]],Places[Jurisdiction],0))</f>
        <v>9</v>
      </c>
      <c r="F1560" s="28" t="str">
        <f>VLOOKUP(Activities[[#This Row],[Jurisdiction]],Places[#All],8,FALSE)</f>
        <v>Phase I MS4</v>
      </c>
      <c r="G1560" s="48" t="s">
        <v>1047</v>
      </c>
      <c r="H1560" s="8"/>
      <c r="I1560" s="8"/>
      <c r="J1560" s="8" t="s">
        <v>1896</v>
      </c>
      <c r="K1560" s="27" t="s">
        <v>1874</v>
      </c>
      <c r="L1560" s="28">
        <f>_xlfn.NUMBERVALUE(LEFT(Activities[[#This Row],[Fiscal Year]], 4))</f>
        <v>2017</v>
      </c>
      <c r="M1560" s="28" t="s">
        <v>1862</v>
      </c>
      <c r="N1560" s="41">
        <v>173500</v>
      </c>
      <c r="O1560" s="93">
        <f>IF(Activities[[#This Row],[Reference Year]]&gt;2018,Activities[[#This Row],[Value]],Activities[[#This Row],[Value]]*(1+VLOOKUP(Activities[[#This Row],[Reference Year]],Inflation[#All],3,FALSE)))</f>
        <v>178123.12729498165</v>
      </c>
    </row>
    <row r="1561" spans="1:15" ht="15" customHeight="1" x14ac:dyDescent="0.25">
      <c r="A1561" s="9" t="s">
        <v>22</v>
      </c>
      <c r="B1561" s="9" t="str">
        <f>INDEX(Places[Type],MATCH(Activities[[#This Row],[Jurisdiction]],Places[Jurisdiction],0))</f>
        <v>City</v>
      </c>
      <c r="C1561" s="19" t="str">
        <f>INDEX(Places[County],MATCH(Activities[[#This Row],[Jurisdiction]],Places[Jurisdiction],0))</f>
        <v>San Diego</v>
      </c>
      <c r="D1561" s="9" t="str">
        <f>INDEX(Places[Majority RB],MATCH(Activities[[#This Row],[Jurisdiction]],Places[Jurisdiction],0))</f>
        <v>San Diego</v>
      </c>
      <c r="E1561" s="9">
        <f>INDEX(Places[Majority RB '#],MATCH(Activities[[#This Row],[Jurisdiction]],Places[Jurisdiction],0))</f>
        <v>9</v>
      </c>
      <c r="F1561" s="28" t="str">
        <f>VLOOKUP(Activities[[#This Row],[Jurisdiction]],Places[#All],8,FALSE)</f>
        <v>Phase I MS4</v>
      </c>
      <c r="G1561" s="48" t="s">
        <v>353</v>
      </c>
      <c r="H1561" s="8"/>
      <c r="I1561" s="8"/>
      <c r="J1561" s="8" t="s">
        <v>1897</v>
      </c>
      <c r="K1561" s="27" t="s">
        <v>1874</v>
      </c>
      <c r="L1561" s="28">
        <f>_xlfn.NUMBERVALUE(LEFT(Activities[[#This Row],[Fiscal Year]], 4))</f>
        <v>2017</v>
      </c>
      <c r="M1561" s="28" t="s">
        <v>1863</v>
      </c>
      <c r="N1561" s="41">
        <v>300</v>
      </c>
      <c r="O1561" s="93">
        <f>IF(Activities[[#This Row],[Reference Year]]&gt;2018,Activities[[#This Row],[Value]],Activities[[#This Row],[Value]]*(1+VLOOKUP(Activities[[#This Row],[Reference Year]],Inflation[#All],3,FALSE)))</f>
        <v>307.99388004895962</v>
      </c>
    </row>
    <row r="1562" spans="1:15" ht="15" customHeight="1" x14ac:dyDescent="0.25">
      <c r="A1562" s="9" t="s">
        <v>22</v>
      </c>
      <c r="B1562" s="9" t="str">
        <f>INDEX(Places[Type],MATCH(Activities[[#This Row],[Jurisdiction]],Places[Jurisdiction],0))</f>
        <v>City</v>
      </c>
      <c r="C1562" s="19" t="str">
        <f>INDEX(Places[County],MATCH(Activities[[#This Row],[Jurisdiction]],Places[Jurisdiction],0))</f>
        <v>San Diego</v>
      </c>
      <c r="D1562" s="9" t="str">
        <f>INDEX(Places[Majority RB],MATCH(Activities[[#This Row],[Jurisdiction]],Places[Jurisdiction],0))</f>
        <v>San Diego</v>
      </c>
      <c r="E1562" s="9">
        <f>INDEX(Places[Majority RB '#],MATCH(Activities[[#This Row],[Jurisdiction]],Places[Jurisdiction],0))</f>
        <v>9</v>
      </c>
      <c r="F1562" s="28" t="str">
        <f>VLOOKUP(Activities[[#This Row],[Jurisdiction]],Places[#All],8,FALSE)</f>
        <v>Phase I MS4</v>
      </c>
      <c r="G1562" s="48" t="s">
        <v>437</v>
      </c>
      <c r="H1562" s="8"/>
      <c r="I1562" s="8"/>
      <c r="J1562" s="8" t="s">
        <v>1897</v>
      </c>
      <c r="K1562" s="27" t="s">
        <v>1874</v>
      </c>
      <c r="L1562" s="28">
        <v>2017</v>
      </c>
      <c r="M1562" s="28" t="s">
        <v>1863</v>
      </c>
      <c r="N1562" s="41">
        <v>625</v>
      </c>
      <c r="O1562" s="93">
        <f>IF(Activities[[#This Row],[Reference Year]]&gt;2018,Activities[[#This Row],[Value]],Activities[[#This Row],[Value]]*(1+VLOOKUP(Activities[[#This Row],[Reference Year]],Inflation[#All],3,FALSE)))</f>
        <v>641.65391676866591</v>
      </c>
    </row>
    <row r="1563" spans="1:15" ht="15" customHeight="1" x14ac:dyDescent="0.25">
      <c r="A1563" s="9" t="s">
        <v>22</v>
      </c>
      <c r="B1563" s="9" t="str">
        <f>INDEX(Places[Type],MATCH(Activities[[#This Row],[Jurisdiction]],Places[Jurisdiction],0))</f>
        <v>City</v>
      </c>
      <c r="C1563" s="19" t="str">
        <f>INDEX(Places[County],MATCH(Activities[[#This Row],[Jurisdiction]],Places[Jurisdiction],0))</f>
        <v>San Diego</v>
      </c>
      <c r="D1563" s="9" t="str">
        <f>INDEX(Places[Majority RB],MATCH(Activities[[#This Row],[Jurisdiction]],Places[Jurisdiction],0))</f>
        <v>San Diego</v>
      </c>
      <c r="E1563" s="9">
        <f>INDEX(Places[Majority RB '#],MATCH(Activities[[#This Row],[Jurisdiction]],Places[Jurisdiction],0))</f>
        <v>9</v>
      </c>
      <c r="F1563" s="28" t="str">
        <f>VLOOKUP(Activities[[#This Row],[Jurisdiction]],Places[#All],8,FALSE)</f>
        <v>Phase I MS4</v>
      </c>
      <c r="G1563" s="48" t="s">
        <v>438</v>
      </c>
      <c r="H1563" s="8"/>
      <c r="I1563" s="8"/>
      <c r="J1563" s="8" t="s">
        <v>1897</v>
      </c>
      <c r="K1563" s="27" t="s">
        <v>1874</v>
      </c>
      <c r="L1563" s="28">
        <f>_xlfn.NUMBERVALUE(LEFT(Activities[[#This Row],[Fiscal Year]], 4))</f>
        <v>2017</v>
      </c>
      <c r="M1563" s="28" t="s">
        <v>1863</v>
      </c>
      <c r="N1563" s="41">
        <v>1550</v>
      </c>
      <c r="O1563" s="93">
        <f>IF(Activities[[#This Row],[Reference Year]]&gt;2018,Activities[[#This Row],[Value]],Activities[[#This Row],[Value]]*(1+VLOOKUP(Activities[[#This Row],[Reference Year]],Inflation[#All],3,FALSE)))</f>
        <v>1591.3017135862915</v>
      </c>
    </row>
    <row r="1564" spans="1:15" ht="15" customHeight="1" x14ac:dyDescent="0.25">
      <c r="A1564" s="9" t="s">
        <v>22</v>
      </c>
      <c r="B1564" s="9" t="str">
        <f>INDEX(Places[Type],MATCH(Activities[[#This Row],[Jurisdiction]],Places[Jurisdiction],0))</f>
        <v>City</v>
      </c>
      <c r="C1564" s="19" t="str">
        <f>INDEX(Places[County],MATCH(Activities[[#This Row],[Jurisdiction]],Places[Jurisdiction],0))</f>
        <v>San Diego</v>
      </c>
      <c r="D1564" s="9" t="str">
        <f>INDEX(Places[Majority RB],MATCH(Activities[[#This Row],[Jurisdiction]],Places[Jurisdiction],0))</f>
        <v>San Diego</v>
      </c>
      <c r="E1564" s="9">
        <f>INDEX(Places[Majority RB '#],MATCH(Activities[[#This Row],[Jurisdiction]],Places[Jurisdiction],0))</f>
        <v>9</v>
      </c>
      <c r="F1564" s="28" t="str">
        <f>VLOOKUP(Activities[[#This Row],[Jurisdiction]],Places[#All],8,FALSE)</f>
        <v>Phase I MS4</v>
      </c>
      <c r="G1564" s="48" t="s">
        <v>355</v>
      </c>
      <c r="H1564" s="8" t="s">
        <v>658</v>
      </c>
      <c r="I1564" s="8" t="s">
        <v>659</v>
      </c>
      <c r="J1564" s="8" t="s">
        <v>1897</v>
      </c>
      <c r="K1564" s="27" t="s">
        <v>1874</v>
      </c>
      <c r="L1564" s="28">
        <f>_xlfn.NUMBERVALUE(LEFT(Activities[[#This Row],[Fiscal Year]], 4))</f>
        <v>2017</v>
      </c>
      <c r="M1564" s="28" t="s">
        <v>1863</v>
      </c>
      <c r="N1564" s="41">
        <v>25055</v>
      </c>
      <c r="O1564" s="93">
        <f>IF(Activities[[#This Row],[Reference Year]]&gt;2018,Activities[[#This Row],[Value]],Activities[[#This Row],[Value]]*(1+VLOOKUP(Activities[[#This Row],[Reference Year]],Inflation[#All],3,FALSE)))</f>
        <v>25722.622215422281</v>
      </c>
    </row>
    <row r="1565" spans="1:15" ht="15" customHeight="1" x14ac:dyDescent="0.25">
      <c r="A1565" s="9" t="s">
        <v>22</v>
      </c>
      <c r="B1565" s="9" t="str">
        <f>INDEX(Places[Type],MATCH(Activities[[#This Row],[Jurisdiction]],Places[Jurisdiction],0))</f>
        <v>City</v>
      </c>
      <c r="C1565" s="19" t="str">
        <f>INDEX(Places[County],MATCH(Activities[[#This Row],[Jurisdiction]],Places[Jurisdiction],0))</f>
        <v>San Diego</v>
      </c>
      <c r="D1565" s="9" t="str">
        <f>INDEX(Places[Majority RB],MATCH(Activities[[#This Row],[Jurisdiction]],Places[Jurisdiction],0))</f>
        <v>San Diego</v>
      </c>
      <c r="E1565" s="9">
        <f>INDEX(Places[Majority RB '#],MATCH(Activities[[#This Row],[Jurisdiction]],Places[Jurisdiction],0))</f>
        <v>9</v>
      </c>
      <c r="F1565" s="28" t="str">
        <f>VLOOKUP(Activities[[#This Row],[Jurisdiction]],Places[#All],8,FALSE)</f>
        <v>Phase I MS4</v>
      </c>
      <c r="G1565" s="48" t="s">
        <v>345</v>
      </c>
      <c r="H1565" s="8"/>
      <c r="I1565" s="8"/>
      <c r="J1565" s="8" t="s">
        <v>1894</v>
      </c>
      <c r="K1565" s="27" t="s">
        <v>1874</v>
      </c>
      <c r="L1565" s="28">
        <f>_xlfn.NUMBERVALUE(LEFT(Activities[[#This Row],[Fiscal Year]], 4))</f>
        <v>2017</v>
      </c>
      <c r="M1565" s="28" t="s">
        <v>1863</v>
      </c>
      <c r="N1565" s="41">
        <v>900</v>
      </c>
      <c r="O1565" s="93">
        <f>IF(Activities[[#This Row],[Reference Year]]&gt;2018,Activities[[#This Row],[Value]],Activities[[#This Row],[Value]]*(1+VLOOKUP(Activities[[#This Row],[Reference Year]],Inflation[#All],3,FALSE)))</f>
        <v>923.98164014687893</v>
      </c>
    </row>
    <row r="1566" spans="1:15" ht="15" customHeight="1" x14ac:dyDescent="0.25">
      <c r="A1566" s="9" t="s">
        <v>22</v>
      </c>
      <c r="B1566" s="9" t="str">
        <f>INDEX(Places[Type],MATCH(Activities[[#This Row],[Jurisdiction]],Places[Jurisdiction],0))</f>
        <v>City</v>
      </c>
      <c r="C1566" s="19" t="str">
        <f>INDEX(Places[County],MATCH(Activities[[#This Row],[Jurisdiction]],Places[Jurisdiction],0))</f>
        <v>San Diego</v>
      </c>
      <c r="D1566" s="9" t="str">
        <f>INDEX(Places[Majority RB],MATCH(Activities[[#This Row],[Jurisdiction]],Places[Jurisdiction],0))</f>
        <v>San Diego</v>
      </c>
      <c r="E1566" s="9">
        <f>INDEX(Places[Majority RB '#],MATCH(Activities[[#This Row],[Jurisdiction]],Places[Jurisdiction],0))</f>
        <v>9</v>
      </c>
      <c r="F1566" s="28" t="str">
        <f>VLOOKUP(Activities[[#This Row],[Jurisdiction]],Places[#All],8,FALSE)</f>
        <v>Phase I MS4</v>
      </c>
      <c r="G1566" s="48" t="s">
        <v>452</v>
      </c>
      <c r="H1566" s="8"/>
      <c r="I1566" s="8"/>
      <c r="J1566" s="8" t="s">
        <v>1894</v>
      </c>
      <c r="K1566" s="27" t="s">
        <v>1874</v>
      </c>
      <c r="L1566" s="28">
        <f>_xlfn.NUMBERVALUE(LEFT(Activities[[#This Row],[Fiscal Year]], 4))</f>
        <v>2017</v>
      </c>
      <c r="M1566" s="28" t="s">
        <v>1863</v>
      </c>
      <c r="N1566" s="41">
        <v>3900</v>
      </c>
      <c r="O1566" s="93">
        <f>IF(Activities[[#This Row],[Reference Year]]&gt;2018,Activities[[#This Row],[Value]],Activities[[#This Row],[Value]]*(1+VLOOKUP(Activities[[#This Row],[Reference Year]],Inflation[#All],3,FALSE)))</f>
        <v>4003.9204406364752</v>
      </c>
    </row>
    <row r="1567" spans="1:15" ht="15" customHeight="1" x14ac:dyDescent="0.25">
      <c r="A1567" s="9" t="s">
        <v>22</v>
      </c>
      <c r="B1567" s="9" t="str">
        <f>INDEX(Places[Type],MATCH(Activities[[#This Row],[Jurisdiction]],Places[Jurisdiction],0))</f>
        <v>City</v>
      </c>
      <c r="C1567" s="19" t="str">
        <f>INDEX(Places[County],MATCH(Activities[[#This Row],[Jurisdiction]],Places[Jurisdiction],0))</f>
        <v>San Diego</v>
      </c>
      <c r="D1567" s="9" t="str">
        <f>INDEX(Places[Majority RB],MATCH(Activities[[#This Row],[Jurisdiction]],Places[Jurisdiction],0))</f>
        <v>San Diego</v>
      </c>
      <c r="E1567" s="9">
        <f>INDEX(Places[Majority RB '#],MATCH(Activities[[#This Row],[Jurisdiction]],Places[Jurisdiction],0))</f>
        <v>9</v>
      </c>
      <c r="F1567" s="28" t="str">
        <f>VLOOKUP(Activities[[#This Row],[Jurisdiction]],Places[#All],8,FALSE)</f>
        <v>Phase I MS4</v>
      </c>
      <c r="G1567" s="48" t="s">
        <v>348</v>
      </c>
      <c r="H1567" s="8"/>
      <c r="I1567" s="8"/>
      <c r="J1567" s="8" t="s">
        <v>1894</v>
      </c>
      <c r="K1567" s="27" t="s">
        <v>1874</v>
      </c>
      <c r="L1567" s="28">
        <f>_xlfn.NUMBERVALUE(LEFT(Activities[[#This Row],[Fiscal Year]], 4))</f>
        <v>2017</v>
      </c>
      <c r="M1567" s="28" t="s">
        <v>1863</v>
      </c>
      <c r="N1567" s="41">
        <v>3971</v>
      </c>
      <c r="O1567" s="93">
        <f>IF(Activities[[#This Row],[Reference Year]]&gt;2018,Activities[[#This Row],[Value]],Activities[[#This Row],[Value]]*(1+VLOOKUP(Activities[[#This Row],[Reference Year]],Inflation[#All],3,FALSE)))</f>
        <v>4076.8123255813957</v>
      </c>
    </row>
    <row r="1568" spans="1:15" ht="15" customHeight="1" x14ac:dyDescent="0.25">
      <c r="A1568" s="9" t="s">
        <v>22</v>
      </c>
      <c r="B1568" s="9" t="str">
        <f>INDEX(Places[Type],MATCH(Activities[[#This Row],[Jurisdiction]],Places[Jurisdiction],0))</f>
        <v>City</v>
      </c>
      <c r="C1568" s="19" t="str">
        <f>INDEX(Places[County],MATCH(Activities[[#This Row],[Jurisdiction]],Places[Jurisdiction],0))</f>
        <v>San Diego</v>
      </c>
      <c r="D1568" s="9" t="str">
        <f>INDEX(Places[Majority RB],MATCH(Activities[[#This Row],[Jurisdiction]],Places[Jurisdiction],0))</f>
        <v>San Diego</v>
      </c>
      <c r="E1568" s="9">
        <f>INDEX(Places[Majority RB '#],MATCH(Activities[[#This Row],[Jurisdiction]],Places[Jurisdiction],0))</f>
        <v>9</v>
      </c>
      <c r="F1568" s="28" t="str">
        <f>VLOOKUP(Activities[[#This Row],[Jurisdiction]],Places[#All],8,FALSE)</f>
        <v>Phase I MS4</v>
      </c>
      <c r="G1568" s="48" t="s">
        <v>347</v>
      </c>
      <c r="H1568" s="8"/>
      <c r="I1568" s="8"/>
      <c r="J1568" s="8" t="s">
        <v>1894</v>
      </c>
      <c r="K1568" s="27" t="s">
        <v>1874</v>
      </c>
      <c r="L1568" s="28">
        <f>_xlfn.NUMBERVALUE(LEFT(Activities[[#This Row],[Fiscal Year]], 4))</f>
        <v>2017</v>
      </c>
      <c r="M1568" s="28" t="s">
        <v>1863</v>
      </c>
      <c r="N1568" s="41">
        <v>14752</v>
      </c>
      <c r="O1568" s="93">
        <f>IF(Activities[[#This Row],[Reference Year]]&gt;2018,Activities[[#This Row],[Value]],Activities[[#This Row],[Value]]*(1+VLOOKUP(Activities[[#This Row],[Reference Year]],Inflation[#All],3,FALSE)))</f>
        <v>15145.085728274176</v>
      </c>
    </row>
    <row r="1569" spans="1:15" ht="15" customHeight="1" x14ac:dyDescent="0.25">
      <c r="A1569" s="9" t="s">
        <v>22</v>
      </c>
      <c r="B1569" s="9" t="str">
        <f>INDEX(Places[Type],MATCH(Activities[[#This Row],[Jurisdiction]],Places[Jurisdiction],0))</f>
        <v>City</v>
      </c>
      <c r="C1569" s="19" t="str">
        <f>INDEX(Places[County],MATCH(Activities[[#This Row],[Jurisdiction]],Places[Jurisdiction],0))</f>
        <v>San Diego</v>
      </c>
      <c r="D1569" s="9" t="str">
        <f>INDEX(Places[Majority RB],MATCH(Activities[[#This Row],[Jurisdiction]],Places[Jurisdiction],0))</f>
        <v>San Diego</v>
      </c>
      <c r="E1569" s="9">
        <f>INDEX(Places[Majority RB '#],MATCH(Activities[[#This Row],[Jurisdiction]],Places[Jurisdiction],0))</f>
        <v>9</v>
      </c>
      <c r="F1569" s="28" t="str">
        <f>VLOOKUP(Activities[[#This Row],[Jurisdiction]],Places[#All],8,FALSE)</f>
        <v>Phase I MS4</v>
      </c>
      <c r="G1569" s="48" t="s">
        <v>349</v>
      </c>
      <c r="H1569" s="8"/>
      <c r="I1569" s="8"/>
      <c r="J1569" s="8" t="s">
        <v>1894</v>
      </c>
      <c r="K1569" s="27" t="s">
        <v>1874</v>
      </c>
      <c r="L1569" s="28">
        <f>_xlfn.NUMBERVALUE(LEFT(Activities[[#This Row],[Fiscal Year]], 4))</f>
        <v>2017</v>
      </c>
      <c r="M1569" s="28" t="s">
        <v>1863</v>
      </c>
      <c r="N1569" s="41">
        <v>33097</v>
      </c>
      <c r="O1569" s="93">
        <f>IF(Activities[[#This Row],[Reference Year]]&gt;2018,Activities[[#This Row],[Value]],Activities[[#This Row],[Value]]*(1+VLOOKUP(Activities[[#This Row],[Reference Year]],Inflation[#All],3,FALSE)))</f>
        <v>33978.91149326806</v>
      </c>
    </row>
    <row r="1570" spans="1:15" ht="15" customHeight="1" x14ac:dyDescent="0.25">
      <c r="A1570" s="9" t="s">
        <v>22</v>
      </c>
      <c r="B1570" s="9" t="str">
        <f>INDEX(Places[Type],MATCH(Activities[[#This Row],[Jurisdiction]],Places[Jurisdiction],0))</f>
        <v>City</v>
      </c>
      <c r="C1570" s="19" t="str">
        <f>INDEX(Places[County],MATCH(Activities[[#This Row],[Jurisdiction]],Places[Jurisdiction],0))</f>
        <v>San Diego</v>
      </c>
      <c r="D1570" s="9" t="str">
        <f>INDEX(Places[Majority RB],MATCH(Activities[[#This Row],[Jurisdiction]],Places[Jurisdiction],0))</f>
        <v>San Diego</v>
      </c>
      <c r="E1570" s="9">
        <f>INDEX(Places[Majority RB '#],MATCH(Activities[[#This Row],[Jurisdiction]],Places[Jurisdiction],0))</f>
        <v>9</v>
      </c>
      <c r="F1570" s="28" t="str">
        <f>VLOOKUP(Activities[[#This Row],[Jurisdiction]],Places[#All],8,FALSE)</f>
        <v>Phase I MS4</v>
      </c>
      <c r="G1570" s="48" t="s">
        <v>346</v>
      </c>
      <c r="H1570" s="8"/>
      <c r="I1570" s="8"/>
      <c r="J1570" s="8" t="s">
        <v>1894</v>
      </c>
      <c r="K1570" s="27" t="s">
        <v>1874</v>
      </c>
      <c r="L1570" s="28">
        <f>_xlfn.NUMBERVALUE(LEFT(Activities[[#This Row],[Fiscal Year]], 4))</f>
        <v>2017</v>
      </c>
      <c r="M1570" s="28" t="s">
        <v>1863</v>
      </c>
      <c r="N1570" s="41">
        <v>35864</v>
      </c>
      <c r="O1570" s="93">
        <f>IF(Activities[[#This Row],[Reference Year]]&gt;2018,Activities[[#This Row],[Value]],Activities[[#This Row],[Value]]*(1+VLOOKUP(Activities[[#This Row],[Reference Year]],Inflation[#All],3,FALSE)))</f>
        <v>36819.641713586294</v>
      </c>
    </row>
    <row r="1571" spans="1:15" ht="15" customHeight="1" x14ac:dyDescent="0.25">
      <c r="A1571" s="9" t="s">
        <v>22</v>
      </c>
      <c r="B1571" s="9" t="str">
        <f>INDEX(Places[Type],MATCH(Activities[[#This Row],[Jurisdiction]],Places[Jurisdiction],0))</f>
        <v>City</v>
      </c>
      <c r="C1571" s="19" t="str">
        <f>INDEX(Places[County],MATCH(Activities[[#This Row],[Jurisdiction]],Places[Jurisdiction],0))</f>
        <v>San Diego</v>
      </c>
      <c r="D1571" s="9" t="str">
        <f>INDEX(Places[Majority RB],MATCH(Activities[[#This Row],[Jurisdiction]],Places[Jurisdiction],0))</f>
        <v>San Diego</v>
      </c>
      <c r="E1571" s="9">
        <f>INDEX(Places[Majority RB '#],MATCH(Activities[[#This Row],[Jurisdiction]],Places[Jurisdiction],0))</f>
        <v>9</v>
      </c>
      <c r="F1571" s="28" t="str">
        <f>VLOOKUP(Activities[[#This Row],[Jurisdiction]],Places[#All],8,FALSE)</f>
        <v>Phase I MS4</v>
      </c>
      <c r="G1571" s="48" t="s">
        <v>350</v>
      </c>
      <c r="H1571" s="8"/>
      <c r="I1571" s="8"/>
      <c r="J1571" s="8" t="s">
        <v>1894</v>
      </c>
      <c r="K1571" s="27" t="s">
        <v>1874</v>
      </c>
      <c r="L1571" s="28">
        <f>_xlfn.NUMBERVALUE(LEFT(Activities[[#This Row],[Fiscal Year]], 4))</f>
        <v>2017</v>
      </c>
      <c r="M1571" s="28" t="s">
        <v>1863</v>
      </c>
      <c r="N1571" s="41">
        <v>78010</v>
      </c>
      <c r="O1571" s="93">
        <f>IF(Activities[[#This Row],[Reference Year]]&gt;2018,Activities[[#This Row],[Value]],Activities[[#This Row],[Value]]*(1+VLOOKUP(Activities[[#This Row],[Reference Year]],Inflation[#All],3,FALSE)))</f>
        <v>80088.675275397807</v>
      </c>
    </row>
    <row r="1572" spans="1:15" ht="15" customHeight="1" x14ac:dyDescent="0.25">
      <c r="A1572" s="9" t="s">
        <v>22</v>
      </c>
      <c r="B1572" s="9" t="str">
        <f>INDEX(Places[Type],MATCH(Activities[[#This Row],[Jurisdiction]],Places[Jurisdiction],0))</f>
        <v>City</v>
      </c>
      <c r="C1572" s="19" t="str">
        <f>INDEX(Places[County],MATCH(Activities[[#This Row],[Jurisdiction]],Places[Jurisdiction],0))</f>
        <v>San Diego</v>
      </c>
      <c r="D1572" s="9" t="str">
        <f>INDEX(Places[Majority RB],MATCH(Activities[[#This Row],[Jurisdiction]],Places[Jurisdiction],0))</f>
        <v>San Diego</v>
      </c>
      <c r="E1572" s="9">
        <f>INDEX(Places[Majority RB '#],MATCH(Activities[[#This Row],[Jurisdiction]],Places[Jurisdiction],0))</f>
        <v>9</v>
      </c>
      <c r="F1572" s="28" t="str">
        <f>VLOOKUP(Activities[[#This Row],[Jurisdiction]],Places[#All],8,FALSE)</f>
        <v>Phase I MS4</v>
      </c>
      <c r="G1572" s="48" t="s">
        <v>343</v>
      </c>
      <c r="H1572" s="8" t="s">
        <v>1841</v>
      </c>
      <c r="I1572" s="8"/>
      <c r="J1572" s="8" t="s">
        <v>1894</v>
      </c>
      <c r="K1572" s="27" t="s">
        <v>1874</v>
      </c>
      <c r="L1572" s="28">
        <f>_xlfn.NUMBERVALUE(LEFT(Activities[[#This Row],[Fiscal Year]], 4))</f>
        <v>2017</v>
      </c>
      <c r="M1572" s="28" t="s">
        <v>1863</v>
      </c>
      <c r="N1572" s="41">
        <v>235542</v>
      </c>
      <c r="O1572" s="93">
        <f>IF(Activities[[#This Row],[Reference Year]]&gt;2018,Activities[[#This Row],[Value]],Activities[[#This Row],[Value]]*(1+VLOOKUP(Activities[[#This Row],[Reference Year]],Inflation[#All],3,FALSE)))</f>
        <v>241818.31498164017</v>
      </c>
    </row>
    <row r="1573" spans="1:15" ht="15" customHeight="1" x14ac:dyDescent="0.25">
      <c r="A1573" s="9" t="s">
        <v>22</v>
      </c>
      <c r="B1573" s="9" t="str">
        <f>INDEX(Places[Type],MATCH(Activities[[#This Row],[Jurisdiction]],Places[Jurisdiction],0))</f>
        <v>City</v>
      </c>
      <c r="C1573" s="19" t="str">
        <f>INDEX(Places[County],MATCH(Activities[[#This Row],[Jurisdiction]],Places[Jurisdiction],0))</f>
        <v>San Diego</v>
      </c>
      <c r="D1573" s="9" t="str">
        <f>INDEX(Places[Majority RB],MATCH(Activities[[#This Row],[Jurisdiction]],Places[Jurisdiction],0))</f>
        <v>San Diego</v>
      </c>
      <c r="E1573" s="9">
        <f>INDEX(Places[Majority RB '#],MATCH(Activities[[#This Row],[Jurisdiction]],Places[Jurisdiction],0))</f>
        <v>9</v>
      </c>
      <c r="F1573" s="28" t="str">
        <f>VLOOKUP(Activities[[#This Row],[Jurisdiction]],Places[#All],8,FALSE)</f>
        <v>Phase I MS4</v>
      </c>
      <c r="G1573" s="48" t="s">
        <v>351</v>
      </c>
      <c r="H1573" s="8" t="s">
        <v>652</v>
      </c>
      <c r="I1573" s="8"/>
      <c r="J1573" s="8" t="s">
        <v>1896</v>
      </c>
      <c r="K1573" s="27" t="s">
        <v>1874</v>
      </c>
      <c r="L1573" s="28">
        <f>_xlfn.NUMBERVALUE(LEFT(Activities[[#This Row],[Fiscal Year]], 4))</f>
        <v>2017</v>
      </c>
      <c r="M1573" s="28" t="s">
        <v>1863</v>
      </c>
      <c r="N1573" s="41">
        <v>682</v>
      </c>
      <c r="O1573" s="93">
        <f>IF(Activities[[#This Row],[Reference Year]]&gt;2018,Activities[[#This Row],[Value]],Activities[[#This Row],[Value]]*(1+VLOOKUP(Activities[[#This Row],[Reference Year]],Inflation[#All],3,FALSE)))</f>
        <v>700.17275397796823</v>
      </c>
    </row>
    <row r="1574" spans="1:15" ht="15" customHeight="1" x14ac:dyDescent="0.25">
      <c r="A1574" s="9" t="s">
        <v>22</v>
      </c>
      <c r="B1574" s="9" t="str">
        <f>INDEX(Places[Type],MATCH(Activities[[#This Row],[Jurisdiction]],Places[Jurisdiction],0))</f>
        <v>City</v>
      </c>
      <c r="C1574" s="19" t="str">
        <f>INDEX(Places[County],MATCH(Activities[[#This Row],[Jurisdiction]],Places[Jurisdiction],0))</f>
        <v>San Diego</v>
      </c>
      <c r="D1574" s="9" t="str">
        <f>INDEX(Places[Majority RB],MATCH(Activities[[#This Row],[Jurisdiction]],Places[Jurisdiction],0))</f>
        <v>San Diego</v>
      </c>
      <c r="E1574" s="9">
        <f>INDEX(Places[Majority RB '#],MATCH(Activities[[#This Row],[Jurisdiction]],Places[Jurisdiction],0))</f>
        <v>9</v>
      </c>
      <c r="F1574" s="28" t="str">
        <f>VLOOKUP(Activities[[#This Row],[Jurisdiction]],Places[#All],8,FALSE)</f>
        <v>Phase I MS4</v>
      </c>
      <c r="G1574" s="48" t="s">
        <v>344</v>
      </c>
      <c r="H1574" s="8"/>
      <c r="I1574" s="8"/>
      <c r="J1574" s="8" t="s">
        <v>1896</v>
      </c>
      <c r="K1574" s="27" t="s">
        <v>1874</v>
      </c>
      <c r="L1574" s="28">
        <f>_xlfn.NUMBERVALUE(LEFT(Activities[[#This Row],[Fiscal Year]], 4))</f>
        <v>2017</v>
      </c>
      <c r="M1574" s="28" t="s">
        <v>1863</v>
      </c>
      <c r="N1574" s="41">
        <v>1500</v>
      </c>
      <c r="O1574" s="93">
        <f>IF(Activities[[#This Row],[Reference Year]]&gt;2018,Activities[[#This Row],[Value]],Activities[[#This Row],[Value]]*(1+VLOOKUP(Activities[[#This Row],[Reference Year]],Inflation[#All],3,FALSE)))</f>
        <v>1539.9694002447982</v>
      </c>
    </row>
    <row r="1575" spans="1:15" ht="15" customHeight="1" x14ac:dyDescent="0.25">
      <c r="A1575" s="9" t="s">
        <v>22</v>
      </c>
      <c r="B1575" s="9" t="str">
        <f>INDEX(Places[Type],MATCH(Activities[[#This Row],[Jurisdiction]],Places[Jurisdiction],0))</f>
        <v>City</v>
      </c>
      <c r="C1575" s="19" t="str">
        <f>INDEX(Places[County],MATCH(Activities[[#This Row],[Jurisdiction]],Places[Jurisdiction],0))</f>
        <v>San Diego</v>
      </c>
      <c r="D1575" s="9" t="str">
        <f>INDEX(Places[Majority RB],MATCH(Activities[[#This Row],[Jurisdiction]],Places[Jurisdiction],0))</f>
        <v>San Diego</v>
      </c>
      <c r="E1575" s="9">
        <f>INDEX(Places[Majority RB '#],MATCH(Activities[[#This Row],[Jurisdiction]],Places[Jurisdiction],0))</f>
        <v>9</v>
      </c>
      <c r="F1575" s="28" t="str">
        <f>VLOOKUP(Activities[[#This Row],[Jurisdiction]],Places[#All],8,FALSE)</f>
        <v>Phase I MS4</v>
      </c>
      <c r="G1575" s="48" t="s">
        <v>354</v>
      </c>
      <c r="H1575" s="8" t="s">
        <v>656</v>
      </c>
      <c r="I1575" s="8" t="s">
        <v>657</v>
      </c>
      <c r="J1575" s="8" t="s">
        <v>1896</v>
      </c>
      <c r="K1575" s="27" t="s">
        <v>1874</v>
      </c>
      <c r="L1575" s="28">
        <f>_xlfn.NUMBERVALUE(LEFT(Activities[[#This Row],[Fiscal Year]], 4))</f>
        <v>2017</v>
      </c>
      <c r="M1575" s="28" t="s">
        <v>1863</v>
      </c>
      <c r="N1575" s="41">
        <v>10095</v>
      </c>
      <c r="O1575" s="93">
        <f>IF(Activities[[#This Row],[Reference Year]]&gt;2018,Activities[[#This Row],[Value]],Activities[[#This Row],[Value]]*(1+VLOOKUP(Activities[[#This Row],[Reference Year]],Inflation[#All],3,FALSE)))</f>
        <v>10363.994063647491</v>
      </c>
    </row>
    <row r="1576" spans="1:15" ht="15" customHeight="1" x14ac:dyDescent="0.25">
      <c r="A1576" s="9" t="s">
        <v>22</v>
      </c>
      <c r="B1576" s="9" t="str">
        <f>INDEX(Places[Type],MATCH(Activities[[#This Row],[Jurisdiction]],Places[Jurisdiction],0))</f>
        <v>City</v>
      </c>
      <c r="C1576" s="19" t="str">
        <f>INDEX(Places[County],MATCH(Activities[[#This Row],[Jurisdiction]],Places[Jurisdiction],0))</f>
        <v>San Diego</v>
      </c>
      <c r="D1576" s="9" t="str">
        <f>INDEX(Places[Majority RB],MATCH(Activities[[#This Row],[Jurisdiction]],Places[Jurisdiction],0))</f>
        <v>San Diego</v>
      </c>
      <c r="E1576" s="9">
        <f>INDEX(Places[Majority RB '#],MATCH(Activities[[#This Row],[Jurisdiction]],Places[Jurisdiction],0))</f>
        <v>9</v>
      </c>
      <c r="F1576" s="28" t="str">
        <f>VLOOKUP(Activities[[#This Row],[Jurisdiction]],Places[#All],8,FALSE)</f>
        <v>Phase I MS4</v>
      </c>
      <c r="G1576" s="48" t="s">
        <v>356</v>
      </c>
      <c r="H1576" s="8" t="s">
        <v>654</v>
      </c>
      <c r="I1576" s="8" t="s">
        <v>655</v>
      </c>
      <c r="J1576" s="8" t="s">
        <v>1896</v>
      </c>
      <c r="K1576" s="27" t="s">
        <v>1874</v>
      </c>
      <c r="L1576" s="28">
        <f>_xlfn.NUMBERVALUE(LEFT(Activities[[#This Row],[Fiscal Year]], 4))</f>
        <v>2017</v>
      </c>
      <c r="M1576" s="28" t="s">
        <v>1863</v>
      </c>
      <c r="N1576" s="41">
        <v>155800</v>
      </c>
      <c r="O1576" s="93">
        <f>IF(Activities[[#This Row],[Reference Year]]&gt;2018,Activities[[#This Row],[Value]],Activities[[#This Row],[Value]]*(1+VLOOKUP(Activities[[#This Row],[Reference Year]],Inflation[#All],3,FALSE)))</f>
        <v>159951.48837209304</v>
      </c>
    </row>
    <row r="1577" spans="1:15" ht="15" customHeight="1" x14ac:dyDescent="0.25">
      <c r="A1577" s="9" t="s">
        <v>22</v>
      </c>
      <c r="B1577" s="9" t="str">
        <f>INDEX(Places[Type],MATCH(Activities[[#This Row],[Jurisdiction]],Places[Jurisdiction],0))</f>
        <v>City</v>
      </c>
      <c r="C1577" s="19" t="str">
        <f>INDEX(Places[County],MATCH(Activities[[#This Row],[Jurisdiction]],Places[Jurisdiction],0))</f>
        <v>San Diego</v>
      </c>
      <c r="D1577" s="9" t="str">
        <f>INDEX(Places[Majority RB],MATCH(Activities[[#This Row],[Jurisdiction]],Places[Jurisdiction],0))</f>
        <v>San Diego</v>
      </c>
      <c r="E1577" s="9">
        <f>INDEX(Places[Majority RB '#],MATCH(Activities[[#This Row],[Jurisdiction]],Places[Jurisdiction],0))</f>
        <v>9</v>
      </c>
      <c r="F1577" s="28" t="str">
        <f>VLOOKUP(Activities[[#This Row],[Jurisdiction]],Places[#All],8,FALSE)</f>
        <v>Phase I MS4</v>
      </c>
      <c r="G1577" s="48" t="s">
        <v>352</v>
      </c>
      <c r="H1577" s="8" t="s">
        <v>653</v>
      </c>
      <c r="I1577" s="8"/>
      <c r="J1577" s="8" t="s">
        <v>1896</v>
      </c>
      <c r="K1577" s="27" t="s">
        <v>1874</v>
      </c>
      <c r="L1577" s="28">
        <f>_xlfn.NUMBERVALUE(LEFT(Activities[[#This Row],[Fiscal Year]], 4))</f>
        <v>2017</v>
      </c>
      <c r="M1577" s="28" t="s">
        <v>1863</v>
      </c>
      <c r="N1577" s="41">
        <v>236000</v>
      </c>
      <c r="O1577" s="93">
        <f>IF(Activities[[#This Row],[Reference Year]]&gt;2018,Activities[[#This Row],[Value]],Activities[[#This Row],[Value]]*(1+VLOOKUP(Activities[[#This Row],[Reference Year]],Inflation[#All],3,FALSE)))</f>
        <v>242288.51897184824</v>
      </c>
    </row>
    <row r="1578" spans="1:15" ht="15" customHeight="1" x14ac:dyDescent="0.25">
      <c r="A1578" s="9" t="s">
        <v>197</v>
      </c>
      <c r="B1578" s="9" t="str">
        <f>INDEX(Places[Type],MATCH(Activities[[#This Row],[Jurisdiction]],Places[Jurisdiction],0))</f>
        <v>City</v>
      </c>
      <c r="C1578" s="19" t="str">
        <f>INDEX(Places[County],MATCH(Activities[[#This Row],[Jurisdiction]],Places[Jurisdiction],0))</f>
        <v>Los Angeles</v>
      </c>
      <c r="D1578" s="19" t="str">
        <f>INDEX(Places[Majority RB],MATCH(Activities[[#This Row],[Jurisdiction]],Places[Jurisdiction],0))</f>
        <v>Los Angeles</v>
      </c>
      <c r="E1578" s="9">
        <f>INDEX(Places[Majority RB '#],MATCH(Activities[[#This Row],[Jurisdiction]],Places[Jurisdiction],0))</f>
        <v>4</v>
      </c>
      <c r="F1578" s="28" t="str">
        <f>VLOOKUP(Activities[[#This Row],[Jurisdiction]],Places[#All],8,FALSE)</f>
        <v>Phase I MS4</v>
      </c>
      <c r="G1578" s="48" t="s">
        <v>64</v>
      </c>
      <c r="H1578" s="8"/>
      <c r="I1578" s="8"/>
      <c r="J1578" s="8" t="s">
        <v>76</v>
      </c>
      <c r="K1578" s="27" t="s">
        <v>1873</v>
      </c>
      <c r="L1578" s="28">
        <f>_xlfn.NUMBERVALUE(LEFT(Activities[[#This Row],[Fiscal Year]], 4))</f>
        <v>2015</v>
      </c>
      <c r="M1578" s="28" t="s">
        <v>1862</v>
      </c>
      <c r="N1578" s="41">
        <v>35000</v>
      </c>
      <c r="O1578" s="93">
        <f>IF(Activities[[#This Row],[Reference Year]]&gt;2018,Activities[[#This Row],[Value]],Activities[[#This Row],[Value]]*(1+VLOOKUP(Activities[[#This Row],[Reference Year]],Inflation[#All],3,FALSE)))</f>
        <v>37160.696202531646</v>
      </c>
    </row>
    <row r="1579" spans="1:15" ht="15" customHeight="1" x14ac:dyDescent="0.25">
      <c r="A1579" s="9" t="s">
        <v>197</v>
      </c>
      <c r="B1579" s="9" t="str">
        <f>INDEX(Places[Type],MATCH(Activities[[#This Row],[Jurisdiction]],Places[Jurisdiction],0))</f>
        <v>City</v>
      </c>
      <c r="C1579" s="19" t="str">
        <f>INDEX(Places[County],MATCH(Activities[[#This Row],[Jurisdiction]],Places[Jurisdiction],0))</f>
        <v>Los Angeles</v>
      </c>
      <c r="D1579" s="19" t="str">
        <f>INDEX(Places[Majority RB],MATCH(Activities[[#This Row],[Jurisdiction]],Places[Jurisdiction],0))</f>
        <v>Los Angeles</v>
      </c>
      <c r="E1579" s="9">
        <f>INDEX(Places[Majority RB '#],MATCH(Activities[[#This Row],[Jurisdiction]],Places[Jurisdiction],0))</f>
        <v>4</v>
      </c>
      <c r="F1579" s="28" t="str">
        <f>VLOOKUP(Activities[[#This Row],[Jurisdiction]],Places[#All],8,FALSE)</f>
        <v>Phase I MS4</v>
      </c>
      <c r="G1579" s="48" t="s">
        <v>65</v>
      </c>
      <c r="H1579" s="8" t="s">
        <v>941</v>
      </c>
      <c r="I1579" s="8" t="s">
        <v>429</v>
      </c>
      <c r="J1579" s="8" t="s">
        <v>76</v>
      </c>
      <c r="K1579" s="27" t="s">
        <v>1873</v>
      </c>
      <c r="L1579" s="28">
        <f>_xlfn.NUMBERVALUE(LEFT(Activities[[#This Row],[Fiscal Year]], 4))</f>
        <v>2015</v>
      </c>
      <c r="M1579" s="28" t="s">
        <v>1862</v>
      </c>
      <c r="N1579" s="41">
        <v>65287</v>
      </c>
      <c r="O1579" s="93">
        <f>IF(Activities[[#This Row],[Reference Year]]&gt;2018,Activities[[#This Row],[Value]],Activities[[#This Row],[Value]]*(1+VLOOKUP(Activities[[#This Row],[Reference Year]],Inflation[#All],3,FALSE)))</f>
        <v>69317.439227848095</v>
      </c>
    </row>
    <row r="1580" spans="1:15" ht="15" customHeight="1" x14ac:dyDescent="0.25">
      <c r="A1580" s="9" t="s">
        <v>197</v>
      </c>
      <c r="B1580" s="9" t="str">
        <f>INDEX(Places[Type],MATCH(Activities[[#This Row],[Jurisdiction]],Places[Jurisdiction],0))</f>
        <v>City</v>
      </c>
      <c r="C1580" s="19" t="str">
        <f>INDEX(Places[County],MATCH(Activities[[#This Row],[Jurisdiction]],Places[Jurisdiction],0))</f>
        <v>Los Angeles</v>
      </c>
      <c r="D1580" s="19" t="str">
        <f>INDEX(Places[Majority RB],MATCH(Activities[[#This Row],[Jurisdiction]],Places[Jurisdiction],0))</f>
        <v>Los Angeles</v>
      </c>
      <c r="E1580" s="9">
        <f>INDEX(Places[Majority RB '#],MATCH(Activities[[#This Row],[Jurisdiction]],Places[Jurisdiction],0))</f>
        <v>4</v>
      </c>
      <c r="F1580" s="28" t="str">
        <f>VLOOKUP(Activities[[#This Row],[Jurisdiction]],Places[#All],8,FALSE)</f>
        <v>Phase I MS4</v>
      </c>
      <c r="G1580" s="48" t="s">
        <v>66</v>
      </c>
      <c r="H1580" s="8"/>
      <c r="I1580" s="8"/>
      <c r="J1580" s="8" t="s">
        <v>76</v>
      </c>
      <c r="K1580" s="27" t="s">
        <v>1873</v>
      </c>
      <c r="L1580" s="28">
        <f>_xlfn.NUMBERVALUE(LEFT(Activities[[#This Row],[Fiscal Year]], 4))</f>
        <v>2015</v>
      </c>
      <c r="M1580" s="28" t="s">
        <v>1862</v>
      </c>
      <c r="N1580" s="41">
        <v>115000</v>
      </c>
      <c r="O1580" s="93">
        <f>IF(Activities[[#This Row],[Reference Year]]&gt;2018,Activities[[#This Row],[Value]],Activities[[#This Row],[Value]]*(1+VLOOKUP(Activities[[#This Row],[Reference Year]],Inflation[#All],3,FALSE)))</f>
        <v>122099.43037974683</v>
      </c>
    </row>
    <row r="1581" spans="1:15" ht="15" customHeight="1" x14ac:dyDescent="0.25">
      <c r="A1581" s="9" t="s">
        <v>197</v>
      </c>
      <c r="B1581" s="9" t="str">
        <f>INDEX(Places[Type],MATCH(Activities[[#This Row],[Jurisdiction]],Places[Jurisdiction],0))</f>
        <v>City</v>
      </c>
      <c r="C1581" s="19" t="str">
        <f>INDEX(Places[County],MATCH(Activities[[#This Row],[Jurisdiction]],Places[Jurisdiction],0))</f>
        <v>Los Angeles</v>
      </c>
      <c r="D1581" s="19" t="str">
        <f>INDEX(Places[Majority RB],MATCH(Activities[[#This Row],[Jurisdiction]],Places[Jurisdiction],0))</f>
        <v>Los Angeles</v>
      </c>
      <c r="E1581" s="9">
        <f>INDEX(Places[Majority RB '#],MATCH(Activities[[#This Row],[Jurisdiction]],Places[Jurisdiction],0))</f>
        <v>4</v>
      </c>
      <c r="F1581" s="28" t="str">
        <f>VLOOKUP(Activities[[#This Row],[Jurisdiction]],Places[#All],8,FALSE)</f>
        <v>Phase I MS4</v>
      </c>
      <c r="G1581" s="48" t="s">
        <v>61</v>
      </c>
      <c r="H1581" s="8"/>
      <c r="I1581" s="8"/>
      <c r="J1581" s="8" t="s">
        <v>1897</v>
      </c>
      <c r="K1581" s="27" t="s">
        <v>1873</v>
      </c>
      <c r="L1581" s="28">
        <f>_xlfn.NUMBERVALUE(LEFT(Activities[[#This Row],[Fiscal Year]], 4))</f>
        <v>2015</v>
      </c>
      <c r="M1581" s="28" t="s">
        <v>1862</v>
      </c>
      <c r="N1581" s="41">
        <v>135000</v>
      </c>
      <c r="O1581" s="93">
        <f>IF(Activities[[#This Row],[Reference Year]]&gt;2018,Activities[[#This Row],[Value]],Activities[[#This Row],[Value]]*(1+VLOOKUP(Activities[[#This Row],[Reference Year]],Inflation[#All],3,FALSE)))</f>
        <v>143334.11392405062</v>
      </c>
    </row>
    <row r="1582" spans="1:15" ht="15" customHeight="1" x14ac:dyDescent="0.25">
      <c r="A1582" s="9" t="s">
        <v>197</v>
      </c>
      <c r="B1582" s="9" t="str">
        <f>INDEX(Places[Type],MATCH(Activities[[#This Row],[Jurisdiction]],Places[Jurisdiction],0))</f>
        <v>City</v>
      </c>
      <c r="C1582" s="19" t="str">
        <f>INDEX(Places[County],MATCH(Activities[[#This Row],[Jurisdiction]],Places[Jurisdiction],0))</f>
        <v>Los Angeles</v>
      </c>
      <c r="D1582" s="19" t="str">
        <f>INDEX(Places[Majority RB],MATCH(Activities[[#This Row],[Jurisdiction]],Places[Jurisdiction],0))</f>
        <v>Los Angeles</v>
      </c>
      <c r="E1582" s="9">
        <f>INDEX(Places[Majority RB '#],MATCH(Activities[[#This Row],[Jurisdiction]],Places[Jurisdiction],0))</f>
        <v>4</v>
      </c>
      <c r="F1582" s="28" t="str">
        <f>VLOOKUP(Activities[[#This Row],[Jurisdiction]],Places[#All],8,FALSE)</f>
        <v>Phase I MS4</v>
      </c>
      <c r="G1582" s="48" t="s">
        <v>58</v>
      </c>
      <c r="H1582" s="8"/>
      <c r="I1582" s="8"/>
      <c r="J1582" s="8" t="s">
        <v>1456</v>
      </c>
      <c r="K1582" s="27" t="s">
        <v>1873</v>
      </c>
      <c r="L1582" s="28">
        <f>_xlfn.NUMBERVALUE(LEFT(Activities[[#This Row],[Fiscal Year]], 4))</f>
        <v>2015</v>
      </c>
      <c r="M1582" s="28" t="s">
        <v>1862</v>
      </c>
      <c r="N1582" s="41">
        <v>1500</v>
      </c>
      <c r="O1582" s="93">
        <f>IF(Activities[[#This Row],[Reference Year]]&gt;2018,Activities[[#This Row],[Value]],Activities[[#This Row],[Value]]*(1+VLOOKUP(Activities[[#This Row],[Reference Year]],Inflation[#All],3,FALSE)))</f>
        <v>1592.6012658227846</v>
      </c>
    </row>
    <row r="1583" spans="1:15" ht="15" customHeight="1" x14ac:dyDescent="0.25">
      <c r="A1583" s="9" t="s">
        <v>197</v>
      </c>
      <c r="B1583" s="9" t="str">
        <f>INDEX(Places[Type],MATCH(Activities[[#This Row],[Jurisdiction]],Places[Jurisdiction],0))</f>
        <v>City</v>
      </c>
      <c r="C1583" s="19" t="str">
        <f>INDEX(Places[County],MATCH(Activities[[#This Row],[Jurisdiction]],Places[Jurisdiction],0))</f>
        <v>Los Angeles</v>
      </c>
      <c r="D1583" s="19" t="str">
        <f>INDEX(Places[Majority RB],MATCH(Activities[[#This Row],[Jurisdiction]],Places[Jurisdiction],0))</f>
        <v>Los Angeles</v>
      </c>
      <c r="E1583" s="9">
        <f>INDEX(Places[Majority RB '#],MATCH(Activities[[#This Row],[Jurisdiction]],Places[Jurisdiction],0))</f>
        <v>4</v>
      </c>
      <c r="F1583" s="28" t="str">
        <f>VLOOKUP(Activities[[#This Row],[Jurisdiction]],Places[#All],8,FALSE)</f>
        <v>Phase I MS4</v>
      </c>
      <c r="G1583" s="48" t="s">
        <v>32</v>
      </c>
      <c r="H1583" s="8"/>
      <c r="I1583" s="8"/>
      <c r="J1583" s="8" t="s">
        <v>1894</v>
      </c>
      <c r="K1583" s="27" t="s">
        <v>1873</v>
      </c>
      <c r="L1583" s="28">
        <f>_xlfn.NUMBERVALUE(LEFT(Activities[[#This Row],[Fiscal Year]], 4))</f>
        <v>2015</v>
      </c>
      <c r="M1583" s="28" t="s">
        <v>1862</v>
      </c>
      <c r="N1583" s="41">
        <v>164080</v>
      </c>
      <c r="O1583" s="93">
        <f>IF(Activities[[#This Row],[Reference Year]]&gt;2018,Activities[[#This Row],[Value]],Activities[[#This Row],[Value]]*(1+VLOOKUP(Activities[[#This Row],[Reference Year]],Inflation[#All],3,FALSE)))</f>
        <v>174209.34379746835</v>
      </c>
    </row>
    <row r="1584" spans="1:15" ht="15" customHeight="1" x14ac:dyDescent="0.25">
      <c r="A1584" s="9" t="s">
        <v>197</v>
      </c>
      <c r="B1584" s="9" t="str">
        <f>INDEX(Places[Type],MATCH(Activities[[#This Row],[Jurisdiction]],Places[Jurisdiction],0))</f>
        <v>City</v>
      </c>
      <c r="C1584" s="19" t="str">
        <f>INDEX(Places[County],MATCH(Activities[[#This Row],[Jurisdiction]],Places[Jurisdiction],0))</f>
        <v>Los Angeles</v>
      </c>
      <c r="D1584" s="19" t="str">
        <f>INDEX(Places[Majority RB],MATCH(Activities[[#This Row],[Jurisdiction]],Places[Jurisdiction],0))</f>
        <v>Los Angeles</v>
      </c>
      <c r="E1584" s="9">
        <f>INDEX(Places[Majority RB '#],MATCH(Activities[[#This Row],[Jurisdiction]],Places[Jurisdiction],0))</f>
        <v>4</v>
      </c>
      <c r="F1584" s="28" t="str">
        <f>VLOOKUP(Activities[[#This Row],[Jurisdiction]],Places[#All],8,FALSE)</f>
        <v>Phase I MS4</v>
      </c>
      <c r="G1584" s="48" t="s">
        <v>67</v>
      </c>
      <c r="H1584" s="8"/>
      <c r="I1584" s="8"/>
      <c r="J1584" s="8" t="s">
        <v>1896</v>
      </c>
      <c r="K1584" s="27" t="s">
        <v>1873</v>
      </c>
      <c r="L1584" s="28">
        <f>_xlfn.NUMBERVALUE(LEFT(Activities[[#This Row],[Fiscal Year]], 4))</f>
        <v>2015</v>
      </c>
      <c r="M1584" s="28" t="s">
        <v>1862</v>
      </c>
      <c r="N1584" s="41">
        <v>18354</v>
      </c>
      <c r="O1584" s="93">
        <f>IF(Activities[[#This Row],[Reference Year]]&gt;2018,Activities[[#This Row],[Value]],Activities[[#This Row],[Value]]*(1+VLOOKUP(Activities[[#This Row],[Reference Year]],Inflation[#All],3,FALSE)))</f>
        <v>19487.069088607594</v>
      </c>
    </row>
    <row r="1585" spans="1:15" ht="15" customHeight="1" x14ac:dyDescent="0.25">
      <c r="A1585" s="9" t="s">
        <v>290</v>
      </c>
      <c r="B1585" s="9" t="str">
        <f>INDEX(Places[Type],MATCH(Activities[[#This Row],[Jurisdiction]],Places[Jurisdiction],0))</f>
        <v>City</v>
      </c>
      <c r="C1585" s="19" t="str">
        <f>INDEX(Places[County],MATCH(Activities[[#This Row],[Jurisdiction]],Places[Jurisdiction],0))</f>
        <v>Orange</v>
      </c>
      <c r="D1585" s="9" t="str">
        <f>INDEX(Places[Majority RB],MATCH(Activities[[#This Row],[Jurisdiction]],Places[Jurisdiction],0))</f>
        <v>Santa Ana</v>
      </c>
      <c r="E1585" s="9">
        <f>INDEX(Places[Majority RB '#],MATCH(Activities[[#This Row],[Jurisdiction]],Places[Jurisdiction],0))</f>
        <v>8</v>
      </c>
      <c r="F1585" s="28" t="str">
        <f>VLOOKUP(Activities[[#This Row],[Jurisdiction]],Places[#All],8,FALSE)</f>
        <v>Phase I MS4</v>
      </c>
      <c r="G1585" s="48" t="s">
        <v>1006</v>
      </c>
      <c r="H1585" s="8"/>
      <c r="I1585" s="8"/>
      <c r="J1585" s="8" t="s">
        <v>1895</v>
      </c>
      <c r="K1585" s="27" t="s">
        <v>1875</v>
      </c>
      <c r="L1585" s="28">
        <f>_xlfn.NUMBERVALUE(LEFT(Activities[[#This Row],[Fiscal Year]], 4))</f>
        <v>2001</v>
      </c>
      <c r="M1585" s="28" t="s">
        <v>1862</v>
      </c>
      <c r="N1585" s="41">
        <v>8000</v>
      </c>
      <c r="O1585" s="93">
        <f>IF(Activities[[#This Row],[Reference Year]]&gt;2018,Activities[[#This Row],[Value]],Activities[[#This Row],[Value]]*(1+VLOOKUP(Activities[[#This Row],[Reference Year]],Inflation[#All],3,FALSE)))</f>
        <v>11366.730660643703</v>
      </c>
    </row>
    <row r="1586" spans="1:15" ht="15" customHeight="1" x14ac:dyDescent="0.25">
      <c r="A1586" s="9" t="s">
        <v>290</v>
      </c>
      <c r="B1586" s="9" t="str">
        <f>INDEX(Places[Type],MATCH(Activities[[#This Row],[Jurisdiction]],Places[Jurisdiction],0))</f>
        <v>City</v>
      </c>
      <c r="C1586" s="19" t="str">
        <f>INDEX(Places[County],MATCH(Activities[[#This Row],[Jurisdiction]],Places[Jurisdiction],0))</f>
        <v>Orange</v>
      </c>
      <c r="D1586" s="9" t="str">
        <f>INDEX(Places[Majority RB],MATCH(Activities[[#This Row],[Jurisdiction]],Places[Jurisdiction],0))</f>
        <v>Santa Ana</v>
      </c>
      <c r="E1586" s="9">
        <f>INDEX(Places[Majority RB '#],MATCH(Activities[[#This Row],[Jurisdiction]],Places[Jurisdiction],0))</f>
        <v>8</v>
      </c>
      <c r="F1586" s="28" t="str">
        <f>VLOOKUP(Activities[[#This Row],[Jurisdiction]],Places[#All],8,FALSE)</f>
        <v>Phase I MS4</v>
      </c>
      <c r="G1586" s="48" t="s">
        <v>994</v>
      </c>
      <c r="H1586" s="8" t="s">
        <v>504</v>
      </c>
      <c r="I1586" s="8"/>
      <c r="J1586" s="8" t="s">
        <v>71</v>
      </c>
      <c r="K1586" s="27" t="s">
        <v>1875</v>
      </c>
      <c r="L1586" s="28">
        <f>_xlfn.NUMBERVALUE(LEFT(Activities[[#This Row],[Fiscal Year]], 4))</f>
        <v>2001</v>
      </c>
      <c r="M1586" s="28" t="s">
        <v>1862</v>
      </c>
      <c r="N1586" s="41">
        <v>48486</v>
      </c>
      <c r="O1586" s="93">
        <f>IF(Activities[[#This Row],[Reference Year]]&gt;2018,Activities[[#This Row],[Value]],Activities[[#This Row],[Value]]*(1+VLOOKUP(Activities[[#This Row],[Reference Year]],Inflation[#All],3,FALSE)))</f>
        <v>68890.912851496323</v>
      </c>
    </row>
    <row r="1587" spans="1:15" ht="15" customHeight="1" x14ac:dyDescent="0.25">
      <c r="A1587" s="9" t="s">
        <v>290</v>
      </c>
      <c r="B1587" s="9" t="str">
        <f>INDEX(Places[Type],MATCH(Activities[[#This Row],[Jurisdiction]],Places[Jurisdiction],0))</f>
        <v>City</v>
      </c>
      <c r="C1587" s="19" t="str">
        <f>INDEX(Places[County],MATCH(Activities[[#This Row],[Jurisdiction]],Places[Jurisdiction],0))</f>
        <v>Orange</v>
      </c>
      <c r="D1587" s="9" t="str">
        <f>INDEX(Places[Majority RB],MATCH(Activities[[#This Row],[Jurisdiction]],Places[Jurisdiction],0))</f>
        <v>Santa Ana</v>
      </c>
      <c r="E1587" s="9">
        <f>INDEX(Places[Majority RB '#],MATCH(Activities[[#This Row],[Jurisdiction]],Places[Jurisdiction],0))</f>
        <v>8</v>
      </c>
      <c r="F1587" s="28" t="str">
        <f>VLOOKUP(Activities[[#This Row],[Jurisdiction]],Places[#All],8,FALSE)</f>
        <v>Phase I MS4</v>
      </c>
      <c r="G1587" s="48" t="s">
        <v>995</v>
      </c>
      <c r="H1587" s="8" t="s">
        <v>504</v>
      </c>
      <c r="I1587" s="8"/>
      <c r="J1587" s="8" t="s">
        <v>1897</v>
      </c>
      <c r="K1587" s="27" t="s">
        <v>1875</v>
      </c>
      <c r="L1587" s="28">
        <f>_xlfn.NUMBERVALUE(LEFT(Activities[[#This Row],[Fiscal Year]], 4))</f>
        <v>2001</v>
      </c>
      <c r="M1587" s="28" t="s">
        <v>1862</v>
      </c>
      <c r="N1587" s="41">
        <v>7455</v>
      </c>
      <c r="O1587" s="93">
        <f>IF(Activities[[#This Row],[Reference Year]]&gt;2018,Activities[[#This Row],[Value]],Activities[[#This Row],[Value]]*(1+VLOOKUP(Activities[[#This Row],[Reference Year]],Inflation[#All],3,FALSE)))</f>
        <v>10592.372134387351</v>
      </c>
    </row>
    <row r="1588" spans="1:15" ht="15" customHeight="1" x14ac:dyDescent="0.25">
      <c r="A1588" s="9" t="s">
        <v>290</v>
      </c>
      <c r="B1588" s="9" t="str">
        <f>INDEX(Places[Type],MATCH(Activities[[#This Row],[Jurisdiction]],Places[Jurisdiction],0))</f>
        <v>City</v>
      </c>
      <c r="C1588" s="19" t="str">
        <f>INDEX(Places[County],MATCH(Activities[[#This Row],[Jurisdiction]],Places[Jurisdiction],0))</f>
        <v>Orange</v>
      </c>
      <c r="D1588" s="9" t="str">
        <f>INDEX(Places[Majority RB],MATCH(Activities[[#This Row],[Jurisdiction]],Places[Jurisdiction],0))</f>
        <v>Santa Ana</v>
      </c>
      <c r="E1588" s="9">
        <f>INDEX(Places[Majority RB '#],MATCH(Activities[[#This Row],[Jurisdiction]],Places[Jurisdiction],0))</f>
        <v>8</v>
      </c>
      <c r="F1588" s="28" t="str">
        <f>VLOOKUP(Activities[[#This Row],[Jurisdiction]],Places[#All],8,FALSE)</f>
        <v>Phase I MS4</v>
      </c>
      <c r="G1588" s="48" t="s">
        <v>984</v>
      </c>
      <c r="H1588" s="8" t="s">
        <v>504</v>
      </c>
      <c r="I1588" s="8"/>
      <c r="J1588" s="8" t="s">
        <v>1897</v>
      </c>
      <c r="K1588" s="27" t="s">
        <v>1875</v>
      </c>
      <c r="L1588" s="28">
        <f>_xlfn.NUMBERVALUE(LEFT(Activities[[#This Row],[Fiscal Year]], 4))</f>
        <v>2001</v>
      </c>
      <c r="M1588" s="28" t="s">
        <v>1862</v>
      </c>
      <c r="N1588" s="41">
        <v>10000</v>
      </c>
      <c r="O1588" s="93">
        <f>IF(Activities[[#This Row],[Reference Year]]&gt;2018,Activities[[#This Row],[Value]],Activities[[#This Row],[Value]]*(1+VLOOKUP(Activities[[#This Row],[Reference Year]],Inflation[#All],3,FALSE)))</f>
        <v>14208.413325804629</v>
      </c>
    </row>
    <row r="1589" spans="1:15" ht="15" customHeight="1" x14ac:dyDescent="0.25">
      <c r="A1589" s="9" t="s">
        <v>290</v>
      </c>
      <c r="B1589" s="9" t="str">
        <f>INDEX(Places[Type],MATCH(Activities[[#This Row],[Jurisdiction]],Places[Jurisdiction],0))</f>
        <v>City</v>
      </c>
      <c r="C1589" s="19" t="str">
        <f>INDEX(Places[County],MATCH(Activities[[#This Row],[Jurisdiction]],Places[Jurisdiction],0))</f>
        <v>Orange</v>
      </c>
      <c r="D1589" s="9" t="str">
        <f>INDEX(Places[Majority RB],MATCH(Activities[[#This Row],[Jurisdiction]],Places[Jurisdiction],0))</f>
        <v>Santa Ana</v>
      </c>
      <c r="E1589" s="9">
        <f>INDEX(Places[Majority RB '#],MATCH(Activities[[#This Row],[Jurisdiction]],Places[Jurisdiction],0))</f>
        <v>8</v>
      </c>
      <c r="F1589" s="28" t="str">
        <f>VLOOKUP(Activities[[#This Row],[Jurisdiction]],Places[#All],8,FALSE)</f>
        <v>Phase I MS4</v>
      </c>
      <c r="G1589" s="48" t="s">
        <v>997</v>
      </c>
      <c r="H1589" s="8" t="s">
        <v>593</v>
      </c>
      <c r="I1589" s="8" t="s">
        <v>594</v>
      </c>
      <c r="J1589" s="8" t="s">
        <v>1897</v>
      </c>
      <c r="K1589" s="27" t="s">
        <v>1875</v>
      </c>
      <c r="L1589" s="28">
        <f>_xlfn.NUMBERVALUE(LEFT(Activities[[#This Row],[Fiscal Year]], 4))</f>
        <v>2001</v>
      </c>
      <c r="M1589" s="28" t="s">
        <v>1862</v>
      </c>
      <c r="N1589" s="41">
        <v>26000</v>
      </c>
      <c r="O1589" s="93">
        <f>IF(Activities[[#This Row],[Reference Year]]&gt;2018,Activities[[#This Row],[Value]],Activities[[#This Row],[Value]]*(1+VLOOKUP(Activities[[#This Row],[Reference Year]],Inflation[#All],3,FALSE)))</f>
        <v>36941.874647092038</v>
      </c>
    </row>
    <row r="1590" spans="1:15" ht="15" customHeight="1" x14ac:dyDescent="0.25">
      <c r="A1590" s="9" t="s">
        <v>290</v>
      </c>
      <c r="B1590" s="9" t="str">
        <f>INDEX(Places[Type],MATCH(Activities[[#This Row],[Jurisdiction]],Places[Jurisdiction],0))</f>
        <v>City</v>
      </c>
      <c r="C1590" s="19" t="str">
        <f>INDEX(Places[County],MATCH(Activities[[#This Row],[Jurisdiction]],Places[Jurisdiction],0))</f>
        <v>Orange</v>
      </c>
      <c r="D1590" s="9" t="str">
        <f>INDEX(Places[Majority RB],MATCH(Activities[[#This Row],[Jurisdiction]],Places[Jurisdiction],0))</f>
        <v>Santa Ana</v>
      </c>
      <c r="E1590" s="9">
        <f>INDEX(Places[Majority RB '#],MATCH(Activities[[#This Row],[Jurisdiction]],Places[Jurisdiction],0))</f>
        <v>8</v>
      </c>
      <c r="F1590" s="28" t="str">
        <f>VLOOKUP(Activities[[#This Row],[Jurisdiction]],Places[#All],8,FALSE)</f>
        <v>Phase I MS4</v>
      </c>
      <c r="G1590" s="48" t="s">
        <v>983</v>
      </c>
      <c r="H1590" s="8" t="s">
        <v>504</v>
      </c>
      <c r="I1590" s="8"/>
      <c r="J1590" s="8" t="s">
        <v>1897</v>
      </c>
      <c r="K1590" s="27" t="s">
        <v>1875</v>
      </c>
      <c r="L1590" s="28">
        <f>_xlfn.NUMBERVALUE(LEFT(Activities[[#This Row],[Fiscal Year]], 4))</f>
        <v>2001</v>
      </c>
      <c r="M1590" s="28" t="s">
        <v>1862</v>
      </c>
      <c r="N1590" s="41">
        <v>250000</v>
      </c>
      <c r="O1590" s="93">
        <f>IF(Activities[[#This Row],[Reference Year]]&gt;2018,Activities[[#This Row],[Value]],Activities[[#This Row],[Value]]*(1+VLOOKUP(Activities[[#This Row],[Reference Year]],Inflation[#All],3,FALSE)))</f>
        <v>355210.33314511576</v>
      </c>
    </row>
    <row r="1591" spans="1:15" ht="15" customHeight="1" x14ac:dyDescent="0.25">
      <c r="A1591" s="9" t="s">
        <v>290</v>
      </c>
      <c r="B1591" s="9" t="str">
        <f>INDEX(Places[Type],MATCH(Activities[[#This Row],[Jurisdiction]],Places[Jurisdiction],0))</f>
        <v>City</v>
      </c>
      <c r="C1591" s="19" t="str">
        <f>INDEX(Places[County],MATCH(Activities[[#This Row],[Jurisdiction]],Places[Jurisdiction],0))</f>
        <v>Orange</v>
      </c>
      <c r="D1591" s="9" t="str">
        <f>INDEX(Places[Majority RB],MATCH(Activities[[#This Row],[Jurisdiction]],Places[Jurisdiction],0))</f>
        <v>Santa Ana</v>
      </c>
      <c r="E1591" s="9">
        <f>INDEX(Places[Majority RB '#],MATCH(Activities[[#This Row],[Jurisdiction]],Places[Jurisdiction],0))</f>
        <v>8</v>
      </c>
      <c r="F1591" s="28" t="str">
        <f>VLOOKUP(Activities[[#This Row],[Jurisdiction]],Places[#All],8,FALSE)</f>
        <v>Phase I MS4</v>
      </c>
      <c r="G1591" s="48" t="s">
        <v>998</v>
      </c>
      <c r="H1591" s="8" t="s">
        <v>504</v>
      </c>
      <c r="I1591" s="8"/>
      <c r="J1591" s="8" t="s">
        <v>1897</v>
      </c>
      <c r="K1591" s="27" t="s">
        <v>1875</v>
      </c>
      <c r="L1591" s="28">
        <f>_xlfn.NUMBERVALUE(LEFT(Activities[[#This Row],[Fiscal Year]], 4))</f>
        <v>2001</v>
      </c>
      <c r="M1591" s="28" t="s">
        <v>1862</v>
      </c>
      <c r="N1591" s="41">
        <v>250000</v>
      </c>
      <c r="O1591" s="93">
        <f>IF(Activities[[#This Row],[Reference Year]]&gt;2018,Activities[[#This Row],[Value]],Activities[[#This Row],[Value]]*(1+VLOOKUP(Activities[[#This Row],[Reference Year]],Inflation[#All],3,FALSE)))</f>
        <v>355210.33314511576</v>
      </c>
    </row>
    <row r="1592" spans="1:15" ht="15" customHeight="1" x14ac:dyDescent="0.25">
      <c r="A1592" s="9" t="s">
        <v>290</v>
      </c>
      <c r="B1592" s="9" t="str">
        <f>INDEX(Places[Type],MATCH(Activities[[#This Row],[Jurisdiction]],Places[Jurisdiction],0))</f>
        <v>City</v>
      </c>
      <c r="C1592" s="19" t="str">
        <f>INDEX(Places[County],MATCH(Activities[[#This Row],[Jurisdiction]],Places[Jurisdiction],0))</f>
        <v>Orange</v>
      </c>
      <c r="D1592" s="9" t="str">
        <f>INDEX(Places[Majority RB],MATCH(Activities[[#This Row],[Jurisdiction]],Places[Jurisdiction],0))</f>
        <v>Santa Ana</v>
      </c>
      <c r="E1592" s="9">
        <f>INDEX(Places[Majority RB '#],MATCH(Activities[[#This Row],[Jurisdiction]],Places[Jurisdiction],0))</f>
        <v>8</v>
      </c>
      <c r="F1592" s="28" t="str">
        <f>VLOOKUP(Activities[[#This Row],[Jurisdiction]],Places[#All],8,FALSE)</f>
        <v>Phase I MS4</v>
      </c>
      <c r="G1592" s="48" t="s">
        <v>999</v>
      </c>
      <c r="H1592" s="8" t="s">
        <v>504</v>
      </c>
      <c r="I1592" s="8"/>
      <c r="J1592" s="8" t="s">
        <v>1897</v>
      </c>
      <c r="K1592" s="27" t="s">
        <v>1875</v>
      </c>
      <c r="L1592" s="28">
        <f>_xlfn.NUMBERVALUE(LEFT(Activities[[#This Row],[Fiscal Year]], 4))</f>
        <v>2001</v>
      </c>
      <c r="M1592" s="28" t="s">
        <v>1862</v>
      </c>
      <c r="N1592" s="41">
        <v>301000</v>
      </c>
      <c r="O1592" s="93">
        <f>IF(Activities[[#This Row],[Reference Year]]&gt;2018,Activities[[#This Row],[Value]],Activities[[#This Row],[Value]]*(1+VLOOKUP(Activities[[#This Row],[Reference Year]],Inflation[#All],3,FALSE)))</f>
        <v>427673.24110671936</v>
      </c>
    </row>
    <row r="1593" spans="1:15" ht="15" customHeight="1" x14ac:dyDescent="0.25">
      <c r="A1593" s="9" t="s">
        <v>290</v>
      </c>
      <c r="B1593" s="9" t="str">
        <f>INDEX(Places[Type],MATCH(Activities[[#This Row],[Jurisdiction]],Places[Jurisdiction],0))</f>
        <v>City</v>
      </c>
      <c r="C1593" s="19" t="str">
        <f>INDEX(Places[County],MATCH(Activities[[#This Row],[Jurisdiction]],Places[Jurisdiction],0))</f>
        <v>Orange</v>
      </c>
      <c r="D1593" s="9" t="str">
        <f>INDEX(Places[Majority RB],MATCH(Activities[[#This Row],[Jurisdiction]],Places[Jurisdiction],0))</f>
        <v>Santa Ana</v>
      </c>
      <c r="E1593" s="9">
        <f>INDEX(Places[Majority RB '#],MATCH(Activities[[#This Row],[Jurisdiction]],Places[Jurisdiction],0))</f>
        <v>8</v>
      </c>
      <c r="F1593" s="28" t="str">
        <f>VLOOKUP(Activities[[#This Row],[Jurisdiction]],Places[#All],8,FALSE)</f>
        <v>Phase I MS4</v>
      </c>
      <c r="G1593" s="48" t="s">
        <v>996</v>
      </c>
      <c r="H1593" s="8" t="s">
        <v>504</v>
      </c>
      <c r="I1593" s="8"/>
      <c r="J1593" s="8" t="s">
        <v>1897</v>
      </c>
      <c r="K1593" s="27" t="s">
        <v>1875</v>
      </c>
      <c r="L1593" s="28">
        <f>_xlfn.NUMBERVALUE(LEFT(Activities[[#This Row],[Fiscal Year]], 4))</f>
        <v>2001</v>
      </c>
      <c r="M1593" s="28" t="s">
        <v>1862</v>
      </c>
      <c r="N1593" s="41">
        <v>3358360</v>
      </c>
      <c r="O1593" s="93">
        <f>IF(Activities[[#This Row],[Reference Year]]&gt;2018,Activities[[#This Row],[Value]],Activities[[#This Row],[Value]]*(1+VLOOKUP(Activities[[#This Row],[Reference Year]],Inflation[#All],3,FALSE)))</f>
        <v>4771696.6976849232</v>
      </c>
    </row>
    <row r="1594" spans="1:15" ht="15" customHeight="1" x14ac:dyDescent="0.25">
      <c r="A1594" s="9" t="s">
        <v>290</v>
      </c>
      <c r="B1594" s="9" t="str">
        <f>INDEX(Places[Type],MATCH(Activities[[#This Row],[Jurisdiction]],Places[Jurisdiction],0))</f>
        <v>City</v>
      </c>
      <c r="C1594" s="19" t="str">
        <f>INDEX(Places[County],MATCH(Activities[[#This Row],[Jurisdiction]],Places[Jurisdiction],0))</f>
        <v>Orange</v>
      </c>
      <c r="D1594" s="9" t="str">
        <f>INDEX(Places[Majority RB],MATCH(Activities[[#This Row],[Jurisdiction]],Places[Jurisdiction],0))</f>
        <v>Santa Ana</v>
      </c>
      <c r="E1594" s="9">
        <f>INDEX(Places[Majority RB '#],MATCH(Activities[[#This Row],[Jurisdiction]],Places[Jurisdiction],0))</f>
        <v>8</v>
      </c>
      <c r="F1594" s="28" t="str">
        <f>VLOOKUP(Activities[[#This Row],[Jurisdiction]],Places[#All],8,FALSE)</f>
        <v>Phase I MS4</v>
      </c>
      <c r="G1594" s="48" t="s">
        <v>1005</v>
      </c>
      <c r="H1594" s="8"/>
      <c r="I1594" s="8"/>
      <c r="J1594" s="8" t="s">
        <v>1898</v>
      </c>
      <c r="K1594" s="27" t="s">
        <v>1875</v>
      </c>
      <c r="L1594" s="28">
        <f>_xlfn.NUMBERVALUE(LEFT(Activities[[#This Row],[Fiscal Year]], 4))</f>
        <v>2001</v>
      </c>
      <c r="M1594" s="28" t="s">
        <v>1862</v>
      </c>
      <c r="N1594" s="41">
        <v>13400</v>
      </c>
      <c r="O1594" s="93">
        <f>IF(Activities[[#This Row],[Reference Year]]&gt;2018,Activities[[#This Row],[Value]],Activities[[#This Row],[Value]]*(1+VLOOKUP(Activities[[#This Row],[Reference Year]],Inflation[#All],3,FALSE)))</f>
        <v>19039.273856578202</v>
      </c>
    </row>
    <row r="1595" spans="1:15" ht="15" customHeight="1" x14ac:dyDescent="0.25">
      <c r="A1595" s="9" t="s">
        <v>290</v>
      </c>
      <c r="B1595" s="9" t="str">
        <f>INDEX(Places[Type],MATCH(Activities[[#This Row],[Jurisdiction]],Places[Jurisdiction],0))</f>
        <v>City</v>
      </c>
      <c r="C1595" s="19" t="str">
        <f>INDEX(Places[County],MATCH(Activities[[#This Row],[Jurisdiction]],Places[Jurisdiction],0))</f>
        <v>Orange</v>
      </c>
      <c r="D1595" s="9" t="str">
        <f>INDEX(Places[Majority RB],MATCH(Activities[[#This Row],[Jurisdiction]],Places[Jurisdiction],0))</f>
        <v>Santa Ana</v>
      </c>
      <c r="E1595" s="9">
        <f>INDEX(Places[Majority RB '#],MATCH(Activities[[#This Row],[Jurisdiction]],Places[Jurisdiction],0))</f>
        <v>8</v>
      </c>
      <c r="F1595" s="28" t="str">
        <f>VLOOKUP(Activities[[#This Row],[Jurisdiction]],Places[#All],8,FALSE)</f>
        <v>Phase I MS4</v>
      </c>
      <c r="G1595" s="48" t="s">
        <v>991</v>
      </c>
      <c r="H1595" s="8" t="s">
        <v>503</v>
      </c>
      <c r="I1595" s="8"/>
      <c r="J1595" s="8" t="s">
        <v>1894</v>
      </c>
      <c r="K1595" s="27" t="s">
        <v>1875</v>
      </c>
      <c r="L1595" s="28">
        <f>_xlfn.NUMBERVALUE(LEFT(Activities[[#This Row],[Fiscal Year]], 4))</f>
        <v>2001</v>
      </c>
      <c r="M1595" s="28" t="s">
        <v>1862</v>
      </c>
      <c r="N1595" s="41">
        <v>92170</v>
      </c>
      <c r="O1595" s="93">
        <f>IF(Activities[[#This Row],[Reference Year]]&gt;2018,Activities[[#This Row],[Value]],Activities[[#This Row],[Value]]*(1+VLOOKUP(Activities[[#This Row],[Reference Year]],Inflation[#All],3,FALSE)))</f>
        <v>130958.94562394127</v>
      </c>
    </row>
    <row r="1596" spans="1:15" ht="15" customHeight="1" x14ac:dyDescent="0.25">
      <c r="A1596" s="9" t="s">
        <v>206</v>
      </c>
      <c r="B1596" s="9" t="str">
        <f>INDEX(Places[Type],MATCH(Activities[[#This Row],[Jurisdiction]],Places[Jurisdiction],0))</f>
        <v>City</v>
      </c>
      <c r="C1596" s="19" t="str">
        <f>INDEX(Places[County],MATCH(Activities[[#This Row],[Jurisdiction]],Places[Jurisdiction],0))</f>
        <v>Los Angeles</v>
      </c>
      <c r="D1596" s="19" t="str">
        <f>INDEX(Places[Majority RB],MATCH(Activities[[#This Row],[Jurisdiction]],Places[Jurisdiction],0))</f>
        <v>Los Angeles</v>
      </c>
      <c r="E1596" s="9">
        <f>INDEX(Places[Majority RB '#],MATCH(Activities[[#This Row],[Jurisdiction]],Places[Jurisdiction],0))</f>
        <v>4</v>
      </c>
      <c r="F1596" s="28" t="str">
        <f>VLOOKUP(Activities[[#This Row],[Jurisdiction]],Places[#All],8,FALSE)</f>
        <v>Phase I MS4</v>
      </c>
      <c r="G1596" s="48" t="s">
        <v>62</v>
      </c>
      <c r="H1596" s="8"/>
      <c r="I1596" s="8"/>
      <c r="J1596" s="8" t="s">
        <v>131</v>
      </c>
      <c r="K1596" s="27" t="s">
        <v>1873</v>
      </c>
      <c r="L1596" s="28">
        <f>_xlfn.NUMBERVALUE(LEFT(Activities[[#This Row],[Fiscal Year]], 4))</f>
        <v>2015</v>
      </c>
      <c r="M1596" s="28" t="s">
        <v>1862</v>
      </c>
      <c r="N1596" s="41">
        <v>91754</v>
      </c>
      <c r="O1596" s="93">
        <f>IF(Activities[[#This Row],[Reference Year]]&gt;2018,Activities[[#This Row],[Value]],Activities[[#This Row],[Value]]*(1+VLOOKUP(Activities[[#This Row],[Reference Year]],Inflation[#All],3,FALSE)))</f>
        <v>97418.357696202525</v>
      </c>
    </row>
    <row r="1597" spans="1:15" ht="15" customHeight="1" x14ac:dyDescent="0.25">
      <c r="A1597" s="9" t="s">
        <v>206</v>
      </c>
      <c r="B1597" s="9" t="str">
        <f>INDEX(Places[Type],MATCH(Activities[[#This Row],[Jurisdiction]],Places[Jurisdiction],0))</f>
        <v>City</v>
      </c>
      <c r="C1597" s="19" t="str">
        <f>INDEX(Places[County],MATCH(Activities[[#This Row],[Jurisdiction]],Places[Jurisdiction],0))</f>
        <v>Los Angeles</v>
      </c>
      <c r="D1597" s="19" t="str">
        <f>INDEX(Places[Majority RB],MATCH(Activities[[#This Row],[Jurisdiction]],Places[Jurisdiction],0))</f>
        <v>Los Angeles</v>
      </c>
      <c r="E1597" s="9">
        <f>INDEX(Places[Majority RB '#],MATCH(Activities[[#This Row],[Jurisdiction]],Places[Jurisdiction],0))</f>
        <v>4</v>
      </c>
      <c r="F1597" s="28" t="str">
        <f>VLOOKUP(Activities[[#This Row],[Jurisdiction]],Places[#All],8,FALSE)</f>
        <v>Phase I MS4</v>
      </c>
      <c r="G1597" s="48" t="s">
        <v>208</v>
      </c>
      <c r="H1597" s="8"/>
      <c r="I1597" s="8"/>
      <c r="J1597" s="8" t="s">
        <v>334</v>
      </c>
      <c r="K1597" s="27" t="s">
        <v>1873</v>
      </c>
      <c r="L1597" s="28">
        <f>_xlfn.NUMBERVALUE(LEFT(Activities[[#This Row],[Fiscal Year]], 4))</f>
        <v>2015</v>
      </c>
      <c r="M1597" s="28" t="s">
        <v>1862</v>
      </c>
      <c r="N1597" s="41">
        <v>155172</v>
      </c>
      <c r="O1597" s="93">
        <f>IF(Activities[[#This Row],[Reference Year]]&gt;2018,Activities[[#This Row],[Value]],Activities[[#This Row],[Value]]*(1+VLOOKUP(Activities[[#This Row],[Reference Year]],Inflation[#All],3,FALSE)))</f>
        <v>164751.41574683544</v>
      </c>
    </row>
    <row r="1598" spans="1:15" ht="15" customHeight="1" x14ac:dyDescent="0.25">
      <c r="A1598" s="9" t="s">
        <v>206</v>
      </c>
      <c r="B1598" s="9" t="str">
        <f>INDEX(Places[Type],MATCH(Activities[[#This Row],[Jurisdiction]],Places[Jurisdiction],0))</f>
        <v>City</v>
      </c>
      <c r="C1598" s="19" t="str">
        <f>INDEX(Places[County],MATCH(Activities[[#This Row],[Jurisdiction]],Places[Jurisdiction],0))</f>
        <v>Los Angeles</v>
      </c>
      <c r="D1598" s="19" t="str">
        <f>INDEX(Places[Majority RB],MATCH(Activities[[#This Row],[Jurisdiction]],Places[Jurisdiction],0))</f>
        <v>Los Angeles</v>
      </c>
      <c r="E1598" s="9">
        <f>INDEX(Places[Majority RB '#],MATCH(Activities[[#This Row],[Jurisdiction]],Places[Jurisdiction],0))</f>
        <v>4</v>
      </c>
      <c r="F1598" s="28" t="str">
        <f>VLOOKUP(Activities[[#This Row],[Jurisdiction]],Places[#All],8,FALSE)</f>
        <v>Phase I MS4</v>
      </c>
      <c r="G1598" s="48" t="s">
        <v>61</v>
      </c>
      <c r="H1598" s="8"/>
      <c r="I1598" s="8"/>
      <c r="J1598" s="8" t="s">
        <v>1897</v>
      </c>
      <c r="K1598" s="27" t="s">
        <v>1873</v>
      </c>
      <c r="L1598" s="28">
        <f>_xlfn.NUMBERVALUE(LEFT(Activities[[#This Row],[Fiscal Year]], 4))</f>
        <v>2015</v>
      </c>
      <c r="M1598" s="28" t="s">
        <v>1862</v>
      </c>
      <c r="N1598" s="41">
        <v>571542</v>
      </c>
      <c r="O1598" s="93">
        <f>IF(Activities[[#This Row],[Reference Year]]&gt;2018,Activities[[#This Row],[Value]],Activities[[#This Row],[Value]]*(1+VLOOKUP(Activities[[#This Row],[Reference Year]],Inflation[#All],3,FALSE)))</f>
        <v>606825.67511392396</v>
      </c>
    </row>
    <row r="1599" spans="1:15" ht="15" customHeight="1" x14ac:dyDescent="0.25">
      <c r="A1599" s="9" t="s">
        <v>206</v>
      </c>
      <c r="B1599" s="9" t="str">
        <f>INDEX(Places[Type],MATCH(Activities[[#This Row],[Jurisdiction]],Places[Jurisdiction],0))</f>
        <v>City</v>
      </c>
      <c r="C1599" s="19" t="str">
        <f>INDEX(Places[County],MATCH(Activities[[#This Row],[Jurisdiction]],Places[Jurisdiction],0))</f>
        <v>Los Angeles</v>
      </c>
      <c r="D1599" s="19" t="str">
        <f>INDEX(Places[Majority RB],MATCH(Activities[[#This Row],[Jurisdiction]],Places[Jurisdiction],0))</f>
        <v>Los Angeles</v>
      </c>
      <c r="E1599" s="9">
        <f>INDEX(Places[Majority RB '#],MATCH(Activities[[#This Row],[Jurisdiction]],Places[Jurisdiction],0))</f>
        <v>4</v>
      </c>
      <c r="F1599" s="28" t="str">
        <f>VLOOKUP(Activities[[#This Row],[Jurisdiction]],Places[#All],8,FALSE)</f>
        <v>Phase I MS4</v>
      </c>
      <c r="G1599" s="48" t="s">
        <v>59</v>
      </c>
      <c r="H1599" s="8"/>
      <c r="I1599" s="8"/>
      <c r="J1599" s="8" t="s">
        <v>1898</v>
      </c>
      <c r="K1599" s="27" t="s">
        <v>1873</v>
      </c>
      <c r="L1599" s="28">
        <f>_xlfn.NUMBERVALUE(LEFT(Activities[[#This Row],[Fiscal Year]], 4))</f>
        <v>2015</v>
      </c>
      <c r="M1599" s="28" t="s">
        <v>1862</v>
      </c>
      <c r="N1599" s="41">
        <v>1333</v>
      </c>
      <c r="O1599" s="93">
        <f>IF(Activities[[#This Row],[Reference Year]]&gt;2018,Activities[[#This Row],[Value]],Activities[[#This Row],[Value]]*(1+VLOOKUP(Activities[[#This Row],[Reference Year]],Inflation[#All],3,FALSE)))</f>
        <v>1415.2916582278481</v>
      </c>
    </row>
    <row r="1600" spans="1:15" ht="15" customHeight="1" x14ac:dyDescent="0.25">
      <c r="A1600" s="9" t="s">
        <v>206</v>
      </c>
      <c r="B1600" s="9" t="str">
        <f>INDEX(Places[Type],MATCH(Activities[[#This Row],[Jurisdiction]],Places[Jurisdiction],0))</f>
        <v>City</v>
      </c>
      <c r="C1600" s="19" t="str">
        <f>INDEX(Places[County],MATCH(Activities[[#This Row],[Jurisdiction]],Places[Jurisdiction],0))</f>
        <v>Los Angeles</v>
      </c>
      <c r="D1600" s="19" t="str">
        <f>INDEX(Places[Majority RB],MATCH(Activities[[#This Row],[Jurisdiction]],Places[Jurisdiction],0))</f>
        <v>Los Angeles</v>
      </c>
      <c r="E1600" s="9">
        <f>INDEX(Places[Majority RB '#],MATCH(Activities[[#This Row],[Jurisdiction]],Places[Jurisdiction],0))</f>
        <v>4</v>
      </c>
      <c r="F1600" s="28" t="str">
        <f>VLOOKUP(Activities[[#This Row],[Jurisdiction]],Places[#All],8,FALSE)</f>
        <v>Phase I MS4</v>
      </c>
      <c r="G1600" s="48" t="s">
        <v>60</v>
      </c>
      <c r="H1600" s="8"/>
      <c r="I1600" s="8"/>
      <c r="J1600" s="8" t="s">
        <v>1898</v>
      </c>
      <c r="K1600" s="27" t="s">
        <v>1873</v>
      </c>
      <c r="L1600" s="28">
        <f>_xlfn.NUMBERVALUE(LEFT(Activities[[#This Row],[Fiscal Year]], 4))</f>
        <v>2015</v>
      </c>
      <c r="M1600" s="28" t="s">
        <v>1862</v>
      </c>
      <c r="N1600" s="41">
        <v>61169</v>
      </c>
      <c r="O1600" s="93">
        <f>IF(Activities[[#This Row],[Reference Year]]&gt;2018,Activities[[#This Row],[Value]],Activities[[#This Row],[Value]]*(1+VLOOKUP(Activities[[#This Row],[Reference Year]],Inflation[#All],3,FALSE)))</f>
        <v>64945.217886075945</v>
      </c>
    </row>
    <row r="1601" spans="1:15" ht="15" customHeight="1" x14ac:dyDescent="0.25">
      <c r="A1601" s="9" t="s">
        <v>206</v>
      </c>
      <c r="B1601" s="9" t="str">
        <f>INDEX(Places[Type],MATCH(Activities[[#This Row],[Jurisdiction]],Places[Jurisdiction],0))</f>
        <v>City</v>
      </c>
      <c r="C1601" s="19" t="str">
        <f>INDEX(Places[County],MATCH(Activities[[#This Row],[Jurisdiction]],Places[Jurisdiction],0))</f>
        <v>Los Angeles</v>
      </c>
      <c r="D1601" s="19" t="str">
        <f>INDEX(Places[Majority RB],MATCH(Activities[[#This Row],[Jurisdiction]],Places[Jurisdiction],0))</f>
        <v>Los Angeles</v>
      </c>
      <c r="E1601" s="9">
        <f>INDEX(Places[Majority RB '#],MATCH(Activities[[#This Row],[Jurisdiction]],Places[Jurisdiction],0))</f>
        <v>4</v>
      </c>
      <c r="F1601" s="28" t="str">
        <f>VLOOKUP(Activities[[#This Row],[Jurisdiction]],Places[#All],8,FALSE)</f>
        <v>Phase I MS4</v>
      </c>
      <c r="G1601" s="48" t="s">
        <v>58</v>
      </c>
      <c r="H1601" s="8"/>
      <c r="I1601" s="8"/>
      <c r="J1601" s="8" t="s">
        <v>1456</v>
      </c>
      <c r="K1601" s="27" t="s">
        <v>1873</v>
      </c>
      <c r="L1601" s="28">
        <f>_xlfn.NUMBERVALUE(LEFT(Activities[[#This Row],[Fiscal Year]], 4))</f>
        <v>2015</v>
      </c>
      <c r="M1601" s="28" t="s">
        <v>1862</v>
      </c>
      <c r="N1601" s="41">
        <v>36514</v>
      </c>
      <c r="O1601" s="93">
        <f>IF(Activities[[#This Row],[Reference Year]]&gt;2018,Activities[[#This Row],[Value]],Activities[[#This Row],[Value]]*(1+VLOOKUP(Activities[[#This Row],[Reference Year]],Inflation[#All],3,FALSE)))</f>
        <v>38768.161746835438</v>
      </c>
    </row>
    <row r="1602" spans="1:15" ht="15" customHeight="1" x14ac:dyDescent="0.25">
      <c r="A1602" s="9" t="s">
        <v>206</v>
      </c>
      <c r="B1602" s="9" t="str">
        <f>INDEX(Places[Type],MATCH(Activities[[#This Row],[Jurisdiction]],Places[Jurisdiction],0))</f>
        <v>City</v>
      </c>
      <c r="C1602" s="19" t="str">
        <f>INDEX(Places[County],MATCH(Activities[[#This Row],[Jurisdiction]],Places[Jurisdiction],0))</f>
        <v>Los Angeles</v>
      </c>
      <c r="D1602" s="19" t="str">
        <f>INDEX(Places[Majority RB],MATCH(Activities[[#This Row],[Jurisdiction]],Places[Jurisdiction],0))</f>
        <v>Los Angeles</v>
      </c>
      <c r="E1602" s="9">
        <f>INDEX(Places[Majority RB '#],MATCH(Activities[[#This Row],[Jurisdiction]],Places[Jurisdiction],0))</f>
        <v>4</v>
      </c>
      <c r="F1602" s="28" t="str">
        <f>VLOOKUP(Activities[[#This Row],[Jurisdiction]],Places[#All],8,FALSE)</f>
        <v>Phase I MS4</v>
      </c>
      <c r="G1602" s="48" t="s">
        <v>32</v>
      </c>
      <c r="H1602" s="8"/>
      <c r="I1602" s="8"/>
      <c r="J1602" s="8" t="s">
        <v>1894</v>
      </c>
      <c r="K1602" s="27" t="s">
        <v>1873</v>
      </c>
      <c r="L1602" s="28">
        <f>_xlfn.NUMBERVALUE(LEFT(Activities[[#This Row],[Fiscal Year]], 4))</f>
        <v>2015</v>
      </c>
      <c r="M1602" s="28" t="s">
        <v>1862</v>
      </c>
      <c r="N1602" s="41">
        <v>1097434</v>
      </c>
      <c r="O1602" s="93">
        <f>IF(Activities[[#This Row],[Reference Year]]&gt;2018,Activities[[#This Row],[Value]],Activities[[#This Row],[Value]]*(1+VLOOKUP(Activities[[#This Row],[Reference Year]],Inflation[#All],3,FALSE)))</f>
        <v>1165183.1850379745</v>
      </c>
    </row>
    <row r="1603" spans="1:15" ht="15" customHeight="1" x14ac:dyDescent="0.25">
      <c r="A1603" s="9" t="s">
        <v>206</v>
      </c>
      <c r="B1603" s="9" t="str">
        <f>INDEX(Places[Type],MATCH(Activities[[#This Row],[Jurisdiction]],Places[Jurisdiction],0))</f>
        <v>City</v>
      </c>
      <c r="C1603" s="19" t="str">
        <f>INDEX(Places[County],MATCH(Activities[[#This Row],[Jurisdiction]],Places[Jurisdiction],0))</f>
        <v>Los Angeles</v>
      </c>
      <c r="D1603" s="19" t="str">
        <f>INDEX(Places[Majority RB],MATCH(Activities[[#This Row],[Jurisdiction]],Places[Jurisdiction],0))</f>
        <v>Los Angeles</v>
      </c>
      <c r="E1603" s="9">
        <f>INDEX(Places[Majority RB '#],MATCH(Activities[[#This Row],[Jurisdiction]],Places[Jurisdiction],0))</f>
        <v>4</v>
      </c>
      <c r="F1603" s="28" t="str">
        <f>VLOOKUP(Activities[[#This Row],[Jurisdiction]],Places[#All],8,FALSE)</f>
        <v>Phase I MS4</v>
      </c>
      <c r="G1603" s="48" t="s">
        <v>67</v>
      </c>
      <c r="H1603" s="8" t="s">
        <v>951</v>
      </c>
      <c r="I1603" s="8"/>
      <c r="J1603" s="8" t="s">
        <v>1896</v>
      </c>
      <c r="K1603" s="27" t="s">
        <v>1873</v>
      </c>
      <c r="L1603" s="28">
        <f>_xlfn.NUMBERVALUE(LEFT(Activities[[#This Row],[Fiscal Year]], 4))</f>
        <v>2015</v>
      </c>
      <c r="M1603" s="28" t="s">
        <v>1862</v>
      </c>
      <c r="N1603" s="41">
        <v>759266</v>
      </c>
      <c r="O1603" s="93">
        <f>IF(Activities[[#This Row],[Reference Year]]&gt;2018,Activities[[#This Row],[Value]],Activities[[#This Row],[Value]]*(1+VLOOKUP(Activities[[#This Row],[Reference Year]],Inflation[#All],3,FALSE)))</f>
        <v>806138.66179746832</v>
      </c>
    </row>
    <row r="1604" spans="1:15" ht="15" customHeight="1" x14ac:dyDescent="0.25">
      <c r="A1604" s="9" t="s">
        <v>206</v>
      </c>
      <c r="B1604" s="9" t="str">
        <f>INDEX(Places[Type],MATCH(Activities[[#This Row],[Jurisdiction]],Places[Jurisdiction],0))</f>
        <v>City</v>
      </c>
      <c r="C1604" s="19" t="str">
        <f>INDEX(Places[County],MATCH(Activities[[#This Row],[Jurisdiction]],Places[Jurisdiction],0))</f>
        <v>Los Angeles</v>
      </c>
      <c r="D1604" s="19" t="str">
        <f>INDEX(Places[Majority RB],MATCH(Activities[[#This Row],[Jurisdiction]],Places[Jurisdiction],0))</f>
        <v>Los Angeles</v>
      </c>
      <c r="E1604" s="9">
        <f>INDEX(Places[Majority RB '#],MATCH(Activities[[#This Row],[Jurisdiction]],Places[Jurisdiction],0))</f>
        <v>4</v>
      </c>
      <c r="F1604" s="28" t="str">
        <f>VLOOKUP(Activities[[#This Row],[Jurisdiction]],Places[#All],8,FALSE)</f>
        <v>Phase I MS4</v>
      </c>
      <c r="G1604" s="48" t="s">
        <v>33</v>
      </c>
      <c r="H1604" s="8"/>
      <c r="I1604" s="8"/>
      <c r="J1604" s="8" t="s">
        <v>47</v>
      </c>
      <c r="K1604" s="27" t="s">
        <v>1873</v>
      </c>
      <c r="L1604" s="28">
        <f>_xlfn.NUMBERVALUE(LEFT(Activities[[#This Row],[Fiscal Year]], 4))</f>
        <v>2015</v>
      </c>
      <c r="M1604" s="28" t="s">
        <v>1862</v>
      </c>
      <c r="N1604" s="41">
        <v>196991</v>
      </c>
      <c r="O1604" s="93">
        <f>IF(Activities[[#This Row],[Reference Year]]&gt;2018,Activities[[#This Row],[Value]],Activities[[#This Row],[Value]]*(1+VLOOKUP(Activities[[#This Row],[Reference Year]],Inflation[#All],3,FALSE)))</f>
        <v>209152.07730379744</v>
      </c>
    </row>
    <row r="1605" spans="1:15" ht="15" customHeight="1" x14ac:dyDescent="0.25">
      <c r="A1605" s="9" t="s">
        <v>186</v>
      </c>
      <c r="B1605" s="9" t="str">
        <f>INDEX(Places[Type],MATCH(Activities[[#This Row],[Jurisdiction]],Places[Jurisdiction],0))</f>
        <v>City</v>
      </c>
      <c r="C1605" s="19" t="str">
        <f>INDEX(Places[County],MATCH(Activities[[#This Row],[Jurisdiction]],Places[Jurisdiction],0))</f>
        <v>Los Angeles</v>
      </c>
      <c r="D1605" s="19" t="str">
        <f>INDEX(Places[Majority RB],MATCH(Activities[[#This Row],[Jurisdiction]],Places[Jurisdiction],0))</f>
        <v>Los Angeles</v>
      </c>
      <c r="E1605" s="9">
        <f>INDEX(Places[Majority RB '#],MATCH(Activities[[#This Row],[Jurisdiction]],Places[Jurisdiction],0))</f>
        <v>4</v>
      </c>
      <c r="F1605" s="28" t="str">
        <f>VLOOKUP(Activities[[#This Row],[Jurisdiction]],Places[#All],8,FALSE)</f>
        <v>Phase I MS4</v>
      </c>
      <c r="G1605" s="48" t="s">
        <v>64</v>
      </c>
      <c r="H1605" s="8"/>
      <c r="I1605" s="8"/>
      <c r="J1605" s="8" t="s">
        <v>76</v>
      </c>
      <c r="K1605" s="27" t="s">
        <v>1873</v>
      </c>
      <c r="L1605" s="28">
        <f>_xlfn.NUMBERVALUE(LEFT(Activities[[#This Row],[Fiscal Year]], 4))</f>
        <v>2015</v>
      </c>
      <c r="M1605" s="28" t="s">
        <v>1862</v>
      </c>
      <c r="N1605" s="41">
        <v>712934</v>
      </c>
      <c r="O1605" s="93">
        <f>IF(Activities[[#This Row],[Reference Year]]&gt;2018,Activities[[#This Row],[Value]],Activities[[#This Row],[Value]]*(1+VLOOKUP(Activities[[#This Row],[Reference Year]],Inflation[#All],3,FALSE)))</f>
        <v>756946.39389873412</v>
      </c>
    </row>
    <row r="1606" spans="1:15" ht="15" customHeight="1" x14ac:dyDescent="0.25">
      <c r="A1606" s="9" t="s">
        <v>186</v>
      </c>
      <c r="B1606" s="9" t="str">
        <f>INDEX(Places[Type],MATCH(Activities[[#This Row],[Jurisdiction]],Places[Jurisdiction],0))</f>
        <v>City</v>
      </c>
      <c r="C1606" s="19" t="str">
        <f>INDEX(Places[County],MATCH(Activities[[#This Row],[Jurisdiction]],Places[Jurisdiction],0))</f>
        <v>Los Angeles</v>
      </c>
      <c r="D1606" s="19" t="str">
        <f>INDEX(Places[Majority RB],MATCH(Activities[[#This Row],[Jurisdiction]],Places[Jurisdiction],0))</f>
        <v>Los Angeles</v>
      </c>
      <c r="E1606" s="9">
        <f>INDEX(Places[Majority RB '#],MATCH(Activities[[#This Row],[Jurisdiction]],Places[Jurisdiction],0))</f>
        <v>4</v>
      </c>
      <c r="F1606" s="28" t="str">
        <f>VLOOKUP(Activities[[#This Row],[Jurisdiction]],Places[#All],8,FALSE)</f>
        <v>Phase I MS4</v>
      </c>
      <c r="G1606" s="48" t="s">
        <v>208</v>
      </c>
      <c r="H1606" s="8"/>
      <c r="I1606" s="8"/>
      <c r="J1606" s="8" t="s">
        <v>334</v>
      </c>
      <c r="K1606" s="27" t="s">
        <v>1873</v>
      </c>
      <c r="L1606" s="28">
        <f>_xlfn.NUMBERVALUE(LEFT(Activities[[#This Row],[Fiscal Year]], 4))</f>
        <v>2015</v>
      </c>
      <c r="M1606" s="28" t="s">
        <v>1862</v>
      </c>
      <c r="N1606" s="41">
        <v>96752</v>
      </c>
      <c r="O1606" s="93">
        <f>IF(Activities[[#This Row],[Reference Year]]&gt;2018,Activities[[#This Row],[Value]],Activities[[#This Row],[Value]]*(1+VLOOKUP(Activities[[#This Row],[Reference Year]],Inflation[#All],3,FALSE)))</f>
        <v>102724.90511392405</v>
      </c>
    </row>
    <row r="1607" spans="1:15" ht="15" customHeight="1" x14ac:dyDescent="0.25">
      <c r="A1607" s="9" t="s">
        <v>186</v>
      </c>
      <c r="B1607" s="9" t="str">
        <f>INDEX(Places[Type],MATCH(Activities[[#This Row],[Jurisdiction]],Places[Jurisdiction],0))</f>
        <v>City</v>
      </c>
      <c r="C1607" s="19" t="str">
        <f>INDEX(Places[County],MATCH(Activities[[#This Row],[Jurisdiction]],Places[Jurisdiction],0))</f>
        <v>Los Angeles</v>
      </c>
      <c r="D1607" s="19" t="str">
        <f>INDEX(Places[Majority RB],MATCH(Activities[[#This Row],[Jurisdiction]],Places[Jurisdiction],0))</f>
        <v>Los Angeles</v>
      </c>
      <c r="E1607" s="9">
        <f>INDEX(Places[Majority RB '#],MATCH(Activities[[#This Row],[Jurisdiction]],Places[Jurisdiction],0))</f>
        <v>4</v>
      </c>
      <c r="F1607" s="28" t="str">
        <f>VLOOKUP(Activities[[#This Row],[Jurisdiction]],Places[#All],8,FALSE)</f>
        <v>Phase I MS4</v>
      </c>
      <c r="G1607" s="48" t="s">
        <v>61</v>
      </c>
      <c r="H1607" s="8"/>
      <c r="I1607" s="8"/>
      <c r="J1607" s="8" t="s">
        <v>1897</v>
      </c>
      <c r="K1607" s="27" t="s">
        <v>1873</v>
      </c>
      <c r="L1607" s="28">
        <f>_xlfn.NUMBERVALUE(LEFT(Activities[[#This Row],[Fiscal Year]], 4))</f>
        <v>2015</v>
      </c>
      <c r="M1607" s="28" t="s">
        <v>1862</v>
      </c>
      <c r="N1607" s="41">
        <v>6474237</v>
      </c>
      <c r="O1607" s="93">
        <f>IF(Activities[[#This Row],[Reference Year]]&gt;2018,Activities[[#This Row],[Value]],Activities[[#This Row],[Value]]*(1+VLOOKUP(Activities[[#This Row],[Reference Year]],Inflation[#All],3,FALSE)))</f>
        <v>6873918.694291139</v>
      </c>
    </row>
    <row r="1608" spans="1:15" ht="15" customHeight="1" x14ac:dyDescent="0.25">
      <c r="A1608" s="9" t="s">
        <v>186</v>
      </c>
      <c r="B1608" s="9" t="str">
        <f>INDEX(Places[Type],MATCH(Activities[[#This Row],[Jurisdiction]],Places[Jurisdiction],0))</f>
        <v>City</v>
      </c>
      <c r="C1608" s="19" t="str">
        <f>INDEX(Places[County],MATCH(Activities[[#This Row],[Jurisdiction]],Places[Jurisdiction],0))</f>
        <v>Los Angeles</v>
      </c>
      <c r="D1608" s="19" t="str">
        <f>INDEX(Places[Majority RB],MATCH(Activities[[#This Row],[Jurisdiction]],Places[Jurisdiction],0))</f>
        <v>Los Angeles</v>
      </c>
      <c r="E1608" s="9">
        <f>INDEX(Places[Majority RB '#],MATCH(Activities[[#This Row],[Jurisdiction]],Places[Jurisdiction],0))</f>
        <v>4</v>
      </c>
      <c r="F1608" s="28" t="str">
        <f>VLOOKUP(Activities[[#This Row],[Jurisdiction]],Places[#All],8,FALSE)</f>
        <v>Phase I MS4</v>
      </c>
      <c r="G1608" s="48" t="s">
        <v>58</v>
      </c>
      <c r="H1608" s="8"/>
      <c r="I1608" s="8"/>
      <c r="J1608" s="8" t="s">
        <v>1456</v>
      </c>
      <c r="K1608" s="27" t="s">
        <v>1873</v>
      </c>
      <c r="L1608" s="28">
        <f>_xlfn.NUMBERVALUE(LEFT(Activities[[#This Row],[Fiscal Year]], 4))</f>
        <v>2015</v>
      </c>
      <c r="M1608" s="28" t="s">
        <v>1862</v>
      </c>
      <c r="N1608" s="41">
        <v>22249</v>
      </c>
      <c r="O1608" s="93">
        <f>IF(Activities[[#This Row],[Reference Year]]&gt;2018,Activities[[#This Row],[Value]],Activities[[#This Row],[Value]]*(1+VLOOKUP(Activities[[#This Row],[Reference Year]],Inflation[#All],3,FALSE)))</f>
        <v>23622.523708860757</v>
      </c>
    </row>
    <row r="1609" spans="1:15" ht="15" customHeight="1" x14ac:dyDescent="0.25">
      <c r="A1609" s="9" t="s">
        <v>186</v>
      </c>
      <c r="B1609" s="9" t="str">
        <f>INDEX(Places[Type],MATCH(Activities[[#This Row],[Jurisdiction]],Places[Jurisdiction],0))</f>
        <v>City</v>
      </c>
      <c r="C1609" s="19" t="str">
        <f>INDEX(Places[County],MATCH(Activities[[#This Row],[Jurisdiction]],Places[Jurisdiction],0))</f>
        <v>Los Angeles</v>
      </c>
      <c r="D1609" s="19" t="str">
        <f>INDEX(Places[Majority RB],MATCH(Activities[[#This Row],[Jurisdiction]],Places[Jurisdiction],0))</f>
        <v>Los Angeles</v>
      </c>
      <c r="E1609" s="9">
        <f>INDEX(Places[Majority RB '#],MATCH(Activities[[#This Row],[Jurisdiction]],Places[Jurisdiction],0))</f>
        <v>4</v>
      </c>
      <c r="F1609" s="28" t="str">
        <f>VLOOKUP(Activities[[#This Row],[Jurisdiction]],Places[#All],8,FALSE)</f>
        <v>Phase I MS4</v>
      </c>
      <c r="G1609" s="48" t="s">
        <v>32</v>
      </c>
      <c r="H1609" s="8"/>
      <c r="I1609" s="8"/>
      <c r="J1609" s="8" t="s">
        <v>1894</v>
      </c>
      <c r="K1609" s="27" t="s">
        <v>1873</v>
      </c>
      <c r="L1609" s="28">
        <f>_xlfn.NUMBERVALUE(LEFT(Activities[[#This Row],[Fiscal Year]], 4))</f>
        <v>2015</v>
      </c>
      <c r="M1609" s="28" t="s">
        <v>1862</v>
      </c>
      <c r="N1609" s="41">
        <v>2676242</v>
      </c>
      <c r="O1609" s="93">
        <f>IF(Activities[[#This Row],[Reference Year]]&gt;2018,Activities[[#This Row],[Value]],Activities[[#This Row],[Value]]*(1+VLOOKUP(Activities[[#This Row],[Reference Year]],Inflation[#All],3,FALSE)))</f>
        <v>2841457.5978987338</v>
      </c>
    </row>
    <row r="1610" spans="1:15" ht="15" customHeight="1" x14ac:dyDescent="0.25">
      <c r="A1610" s="9" t="s">
        <v>186</v>
      </c>
      <c r="B1610" s="9" t="str">
        <f>INDEX(Places[Type],MATCH(Activities[[#This Row],[Jurisdiction]],Places[Jurisdiction],0))</f>
        <v>City</v>
      </c>
      <c r="C1610" s="19" t="str">
        <f>INDEX(Places[County],MATCH(Activities[[#This Row],[Jurisdiction]],Places[Jurisdiction],0))</f>
        <v>Los Angeles</v>
      </c>
      <c r="D1610" s="19" t="str">
        <f>INDEX(Places[Majority RB],MATCH(Activities[[#This Row],[Jurisdiction]],Places[Jurisdiction],0))</f>
        <v>Los Angeles</v>
      </c>
      <c r="E1610" s="9">
        <f>INDEX(Places[Majority RB '#],MATCH(Activities[[#This Row],[Jurisdiction]],Places[Jurisdiction],0))</f>
        <v>4</v>
      </c>
      <c r="F1610" s="28" t="str">
        <f>VLOOKUP(Activities[[#This Row],[Jurisdiction]],Places[#All],8,FALSE)</f>
        <v>Phase I MS4</v>
      </c>
      <c r="G1610" s="48" t="s">
        <v>67</v>
      </c>
      <c r="H1610" s="8"/>
      <c r="I1610" s="8"/>
      <c r="J1610" s="8" t="s">
        <v>1896</v>
      </c>
      <c r="K1610" s="27" t="s">
        <v>1873</v>
      </c>
      <c r="L1610" s="28">
        <f>_xlfn.NUMBERVALUE(LEFT(Activities[[#This Row],[Fiscal Year]], 4))</f>
        <v>2015</v>
      </c>
      <c r="M1610" s="28" t="s">
        <v>1862</v>
      </c>
      <c r="N1610" s="41">
        <v>432650</v>
      </c>
      <c r="O1610" s="93">
        <f>IF(Activities[[#This Row],[Reference Year]]&gt;2018,Activities[[#This Row],[Value]],Activities[[#This Row],[Value]]*(1+VLOOKUP(Activities[[#This Row],[Reference Year]],Inflation[#All],3,FALSE)))</f>
        <v>459359.29177215189</v>
      </c>
    </row>
    <row r="1611" spans="1:15" ht="15" customHeight="1" x14ac:dyDescent="0.25">
      <c r="A1611" s="9" t="s">
        <v>186</v>
      </c>
      <c r="B1611" s="9" t="str">
        <f>INDEX(Places[Type],MATCH(Activities[[#This Row],[Jurisdiction]],Places[Jurisdiction],0))</f>
        <v>City</v>
      </c>
      <c r="C1611" s="19" t="str">
        <f>INDEX(Places[County],MATCH(Activities[[#This Row],[Jurisdiction]],Places[Jurisdiction],0))</f>
        <v>Los Angeles</v>
      </c>
      <c r="D1611" s="19" t="str">
        <f>INDEX(Places[Majority RB],MATCH(Activities[[#This Row],[Jurisdiction]],Places[Jurisdiction],0))</f>
        <v>Los Angeles</v>
      </c>
      <c r="E1611" s="9">
        <f>INDEX(Places[Majority RB '#],MATCH(Activities[[#This Row],[Jurisdiction]],Places[Jurisdiction],0))</f>
        <v>4</v>
      </c>
      <c r="F1611" s="28" t="str">
        <f>VLOOKUP(Activities[[#This Row],[Jurisdiction]],Places[#All],8,FALSE)</f>
        <v>Phase I MS4</v>
      </c>
      <c r="G1611" s="48" t="s">
        <v>33</v>
      </c>
      <c r="H1611" s="8"/>
      <c r="I1611" s="8"/>
      <c r="J1611" s="8" t="s">
        <v>47</v>
      </c>
      <c r="K1611" s="27" t="s">
        <v>1873</v>
      </c>
      <c r="L1611" s="28">
        <f>_xlfn.NUMBERVALUE(LEFT(Activities[[#This Row],[Fiscal Year]], 4))</f>
        <v>2015</v>
      </c>
      <c r="M1611" s="28" t="s">
        <v>1862</v>
      </c>
      <c r="N1611" s="41">
        <v>202893</v>
      </c>
      <c r="O1611" s="93">
        <f>IF(Activities[[#This Row],[Reference Year]]&gt;2018,Activities[[#This Row],[Value]],Activities[[#This Row],[Value]]*(1+VLOOKUP(Activities[[#This Row],[Reference Year]],Inflation[#All],3,FALSE)))</f>
        <v>215418.43241772152</v>
      </c>
    </row>
    <row r="1612" spans="1:15" ht="15" customHeight="1" x14ac:dyDescent="0.25">
      <c r="A1612" s="9" t="s">
        <v>259</v>
      </c>
      <c r="B1612" s="9" t="str">
        <f>INDEX(Places[Type],MATCH(Activities[[#This Row],[Jurisdiction]],Places[Jurisdiction],0))</f>
        <v>City</v>
      </c>
      <c r="C1612" s="19" t="str">
        <f>INDEX(Places[County],MATCH(Activities[[#This Row],[Jurisdiction]],Places[Jurisdiction],0))</f>
        <v>Ventura</v>
      </c>
      <c r="D1612" s="19" t="str">
        <f>INDEX(Places[Majority RB],MATCH(Activities[[#This Row],[Jurisdiction]],Places[Jurisdiction],0))</f>
        <v>Los Angeles</v>
      </c>
      <c r="E1612" s="9">
        <f>INDEX(Places[Majority RB '#],MATCH(Activities[[#This Row],[Jurisdiction]],Places[Jurisdiction],0))</f>
        <v>4</v>
      </c>
      <c r="F1612" s="28" t="str">
        <f>VLOOKUP(Activities[[#This Row],[Jurisdiction]],Places[#All],8,FALSE)</f>
        <v>Phase I MS4</v>
      </c>
      <c r="G1612" s="48" t="s">
        <v>76</v>
      </c>
      <c r="H1612" s="8"/>
      <c r="I1612" s="8"/>
      <c r="J1612" s="8" t="s">
        <v>76</v>
      </c>
      <c r="K1612" s="27" t="s">
        <v>1876</v>
      </c>
      <c r="L1612" s="28">
        <f>_xlfn.NUMBERVALUE(LEFT(Activities[[#This Row],[Fiscal Year]], 4))</f>
        <v>2018</v>
      </c>
      <c r="M1612" s="28" t="s">
        <v>1863</v>
      </c>
      <c r="N1612" s="41">
        <v>20000</v>
      </c>
      <c r="O1612" s="93">
        <f>IF(Activities[[#This Row],[Reference Year]]&gt;2018,Activities[[#This Row],[Value]],Activities[[#This Row],[Value]]*(1+VLOOKUP(Activities[[#This Row],[Reference Year]],Inflation[#All],3,FALSE)))</f>
        <v>20000</v>
      </c>
    </row>
    <row r="1613" spans="1:15" ht="15" customHeight="1" x14ac:dyDescent="0.25">
      <c r="A1613" s="9" t="s">
        <v>259</v>
      </c>
      <c r="B1613" s="9" t="str">
        <f>INDEX(Places[Type],MATCH(Activities[[#This Row],[Jurisdiction]],Places[Jurisdiction],0))</f>
        <v>City</v>
      </c>
      <c r="C1613" s="19" t="str">
        <f>INDEX(Places[County],MATCH(Activities[[#This Row],[Jurisdiction]],Places[Jurisdiction],0))</f>
        <v>Ventura</v>
      </c>
      <c r="D1613" s="19" t="str">
        <f>INDEX(Places[Majority RB],MATCH(Activities[[#This Row],[Jurisdiction]],Places[Jurisdiction],0))</f>
        <v>Los Angeles</v>
      </c>
      <c r="E1613" s="9">
        <f>INDEX(Places[Majority RB '#],MATCH(Activities[[#This Row],[Jurisdiction]],Places[Jurisdiction],0))</f>
        <v>4</v>
      </c>
      <c r="F1613" s="28" t="str">
        <f>VLOOKUP(Activities[[#This Row],[Jurisdiction]],Places[#All],8,FALSE)</f>
        <v>Phase I MS4</v>
      </c>
      <c r="G1613" s="48" t="s">
        <v>70</v>
      </c>
      <c r="H1613" s="8"/>
      <c r="I1613" s="8"/>
      <c r="J1613" s="8" t="s">
        <v>1895</v>
      </c>
      <c r="K1613" s="27" t="s">
        <v>1876</v>
      </c>
      <c r="L1613" s="28">
        <f>_xlfn.NUMBERVALUE(LEFT(Activities[[#This Row],[Fiscal Year]], 4))</f>
        <v>2018</v>
      </c>
      <c r="M1613" s="28" t="s">
        <v>1863</v>
      </c>
      <c r="N1613" s="41">
        <v>20000</v>
      </c>
      <c r="O1613" s="93">
        <f>IF(Activities[[#This Row],[Reference Year]]&gt;2018,Activities[[#This Row],[Value]],Activities[[#This Row],[Value]]*(1+VLOOKUP(Activities[[#This Row],[Reference Year]],Inflation[#All],3,FALSE)))</f>
        <v>20000</v>
      </c>
    </row>
    <row r="1614" spans="1:15" ht="15" customHeight="1" x14ac:dyDescent="0.25">
      <c r="A1614" s="9" t="s">
        <v>259</v>
      </c>
      <c r="B1614" s="9" t="str">
        <f>INDEX(Places[Type],MATCH(Activities[[#This Row],[Jurisdiction]],Places[Jurisdiction],0))</f>
        <v>City</v>
      </c>
      <c r="C1614" s="19" t="str">
        <f>INDEX(Places[County],MATCH(Activities[[#This Row],[Jurisdiction]],Places[Jurisdiction],0))</f>
        <v>Ventura</v>
      </c>
      <c r="D1614" s="19" t="str">
        <f>INDEX(Places[Majority RB],MATCH(Activities[[#This Row],[Jurisdiction]],Places[Jurisdiction],0))</f>
        <v>Los Angeles</v>
      </c>
      <c r="E1614" s="9">
        <f>INDEX(Places[Majority RB '#],MATCH(Activities[[#This Row],[Jurisdiction]],Places[Jurisdiction],0))</f>
        <v>4</v>
      </c>
      <c r="F1614" s="28" t="str">
        <f>VLOOKUP(Activities[[#This Row],[Jurisdiction]],Places[#All],8,FALSE)</f>
        <v>Phase I MS4</v>
      </c>
      <c r="G1614" s="48" t="s">
        <v>77</v>
      </c>
      <c r="H1614" s="8"/>
      <c r="I1614" s="8"/>
      <c r="J1614" s="8" t="s">
        <v>131</v>
      </c>
      <c r="K1614" s="27" t="s">
        <v>1876</v>
      </c>
      <c r="L1614" s="28">
        <f>_xlfn.NUMBERVALUE(LEFT(Activities[[#This Row],[Fiscal Year]], 4))</f>
        <v>2018</v>
      </c>
      <c r="M1614" s="28" t="s">
        <v>1863</v>
      </c>
      <c r="N1614" s="41">
        <v>15000</v>
      </c>
      <c r="O1614" s="93">
        <f>IF(Activities[[#This Row],[Reference Year]]&gt;2018,Activities[[#This Row],[Value]],Activities[[#This Row],[Value]]*(1+VLOOKUP(Activities[[#This Row],[Reference Year]],Inflation[#All],3,FALSE)))</f>
        <v>15000</v>
      </c>
    </row>
    <row r="1615" spans="1:15" ht="15" customHeight="1" x14ac:dyDescent="0.25">
      <c r="A1615" s="9" t="s">
        <v>259</v>
      </c>
      <c r="B1615" s="9" t="str">
        <f>INDEX(Places[Type],MATCH(Activities[[#This Row],[Jurisdiction]],Places[Jurisdiction],0))</f>
        <v>City</v>
      </c>
      <c r="C1615" s="19" t="str">
        <f>INDEX(Places[County],MATCH(Activities[[#This Row],[Jurisdiction]],Places[Jurisdiction],0))</f>
        <v>Ventura</v>
      </c>
      <c r="D1615" s="19" t="str">
        <f>INDEX(Places[Majority RB],MATCH(Activities[[#This Row],[Jurisdiction]],Places[Jurisdiction],0))</f>
        <v>Los Angeles</v>
      </c>
      <c r="E1615" s="9">
        <f>INDEX(Places[Majority RB '#],MATCH(Activities[[#This Row],[Jurisdiction]],Places[Jurisdiction],0))</f>
        <v>4</v>
      </c>
      <c r="F1615" s="28" t="str">
        <f>VLOOKUP(Activities[[#This Row],[Jurisdiction]],Places[#All],8,FALSE)</f>
        <v>Phase I MS4</v>
      </c>
      <c r="G1615" s="48" t="s">
        <v>69</v>
      </c>
      <c r="H1615" s="8"/>
      <c r="I1615" s="8"/>
      <c r="J1615" s="8" t="s">
        <v>334</v>
      </c>
      <c r="K1615" s="27" t="s">
        <v>1876</v>
      </c>
      <c r="L1615" s="28">
        <f>_xlfn.NUMBERVALUE(LEFT(Activities[[#This Row],[Fiscal Year]], 4))</f>
        <v>2018</v>
      </c>
      <c r="M1615" s="28" t="s">
        <v>1863</v>
      </c>
      <c r="N1615" s="41">
        <v>3000</v>
      </c>
      <c r="O1615" s="93">
        <f>IF(Activities[[#This Row],[Reference Year]]&gt;2018,Activities[[#This Row],[Value]],Activities[[#This Row],[Value]]*(1+VLOOKUP(Activities[[#This Row],[Reference Year]],Inflation[#All],3,FALSE)))</f>
        <v>3000</v>
      </c>
    </row>
    <row r="1616" spans="1:15" ht="15" customHeight="1" x14ac:dyDescent="0.25">
      <c r="A1616" s="9" t="s">
        <v>259</v>
      </c>
      <c r="B1616" s="9" t="str">
        <f>INDEX(Places[Type],MATCH(Activities[[#This Row],[Jurisdiction]],Places[Jurisdiction],0))</f>
        <v>City</v>
      </c>
      <c r="C1616" s="19" t="str">
        <f>INDEX(Places[County],MATCH(Activities[[#This Row],[Jurisdiction]],Places[Jurisdiction],0))</f>
        <v>Ventura</v>
      </c>
      <c r="D1616" s="19" t="str">
        <f>INDEX(Places[Majority RB],MATCH(Activities[[#This Row],[Jurisdiction]],Places[Jurisdiction],0))</f>
        <v>Los Angeles</v>
      </c>
      <c r="E1616" s="9">
        <f>INDEX(Places[Majority RB '#],MATCH(Activities[[#This Row],[Jurisdiction]],Places[Jurisdiction],0))</f>
        <v>4</v>
      </c>
      <c r="F1616" s="28" t="str">
        <f>VLOOKUP(Activities[[#This Row],[Jurisdiction]],Places[#All],8,FALSE)</f>
        <v>Phase I MS4</v>
      </c>
      <c r="G1616" s="48" t="s">
        <v>71</v>
      </c>
      <c r="H1616" s="8" t="s">
        <v>484</v>
      </c>
      <c r="I1616" s="8" t="s">
        <v>458</v>
      </c>
      <c r="J1616" s="8" t="s">
        <v>71</v>
      </c>
      <c r="K1616" s="27" t="s">
        <v>1876</v>
      </c>
      <c r="L1616" s="28">
        <f>_xlfn.NUMBERVALUE(LEFT(Activities[[#This Row],[Fiscal Year]], 4))</f>
        <v>2018</v>
      </c>
      <c r="M1616" s="28" t="s">
        <v>1863</v>
      </c>
      <c r="N1616" s="41">
        <v>30000</v>
      </c>
      <c r="O1616" s="93">
        <f>IF(Activities[[#This Row],[Reference Year]]&gt;2018,Activities[[#This Row],[Value]],Activities[[#This Row],[Value]]*(1+VLOOKUP(Activities[[#This Row],[Reference Year]],Inflation[#All],3,FALSE)))</f>
        <v>30000</v>
      </c>
    </row>
    <row r="1617" spans="1:15" ht="15" customHeight="1" x14ac:dyDescent="0.25">
      <c r="A1617" s="9" t="s">
        <v>259</v>
      </c>
      <c r="B1617" s="9" t="str">
        <f>INDEX(Places[Type],MATCH(Activities[[#This Row],[Jurisdiction]],Places[Jurisdiction],0))</f>
        <v>City</v>
      </c>
      <c r="C1617" s="19" t="str">
        <f>INDEX(Places[County],MATCH(Activities[[#This Row],[Jurisdiction]],Places[Jurisdiction],0))</f>
        <v>Ventura</v>
      </c>
      <c r="D1617" s="19" t="str">
        <f>INDEX(Places[Majority RB],MATCH(Activities[[#This Row],[Jurisdiction]],Places[Jurisdiction],0))</f>
        <v>Los Angeles</v>
      </c>
      <c r="E1617" s="9">
        <f>INDEX(Places[Majority RB '#],MATCH(Activities[[#This Row],[Jurisdiction]],Places[Jurisdiction],0))</f>
        <v>4</v>
      </c>
      <c r="F1617" s="28" t="str">
        <f>VLOOKUP(Activities[[#This Row],[Jurisdiction]],Places[#All],8,FALSE)</f>
        <v>Phase I MS4</v>
      </c>
      <c r="G1617" s="48" t="s">
        <v>73</v>
      </c>
      <c r="H1617" s="8"/>
      <c r="I1617" s="8"/>
      <c r="J1617" s="8" t="s">
        <v>1897</v>
      </c>
      <c r="K1617" s="27" t="s">
        <v>1876</v>
      </c>
      <c r="L1617" s="28">
        <f>_xlfn.NUMBERVALUE(LEFT(Activities[[#This Row],[Fiscal Year]], 4))</f>
        <v>2018</v>
      </c>
      <c r="M1617" s="28" t="s">
        <v>1863</v>
      </c>
      <c r="N1617" s="41">
        <v>10000</v>
      </c>
      <c r="O1617" s="93">
        <f>IF(Activities[[#This Row],[Reference Year]]&gt;2018,Activities[[#This Row],[Value]],Activities[[#This Row],[Value]]*(1+VLOOKUP(Activities[[#This Row],[Reference Year]],Inflation[#All],3,FALSE)))</f>
        <v>10000</v>
      </c>
    </row>
    <row r="1618" spans="1:15" ht="15" customHeight="1" x14ac:dyDescent="0.25">
      <c r="A1618" s="9" t="s">
        <v>259</v>
      </c>
      <c r="B1618" s="9" t="str">
        <f>INDEX(Places[Type],MATCH(Activities[[#This Row],[Jurisdiction]],Places[Jurisdiction],0))</f>
        <v>City</v>
      </c>
      <c r="C1618" s="19" t="str">
        <f>INDEX(Places[County],MATCH(Activities[[#This Row],[Jurisdiction]],Places[Jurisdiction],0))</f>
        <v>Ventura</v>
      </c>
      <c r="D1618" s="19" t="str">
        <f>INDEX(Places[Majority RB],MATCH(Activities[[#This Row],[Jurisdiction]],Places[Jurisdiction],0))</f>
        <v>Los Angeles</v>
      </c>
      <c r="E1618" s="9">
        <f>INDEX(Places[Majority RB '#],MATCH(Activities[[#This Row],[Jurisdiction]],Places[Jurisdiction],0))</f>
        <v>4</v>
      </c>
      <c r="F1618" s="28" t="str">
        <f>VLOOKUP(Activities[[#This Row],[Jurisdiction]],Places[#All],8,FALSE)</f>
        <v>Phase I MS4</v>
      </c>
      <c r="G1618" s="48" t="s">
        <v>74</v>
      </c>
      <c r="H1618" s="8" t="s">
        <v>611</v>
      </c>
      <c r="I1618" s="8" t="s">
        <v>458</v>
      </c>
      <c r="J1618" s="8" t="s">
        <v>1897</v>
      </c>
      <c r="K1618" s="27" t="s">
        <v>1876</v>
      </c>
      <c r="L1618" s="28">
        <f>_xlfn.NUMBERVALUE(LEFT(Activities[[#This Row],[Fiscal Year]], 4))</f>
        <v>2018</v>
      </c>
      <c r="M1618" s="28" t="s">
        <v>1863</v>
      </c>
      <c r="N1618" s="41">
        <v>30000</v>
      </c>
      <c r="O1618" s="93">
        <f>IF(Activities[[#This Row],[Reference Year]]&gt;2018,Activities[[#This Row],[Value]],Activities[[#This Row],[Value]]*(1+VLOOKUP(Activities[[#This Row],[Reference Year]],Inflation[#All],3,FALSE)))</f>
        <v>30000</v>
      </c>
    </row>
    <row r="1619" spans="1:15" ht="15" customHeight="1" x14ac:dyDescent="0.25">
      <c r="A1619" s="9" t="s">
        <v>259</v>
      </c>
      <c r="B1619" s="9" t="str">
        <f>INDEX(Places[Type],MATCH(Activities[[#This Row],[Jurisdiction]],Places[Jurisdiction],0))</f>
        <v>City</v>
      </c>
      <c r="C1619" s="19" t="str">
        <f>INDEX(Places[County],MATCH(Activities[[#This Row],[Jurisdiction]],Places[Jurisdiction],0))</f>
        <v>Ventura</v>
      </c>
      <c r="D1619" s="19" t="str">
        <f>INDEX(Places[Majority RB],MATCH(Activities[[#This Row],[Jurisdiction]],Places[Jurisdiction],0))</f>
        <v>Los Angeles</v>
      </c>
      <c r="E1619" s="9">
        <f>INDEX(Places[Majority RB '#],MATCH(Activities[[#This Row],[Jurisdiction]],Places[Jurisdiction],0))</f>
        <v>4</v>
      </c>
      <c r="F1619" s="28" t="str">
        <f>VLOOKUP(Activities[[#This Row],[Jurisdiction]],Places[#All],8,FALSE)</f>
        <v>Phase I MS4</v>
      </c>
      <c r="G1619" s="48" t="s">
        <v>68</v>
      </c>
      <c r="H1619" s="8"/>
      <c r="I1619" s="8"/>
      <c r="J1619" s="8" t="s">
        <v>1456</v>
      </c>
      <c r="K1619" s="27" t="s">
        <v>1876</v>
      </c>
      <c r="L1619" s="28">
        <f>_xlfn.NUMBERVALUE(LEFT(Activities[[#This Row],[Fiscal Year]], 4))</f>
        <v>2018</v>
      </c>
      <c r="M1619" s="28" t="s">
        <v>1863</v>
      </c>
      <c r="N1619" s="41">
        <v>500</v>
      </c>
      <c r="O1619" s="93">
        <f>IF(Activities[[#This Row],[Reference Year]]&gt;2018,Activities[[#This Row],[Value]],Activities[[#This Row],[Value]]*(1+VLOOKUP(Activities[[#This Row],[Reference Year]],Inflation[#All],3,FALSE)))</f>
        <v>500</v>
      </c>
    </row>
    <row r="1620" spans="1:15" ht="15" customHeight="1" x14ac:dyDescent="0.25">
      <c r="A1620" s="9" t="s">
        <v>259</v>
      </c>
      <c r="B1620" s="9" t="str">
        <f>INDEX(Places[Type],MATCH(Activities[[#This Row],[Jurisdiction]],Places[Jurisdiction],0))</f>
        <v>City</v>
      </c>
      <c r="C1620" s="19" t="str">
        <f>INDEX(Places[County],MATCH(Activities[[#This Row],[Jurisdiction]],Places[Jurisdiction],0))</f>
        <v>Ventura</v>
      </c>
      <c r="D1620" s="19" t="str">
        <f>INDEX(Places[Majority RB],MATCH(Activities[[#This Row],[Jurisdiction]],Places[Jurisdiction],0))</f>
        <v>Los Angeles</v>
      </c>
      <c r="E1620" s="9">
        <f>INDEX(Places[Majority RB '#],MATCH(Activities[[#This Row],[Jurisdiction]],Places[Jurisdiction],0))</f>
        <v>4</v>
      </c>
      <c r="F1620" s="28" t="str">
        <f>VLOOKUP(Activities[[#This Row],[Jurisdiction]],Places[#All],8,FALSE)</f>
        <v>Phase I MS4</v>
      </c>
      <c r="G1620" s="48" t="s">
        <v>32</v>
      </c>
      <c r="H1620" s="8" t="s">
        <v>608</v>
      </c>
      <c r="I1620" s="94" t="s">
        <v>609</v>
      </c>
      <c r="J1620" s="8" t="s">
        <v>1894</v>
      </c>
      <c r="K1620" s="27" t="s">
        <v>1876</v>
      </c>
      <c r="L1620" s="28">
        <f>_xlfn.NUMBERVALUE(LEFT(Activities[[#This Row],[Fiscal Year]], 4))</f>
        <v>2018</v>
      </c>
      <c r="M1620" s="28" t="s">
        <v>1863</v>
      </c>
      <c r="N1620" s="41">
        <v>40000</v>
      </c>
      <c r="O1620" s="93">
        <f>IF(Activities[[#This Row],[Reference Year]]&gt;2018,Activities[[#This Row],[Value]],Activities[[#This Row],[Value]]*(1+VLOOKUP(Activities[[#This Row],[Reference Year]],Inflation[#All],3,FALSE)))</f>
        <v>40000</v>
      </c>
    </row>
    <row r="1621" spans="1:15" ht="15" customHeight="1" x14ac:dyDescent="0.25">
      <c r="A1621" s="9" t="s">
        <v>259</v>
      </c>
      <c r="B1621" s="9" t="str">
        <f>INDEX(Places[Type],MATCH(Activities[[#This Row],[Jurisdiction]],Places[Jurisdiction],0))</f>
        <v>City</v>
      </c>
      <c r="C1621" s="19" t="str">
        <f>INDEX(Places[County],MATCH(Activities[[#This Row],[Jurisdiction]],Places[Jurisdiction],0))</f>
        <v>Ventura</v>
      </c>
      <c r="D1621" s="19" t="str">
        <f>INDEX(Places[Majority RB],MATCH(Activities[[#This Row],[Jurisdiction]],Places[Jurisdiction],0))</f>
        <v>Los Angeles</v>
      </c>
      <c r="E1621" s="9">
        <f>INDEX(Places[Majority RB '#],MATCH(Activities[[#This Row],[Jurisdiction]],Places[Jurisdiction],0))</f>
        <v>4</v>
      </c>
      <c r="F1621" s="28" t="str">
        <f>VLOOKUP(Activities[[#This Row],[Jurisdiction]],Places[#All],8,FALSE)</f>
        <v>Phase I MS4</v>
      </c>
      <c r="G1621" s="48" t="s">
        <v>67</v>
      </c>
      <c r="H1621" s="8"/>
      <c r="I1621" s="8"/>
      <c r="J1621" s="8" t="s">
        <v>1896</v>
      </c>
      <c r="K1621" s="27" t="s">
        <v>1876</v>
      </c>
      <c r="L1621" s="28">
        <f>_xlfn.NUMBERVALUE(LEFT(Activities[[#This Row],[Fiscal Year]], 4))</f>
        <v>2018</v>
      </c>
      <c r="M1621" s="28" t="s">
        <v>1863</v>
      </c>
      <c r="N1621" s="41">
        <v>1000</v>
      </c>
      <c r="O1621" s="93">
        <f>IF(Activities[[#This Row],[Reference Year]]&gt;2018,Activities[[#This Row],[Value]],Activities[[#This Row],[Value]]*(1+VLOOKUP(Activities[[#This Row],[Reference Year]],Inflation[#All],3,FALSE)))</f>
        <v>1000</v>
      </c>
    </row>
    <row r="1622" spans="1:15" ht="15" customHeight="1" x14ac:dyDescent="0.25">
      <c r="A1622" s="9" t="s">
        <v>259</v>
      </c>
      <c r="B1622" s="9" t="str">
        <f>INDEX(Places[Type],MATCH(Activities[[#This Row],[Jurisdiction]],Places[Jurisdiction],0))</f>
        <v>City</v>
      </c>
      <c r="C1622" s="19" t="str">
        <f>INDEX(Places[County],MATCH(Activities[[#This Row],[Jurisdiction]],Places[Jurisdiction],0))</f>
        <v>Ventura</v>
      </c>
      <c r="D1622" s="19" t="str">
        <f>INDEX(Places[Majority RB],MATCH(Activities[[#This Row],[Jurisdiction]],Places[Jurisdiction],0))</f>
        <v>Los Angeles</v>
      </c>
      <c r="E1622" s="9">
        <f>INDEX(Places[Majority RB '#],MATCH(Activities[[#This Row],[Jurisdiction]],Places[Jurisdiction],0))</f>
        <v>4</v>
      </c>
      <c r="F1622" s="28" t="str">
        <f>VLOOKUP(Activities[[#This Row],[Jurisdiction]],Places[#All],8,FALSE)</f>
        <v>Phase I MS4</v>
      </c>
      <c r="G1622" s="48" t="s">
        <v>79</v>
      </c>
      <c r="H1622" s="8" t="s">
        <v>483</v>
      </c>
      <c r="I1622" s="8" t="s">
        <v>458</v>
      </c>
      <c r="J1622" s="8" t="s">
        <v>1896</v>
      </c>
      <c r="K1622" s="27" t="s">
        <v>1876</v>
      </c>
      <c r="L1622" s="28">
        <f>_xlfn.NUMBERVALUE(LEFT(Activities[[#This Row],[Fiscal Year]], 4))</f>
        <v>2018</v>
      </c>
      <c r="M1622" s="28" t="s">
        <v>1863</v>
      </c>
      <c r="N1622" s="41">
        <v>21000</v>
      </c>
      <c r="O1622" s="93">
        <f>IF(Activities[[#This Row],[Reference Year]]&gt;2018,Activities[[#This Row],[Value]],Activities[[#This Row],[Value]]*(1+VLOOKUP(Activities[[#This Row],[Reference Year]],Inflation[#All],3,FALSE)))</f>
        <v>21000</v>
      </c>
    </row>
    <row r="1623" spans="1:15" ht="15" customHeight="1" x14ac:dyDescent="0.25">
      <c r="A1623" s="9" t="s">
        <v>259</v>
      </c>
      <c r="B1623" s="9" t="str">
        <f>INDEX(Places[Type],MATCH(Activities[[#This Row],[Jurisdiction]],Places[Jurisdiction],0))</f>
        <v>City</v>
      </c>
      <c r="C1623" s="19" t="str">
        <f>INDEX(Places[County],MATCH(Activities[[#This Row],[Jurisdiction]],Places[Jurisdiction],0))</f>
        <v>Ventura</v>
      </c>
      <c r="D1623" s="19" t="str">
        <f>INDEX(Places[Majority RB],MATCH(Activities[[#This Row],[Jurisdiction]],Places[Jurisdiction],0))</f>
        <v>Los Angeles</v>
      </c>
      <c r="E1623" s="9">
        <f>INDEX(Places[Majority RB '#],MATCH(Activities[[#This Row],[Jurisdiction]],Places[Jurisdiction],0))</f>
        <v>4</v>
      </c>
      <c r="F1623" s="28" t="str">
        <f>VLOOKUP(Activities[[#This Row],[Jurisdiction]],Places[#All],8,FALSE)</f>
        <v>Phase I MS4</v>
      </c>
      <c r="G1623" s="48" t="s">
        <v>80</v>
      </c>
      <c r="H1623" s="8"/>
      <c r="I1623" s="8"/>
      <c r="J1623" s="8" t="s">
        <v>605</v>
      </c>
      <c r="K1623" s="27" t="s">
        <v>1876</v>
      </c>
      <c r="L1623" s="28">
        <f>_xlfn.NUMBERVALUE(LEFT(Activities[[#This Row],[Fiscal Year]], 4))</f>
        <v>2018</v>
      </c>
      <c r="M1623" s="28" t="s">
        <v>1863</v>
      </c>
      <c r="N1623" s="41">
        <v>10000</v>
      </c>
      <c r="O1623" s="93">
        <f>IF(Activities[[#This Row],[Reference Year]]&gt;2018,Activities[[#This Row],[Value]],Activities[[#This Row],[Value]]*(1+VLOOKUP(Activities[[#This Row],[Reference Year]],Inflation[#All],3,FALSE)))</f>
        <v>10000</v>
      </c>
    </row>
    <row r="1624" spans="1:15" ht="15" customHeight="1" x14ac:dyDescent="0.25">
      <c r="A1624" s="9" t="s">
        <v>316</v>
      </c>
      <c r="B1624" s="9" t="str">
        <f>INDEX(Places[Type],MATCH(Activities[[#This Row],[Jurisdiction]],Places[Jurisdiction],0))</f>
        <v>City</v>
      </c>
      <c r="C1624" s="19" t="str">
        <f>INDEX(Places[County],MATCH(Activities[[#This Row],[Jurisdiction]],Places[Jurisdiction],0))</f>
        <v>San Diego</v>
      </c>
      <c r="D1624" s="9" t="str">
        <f>INDEX(Places[Majority RB],MATCH(Activities[[#This Row],[Jurisdiction]],Places[Jurisdiction],0))</f>
        <v>San Diego</v>
      </c>
      <c r="E1624" s="9">
        <f>INDEX(Places[Majority RB '#],MATCH(Activities[[#This Row],[Jurisdiction]],Places[Jurisdiction],0))</f>
        <v>9</v>
      </c>
      <c r="F1624" s="28" t="str">
        <f>VLOOKUP(Activities[[#This Row],[Jurisdiction]],Places[#All],8,FALSE)</f>
        <v>Phase I MS4</v>
      </c>
      <c r="G1624" s="48" t="s">
        <v>1368</v>
      </c>
      <c r="H1624" s="8"/>
      <c r="I1624" s="8"/>
      <c r="J1624" s="8" t="s">
        <v>76</v>
      </c>
      <c r="K1624" s="27" t="s">
        <v>1874</v>
      </c>
      <c r="L1624" s="28">
        <f>_xlfn.NUMBERVALUE(LEFT(Activities[[#This Row],[Fiscal Year]], 4))</f>
        <v>2017</v>
      </c>
      <c r="M1624" s="28" t="s">
        <v>1862</v>
      </c>
      <c r="N1624" s="41">
        <v>6633</v>
      </c>
      <c r="O1624" s="93">
        <f>IF(Activities[[#This Row],[Reference Year]]&gt;2018,Activities[[#This Row],[Value]],Activities[[#This Row],[Value]]*(1+VLOOKUP(Activities[[#This Row],[Reference Year]],Inflation[#All],3,FALSE)))</f>
        <v>6809.7446878824976</v>
      </c>
    </row>
    <row r="1625" spans="1:15" ht="15" customHeight="1" x14ac:dyDescent="0.25">
      <c r="A1625" s="9" t="s">
        <v>316</v>
      </c>
      <c r="B1625" s="9" t="str">
        <f>INDEX(Places[Type],MATCH(Activities[[#This Row],[Jurisdiction]],Places[Jurisdiction],0))</f>
        <v>City</v>
      </c>
      <c r="C1625" s="19" t="str">
        <f>INDEX(Places[County],MATCH(Activities[[#This Row],[Jurisdiction]],Places[Jurisdiction],0))</f>
        <v>San Diego</v>
      </c>
      <c r="D1625" s="9" t="str">
        <f>INDEX(Places[Majority RB],MATCH(Activities[[#This Row],[Jurisdiction]],Places[Jurisdiction],0))</f>
        <v>San Diego</v>
      </c>
      <c r="E1625" s="9">
        <f>INDEX(Places[Majority RB '#],MATCH(Activities[[#This Row],[Jurisdiction]],Places[Jurisdiction],0))</f>
        <v>9</v>
      </c>
      <c r="F1625" s="28" t="str">
        <f>VLOOKUP(Activities[[#This Row],[Jurisdiction]],Places[#All],8,FALSE)</f>
        <v>Phase I MS4</v>
      </c>
      <c r="G1625" s="48" t="s">
        <v>1367</v>
      </c>
      <c r="H1625" s="8"/>
      <c r="I1625" s="8"/>
      <c r="J1625" s="8" t="s">
        <v>71</v>
      </c>
      <c r="K1625" s="27" t="s">
        <v>1874</v>
      </c>
      <c r="L1625" s="28">
        <f>_xlfn.NUMBERVALUE(LEFT(Activities[[#This Row],[Fiscal Year]], 4))</f>
        <v>2017</v>
      </c>
      <c r="M1625" s="28" t="s">
        <v>1862</v>
      </c>
      <c r="N1625" s="41">
        <v>262856</v>
      </c>
      <c r="O1625" s="93">
        <f>IF(Activities[[#This Row],[Reference Year]]&gt;2018,Activities[[#This Row],[Value]],Activities[[#This Row],[Value]]*(1+VLOOKUP(Activities[[#This Row],[Reference Year]],Inflation[#All],3,FALSE)))</f>
        <v>269860.13111383113</v>
      </c>
    </row>
    <row r="1626" spans="1:15" ht="15" customHeight="1" x14ac:dyDescent="0.25">
      <c r="A1626" s="9" t="s">
        <v>316</v>
      </c>
      <c r="B1626" s="9" t="str">
        <f>INDEX(Places[Type],MATCH(Activities[[#This Row],[Jurisdiction]],Places[Jurisdiction],0))</f>
        <v>City</v>
      </c>
      <c r="C1626" s="19" t="str">
        <f>INDEX(Places[County],MATCH(Activities[[#This Row],[Jurisdiction]],Places[Jurisdiction],0))</f>
        <v>San Diego</v>
      </c>
      <c r="D1626" s="9" t="str">
        <f>INDEX(Places[Majority RB],MATCH(Activities[[#This Row],[Jurisdiction]],Places[Jurisdiction],0))</f>
        <v>San Diego</v>
      </c>
      <c r="E1626" s="9">
        <f>INDEX(Places[Majority RB '#],MATCH(Activities[[#This Row],[Jurisdiction]],Places[Jurisdiction],0))</f>
        <v>9</v>
      </c>
      <c r="F1626" s="28" t="str">
        <f>VLOOKUP(Activities[[#This Row],[Jurisdiction]],Places[#All],8,FALSE)</f>
        <v>Phase I MS4</v>
      </c>
      <c r="G1626" s="48" t="s">
        <v>1365</v>
      </c>
      <c r="H1626" s="8"/>
      <c r="I1626" s="8"/>
      <c r="J1626" s="8" t="s">
        <v>1897</v>
      </c>
      <c r="K1626" s="27" t="s">
        <v>1874</v>
      </c>
      <c r="L1626" s="28">
        <f>_xlfn.NUMBERVALUE(LEFT(Activities[[#This Row],[Fiscal Year]], 4))</f>
        <v>2017</v>
      </c>
      <c r="M1626" s="28" t="s">
        <v>1862</v>
      </c>
      <c r="N1626" s="41">
        <v>4957</v>
      </c>
      <c r="O1626" s="93">
        <f>IF(Activities[[#This Row],[Reference Year]]&gt;2018,Activities[[#This Row],[Value]],Activities[[#This Row],[Value]]*(1+VLOOKUP(Activities[[#This Row],[Reference Year]],Inflation[#All],3,FALSE)))</f>
        <v>5089.0855446756432</v>
      </c>
    </row>
    <row r="1627" spans="1:15" ht="15" customHeight="1" x14ac:dyDescent="0.25">
      <c r="A1627" s="9" t="s">
        <v>316</v>
      </c>
      <c r="B1627" s="9" t="str">
        <f>INDEX(Places[Type],MATCH(Activities[[#This Row],[Jurisdiction]],Places[Jurisdiction],0))</f>
        <v>City</v>
      </c>
      <c r="C1627" s="19" t="str">
        <f>INDEX(Places[County],MATCH(Activities[[#This Row],[Jurisdiction]],Places[Jurisdiction],0))</f>
        <v>San Diego</v>
      </c>
      <c r="D1627" s="9" t="str">
        <f>INDEX(Places[Majority RB],MATCH(Activities[[#This Row],[Jurisdiction]],Places[Jurisdiction],0))</f>
        <v>San Diego</v>
      </c>
      <c r="E1627" s="9">
        <f>INDEX(Places[Majority RB '#],MATCH(Activities[[#This Row],[Jurisdiction]],Places[Jurisdiction],0))</f>
        <v>9</v>
      </c>
      <c r="F1627" s="28" t="str">
        <f>VLOOKUP(Activities[[#This Row],[Jurisdiction]],Places[#All],8,FALSE)</f>
        <v>Phase I MS4</v>
      </c>
      <c r="G1627" s="48" t="s">
        <v>1366</v>
      </c>
      <c r="H1627" s="8"/>
      <c r="I1627" s="8"/>
      <c r="J1627" s="8" t="s">
        <v>1897</v>
      </c>
      <c r="K1627" s="27" t="s">
        <v>1874</v>
      </c>
      <c r="L1627" s="28">
        <f>_xlfn.NUMBERVALUE(LEFT(Activities[[#This Row],[Fiscal Year]], 4))</f>
        <v>2017</v>
      </c>
      <c r="M1627" s="28" t="s">
        <v>1862</v>
      </c>
      <c r="N1627" s="41">
        <v>195812</v>
      </c>
      <c r="O1627" s="93">
        <f>IF(Activities[[#This Row],[Reference Year]]&gt;2018,Activities[[#This Row],[Value]],Activities[[#This Row],[Value]]*(1+VLOOKUP(Activities[[#This Row],[Reference Year]],Inflation[#All],3,FALSE)))</f>
        <v>201029.65880048962</v>
      </c>
    </row>
    <row r="1628" spans="1:15" ht="15" customHeight="1" x14ac:dyDescent="0.25">
      <c r="A1628" s="9" t="s">
        <v>316</v>
      </c>
      <c r="B1628" s="9" t="str">
        <f>INDEX(Places[Type],MATCH(Activities[[#This Row],[Jurisdiction]],Places[Jurisdiction],0))</f>
        <v>City</v>
      </c>
      <c r="C1628" s="19" t="str">
        <f>INDEX(Places[County],MATCH(Activities[[#This Row],[Jurisdiction]],Places[Jurisdiction],0))</f>
        <v>San Diego</v>
      </c>
      <c r="D1628" s="9" t="str">
        <f>INDEX(Places[Majority RB],MATCH(Activities[[#This Row],[Jurisdiction]],Places[Jurisdiction],0))</f>
        <v>San Diego</v>
      </c>
      <c r="E1628" s="9">
        <f>INDEX(Places[Majority RB '#],MATCH(Activities[[#This Row],[Jurisdiction]],Places[Jurisdiction],0))</f>
        <v>9</v>
      </c>
      <c r="F1628" s="28" t="str">
        <f>VLOOKUP(Activities[[#This Row],[Jurisdiction]],Places[#All],8,FALSE)</f>
        <v>Phase I MS4</v>
      </c>
      <c r="G1628" s="48" t="s">
        <v>1363</v>
      </c>
      <c r="H1628" s="8"/>
      <c r="I1628" s="8"/>
      <c r="J1628" s="8" t="s">
        <v>1898</v>
      </c>
      <c r="K1628" s="27" t="s">
        <v>1874</v>
      </c>
      <c r="L1628" s="28">
        <f>_xlfn.NUMBERVALUE(LEFT(Activities[[#This Row],[Fiscal Year]], 4))</f>
        <v>2017</v>
      </c>
      <c r="M1628" s="28" t="s">
        <v>1862</v>
      </c>
      <c r="N1628" s="41">
        <v>131937</v>
      </c>
      <c r="O1628" s="93">
        <f>IF(Activities[[#This Row],[Reference Year]]&gt;2018,Activities[[#This Row],[Value]],Activities[[#This Row],[Value]]*(1+VLOOKUP(Activities[[#This Row],[Reference Year]],Inflation[#All],3,FALSE)))</f>
        <v>135452.62850673197</v>
      </c>
    </row>
    <row r="1629" spans="1:15" ht="15" customHeight="1" x14ac:dyDescent="0.25">
      <c r="A1629" s="9" t="s">
        <v>316</v>
      </c>
      <c r="B1629" s="9" t="str">
        <f>INDEX(Places[Type],MATCH(Activities[[#This Row],[Jurisdiction]],Places[Jurisdiction],0))</f>
        <v>City</v>
      </c>
      <c r="C1629" s="19" t="str">
        <f>INDEX(Places[County],MATCH(Activities[[#This Row],[Jurisdiction]],Places[Jurisdiction],0))</f>
        <v>San Diego</v>
      </c>
      <c r="D1629" s="9" t="str">
        <f>INDEX(Places[Majority RB],MATCH(Activities[[#This Row],[Jurisdiction]],Places[Jurisdiction],0))</f>
        <v>San Diego</v>
      </c>
      <c r="E1629" s="9">
        <f>INDEX(Places[Majority RB '#],MATCH(Activities[[#This Row],[Jurisdiction]],Places[Jurisdiction],0))</f>
        <v>9</v>
      </c>
      <c r="F1629" s="28" t="str">
        <f>VLOOKUP(Activities[[#This Row],[Jurisdiction]],Places[#All],8,FALSE)</f>
        <v>Phase I MS4</v>
      </c>
      <c r="G1629" s="48" t="s">
        <v>1369</v>
      </c>
      <c r="H1629" s="8"/>
      <c r="I1629" s="8"/>
      <c r="J1629" s="8" t="s">
        <v>1456</v>
      </c>
      <c r="K1629" s="27" t="s">
        <v>1874</v>
      </c>
      <c r="L1629" s="28">
        <f>_xlfn.NUMBERVALUE(LEFT(Activities[[#This Row],[Fiscal Year]], 4))</f>
        <v>2017</v>
      </c>
      <c r="M1629" s="28" t="s">
        <v>1862</v>
      </c>
      <c r="N1629" s="41">
        <v>680</v>
      </c>
      <c r="O1629" s="93">
        <f>IF(Activities[[#This Row],[Reference Year]]&gt;2018,Activities[[#This Row],[Value]],Activities[[#This Row],[Value]]*(1+VLOOKUP(Activities[[#This Row],[Reference Year]],Inflation[#All],3,FALSE)))</f>
        <v>698.11946144430851</v>
      </c>
    </row>
    <row r="1630" spans="1:15" ht="15" customHeight="1" x14ac:dyDescent="0.25">
      <c r="A1630" s="9" t="s">
        <v>316</v>
      </c>
      <c r="B1630" s="9" t="str">
        <f>INDEX(Places[Type],MATCH(Activities[[#This Row],[Jurisdiction]],Places[Jurisdiction],0))</f>
        <v>City</v>
      </c>
      <c r="C1630" s="19" t="str">
        <f>INDEX(Places[County],MATCH(Activities[[#This Row],[Jurisdiction]],Places[Jurisdiction],0))</f>
        <v>San Diego</v>
      </c>
      <c r="D1630" s="9" t="str">
        <f>INDEX(Places[Majority RB],MATCH(Activities[[#This Row],[Jurisdiction]],Places[Jurisdiction],0))</f>
        <v>San Diego</v>
      </c>
      <c r="E1630" s="9">
        <f>INDEX(Places[Majority RB '#],MATCH(Activities[[#This Row],[Jurisdiction]],Places[Jurisdiction],0))</f>
        <v>9</v>
      </c>
      <c r="F1630" s="28" t="str">
        <f>VLOOKUP(Activities[[#This Row],[Jurisdiction]],Places[#All],8,FALSE)</f>
        <v>Phase I MS4</v>
      </c>
      <c r="G1630" s="48" t="s">
        <v>1371</v>
      </c>
      <c r="H1630" s="8"/>
      <c r="I1630" s="8"/>
      <c r="J1630" s="8" t="s">
        <v>1894</v>
      </c>
      <c r="K1630" s="27" t="s">
        <v>1874</v>
      </c>
      <c r="L1630" s="28">
        <f>_xlfn.NUMBERVALUE(LEFT(Activities[[#This Row],[Fiscal Year]], 4))</f>
        <v>2017</v>
      </c>
      <c r="M1630" s="28" t="s">
        <v>1862</v>
      </c>
      <c r="N1630" s="41">
        <v>159</v>
      </c>
      <c r="O1630" s="93">
        <f>IF(Activities[[#This Row],[Reference Year]]&gt;2018,Activities[[#This Row],[Value]],Activities[[#This Row],[Value]]*(1+VLOOKUP(Activities[[#This Row],[Reference Year]],Inflation[#All],3,FALSE)))</f>
        <v>163.23675642594861</v>
      </c>
    </row>
    <row r="1631" spans="1:15" ht="15" customHeight="1" x14ac:dyDescent="0.25">
      <c r="A1631" s="9" t="s">
        <v>316</v>
      </c>
      <c r="B1631" s="9" t="str">
        <f>INDEX(Places[Type],MATCH(Activities[[#This Row],[Jurisdiction]],Places[Jurisdiction],0))</f>
        <v>City</v>
      </c>
      <c r="C1631" s="19" t="str">
        <f>INDEX(Places[County],MATCH(Activities[[#This Row],[Jurisdiction]],Places[Jurisdiction],0))</f>
        <v>San Diego</v>
      </c>
      <c r="D1631" s="9" t="str">
        <f>INDEX(Places[Majority RB],MATCH(Activities[[#This Row],[Jurisdiction]],Places[Jurisdiction],0))</f>
        <v>San Diego</v>
      </c>
      <c r="E1631" s="9">
        <f>INDEX(Places[Majority RB '#],MATCH(Activities[[#This Row],[Jurisdiction]],Places[Jurisdiction],0))</f>
        <v>9</v>
      </c>
      <c r="F1631" s="28" t="str">
        <f>VLOOKUP(Activities[[#This Row],[Jurisdiction]],Places[#All],8,FALSE)</f>
        <v>Phase I MS4</v>
      </c>
      <c r="G1631" s="48" t="s">
        <v>1372</v>
      </c>
      <c r="H1631" s="8"/>
      <c r="I1631" s="8"/>
      <c r="J1631" s="8" t="s">
        <v>1894</v>
      </c>
      <c r="K1631" s="27" t="s">
        <v>1874</v>
      </c>
      <c r="L1631" s="28">
        <f>_xlfn.NUMBERVALUE(LEFT(Activities[[#This Row],[Fiscal Year]], 4))</f>
        <v>2017</v>
      </c>
      <c r="M1631" s="28" t="s">
        <v>1862</v>
      </c>
      <c r="N1631" s="41">
        <v>10500</v>
      </c>
      <c r="O1631" s="93">
        <f>IF(Activities[[#This Row],[Reference Year]]&gt;2018,Activities[[#This Row],[Value]],Activities[[#This Row],[Value]]*(1+VLOOKUP(Activities[[#This Row],[Reference Year]],Inflation[#All],3,FALSE)))</f>
        <v>10779.785801713588</v>
      </c>
    </row>
    <row r="1632" spans="1:15" ht="15" customHeight="1" x14ac:dyDescent="0.25">
      <c r="A1632" s="9" t="s">
        <v>316</v>
      </c>
      <c r="B1632" s="9" t="str">
        <f>INDEX(Places[Type],MATCH(Activities[[#This Row],[Jurisdiction]],Places[Jurisdiction],0))</f>
        <v>City</v>
      </c>
      <c r="C1632" s="19" t="str">
        <f>INDEX(Places[County],MATCH(Activities[[#This Row],[Jurisdiction]],Places[Jurisdiction],0))</f>
        <v>San Diego</v>
      </c>
      <c r="D1632" s="9" t="str">
        <f>INDEX(Places[Majority RB],MATCH(Activities[[#This Row],[Jurisdiction]],Places[Jurisdiction],0))</f>
        <v>San Diego</v>
      </c>
      <c r="E1632" s="9">
        <f>INDEX(Places[Majority RB '#],MATCH(Activities[[#This Row],[Jurisdiction]],Places[Jurisdiction],0))</f>
        <v>9</v>
      </c>
      <c r="F1632" s="28" t="str">
        <f>VLOOKUP(Activities[[#This Row],[Jurisdiction]],Places[#All],8,FALSE)</f>
        <v>Phase I MS4</v>
      </c>
      <c r="G1632" s="48" t="s">
        <v>1370</v>
      </c>
      <c r="H1632" s="8"/>
      <c r="I1632" s="8"/>
      <c r="J1632" s="8" t="s">
        <v>1894</v>
      </c>
      <c r="K1632" s="27" t="s">
        <v>1874</v>
      </c>
      <c r="L1632" s="28">
        <f>_xlfn.NUMBERVALUE(LEFT(Activities[[#This Row],[Fiscal Year]], 4))</f>
        <v>2017</v>
      </c>
      <c r="M1632" s="28" t="s">
        <v>1862</v>
      </c>
      <c r="N1632" s="41">
        <v>12711</v>
      </c>
      <c r="O1632" s="93">
        <f>IF(Activities[[#This Row],[Reference Year]]&gt;2018,Activities[[#This Row],[Value]],Activities[[#This Row],[Value]]*(1+VLOOKUP(Activities[[#This Row],[Reference Year]],Inflation[#All],3,FALSE)))</f>
        <v>13049.70069767442</v>
      </c>
    </row>
    <row r="1633" spans="1:15" ht="15" customHeight="1" x14ac:dyDescent="0.25">
      <c r="A1633" s="9" t="s">
        <v>316</v>
      </c>
      <c r="B1633" s="9" t="str">
        <f>INDEX(Places[Type],MATCH(Activities[[#This Row],[Jurisdiction]],Places[Jurisdiction],0))</f>
        <v>City</v>
      </c>
      <c r="C1633" s="19" t="str">
        <f>INDEX(Places[County],MATCH(Activities[[#This Row],[Jurisdiction]],Places[Jurisdiction],0))</f>
        <v>San Diego</v>
      </c>
      <c r="D1633" s="9" t="str">
        <f>INDEX(Places[Majority RB],MATCH(Activities[[#This Row],[Jurisdiction]],Places[Jurisdiction],0))</f>
        <v>San Diego</v>
      </c>
      <c r="E1633" s="9">
        <f>INDEX(Places[Majority RB '#],MATCH(Activities[[#This Row],[Jurisdiction]],Places[Jurisdiction],0))</f>
        <v>9</v>
      </c>
      <c r="F1633" s="28" t="str">
        <f>VLOOKUP(Activities[[#This Row],[Jurisdiction]],Places[#All],8,FALSE)</f>
        <v>Phase I MS4</v>
      </c>
      <c r="G1633" s="48" t="s">
        <v>1362</v>
      </c>
      <c r="H1633" s="8"/>
      <c r="I1633" s="8"/>
      <c r="J1633" s="8" t="s">
        <v>1894</v>
      </c>
      <c r="K1633" s="27" t="s">
        <v>1874</v>
      </c>
      <c r="L1633" s="28">
        <f>_xlfn.NUMBERVALUE(LEFT(Activities[[#This Row],[Fiscal Year]], 4))</f>
        <v>2017</v>
      </c>
      <c r="M1633" s="28" t="s">
        <v>1862</v>
      </c>
      <c r="N1633" s="41">
        <v>21344</v>
      </c>
      <c r="O1633" s="93">
        <f>IF(Activities[[#This Row],[Reference Year]]&gt;2018,Activities[[#This Row],[Value]],Activities[[#This Row],[Value]]*(1+VLOOKUP(Activities[[#This Row],[Reference Year]],Inflation[#All],3,FALSE)))</f>
        <v>21912.737919216648</v>
      </c>
    </row>
    <row r="1634" spans="1:15" ht="15" customHeight="1" x14ac:dyDescent="0.25">
      <c r="A1634" s="9" t="s">
        <v>316</v>
      </c>
      <c r="B1634" s="9" t="str">
        <f>INDEX(Places[Type],MATCH(Activities[[#This Row],[Jurisdiction]],Places[Jurisdiction],0))</f>
        <v>City</v>
      </c>
      <c r="C1634" s="19" t="str">
        <f>INDEX(Places[County],MATCH(Activities[[#This Row],[Jurisdiction]],Places[Jurisdiction],0))</f>
        <v>San Diego</v>
      </c>
      <c r="D1634" s="9" t="str">
        <f>INDEX(Places[Majority RB],MATCH(Activities[[#This Row],[Jurisdiction]],Places[Jurisdiction],0))</f>
        <v>San Diego</v>
      </c>
      <c r="E1634" s="9">
        <f>INDEX(Places[Majority RB '#],MATCH(Activities[[#This Row],[Jurisdiction]],Places[Jurisdiction],0))</f>
        <v>9</v>
      </c>
      <c r="F1634" s="28" t="str">
        <f>VLOOKUP(Activities[[#This Row],[Jurisdiction]],Places[#All],8,FALSE)</f>
        <v>Phase I MS4</v>
      </c>
      <c r="G1634" s="48" t="s">
        <v>1364</v>
      </c>
      <c r="H1634" s="8"/>
      <c r="I1634" s="8"/>
      <c r="J1634" s="8" t="s">
        <v>1894</v>
      </c>
      <c r="K1634" s="27" t="s">
        <v>1874</v>
      </c>
      <c r="L1634" s="28">
        <f>_xlfn.NUMBERVALUE(LEFT(Activities[[#This Row],[Fiscal Year]], 4))</f>
        <v>2017</v>
      </c>
      <c r="M1634" s="28" t="s">
        <v>1862</v>
      </c>
      <c r="N1634" s="41">
        <v>38550</v>
      </c>
      <c r="O1634" s="93">
        <f>IF(Activities[[#This Row],[Reference Year]]&gt;2018,Activities[[#This Row],[Value]],Activities[[#This Row],[Value]]*(1+VLOOKUP(Activities[[#This Row],[Reference Year]],Inflation[#All],3,FALSE)))</f>
        <v>39577.213586291313</v>
      </c>
    </row>
    <row r="1635" spans="1:15" ht="15" customHeight="1" x14ac:dyDescent="0.25">
      <c r="A1635" s="9" t="s">
        <v>316</v>
      </c>
      <c r="B1635" s="9" t="str">
        <f>INDEX(Places[Type],MATCH(Activities[[#This Row],[Jurisdiction]],Places[Jurisdiction],0))</f>
        <v>City</v>
      </c>
      <c r="C1635" s="19" t="str">
        <f>INDEX(Places[County],MATCH(Activities[[#This Row],[Jurisdiction]],Places[Jurisdiction],0))</f>
        <v>San Diego</v>
      </c>
      <c r="D1635" s="9" t="str">
        <f>INDEX(Places[Majority RB],MATCH(Activities[[#This Row],[Jurisdiction]],Places[Jurisdiction],0))</f>
        <v>San Diego</v>
      </c>
      <c r="E1635" s="9">
        <f>INDEX(Places[Majority RB '#],MATCH(Activities[[#This Row],[Jurisdiction]],Places[Jurisdiction],0))</f>
        <v>9</v>
      </c>
      <c r="F1635" s="28" t="str">
        <f>VLOOKUP(Activities[[#This Row],[Jurisdiction]],Places[#All],8,FALSE)</f>
        <v>Phase I MS4</v>
      </c>
      <c r="G1635" s="56" t="s">
        <v>390</v>
      </c>
      <c r="H1635" s="8"/>
      <c r="I1635" s="8"/>
      <c r="J1635" s="8" t="s">
        <v>1896</v>
      </c>
      <c r="K1635" s="27" t="s">
        <v>1874</v>
      </c>
      <c r="L1635" s="28">
        <f>_xlfn.NUMBERVALUE(LEFT(Activities[[#This Row],[Fiscal Year]], 4))</f>
        <v>2017</v>
      </c>
      <c r="M1635" s="28" t="s">
        <v>1862</v>
      </c>
      <c r="N1635" s="41">
        <v>78043</v>
      </c>
      <c r="O1635" s="93">
        <f>IF(Activities[[#This Row],[Reference Year]]&gt;2018,Activities[[#This Row],[Value]],Activities[[#This Row],[Value]]*(1+VLOOKUP(Activities[[#This Row],[Reference Year]],Inflation[#All],3,FALSE)))</f>
        <v>80122.554602203192</v>
      </c>
    </row>
    <row r="1636" spans="1:15" ht="15" customHeight="1" x14ac:dyDescent="0.25">
      <c r="A1636" s="9" t="s">
        <v>316</v>
      </c>
      <c r="B1636" s="9" t="str">
        <f>INDEX(Places[Type],MATCH(Activities[[#This Row],[Jurisdiction]],Places[Jurisdiction],0))</f>
        <v>City</v>
      </c>
      <c r="C1636" s="19" t="str">
        <f>INDEX(Places[County],MATCH(Activities[[#This Row],[Jurisdiction]],Places[Jurisdiction],0))</f>
        <v>San Diego</v>
      </c>
      <c r="D1636" s="9" t="str">
        <f>INDEX(Places[Majority RB],MATCH(Activities[[#This Row],[Jurisdiction]],Places[Jurisdiction],0))</f>
        <v>San Diego</v>
      </c>
      <c r="E1636" s="9">
        <f>INDEX(Places[Majority RB '#],MATCH(Activities[[#This Row],[Jurisdiction]],Places[Jurisdiction],0))</f>
        <v>9</v>
      </c>
      <c r="F1636" s="28" t="str">
        <f>VLOOKUP(Activities[[#This Row],[Jurisdiction]],Places[#All],8,FALSE)</f>
        <v>Phase I MS4</v>
      </c>
      <c r="G1636" s="48" t="s">
        <v>1258</v>
      </c>
      <c r="H1636" s="8"/>
      <c r="I1636" s="8"/>
      <c r="J1636" s="8" t="s">
        <v>47</v>
      </c>
      <c r="K1636" s="27" t="s">
        <v>1874</v>
      </c>
      <c r="L1636" s="28">
        <f>_xlfn.NUMBERVALUE(LEFT(Activities[[#This Row],[Fiscal Year]], 4))</f>
        <v>2017</v>
      </c>
      <c r="M1636" s="28" t="s">
        <v>1862</v>
      </c>
      <c r="N1636" s="41">
        <v>21686</v>
      </c>
      <c r="O1636" s="93">
        <f>IF(Activities[[#This Row],[Reference Year]]&gt;2018,Activities[[#This Row],[Value]],Activities[[#This Row],[Value]]*(1+VLOOKUP(Activities[[#This Row],[Reference Year]],Inflation[#All],3,FALSE)))</f>
        <v>22263.850942472462</v>
      </c>
    </row>
    <row r="1637" spans="1:15" ht="15" customHeight="1" x14ac:dyDescent="0.25">
      <c r="A1637" s="9" t="s">
        <v>291</v>
      </c>
      <c r="B1637" s="9" t="str">
        <f>INDEX(Places[Type],MATCH(Activities[[#This Row],[Jurisdiction]],Places[Jurisdiction],0))</f>
        <v>City</v>
      </c>
      <c r="C1637" s="19" t="str">
        <f>INDEX(Places[County],MATCH(Activities[[#This Row],[Jurisdiction]],Places[Jurisdiction],0))</f>
        <v>Orange</v>
      </c>
      <c r="D1637" s="9" t="str">
        <f>INDEX(Places[Majority RB],MATCH(Activities[[#This Row],[Jurisdiction]],Places[Jurisdiction],0))</f>
        <v>Santa Ana</v>
      </c>
      <c r="E1637" s="9">
        <f>INDEX(Places[Majority RB '#],MATCH(Activities[[#This Row],[Jurisdiction]],Places[Jurisdiction],0))</f>
        <v>8</v>
      </c>
      <c r="F1637" s="28" t="str">
        <f>VLOOKUP(Activities[[#This Row],[Jurisdiction]],Places[#All],8,FALSE)</f>
        <v>Phase I MS4</v>
      </c>
      <c r="G1637" s="48" t="s">
        <v>1004</v>
      </c>
      <c r="H1637" s="8"/>
      <c r="I1637" s="8"/>
      <c r="J1637" s="8" t="s">
        <v>76</v>
      </c>
      <c r="K1637" s="27" t="s">
        <v>1875</v>
      </c>
      <c r="L1637" s="28">
        <f>_xlfn.NUMBERVALUE(LEFT(Activities[[#This Row],[Fiscal Year]], 4))</f>
        <v>2001</v>
      </c>
      <c r="M1637" s="28" t="s">
        <v>1862</v>
      </c>
      <c r="N1637" s="41">
        <v>500</v>
      </c>
      <c r="O1637" s="93">
        <f>IF(Activities[[#This Row],[Reference Year]]&gt;2018,Activities[[#This Row],[Value]],Activities[[#This Row],[Value]]*(1+VLOOKUP(Activities[[#This Row],[Reference Year]],Inflation[#All],3,FALSE)))</f>
        <v>710.42066629023145</v>
      </c>
    </row>
    <row r="1638" spans="1:15" ht="15" customHeight="1" x14ac:dyDescent="0.25">
      <c r="A1638" s="9" t="s">
        <v>291</v>
      </c>
      <c r="B1638" s="9" t="str">
        <f>INDEX(Places[Type],MATCH(Activities[[#This Row],[Jurisdiction]],Places[Jurisdiction],0))</f>
        <v>City</v>
      </c>
      <c r="C1638" s="19" t="str">
        <f>INDEX(Places[County],MATCH(Activities[[#This Row],[Jurisdiction]],Places[Jurisdiction],0))</f>
        <v>Orange</v>
      </c>
      <c r="D1638" s="9" t="str">
        <f>INDEX(Places[Majority RB],MATCH(Activities[[#This Row],[Jurisdiction]],Places[Jurisdiction],0))</f>
        <v>Santa Ana</v>
      </c>
      <c r="E1638" s="9">
        <f>INDEX(Places[Majority RB '#],MATCH(Activities[[#This Row],[Jurisdiction]],Places[Jurisdiction],0))</f>
        <v>8</v>
      </c>
      <c r="F1638" s="28" t="str">
        <f>VLOOKUP(Activities[[#This Row],[Jurisdiction]],Places[#All],8,FALSE)</f>
        <v>Phase I MS4</v>
      </c>
      <c r="G1638" s="48" t="s">
        <v>1006</v>
      </c>
      <c r="H1638" s="8"/>
      <c r="I1638" s="8"/>
      <c r="J1638" s="8" t="s">
        <v>1895</v>
      </c>
      <c r="K1638" s="27" t="s">
        <v>1875</v>
      </c>
      <c r="L1638" s="28">
        <f>_xlfn.NUMBERVALUE(LEFT(Activities[[#This Row],[Fiscal Year]], 4))</f>
        <v>2001</v>
      </c>
      <c r="M1638" s="28" t="s">
        <v>1862</v>
      </c>
      <c r="N1638" s="41">
        <v>15000</v>
      </c>
      <c r="O1638" s="93">
        <f>IF(Activities[[#This Row],[Reference Year]]&gt;2018,Activities[[#This Row],[Value]],Activities[[#This Row],[Value]]*(1+VLOOKUP(Activities[[#This Row],[Reference Year]],Inflation[#All],3,FALSE)))</f>
        <v>21312.619988706945</v>
      </c>
    </row>
    <row r="1639" spans="1:15" ht="15" customHeight="1" x14ac:dyDescent="0.25">
      <c r="A1639" s="9" t="s">
        <v>291</v>
      </c>
      <c r="B1639" s="9" t="str">
        <f>INDEX(Places[Type],MATCH(Activities[[#This Row],[Jurisdiction]],Places[Jurisdiction],0))</f>
        <v>City</v>
      </c>
      <c r="C1639" s="19" t="str">
        <f>INDEX(Places[County],MATCH(Activities[[#This Row],[Jurisdiction]],Places[Jurisdiction],0))</f>
        <v>Orange</v>
      </c>
      <c r="D1639" s="9" t="str">
        <f>INDEX(Places[Majority RB],MATCH(Activities[[#This Row],[Jurisdiction]],Places[Jurisdiction],0))</f>
        <v>Santa Ana</v>
      </c>
      <c r="E1639" s="9">
        <f>INDEX(Places[Majority RB '#],MATCH(Activities[[#This Row],[Jurisdiction]],Places[Jurisdiction],0))</f>
        <v>8</v>
      </c>
      <c r="F1639" s="28" t="str">
        <f>VLOOKUP(Activities[[#This Row],[Jurisdiction]],Places[#All],8,FALSE)</f>
        <v>Phase I MS4</v>
      </c>
      <c r="G1639" s="48" t="s">
        <v>1003</v>
      </c>
      <c r="H1639" s="8" t="s">
        <v>506</v>
      </c>
      <c r="I1639" s="8"/>
      <c r="J1639" s="8" t="s">
        <v>131</v>
      </c>
      <c r="K1639" s="27" t="s">
        <v>1875</v>
      </c>
      <c r="L1639" s="28">
        <f>_xlfn.NUMBERVALUE(LEFT(Activities[[#This Row],[Fiscal Year]], 4))</f>
        <v>2001</v>
      </c>
      <c r="M1639" s="28" t="s">
        <v>1862</v>
      </c>
      <c r="N1639" s="41">
        <v>1000</v>
      </c>
      <c r="O1639" s="93">
        <f>IF(Activities[[#This Row],[Reference Year]]&gt;2018,Activities[[#This Row],[Value]],Activities[[#This Row],[Value]]*(1+VLOOKUP(Activities[[#This Row],[Reference Year]],Inflation[#All],3,FALSE)))</f>
        <v>1420.8413325804629</v>
      </c>
    </row>
    <row r="1640" spans="1:15" ht="15" customHeight="1" x14ac:dyDescent="0.25">
      <c r="A1640" s="9" t="s">
        <v>291</v>
      </c>
      <c r="B1640" s="9" t="str">
        <f>INDEX(Places[Type],MATCH(Activities[[#This Row],[Jurisdiction]],Places[Jurisdiction],0))</f>
        <v>City</v>
      </c>
      <c r="C1640" s="19" t="str">
        <f>INDEX(Places[County],MATCH(Activities[[#This Row],[Jurisdiction]],Places[Jurisdiction],0))</f>
        <v>Orange</v>
      </c>
      <c r="D1640" s="9" t="str">
        <f>INDEX(Places[Majority RB],MATCH(Activities[[#This Row],[Jurisdiction]],Places[Jurisdiction],0))</f>
        <v>Santa Ana</v>
      </c>
      <c r="E1640" s="9">
        <f>INDEX(Places[Majority RB '#],MATCH(Activities[[#This Row],[Jurisdiction]],Places[Jurisdiction],0))</f>
        <v>8</v>
      </c>
      <c r="F1640" s="28" t="str">
        <f>VLOOKUP(Activities[[#This Row],[Jurisdiction]],Places[#All],8,FALSE)</f>
        <v>Phase I MS4</v>
      </c>
      <c r="G1640" s="48" t="s">
        <v>1007</v>
      </c>
      <c r="H1640" s="8"/>
      <c r="I1640" s="8"/>
      <c r="J1640" s="8" t="s">
        <v>71</v>
      </c>
      <c r="K1640" s="27" t="s">
        <v>1875</v>
      </c>
      <c r="L1640" s="28">
        <f>_xlfn.NUMBERVALUE(LEFT(Activities[[#This Row],[Fiscal Year]], 4))</f>
        <v>2001</v>
      </c>
      <c r="M1640" s="28" t="s">
        <v>1862</v>
      </c>
      <c r="N1640" s="41">
        <v>5000</v>
      </c>
      <c r="O1640" s="93">
        <f>IF(Activities[[#This Row],[Reference Year]]&gt;2018,Activities[[#This Row],[Value]],Activities[[#This Row],[Value]]*(1+VLOOKUP(Activities[[#This Row],[Reference Year]],Inflation[#All],3,FALSE)))</f>
        <v>7104.2066629023147</v>
      </c>
    </row>
    <row r="1641" spans="1:15" ht="15" customHeight="1" x14ac:dyDescent="0.25">
      <c r="A1641" s="9" t="s">
        <v>291</v>
      </c>
      <c r="B1641" s="9" t="str">
        <f>INDEX(Places[Type],MATCH(Activities[[#This Row],[Jurisdiction]],Places[Jurisdiction],0))</f>
        <v>City</v>
      </c>
      <c r="C1641" s="19" t="str">
        <f>INDEX(Places[County],MATCH(Activities[[#This Row],[Jurisdiction]],Places[Jurisdiction],0))</f>
        <v>Orange</v>
      </c>
      <c r="D1641" s="9" t="str">
        <f>INDEX(Places[Majority RB],MATCH(Activities[[#This Row],[Jurisdiction]],Places[Jurisdiction],0))</f>
        <v>Santa Ana</v>
      </c>
      <c r="E1641" s="9">
        <f>INDEX(Places[Majority RB '#],MATCH(Activities[[#This Row],[Jurisdiction]],Places[Jurisdiction],0))</f>
        <v>8</v>
      </c>
      <c r="F1641" s="28" t="str">
        <f>VLOOKUP(Activities[[#This Row],[Jurisdiction]],Places[#All],8,FALSE)</f>
        <v>Phase I MS4</v>
      </c>
      <c r="G1641" s="48" t="s">
        <v>994</v>
      </c>
      <c r="H1641" s="8" t="s">
        <v>504</v>
      </c>
      <c r="I1641" s="8"/>
      <c r="J1641" s="8" t="s">
        <v>71</v>
      </c>
      <c r="K1641" s="27" t="s">
        <v>1875</v>
      </c>
      <c r="L1641" s="28">
        <f>_xlfn.NUMBERVALUE(LEFT(Activities[[#This Row],[Fiscal Year]], 4))</f>
        <v>2001</v>
      </c>
      <c r="M1641" s="28" t="s">
        <v>1862</v>
      </c>
      <c r="N1641" s="41">
        <v>50000</v>
      </c>
      <c r="O1641" s="93">
        <f>IF(Activities[[#This Row],[Reference Year]]&gt;2018,Activities[[#This Row],[Value]],Activities[[#This Row],[Value]]*(1+VLOOKUP(Activities[[#This Row],[Reference Year]],Inflation[#All],3,FALSE)))</f>
        <v>71042.066629023146</v>
      </c>
    </row>
    <row r="1642" spans="1:15" ht="15" customHeight="1" x14ac:dyDescent="0.25">
      <c r="A1642" s="9" t="s">
        <v>291</v>
      </c>
      <c r="B1642" s="9" t="str">
        <f>INDEX(Places[Type],MATCH(Activities[[#This Row],[Jurisdiction]],Places[Jurisdiction],0))</f>
        <v>City</v>
      </c>
      <c r="C1642" s="19" t="str">
        <f>INDEX(Places[County],MATCH(Activities[[#This Row],[Jurisdiction]],Places[Jurisdiction],0))</f>
        <v>Orange</v>
      </c>
      <c r="D1642" s="9" t="str">
        <f>INDEX(Places[Majority RB],MATCH(Activities[[#This Row],[Jurisdiction]],Places[Jurisdiction],0))</f>
        <v>Santa Ana</v>
      </c>
      <c r="E1642" s="9">
        <f>INDEX(Places[Majority RB '#],MATCH(Activities[[#This Row],[Jurisdiction]],Places[Jurisdiction],0))</f>
        <v>8</v>
      </c>
      <c r="F1642" s="28" t="str">
        <f>VLOOKUP(Activities[[#This Row],[Jurisdiction]],Places[#All],8,FALSE)</f>
        <v>Phase I MS4</v>
      </c>
      <c r="G1642" s="48" t="s">
        <v>979</v>
      </c>
      <c r="H1642" s="8" t="s">
        <v>504</v>
      </c>
      <c r="I1642" s="8"/>
      <c r="J1642" s="8" t="s">
        <v>71</v>
      </c>
      <c r="K1642" s="27" t="s">
        <v>1875</v>
      </c>
      <c r="L1642" s="28">
        <f>_xlfn.NUMBERVALUE(LEFT(Activities[[#This Row],[Fiscal Year]], 4))</f>
        <v>2001</v>
      </c>
      <c r="M1642" s="28" t="s">
        <v>1862</v>
      </c>
      <c r="N1642" s="41">
        <v>60000</v>
      </c>
      <c r="O1642" s="93">
        <f>IF(Activities[[#This Row],[Reference Year]]&gt;2018,Activities[[#This Row],[Value]],Activities[[#This Row],[Value]]*(1+VLOOKUP(Activities[[#This Row],[Reference Year]],Inflation[#All],3,FALSE)))</f>
        <v>85250.479954827781</v>
      </c>
    </row>
    <row r="1643" spans="1:15" ht="15" customHeight="1" x14ac:dyDescent="0.25">
      <c r="A1643" s="9" t="s">
        <v>291</v>
      </c>
      <c r="B1643" s="9" t="str">
        <f>INDEX(Places[Type],MATCH(Activities[[#This Row],[Jurisdiction]],Places[Jurisdiction],0))</f>
        <v>City</v>
      </c>
      <c r="C1643" s="19" t="str">
        <f>INDEX(Places[County],MATCH(Activities[[#This Row],[Jurisdiction]],Places[Jurisdiction],0))</f>
        <v>Orange</v>
      </c>
      <c r="D1643" s="9" t="str">
        <f>INDEX(Places[Majority RB],MATCH(Activities[[#This Row],[Jurisdiction]],Places[Jurisdiction],0))</f>
        <v>Santa Ana</v>
      </c>
      <c r="E1643" s="9">
        <f>INDEX(Places[Majority RB '#],MATCH(Activities[[#This Row],[Jurisdiction]],Places[Jurisdiction],0))</f>
        <v>8</v>
      </c>
      <c r="F1643" s="28" t="str">
        <f>VLOOKUP(Activities[[#This Row],[Jurisdiction]],Places[#All],8,FALSE)</f>
        <v>Phase I MS4</v>
      </c>
      <c r="G1643" s="48" t="s">
        <v>998</v>
      </c>
      <c r="H1643" s="8" t="s">
        <v>504</v>
      </c>
      <c r="I1643" s="8"/>
      <c r="J1643" s="8" t="s">
        <v>1897</v>
      </c>
      <c r="K1643" s="27" t="s">
        <v>1875</v>
      </c>
      <c r="L1643" s="28">
        <f>_xlfn.NUMBERVALUE(LEFT(Activities[[#This Row],[Fiscal Year]], 4))</f>
        <v>2001</v>
      </c>
      <c r="M1643" s="28" t="s">
        <v>1862</v>
      </c>
      <c r="N1643" s="41">
        <v>1000</v>
      </c>
      <c r="O1643" s="93">
        <f>IF(Activities[[#This Row],[Reference Year]]&gt;2018,Activities[[#This Row],[Value]],Activities[[#This Row],[Value]]*(1+VLOOKUP(Activities[[#This Row],[Reference Year]],Inflation[#All],3,FALSE)))</f>
        <v>1420.8413325804629</v>
      </c>
    </row>
    <row r="1644" spans="1:15" ht="15" customHeight="1" x14ac:dyDescent="0.25">
      <c r="A1644" s="9" t="s">
        <v>291</v>
      </c>
      <c r="B1644" s="9" t="str">
        <f>INDEX(Places[Type],MATCH(Activities[[#This Row],[Jurisdiction]],Places[Jurisdiction],0))</f>
        <v>City</v>
      </c>
      <c r="C1644" s="19" t="str">
        <f>INDEX(Places[County],MATCH(Activities[[#This Row],[Jurisdiction]],Places[Jurisdiction],0))</f>
        <v>Orange</v>
      </c>
      <c r="D1644" s="9" t="str">
        <f>INDEX(Places[Majority RB],MATCH(Activities[[#This Row],[Jurisdiction]],Places[Jurisdiction],0))</f>
        <v>Santa Ana</v>
      </c>
      <c r="E1644" s="9">
        <f>INDEX(Places[Majority RB '#],MATCH(Activities[[#This Row],[Jurisdiction]],Places[Jurisdiction],0))</f>
        <v>8</v>
      </c>
      <c r="F1644" s="28" t="str">
        <f>VLOOKUP(Activities[[#This Row],[Jurisdiction]],Places[#All],8,FALSE)</f>
        <v>Phase I MS4</v>
      </c>
      <c r="G1644" s="48" t="s">
        <v>1002</v>
      </c>
      <c r="H1644" s="8" t="s">
        <v>597</v>
      </c>
      <c r="I1644" s="8" t="s">
        <v>594</v>
      </c>
      <c r="J1644" s="8" t="s">
        <v>1897</v>
      </c>
      <c r="K1644" s="27" t="s">
        <v>1875</v>
      </c>
      <c r="L1644" s="28">
        <f>_xlfn.NUMBERVALUE(LEFT(Activities[[#This Row],[Fiscal Year]], 4))</f>
        <v>2001</v>
      </c>
      <c r="M1644" s="28" t="s">
        <v>1862</v>
      </c>
      <c r="N1644" s="41">
        <v>1000</v>
      </c>
      <c r="O1644" s="93">
        <f>IF(Activities[[#This Row],[Reference Year]]&gt;2018,Activities[[#This Row],[Value]],Activities[[#This Row],[Value]]*(1+VLOOKUP(Activities[[#This Row],[Reference Year]],Inflation[#All],3,FALSE)))</f>
        <v>1420.8413325804629</v>
      </c>
    </row>
    <row r="1645" spans="1:15" ht="15" customHeight="1" x14ac:dyDescent="0.25">
      <c r="A1645" s="9" t="s">
        <v>291</v>
      </c>
      <c r="B1645" s="9" t="str">
        <f>INDEX(Places[Type],MATCH(Activities[[#This Row],[Jurisdiction]],Places[Jurisdiction],0))</f>
        <v>City</v>
      </c>
      <c r="C1645" s="19" t="str">
        <f>INDEX(Places[County],MATCH(Activities[[#This Row],[Jurisdiction]],Places[Jurisdiction],0))</f>
        <v>Orange</v>
      </c>
      <c r="D1645" s="9" t="str">
        <f>INDEX(Places[Majority RB],MATCH(Activities[[#This Row],[Jurisdiction]],Places[Jurisdiction],0))</f>
        <v>Santa Ana</v>
      </c>
      <c r="E1645" s="9">
        <f>INDEX(Places[Majority RB '#],MATCH(Activities[[#This Row],[Jurisdiction]],Places[Jurisdiction],0))</f>
        <v>8</v>
      </c>
      <c r="F1645" s="28" t="str">
        <f>VLOOKUP(Activities[[#This Row],[Jurisdiction]],Places[#All],8,FALSE)</f>
        <v>Phase I MS4</v>
      </c>
      <c r="G1645" s="48" t="s">
        <v>995</v>
      </c>
      <c r="H1645" s="8" t="s">
        <v>504</v>
      </c>
      <c r="I1645" s="8"/>
      <c r="J1645" s="8" t="s">
        <v>1897</v>
      </c>
      <c r="K1645" s="27" t="s">
        <v>1875</v>
      </c>
      <c r="L1645" s="28">
        <f>_xlfn.NUMBERVALUE(LEFT(Activities[[#This Row],[Fiscal Year]], 4))</f>
        <v>2001</v>
      </c>
      <c r="M1645" s="28" t="s">
        <v>1862</v>
      </c>
      <c r="N1645" s="41">
        <v>1200</v>
      </c>
      <c r="O1645" s="93">
        <f>IF(Activities[[#This Row],[Reference Year]]&gt;2018,Activities[[#This Row],[Value]],Activities[[#This Row],[Value]]*(1+VLOOKUP(Activities[[#This Row],[Reference Year]],Inflation[#All],3,FALSE)))</f>
        <v>1705.0095990965556</v>
      </c>
    </row>
    <row r="1646" spans="1:15" ht="15" customHeight="1" x14ac:dyDescent="0.25">
      <c r="A1646" s="9" t="s">
        <v>291</v>
      </c>
      <c r="B1646" s="9" t="str">
        <f>INDEX(Places[Type],MATCH(Activities[[#This Row],[Jurisdiction]],Places[Jurisdiction],0))</f>
        <v>City</v>
      </c>
      <c r="C1646" s="19" t="str">
        <f>INDEX(Places[County],MATCH(Activities[[#This Row],[Jurisdiction]],Places[Jurisdiction],0))</f>
        <v>Orange</v>
      </c>
      <c r="D1646" s="9" t="str">
        <f>INDEX(Places[Majority RB],MATCH(Activities[[#This Row],[Jurisdiction]],Places[Jurisdiction],0))</f>
        <v>Santa Ana</v>
      </c>
      <c r="E1646" s="9">
        <f>INDEX(Places[Majority RB '#],MATCH(Activities[[#This Row],[Jurisdiction]],Places[Jurisdiction],0))</f>
        <v>8</v>
      </c>
      <c r="F1646" s="28" t="str">
        <f>VLOOKUP(Activities[[#This Row],[Jurisdiction]],Places[#All],8,FALSE)</f>
        <v>Phase I MS4</v>
      </c>
      <c r="G1646" s="48" t="s">
        <v>999</v>
      </c>
      <c r="H1646" s="8" t="s">
        <v>504</v>
      </c>
      <c r="I1646" s="8"/>
      <c r="J1646" s="8" t="s">
        <v>1897</v>
      </c>
      <c r="K1646" s="27" t="s">
        <v>1875</v>
      </c>
      <c r="L1646" s="28">
        <f>_xlfn.NUMBERVALUE(LEFT(Activities[[#This Row],[Fiscal Year]], 4))</f>
        <v>2001</v>
      </c>
      <c r="M1646" s="28" t="s">
        <v>1862</v>
      </c>
      <c r="N1646" s="41">
        <v>2000</v>
      </c>
      <c r="O1646" s="93">
        <f>IF(Activities[[#This Row],[Reference Year]]&gt;2018,Activities[[#This Row],[Value]],Activities[[#This Row],[Value]]*(1+VLOOKUP(Activities[[#This Row],[Reference Year]],Inflation[#All],3,FALSE)))</f>
        <v>2841.6826651609258</v>
      </c>
    </row>
    <row r="1647" spans="1:15" ht="15" customHeight="1" x14ac:dyDescent="0.25">
      <c r="A1647" s="9" t="s">
        <v>291</v>
      </c>
      <c r="B1647" s="9" t="str">
        <f>INDEX(Places[Type],MATCH(Activities[[#This Row],[Jurisdiction]],Places[Jurisdiction],0))</f>
        <v>City</v>
      </c>
      <c r="C1647" s="19" t="str">
        <f>INDEX(Places[County],MATCH(Activities[[#This Row],[Jurisdiction]],Places[Jurisdiction],0))</f>
        <v>Orange</v>
      </c>
      <c r="D1647" s="9" t="str">
        <f>INDEX(Places[Majority RB],MATCH(Activities[[#This Row],[Jurisdiction]],Places[Jurisdiction],0))</f>
        <v>Santa Ana</v>
      </c>
      <c r="E1647" s="9">
        <f>INDEX(Places[Majority RB '#],MATCH(Activities[[#This Row],[Jurisdiction]],Places[Jurisdiction],0))</f>
        <v>8</v>
      </c>
      <c r="F1647" s="28" t="str">
        <f>VLOOKUP(Activities[[#This Row],[Jurisdiction]],Places[#All],8,FALSE)</f>
        <v>Phase I MS4</v>
      </c>
      <c r="G1647" s="48" t="s">
        <v>992</v>
      </c>
      <c r="H1647" s="8" t="s">
        <v>504</v>
      </c>
      <c r="I1647" s="8"/>
      <c r="J1647" s="8" t="s">
        <v>1897</v>
      </c>
      <c r="K1647" s="27" t="s">
        <v>1875</v>
      </c>
      <c r="L1647" s="28">
        <f>_xlfn.NUMBERVALUE(LEFT(Activities[[#This Row],[Fiscal Year]], 4))</f>
        <v>2001</v>
      </c>
      <c r="M1647" s="28" t="s">
        <v>1862</v>
      </c>
      <c r="N1647" s="41">
        <v>7000</v>
      </c>
      <c r="O1647" s="93">
        <f>IF(Activities[[#This Row],[Reference Year]]&gt;2018,Activities[[#This Row],[Value]],Activities[[#This Row],[Value]]*(1+VLOOKUP(Activities[[#This Row],[Reference Year]],Inflation[#All],3,FALSE)))</f>
        <v>9945.8893280632401</v>
      </c>
    </row>
    <row r="1648" spans="1:15" ht="15" customHeight="1" x14ac:dyDescent="0.25">
      <c r="A1648" s="9" t="s">
        <v>291</v>
      </c>
      <c r="B1648" s="9" t="str">
        <f>INDEX(Places[Type],MATCH(Activities[[#This Row],[Jurisdiction]],Places[Jurisdiction],0))</f>
        <v>City</v>
      </c>
      <c r="C1648" s="19" t="str">
        <f>INDEX(Places[County],MATCH(Activities[[#This Row],[Jurisdiction]],Places[Jurisdiction],0))</f>
        <v>Orange</v>
      </c>
      <c r="D1648" s="9" t="str">
        <f>INDEX(Places[Majority RB],MATCH(Activities[[#This Row],[Jurisdiction]],Places[Jurisdiction],0))</f>
        <v>Santa Ana</v>
      </c>
      <c r="E1648" s="9">
        <f>INDEX(Places[Majority RB '#],MATCH(Activities[[#This Row],[Jurisdiction]],Places[Jurisdiction],0))</f>
        <v>8</v>
      </c>
      <c r="F1648" s="28" t="str">
        <f>VLOOKUP(Activities[[#This Row],[Jurisdiction]],Places[#All],8,FALSE)</f>
        <v>Phase I MS4</v>
      </c>
      <c r="G1648" s="48" t="s">
        <v>997</v>
      </c>
      <c r="H1648" s="8" t="s">
        <v>593</v>
      </c>
      <c r="I1648" s="8" t="s">
        <v>594</v>
      </c>
      <c r="J1648" s="8" t="s">
        <v>1897</v>
      </c>
      <c r="K1648" s="27" t="s">
        <v>1875</v>
      </c>
      <c r="L1648" s="28">
        <f>_xlfn.NUMBERVALUE(LEFT(Activities[[#This Row],[Fiscal Year]], 4))</f>
        <v>2001</v>
      </c>
      <c r="M1648" s="28" t="s">
        <v>1862</v>
      </c>
      <c r="N1648" s="41">
        <v>12000</v>
      </c>
      <c r="O1648" s="93">
        <f>IF(Activities[[#This Row],[Reference Year]]&gt;2018,Activities[[#This Row],[Value]],Activities[[#This Row],[Value]]*(1+VLOOKUP(Activities[[#This Row],[Reference Year]],Inflation[#All],3,FALSE)))</f>
        <v>17050.095990965554</v>
      </c>
    </row>
    <row r="1649" spans="1:15" ht="15" customHeight="1" x14ac:dyDescent="0.25">
      <c r="A1649" s="9" t="s">
        <v>291</v>
      </c>
      <c r="B1649" s="9" t="str">
        <f>INDEX(Places[Type],MATCH(Activities[[#This Row],[Jurisdiction]],Places[Jurisdiction],0))</f>
        <v>City</v>
      </c>
      <c r="C1649" s="19" t="str">
        <f>INDEX(Places[County],MATCH(Activities[[#This Row],[Jurisdiction]],Places[Jurisdiction],0))</f>
        <v>Orange</v>
      </c>
      <c r="D1649" s="9" t="str">
        <f>INDEX(Places[Majority RB],MATCH(Activities[[#This Row],[Jurisdiction]],Places[Jurisdiction],0))</f>
        <v>Santa Ana</v>
      </c>
      <c r="E1649" s="9">
        <f>INDEX(Places[Majority RB '#],MATCH(Activities[[#This Row],[Jurisdiction]],Places[Jurisdiction],0))</f>
        <v>8</v>
      </c>
      <c r="F1649" s="28" t="str">
        <f>VLOOKUP(Activities[[#This Row],[Jurisdiction]],Places[#All],8,FALSE)</f>
        <v>Phase I MS4</v>
      </c>
      <c r="G1649" s="48" t="s">
        <v>996</v>
      </c>
      <c r="H1649" s="8" t="s">
        <v>504</v>
      </c>
      <c r="I1649" s="8"/>
      <c r="J1649" s="8" t="s">
        <v>1897</v>
      </c>
      <c r="K1649" s="27" t="s">
        <v>1875</v>
      </c>
      <c r="L1649" s="28">
        <f>_xlfn.NUMBERVALUE(LEFT(Activities[[#This Row],[Fiscal Year]], 4))</f>
        <v>2001</v>
      </c>
      <c r="M1649" s="28" t="s">
        <v>1862</v>
      </c>
      <c r="N1649" s="41">
        <v>74000</v>
      </c>
      <c r="O1649" s="93">
        <f>IF(Activities[[#This Row],[Reference Year]]&gt;2018,Activities[[#This Row],[Value]],Activities[[#This Row],[Value]]*(1+VLOOKUP(Activities[[#This Row],[Reference Year]],Inflation[#All],3,FALSE)))</f>
        <v>105142.25861095426</v>
      </c>
    </row>
    <row r="1650" spans="1:15" ht="15" customHeight="1" x14ac:dyDescent="0.25">
      <c r="A1650" s="9" t="s">
        <v>291</v>
      </c>
      <c r="B1650" s="9" t="str">
        <f>INDEX(Places[Type],MATCH(Activities[[#This Row],[Jurisdiction]],Places[Jurisdiction],0))</f>
        <v>City</v>
      </c>
      <c r="C1650" s="19" t="str">
        <f>INDEX(Places[County],MATCH(Activities[[#This Row],[Jurisdiction]],Places[Jurisdiction],0))</f>
        <v>Orange</v>
      </c>
      <c r="D1650" s="9" t="str">
        <f>INDEX(Places[Majority RB],MATCH(Activities[[#This Row],[Jurisdiction]],Places[Jurisdiction],0))</f>
        <v>Santa Ana</v>
      </c>
      <c r="E1650" s="9">
        <f>INDEX(Places[Majority RB '#],MATCH(Activities[[#This Row],[Jurisdiction]],Places[Jurisdiction],0))</f>
        <v>8</v>
      </c>
      <c r="F1650" s="28" t="str">
        <f>VLOOKUP(Activities[[#This Row],[Jurisdiction]],Places[#All],8,FALSE)</f>
        <v>Phase I MS4</v>
      </c>
      <c r="G1650" s="48" t="s">
        <v>993</v>
      </c>
      <c r="H1650" s="8" t="s">
        <v>602</v>
      </c>
      <c r="I1650" s="8"/>
      <c r="J1650" s="8" t="s">
        <v>1897</v>
      </c>
      <c r="K1650" s="27" t="s">
        <v>1875</v>
      </c>
      <c r="L1650" s="28">
        <f>_xlfn.NUMBERVALUE(LEFT(Activities[[#This Row],[Fiscal Year]], 4))</f>
        <v>2001</v>
      </c>
      <c r="M1650" s="28" t="s">
        <v>1862</v>
      </c>
      <c r="N1650" s="41">
        <v>167000</v>
      </c>
      <c r="O1650" s="93">
        <f>IF(Activities[[#This Row],[Reference Year]]&gt;2018,Activities[[#This Row],[Value]],Activities[[#This Row],[Value]]*(1+VLOOKUP(Activities[[#This Row],[Reference Year]],Inflation[#All],3,FALSE)))</f>
        <v>237280.5025409373</v>
      </c>
    </row>
    <row r="1651" spans="1:15" ht="15" customHeight="1" x14ac:dyDescent="0.25">
      <c r="A1651" s="9" t="s">
        <v>291</v>
      </c>
      <c r="B1651" s="9" t="str">
        <f>INDEX(Places[Type],MATCH(Activities[[#This Row],[Jurisdiction]],Places[Jurisdiction],0))</f>
        <v>City</v>
      </c>
      <c r="C1651" s="19" t="str">
        <f>INDEX(Places[County],MATCH(Activities[[#This Row],[Jurisdiction]],Places[Jurisdiction],0))</f>
        <v>Orange</v>
      </c>
      <c r="D1651" s="9" t="str">
        <f>INDEX(Places[Majority RB],MATCH(Activities[[#This Row],[Jurisdiction]],Places[Jurisdiction],0))</f>
        <v>Santa Ana</v>
      </c>
      <c r="E1651" s="9">
        <f>INDEX(Places[Majority RB '#],MATCH(Activities[[#This Row],[Jurisdiction]],Places[Jurisdiction],0))</f>
        <v>8</v>
      </c>
      <c r="F1651" s="28" t="str">
        <f>VLOOKUP(Activities[[#This Row],[Jurisdiction]],Places[#All],8,FALSE)</f>
        <v>Phase I MS4</v>
      </c>
      <c r="G1651" s="48" t="s">
        <v>1005</v>
      </c>
      <c r="H1651" s="8"/>
      <c r="I1651" s="8"/>
      <c r="J1651" s="8" t="s">
        <v>1898</v>
      </c>
      <c r="K1651" s="27" t="s">
        <v>1875</v>
      </c>
      <c r="L1651" s="28">
        <f>_xlfn.NUMBERVALUE(LEFT(Activities[[#This Row],[Fiscal Year]], 4))</f>
        <v>2001</v>
      </c>
      <c r="M1651" s="28" t="s">
        <v>1862</v>
      </c>
      <c r="N1651" s="41">
        <v>1000</v>
      </c>
      <c r="O1651" s="93">
        <f>IF(Activities[[#This Row],[Reference Year]]&gt;2018,Activities[[#This Row],[Value]],Activities[[#This Row],[Value]]*(1+VLOOKUP(Activities[[#This Row],[Reference Year]],Inflation[#All],3,FALSE)))</f>
        <v>1420.8413325804629</v>
      </c>
    </row>
    <row r="1652" spans="1:15" ht="15" customHeight="1" x14ac:dyDescent="0.25">
      <c r="A1652" s="9" t="s">
        <v>291</v>
      </c>
      <c r="B1652" s="9" t="str">
        <f>INDEX(Places[Type],MATCH(Activities[[#This Row],[Jurisdiction]],Places[Jurisdiction],0))</f>
        <v>City</v>
      </c>
      <c r="C1652" s="19" t="str">
        <f>INDEX(Places[County],MATCH(Activities[[#This Row],[Jurisdiction]],Places[Jurisdiction],0))</f>
        <v>Orange</v>
      </c>
      <c r="D1652" s="9" t="str">
        <f>INDEX(Places[Majority RB],MATCH(Activities[[#This Row],[Jurisdiction]],Places[Jurisdiction],0))</f>
        <v>Santa Ana</v>
      </c>
      <c r="E1652" s="9">
        <f>INDEX(Places[Majority RB '#],MATCH(Activities[[#This Row],[Jurisdiction]],Places[Jurisdiction],0))</f>
        <v>8</v>
      </c>
      <c r="F1652" s="28" t="str">
        <f>VLOOKUP(Activities[[#This Row],[Jurisdiction]],Places[#All],8,FALSE)</f>
        <v>Phase I MS4</v>
      </c>
      <c r="G1652" s="48" t="s">
        <v>1000</v>
      </c>
      <c r="H1652" s="8" t="s">
        <v>505</v>
      </c>
      <c r="I1652" s="8"/>
      <c r="J1652" s="8" t="s">
        <v>1456</v>
      </c>
      <c r="K1652" s="27" t="s">
        <v>1875</v>
      </c>
      <c r="L1652" s="28">
        <f>_xlfn.NUMBERVALUE(LEFT(Activities[[#This Row],[Fiscal Year]], 4))</f>
        <v>2001</v>
      </c>
      <c r="M1652" s="28" t="s">
        <v>1862</v>
      </c>
      <c r="N1652" s="41">
        <v>1000</v>
      </c>
      <c r="O1652" s="93">
        <f>IF(Activities[[#This Row],[Reference Year]]&gt;2018,Activities[[#This Row],[Value]],Activities[[#This Row],[Value]]*(1+VLOOKUP(Activities[[#This Row],[Reference Year]],Inflation[#All],3,FALSE)))</f>
        <v>1420.8413325804629</v>
      </c>
    </row>
    <row r="1653" spans="1:15" ht="15" customHeight="1" x14ac:dyDescent="0.25">
      <c r="A1653" s="9" t="s">
        <v>291</v>
      </c>
      <c r="B1653" s="9" t="str">
        <f>INDEX(Places[Type],MATCH(Activities[[#This Row],[Jurisdiction]],Places[Jurisdiction],0))</f>
        <v>City</v>
      </c>
      <c r="C1653" s="19" t="str">
        <f>INDEX(Places[County],MATCH(Activities[[#This Row],[Jurisdiction]],Places[Jurisdiction],0))</f>
        <v>Orange</v>
      </c>
      <c r="D1653" s="9" t="str">
        <f>INDEX(Places[Majority RB],MATCH(Activities[[#This Row],[Jurisdiction]],Places[Jurisdiction],0))</f>
        <v>Santa Ana</v>
      </c>
      <c r="E1653" s="9">
        <f>INDEX(Places[Majority RB '#],MATCH(Activities[[#This Row],[Jurisdiction]],Places[Jurisdiction],0))</f>
        <v>8</v>
      </c>
      <c r="F1653" s="28" t="str">
        <f>VLOOKUP(Activities[[#This Row],[Jurisdiction]],Places[#All],8,FALSE)</f>
        <v>Phase I MS4</v>
      </c>
      <c r="G1653" s="48" t="s">
        <v>1001</v>
      </c>
      <c r="H1653" s="8" t="s">
        <v>599</v>
      </c>
      <c r="I1653" s="8"/>
      <c r="J1653" s="8" t="s">
        <v>1456</v>
      </c>
      <c r="K1653" s="27" t="s">
        <v>1875</v>
      </c>
      <c r="L1653" s="28">
        <f>_xlfn.NUMBERVALUE(LEFT(Activities[[#This Row],[Fiscal Year]], 4))</f>
        <v>2001</v>
      </c>
      <c r="M1653" s="28" t="s">
        <v>1862</v>
      </c>
      <c r="N1653" s="41">
        <v>1000</v>
      </c>
      <c r="O1653" s="93">
        <f>IF(Activities[[#This Row],[Reference Year]]&gt;2018,Activities[[#This Row],[Value]],Activities[[#This Row],[Value]]*(1+VLOOKUP(Activities[[#This Row],[Reference Year]],Inflation[#All],3,FALSE)))</f>
        <v>1420.8413325804629</v>
      </c>
    </row>
    <row r="1654" spans="1:15" ht="15" customHeight="1" x14ac:dyDescent="0.25">
      <c r="A1654" s="9" t="s">
        <v>184</v>
      </c>
      <c r="B1654" s="9" t="str">
        <f>INDEX(Places[Type],MATCH(Activities[[#This Row],[Jurisdiction]],Places[Jurisdiction],0))</f>
        <v>City</v>
      </c>
      <c r="C1654" s="19" t="str">
        <f>INDEX(Places[County],MATCH(Activities[[#This Row],[Jurisdiction]],Places[Jurisdiction],0))</f>
        <v>Los Angeles</v>
      </c>
      <c r="D1654" s="19" t="str">
        <f>INDEX(Places[Majority RB],MATCH(Activities[[#This Row],[Jurisdiction]],Places[Jurisdiction],0))</f>
        <v>Los Angeles</v>
      </c>
      <c r="E1654" s="9">
        <f>INDEX(Places[Majority RB '#],MATCH(Activities[[#This Row],[Jurisdiction]],Places[Jurisdiction],0))</f>
        <v>4</v>
      </c>
      <c r="F1654" s="28" t="str">
        <f>VLOOKUP(Activities[[#This Row],[Jurisdiction]],Places[#All],8,FALSE)</f>
        <v>Phase I MS4</v>
      </c>
      <c r="G1654" s="48" t="s">
        <v>852</v>
      </c>
      <c r="H1654" s="8"/>
      <c r="I1654" s="8"/>
      <c r="J1654" s="8" t="s">
        <v>76</v>
      </c>
      <c r="K1654" s="27" t="s">
        <v>1873</v>
      </c>
      <c r="L1654" s="28">
        <f>_xlfn.NUMBERVALUE(LEFT(Activities[[#This Row],[Fiscal Year]], 4))</f>
        <v>2015</v>
      </c>
      <c r="M1654" s="28" t="s">
        <v>1862</v>
      </c>
      <c r="N1654" s="41">
        <v>14402</v>
      </c>
      <c r="O1654" s="93">
        <f>IF(Activities[[#This Row],[Reference Year]]&gt;2018,Activities[[#This Row],[Value]],Activities[[#This Row],[Value]]*(1+VLOOKUP(Activities[[#This Row],[Reference Year]],Inflation[#All],3,FALSE)))</f>
        <v>15291.095620253163</v>
      </c>
    </row>
    <row r="1655" spans="1:15" ht="15" customHeight="1" x14ac:dyDescent="0.25">
      <c r="A1655" s="9" t="s">
        <v>184</v>
      </c>
      <c r="B1655" s="9" t="str">
        <f>INDEX(Places[Type],MATCH(Activities[[#This Row],[Jurisdiction]],Places[Jurisdiction],0))</f>
        <v>City</v>
      </c>
      <c r="C1655" s="19" t="str">
        <f>INDEX(Places[County],MATCH(Activities[[#This Row],[Jurisdiction]],Places[Jurisdiction],0))</f>
        <v>Los Angeles</v>
      </c>
      <c r="D1655" s="19" t="str">
        <f>INDEX(Places[Majority RB],MATCH(Activities[[#This Row],[Jurisdiction]],Places[Jurisdiction],0))</f>
        <v>Los Angeles</v>
      </c>
      <c r="E1655" s="9">
        <f>INDEX(Places[Majority RB '#],MATCH(Activities[[#This Row],[Jurisdiction]],Places[Jurisdiction],0))</f>
        <v>4</v>
      </c>
      <c r="F1655" s="28" t="str">
        <f>VLOOKUP(Activities[[#This Row],[Jurisdiction]],Places[#All],8,FALSE)</f>
        <v>Phase I MS4</v>
      </c>
      <c r="G1655" s="48" t="s">
        <v>851</v>
      </c>
      <c r="H1655" s="8"/>
      <c r="I1655" s="8"/>
      <c r="J1655" s="8" t="s">
        <v>76</v>
      </c>
      <c r="K1655" s="27" t="s">
        <v>1873</v>
      </c>
      <c r="L1655" s="28">
        <f>_xlfn.NUMBERVALUE(LEFT(Activities[[#This Row],[Fiscal Year]], 4))</f>
        <v>2015</v>
      </c>
      <c r="M1655" s="28" t="s">
        <v>1862</v>
      </c>
      <c r="N1655" s="41">
        <v>18000</v>
      </c>
      <c r="O1655" s="93">
        <f>IF(Activities[[#This Row],[Reference Year]]&gt;2018,Activities[[#This Row],[Value]],Activities[[#This Row],[Value]]*(1+VLOOKUP(Activities[[#This Row],[Reference Year]],Inflation[#All],3,FALSE)))</f>
        <v>19111.215189873416</v>
      </c>
    </row>
    <row r="1656" spans="1:15" ht="15" customHeight="1" x14ac:dyDescent="0.25">
      <c r="A1656" s="9" t="s">
        <v>184</v>
      </c>
      <c r="B1656" s="9" t="str">
        <f>INDEX(Places[Type],MATCH(Activities[[#This Row],[Jurisdiction]],Places[Jurisdiction],0))</f>
        <v>City</v>
      </c>
      <c r="C1656" s="19" t="str">
        <f>INDEX(Places[County],MATCH(Activities[[#This Row],[Jurisdiction]],Places[Jurisdiction],0))</f>
        <v>Los Angeles</v>
      </c>
      <c r="D1656" s="19" t="str">
        <f>INDEX(Places[Majority RB],MATCH(Activities[[#This Row],[Jurisdiction]],Places[Jurisdiction],0))</f>
        <v>Los Angeles</v>
      </c>
      <c r="E1656" s="9">
        <f>INDEX(Places[Majority RB '#],MATCH(Activities[[#This Row],[Jurisdiction]],Places[Jurisdiction],0))</f>
        <v>4</v>
      </c>
      <c r="F1656" s="28" t="str">
        <f>VLOOKUP(Activities[[#This Row],[Jurisdiction]],Places[#All],8,FALSE)</f>
        <v>Phase I MS4</v>
      </c>
      <c r="G1656" s="48" t="s">
        <v>845</v>
      </c>
      <c r="H1656" s="8"/>
      <c r="I1656" s="8"/>
      <c r="J1656" s="8" t="s">
        <v>334</v>
      </c>
      <c r="K1656" s="27" t="s">
        <v>1873</v>
      </c>
      <c r="L1656" s="28">
        <f>_xlfn.NUMBERVALUE(LEFT(Activities[[#This Row],[Fiscal Year]], 4))</f>
        <v>2015</v>
      </c>
      <c r="M1656" s="28" t="s">
        <v>1862</v>
      </c>
      <c r="N1656" s="41">
        <v>4450</v>
      </c>
      <c r="O1656" s="93">
        <f>IF(Activities[[#This Row],[Reference Year]]&gt;2018,Activities[[#This Row],[Value]],Activities[[#This Row],[Value]]*(1+VLOOKUP(Activities[[#This Row],[Reference Year]],Inflation[#All],3,FALSE)))</f>
        <v>4724.7170886075946</v>
      </c>
    </row>
    <row r="1657" spans="1:15" ht="15" customHeight="1" x14ac:dyDescent="0.25">
      <c r="A1657" s="9" t="s">
        <v>184</v>
      </c>
      <c r="B1657" s="9" t="str">
        <f>INDEX(Places[Type],MATCH(Activities[[#This Row],[Jurisdiction]],Places[Jurisdiction],0))</f>
        <v>City</v>
      </c>
      <c r="C1657" s="19" t="str">
        <f>INDEX(Places[County],MATCH(Activities[[#This Row],[Jurisdiction]],Places[Jurisdiction],0))</f>
        <v>Los Angeles</v>
      </c>
      <c r="D1657" s="19" t="str">
        <f>INDEX(Places[Majority RB],MATCH(Activities[[#This Row],[Jurisdiction]],Places[Jurisdiction],0))</f>
        <v>Los Angeles</v>
      </c>
      <c r="E1657" s="9">
        <f>INDEX(Places[Majority RB '#],MATCH(Activities[[#This Row],[Jurisdiction]],Places[Jurisdiction],0))</f>
        <v>4</v>
      </c>
      <c r="F1657" s="28" t="str">
        <f>VLOOKUP(Activities[[#This Row],[Jurisdiction]],Places[#All],8,FALSE)</f>
        <v>Phase I MS4</v>
      </c>
      <c r="G1657" s="48" t="s">
        <v>857</v>
      </c>
      <c r="H1657" s="8"/>
      <c r="I1657" s="8"/>
      <c r="J1657" s="8" t="s">
        <v>1897</v>
      </c>
      <c r="K1657" s="27" t="s">
        <v>1873</v>
      </c>
      <c r="L1657" s="28">
        <f>_xlfn.NUMBERVALUE(LEFT(Activities[[#This Row],[Fiscal Year]], 4))</f>
        <v>2015</v>
      </c>
      <c r="M1657" s="28" t="s">
        <v>1862</v>
      </c>
      <c r="N1657" s="41">
        <v>750</v>
      </c>
      <c r="O1657" s="93">
        <f>IF(Activities[[#This Row],[Reference Year]]&gt;2018,Activities[[#This Row],[Value]],Activities[[#This Row],[Value]]*(1+VLOOKUP(Activities[[#This Row],[Reference Year]],Inflation[#All],3,FALSE)))</f>
        <v>796.30063291139231</v>
      </c>
    </row>
    <row r="1658" spans="1:15" ht="15" customHeight="1" x14ac:dyDescent="0.25">
      <c r="A1658" s="9" t="s">
        <v>184</v>
      </c>
      <c r="B1658" s="9" t="str">
        <f>INDEX(Places[Type],MATCH(Activities[[#This Row],[Jurisdiction]],Places[Jurisdiction],0))</f>
        <v>City</v>
      </c>
      <c r="C1658" s="19" t="str">
        <f>INDEX(Places[County],MATCH(Activities[[#This Row],[Jurisdiction]],Places[Jurisdiction],0))</f>
        <v>Los Angeles</v>
      </c>
      <c r="D1658" s="19" t="str">
        <f>INDEX(Places[Majority RB],MATCH(Activities[[#This Row],[Jurisdiction]],Places[Jurisdiction],0))</f>
        <v>Los Angeles</v>
      </c>
      <c r="E1658" s="9">
        <f>INDEX(Places[Majority RB '#],MATCH(Activities[[#This Row],[Jurisdiction]],Places[Jurisdiction],0))</f>
        <v>4</v>
      </c>
      <c r="F1658" s="28" t="str">
        <f>VLOOKUP(Activities[[#This Row],[Jurisdiction]],Places[#All],8,FALSE)</f>
        <v>Phase I MS4</v>
      </c>
      <c r="G1658" s="56" t="s">
        <v>934</v>
      </c>
      <c r="H1658" s="8"/>
      <c r="I1658" s="8"/>
      <c r="J1658" s="8" t="s">
        <v>1897</v>
      </c>
      <c r="K1658" s="27" t="s">
        <v>1873</v>
      </c>
      <c r="L1658" s="28">
        <f>_xlfn.NUMBERVALUE(LEFT(Activities[[#This Row],[Fiscal Year]], 4))</f>
        <v>2015</v>
      </c>
      <c r="M1658" s="28" t="s">
        <v>1862</v>
      </c>
      <c r="N1658" s="41">
        <v>92000</v>
      </c>
      <c r="O1658" s="93">
        <f>IF(Activities[[#This Row],[Reference Year]]&gt;2018,Activities[[#This Row],[Value]],Activities[[#This Row],[Value]]*(1+VLOOKUP(Activities[[#This Row],[Reference Year]],Inflation[#All],3,FALSE)))</f>
        <v>97679.544303797462</v>
      </c>
    </row>
    <row r="1659" spans="1:15" ht="15" customHeight="1" x14ac:dyDescent="0.25">
      <c r="A1659" s="9" t="s">
        <v>184</v>
      </c>
      <c r="B1659" s="9" t="str">
        <f>INDEX(Places[Type],MATCH(Activities[[#This Row],[Jurisdiction]],Places[Jurisdiction],0))</f>
        <v>City</v>
      </c>
      <c r="C1659" s="19" t="str">
        <f>INDEX(Places[County],MATCH(Activities[[#This Row],[Jurisdiction]],Places[Jurisdiction],0))</f>
        <v>Los Angeles</v>
      </c>
      <c r="D1659" s="19" t="str">
        <f>INDEX(Places[Majority RB],MATCH(Activities[[#This Row],[Jurisdiction]],Places[Jurisdiction],0))</f>
        <v>Los Angeles</v>
      </c>
      <c r="E1659" s="9">
        <f>INDEX(Places[Majority RB '#],MATCH(Activities[[#This Row],[Jurisdiction]],Places[Jurisdiction],0))</f>
        <v>4</v>
      </c>
      <c r="F1659" s="28" t="str">
        <f>VLOOKUP(Activities[[#This Row],[Jurisdiction]],Places[#All],8,FALSE)</f>
        <v>Phase I MS4</v>
      </c>
      <c r="G1659" s="48" t="s">
        <v>846</v>
      </c>
      <c r="H1659" s="8"/>
      <c r="I1659" s="8"/>
      <c r="J1659" s="8" t="s">
        <v>1898</v>
      </c>
      <c r="K1659" s="27" t="s">
        <v>1873</v>
      </c>
      <c r="L1659" s="28">
        <f>_xlfn.NUMBERVALUE(LEFT(Activities[[#This Row],[Fiscal Year]], 4))</f>
        <v>2015</v>
      </c>
      <c r="M1659" s="28" t="s">
        <v>1862</v>
      </c>
      <c r="N1659" s="41">
        <v>4000</v>
      </c>
      <c r="O1659" s="93">
        <f>IF(Activities[[#This Row],[Reference Year]]&gt;2018,Activities[[#This Row],[Value]],Activities[[#This Row],[Value]]*(1+VLOOKUP(Activities[[#This Row],[Reference Year]],Inflation[#All],3,FALSE)))</f>
        <v>4246.9367088607596</v>
      </c>
    </row>
    <row r="1660" spans="1:15" ht="15" customHeight="1" x14ac:dyDescent="0.25">
      <c r="A1660" s="9" t="s">
        <v>184</v>
      </c>
      <c r="B1660" s="9" t="str">
        <f>INDEX(Places[Type],MATCH(Activities[[#This Row],[Jurisdiction]],Places[Jurisdiction],0))</f>
        <v>City</v>
      </c>
      <c r="C1660" s="19" t="str">
        <f>INDEX(Places[County],MATCH(Activities[[#This Row],[Jurisdiction]],Places[Jurisdiction],0))</f>
        <v>Los Angeles</v>
      </c>
      <c r="D1660" s="19" t="str">
        <f>INDEX(Places[Majority RB],MATCH(Activities[[#This Row],[Jurisdiction]],Places[Jurisdiction],0))</f>
        <v>Los Angeles</v>
      </c>
      <c r="E1660" s="9">
        <f>INDEX(Places[Majority RB '#],MATCH(Activities[[#This Row],[Jurisdiction]],Places[Jurisdiction],0))</f>
        <v>4</v>
      </c>
      <c r="F1660" s="28" t="str">
        <f>VLOOKUP(Activities[[#This Row],[Jurisdiction]],Places[#All],8,FALSE)</f>
        <v>Phase I MS4</v>
      </c>
      <c r="G1660" s="48" t="s">
        <v>847</v>
      </c>
      <c r="H1660" s="8"/>
      <c r="I1660" s="8"/>
      <c r="J1660" s="8" t="s">
        <v>1898</v>
      </c>
      <c r="K1660" s="27" t="s">
        <v>1873</v>
      </c>
      <c r="L1660" s="28">
        <f>_xlfn.NUMBERVALUE(LEFT(Activities[[#This Row],[Fiscal Year]], 4))</f>
        <v>2015</v>
      </c>
      <c r="M1660" s="28" t="s">
        <v>1862</v>
      </c>
      <c r="N1660" s="41">
        <v>4000</v>
      </c>
      <c r="O1660" s="93">
        <f>IF(Activities[[#This Row],[Reference Year]]&gt;2018,Activities[[#This Row],[Value]],Activities[[#This Row],[Value]]*(1+VLOOKUP(Activities[[#This Row],[Reference Year]],Inflation[#All],3,FALSE)))</f>
        <v>4246.9367088607596</v>
      </c>
    </row>
    <row r="1661" spans="1:15" ht="15" customHeight="1" x14ac:dyDescent="0.25">
      <c r="A1661" s="9" t="s">
        <v>184</v>
      </c>
      <c r="B1661" s="9" t="str">
        <f>INDEX(Places[Type],MATCH(Activities[[#This Row],[Jurisdiction]],Places[Jurisdiction],0))</f>
        <v>City</v>
      </c>
      <c r="C1661" s="19" t="str">
        <f>INDEX(Places[County],MATCH(Activities[[#This Row],[Jurisdiction]],Places[Jurisdiction],0))</f>
        <v>Los Angeles</v>
      </c>
      <c r="D1661" s="19" t="str">
        <f>INDEX(Places[Majority RB],MATCH(Activities[[#This Row],[Jurisdiction]],Places[Jurisdiction],0))</f>
        <v>Los Angeles</v>
      </c>
      <c r="E1661" s="9">
        <f>INDEX(Places[Majority RB '#],MATCH(Activities[[#This Row],[Jurisdiction]],Places[Jurisdiction],0))</f>
        <v>4</v>
      </c>
      <c r="F1661" s="28" t="str">
        <f>VLOOKUP(Activities[[#This Row],[Jurisdiction]],Places[#All],8,FALSE)</f>
        <v>Phase I MS4</v>
      </c>
      <c r="G1661" s="48" t="s">
        <v>844</v>
      </c>
      <c r="H1661" s="8"/>
      <c r="I1661" s="8"/>
      <c r="J1661" s="8" t="s">
        <v>1456</v>
      </c>
      <c r="K1661" s="27" t="s">
        <v>1873</v>
      </c>
      <c r="L1661" s="28">
        <f>_xlfn.NUMBERVALUE(LEFT(Activities[[#This Row],[Fiscal Year]], 4))</f>
        <v>2015</v>
      </c>
      <c r="M1661" s="28" t="s">
        <v>1862</v>
      </c>
      <c r="N1661" s="41">
        <v>500</v>
      </c>
      <c r="O1661" s="93">
        <f>IF(Activities[[#This Row],[Reference Year]]&gt;2018,Activities[[#This Row],[Value]],Activities[[#This Row],[Value]]*(1+VLOOKUP(Activities[[#This Row],[Reference Year]],Inflation[#All],3,FALSE)))</f>
        <v>530.86708860759495</v>
      </c>
    </row>
    <row r="1662" spans="1:15" ht="15" customHeight="1" x14ac:dyDescent="0.25">
      <c r="A1662" s="9" t="s">
        <v>184</v>
      </c>
      <c r="B1662" s="9" t="str">
        <f>INDEX(Places[Type],MATCH(Activities[[#This Row],[Jurisdiction]],Places[Jurisdiction],0))</f>
        <v>City</v>
      </c>
      <c r="C1662" s="19" t="str">
        <f>INDEX(Places[County],MATCH(Activities[[#This Row],[Jurisdiction]],Places[Jurisdiction],0))</f>
        <v>Los Angeles</v>
      </c>
      <c r="D1662" s="19" t="str">
        <f>INDEX(Places[Majority RB],MATCH(Activities[[#This Row],[Jurisdiction]],Places[Jurisdiction],0))</f>
        <v>Los Angeles</v>
      </c>
      <c r="E1662" s="9">
        <f>INDEX(Places[Majority RB '#],MATCH(Activities[[#This Row],[Jurisdiction]],Places[Jurisdiction],0))</f>
        <v>4</v>
      </c>
      <c r="F1662" s="28" t="str">
        <f>VLOOKUP(Activities[[#This Row],[Jurisdiction]],Places[#All],8,FALSE)</f>
        <v>Phase I MS4</v>
      </c>
      <c r="G1662" s="48" t="s">
        <v>909</v>
      </c>
      <c r="H1662" s="8"/>
      <c r="I1662" s="8"/>
      <c r="J1662" s="8" t="s">
        <v>1894</v>
      </c>
      <c r="K1662" s="27" t="s">
        <v>1873</v>
      </c>
      <c r="L1662" s="28">
        <f>_xlfn.NUMBERVALUE(LEFT(Activities[[#This Row],[Fiscal Year]], 4))</f>
        <v>2015</v>
      </c>
      <c r="M1662" s="28" t="s">
        <v>1862</v>
      </c>
      <c r="N1662" s="41">
        <v>16000</v>
      </c>
      <c r="O1662" s="93">
        <f>IF(Activities[[#This Row],[Reference Year]]&gt;2018,Activities[[#This Row],[Value]],Activities[[#This Row],[Value]]*(1+VLOOKUP(Activities[[#This Row],[Reference Year]],Inflation[#All],3,FALSE)))</f>
        <v>16987.746835443038</v>
      </c>
    </row>
    <row r="1663" spans="1:15" ht="15" customHeight="1" x14ac:dyDescent="0.25">
      <c r="A1663" s="9" t="s">
        <v>184</v>
      </c>
      <c r="B1663" s="9" t="str">
        <f>INDEX(Places[Type],MATCH(Activities[[#This Row],[Jurisdiction]],Places[Jurisdiction],0))</f>
        <v>City</v>
      </c>
      <c r="C1663" s="19" t="str">
        <f>INDEX(Places[County],MATCH(Activities[[#This Row],[Jurisdiction]],Places[Jurisdiction],0))</f>
        <v>Los Angeles</v>
      </c>
      <c r="D1663" s="19" t="str">
        <f>INDEX(Places[Majority RB],MATCH(Activities[[#This Row],[Jurisdiction]],Places[Jurisdiction],0))</f>
        <v>Los Angeles</v>
      </c>
      <c r="E1663" s="9">
        <f>INDEX(Places[Majority RB '#],MATCH(Activities[[#This Row],[Jurisdiction]],Places[Jurisdiction],0))</f>
        <v>4</v>
      </c>
      <c r="F1663" s="28" t="str">
        <f>VLOOKUP(Activities[[#This Row],[Jurisdiction]],Places[#All],8,FALSE)</f>
        <v>Phase I MS4</v>
      </c>
      <c r="G1663" s="48" t="s">
        <v>908</v>
      </c>
      <c r="H1663" s="8"/>
      <c r="I1663" s="8"/>
      <c r="J1663" s="8" t="s">
        <v>1894</v>
      </c>
      <c r="K1663" s="27" t="s">
        <v>1873</v>
      </c>
      <c r="L1663" s="28">
        <f>_xlfn.NUMBERVALUE(LEFT(Activities[[#This Row],[Fiscal Year]], 4))</f>
        <v>2015</v>
      </c>
      <c r="M1663" s="28" t="s">
        <v>1862</v>
      </c>
      <c r="N1663" s="41">
        <v>129340</v>
      </c>
      <c r="O1663" s="93">
        <f>IF(Activities[[#This Row],[Reference Year]]&gt;2018,Activities[[#This Row],[Value]],Activities[[#This Row],[Value]]*(1+VLOOKUP(Activities[[#This Row],[Reference Year]],Inflation[#All],3,FALSE)))</f>
        <v>137324.69848101266</v>
      </c>
    </row>
    <row r="1664" spans="1:15" ht="15" customHeight="1" x14ac:dyDescent="0.25">
      <c r="A1664" s="9" t="s">
        <v>184</v>
      </c>
      <c r="B1664" s="9" t="str">
        <f>INDEX(Places[Type],MATCH(Activities[[#This Row],[Jurisdiction]],Places[Jurisdiction],0))</f>
        <v>City</v>
      </c>
      <c r="C1664" s="19" t="str">
        <f>INDEX(Places[County],MATCH(Activities[[#This Row],[Jurisdiction]],Places[Jurisdiction],0))</f>
        <v>Los Angeles</v>
      </c>
      <c r="D1664" s="19" t="str">
        <f>INDEX(Places[Majority RB],MATCH(Activities[[#This Row],[Jurisdiction]],Places[Jurisdiction],0))</f>
        <v>Los Angeles</v>
      </c>
      <c r="E1664" s="9">
        <f>INDEX(Places[Majority RB '#],MATCH(Activities[[#This Row],[Jurisdiction]],Places[Jurisdiction],0))</f>
        <v>4</v>
      </c>
      <c r="F1664" s="28" t="str">
        <f>VLOOKUP(Activities[[#This Row],[Jurisdiction]],Places[#All],8,FALSE)</f>
        <v>Phase I MS4</v>
      </c>
      <c r="G1664" s="48" t="s">
        <v>850</v>
      </c>
      <c r="H1664" s="8"/>
      <c r="I1664" s="8"/>
      <c r="J1664" s="8" t="s">
        <v>1896</v>
      </c>
      <c r="K1664" s="27" t="s">
        <v>1873</v>
      </c>
      <c r="L1664" s="28">
        <f>_xlfn.NUMBERVALUE(LEFT(Activities[[#This Row],[Fiscal Year]], 4))</f>
        <v>2015</v>
      </c>
      <c r="M1664" s="28" t="s">
        <v>1862</v>
      </c>
      <c r="N1664" s="41">
        <v>5000</v>
      </c>
      <c r="O1664" s="93">
        <f>IF(Activities[[#This Row],[Reference Year]]&gt;2018,Activities[[#This Row],[Value]],Activities[[#This Row],[Value]]*(1+VLOOKUP(Activities[[#This Row],[Reference Year]],Inflation[#All],3,FALSE)))</f>
        <v>5308.6708860759491</v>
      </c>
    </row>
    <row r="1665" spans="1:15" ht="15" customHeight="1" x14ac:dyDescent="0.25">
      <c r="A1665" s="9" t="s">
        <v>184</v>
      </c>
      <c r="B1665" s="9" t="str">
        <f>INDEX(Places[Type],MATCH(Activities[[#This Row],[Jurisdiction]],Places[Jurisdiction],0))</f>
        <v>City</v>
      </c>
      <c r="C1665" s="19" t="str">
        <f>INDEX(Places[County],MATCH(Activities[[#This Row],[Jurisdiction]],Places[Jurisdiction],0))</f>
        <v>Los Angeles</v>
      </c>
      <c r="D1665" s="19" t="str">
        <f>INDEX(Places[Majority RB],MATCH(Activities[[#This Row],[Jurisdiction]],Places[Jurisdiction],0))</f>
        <v>Los Angeles</v>
      </c>
      <c r="E1665" s="9">
        <f>INDEX(Places[Majority RB '#],MATCH(Activities[[#This Row],[Jurisdiction]],Places[Jurisdiction],0))</f>
        <v>4</v>
      </c>
      <c r="F1665" s="28" t="str">
        <f>VLOOKUP(Activities[[#This Row],[Jurisdiction]],Places[#All],8,FALSE)</f>
        <v>Phase I MS4</v>
      </c>
      <c r="G1665" s="56" t="s">
        <v>854</v>
      </c>
      <c r="H1665" s="8"/>
      <c r="I1665" s="8"/>
      <c r="J1665" s="8" t="s">
        <v>47</v>
      </c>
      <c r="K1665" s="27" t="s">
        <v>1873</v>
      </c>
      <c r="L1665" s="28">
        <f>_xlfn.NUMBERVALUE(LEFT(Activities[[#This Row],[Fiscal Year]], 4))</f>
        <v>2015</v>
      </c>
      <c r="M1665" s="28" t="s">
        <v>1862</v>
      </c>
      <c r="N1665" s="41">
        <v>42960</v>
      </c>
      <c r="O1665" s="93">
        <f>IF(Activities[[#This Row],[Reference Year]]&gt;2018,Activities[[#This Row],[Value]],Activities[[#This Row],[Value]]*(1+VLOOKUP(Activities[[#This Row],[Reference Year]],Inflation[#All],3,FALSE)))</f>
        <v>45612.100253164557</v>
      </c>
    </row>
    <row r="1666" spans="1:15" ht="15" customHeight="1" x14ac:dyDescent="0.25">
      <c r="A1666" s="9" t="s">
        <v>164</v>
      </c>
      <c r="B1666" s="9" t="str">
        <f>INDEX(Places[Type],MATCH(Activities[[#This Row],[Jurisdiction]],Places[Jurisdiction],0))</f>
        <v>City</v>
      </c>
      <c r="C1666" s="19" t="str">
        <f>INDEX(Places[County],MATCH(Activities[[#This Row],[Jurisdiction]],Places[Jurisdiction],0))</f>
        <v>Los Angeles</v>
      </c>
      <c r="D1666" s="19" t="str">
        <f>INDEX(Places[Majority RB],MATCH(Activities[[#This Row],[Jurisdiction]],Places[Jurisdiction],0))</f>
        <v>Los Angeles</v>
      </c>
      <c r="E1666" s="9">
        <f>INDEX(Places[Majority RB '#],MATCH(Activities[[#This Row],[Jurisdiction]],Places[Jurisdiction],0))</f>
        <v>4</v>
      </c>
      <c r="F1666" s="28" t="str">
        <f>VLOOKUP(Activities[[#This Row],[Jurisdiction]],Places[#All],8,FALSE)</f>
        <v>Phase I MS4</v>
      </c>
      <c r="G1666" s="48" t="s">
        <v>62</v>
      </c>
      <c r="H1666" s="8"/>
      <c r="I1666" s="8"/>
      <c r="J1666" s="8" t="s">
        <v>131</v>
      </c>
      <c r="K1666" s="27" t="s">
        <v>1873</v>
      </c>
      <c r="L1666" s="28">
        <f>_xlfn.NUMBERVALUE(LEFT(Activities[[#This Row],[Fiscal Year]], 4))</f>
        <v>2015</v>
      </c>
      <c r="M1666" s="28" t="s">
        <v>1862</v>
      </c>
      <c r="N1666" s="41">
        <v>4000</v>
      </c>
      <c r="O1666" s="93">
        <f>IF(Activities[[#This Row],[Reference Year]]&gt;2018,Activities[[#This Row],[Value]],Activities[[#This Row],[Value]]*(1+VLOOKUP(Activities[[#This Row],[Reference Year]],Inflation[#All],3,FALSE)))</f>
        <v>4246.9367088607596</v>
      </c>
    </row>
    <row r="1667" spans="1:15" ht="15" customHeight="1" x14ac:dyDescent="0.25">
      <c r="A1667" s="9" t="s">
        <v>164</v>
      </c>
      <c r="B1667" s="9" t="str">
        <f>INDEX(Places[Type],MATCH(Activities[[#This Row],[Jurisdiction]],Places[Jurisdiction],0))</f>
        <v>City</v>
      </c>
      <c r="C1667" s="19" t="str">
        <f>INDEX(Places[County],MATCH(Activities[[#This Row],[Jurisdiction]],Places[Jurisdiction],0))</f>
        <v>Los Angeles</v>
      </c>
      <c r="D1667" s="19" t="str">
        <f>INDEX(Places[Majority RB],MATCH(Activities[[#This Row],[Jurisdiction]],Places[Jurisdiction],0))</f>
        <v>Los Angeles</v>
      </c>
      <c r="E1667" s="9">
        <f>INDEX(Places[Majority RB '#],MATCH(Activities[[#This Row],[Jurisdiction]],Places[Jurisdiction],0))</f>
        <v>4</v>
      </c>
      <c r="F1667" s="28" t="str">
        <f>VLOOKUP(Activities[[#This Row],[Jurisdiction]],Places[#All],8,FALSE)</f>
        <v>Phase I MS4</v>
      </c>
      <c r="G1667" s="48" t="s">
        <v>208</v>
      </c>
      <c r="H1667" s="8"/>
      <c r="I1667" s="8"/>
      <c r="J1667" s="8" t="s">
        <v>334</v>
      </c>
      <c r="K1667" s="27" t="s">
        <v>1873</v>
      </c>
      <c r="L1667" s="28">
        <f>_xlfn.NUMBERVALUE(LEFT(Activities[[#This Row],[Fiscal Year]], 4))</f>
        <v>2015</v>
      </c>
      <c r="M1667" s="28" t="s">
        <v>1862</v>
      </c>
      <c r="N1667" s="41">
        <v>30000</v>
      </c>
      <c r="O1667" s="93">
        <f>IF(Activities[[#This Row],[Reference Year]]&gt;2018,Activities[[#This Row],[Value]],Activities[[#This Row],[Value]]*(1+VLOOKUP(Activities[[#This Row],[Reference Year]],Inflation[#All],3,FALSE)))</f>
        <v>31852.025316455696</v>
      </c>
    </row>
    <row r="1668" spans="1:15" ht="15" customHeight="1" x14ac:dyDescent="0.25">
      <c r="A1668" s="9" t="s">
        <v>164</v>
      </c>
      <c r="B1668" s="9" t="str">
        <f>INDEX(Places[Type],MATCH(Activities[[#This Row],[Jurisdiction]],Places[Jurisdiction],0))</f>
        <v>City</v>
      </c>
      <c r="C1668" s="19" t="str">
        <f>INDEX(Places[County],MATCH(Activities[[#This Row],[Jurisdiction]],Places[Jurisdiction],0))</f>
        <v>Los Angeles</v>
      </c>
      <c r="D1668" s="19" t="str">
        <f>INDEX(Places[Majority RB],MATCH(Activities[[#This Row],[Jurisdiction]],Places[Jurisdiction],0))</f>
        <v>Los Angeles</v>
      </c>
      <c r="E1668" s="9">
        <f>INDEX(Places[Majority RB '#],MATCH(Activities[[#This Row],[Jurisdiction]],Places[Jurisdiction],0))</f>
        <v>4</v>
      </c>
      <c r="F1668" s="28" t="str">
        <f>VLOOKUP(Activities[[#This Row],[Jurisdiction]],Places[#All],8,FALSE)</f>
        <v>Phase I MS4</v>
      </c>
      <c r="G1668" s="48" t="s">
        <v>61</v>
      </c>
      <c r="H1668" s="8"/>
      <c r="I1668" s="8"/>
      <c r="J1668" s="8" t="s">
        <v>1897</v>
      </c>
      <c r="K1668" s="27" t="s">
        <v>1873</v>
      </c>
      <c r="L1668" s="28">
        <f>_xlfn.NUMBERVALUE(LEFT(Activities[[#This Row],[Fiscal Year]], 4))</f>
        <v>2015</v>
      </c>
      <c r="M1668" s="28" t="s">
        <v>1862</v>
      </c>
      <c r="N1668" s="41">
        <v>295500</v>
      </c>
      <c r="O1668" s="93">
        <f>IF(Activities[[#This Row],[Reference Year]]&gt;2018,Activities[[#This Row],[Value]],Activities[[#This Row],[Value]]*(1+VLOOKUP(Activities[[#This Row],[Reference Year]],Inflation[#All],3,FALSE)))</f>
        <v>313742.44936708861</v>
      </c>
    </row>
    <row r="1669" spans="1:15" ht="15" customHeight="1" x14ac:dyDescent="0.25">
      <c r="A1669" s="9" t="s">
        <v>164</v>
      </c>
      <c r="B1669" s="9" t="str">
        <f>INDEX(Places[Type],MATCH(Activities[[#This Row],[Jurisdiction]],Places[Jurisdiction],0))</f>
        <v>City</v>
      </c>
      <c r="C1669" s="19" t="str">
        <f>INDEX(Places[County],MATCH(Activities[[#This Row],[Jurisdiction]],Places[Jurisdiction],0))</f>
        <v>Los Angeles</v>
      </c>
      <c r="D1669" s="19" t="str">
        <f>INDEX(Places[Majority RB],MATCH(Activities[[#This Row],[Jurisdiction]],Places[Jurisdiction],0))</f>
        <v>Los Angeles</v>
      </c>
      <c r="E1669" s="9">
        <f>INDEX(Places[Majority RB '#],MATCH(Activities[[#This Row],[Jurisdiction]],Places[Jurisdiction],0))</f>
        <v>4</v>
      </c>
      <c r="F1669" s="28" t="str">
        <f>VLOOKUP(Activities[[#This Row],[Jurisdiction]],Places[#All],8,FALSE)</f>
        <v>Phase I MS4</v>
      </c>
      <c r="G1669" s="48" t="s">
        <v>60</v>
      </c>
      <c r="H1669" s="8"/>
      <c r="I1669" s="8"/>
      <c r="J1669" s="8" t="s">
        <v>1898</v>
      </c>
      <c r="K1669" s="27" t="s">
        <v>1873</v>
      </c>
      <c r="L1669" s="28">
        <f>_xlfn.NUMBERVALUE(LEFT(Activities[[#This Row],[Fiscal Year]], 4))</f>
        <v>2015</v>
      </c>
      <c r="M1669" s="28" t="s">
        <v>1862</v>
      </c>
      <c r="N1669" s="41">
        <v>3500</v>
      </c>
      <c r="O1669" s="93">
        <f>IF(Activities[[#This Row],[Reference Year]]&gt;2018,Activities[[#This Row],[Value]],Activities[[#This Row],[Value]]*(1+VLOOKUP(Activities[[#This Row],[Reference Year]],Inflation[#All],3,FALSE)))</f>
        <v>3716.0696202531644</v>
      </c>
    </row>
    <row r="1670" spans="1:15" ht="15" customHeight="1" x14ac:dyDescent="0.25">
      <c r="A1670" s="9" t="s">
        <v>164</v>
      </c>
      <c r="B1670" s="9" t="str">
        <f>INDEX(Places[Type],MATCH(Activities[[#This Row],[Jurisdiction]],Places[Jurisdiction],0))</f>
        <v>City</v>
      </c>
      <c r="C1670" s="19" t="str">
        <f>INDEX(Places[County],MATCH(Activities[[#This Row],[Jurisdiction]],Places[Jurisdiction],0))</f>
        <v>Los Angeles</v>
      </c>
      <c r="D1670" s="19" t="str">
        <f>INDEX(Places[Majority RB],MATCH(Activities[[#This Row],[Jurisdiction]],Places[Jurisdiction],0))</f>
        <v>Los Angeles</v>
      </c>
      <c r="E1670" s="9">
        <f>INDEX(Places[Majority RB '#],MATCH(Activities[[#This Row],[Jurisdiction]],Places[Jurisdiction],0))</f>
        <v>4</v>
      </c>
      <c r="F1670" s="28" t="str">
        <f>VLOOKUP(Activities[[#This Row],[Jurisdiction]],Places[#All],8,FALSE)</f>
        <v>Phase I MS4</v>
      </c>
      <c r="G1670" s="48" t="s">
        <v>59</v>
      </c>
      <c r="H1670" s="8"/>
      <c r="I1670" s="8"/>
      <c r="J1670" s="8" t="s">
        <v>1898</v>
      </c>
      <c r="K1670" s="27" t="s">
        <v>1873</v>
      </c>
      <c r="L1670" s="28">
        <f>_xlfn.NUMBERVALUE(LEFT(Activities[[#This Row],[Fiscal Year]], 4))</f>
        <v>2015</v>
      </c>
      <c r="M1670" s="28" t="s">
        <v>1862</v>
      </c>
      <c r="N1670" s="41">
        <v>10000</v>
      </c>
      <c r="O1670" s="93">
        <f>IF(Activities[[#This Row],[Reference Year]]&gt;2018,Activities[[#This Row],[Value]],Activities[[#This Row],[Value]]*(1+VLOOKUP(Activities[[#This Row],[Reference Year]],Inflation[#All],3,FALSE)))</f>
        <v>10617.341772151898</v>
      </c>
    </row>
    <row r="1671" spans="1:15" ht="15" customHeight="1" x14ac:dyDescent="0.25">
      <c r="A1671" s="9" t="s">
        <v>164</v>
      </c>
      <c r="B1671" s="9" t="str">
        <f>INDEX(Places[Type],MATCH(Activities[[#This Row],[Jurisdiction]],Places[Jurisdiction],0))</f>
        <v>City</v>
      </c>
      <c r="C1671" s="19" t="str">
        <f>INDEX(Places[County],MATCH(Activities[[#This Row],[Jurisdiction]],Places[Jurisdiction],0))</f>
        <v>Los Angeles</v>
      </c>
      <c r="D1671" s="19" t="str">
        <f>INDEX(Places[Majority RB],MATCH(Activities[[#This Row],[Jurisdiction]],Places[Jurisdiction],0))</f>
        <v>Los Angeles</v>
      </c>
      <c r="E1671" s="9">
        <f>INDEX(Places[Majority RB '#],MATCH(Activities[[#This Row],[Jurisdiction]],Places[Jurisdiction],0))</f>
        <v>4</v>
      </c>
      <c r="F1671" s="28" t="str">
        <f>VLOOKUP(Activities[[#This Row],[Jurisdiction]],Places[#All],8,FALSE)</f>
        <v>Phase I MS4</v>
      </c>
      <c r="G1671" s="48" t="s">
        <v>58</v>
      </c>
      <c r="H1671" s="8"/>
      <c r="I1671" s="8"/>
      <c r="J1671" s="8" t="s">
        <v>1456</v>
      </c>
      <c r="K1671" s="27" t="s">
        <v>1873</v>
      </c>
      <c r="L1671" s="28">
        <f>_xlfn.NUMBERVALUE(LEFT(Activities[[#This Row],[Fiscal Year]], 4))</f>
        <v>2015</v>
      </c>
      <c r="M1671" s="28" t="s">
        <v>1862</v>
      </c>
      <c r="N1671" s="41">
        <v>6500</v>
      </c>
      <c r="O1671" s="93">
        <f>IF(Activities[[#This Row],[Reference Year]]&gt;2018,Activities[[#This Row],[Value]],Activities[[#This Row],[Value]]*(1+VLOOKUP(Activities[[#This Row],[Reference Year]],Inflation[#All],3,FALSE)))</f>
        <v>6901.2721518987337</v>
      </c>
    </row>
    <row r="1672" spans="1:15" ht="15" customHeight="1" x14ac:dyDescent="0.25">
      <c r="A1672" s="9" t="s">
        <v>164</v>
      </c>
      <c r="B1672" s="9" t="str">
        <f>INDEX(Places[Type],MATCH(Activities[[#This Row],[Jurisdiction]],Places[Jurisdiction],0))</f>
        <v>City</v>
      </c>
      <c r="C1672" s="19" t="str">
        <f>INDEX(Places[County],MATCH(Activities[[#This Row],[Jurisdiction]],Places[Jurisdiction],0))</f>
        <v>Los Angeles</v>
      </c>
      <c r="D1672" s="19" t="str">
        <f>INDEX(Places[Majority RB],MATCH(Activities[[#This Row],[Jurisdiction]],Places[Jurisdiction],0))</f>
        <v>Los Angeles</v>
      </c>
      <c r="E1672" s="9">
        <f>INDEX(Places[Majority RB '#],MATCH(Activities[[#This Row],[Jurisdiction]],Places[Jurisdiction],0))</f>
        <v>4</v>
      </c>
      <c r="F1672" s="28" t="str">
        <f>VLOOKUP(Activities[[#This Row],[Jurisdiction]],Places[#All],8,FALSE)</f>
        <v>Phase I MS4</v>
      </c>
      <c r="G1672" s="48" t="s">
        <v>32</v>
      </c>
      <c r="H1672" s="8"/>
      <c r="I1672" s="8"/>
      <c r="J1672" s="8" t="s">
        <v>1894</v>
      </c>
      <c r="K1672" s="27" t="s">
        <v>1873</v>
      </c>
      <c r="L1672" s="28">
        <f>_xlfn.NUMBERVALUE(LEFT(Activities[[#This Row],[Fiscal Year]], 4))</f>
        <v>2015</v>
      </c>
      <c r="M1672" s="28" t="s">
        <v>1862</v>
      </c>
      <c r="N1672" s="41">
        <v>55000</v>
      </c>
      <c r="O1672" s="93">
        <f>IF(Activities[[#This Row],[Reference Year]]&gt;2018,Activities[[#This Row],[Value]],Activities[[#This Row],[Value]]*(1+VLOOKUP(Activities[[#This Row],[Reference Year]],Inflation[#All],3,FALSE)))</f>
        <v>58395.379746835439</v>
      </c>
    </row>
    <row r="1673" spans="1:15" ht="15" customHeight="1" x14ac:dyDescent="0.25">
      <c r="A1673" s="9" t="s">
        <v>164</v>
      </c>
      <c r="B1673" s="9" t="str">
        <f>INDEX(Places[Type],MATCH(Activities[[#This Row],[Jurisdiction]],Places[Jurisdiction],0))</f>
        <v>City</v>
      </c>
      <c r="C1673" s="19" t="str">
        <f>INDEX(Places[County],MATCH(Activities[[#This Row],[Jurisdiction]],Places[Jurisdiction],0))</f>
        <v>Los Angeles</v>
      </c>
      <c r="D1673" s="19" t="str">
        <f>INDEX(Places[Majority RB],MATCH(Activities[[#This Row],[Jurisdiction]],Places[Jurisdiction],0))</f>
        <v>Los Angeles</v>
      </c>
      <c r="E1673" s="9">
        <f>INDEX(Places[Majority RB '#],MATCH(Activities[[#This Row],[Jurisdiction]],Places[Jurisdiction],0))</f>
        <v>4</v>
      </c>
      <c r="F1673" s="28" t="str">
        <f>VLOOKUP(Activities[[#This Row],[Jurisdiction]],Places[#All],8,FALSE)</f>
        <v>Phase I MS4</v>
      </c>
      <c r="G1673" s="48" t="s">
        <v>67</v>
      </c>
      <c r="H1673" s="8"/>
      <c r="I1673" s="8"/>
      <c r="J1673" s="8" t="s">
        <v>1896</v>
      </c>
      <c r="K1673" s="27" t="s">
        <v>1873</v>
      </c>
      <c r="L1673" s="28">
        <f>_xlfn.NUMBERVALUE(LEFT(Activities[[#This Row],[Fiscal Year]], 4))</f>
        <v>2015</v>
      </c>
      <c r="M1673" s="28" t="s">
        <v>1862</v>
      </c>
      <c r="N1673" s="41">
        <v>110000</v>
      </c>
      <c r="O1673" s="93">
        <f>IF(Activities[[#This Row],[Reference Year]]&gt;2018,Activities[[#This Row],[Value]],Activities[[#This Row],[Value]]*(1+VLOOKUP(Activities[[#This Row],[Reference Year]],Inflation[#All],3,FALSE)))</f>
        <v>116790.75949367088</v>
      </c>
    </row>
    <row r="1674" spans="1:15" ht="15" customHeight="1" x14ac:dyDescent="0.25">
      <c r="A1674" s="9" t="s">
        <v>164</v>
      </c>
      <c r="B1674" s="9" t="str">
        <f>INDEX(Places[Type],MATCH(Activities[[#This Row],[Jurisdiction]],Places[Jurisdiction],0))</f>
        <v>City</v>
      </c>
      <c r="C1674" s="19" t="str">
        <f>INDEX(Places[County],MATCH(Activities[[#This Row],[Jurisdiction]],Places[Jurisdiction],0))</f>
        <v>Los Angeles</v>
      </c>
      <c r="D1674" s="19" t="str">
        <f>INDEX(Places[Majority RB],MATCH(Activities[[#This Row],[Jurisdiction]],Places[Jurisdiction],0))</f>
        <v>Los Angeles</v>
      </c>
      <c r="E1674" s="9">
        <f>INDEX(Places[Majority RB '#],MATCH(Activities[[#This Row],[Jurisdiction]],Places[Jurisdiction],0))</f>
        <v>4</v>
      </c>
      <c r="F1674" s="28" t="str">
        <f>VLOOKUP(Activities[[#This Row],[Jurisdiction]],Places[#All],8,FALSE)</f>
        <v>Phase I MS4</v>
      </c>
      <c r="G1674" s="48" t="s">
        <v>33</v>
      </c>
      <c r="H1674" s="8"/>
      <c r="I1674" s="8"/>
      <c r="J1674" s="8" t="s">
        <v>47</v>
      </c>
      <c r="K1674" s="27" t="s">
        <v>1873</v>
      </c>
      <c r="L1674" s="28">
        <f>_xlfn.NUMBERVALUE(LEFT(Activities[[#This Row],[Fiscal Year]], 4))</f>
        <v>2015</v>
      </c>
      <c r="M1674" s="28" t="s">
        <v>1862</v>
      </c>
      <c r="N1674" s="41">
        <v>35000</v>
      </c>
      <c r="O1674" s="93">
        <f>IF(Activities[[#This Row],[Reference Year]]&gt;2018,Activities[[#This Row],[Value]],Activities[[#This Row],[Value]]*(1+VLOOKUP(Activities[[#This Row],[Reference Year]],Inflation[#All],3,FALSE)))</f>
        <v>37160.696202531646</v>
      </c>
    </row>
    <row r="1675" spans="1:15" ht="15" customHeight="1" x14ac:dyDescent="0.25">
      <c r="A1675" s="9" t="s">
        <v>260</v>
      </c>
      <c r="B1675" s="9" t="str">
        <f>INDEX(Places[Type],MATCH(Activities[[#This Row],[Jurisdiction]],Places[Jurisdiction],0))</f>
        <v>City</v>
      </c>
      <c r="C1675" s="19" t="str">
        <f>INDEX(Places[County],MATCH(Activities[[#This Row],[Jurisdiction]],Places[Jurisdiction],0))</f>
        <v>Ventura</v>
      </c>
      <c r="D1675" s="19" t="str">
        <f>INDEX(Places[Majority RB],MATCH(Activities[[#This Row],[Jurisdiction]],Places[Jurisdiction],0))</f>
        <v>Los Angeles</v>
      </c>
      <c r="E1675" s="9">
        <f>INDEX(Places[Majority RB '#],MATCH(Activities[[#This Row],[Jurisdiction]],Places[Jurisdiction],0))</f>
        <v>4</v>
      </c>
      <c r="F1675" s="28" t="str">
        <f>VLOOKUP(Activities[[#This Row],[Jurisdiction]],Places[#All],8,FALSE)</f>
        <v>Phase I MS4</v>
      </c>
      <c r="G1675" s="48" t="s">
        <v>76</v>
      </c>
      <c r="H1675" s="8"/>
      <c r="I1675" s="8"/>
      <c r="J1675" s="8" t="s">
        <v>76</v>
      </c>
      <c r="K1675" s="27" t="s">
        <v>1876</v>
      </c>
      <c r="L1675" s="28">
        <f>_xlfn.NUMBERVALUE(LEFT(Activities[[#This Row],[Fiscal Year]], 4))</f>
        <v>2018</v>
      </c>
      <c r="M1675" s="28" t="s">
        <v>1863</v>
      </c>
      <c r="N1675" s="41">
        <v>129469</v>
      </c>
      <c r="O1675" s="93">
        <f>IF(Activities[[#This Row],[Reference Year]]&gt;2018,Activities[[#This Row],[Value]],Activities[[#This Row],[Value]]*(1+VLOOKUP(Activities[[#This Row],[Reference Year]],Inflation[#All],3,FALSE)))</f>
        <v>129469</v>
      </c>
    </row>
    <row r="1676" spans="1:15" ht="15" customHeight="1" x14ac:dyDescent="0.25">
      <c r="A1676" s="9" t="s">
        <v>260</v>
      </c>
      <c r="B1676" s="9" t="str">
        <f>INDEX(Places[Type],MATCH(Activities[[#This Row],[Jurisdiction]],Places[Jurisdiction],0))</f>
        <v>City</v>
      </c>
      <c r="C1676" s="19" t="str">
        <f>INDEX(Places[County],MATCH(Activities[[#This Row],[Jurisdiction]],Places[Jurisdiction],0))</f>
        <v>Ventura</v>
      </c>
      <c r="D1676" s="19" t="str">
        <f>INDEX(Places[Majority RB],MATCH(Activities[[#This Row],[Jurisdiction]],Places[Jurisdiction],0))</f>
        <v>Los Angeles</v>
      </c>
      <c r="E1676" s="9">
        <f>INDEX(Places[Majority RB '#],MATCH(Activities[[#This Row],[Jurisdiction]],Places[Jurisdiction],0))</f>
        <v>4</v>
      </c>
      <c r="F1676" s="28" t="str">
        <f>VLOOKUP(Activities[[#This Row],[Jurisdiction]],Places[#All],8,FALSE)</f>
        <v>Phase I MS4</v>
      </c>
      <c r="G1676" s="48" t="s">
        <v>70</v>
      </c>
      <c r="H1676" s="8"/>
      <c r="I1676" s="8"/>
      <c r="J1676" s="8" t="s">
        <v>1895</v>
      </c>
      <c r="K1676" s="27" t="s">
        <v>1876</v>
      </c>
      <c r="L1676" s="28">
        <f>_xlfn.NUMBERVALUE(LEFT(Activities[[#This Row],[Fiscal Year]], 4))</f>
        <v>2018</v>
      </c>
      <c r="M1676" s="28" t="s">
        <v>1863</v>
      </c>
      <c r="N1676" s="41">
        <v>199942</v>
      </c>
      <c r="O1676" s="93">
        <f>IF(Activities[[#This Row],[Reference Year]]&gt;2018,Activities[[#This Row],[Value]],Activities[[#This Row],[Value]]*(1+VLOOKUP(Activities[[#This Row],[Reference Year]],Inflation[#All],3,FALSE)))</f>
        <v>199942</v>
      </c>
    </row>
    <row r="1677" spans="1:15" ht="15" customHeight="1" x14ac:dyDescent="0.25">
      <c r="A1677" s="9" t="s">
        <v>260</v>
      </c>
      <c r="B1677" s="9" t="str">
        <f>INDEX(Places[Type],MATCH(Activities[[#This Row],[Jurisdiction]],Places[Jurisdiction],0))</f>
        <v>City</v>
      </c>
      <c r="C1677" s="19" t="str">
        <f>INDEX(Places[County],MATCH(Activities[[#This Row],[Jurisdiction]],Places[Jurisdiction],0))</f>
        <v>Ventura</v>
      </c>
      <c r="D1677" s="19" t="str">
        <f>INDEX(Places[Majority RB],MATCH(Activities[[#This Row],[Jurisdiction]],Places[Jurisdiction],0))</f>
        <v>Los Angeles</v>
      </c>
      <c r="E1677" s="9">
        <f>INDEX(Places[Majority RB '#],MATCH(Activities[[#This Row],[Jurisdiction]],Places[Jurisdiction],0))</f>
        <v>4</v>
      </c>
      <c r="F1677" s="28" t="str">
        <f>VLOOKUP(Activities[[#This Row],[Jurisdiction]],Places[#All],8,FALSE)</f>
        <v>Phase I MS4</v>
      </c>
      <c r="G1677" s="48" t="s">
        <v>77</v>
      </c>
      <c r="H1677" s="8"/>
      <c r="I1677" s="8"/>
      <c r="J1677" s="8" t="s">
        <v>131</v>
      </c>
      <c r="K1677" s="27" t="s">
        <v>1876</v>
      </c>
      <c r="L1677" s="28">
        <f>_xlfn.NUMBERVALUE(LEFT(Activities[[#This Row],[Fiscal Year]], 4))</f>
        <v>2018</v>
      </c>
      <c r="M1677" s="28" t="s">
        <v>1863</v>
      </c>
      <c r="N1677" s="41">
        <v>186342</v>
      </c>
      <c r="O1677" s="93">
        <f>IF(Activities[[#This Row],[Reference Year]]&gt;2018,Activities[[#This Row],[Value]],Activities[[#This Row],[Value]]*(1+VLOOKUP(Activities[[#This Row],[Reference Year]],Inflation[#All],3,FALSE)))</f>
        <v>186342</v>
      </c>
    </row>
    <row r="1678" spans="1:15" ht="15" customHeight="1" x14ac:dyDescent="0.25">
      <c r="A1678" s="9" t="s">
        <v>260</v>
      </c>
      <c r="B1678" s="9" t="str">
        <f>INDEX(Places[Type],MATCH(Activities[[#This Row],[Jurisdiction]],Places[Jurisdiction],0))</f>
        <v>City</v>
      </c>
      <c r="C1678" s="19" t="str">
        <f>INDEX(Places[County],MATCH(Activities[[#This Row],[Jurisdiction]],Places[Jurisdiction],0))</f>
        <v>Ventura</v>
      </c>
      <c r="D1678" s="19" t="str">
        <f>INDEX(Places[Majority RB],MATCH(Activities[[#This Row],[Jurisdiction]],Places[Jurisdiction],0))</f>
        <v>Los Angeles</v>
      </c>
      <c r="E1678" s="9">
        <f>INDEX(Places[Majority RB '#],MATCH(Activities[[#This Row],[Jurisdiction]],Places[Jurisdiction],0))</f>
        <v>4</v>
      </c>
      <c r="F1678" s="28" t="str">
        <f>VLOOKUP(Activities[[#This Row],[Jurisdiction]],Places[#All],8,FALSE)</f>
        <v>Phase I MS4</v>
      </c>
      <c r="G1678" s="48" t="s">
        <v>69</v>
      </c>
      <c r="H1678" s="8"/>
      <c r="I1678" s="8"/>
      <c r="J1678" s="8" t="s">
        <v>334</v>
      </c>
      <c r="K1678" s="27" t="s">
        <v>1876</v>
      </c>
      <c r="L1678" s="28">
        <f>_xlfn.NUMBERVALUE(LEFT(Activities[[#This Row],[Fiscal Year]], 4))</f>
        <v>2018</v>
      </c>
      <c r="M1678" s="28" t="s">
        <v>1863</v>
      </c>
      <c r="N1678" s="41">
        <v>112538</v>
      </c>
      <c r="O1678" s="93">
        <f>IF(Activities[[#This Row],[Reference Year]]&gt;2018,Activities[[#This Row],[Value]],Activities[[#This Row],[Value]]*(1+VLOOKUP(Activities[[#This Row],[Reference Year]],Inflation[#All],3,FALSE)))</f>
        <v>112538</v>
      </c>
    </row>
    <row r="1679" spans="1:15" ht="15" customHeight="1" x14ac:dyDescent="0.25">
      <c r="A1679" s="9" t="s">
        <v>260</v>
      </c>
      <c r="B1679" s="9" t="str">
        <f>INDEX(Places[Type],MATCH(Activities[[#This Row],[Jurisdiction]],Places[Jurisdiction],0))</f>
        <v>City</v>
      </c>
      <c r="C1679" s="19" t="str">
        <f>INDEX(Places[County],MATCH(Activities[[#This Row],[Jurisdiction]],Places[Jurisdiction],0))</f>
        <v>Ventura</v>
      </c>
      <c r="D1679" s="19" t="str">
        <f>INDEX(Places[Majority RB],MATCH(Activities[[#This Row],[Jurisdiction]],Places[Jurisdiction],0))</f>
        <v>Los Angeles</v>
      </c>
      <c r="E1679" s="9">
        <f>INDEX(Places[Majority RB '#],MATCH(Activities[[#This Row],[Jurisdiction]],Places[Jurisdiction],0))</f>
        <v>4</v>
      </c>
      <c r="F1679" s="28" t="str">
        <f>VLOOKUP(Activities[[#This Row],[Jurisdiction]],Places[#All],8,FALSE)</f>
        <v>Phase I MS4</v>
      </c>
      <c r="G1679" s="48" t="s">
        <v>71</v>
      </c>
      <c r="H1679" s="8" t="s">
        <v>484</v>
      </c>
      <c r="I1679" s="8" t="s">
        <v>458</v>
      </c>
      <c r="J1679" s="8" t="s">
        <v>71</v>
      </c>
      <c r="K1679" s="27" t="s">
        <v>1876</v>
      </c>
      <c r="L1679" s="28">
        <f>_xlfn.NUMBERVALUE(LEFT(Activities[[#This Row],[Fiscal Year]], 4))</f>
        <v>2018</v>
      </c>
      <c r="M1679" s="28" t="s">
        <v>1863</v>
      </c>
      <c r="N1679" s="41">
        <v>234775</v>
      </c>
      <c r="O1679" s="93">
        <f>IF(Activities[[#This Row],[Reference Year]]&gt;2018,Activities[[#This Row],[Value]],Activities[[#This Row],[Value]]*(1+VLOOKUP(Activities[[#This Row],[Reference Year]],Inflation[#All],3,FALSE)))</f>
        <v>234775</v>
      </c>
    </row>
    <row r="1680" spans="1:15" ht="15" customHeight="1" x14ac:dyDescent="0.25">
      <c r="A1680" s="9" t="s">
        <v>260</v>
      </c>
      <c r="B1680" s="9" t="str">
        <f>INDEX(Places[Type],MATCH(Activities[[#This Row],[Jurisdiction]],Places[Jurisdiction],0))</f>
        <v>City</v>
      </c>
      <c r="C1680" s="19" t="str">
        <f>INDEX(Places[County],MATCH(Activities[[#This Row],[Jurisdiction]],Places[Jurisdiction],0))</f>
        <v>Ventura</v>
      </c>
      <c r="D1680" s="19" t="str">
        <f>INDEX(Places[Majority RB],MATCH(Activities[[#This Row],[Jurisdiction]],Places[Jurisdiction],0))</f>
        <v>Los Angeles</v>
      </c>
      <c r="E1680" s="9">
        <f>INDEX(Places[Majority RB '#],MATCH(Activities[[#This Row],[Jurisdiction]],Places[Jurisdiction],0))</f>
        <v>4</v>
      </c>
      <c r="F1680" s="28" t="str">
        <f>VLOOKUP(Activities[[#This Row],[Jurisdiction]],Places[#All],8,FALSE)</f>
        <v>Phase I MS4</v>
      </c>
      <c r="G1680" s="48" t="s">
        <v>74</v>
      </c>
      <c r="H1680" s="8" t="s">
        <v>611</v>
      </c>
      <c r="I1680" s="8" t="s">
        <v>458</v>
      </c>
      <c r="J1680" s="8" t="s">
        <v>1897</v>
      </c>
      <c r="K1680" s="27" t="s">
        <v>1876</v>
      </c>
      <c r="L1680" s="28">
        <f>_xlfn.NUMBERVALUE(LEFT(Activities[[#This Row],[Fiscal Year]], 4))</f>
        <v>2018</v>
      </c>
      <c r="M1680" s="28" t="s">
        <v>1863</v>
      </c>
      <c r="N1680" s="41">
        <v>17591</v>
      </c>
      <c r="O1680" s="93">
        <f>IF(Activities[[#This Row],[Reference Year]]&gt;2018,Activities[[#This Row],[Value]],Activities[[#This Row],[Value]]*(1+VLOOKUP(Activities[[#This Row],[Reference Year]],Inflation[#All],3,FALSE)))</f>
        <v>17591</v>
      </c>
    </row>
    <row r="1681" spans="1:15" ht="15" customHeight="1" x14ac:dyDescent="0.25">
      <c r="A1681" s="9" t="s">
        <v>260</v>
      </c>
      <c r="B1681" s="9" t="str">
        <f>INDEX(Places[Type],MATCH(Activities[[#This Row],[Jurisdiction]],Places[Jurisdiction],0))</f>
        <v>City</v>
      </c>
      <c r="C1681" s="19" t="str">
        <f>INDEX(Places[County],MATCH(Activities[[#This Row],[Jurisdiction]],Places[Jurisdiction],0))</f>
        <v>Ventura</v>
      </c>
      <c r="D1681" s="19" t="str">
        <f>INDEX(Places[Majority RB],MATCH(Activities[[#This Row],[Jurisdiction]],Places[Jurisdiction],0))</f>
        <v>Los Angeles</v>
      </c>
      <c r="E1681" s="9">
        <f>INDEX(Places[Majority RB '#],MATCH(Activities[[#This Row],[Jurisdiction]],Places[Jurisdiction],0))</f>
        <v>4</v>
      </c>
      <c r="F1681" s="28" t="str">
        <f>VLOOKUP(Activities[[#This Row],[Jurisdiction]],Places[#All],8,FALSE)</f>
        <v>Phase I MS4</v>
      </c>
      <c r="G1681" s="48" t="s">
        <v>75</v>
      </c>
      <c r="H1681" s="8" t="s">
        <v>485</v>
      </c>
      <c r="I1681" s="8" t="s">
        <v>458</v>
      </c>
      <c r="J1681" s="8" t="s">
        <v>1897</v>
      </c>
      <c r="K1681" s="27" t="s">
        <v>1876</v>
      </c>
      <c r="L1681" s="28">
        <f>_xlfn.NUMBERVALUE(LEFT(Activities[[#This Row],[Fiscal Year]], 4))</f>
        <v>2018</v>
      </c>
      <c r="M1681" s="28" t="s">
        <v>1863</v>
      </c>
      <c r="N1681" s="41">
        <v>85813</v>
      </c>
      <c r="O1681" s="93">
        <f>IF(Activities[[#This Row],[Reference Year]]&gt;2018,Activities[[#This Row],[Value]],Activities[[#This Row],[Value]]*(1+VLOOKUP(Activities[[#This Row],[Reference Year]],Inflation[#All],3,FALSE)))</f>
        <v>85813</v>
      </c>
    </row>
    <row r="1682" spans="1:15" ht="15" customHeight="1" x14ac:dyDescent="0.25">
      <c r="A1682" s="9" t="s">
        <v>260</v>
      </c>
      <c r="B1682" s="9" t="str">
        <f>INDEX(Places[Type],MATCH(Activities[[#This Row],[Jurisdiction]],Places[Jurisdiction],0))</f>
        <v>City</v>
      </c>
      <c r="C1682" s="19" t="str">
        <f>INDEX(Places[County],MATCH(Activities[[#This Row],[Jurisdiction]],Places[Jurisdiction],0))</f>
        <v>Ventura</v>
      </c>
      <c r="D1682" s="19" t="str">
        <f>INDEX(Places[Majority RB],MATCH(Activities[[#This Row],[Jurisdiction]],Places[Jurisdiction],0))</f>
        <v>Los Angeles</v>
      </c>
      <c r="E1682" s="9">
        <f>INDEX(Places[Majority RB '#],MATCH(Activities[[#This Row],[Jurisdiction]],Places[Jurisdiction],0))</f>
        <v>4</v>
      </c>
      <c r="F1682" s="28" t="str">
        <f>VLOOKUP(Activities[[#This Row],[Jurisdiction]],Places[#All],8,FALSE)</f>
        <v>Phase I MS4</v>
      </c>
      <c r="G1682" s="48" t="s">
        <v>73</v>
      </c>
      <c r="H1682" s="8"/>
      <c r="I1682" s="8"/>
      <c r="J1682" s="8" t="s">
        <v>1897</v>
      </c>
      <c r="K1682" s="27" t="s">
        <v>1876</v>
      </c>
      <c r="L1682" s="28">
        <f>_xlfn.NUMBERVALUE(LEFT(Activities[[#This Row],[Fiscal Year]], 4))</f>
        <v>2018</v>
      </c>
      <c r="M1682" s="28" t="s">
        <v>1863</v>
      </c>
      <c r="N1682" s="41">
        <v>107593</v>
      </c>
      <c r="O1682" s="93">
        <f>IF(Activities[[#This Row],[Reference Year]]&gt;2018,Activities[[#This Row],[Value]],Activities[[#This Row],[Value]]*(1+VLOOKUP(Activities[[#This Row],[Reference Year]],Inflation[#All],3,FALSE)))</f>
        <v>107593</v>
      </c>
    </row>
    <row r="1683" spans="1:15" ht="15" customHeight="1" x14ac:dyDescent="0.25">
      <c r="A1683" s="9" t="s">
        <v>260</v>
      </c>
      <c r="B1683" s="9" t="str">
        <f>INDEX(Places[Type],MATCH(Activities[[#This Row],[Jurisdiction]],Places[Jurisdiction],0))</f>
        <v>City</v>
      </c>
      <c r="C1683" s="19" t="str">
        <f>INDEX(Places[County],MATCH(Activities[[#This Row],[Jurisdiction]],Places[Jurisdiction],0))</f>
        <v>Ventura</v>
      </c>
      <c r="D1683" s="19" t="str">
        <f>INDEX(Places[Majority RB],MATCH(Activities[[#This Row],[Jurisdiction]],Places[Jurisdiction],0))</f>
        <v>Los Angeles</v>
      </c>
      <c r="E1683" s="9">
        <f>INDEX(Places[Majority RB '#],MATCH(Activities[[#This Row],[Jurisdiction]],Places[Jurisdiction],0))</f>
        <v>4</v>
      </c>
      <c r="F1683" s="28" t="str">
        <f>VLOOKUP(Activities[[#This Row],[Jurisdiction]],Places[#All],8,FALSE)</f>
        <v>Phase I MS4</v>
      </c>
      <c r="G1683" s="48" t="s">
        <v>59</v>
      </c>
      <c r="H1683" s="8"/>
      <c r="I1683" s="8"/>
      <c r="J1683" s="8" t="s">
        <v>1898</v>
      </c>
      <c r="K1683" s="27" t="s">
        <v>1876</v>
      </c>
      <c r="L1683" s="28">
        <f>_xlfn.NUMBERVALUE(LEFT(Activities[[#This Row],[Fiscal Year]], 4))</f>
        <v>2018</v>
      </c>
      <c r="M1683" s="28" t="s">
        <v>1863</v>
      </c>
      <c r="N1683" s="41">
        <v>25895</v>
      </c>
      <c r="O1683" s="93">
        <f>IF(Activities[[#This Row],[Reference Year]]&gt;2018,Activities[[#This Row],[Value]],Activities[[#This Row],[Value]]*(1+VLOOKUP(Activities[[#This Row],[Reference Year]],Inflation[#All],3,FALSE)))</f>
        <v>25895</v>
      </c>
    </row>
    <row r="1684" spans="1:15" ht="15" customHeight="1" x14ac:dyDescent="0.25">
      <c r="A1684" s="9" t="s">
        <v>260</v>
      </c>
      <c r="B1684" s="9" t="str">
        <f>INDEX(Places[Type],MATCH(Activities[[#This Row],[Jurisdiction]],Places[Jurisdiction],0))</f>
        <v>City</v>
      </c>
      <c r="C1684" s="19" t="str">
        <f>INDEX(Places[County],MATCH(Activities[[#This Row],[Jurisdiction]],Places[Jurisdiction],0))</f>
        <v>Ventura</v>
      </c>
      <c r="D1684" s="19" t="str">
        <f>INDEX(Places[Majority RB],MATCH(Activities[[#This Row],[Jurisdiction]],Places[Jurisdiction],0))</f>
        <v>Los Angeles</v>
      </c>
      <c r="E1684" s="9">
        <f>INDEX(Places[Majority RB '#],MATCH(Activities[[#This Row],[Jurisdiction]],Places[Jurisdiction],0))</f>
        <v>4</v>
      </c>
      <c r="F1684" s="28" t="str">
        <f>VLOOKUP(Activities[[#This Row],[Jurisdiction]],Places[#All],8,FALSE)</f>
        <v>Phase I MS4</v>
      </c>
      <c r="G1684" s="48" t="s">
        <v>68</v>
      </c>
      <c r="H1684" s="8"/>
      <c r="I1684" s="94" t="s">
        <v>609</v>
      </c>
      <c r="J1684" s="8" t="s">
        <v>1456</v>
      </c>
      <c r="K1684" s="27" t="s">
        <v>1876</v>
      </c>
      <c r="L1684" s="28">
        <f>_xlfn.NUMBERVALUE(LEFT(Activities[[#This Row],[Fiscal Year]], 4))</f>
        <v>2018</v>
      </c>
      <c r="M1684" s="28" t="s">
        <v>1863</v>
      </c>
      <c r="N1684" s="41">
        <v>47737</v>
      </c>
      <c r="O1684" s="93">
        <f>IF(Activities[[#This Row],[Reference Year]]&gt;2018,Activities[[#This Row],[Value]],Activities[[#This Row],[Value]]*(1+VLOOKUP(Activities[[#This Row],[Reference Year]],Inflation[#All],3,FALSE)))</f>
        <v>47737</v>
      </c>
    </row>
    <row r="1685" spans="1:15" ht="15" customHeight="1" x14ac:dyDescent="0.25">
      <c r="A1685" s="9" t="s">
        <v>260</v>
      </c>
      <c r="B1685" s="9" t="str">
        <f>INDEX(Places[Type],MATCH(Activities[[#This Row],[Jurisdiction]],Places[Jurisdiction],0))</f>
        <v>City</v>
      </c>
      <c r="C1685" s="19" t="str">
        <f>INDEX(Places[County],MATCH(Activities[[#This Row],[Jurisdiction]],Places[Jurisdiction],0))</f>
        <v>Ventura</v>
      </c>
      <c r="D1685" s="19" t="str">
        <f>INDEX(Places[Majority RB],MATCH(Activities[[#This Row],[Jurisdiction]],Places[Jurisdiction],0))</f>
        <v>Los Angeles</v>
      </c>
      <c r="E1685" s="9">
        <f>INDEX(Places[Majority RB '#],MATCH(Activities[[#This Row],[Jurisdiction]],Places[Jurisdiction],0))</f>
        <v>4</v>
      </c>
      <c r="F1685" s="28" t="str">
        <f>VLOOKUP(Activities[[#This Row],[Jurisdiction]],Places[#All],8,FALSE)</f>
        <v>Phase I MS4</v>
      </c>
      <c r="G1685" s="48" t="s">
        <v>32</v>
      </c>
      <c r="H1685" s="8" t="s">
        <v>608</v>
      </c>
      <c r="I1685" s="8"/>
      <c r="J1685" s="8" t="s">
        <v>1894</v>
      </c>
      <c r="K1685" s="27" t="s">
        <v>1876</v>
      </c>
      <c r="L1685" s="28">
        <f>_xlfn.NUMBERVALUE(LEFT(Activities[[#This Row],[Fiscal Year]], 4))</f>
        <v>2018</v>
      </c>
      <c r="M1685" s="28" t="s">
        <v>1863</v>
      </c>
      <c r="N1685" s="41">
        <v>162257</v>
      </c>
      <c r="O1685" s="93">
        <f>IF(Activities[[#This Row],[Reference Year]]&gt;2018,Activities[[#This Row],[Value]],Activities[[#This Row],[Value]]*(1+VLOOKUP(Activities[[#This Row],[Reference Year]],Inflation[#All],3,FALSE)))</f>
        <v>162257</v>
      </c>
    </row>
    <row r="1686" spans="1:15" ht="15" customHeight="1" x14ac:dyDescent="0.25">
      <c r="A1686" s="9" t="s">
        <v>260</v>
      </c>
      <c r="B1686" s="9" t="str">
        <f>INDEX(Places[Type],MATCH(Activities[[#This Row],[Jurisdiction]],Places[Jurisdiction],0))</f>
        <v>City</v>
      </c>
      <c r="C1686" s="19" t="str">
        <f>INDEX(Places[County],MATCH(Activities[[#This Row],[Jurisdiction]],Places[Jurisdiction],0))</f>
        <v>Ventura</v>
      </c>
      <c r="D1686" s="19" t="str">
        <f>INDEX(Places[Majority RB],MATCH(Activities[[#This Row],[Jurisdiction]],Places[Jurisdiction],0))</f>
        <v>Los Angeles</v>
      </c>
      <c r="E1686" s="9">
        <f>INDEX(Places[Majority RB '#],MATCH(Activities[[#This Row],[Jurisdiction]],Places[Jurisdiction],0))</f>
        <v>4</v>
      </c>
      <c r="F1686" s="28" t="str">
        <f>VLOOKUP(Activities[[#This Row],[Jurisdiction]],Places[#All],8,FALSE)</f>
        <v>Phase I MS4</v>
      </c>
      <c r="G1686" s="48" t="s">
        <v>67</v>
      </c>
      <c r="H1686" s="8"/>
      <c r="I1686" s="8"/>
      <c r="J1686" s="8" t="s">
        <v>1896</v>
      </c>
      <c r="K1686" s="27" t="s">
        <v>1876</v>
      </c>
      <c r="L1686" s="28">
        <f>_xlfn.NUMBERVALUE(LEFT(Activities[[#This Row],[Fiscal Year]], 4))</f>
        <v>2018</v>
      </c>
      <c r="M1686" s="28" t="s">
        <v>1863</v>
      </c>
      <c r="N1686" s="41">
        <v>74803</v>
      </c>
      <c r="O1686" s="93">
        <f>IF(Activities[[#This Row],[Reference Year]]&gt;2018,Activities[[#This Row],[Value]],Activities[[#This Row],[Value]]*(1+VLOOKUP(Activities[[#This Row],[Reference Year]],Inflation[#All],3,FALSE)))</f>
        <v>74803</v>
      </c>
    </row>
    <row r="1687" spans="1:15" ht="15" customHeight="1" x14ac:dyDescent="0.25">
      <c r="A1687" s="9" t="s">
        <v>260</v>
      </c>
      <c r="B1687" s="9" t="str">
        <f>INDEX(Places[Type],MATCH(Activities[[#This Row],[Jurisdiction]],Places[Jurisdiction],0))</f>
        <v>City</v>
      </c>
      <c r="C1687" s="19" t="str">
        <f>INDEX(Places[County],MATCH(Activities[[#This Row],[Jurisdiction]],Places[Jurisdiction],0))</f>
        <v>Ventura</v>
      </c>
      <c r="D1687" s="19" t="str">
        <f>INDEX(Places[Majority RB],MATCH(Activities[[#This Row],[Jurisdiction]],Places[Jurisdiction],0))</f>
        <v>Los Angeles</v>
      </c>
      <c r="E1687" s="9">
        <f>INDEX(Places[Majority RB '#],MATCH(Activities[[#This Row],[Jurisdiction]],Places[Jurisdiction],0))</f>
        <v>4</v>
      </c>
      <c r="F1687" s="28" t="str">
        <f>VLOOKUP(Activities[[#This Row],[Jurisdiction]],Places[#All],8,FALSE)</f>
        <v>Phase I MS4</v>
      </c>
      <c r="G1687" s="48" t="s">
        <v>79</v>
      </c>
      <c r="H1687" s="8" t="s">
        <v>483</v>
      </c>
      <c r="I1687" s="8" t="s">
        <v>458</v>
      </c>
      <c r="J1687" s="8" t="s">
        <v>1896</v>
      </c>
      <c r="K1687" s="27" t="s">
        <v>1876</v>
      </c>
      <c r="L1687" s="28">
        <f>_xlfn.NUMBERVALUE(LEFT(Activities[[#This Row],[Fiscal Year]], 4))</f>
        <v>2018</v>
      </c>
      <c r="M1687" s="28" t="s">
        <v>1863</v>
      </c>
      <c r="N1687" s="41">
        <v>149500</v>
      </c>
      <c r="O1687" s="93">
        <f>IF(Activities[[#This Row],[Reference Year]]&gt;2018,Activities[[#This Row],[Value]],Activities[[#This Row],[Value]]*(1+VLOOKUP(Activities[[#This Row],[Reference Year]],Inflation[#All],3,FALSE)))</f>
        <v>149500</v>
      </c>
    </row>
    <row r="1688" spans="1:15" ht="15" customHeight="1" x14ac:dyDescent="0.25">
      <c r="A1688" s="9" t="s">
        <v>260</v>
      </c>
      <c r="B1688" s="9" t="str">
        <f>INDEX(Places[Type],MATCH(Activities[[#This Row],[Jurisdiction]],Places[Jurisdiction],0))</f>
        <v>City</v>
      </c>
      <c r="C1688" s="19" t="str">
        <f>INDEX(Places[County],MATCH(Activities[[#This Row],[Jurisdiction]],Places[Jurisdiction],0))</f>
        <v>Ventura</v>
      </c>
      <c r="D1688" s="19" t="str">
        <f>INDEX(Places[Majority RB],MATCH(Activities[[#This Row],[Jurisdiction]],Places[Jurisdiction],0))</f>
        <v>Los Angeles</v>
      </c>
      <c r="E1688" s="9">
        <f>INDEX(Places[Majority RB '#],MATCH(Activities[[#This Row],[Jurisdiction]],Places[Jurisdiction],0))</f>
        <v>4</v>
      </c>
      <c r="F1688" s="28" t="str">
        <f>VLOOKUP(Activities[[#This Row],[Jurisdiction]],Places[#All],8,FALSE)</f>
        <v>Phase I MS4</v>
      </c>
      <c r="G1688" s="48" t="s">
        <v>78</v>
      </c>
      <c r="H1688" s="8"/>
      <c r="I1688" s="8"/>
      <c r="J1688" s="8" t="s">
        <v>47</v>
      </c>
      <c r="K1688" s="27" t="s">
        <v>1876</v>
      </c>
      <c r="L1688" s="28">
        <f>_xlfn.NUMBERVALUE(LEFT(Activities[[#This Row],[Fiscal Year]], 4))</f>
        <v>2018</v>
      </c>
      <c r="M1688" s="28" t="s">
        <v>1863</v>
      </c>
      <c r="N1688" s="41">
        <v>10073</v>
      </c>
      <c r="O1688" s="93">
        <f>IF(Activities[[#This Row],[Reference Year]]&gt;2018,Activities[[#This Row],[Value]],Activities[[#This Row],[Value]]*(1+VLOOKUP(Activities[[#This Row],[Reference Year]],Inflation[#All],3,FALSE)))</f>
        <v>10073</v>
      </c>
    </row>
    <row r="1689" spans="1:15" ht="15" customHeight="1" x14ac:dyDescent="0.25">
      <c r="A1689" s="9" t="s">
        <v>260</v>
      </c>
      <c r="B1689" s="9" t="str">
        <f>INDEX(Places[Type],MATCH(Activities[[#This Row],[Jurisdiction]],Places[Jurisdiction],0))</f>
        <v>City</v>
      </c>
      <c r="C1689" s="19" t="str">
        <f>INDEX(Places[County],MATCH(Activities[[#This Row],[Jurisdiction]],Places[Jurisdiction],0))</f>
        <v>Ventura</v>
      </c>
      <c r="D1689" s="19" t="str">
        <f>INDEX(Places[Majority RB],MATCH(Activities[[#This Row],[Jurisdiction]],Places[Jurisdiction],0))</f>
        <v>Los Angeles</v>
      </c>
      <c r="E1689" s="9">
        <f>INDEX(Places[Majority RB '#],MATCH(Activities[[#This Row],[Jurisdiction]],Places[Jurisdiction],0))</f>
        <v>4</v>
      </c>
      <c r="F1689" s="28" t="str">
        <f>VLOOKUP(Activities[[#This Row],[Jurisdiction]],Places[#All],8,FALSE)</f>
        <v>Phase I MS4</v>
      </c>
      <c r="G1689" s="48" t="s">
        <v>80</v>
      </c>
      <c r="H1689" s="8"/>
      <c r="I1689" s="8"/>
      <c r="J1689" s="8" t="s">
        <v>605</v>
      </c>
      <c r="K1689" s="27" t="s">
        <v>1876</v>
      </c>
      <c r="L1689" s="28">
        <f>_xlfn.NUMBERVALUE(LEFT(Activities[[#This Row],[Fiscal Year]], 4))</f>
        <v>2018</v>
      </c>
      <c r="M1689" s="28" t="s">
        <v>1863</v>
      </c>
      <c r="N1689" s="41">
        <v>75000</v>
      </c>
      <c r="O1689" s="93">
        <f>IF(Activities[[#This Row],[Reference Year]]&gt;2018,Activities[[#This Row],[Value]],Activities[[#This Row],[Value]]*(1+VLOOKUP(Activities[[#This Row],[Reference Year]],Inflation[#All],3,FALSE)))</f>
        <v>75000</v>
      </c>
    </row>
    <row r="1690" spans="1:15" ht="15" customHeight="1" x14ac:dyDescent="0.25">
      <c r="A1690" s="9" t="s">
        <v>306</v>
      </c>
      <c r="B1690" s="9" t="str">
        <f>INDEX(Places[Type],MATCH(Activities[[#This Row],[Jurisdiction]],Places[Jurisdiction],0))</f>
        <v>City</v>
      </c>
      <c r="C1690" s="19" t="str">
        <f>INDEX(Places[County],MATCH(Activities[[#This Row],[Jurisdiction]],Places[Jurisdiction],0))</f>
        <v>San Diego</v>
      </c>
      <c r="D1690" s="9" t="str">
        <f>INDEX(Places[Majority RB],MATCH(Activities[[#This Row],[Jurisdiction]],Places[Jurisdiction],0))</f>
        <v>San Diego</v>
      </c>
      <c r="E1690" s="9">
        <f>INDEX(Places[Majority RB '#],MATCH(Activities[[#This Row],[Jurisdiction]],Places[Jurisdiction],0))</f>
        <v>9</v>
      </c>
      <c r="F1690" s="28" t="str">
        <f>VLOOKUP(Activities[[#This Row],[Jurisdiction]],Places[#All],8,FALSE)</f>
        <v>Phase I MS4</v>
      </c>
      <c r="G1690" s="48" t="s">
        <v>1273</v>
      </c>
      <c r="H1690" s="8"/>
      <c r="I1690" s="8"/>
      <c r="J1690" s="8" t="s">
        <v>1895</v>
      </c>
      <c r="K1690" s="27" t="s">
        <v>1874</v>
      </c>
      <c r="L1690" s="28">
        <f>_xlfn.NUMBERVALUE(LEFT(Activities[[#This Row],[Fiscal Year]], 4))</f>
        <v>2017</v>
      </c>
      <c r="M1690" s="28" t="s">
        <v>1862</v>
      </c>
      <c r="N1690" s="41">
        <v>27475</v>
      </c>
      <c r="O1690" s="93">
        <f>IF(Activities[[#This Row],[Reference Year]]&gt;2018,Activities[[#This Row],[Value]],Activities[[#This Row],[Value]]*(1+VLOOKUP(Activities[[#This Row],[Reference Year]],Inflation[#All],3,FALSE)))</f>
        <v>28207.106181150553</v>
      </c>
    </row>
    <row r="1691" spans="1:15" ht="15" customHeight="1" x14ac:dyDescent="0.25">
      <c r="A1691" s="9" t="s">
        <v>306</v>
      </c>
      <c r="B1691" s="9" t="str">
        <f>INDEX(Places[Type],MATCH(Activities[[#This Row],[Jurisdiction]],Places[Jurisdiction],0))</f>
        <v>City</v>
      </c>
      <c r="C1691" s="19" t="str">
        <f>INDEX(Places[County],MATCH(Activities[[#This Row],[Jurisdiction]],Places[Jurisdiction],0))</f>
        <v>San Diego</v>
      </c>
      <c r="D1691" s="9" t="str">
        <f>INDEX(Places[Majority RB],MATCH(Activities[[#This Row],[Jurisdiction]],Places[Jurisdiction],0))</f>
        <v>San Diego</v>
      </c>
      <c r="E1691" s="9">
        <f>INDEX(Places[Majority RB '#],MATCH(Activities[[#This Row],[Jurisdiction]],Places[Jurisdiction],0))</f>
        <v>9</v>
      </c>
      <c r="F1691" s="28" t="str">
        <f>VLOOKUP(Activities[[#This Row],[Jurisdiction]],Places[#All],8,FALSE)</f>
        <v>Phase I MS4</v>
      </c>
      <c r="G1691" s="48" t="s">
        <v>1275</v>
      </c>
      <c r="H1691" s="8" t="s">
        <v>677</v>
      </c>
      <c r="I1691" s="8" t="s">
        <v>678</v>
      </c>
      <c r="J1691" s="8" t="s">
        <v>131</v>
      </c>
      <c r="K1691" s="27" t="s">
        <v>1874</v>
      </c>
      <c r="L1691" s="28">
        <f>_xlfn.NUMBERVALUE(LEFT(Activities[[#This Row],[Fiscal Year]], 4))</f>
        <v>2017</v>
      </c>
      <c r="M1691" s="28" t="s">
        <v>1862</v>
      </c>
      <c r="N1691" s="41">
        <v>57745</v>
      </c>
      <c r="O1691" s="93">
        <f>IF(Activities[[#This Row],[Reference Year]]&gt;2018,Activities[[#This Row],[Value]],Activities[[#This Row],[Value]]*(1+VLOOKUP(Activities[[#This Row],[Reference Year]],Inflation[#All],3,FALSE)))</f>
        <v>59283.688678090584</v>
      </c>
    </row>
    <row r="1692" spans="1:15" ht="15" customHeight="1" x14ac:dyDescent="0.25">
      <c r="A1692" s="9" t="s">
        <v>306</v>
      </c>
      <c r="B1692" s="9" t="str">
        <f>INDEX(Places[Type],MATCH(Activities[[#This Row],[Jurisdiction]],Places[Jurisdiction],0))</f>
        <v>City</v>
      </c>
      <c r="C1692" s="19" t="str">
        <f>INDEX(Places[County],MATCH(Activities[[#This Row],[Jurisdiction]],Places[Jurisdiction],0))</f>
        <v>San Diego</v>
      </c>
      <c r="D1692" s="9" t="str">
        <f>INDEX(Places[Majority RB],MATCH(Activities[[#This Row],[Jurisdiction]],Places[Jurisdiction],0))</f>
        <v>San Diego</v>
      </c>
      <c r="E1692" s="9">
        <f>INDEX(Places[Majority RB '#],MATCH(Activities[[#This Row],[Jurisdiction]],Places[Jurisdiction],0))</f>
        <v>9</v>
      </c>
      <c r="F1692" s="28" t="str">
        <f>VLOOKUP(Activities[[#This Row],[Jurisdiction]],Places[#All],8,FALSE)</f>
        <v>Phase I MS4</v>
      </c>
      <c r="G1692" s="48" t="s">
        <v>1145</v>
      </c>
      <c r="H1692" s="8"/>
      <c r="I1692" s="8"/>
      <c r="J1692" s="8" t="s">
        <v>334</v>
      </c>
      <c r="K1692" s="27" t="s">
        <v>1874</v>
      </c>
      <c r="L1692" s="28">
        <f>_xlfn.NUMBERVALUE(LEFT(Activities[[#This Row],[Fiscal Year]], 4))</f>
        <v>2017</v>
      </c>
      <c r="M1692" s="28" t="s">
        <v>1862</v>
      </c>
      <c r="N1692" s="41">
        <v>13080</v>
      </c>
      <c r="O1692" s="93">
        <f>IF(Activities[[#This Row],[Reference Year]]&gt;2018,Activities[[#This Row],[Value]],Activities[[#This Row],[Value]]*(1+VLOOKUP(Activities[[#This Row],[Reference Year]],Inflation[#All],3,FALSE)))</f>
        <v>13428.53317013464</v>
      </c>
    </row>
    <row r="1693" spans="1:15" ht="15" customHeight="1" x14ac:dyDescent="0.25">
      <c r="A1693" s="9" t="s">
        <v>306</v>
      </c>
      <c r="B1693" s="9" t="str">
        <f>INDEX(Places[Type],MATCH(Activities[[#This Row],[Jurisdiction]],Places[Jurisdiction],0))</f>
        <v>City</v>
      </c>
      <c r="C1693" s="19" t="str">
        <f>INDEX(Places[County],MATCH(Activities[[#This Row],[Jurisdiction]],Places[Jurisdiction],0))</f>
        <v>San Diego</v>
      </c>
      <c r="D1693" s="9" t="str">
        <f>INDEX(Places[Majority RB],MATCH(Activities[[#This Row],[Jurisdiction]],Places[Jurisdiction],0))</f>
        <v>San Diego</v>
      </c>
      <c r="E1693" s="9">
        <f>INDEX(Places[Majority RB '#],MATCH(Activities[[#This Row],[Jurisdiction]],Places[Jurisdiction],0))</f>
        <v>9</v>
      </c>
      <c r="F1693" s="28" t="str">
        <f>VLOOKUP(Activities[[#This Row],[Jurisdiction]],Places[#All],8,FALSE)</f>
        <v>Phase I MS4</v>
      </c>
      <c r="G1693" s="48" t="s">
        <v>1274</v>
      </c>
      <c r="H1693" s="8" t="s">
        <v>665</v>
      </c>
      <c r="I1693" s="94" t="s">
        <v>664</v>
      </c>
      <c r="J1693" s="8" t="s">
        <v>1897</v>
      </c>
      <c r="K1693" s="27" t="s">
        <v>1874</v>
      </c>
      <c r="L1693" s="28">
        <f>_xlfn.NUMBERVALUE(LEFT(Activities[[#This Row],[Fiscal Year]], 4))</f>
        <v>2017</v>
      </c>
      <c r="M1693" s="28" t="s">
        <v>1862</v>
      </c>
      <c r="N1693" s="41">
        <v>153215</v>
      </c>
      <c r="O1693" s="93">
        <f>IF(Activities[[#This Row],[Reference Year]]&gt;2018,Activities[[#This Row],[Value]],Activities[[#This Row],[Value]]*(1+VLOOKUP(Activities[[#This Row],[Reference Year]],Inflation[#All],3,FALSE)))</f>
        <v>157297.60777233783</v>
      </c>
    </row>
    <row r="1694" spans="1:15" ht="15" customHeight="1" x14ac:dyDescent="0.25">
      <c r="A1694" s="9" t="s">
        <v>306</v>
      </c>
      <c r="B1694" s="9" t="str">
        <f>INDEX(Places[Type],MATCH(Activities[[#This Row],[Jurisdiction]],Places[Jurisdiction],0))</f>
        <v>City</v>
      </c>
      <c r="C1694" s="19" t="str">
        <f>INDEX(Places[County],MATCH(Activities[[#This Row],[Jurisdiction]],Places[Jurisdiction],0))</f>
        <v>San Diego</v>
      </c>
      <c r="D1694" s="9" t="str">
        <f>INDEX(Places[Majority RB],MATCH(Activities[[#This Row],[Jurisdiction]],Places[Jurisdiction],0))</f>
        <v>San Diego</v>
      </c>
      <c r="E1694" s="9">
        <f>INDEX(Places[Majority RB '#],MATCH(Activities[[#This Row],[Jurisdiction]],Places[Jurisdiction],0))</f>
        <v>9</v>
      </c>
      <c r="F1694" s="28" t="str">
        <f>VLOOKUP(Activities[[#This Row],[Jurisdiction]],Places[#All],8,FALSE)</f>
        <v>Phase I MS4</v>
      </c>
      <c r="G1694" s="48" t="s">
        <v>1272</v>
      </c>
      <c r="H1694" s="8"/>
      <c r="I1694" s="8"/>
      <c r="J1694" s="8" t="s">
        <v>1898</v>
      </c>
      <c r="K1694" s="27" t="s">
        <v>1874</v>
      </c>
      <c r="L1694" s="28">
        <f>_xlfn.NUMBERVALUE(LEFT(Activities[[#This Row],[Fiscal Year]], 4))</f>
        <v>2017</v>
      </c>
      <c r="M1694" s="28" t="s">
        <v>1862</v>
      </c>
      <c r="N1694" s="41">
        <v>24675</v>
      </c>
      <c r="O1694" s="93">
        <f>IF(Activities[[#This Row],[Reference Year]]&gt;2018,Activities[[#This Row],[Value]],Activities[[#This Row],[Value]]*(1+VLOOKUP(Activities[[#This Row],[Reference Year]],Inflation[#All],3,FALSE)))</f>
        <v>25332.496634026931</v>
      </c>
    </row>
    <row r="1695" spans="1:15" ht="15" customHeight="1" x14ac:dyDescent="0.25">
      <c r="A1695" s="9" t="s">
        <v>306</v>
      </c>
      <c r="B1695" s="9" t="str">
        <f>INDEX(Places[Type],MATCH(Activities[[#This Row],[Jurisdiction]],Places[Jurisdiction],0))</f>
        <v>City</v>
      </c>
      <c r="C1695" s="19" t="str">
        <f>INDEX(Places[County],MATCH(Activities[[#This Row],[Jurisdiction]],Places[Jurisdiction],0))</f>
        <v>San Diego</v>
      </c>
      <c r="D1695" s="9" t="str">
        <f>INDEX(Places[Majority RB],MATCH(Activities[[#This Row],[Jurisdiction]],Places[Jurisdiction],0))</f>
        <v>San Diego</v>
      </c>
      <c r="E1695" s="9">
        <f>INDEX(Places[Majority RB '#],MATCH(Activities[[#This Row],[Jurisdiction]],Places[Jurisdiction],0))</f>
        <v>9</v>
      </c>
      <c r="F1695" s="28" t="str">
        <f>VLOOKUP(Activities[[#This Row],[Jurisdiction]],Places[#All],8,FALSE)</f>
        <v>Phase I MS4</v>
      </c>
      <c r="G1695" s="48" t="s">
        <v>1146</v>
      </c>
      <c r="H1695" s="8"/>
      <c r="I1695" s="8"/>
      <c r="J1695" s="8" t="s">
        <v>1456</v>
      </c>
      <c r="K1695" s="27" t="s">
        <v>1874</v>
      </c>
      <c r="L1695" s="28">
        <f>_xlfn.NUMBERVALUE(LEFT(Activities[[#This Row],[Fiscal Year]], 4))</f>
        <v>2017</v>
      </c>
      <c r="M1695" s="28" t="s">
        <v>1862</v>
      </c>
      <c r="N1695" s="41">
        <v>27080</v>
      </c>
      <c r="O1695" s="93">
        <f>IF(Activities[[#This Row],[Reference Year]]&gt;2018,Activities[[#This Row],[Value]],Activities[[#This Row],[Value]]*(1+VLOOKUP(Activities[[#This Row],[Reference Year]],Inflation[#All],3,FALSE)))</f>
        <v>27801.580905752759</v>
      </c>
    </row>
    <row r="1696" spans="1:15" ht="15" customHeight="1" x14ac:dyDescent="0.25">
      <c r="A1696" s="9" t="s">
        <v>306</v>
      </c>
      <c r="B1696" s="9" t="str">
        <f>INDEX(Places[Type],MATCH(Activities[[#This Row],[Jurisdiction]],Places[Jurisdiction],0))</f>
        <v>City</v>
      </c>
      <c r="C1696" s="19" t="str">
        <f>INDEX(Places[County],MATCH(Activities[[#This Row],[Jurisdiction]],Places[Jurisdiction],0))</f>
        <v>San Diego</v>
      </c>
      <c r="D1696" s="9" t="str">
        <f>INDEX(Places[Majority RB],MATCH(Activities[[#This Row],[Jurisdiction]],Places[Jurisdiction],0))</f>
        <v>San Diego</v>
      </c>
      <c r="E1696" s="9">
        <f>INDEX(Places[Majority RB '#],MATCH(Activities[[#This Row],[Jurisdiction]],Places[Jurisdiction],0))</f>
        <v>9</v>
      </c>
      <c r="F1696" s="28" t="str">
        <f>VLOOKUP(Activities[[#This Row],[Jurisdiction]],Places[#All],8,FALSE)</f>
        <v>Phase I MS4</v>
      </c>
      <c r="G1696" s="48" t="s">
        <v>1140</v>
      </c>
      <c r="H1696" s="8"/>
      <c r="I1696" s="8"/>
      <c r="J1696" s="8" t="s">
        <v>1894</v>
      </c>
      <c r="K1696" s="27" t="s">
        <v>1874</v>
      </c>
      <c r="L1696" s="28">
        <f>_xlfn.NUMBERVALUE(LEFT(Activities[[#This Row],[Fiscal Year]], 4))</f>
        <v>2017</v>
      </c>
      <c r="M1696" s="28" t="s">
        <v>1862</v>
      </c>
      <c r="N1696" s="41">
        <v>59470</v>
      </c>
      <c r="O1696" s="93">
        <f>IF(Activities[[#This Row],[Reference Year]]&gt;2018,Activities[[#This Row],[Value]],Activities[[#This Row],[Value]]*(1+VLOOKUP(Activities[[#This Row],[Reference Year]],Inflation[#All],3,FALSE)))</f>
        <v>61054.653488372103</v>
      </c>
    </row>
    <row r="1697" spans="1:15" ht="15" customHeight="1" x14ac:dyDescent="0.25">
      <c r="A1697" s="9" t="s">
        <v>306</v>
      </c>
      <c r="B1697" s="9" t="str">
        <f>INDEX(Places[Type],MATCH(Activities[[#This Row],[Jurisdiction]],Places[Jurisdiction],0))</f>
        <v>City</v>
      </c>
      <c r="C1697" s="19" t="str">
        <f>INDEX(Places[County],MATCH(Activities[[#This Row],[Jurisdiction]],Places[Jurisdiction],0))</f>
        <v>San Diego</v>
      </c>
      <c r="D1697" s="9" t="str">
        <f>INDEX(Places[Majority RB],MATCH(Activities[[#This Row],[Jurisdiction]],Places[Jurisdiction],0))</f>
        <v>San Diego</v>
      </c>
      <c r="E1697" s="9">
        <f>INDEX(Places[Majority RB '#],MATCH(Activities[[#This Row],[Jurisdiction]],Places[Jurisdiction],0))</f>
        <v>9</v>
      </c>
      <c r="F1697" s="28" t="str">
        <f>VLOOKUP(Activities[[#This Row],[Jurisdiction]],Places[#All],8,FALSE)</f>
        <v>Phase I MS4</v>
      </c>
      <c r="G1697" s="48" t="s">
        <v>1278</v>
      </c>
      <c r="H1697" s="8"/>
      <c r="I1697" s="8"/>
      <c r="J1697" s="8" t="s">
        <v>1896</v>
      </c>
      <c r="K1697" s="27" t="s">
        <v>1874</v>
      </c>
      <c r="L1697" s="28">
        <f>_xlfn.NUMBERVALUE(LEFT(Activities[[#This Row],[Fiscal Year]], 4))</f>
        <v>2017</v>
      </c>
      <c r="M1697" s="28" t="s">
        <v>1862</v>
      </c>
      <c r="N1697" s="41">
        <v>31680</v>
      </c>
      <c r="O1697" s="93">
        <f>IF(Activities[[#This Row],[Reference Year]]&gt;2018,Activities[[#This Row],[Value]],Activities[[#This Row],[Value]]*(1+VLOOKUP(Activities[[#This Row],[Reference Year]],Inflation[#All],3,FALSE)))</f>
        <v>32524.15373317014</v>
      </c>
    </row>
    <row r="1698" spans="1:15" ht="15" customHeight="1" x14ac:dyDescent="0.25">
      <c r="A1698" s="9" t="s">
        <v>306</v>
      </c>
      <c r="B1698" s="9" t="str">
        <f>INDEX(Places[Type],MATCH(Activities[[#This Row],[Jurisdiction]],Places[Jurisdiction],0))</f>
        <v>City</v>
      </c>
      <c r="C1698" s="19" t="str">
        <f>INDEX(Places[County],MATCH(Activities[[#This Row],[Jurisdiction]],Places[Jurisdiction],0))</f>
        <v>San Diego</v>
      </c>
      <c r="D1698" s="9" t="str">
        <f>INDEX(Places[Majority RB],MATCH(Activities[[#This Row],[Jurisdiction]],Places[Jurisdiction],0))</f>
        <v>San Diego</v>
      </c>
      <c r="E1698" s="9">
        <f>INDEX(Places[Majority RB '#],MATCH(Activities[[#This Row],[Jurisdiction]],Places[Jurisdiction],0))</f>
        <v>9</v>
      </c>
      <c r="F1698" s="28" t="str">
        <f>VLOOKUP(Activities[[#This Row],[Jurisdiction]],Places[#All],8,FALSE)</f>
        <v>Phase I MS4</v>
      </c>
      <c r="G1698" s="48" t="s">
        <v>1276</v>
      </c>
      <c r="H1698" s="8"/>
      <c r="I1698" s="8"/>
      <c r="J1698" s="8" t="s">
        <v>605</v>
      </c>
      <c r="K1698" s="27" t="s">
        <v>1874</v>
      </c>
      <c r="L1698" s="28">
        <f>_xlfn.NUMBERVALUE(LEFT(Activities[[#This Row],[Fiscal Year]], 4))</f>
        <v>2017</v>
      </c>
      <c r="M1698" s="28" t="s">
        <v>1862</v>
      </c>
      <c r="N1698" s="41">
        <v>31580</v>
      </c>
      <c r="O1698" s="93">
        <f>IF(Activities[[#This Row],[Reference Year]]&gt;2018,Activities[[#This Row],[Value]],Activities[[#This Row],[Value]]*(1+VLOOKUP(Activities[[#This Row],[Reference Year]],Inflation[#All],3,FALSE)))</f>
        <v>32421.489106487152</v>
      </c>
    </row>
    <row r="1699" spans="1:15" ht="15" customHeight="1" x14ac:dyDescent="0.25">
      <c r="A1699" s="9" t="s">
        <v>306</v>
      </c>
      <c r="B1699" s="9" t="str">
        <f>INDEX(Places[Type],MATCH(Activities[[#This Row],[Jurisdiction]],Places[Jurisdiction],0))</f>
        <v>City</v>
      </c>
      <c r="C1699" s="19" t="str">
        <f>INDEX(Places[County],MATCH(Activities[[#This Row],[Jurisdiction]],Places[Jurisdiction],0))</f>
        <v>San Diego</v>
      </c>
      <c r="D1699" s="9" t="str">
        <f>INDEX(Places[Majority RB],MATCH(Activities[[#This Row],[Jurisdiction]],Places[Jurisdiction],0))</f>
        <v>San Diego</v>
      </c>
      <c r="E1699" s="9">
        <f>INDEX(Places[Majority RB '#],MATCH(Activities[[#This Row],[Jurisdiction]],Places[Jurisdiction],0))</f>
        <v>9</v>
      </c>
      <c r="F1699" s="28" t="str">
        <f>VLOOKUP(Activities[[#This Row],[Jurisdiction]],Places[#All],8,FALSE)</f>
        <v>Phase I MS4</v>
      </c>
      <c r="G1699" s="48" t="s">
        <v>1277</v>
      </c>
      <c r="H1699" s="8"/>
      <c r="I1699" s="8"/>
      <c r="J1699" s="8" t="s">
        <v>605</v>
      </c>
      <c r="K1699" s="27" t="s">
        <v>1874</v>
      </c>
      <c r="L1699" s="28">
        <f>_xlfn.NUMBERVALUE(LEFT(Activities[[#This Row],[Fiscal Year]], 4))</f>
        <v>2017</v>
      </c>
      <c r="M1699" s="28" t="s">
        <v>1862</v>
      </c>
      <c r="N1699" s="41">
        <v>52580</v>
      </c>
      <c r="O1699" s="93">
        <f>IF(Activities[[#This Row],[Reference Year]]&gt;2018,Activities[[#This Row],[Value]],Activities[[#This Row],[Value]]*(1+VLOOKUP(Activities[[#This Row],[Reference Year]],Inflation[#All],3,FALSE)))</f>
        <v>53981.060709914324</v>
      </c>
    </row>
    <row r="1700" spans="1:15" ht="15" customHeight="1" x14ac:dyDescent="0.25">
      <c r="A1700" s="9" t="s">
        <v>1448</v>
      </c>
      <c r="B1700" s="9" t="str">
        <f>INDEX(Places[Type],MATCH(Activities[[#This Row],[Jurisdiction]],Places[Jurisdiction],0))</f>
        <v>County</v>
      </c>
      <c r="C1700" s="19" t="str">
        <f>INDEX(Places[County],MATCH(Activities[[#This Row],[Jurisdiction]],Places[Jurisdiction],0))</f>
        <v>Sonoma</v>
      </c>
      <c r="D1700" s="19" t="str">
        <f>INDEX(Places[Majority RB],MATCH(Activities[[#This Row],[Jurisdiction]],Places[Jurisdiction],0))</f>
        <v>North Coast</v>
      </c>
      <c r="E1700" s="9">
        <f>INDEX(Places[Majority RB '#],MATCH(Activities[[#This Row],[Jurisdiction]],Places[Jurisdiction],0))</f>
        <v>1</v>
      </c>
      <c r="F1700" s="28" t="str">
        <f>VLOOKUP(Activities[[#This Row],[Jurisdiction]],Places[#All],8,FALSE)</f>
        <v>Phase I MS4</v>
      </c>
      <c r="G1700" s="48" t="s">
        <v>39</v>
      </c>
      <c r="H1700" s="8"/>
      <c r="I1700" s="8"/>
      <c r="J1700" s="8" t="s">
        <v>1895</v>
      </c>
      <c r="K1700" s="28" t="s">
        <v>1880</v>
      </c>
      <c r="L1700" s="28">
        <f>_xlfn.NUMBERVALUE(LEFT(Activities[[#This Row],[Fiscal Year]], 4))</f>
        <v>2013</v>
      </c>
      <c r="M1700" s="28" t="s">
        <v>1862</v>
      </c>
      <c r="N1700" s="41">
        <v>36000</v>
      </c>
      <c r="O1700" s="93">
        <f>IF(Activities[[#This Row],[Reference Year]]&gt;2018,Activities[[#This Row],[Value]],Activities[[#This Row],[Value]]*(1+VLOOKUP(Activities[[#This Row],[Reference Year]],Inflation[#All],3,FALSE)))</f>
        <v>38878.609442060086</v>
      </c>
    </row>
    <row r="1701" spans="1:15" ht="15" customHeight="1" x14ac:dyDescent="0.25">
      <c r="A1701" s="9" t="s">
        <v>1448</v>
      </c>
      <c r="B1701" s="9" t="str">
        <f>INDEX(Places[Type],MATCH(Activities[[#This Row],[Jurisdiction]],Places[Jurisdiction],0))</f>
        <v>County</v>
      </c>
      <c r="C1701" s="19" t="str">
        <f>INDEX(Places[County],MATCH(Activities[[#This Row],[Jurisdiction]],Places[Jurisdiction],0))</f>
        <v>Sonoma</v>
      </c>
      <c r="D1701" s="19" t="str">
        <f>INDEX(Places[Majority RB],MATCH(Activities[[#This Row],[Jurisdiction]],Places[Jurisdiction],0))</f>
        <v>North Coast</v>
      </c>
      <c r="E1701" s="9">
        <f>INDEX(Places[Majority RB '#],MATCH(Activities[[#This Row],[Jurisdiction]],Places[Jurisdiction],0))</f>
        <v>1</v>
      </c>
      <c r="F1701" s="28" t="str">
        <f>VLOOKUP(Activities[[#This Row],[Jurisdiction]],Places[#All],8,FALSE)</f>
        <v>Phase I MS4</v>
      </c>
      <c r="G1701" s="48" t="s">
        <v>41</v>
      </c>
      <c r="H1701" s="8"/>
      <c r="I1701" s="8"/>
      <c r="J1701" s="8" t="s">
        <v>131</v>
      </c>
      <c r="K1701" s="28" t="s">
        <v>1880</v>
      </c>
      <c r="L1701" s="28">
        <f>_xlfn.NUMBERVALUE(LEFT(Activities[[#This Row],[Fiscal Year]], 4))</f>
        <v>2013</v>
      </c>
      <c r="M1701" s="28" t="s">
        <v>1862</v>
      </c>
      <c r="N1701" s="41">
        <v>37846</v>
      </c>
      <c r="O1701" s="93">
        <f>IF(Activities[[#This Row],[Reference Year]]&gt;2018,Activities[[#This Row],[Value]],Activities[[#This Row],[Value]]*(1+VLOOKUP(Activities[[#This Row],[Reference Year]],Inflation[#All],3,FALSE)))</f>
        <v>40872.218137339056</v>
      </c>
    </row>
    <row r="1702" spans="1:15" ht="15" customHeight="1" x14ac:dyDescent="0.25">
      <c r="A1702" s="9" t="s">
        <v>1448</v>
      </c>
      <c r="B1702" s="9" t="str">
        <f>INDEX(Places[Type],MATCH(Activities[[#This Row],[Jurisdiction]],Places[Jurisdiction],0))</f>
        <v>County</v>
      </c>
      <c r="C1702" s="19" t="str">
        <f>INDEX(Places[County],MATCH(Activities[[#This Row],[Jurisdiction]],Places[Jurisdiction],0))</f>
        <v>Sonoma</v>
      </c>
      <c r="D1702" s="19" t="str">
        <f>INDEX(Places[Majority RB],MATCH(Activities[[#This Row],[Jurisdiction]],Places[Jurisdiction],0))</f>
        <v>North Coast</v>
      </c>
      <c r="E1702" s="9">
        <f>INDEX(Places[Majority RB '#],MATCH(Activities[[#This Row],[Jurisdiction]],Places[Jurisdiction],0))</f>
        <v>1</v>
      </c>
      <c r="F1702" s="28" t="str">
        <f>VLOOKUP(Activities[[#This Row],[Jurisdiction]],Places[#All],8,FALSE)</f>
        <v>Phase I MS4</v>
      </c>
      <c r="G1702" s="48" t="s">
        <v>40</v>
      </c>
      <c r="H1702" s="8"/>
      <c r="I1702" s="8"/>
      <c r="J1702" s="8" t="s">
        <v>334</v>
      </c>
      <c r="K1702" s="28" t="s">
        <v>1880</v>
      </c>
      <c r="L1702" s="28">
        <f>_xlfn.NUMBERVALUE(LEFT(Activities[[#This Row],[Fiscal Year]], 4))</f>
        <v>2013</v>
      </c>
      <c r="M1702" s="28" t="s">
        <v>1862</v>
      </c>
      <c r="N1702" s="41">
        <v>42538</v>
      </c>
      <c r="O1702" s="93">
        <f>IF(Activities[[#This Row],[Reference Year]]&gt;2018,Activities[[#This Row],[Value]],Activities[[#This Row],[Value]]*(1+VLOOKUP(Activities[[#This Row],[Reference Year]],Inflation[#All],3,FALSE)))</f>
        <v>45939.396901287553</v>
      </c>
    </row>
    <row r="1703" spans="1:15" ht="15" customHeight="1" x14ac:dyDescent="0.25">
      <c r="A1703" s="9" t="s">
        <v>1448</v>
      </c>
      <c r="B1703" s="9" t="str">
        <f>INDEX(Places[Type],MATCH(Activities[[#This Row],[Jurisdiction]],Places[Jurisdiction],0))</f>
        <v>County</v>
      </c>
      <c r="C1703" s="19" t="str">
        <f>INDEX(Places[County],MATCH(Activities[[#This Row],[Jurisdiction]],Places[Jurisdiction],0))</f>
        <v>Sonoma</v>
      </c>
      <c r="D1703" s="19" t="str">
        <f>INDEX(Places[Majority RB],MATCH(Activities[[#This Row],[Jurisdiction]],Places[Jurisdiction],0))</f>
        <v>North Coast</v>
      </c>
      <c r="E1703" s="9">
        <f>INDEX(Places[Majority RB '#],MATCH(Activities[[#This Row],[Jurisdiction]],Places[Jurisdiction],0))</f>
        <v>1</v>
      </c>
      <c r="F1703" s="28" t="str">
        <f>VLOOKUP(Activities[[#This Row],[Jurisdiction]],Places[#All],8,FALSE)</f>
        <v>Phase I MS4</v>
      </c>
      <c r="G1703" s="48" t="s">
        <v>127</v>
      </c>
      <c r="H1703" s="8"/>
      <c r="I1703" s="8"/>
      <c r="J1703" s="8" t="s">
        <v>1897</v>
      </c>
      <c r="K1703" s="28" t="s">
        <v>1880</v>
      </c>
      <c r="L1703" s="28">
        <f>_xlfn.NUMBERVALUE(LEFT(Activities[[#This Row],[Fiscal Year]], 4))</f>
        <v>2013</v>
      </c>
      <c r="M1703" s="28" t="s">
        <v>1862</v>
      </c>
      <c r="N1703" s="41">
        <v>458457</v>
      </c>
      <c r="O1703" s="93">
        <f>IF(Activities[[#This Row],[Reference Year]]&gt;2018,Activities[[#This Row],[Value]],Activities[[#This Row],[Value]]*(1+VLOOKUP(Activities[[#This Row],[Reference Year]],Inflation[#All],3,FALSE)))</f>
        <v>495115.85136051505</v>
      </c>
    </row>
    <row r="1704" spans="1:15" ht="15" customHeight="1" x14ac:dyDescent="0.25">
      <c r="A1704" s="9" t="s">
        <v>1448</v>
      </c>
      <c r="B1704" s="9" t="str">
        <f>INDEX(Places[Type],MATCH(Activities[[#This Row],[Jurisdiction]],Places[Jurisdiction],0))</f>
        <v>County</v>
      </c>
      <c r="C1704" s="19" t="str">
        <f>INDEX(Places[County],MATCH(Activities[[#This Row],[Jurisdiction]],Places[Jurisdiction],0))</f>
        <v>Sonoma</v>
      </c>
      <c r="D1704" s="19" t="str">
        <f>INDEX(Places[Majority RB],MATCH(Activities[[#This Row],[Jurisdiction]],Places[Jurisdiction],0))</f>
        <v>North Coast</v>
      </c>
      <c r="E1704" s="9">
        <f>INDEX(Places[Majority RB '#],MATCH(Activities[[#This Row],[Jurisdiction]],Places[Jurisdiction],0))</f>
        <v>1</v>
      </c>
      <c r="F1704" s="28" t="str">
        <f>VLOOKUP(Activities[[#This Row],[Jurisdiction]],Places[#All],8,FALSE)</f>
        <v>Phase I MS4</v>
      </c>
      <c r="G1704" s="48" t="s">
        <v>1838</v>
      </c>
      <c r="H1704" s="97" t="s">
        <v>459</v>
      </c>
      <c r="I1704" s="8" t="s">
        <v>458</v>
      </c>
      <c r="J1704" s="8" t="s">
        <v>1898</v>
      </c>
      <c r="K1704" s="28" t="s">
        <v>1880</v>
      </c>
      <c r="L1704" s="28">
        <f>_xlfn.NUMBERVALUE(LEFT(Activities[[#This Row],[Fiscal Year]], 4))</f>
        <v>2013</v>
      </c>
      <c r="M1704" s="28" t="s">
        <v>1862</v>
      </c>
      <c r="N1704" s="41">
        <v>2000</v>
      </c>
      <c r="O1704" s="93">
        <f>IF(Activities[[#This Row],[Reference Year]]&gt;2018,Activities[[#This Row],[Value]],Activities[[#This Row],[Value]]*(1+VLOOKUP(Activities[[#This Row],[Reference Year]],Inflation[#All],3,FALSE)))</f>
        <v>2159.9227467811161</v>
      </c>
    </row>
    <row r="1705" spans="1:15" ht="15" customHeight="1" x14ac:dyDescent="0.25">
      <c r="A1705" s="9" t="s">
        <v>1448</v>
      </c>
      <c r="B1705" s="9" t="str">
        <f>INDEX(Places[Type],MATCH(Activities[[#This Row],[Jurisdiction]],Places[Jurisdiction],0))</f>
        <v>County</v>
      </c>
      <c r="C1705" s="19" t="str">
        <f>INDEX(Places[County],MATCH(Activities[[#This Row],[Jurisdiction]],Places[Jurisdiction],0))</f>
        <v>Sonoma</v>
      </c>
      <c r="D1705" s="19" t="str">
        <f>INDEX(Places[Majority RB],MATCH(Activities[[#This Row],[Jurisdiction]],Places[Jurisdiction],0))</f>
        <v>North Coast</v>
      </c>
      <c r="E1705" s="9">
        <f>INDEX(Places[Majority RB '#],MATCH(Activities[[#This Row],[Jurisdiction]],Places[Jurisdiction],0))</f>
        <v>1</v>
      </c>
      <c r="F1705" s="28" t="str">
        <f>VLOOKUP(Activities[[#This Row],[Jurisdiction]],Places[#All],8,FALSE)</f>
        <v>Phase I MS4</v>
      </c>
      <c r="G1705" s="48" t="s">
        <v>97</v>
      </c>
      <c r="H1705" s="8"/>
      <c r="I1705" s="8"/>
      <c r="J1705" s="8" t="s">
        <v>1456</v>
      </c>
      <c r="K1705" s="28" t="s">
        <v>1880</v>
      </c>
      <c r="L1705" s="28">
        <f>_xlfn.NUMBERVALUE(LEFT(Activities[[#This Row],[Fiscal Year]], 4))</f>
        <v>2013</v>
      </c>
      <c r="M1705" s="28" t="s">
        <v>1862</v>
      </c>
      <c r="N1705" s="41">
        <v>32915</v>
      </c>
      <c r="O1705" s="93">
        <f>IF(Activities[[#This Row],[Reference Year]]&gt;2018,Activities[[#This Row],[Value]],Activities[[#This Row],[Value]]*(1+VLOOKUP(Activities[[#This Row],[Reference Year]],Inflation[#All],3,FALSE)))</f>
        <v>35546.928605150213</v>
      </c>
    </row>
    <row r="1706" spans="1:15" ht="15" customHeight="1" x14ac:dyDescent="0.25">
      <c r="A1706" s="9" t="s">
        <v>1448</v>
      </c>
      <c r="B1706" s="9" t="str">
        <f>INDEX(Places[Type],MATCH(Activities[[#This Row],[Jurisdiction]],Places[Jurisdiction],0))</f>
        <v>County</v>
      </c>
      <c r="C1706" s="19" t="str">
        <f>INDEX(Places[County],MATCH(Activities[[#This Row],[Jurisdiction]],Places[Jurisdiction],0))</f>
        <v>Sonoma</v>
      </c>
      <c r="D1706" s="19" t="str">
        <f>INDEX(Places[Majority RB],MATCH(Activities[[#This Row],[Jurisdiction]],Places[Jurisdiction],0))</f>
        <v>North Coast</v>
      </c>
      <c r="E1706" s="9">
        <f>INDEX(Places[Majority RB '#],MATCH(Activities[[#This Row],[Jurisdiction]],Places[Jurisdiction],0))</f>
        <v>1</v>
      </c>
      <c r="F1706" s="28" t="str">
        <f>VLOOKUP(Activities[[#This Row],[Jurisdiction]],Places[#All],8,FALSE)</f>
        <v>Phase I MS4</v>
      </c>
      <c r="G1706" s="48" t="s">
        <v>44</v>
      </c>
      <c r="H1706" s="8"/>
      <c r="I1706" s="8"/>
      <c r="J1706" s="8" t="s">
        <v>1894</v>
      </c>
      <c r="K1706" s="28" t="s">
        <v>1880</v>
      </c>
      <c r="L1706" s="28">
        <f>_xlfn.NUMBERVALUE(LEFT(Activities[[#This Row],[Fiscal Year]], 4))</f>
        <v>2013</v>
      </c>
      <c r="M1706" s="28" t="s">
        <v>1862</v>
      </c>
      <c r="N1706" s="41">
        <v>10000</v>
      </c>
      <c r="O1706" s="93">
        <f>IF(Activities[[#This Row],[Reference Year]]&gt;2018,Activities[[#This Row],[Value]],Activities[[#This Row],[Value]]*(1+VLOOKUP(Activities[[#This Row],[Reference Year]],Inflation[#All],3,FALSE)))</f>
        <v>10799.61373390558</v>
      </c>
    </row>
    <row r="1707" spans="1:15" ht="15" customHeight="1" x14ac:dyDescent="0.25">
      <c r="A1707" s="9" t="s">
        <v>1448</v>
      </c>
      <c r="B1707" s="9" t="str">
        <f>INDEX(Places[Type],MATCH(Activities[[#This Row],[Jurisdiction]],Places[Jurisdiction],0))</f>
        <v>County</v>
      </c>
      <c r="C1707" s="19" t="str">
        <f>INDEX(Places[County],MATCH(Activities[[#This Row],[Jurisdiction]],Places[Jurisdiction],0))</f>
        <v>Sonoma</v>
      </c>
      <c r="D1707" s="19" t="str">
        <f>INDEX(Places[Majority RB],MATCH(Activities[[#This Row],[Jurisdiction]],Places[Jurisdiction],0))</f>
        <v>North Coast</v>
      </c>
      <c r="E1707" s="9">
        <f>INDEX(Places[Majority RB '#],MATCH(Activities[[#This Row],[Jurisdiction]],Places[Jurisdiction],0))</f>
        <v>1</v>
      </c>
      <c r="F1707" s="28" t="str">
        <f>VLOOKUP(Activities[[#This Row],[Jurisdiction]],Places[#All],8,FALSE)</f>
        <v>Phase I MS4</v>
      </c>
      <c r="G1707" s="48" t="s">
        <v>38</v>
      </c>
      <c r="H1707" s="8"/>
      <c r="I1707" s="9"/>
      <c r="J1707" s="8" t="s">
        <v>1894</v>
      </c>
      <c r="K1707" s="28" t="s">
        <v>1880</v>
      </c>
      <c r="L1707" s="28">
        <f>_xlfn.NUMBERVALUE(LEFT(Activities[[#This Row],[Fiscal Year]], 4))</f>
        <v>2013</v>
      </c>
      <c r="M1707" s="28" t="s">
        <v>1862</v>
      </c>
      <c r="N1707" s="41">
        <v>153193</v>
      </c>
      <c r="O1707" s="93">
        <f>IF(Activities[[#This Row],[Reference Year]]&gt;2018,Activities[[#This Row],[Value]],Activities[[#This Row],[Value]]*(1+VLOOKUP(Activities[[#This Row],[Reference Year]],Inflation[#All],3,FALSE)))</f>
        <v>165442.52267381974</v>
      </c>
    </row>
    <row r="1708" spans="1:15" ht="15" customHeight="1" x14ac:dyDescent="0.25">
      <c r="A1708" s="9" t="s">
        <v>1448</v>
      </c>
      <c r="B1708" s="9" t="str">
        <f>INDEX(Places[Type],MATCH(Activities[[#This Row],[Jurisdiction]],Places[Jurisdiction],0))</f>
        <v>County</v>
      </c>
      <c r="C1708" s="19" t="str">
        <f>INDEX(Places[County],MATCH(Activities[[#This Row],[Jurisdiction]],Places[Jurisdiction],0))</f>
        <v>Sonoma</v>
      </c>
      <c r="D1708" s="19" t="str">
        <f>INDEX(Places[Majority RB],MATCH(Activities[[#This Row],[Jurisdiction]],Places[Jurisdiction],0))</f>
        <v>North Coast</v>
      </c>
      <c r="E1708" s="9">
        <f>INDEX(Places[Majority RB '#],MATCH(Activities[[#This Row],[Jurisdiction]],Places[Jurisdiction],0))</f>
        <v>1</v>
      </c>
      <c r="F1708" s="28" t="str">
        <f>VLOOKUP(Activities[[#This Row],[Jurisdiction]],Places[#All],8,FALSE)</f>
        <v>Phase I MS4</v>
      </c>
      <c r="G1708" s="48" t="s">
        <v>33</v>
      </c>
      <c r="H1708" s="8"/>
      <c r="I1708" s="8"/>
      <c r="J1708" s="8" t="s">
        <v>47</v>
      </c>
      <c r="K1708" s="28" t="s">
        <v>1880</v>
      </c>
      <c r="L1708" s="28">
        <f>_xlfn.NUMBERVALUE(LEFT(Activities[[#This Row],[Fiscal Year]], 4))</f>
        <v>2013</v>
      </c>
      <c r="M1708" s="28" t="s">
        <v>1862</v>
      </c>
      <c r="N1708" s="41">
        <v>3000</v>
      </c>
      <c r="O1708" s="93">
        <f>IF(Activities[[#This Row],[Reference Year]]&gt;2018,Activities[[#This Row],[Value]],Activities[[#This Row],[Value]]*(1+VLOOKUP(Activities[[#This Row],[Reference Year]],Inflation[#All],3,FALSE)))</f>
        <v>3239.8841201716741</v>
      </c>
    </row>
    <row r="1709" spans="1:15" ht="15" customHeight="1" x14ac:dyDescent="0.25">
      <c r="A1709" s="9" t="s">
        <v>11</v>
      </c>
      <c r="B1709" s="9" t="str">
        <f>INDEX(Places[Type],MATCH(Activities[[#This Row],[Jurisdiction]],Places[Jurisdiction],0))</f>
        <v>City</v>
      </c>
      <c r="C1709" s="19" t="str">
        <f>INDEX(Places[County],MATCH(Activities[[#This Row],[Jurisdiction]],Places[Jurisdiction],0))</f>
        <v>Los Angeles</v>
      </c>
      <c r="D1709" s="19" t="str">
        <f>INDEX(Places[Majority RB],MATCH(Activities[[#This Row],[Jurisdiction]],Places[Jurisdiction],0))</f>
        <v>Los Angeles</v>
      </c>
      <c r="E1709" s="9">
        <f>INDEX(Places[Majority RB '#],MATCH(Activities[[#This Row],[Jurisdiction]],Places[Jurisdiction],0))</f>
        <v>4</v>
      </c>
      <c r="F1709" s="28" t="str">
        <f>VLOOKUP(Activities[[#This Row],[Jurisdiction]],Places[#All],8,FALSE)</f>
        <v>Phase I MS4</v>
      </c>
      <c r="G1709" s="48" t="s">
        <v>62</v>
      </c>
      <c r="H1709" s="8"/>
      <c r="I1709" s="8"/>
      <c r="J1709" s="8" t="s">
        <v>131</v>
      </c>
      <c r="K1709" s="27" t="s">
        <v>1873</v>
      </c>
      <c r="L1709" s="28">
        <f>_xlfn.NUMBERVALUE(LEFT(Activities[[#This Row],[Fiscal Year]], 4))</f>
        <v>2015</v>
      </c>
      <c r="M1709" s="28" t="s">
        <v>1862</v>
      </c>
      <c r="N1709" s="41">
        <v>15000</v>
      </c>
      <c r="O1709" s="93">
        <f>IF(Activities[[#This Row],[Reference Year]]&gt;2018,Activities[[#This Row],[Value]],Activities[[#This Row],[Value]]*(1+VLOOKUP(Activities[[#This Row],[Reference Year]],Inflation[#All],3,FALSE)))</f>
        <v>15926.012658227848</v>
      </c>
    </row>
    <row r="1710" spans="1:15" ht="15" customHeight="1" x14ac:dyDescent="0.25">
      <c r="A1710" s="9" t="s">
        <v>11</v>
      </c>
      <c r="B1710" s="9" t="str">
        <f>INDEX(Places[Type],MATCH(Activities[[#This Row],[Jurisdiction]],Places[Jurisdiction],0))</f>
        <v>City</v>
      </c>
      <c r="C1710" s="19" t="str">
        <f>INDEX(Places[County],MATCH(Activities[[#This Row],[Jurisdiction]],Places[Jurisdiction],0))</f>
        <v>Los Angeles</v>
      </c>
      <c r="D1710" s="19" t="str">
        <f>INDEX(Places[Majority RB],MATCH(Activities[[#This Row],[Jurisdiction]],Places[Jurisdiction],0))</f>
        <v>Los Angeles</v>
      </c>
      <c r="E1710" s="9">
        <f>INDEX(Places[Majority RB '#],MATCH(Activities[[#This Row],[Jurisdiction]],Places[Jurisdiction],0))</f>
        <v>4</v>
      </c>
      <c r="F1710" s="28" t="str">
        <f>VLOOKUP(Activities[[#This Row],[Jurisdiction]],Places[#All],8,FALSE)</f>
        <v>Phase I MS4</v>
      </c>
      <c r="G1710" s="48" t="s">
        <v>208</v>
      </c>
      <c r="H1710" s="8"/>
      <c r="I1710" s="8"/>
      <c r="J1710" s="8" t="s">
        <v>334</v>
      </c>
      <c r="K1710" s="27" t="s">
        <v>1873</v>
      </c>
      <c r="L1710" s="28">
        <f>_xlfn.NUMBERVALUE(LEFT(Activities[[#This Row],[Fiscal Year]], 4))</f>
        <v>2015</v>
      </c>
      <c r="M1710" s="28" t="s">
        <v>1862</v>
      </c>
      <c r="N1710" s="98">
        <v>44429.919999999998</v>
      </c>
      <c r="O1710" s="93">
        <f>IF(Activities[[#This Row],[Reference Year]]&gt;2018,Activities[[#This Row],[Value]],Activities[[#This Row],[Value]]*(1+VLOOKUP(Activities[[#This Row],[Reference Year]],Inflation[#All],3,FALSE)))</f>
        <v>47172.764554936701</v>
      </c>
    </row>
    <row r="1711" spans="1:15" ht="15" customHeight="1" x14ac:dyDescent="0.25">
      <c r="A1711" s="9" t="s">
        <v>11</v>
      </c>
      <c r="B1711" s="9" t="str">
        <f>INDEX(Places[Type],MATCH(Activities[[#This Row],[Jurisdiction]],Places[Jurisdiction],0))</f>
        <v>City</v>
      </c>
      <c r="C1711" s="19" t="str">
        <f>INDEX(Places[County],MATCH(Activities[[#This Row],[Jurisdiction]],Places[Jurisdiction],0))</f>
        <v>Los Angeles</v>
      </c>
      <c r="D1711" s="19" t="str">
        <f>INDEX(Places[Majority RB],MATCH(Activities[[#This Row],[Jurisdiction]],Places[Jurisdiction],0))</f>
        <v>Los Angeles</v>
      </c>
      <c r="E1711" s="9">
        <f>INDEX(Places[Majority RB '#],MATCH(Activities[[#This Row],[Jurisdiction]],Places[Jurisdiction],0))</f>
        <v>4</v>
      </c>
      <c r="F1711" s="28" t="str">
        <f>VLOOKUP(Activities[[#This Row],[Jurisdiction]],Places[#All],8,FALSE)</f>
        <v>Phase I MS4</v>
      </c>
      <c r="G1711" s="48" t="s">
        <v>61</v>
      </c>
      <c r="H1711" s="8"/>
      <c r="I1711" s="8"/>
      <c r="J1711" s="8" t="s">
        <v>1897</v>
      </c>
      <c r="K1711" s="27" t="s">
        <v>1873</v>
      </c>
      <c r="L1711" s="28">
        <f>_xlfn.NUMBERVALUE(LEFT(Activities[[#This Row],[Fiscal Year]], 4))</f>
        <v>2015</v>
      </c>
      <c r="M1711" s="28" t="s">
        <v>1862</v>
      </c>
      <c r="N1711" s="41">
        <v>147000</v>
      </c>
      <c r="O1711" s="93">
        <f>IF(Activities[[#This Row],[Reference Year]]&gt;2018,Activities[[#This Row],[Value]],Activities[[#This Row],[Value]]*(1+VLOOKUP(Activities[[#This Row],[Reference Year]],Inflation[#All],3,FALSE)))</f>
        <v>156074.92405063289</v>
      </c>
    </row>
    <row r="1712" spans="1:15" ht="15" customHeight="1" x14ac:dyDescent="0.25">
      <c r="A1712" s="9" t="s">
        <v>11</v>
      </c>
      <c r="B1712" s="9" t="str">
        <f>INDEX(Places[Type],MATCH(Activities[[#This Row],[Jurisdiction]],Places[Jurisdiction],0))</f>
        <v>City</v>
      </c>
      <c r="C1712" s="19" t="str">
        <f>INDEX(Places[County],MATCH(Activities[[#This Row],[Jurisdiction]],Places[Jurisdiction],0))</f>
        <v>Los Angeles</v>
      </c>
      <c r="D1712" s="19" t="str">
        <f>INDEX(Places[Majority RB],MATCH(Activities[[#This Row],[Jurisdiction]],Places[Jurisdiction],0))</f>
        <v>Los Angeles</v>
      </c>
      <c r="E1712" s="9">
        <f>INDEX(Places[Majority RB '#],MATCH(Activities[[#This Row],[Jurisdiction]],Places[Jurisdiction],0))</f>
        <v>4</v>
      </c>
      <c r="F1712" s="28" t="str">
        <f>VLOOKUP(Activities[[#This Row],[Jurisdiction]],Places[#All],8,FALSE)</f>
        <v>Phase I MS4</v>
      </c>
      <c r="G1712" s="48" t="s">
        <v>59</v>
      </c>
      <c r="H1712" s="8"/>
      <c r="I1712" s="8"/>
      <c r="J1712" s="8" t="s">
        <v>1898</v>
      </c>
      <c r="K1712" s="27" t="s">
        <v>1873</v>
      </c>
      <c r="L1712" s="28">
        <f>_xlfn.NUMBERVALUE(LEFT(Activities[[#This Row],[Fiscal Year]], 4))</f>
        <v>2015</v>
      </c>
      <c r="M1712" s="28" t="s">
        <v>1862</v>
      </c>
      <c r="N1712" s="41">
        <v>10000</v>
      </c>
      <c r="O1712" s="93">
        <f>IF(Activities[[#This Row],[Reference Year]]&gt;2018,Activities[[#This Row],[Value]],Activities[[#This Row],[Value]]*(1+VLOOKUP(Activities[[#This Row],[Reference Year]],Inflation[#All],3,FALSE)))</f>
        <v>10617.341772151898</v>
      </c>
    </row>
    <row r="1713" spans="1:15" ht="15" customHeight="1" x14ac:dyDescent="0.25">
      <c r="A1713" s="9" t="s">
        <v>11</v>
      </c>
      <c r="B1713" s="9" t="str">
        <f>INDEX(Places[Type],MATCH(Activities[[#This Row],[Jurisdiction]],Places[Jurisdiction],0))</f>
        <v>City</v>
      </c>
      <c r="C1713" s="19" t="str">
        <f>INDEX(Places[County],MATCH(Activities[[#This Row],[Jurisdiction]],Places[Jurisdiction],0))</f>
        <v>Los Angeles</v>
      </c>
      <c r="D1713" s="19" t="str">
        <f>INDEX(Places[Majority RB],MATCH(Activities[[#This Row],[Jurisdiction]],Places[Jurisdiction],0))</f>
        <v>Los Angeles</v>
      </c>
      <c r="E1713" s="9">
        <f>INDEX(Places[Majority RB '#],MATCH(Activities[[#This Row],[Jurisdiction]],Places[Jurisdiction],0))</f>
        <v>4</v>
      </c>
      <c r="F1713" s="28" t="str">
        <f>VLOOKUP(Activities[[#This Row],[Jurisdiction]],Places[#All],8,FALSE)</f>
        <v>Phase I MS4</v>
      </c>
      <c r="G1713" s="48" t="s">
        <v>60</v>
      </c>
      <c r="H1713" s="8"/>
      <c r="I1713" s="8"/>
      <c r="J1713" s="8" t="s">
        <v>1898</v>
      </c>
      <c r="K1713" s="27" t="s">
        <v>1873</v>
      </c>
      <c r="L1713" s="28">
        <f>_xlfn.NUMBERVALUE(LEFT(Activities[[#This Row],[Fiscal Year]], 4))</f>
        <v>2015</v>
      </c>
      <c r="M1713" s="28" t="s">
        <v>1862</v>
      </c>
      <c r="N1713" s="41">
        <v>10000</v>
      </c>
      <c r="O1713" s="93">
        <f>IF(Activities[[#This Row],[Reference Year]]&gt;2018,Activities[[#This Row],[Value]],Activities[[#This Row],[Value]]*(1+VLOOKUP(Activities[[#This Row],[Reference Year]],Inflation[#All],3,FALSE)))</f>
        <v>10617.341772151898</v>
      </c>
    </row>
    <row r="1714" spans="1:15" ht="15" customHeight="1" x14ac:dyDescent="0.25">
      <c r="A1714" s="9" t="s">
        <v>11</v>
      </c>
      <c r="B1714" s="9" t="str">
        <f>INDEX(Places[Type],MATCH(Activities[[#This Row],[Jurisdiction]],Places[Jurisdiction],0))</f>
        <v>City</v>
      </c>
      <c r="C1714" s="19" t="str">
        <f>INDEX(Places[County],MATCH(Activities[[#This Row],[Jurisdiction]],Places[Jurisdiction],0))</f>
        <v>Los Angeles</v>
      </c>
      <c r="D1714" s="19" t="str">
        <f>INDEX(Places[Majority RB],MATCH(Activities[[#This Row],[Jurisdiction]],Places[Jurisdiction],0))</f>
        <v>Los Angeles</v>
      </c>
      <c r="E1714" s="9">
        <f>INDEX(Places[Majority RB '#],MATCH(Activities[[#This Row],[Jurisdiction]],Places[Jurisdiction],0))</f>
        <v>4</v>
      </c>
      <c r="F1714" s="28" t="str">
        <f>VLOOKUP(Activities[[#This Row],[Jurisdiction]],Places[#All],8,FALSE)</f>
        <v>Phase I MS4</v>
      </c>
      <c r="G1714" s="48" t="s">
        <v>58</v>
      </c>
      <c r="H1714" s="8"/>
      <c r="I1714" s="8"/>
      <c r="J1714" s="8" t="s">
        <v>1456</v>
      </c>
      <c r="K1714" s="27" t="s">
        <v>1873</v>
      </c>
      <c r="L1714" s="28">
        <f>_xlfn.NUMBERVALUE(LEFT(Activities[[#This Row],[Fiscal Year]], 4))</f>
        <v>2015</v>
      </c>
      <c r="M1714" s="28" t="s">
        <v>1862</v>
      </c>
      <c r="N1714" s="41">
        <v>12000</v>
      </c>
      <c r="O1714" s="93">
        <f>IF(Activities[[#This Row],[Reference Year]]&gt;2018,Activities[[#This Row],[Value]],Activities[[#This Row],[Value]]*(1+VLOOKUP(Activities[[#This Row],[Reference Year]],Inflation[#All],3,FALSE)))</f>
        <v>12740.810126582277</v>
      </c>
    </row>
    <row r="1715" spans="1:15" ht="15" customHeight="1" x14ac:dyDescent="0.25">
      <c r="A1715" s="9" t="s">
        <v>11</v>
      </c>
      <c r="B1715" s="9" t="str">
        <f>INDEX(Places[Type],MATCH(Activities[[#This Row],[Jurisdiction]],Places[Jurisdiction],0))</f>
        <v>City</v>
      </c>
      <c r="C1715" s="19" t="str">
        <f>INDEX(Places[County],MATCH(Activities[[#This Row],[Jurisdiction]],Places[Jurisdiction],0))</f>
        <v>Los Angeles</v>
      </c>
      <c r="D1715" s="19" t="str">
        <f>INDEX(Places[Majority RB],MATCH(Activities[[#This Row],[Jurisdiction]],Places[Jurisdiction],0))</f>
        <v>Los Angeles</v>
      </c>
      <c r="E1715" s="9">
        <f>INDEX(Places[Majority RB '#],MATCH(Activities[[#This Row],[Jurisdiction]],Places[Jurisdiction],0))</f>
        <v>4</v>
      </c>
      <c r="F1715" s="28" t="str">
        <f>VLOOKUP(Activities[[#This Row],[Jurisdiction]],Places[#All],8,FALSE)</f>
        <v>Phase I MS4</v>
      </c>
      <c r="G1715" s="48" t="s">
        <v>32</v>
      </c>
      <c r="H1715" s="8"/>
      <c r="I1715" s="8"/>
      <c r="J1715" s="8" t="s">
        <v>1894</v>
      </c>
      <c r="K1715" s="27" t="s">
        <v>1873</v>
      </c>
      <c r="L1715" s="28">
        <f>_xlfn.NUMBERVALUE(LEFT(Activities[[#This Row],[Fiscal Year]], 4))</f>
        <v>2015</v>
      </c>
      <c r="M1715" s="28" t="s">
        <v>1862</v>
      </c>
      <c r="N1715" s="41">
        <v>40000</v>
      </c>
      <c r="O1715" s="93">
        <f>IF(Activities[[#This Row],[Reference Year]]&gt;2018,Activities[[#This Row],[Value]],Activities[[#This Row],[Value]]*(1+VLOOKUP(Activities[[#This Row],[Reference Year]],Inflation[#All],3,FALSE)))</f>
        <v>42469.367088607592</v>
      </c>
    </row>
    <row r="1716" spans="1:15" ht="15" customHeight="1" x14ac:dyDescent="0.25">
      <c r="A1716" s="9" t="s">
        <v>11</v>
      </c>
      <c r="B1716" s="9" t="str">
        <f>INDEX(Places[Type],MATCH(Activities[[#This Row],[Jurisdiction]],Places[Jurisdiction],0))</f>
        <v>City</v>
      </c>
      <c r="C1716" s="19" t="str">
        <f>INDEX(Places[County],MATCH(Activities[[#This Row],[Jurisdiction]],Places[Jurisdiction],0))</f>
        <v>Los Angeles</v>
      </c>
      <c r="D1716" s="19" t="str">
        <f>INDEX(Places[Majority RB],MATCH(Activities[[#This Row],[Jurisdiction]],Places[Jurisdiction],0))</f>
        <v>Los Angeles</v>
      </c>
      <c r="E1716" s="9">
        <f>INDEX(Places[Majority RB '#],MATCH(Activities[[#This Row],[Jurisdiction]],Places[Jurisdiction],0))</f>
        <v>4</v>
      </c>
      <c r="F1716" s="28" t="str">
        <f>VLOOKUP(Activities[[#This Row],[Jurisdiction]],Places[#All],8,FALSE)</f>
        <v>Phase I MS4</v>
      </c>
      <c r="G1716" s="48" t="s">
        <v>33</v>
      </c>
      <c r="H1716" s="8"/>
      <c r="I1716" s="8"/>
      <c r="J1716" s="8" t="s">
        <v>47</v>
      </c>
      <c r="K1716" s="27" t="s">
        <v>1873</v>
      </c>
      <c r="L1716" s="28">
        <f>_xlfn.NUMBERVALUE(LEFT(Activities[[#This Row],[Fiscal Year]], 4))</f>
        <v>2015</v>
      </c>
      <c r="M1716" s="28" t="s">
        <v>1862</v>
      </c>
      <c r="N1716" s="41">
        <v>5000</v>
      </c>
      <c r="O1716" s="93">
        <f>IF(Activities[[#This Row],[Reference Year]]&gt;2018,Activities[[#This Row],[Value]],Activities[[#This Row],[Value]]*(1+VLOOKUP(Activities[[#This Row],[Reference Year]],Inflation[#All],3,FALSE)))</f>
        <v>5308.6708860759491</v>
      </c>
    </row>
    <row r="1717" spans="1:15" ht="15" customHeight="1" x14ac:dyDescent="0.25">
      <c r="A1717" s="9" t="s">
        <v>198</v>
      </c>
      <c r="B1717" s="9" t="str">
        <f>INDEX(Places[Type],MATCH(Activities[[#This Row],[Jurisdiction]],Places[Jurisdiction],0))</f>
        <v>City</v>
      </c>
      <c r="C1717" s="19" t="str">
        <f>INDEX(Places[County],MATCH(Activities[[#This Row],[Jurisdiction]],Places[Jurisdiction],0))</f>
        <v>Los Angeles</v>
      </c>
      <c r="D1717" s="19" t="str">
        <f>INDEX(Places[Majority RB],MATCH(Activities[[#This Row],[Jurisdiction]],Places[Jurisdiction],0))</f>
        <v>Los Angeles</v>
      </c>
      <c r="E1717" s="9">
        <f>INDEX(Places[Majority RB '#],MATCH(Activities[[#This Row],[Jurisdiction]],Places[Jurisdiction],0))</f>
        <v>4</v>
      </c>
      <c r="F1717" s="28" t="str">
        <f>VLOOKUP(Activities[[#This Row],[Jurisdiction]],Places[#All],8,FALSE)</f>
        <v>Phase I MS4</v>
      </c>
      <c r="G1717" s="48" t="s">
        <v>62</v>
      </c>
      <c r="H1717" s="8"/>
      <c r="I1717" s="8"/>
      <c r="J1717" s="8" t="s">
        <v>131</v>
      </c>
      <c r="K1717" s="27" t="s">
        <v>1873</v>
      </c>
      <c r="L1717" s="28">
        <f>_xlfn.NUMBERVALUE(LEFT(Activities[[#This Row],[Fiscal Year]], 4))</f>
        <v>2015</v>
      </c>
      <c r="M1717" s="28" t="s">
        <v>1862</v>
      </c>
      <c r="N1717" s="41">
        <v>1000</v>
      </c>
      <c r="O1717" s="93">
        <f>IF(Activities[[#This Row],[Reference Year]]&gt;2018,Activities[[#This Row],[Value]],Activities[[#This Row],[Value]]*(1+VLOOKUP(Activities[[#This Row],[Reference Year]],Inflation[#All],3,FALSE)))</f>
        <v>1061.7341772151899</v>
      </c>
    </row>
    <row r="1718" spans="1:15" ht="15" customHeight="1" x14ac:dyDescent="0.25">
      <c r="A1718" s="9" t="s">
        <v>198</v>
      </c>
      <c r="B1718" s="9" t="str">
        <f>INDEX(Places[Type],MATCH(Activities[[#This Row],[Jurisdiction]],Places[Jurisdiction],0))</f>
        <v>City</v>
      </c>
      <c r="C1718" s="19" t="str">
        <f>INDEX(Places[County],MATCH(Activities[[#This Row],[Jurisdiction]],Places[Jurisdiction],0))</f>
        <v>Los Angeles</v>
      </c>
      <c r="D1718" s="19" t="str">
        <f>INDEX(Places[Majority RB],MATCH(Activities[[#This Row],[Jurisdiction]],Places[Jurisdiction],0))</f>
        <v>Los Angeles</v>
      </c>
      <c r="E1718" s="9">
        <f>INDEX(Places[Majority RB '#],MATCH(Activities[[#This Row],[Jurisdiction]],Places[Jurisdiction],0))</f>
        <v>4</v>
      </c>
      <c r="F1718" s="28" t="str">
        <f>VLOOKUP(Activities[[#This Row],[Jurisdiction]],Places[#All],8,FALSE)</f>
        <v>Phase I MS4</v>
      </c>
      <c r="G1718" s="48" t="s">
        <v>208</v>
      </c>
      <c r="H1718" s="8"/>
      <c r="I1718" s="8"/>
      <c r="J1718" s="8" t="s">
        <v>334</v>
      </c>
      <c r="K1718" s="27" t="s">
        <v>1873</v>
      </c>
      <c r="L1718" s="28">
        <f>_xlfn.NUMBERVALUE(LEFT(Activities[[#This Row],[Fiscal Year]], 4))</f>
        <v>2015</v>
      </c>
      <c r="M1718" s="28" t="s">
        <v>1862</v>
      </c>
      <c r="N1718" s="41">
        <v>2500</v>
      </c>
      <c r="O1718" s="93">
        <f>IF(Activities[[#This Row],[Reference Year]]&gt;2018,Activities[[#This Row],[Value]],Activities[[#This Row],[Value]]*(1+VLOOKUP(Activities[[#This Row],[Reference Year]],Inflation[#All],3,FALSE)))</f>
        <v>2654.3354430379745</v>
      </c>
    </row>
    <row r="1719" spans="1:15" ht="15" customHeight="1" x14ac:dyDescent="0.25">
      <c r="A1719" s="9" t="s">
        <v>198</v>
      </c>
      <c r="B1719" s="9" t="str">
        <f>INDEX(Places[Type],MATCH(Activities[[#This Row],[Jurisdiction]],Places[Jurisdiction],0))</f>
        <v>City</v>
      </c>
      <c r="C1719" s="19" t="str">
        <f>INDEX(Places[County],MATCH(Activities[[#This Row],[Jurisdiction]],Places[Jurisdiction],0))</f>
        <v>Los Angeles</v>
      </c>
      <c r="D1719" s="19" t="str">
        <f>INDEX(Places[Majority RB],MATCH(Activities[[#This Row],[Jurisdiction]],Places[Jurisdiction],0))</f>
        <v>Los Angeles</v>
      </c>
      <c r="E1719" s="9">
        <f>INDEX(Places[Majority RB '#],MATCH(Activities[[#This Row],[Jurisdiction]],Places[Jurisdiction],0))</f>
        <v>4</v>
      </c>
      <c r="F1719" s="28" t="str">
        <f>VLOOKUP(Activities[[#This Row],[Jurisdiction]],Places[#All],8,FALSE)</f>
        <v>Phase I MS4</v>
      </c>
      <c r="G1719" s="48" t="s">
        <v>61</v>
      </c>
      <c r="H1719" s="8"/>
      <c r="I1719" s="8"/>
      <c r="J1719" s="8" t="s">
        <v>1897</v>
      </c>
      <c r="K1719" s="27" t="s">
        <v>1873</v>
      </c>
      <c r="L1719" s="28">
        <f>_xlfn.NUMBERVALUE(LEFT(Activities[[#This Row],[Fiscal Year]], 4))</f>
        <v>2015</v>
      </c>
      <c r="M1719" s="28" t="s">
        <v>1862</v>
      </c>
      <c r="N1719" s="41">
        <v>150000</v>
      </c>
      <c r="O1719" s="93">
        <f>IF(Activities[[#This Row],[Reference Year]]&gt;2018,Activities[[#This Row],[Value]],Activities[[#This Row],[Value]]*(1+VLOOKUP(Activities[[#This Row],[Reference Year]],Inflation[#All],3,FALSE)))</f>
        <v>159260.12658227846</v>
      </c>
    </row>
    <row r="1720" spans="1:15" ht="15" customHeight="1" x14ac:dyDescent="0.25">
      <c r="A1720" s="9" t="s">
        <v>198</v>
      </c>
      <c r="B1720" s="9" t="str">
        <f>INDEX(Places[Type],MATCH(Activities[[#This Row],[Jurisdiction]],Places[Jurisdiction],0))</f>
        <v>City</v>
      </c>
      <c r="C1720" s="19" t="str">
        <f>INDEX(Places[County],MATCH(Activities[[#This Row],[Jurisdiction]],Places[Jurisdiction],0))</f>
        <v>Los Angeles</v>
      </c>
      <c r="D1720" s="19" t="str">
        <f>INDEX(Places[Majority RB],MATCH(Activities[[#This Row],[Jurisdiction]],Places[Jurisdiction],0))</f>
        <v>Los Angeles</v>
      </c>
      <c r="E1720" s="9">
        <f>INDEX(Places[Majority RB '#],MATCH(Activities[[#This Row],[Jurisdiction]],Places[Jurisdiction],0))</f>
        <v>4</v>
      </c>
      <c r="F1720" s="28" t="str">
        <f>VLOOKUP(Activities[[#This Row],[Jurisdiction]],Places[#All],8,FALSE)</f>
        <v>Phase I MS4</v>
      </c>
      <c r="G1720" s="48" t="s">
        <v>59</v>
      </c>
      <c r="H1720" s="8"/>
      <c r="I1720" s="8"/>
      <c r="J1720" s="8" t="s">
        <v>1898</v>
      </c>
      <c r="K1720" s="27" t="s">
        <v>1873</v>
      </c>
      <c r="L1720" s="28">
        <f>_xlfn.NUMBERVALUE(LEFT(Activities[[#This Row],[Fiscal Year]], 4))</f>
        <v>2015</v>
      </c>
      <c r="M1720" s="28" t="s">
        <v>1862</v>
      </c>
      <c r="N1720" s="41">
        <v>1000</v>
      </c>
      <c r="O1720" s="93">
        <f>IF(Activities[[#This Row],[Reference Year]]&gt;2018,Activities[[#This Row],[Value]],Activities[[#This Row],[Value]]*(1+VLOOKUP(Activities[[#This Row],[Reference Year]],Inflation[#All],3,FALSE)))</f>
        <v>1061.7341772151899</v>
      </c>
    </row>
    <row r="1721" spans="1:15" ht="15" customHeight="1" x14ac:dyDescent="0.25">
      <c r="A1721" s="9" t="s">
        <v>198</v>
      </c>
      <c r="B1721" s="9" t="str">
        <f>INDEX(Places[Type],MATCH(Activities[[#This Row],[Jurisdiction]],Places[Jurisdiction],0))</f>
        <v>City</v>
      </c>
      <c r="C1721" s="19" t="str">
        <f>INDEX(Places[County],MATCH(Activities[[#This Row],[Jurisdiction]],Places[Jurisdiction],0))</f>
        <v>Los Angeles</v>
      </c>
      <c r="D1721" s="19" t="str">
        <f>INDEX(Places[Majority RB],MATCH(Activities[[#This Row],[Jurisdiction]],Places[Jurisdiction],0))</f>
        <v>Los Angeles</v>
      </c>
      <c r="E1721" s="9">
        <f>INDEX(Places[Majority RB '#],MATCH(Activities[[#This Row],[Jurisdiction]],Places[Jurisdiction],0))</f>
        <v>4</v>
      </c>
      <c r="F1721" s="28" t="str">
        <f>VLOOKUP(Activities[[#This Row],[Jurisdiction]],Places[#All],8,FALSE)</f>
        <v>Phase I MS4</v>
      </c>
      <c r="G1721" s="48" t="s">
        <v>60</v>
      </c>
      <c r="H1721" s="8"/>
      <c r="I1721" s="8"/>
      <c r="J1721" s="8" t="s">
        <v>1898</v>
      </c>
      <c r="K1721" s="27" t="s">
        <v>1873</v>
      </c>
      <c r="L1721" s="28">
        <f>_xlfn.NUMBERVALUE(LEFT(Activities[[#This Row],[Fiscal Year]], 4))</f>
        <v>2015</v>
      </c>
      <c r="M1721" s="28" t="s">
        <v>1862</v>
      </c>
      <c r="N1721" s="41">
        <v>2500</v>
      </c>
      <c r="O1721" s="93">
        <f>IF(Activities[[#This Row],[Reference Year]]&gt;2018,Activities[[#This Row],[Value]],Activities[[#This Row],[Value]]*(1+VLOOKUP(Activities[[#This Row],[Reference Year]],Inflation[#All],3,FALSE)))</f>
        <v>2654.3354430379745</v>
      </c>
    </row>
    <row r="1722" spans="1:15" ht="15" customHeight="1" x14ac:dyDescent="0.25">
      <c r="A1722" s="9" t="s">
        <v>198</v>
      </c>
      <c r="B1722" s="9" t="str">
        <f>INDEX(Places[Type],MATCH(Activities[[#This Row],[Jurisdiction]],Places[Jurisdiction],0))</f>
        <v>City</v>
      </c>
      <c r="C1722" s="19" t="str">
        <f>INDEX(Places[County],MATCH(Activities[[#This Row],[Jurisdiction]],Places[Jurisdiction],0))</f>
        <v>Los Angeles</v>
      </c>
      <c r="D1722" s="19" t="str">
        <f>INDEX(Places[Majority RB],MATCH(Activities[[#This Row],[Jurisdiction]],Places[Jurisdiction],0))</f>
        <v>Los Angeles</v>
      </c>
      <c r="E1722" s="9">
        <f>INDEX(Places[Majority RB '#],MATCH(Activities[[#This Row],[Jurisdiction]],Places[Jurisdiction],0))</f>
        <v>4</v>
      </c>
      <c r="F1722" s="28" t="str">
        <f>VLOOKUP(Activities[[#This Row],[Jurisdiction]],Places[#All],8,FALSE)</f>
        <v>Phase I MS4</v>
      </c>
      <c r="G1722" s="48" t="s">
        <v>58</v>
      </c>
      <c r="H1722" s="8"/>
      <c r="I1722" s="8"/>
      <c r="J1722" s="8" t="s">
        <v>1456</v>
      </c>
      <c r="K1722" s="27" t="s">
        <v>1873</v>
      </c>
      <c r="L1722" s="28">
        <f>_xlfn.NUMBERVALUE(LEFT(Activities[[#This Row],[Fiscal Year]], 4))</f>
        <v>2015</v>
      </c>
      <c r="M1722" s="28" t="s">
        <v>1862</v>
      </c>
      <c r="N1722" s="41">
        <v>2000</v>
      </c>
      <c r="O1722" s="93">
        <f>IF(Activities[[#This Row],[Reference Year]]&gt;2018,Activities[[#This Row],[Value]],Activities[[#This Row],[Value]]*(1+VLOOKUP(Activities[[#This Row],[Reference Year]],Inflation[#All],3,FALSE)))</f>
        <v>2123.4683544303798</v>
      </c>
    </row>
    <row r="1723" spans="1:15" ht="15" customHeight="1" x14ac:dyDescent="0.25">
      <c r="A1723" s="9" t="s">
        <v>198</v>
      </c>
      <c r="B1723" s="9" t="str">
        <f>INDEX(Places[Type],MATCH(Activities[[#This Row],[Jurisdiction]],Places[Jurisdiction],0))</f>
        <v>City</v>
      </c>
      <c r="C1723" s="19" t="str">
        <f>INDEX(Places[County],MATCH(Activities[[#This Row],[Jurisdiction]],Places[Jurisdiction],0))</f>
        <v>Los Angeles</v>
      </c>
      <c r="D1723" s="19" t="str">
        <f>INDEX(Places[Majority RB],MATCH(Activities[[#This Row],[Jurisdiction]],Places[Jurisdiction],0))</f>
        <v>Los Angeles</v>
      </c>
      <c r="E1723" s="9">
        <f>INDEX(Places[Majority RB '#],MATCH(Activities[[#This Row],[Jurisdiction]],Places[Jurisdiction],0))</f>
        <v>4</v>
      </c>
      <c r="F1723" s="28" t="str">
        <f>VLOOKUP(Activities[[#This Row],[Jurisdiction]],Places[#All],8,FALSE)</f>
        <v>Phase I MS4</v>
      </c>
      <c r="G1723" s="48" t="s">
        <v>32</v>
      </c>
      <c r="H1723" s="8"/>
      <c r="I1723" s="8"/>
      <c r="J1723" s="8" t="s">
        <v>1894</v>
      </c>
      <c r="K1723" s="27" t="s">
        <v>1873</v>
      </c>
      <c r="L1723" s="28">
        <f>_xlfn.NUMBERVALUE(LEFT(Activities[[#This Row],[Fiscal Year]], 4))</f>
        <v>2015</v>
      </c>
      <c r="M1723" s="28" t="s">
        <v>1862</v>
      </c>
      <c r="N1723" s="41">
        <v>20000</v>
      </c>
      <c r="O1723" s="93">
        <f>IF(Activities[[#This Row],[Reference Year]]&gt;2018,Activities[[#This Row],[Value]],Activities[[#This Row],[Value]]*(1+VLOOKUP(Activities[[#This Row],[Reference Year]],Inflation[#All],3,FALSE)))</f>
        <v>21234.683544303796</v>
      </c>
    </row>
    <row r="1724" spans="1:15" ht="15" customHeight="1" x14ac:dyDescent="0.25">
      <c r="A1724" s="9" t="s">
        <v>198</v>
      </c>
      <c r="B1724" s="9" t="str">
        <f>INDEX(Places[Type],MATCH(Activities[[#This Row],[Jurisdiction]],Places[Jurisdiction],0))</f>
        <v>City</v>
      </c>
      <c r="C1724" s="19" t="str">
        <f>INDEX(Places[County],MATCH(Activities[[#This Row],[Jurisdiction]],Places[Jurisdiction],0))</f>
        <v>Los Angeles</v>
      </c>
      <c r="D1724" s="19" t="str">
        <f>INDEX(Places[Majority RB],MATCH(Activities[[#This Row],[Jurisdiction]],Places[Jurisdiction],0))</f>
        <v>Los Angeles</v>
      </c>
      <c r="E1724" s="9">
        <f>INDEX(Places[Majority RB '#],MATCH(Activities[[#This Row],[Jurisdiction]],Places[Jurisdiction],0))</f>
        <v>4</v>
      </c>
      <c r="F1724" s="28" t="str">
        <f>VLOOKUP(Activities[[#This Row],[Jurisdiction]],Places[#All],8,FALSE)</f>
        <v>Phase I MS4</v>
      </c>
      <c r="G1724" s="48" t="s">
        <v>67</v>
      </c>
      <c r="H1724" s="8" t="s">
        <v>942</v>
      </c>
      <c r="I1724" s="8" t="s">
        <v>429</v>
      </c>
      <c r="J1724" s="8" t="s">
        <v>1896</v>
      </c>
      <c r="K1724" s="27" t="s">
        <v>1873</v>
      </c>
      <c r="L1724" s="28">
        <f>_xlfn.NUMBERVALUE(LEFT(Activities[[#This Row],[Fiscal Year]], 4))</f>
        <v>2015</v>
      </c>
      <c r="M1724" s="28" t="s">
        <v>1862</v>
      </c>
      <c r="N1724" s="41">
        <v>28000</v>
      </c>
      <c r="O1724" s="93">
        <f>IF(Activities[[#This Row],[Reference Year]]&gt;2018,Activities[[#This Row],[Value]],Activities[[#This Row],[Value]]*(1+VLOOKUP(Activities[[#This Row],[Reference Year]],Inflation[#All],3,FALSE)))</f>
        <v>29728.556962025315</v>
      </c>
    </row>
    <row r="1725" spans="1:15" ht="15" customHeight="1" x14ac:dyDescent="0.25">
      <c r="A1725" s="9" t="s">
        <v>292</v>
      </c>
      <c r="B1725" s="9" t="str">
        <f>INDEX(Places[Type],MATCH(Activities[[#This Row],[Jurisdiction]],Places[Jurisdiction],0))</f>
        <v>City</v>
      </c>
      <c r="C1725" s="19" t="str">
        <f>INDEX(Places[County],MATCH(Activities[[#This Row],[Jurisdiction]],Places[Jurisdiction],0))</f>
        <v>Orange</v>
      </c>
      <c r="D1725" s="9" t="str">
        <f>INDEX(Places[Majority RB],MATCH(Activities[[#This Row],[Jurisdiction]],Places[Jurisdiction],0))</f>
        <v>Santa Ana</v>
      </c>
      <c r="E1725" s="9">
        <f>INDEX(Places[Majority RB '#],MATCH(Activities[[#This Row],[Jurisdiction]],Places[Jurisdiction],0))</f>
        <v>8</v>
      </c>
      <c r="F1725" s="28" t="str">
        <f>VLOOKUP(Activities[[#This Row],[Jurisdiction]],Places[#All],8,FALSE)</f>
        <v>Phase I MS4</v>
      </c>
      <c r="G1725" s="48" t="s">
        <v>1004</v>
      </c>
      <c r="H1725" s="8"/>
      <c r="I1725" s="8"/>
      <c r="J1725" s="8" t="s">
        <v>76</v>
      </c>
      <c r="K1725" s="27" t="s">
        <v>1875</v>
      </c>
      <c r="L1725" s="28">
        <f>_xlfn.NUMBERVALUE(LEFT(Activities[[#This Row],[Fiscal Year]], 4))</f>
        <v>2001</v>
      </c>
      <c r="M1725" s="28" t="s">
        <v>1862</v>
      </c>
      <c r="N1725" s="41">
        <v>500</v>
      </c>
      <c r="O1725" s="93">
        <f>IF(Activities[[#This Row],[Reference Year]]&gt;2018,Activities[[#This Row],[Value]],Activities[[#This Row],[Value]]*(1+VLOOKUP(Activities[[#This Row],[Reference Year]],Inflation[#All],3,FALSE)))</f>
        <v>710.42066629023145</v>
      </c>
    </row>
    <row r="1726" spans="1:15" ht="15" customHeight="1" x14ac:dyDescent="0.25">
      <c r="A1726" s="9" t="s">
        <v>292</v>
      </c>
      <c r="B1726" s="9" t="str">
        <f>INDEX(Places[Type],MATCH(Activities[[#This Row],[Jurisdiction]],Places[Jurisdiction],0))</f>
        <v>City</v>
      </c>
      <c r="C1726" s="19" t="str">
        <f>INDEX(Places[County],MATCH(Activities[[#This Row],[Jurisdiction]],Places[Jurisdiction],0))</f>
        <v>Orange</v>
      </c>
      <c r="D1726" s="9" t="str">
        <f>INDEX(Places[Majority RB],MATCH(Activities[[#This Row],[Jurisdiction]],Places[Jurisdiction],0))</f>
        <v>Santa Ana</v>
      </c>
      <c r="E1726" s="9">
        <f>INDEX(Places[Majority RB '#],MATCH(Activities[[#This Row],[Jurisdiction]],Places[Jurisdiction],0))</f>
        <v>8</v>
      </c>
      <c r="F1726" s="28" t="str">
        <f>VLOOKUP(Activities[[#This Row],[Jurisdiction]],Places[#All],8,FALSE)</f>
        <v>Phase I MS4</v>
      </c>
      <c r="G1726" s="48" t="s">
        <v>979</v>
      </c>
      <c r="H1726" s="8" t="s">
        <v>504</v>
      </c>
      <c r="I1726" s="8"/>
      <c r="J1726" s="8" t="s">
        <v>71</v>
      </c>
      <c r="K1726" s="27" t="s">
        <v>1875</v>
      </c>
      <c r="L1726" s="28">
        <f>_xlfn.NUMBERVALUE(LEFT(Activities[[#This Row],[Fiscal Year]], 4))</f>
        <v>2001</v>
      </c>
      <c r="M1726" s="28" t="s">
        <v>1862</v>
      </c>
      <c r="N1726" s="41">
        <v>2700</v>
      </c>
      <c r="O1726" s="93">
        <f>IF(Activities[[#This Row],[Reference Year]]&gt;2018,Activities[[#This Row],[Value]],Activities[[#This Row],[Value]]*(1+VLOOKUP(Activities[[#This Row],[Reference Year]],Inflation[#All],3,FALSE)))</f>
        <v>3836.2715979672498</v>
      </c>
    </row>
    <row r="1727" spans="1:15" ht="15" customHeight="1" x14ac:dyDescent="0.25">
      <c r="A1727" s="9" t="s">
        <v>292</v>
      </c>
      <c r="B1727" s="9" t="str">
        <f>INDEX(Places[Type],MATCH(Activities[[#This Row],[Jurisdiction]],Places[Jurisdiction],0))</f>
        <v>City</v>
      </c>
      <c r="C1727" s="19" t="str">
        <f>INDEX(Places[County],MATCH(Activities[[#This Row],[Jurisdiction]],Places[Jurisdiction],0))</f>
        <v>Orange</v>
      </c>
      <c r="D1727" s="9" t="str">
        <f>INDEX(Places[Majority RB],MATCH(Activities[[#This Row],[Jurisdiction]],Places[Jurisdiction],0))</f>
        <v>Santa Ana</v>
      </c>
      <c r="E1727" s="9">
        <f>INDEX(Places[Majority RB '#],MATCH(Activities[[#This Row],[Jurisdiction]],Places[Jurisdiction],0))</f>
        <v>8</v>
      </c>
      <c r="F1727" s="28" t="str">
        <f>VLOOKUP(Activities[[#This Row],[Jurisdiction]],Places[#All],8,FALSE)</f>
        <v>Phase I MS4</v>
      </c>
      <c r="G1727" s="48" t="s">
        <v>980</v>
      </c>
      <c r="H1727" s="8" t="s">
        <v>504</v>
      </c>
      <c r="I1727" s="8"/>
      <c r="J1727" s="8" t="s">
        <v>1897</v>
      </c>
      <c r="K1727" s="27" t="s">
        <v>1875</v>
      </c>
      <c r="L1727" s="28">
        <f>_xlfn.NUMBERVALUE(LEFT(Activities[[#This Row],[Fiscal Year]], 4))</f>
        <v>2001</v>
      </c>
      <c r="M1727" s="28" t="s">
        <v>1862</v>
      </c>
      <c r="N1727" s="41">
        <v>1000</v>
      </c>
      <c r="O1727" s="93">
        <f>IF(Activities[[#This Row],[Reference Year]]&gt;2018,Activities[[#This Row],[Value]],Activities[[#This Row],[Value]]*(1+VLOOKUP(Activities[[#This Row],[Reference Year]],Inflation[#All],3,FALSE)))</f>
        <v>1420.8413325804629</v>
      </c>
    </row>
    <row r="1728" spans="1:15" ht="15" customHeight="1" x14ac:dyDescent="0.25">
      <c r="A1728" s="9" t="s">
        <v>292</v>
      </c>
      <c r="B1728" s="9" t="str">
        <f>INDEX(Places[Type],MATCH(Activities[[#This Row],[Jurisdiction]],Places[Jurisdiction],0))</f>
        <v>City</v>
      </c>
      <c r="C1728" s="19" t="str">
        <f>INDEX(Places[County],MATCH(Activities[[#This Row],[Jurisdiction]],Places[Jurisdiction],0))</f>
        <v>Orange</v>
      </c>
      <c r="D1728" s="9" t="str">
        <f>INDEX(Places[Majority RB],MATCH(Activities[[#This Row],[Jurisdiction]],Places[Jurisdiction],0))</f>
        <v>Santa Ana</v>
      </c>
      <c r="E1728" s="9">
        <f>INDEX(Places[Majority RB '#],MATCH(Activities[[#This Row],[Jurisdiction]],Places[Jurisdiction],0))</f>
        <v>8</v>
      </c>
      <c r="F1728" s="28" t="str">
        <f>VLOOKUP(Activities[[#This Row],[Jurisdiction]],Places[#All],8,FALSE)</f>
        <v>Phase I MS4</v>
      </c>
      <c r="G1728" s="48" t="s">
        <v>981</v>
      </c>
      <c r="H1728" s="8" t="s">
        <v>504</v>
      </c>
      <c r="I1728" s="8"/>
      <c r="J1728" s="8" t="s">
        <v>1897</v>
      </c>
      <c r="K1728" s="27" t="s">
        <v>1875</v>
      </c>
      <c r="L1728" s="28">
        <f>_xlfn.NUMBERVALUE(LEFT(Activities[[#This Row],[Fiscal Year]], 4))</f>
        <v>2001</v>
      </c>
      <c r="M1728" s="28" t="s">
        <v>1862</v>
      </c>
      <c r="N1728" s="41">
        <v>93999</v>
      </c>
      <c r="O1728" s="93">
        <f>IF(Activities[[#This Row],[Reference Year]]&gt;2018,Activities[[#This Row],[Value]],Activities[[#This Row],[Value]]*(1+VLOOKUP(Activities[[#This Row],[Reference Year]],Inflation[#All],3,FALSE)))</f>
        <v>133557.66442123093</v>
      </c>
    </row>
    <row r="1729" spans="1:15" ht="15" customHeight="1" x14ac:dyDescent="0.25">
      <c r="A1729" s="9" t="s">
        <v>292</v>
      </c>
      <c r="B1729" s="9" t="str">
        <f>INDEX(Places[Type],MATCH(Activities[[#This Row],[Jurisdiction]],Places[Jurisdiction],0))</f>
        <v>City</v>
      </c>
      <c r="C1729" s="19" t="str">
        <f>INDEX(Places[County],MATCH(Activities[[#This Row],[Jurisdiction]],Places[Jurisdiction],0))</f>
        <v>Orange</v>
      </c>
      <c r="D1729" s="9" t="str">
        <f>INDEX(Places[Majority RB],MATCH(Activities[[#This Row],[Jurisdiction]],Places[Jurisdiction],0))</f>
        <v>Santa Ana</v>
      </c>
      <c r="E1729" s="9">
        <f>INDEX(Places[Majority RB '#],MATCH(Activities[[#This Row],[Jurisdiction]],Places[Jurisdiction],0))</f>
        <v>8</v>
      </c>
      <c r="F1729" s="28" t="str">
        <f>VLOOKUP(Activities[[#This Row],[Jurisdiction]],Places[#All],8,FALSE)</f>
        <v>Phase I MS4</v>
      </c>
      <c r="G1729" s="48" t="s">
        <v>987</v>
      </c>
      <c r="H1729" s="8"/>
      <c r="I1729" s="8"/>
      <c r="J1729" s="8" t="s">
        <v>1898</v>
      </c>
      <c r="K1729" s="27" t="s">
        <v>1875</v>
      </c>
      <c r="L1729" s="28">
        <f>_xlfn.NUMBERVALUE(LEFT(Activities[[#This Row],[Fiscal Year]], 4))</f>
        <v>2001</v>
      </c>
      <c r="M1729" s="28" t="s">
        <v>1862</v>
      </c>
      <c r="N1729" s="41">
        <v>500</v>
      </c>
      <c r="O1729" s="93">
        <f>IF(Activities[[#This Row],[Reference Year]]&gt;2018,Activities[[#This Row],[Value]],Activities[[#This Row],[Value]]*(1+VLOOKUP(Activities[[#This Row],[Reference Year]],Inflation[#All],3,FALSE)))</f>
        <v>710.42066629023145</v>
      </c>
    </row>
    <row r="1730" spans="1:15" ht="15" customHeight="1" x14ac:dyDescent="0.25">
      <c r="A1730" s="9" t="s">
        <v>416</v>
      </c>
      <c r="B1730" s="9" t="str">
        <f>INDEX(Places[Type],MATCH(Activities[[#This Row],[Jurisdiction]],Places[Jurisdiction],0))</f>
        <v>City</v>
      </c>
      <c r="C1730" s="19" t="str">
        <f>INDEX(Places[County],MATCH(Activities[[#This Row],[Jurisdiction]],Places[Jurisdiction],0))</f>
        <v>San Joaquin</v>
      </c>
      <c r="D1730" s="9" t="str">
        <f>INDEX(Places[Majority RB],MATCH(Activities[[#This Row],[Jurisdiction]],Places[Jurisdiction],0))</f>
        <v>Central Valley</v>
      </c>
      <c r="E1730" s="9">
        <f>INDEX(Places[Majority RB '#],MATCH(Activities[[#This Row],[Jurisdiction]],Places[Jurisdiction],0))</f>
        <v>5</v>
      </c>
      <c r="F1730" s="28" t="str">
        <f>VLOOKUP(Activities[[#This Row],[Jurisdiction]],Places[#All],8,FALSE)</f>
        <v>Phase I MS4</v>
      </c>
      <c r="G1730" s="48" t="s">
        <v>70</v>
      </c>
      <c r="H1730" s="62" t="s">
        <v>1915</v>
      </c>
      <c r="I1730" s="8" t="s">
        <v>458</v>
      </c>
      <c r="J1730" s="8" t="s">
        <v>1895</v>
      </c>
      <c r="K1730" s="27" t="s">
        <v>1874</v>
      </c>
      <c r="L1730" s="28">
        <f>_xlfn.NUMBERVALUE(LEFT(Activities[[#This Row],[Fiscal Year]], 4))</f>
        <v>2017</v>
      </c>
      <c r="M1730" s="28" t="s">
        <v>1862</v>
      </c>
      <c r="N1730" s="41">
        <v>3281</v>
      </c>
      <c r="O1730" s="93">
        <f>IF(Activities[[#This Row],[Reference Year]]&gt;2018,Activities[[#This Row],[Value]],Activities[[#This Row],[Value]]*(1+VLOOKUP(Activities[[#This Row],[Reference Year]],Inflation[#All],3,FALSE)))</f>
        <v>3368.4264014687888</v>
      </c>
    </row>
    <row r="1731" spans="1:15" ht="15" customHeight="1" x14ac:dyDescent="0.25">
      <c r="A1731" s="9" t="s">
        <v>416</v>
      </c>
      <c r="B1731" s="9" t="str">
        <f>INDEX(Places[Type],MATCH(Activities[[#This Row],[Jurisdiction]],Places[Jurisdiction],0))</f>
        <v>City</v>
      </c>
      <c r="C1731" s="19" t="str">
        <f>INDEX(Places[County],MATCH(Activities[[#This Row],[Jurisdiction]],Places[Jurisdiction],0))</f>
        <v>San Joaquin</v>
      </c>
      <c r="D1731" s="9" t="str">
        <f>INDEX(Places[Majority RB],MATCH(Activities[[#This Row],[Jurisdiction]],Places[Jurisdiction],0))</f>
        <v>Central Valley</v>
      </c>
      <c r="E1731" s="9">
        <f>INDEX(Places[Majority RB '#],MATCH(Activities[[#This Row],[Jurisdiction]],Places[Jurisdiction],0))</f>
        <v>5</v>
      </c>
      <c r="F1731" s="28" t="str">
        <f>VLOOKUP(Activities[[#This Row],[Jurisdiction]],Places[#All],8,FALSE)</f>
        <v>Phase I MS4</v>
      </c>
      <c r="G1731" s="48" t="s">
        <v>334</v>
      </c>
      <c r="H1731" s="62" t="s">
        <v>1916</v>
      </c>
      <c r="I1731" s="8" t="s">
        <v>557</v>
      </c>
      <c r="J1731" s="8" t="s">
        <v>334</v>
      </c>
      <c r="K1731" s="27" t="s">
        <v>1874</v>
      </c>
      <c r="L1731" s="28">
        <f>_xlfn.NUMBERVALUE(LEFT(Activities[[#This Row],[Fiscal Year]], 4))</f>
        <v>2017</v>
      </c>
      <c r="M1731" s="28" t="s">
        <v>1862</v>
      </c>
      <c r="N1731" s="41">
        <v>3281</v>
      </c>
      <c r="O1731" s="93">
        <f>IF(Activities[[#This Row],[Reference Year]]&gt;2018,Activities[[#This Row],[Value]],Activities[[#This Row],[Value]]*(1+VLOOKUP(Activities[[#This Row],[Reference Year]],Inflation[#All],3,FALSE)))</f>
        <v>3368.4264014687888</v>
      </c>
    </row>
    <row r="1732" spans="1:15" ht="15" customHeight="1" x14ac:dyDescent="0.25">
      <c r="A1732" s="9" t="s">
        <v>416</v>
      </c>
      <c r="B1732" s="9" t="str">
        <f>INDEX(Places[Type],MATCH(Activities[[#This Row],[Jurisdiction]],Places[Jurisdiction],0))</f>
        <v>City</v>
      </c>
      <c r="C1732" s="19" t="str">
        <f>INDEX(Places[County],MATCH(Activities[[#This Row],[Jurisdiction]],Places[Jurisdiction],0))</f>
        <v>San Joaquin</v>
      </c>
      <c r="D1732" s="9" t="str">
        <f>INDEX(Places[Majority RB],MATCH(Activities[[#This Row],[Jurisdiction]],Places[Jurisdiction],0))</f>
        <v>Central Valley</v>
      </c>
      <c r="E1732" s="9">
        <f>INDEX(Places[Majority RB '#],MATCH(Activities[[#This Row],[Jurisdiction]],Places[Jurisdiction],0))</f>
        <v>5</v>
      </c>
      <c r="F1732" s="28" t="str">
        <f>VLOOKUP(Activities[[#This Row],[Jurisdiction]],Places[#All],8,FALSE)</f>
        <v>Phase I MS4</v>
      </c>
      <c r="G1732" s="48" t="s">
        <v>127</v>
      </c>
      <c r="H1732" s="62" t="s">
        <v>1917</v>
      </c>
      <c r="I1732" s="47" t="s">
        <v>556</v>
      </c>
      <c r="J1732" s="8" t="s">
        <v>1897</v>
      </c>
      <c r="K1732" s="27" t="s">
        <v>1874</v>
      </c>
      <c r="L1732" s="28">
        <f>_xlfn.NUMBERVALUE(LEFT(Activities[[#This Row],[Fiscal Year]], 4))</f>
        <v>2017</v>
      </c>
      <c r="M1732" s="28" t="s">
        <v>1862</v>
      </c>
      <c r="N1732" s="41">
        <v>2948593</v>
      </c>
      <c r="O1732" s="93">
        <f>IF(Activities[[#This Row],[Reference Year]]&gt;2018,Activities[[#This Row],[Value]],Activities[[#This Row],[Value]]*(1+VLOOKUP(Activities[[#This Row],[Reference Year]],Inflation[#All],3,FALSE)))</f>
        <v>3027161.9958506734</v>
      </c>
    </row>
    <row r="1733" spans="1:15" ht="15" customHeight="1" x14ac:dyDescent="0.25">
      <c r="A1733" s="9" t="s">
        <v>416</v>
      </c>
      <c r="B1733" s="9" t="str">
        <f>INDEX(Places[Type],MATCH(Activities[[#This Row],[Jurisdiction]],Places[Jurisdiction],0))</f>
        <v>City</v>
      </c>
      <c r="C1733" s="19" t="str">
        <f>INDEX(Places[County],MATCH(Activities[[#This Row],[Jurisdiction]],Places[Jurisdiction],0))</f>
        <v>San Joaquin</v>
      </c>
      <c r="D1733" s="9" t="str">
        <f>INDEX(Places[Majority RB],MATCH(Activities[[#This Row],[Jurisdiction]],Places[Jurisdiction],0))</f>
        <v>Central Valley</v>
      </c>
      <c r="E1733" s="9">
        <f>INDEX(Places[Majority RB '#],MATCH(Activities[[#This Row],[Jurisdiction]],Places[Jurisdiction],0))</f>
        <v>5</v>
      </c>
      <c r="F1733" s="28" t="str">
        <f>VLOOKUP(Activities[[#This Row],[Jurisdiction]],Places[#All],8,FALSE)</f>
        <v>Phase I MS4</v>
      </c>
      <c r="G1733" s="48" t="s">
        <v>418</v>
      </c>
      <c r="H1733" s="8" t="s">
        <v>1843</v>
      </c>
      <c r="I1733" s="8"/>
      <c r="J1733" s="8" t="s">
        <v>1898</v>
      </c>
      <c r="K1733" s="27" t="s">
        <v>1874</v>
      </c>
      <c r="L1733" s="28">
        <f>_xlfn.NUMBERVALUE(LEFT(Activities[[#This Row],[Fiscal Year]], 4))</f>
        <v>2017</v>
      </c>
      <c r="M1733" s="28" t="s">
        <v>1862</v>
      </c>
      <c r="N1733" s="41">
        <v>73639</v>
      </c>
      <c r="O1733" s="93">
        <f>IF(Activities[[#This Row],[Reference Year]]&gt;2018,Activities[[#This Row],[Value]],Activities[[#This Row],[Value]]*(1+VLOOKUP(Activities[[#This Row],[Reference Year]],Inflation[#All],3,FALSE)))</f>
        <v>75601.204443084469</v>
      </c>
    </row>
    <row r="1734" spans="1:15" ht="15" customHeight="1" x14ac:dyDescent="0.25">
      <c r="A1734" s="9" t="s">
        <v>416</v>
      </c>
      <c r="B1734" s="9" t="str">
        <f>INDEX(Places[Type],MATCH(Activities[[#This Row],[Jurisdiction]],Places[Jurisdiction],0))</f>
        <v>City</v>
      </c>
      <c r="C1734" s="19" t="str">
        <f>INDEX(Places[County],MATCH(Activities[[#This Row],[Jurisdiction]],Places[Jurisdiction],0))</f>
        <v>San Joaquin</v>
      </c>
      <c r="D1734" s="9" t="str">
        <f>INDEX(Places[Majority RB],MATCH(Activities[[#This Row],[Jurisdiction]],Places[Jurisdiction],0))</f>
        <v>Central Valley</v>
      </c>
      <c r="E1734" s="9">
        <f>INDEX(Places[Majority RB '#],MATCH(Activities[[#This Row],[Jurisdiction]],Places[Jurisdiction],0))</f>
        <v>5</v>
      </c>
      <c r="F1734" s="28" t="str">
        <f>VLOOKUP(Activities[[#This Row],[Jurisdiction]],Places[#All],8,FALSE)</f>
        <v>Phase I MS4</v>
      </c>
      <c r="G1734" s="48" t="s">
        <v>68</v>
      </c>
      <c r="H1734" s="62" t="s">
        <v>1918</v>
      </c>
      <c r="I1734" s="8" t="s">
        <v>536</v>
      </c>
      <c r="J1734" s="8" t="s">
        <v>1456</v>
      </c>
      <c r="K1734" s="27" t="s">
        <v>1874</v>
      </c>
      <c r="L1734" s="28">
        <f>_xlfn.NUMBERVALUE(LEFT(Activities[[#This Row],[Fiscal Year]], 4))</f>
        <v>2017</v>
      </c>
      <c r="M1734" s="28" t="s">
        <v>1862</v>
      </c>
      <c r="N1734" s="41">
        <v>4008</v>
      </c>
      <c r="O1734" s="93">
        <f>IF(Activities[[#This Row],[Reference Year]]&gt;2018,Activities[[#This Row],[Value]],Activities[[#This Row],[Value]]*(1+VLOOKUP(Activities[[#This Row],[Reference Year]],Inflation[#All],3,FALSE)))</f>
        <v>4114.7982374541007</v>
      </c>
    </row>
    <row r="1735" spans="1:15" ht="15" customHeight="1" x14ac:dyDescent="0.25">
      <c r="A1735" s="9" t="s">
        <v>416</v>
      </c>
      <c r="B1735" s="9" t="str">
        <f>INDEX(Places[Type],MATCH(Activities[[#This Row],[Jurisdiction]],Places[Jurisdiction],0))</f>
        <v>City</v>
      </c>
      <c r="C1735" s="19" t="str">
        <f>INDEX(Places[County],MATCH(Activities[[#This Row],[Jurisdiction]],Places[Jurisdiction],0))</f>
        <v>San Joaquin</v>
      </c>
      <c r="D1735" s="9" t="str">
        <f>INDEX(Places[Majority RB],MATCH(Activities[[#This Row],[Jurisdiction]],Places[Jurisdiction],0))</f>
        <v>Central Valley</v>
      </c>
      <c r="E1735" s="9">
        <f>INDEX(Places[Majority RB '#],MATCH(Activities[[#This Row],[Jurisdiction]],Places[Jurisdiction],0))</f>
        <v>5</v>
      </c>
      <c r="F1735" s="28" t="str">
        <f>VLOOKUP(Activities[[#This Row],[Jurisdiction]],Places[#All],8,FALSE)</f>
        <v>Phase I MS4</v>
      </c>
      <c r="G1735" s="48" t="s">
        <v>32</v>
      </c>
      <c r="H1735" s="62" t="s">
        <v>1919</v>
      </c>
      <c r="I1735" s="8" t="s">
        <v>429</v>
      </c>
      <c r="J1735" s="8" t="s">
        <v>1894</v>
      </c>
      <c r="K1735" s="27" t="s">
        <v>1874</v>
      </c>
      <c r="L1735" s="28">
        <f>_xlfn.NUMBERVALUE(LEFT(Activities[[#This Row],[Fiscal Year]], 4))</f>
        <v>2017</v>
      </c>
      <c r="M1735" s="28" t="s">
        <v>1862</v>
      </c>
      <c r="N1735" s="41">
        <v>1478952</v>
      </c>
      <c r="O1735" s="93">
        <f>IF(Activities[[#This Row],[Reference Year]]&gt;2018,Activities[[#This Row],[Value]],Activities[[#This Row],[Value]]*(1+VLOOKUP(Activities[[#This Row],[Reference Year]],Inflation[#All],3,FALSE)))</f>
        <v>1518360.5496205632</v>
      </c>
    </row>
    <row r="1736" spans="1:15" ht="15" customHeight="1" x14ac:dyDescent="0.25">
      <c r="A1736" s="9" t="s">
        <v>416</v>
      </c>
      <c r="B1736" s="9" t="str">
        <f>INDEX(Places[Type],MATCH(Activities[[#This Row],[Jurisdiction]],Places[Jurisdiction],0))</f>
        <v>City</v>
      </c>
      <c r="C1736" s="19" t="str">
        <f>INDEX(Places[County],MATCH(Activities[[#This Row],[Jurisdiction]],Places[Jurisdiction],0))</f>
        <v>San Joaquin</v>
      </c>
      <c r="D1736" s="9" t="str">
        <f>INDEX(Places[Majority RB],MATCH(Activities[[#This Row],[Jurisdiction]],Places[Jurisdiction],0))</f>
        <v>Central Valley</v>
      </c>
      <c r="E1736" s="9">
        <f>INDEX(Places[Majority RB '#],MATCH(Activities[[#This Row],[Jurisdiction]],Places[Jurisdiction],0))</f>
        <v>5</v>
      </c>
      <c r="F1736" s="28" t="str">
        <f>VLOOKUP(Activities[[#This Row],[Jurisdiction]],Places[#All],8,FALSE)</f>
        <v>Phase I MS4</v>
      </c>
      <c r="G1736" s="48" t="s">
        <v>420</v>
      </c>
      <c r="H1736" s="8" t="s">
        <v>604</v>
      </c>
      <c r="I1736" s="8"/>
      <c r="J1736" s="8" t="s">
        <v>1896</v>
      </c>
      <c r="K1736" s="27" t="s">
        <v>1874</v>
      </c>
      <c r="L1736" s="28">
        <f>_xlfn.NUMBERVALUE(LEFT(Activities[[#This Row],[Fiscal Year]], 4))</f>
        <v>2017</v>
      </c>
      <c r="M1736" s="28" t="s">
        <v>1862</v>
      </c>
      <c r="N1736" s="41">
        <v>54998</v>
      </c>
      <c r="O1736" s="93">
        <f>IF(Activities[[#This Row],[Reference Year]]&gt;2018,Activities[[#This Row],[Value]],Activities[[#This Row],[Value]]*(1+VLOOKUP(Activities[[#This Row],[Reference Year]],Inflation[#All],3,FALSE)))</f>
        <v>56463.491383108943</v>
      </c>
    </row>
    <row r="1737" spans="1:15" ht="15" customHeight="1" x14ac:dyDescent="0.25">
      <c r="A1737" s="9" t="s">
        <v>416</v>
      </c>
      <c r="B1737" s="9" t="str">
        <f>INDEX(Places[Type],MATCH(Activities[[#This Row],[Jurisdiction]],Places[Jurisdiction],0))</f>
        <v>City</v>
      </c>
      <c r="C1737" s="19" t="str">
        <f>INDEX(Places[County],MATCH(Activities[[#This Row],[Jurisdiction]],Places[Jurisdiction],0))</f>
        <v>San Joaquin</v>
      </c>
      <c r="D1737" s="9" t="str">
        <f>INDEX(Places[Majority RB],MATCH(Activities[[#This Row],[Jurisdiction]],Places[Jurisdiction],0))</f>
        <v>Central Valley</v>
      </c>
      <c r="E1737" s="9">
        <f>INDEX(Places[Majority RB '#],MATCH(Activities[[#This Row],[Jurisdiction]],Places[Jurisdiction],0))</f>
        <v>5</v>
      </c>
      <c r="F1737" s="28" t="str">
        <f>VLOOKUP(Activities[[#This Row],[Jurisdiction]],Places[#All],8,FALSE)</f>
        <v>Phase I MS4</v>
      </c>
      <c r="G1737" s="48" t="s">
        <v>419</v>
      </c>
      <c r="H1737" s="8" t="s">
        <v>1842</v>
      </c>
      <c r="I1737" s="8"/>
      <c r="J1737" s="8" t="s">
        <v>47</v>
      </c>
      <c r="K1737" s="27" t="s">
        <v>1874</v>
      </c>
      <c r="L1737" s="28">
        <f>_xlfn.NUMBERVALUE(LEFT(Activities[[#This Row],[Fiscal Year]], 4))</f>
        <v>2017</v>
      </c>
      <c r="M1737" s="28" t="s">
        <v>1862</v>
      </c>
      <c r="N1737" s="41">
        <v>257441</v>
      </c>
      <c r="O1737" s="93">
        <f>IF(Activities[[#This Row],[Reference Year]]&gt;2018,Activities[[#This Row],[Value]],Activities[[#This Row],[Value]]*(1+VLOOKUP(Activities[[#This Row],[Reference Year]],Inflation[#All],3,FALSE)))</f>
        <v>264300.84157894738</v>
      </c>
    </row>
    <row r="1738" spans="1:15" ht="15" customHeight="1" x14ac:dyDescent="0.25">
      <c r="A1738" s="9" t="s">
        <v>298</v>
      </c>
      <c r="B1738" s="9" t="str">
        <f>INDEX(Places[Type],MATCH(Activities[[#This Row],[Jurisdiction]],Places[Jurisdiction],0))</f>
        <v>City</v>
      </c>
      <c r="C1738" s="19" t="str">
        <f>INDEX(Places[County],MATCH(Activities[[#This Row],[Jurisdiction]],Places[Jurisdiction],0))</f>
        <v>Riverside</v>
      </c>
      <c r="D1738" s="9" t="str">
        <f>INDEX(Places[Majority RB],MATCH(Activities[[#This Row],[Jurisdiction]],Places[Jurisdiction],0))</f>
        <v>San Diego</v>
      </c>
      <c r="E1738" s="9">
        <f>INDEX(Places[Majority RB '#],MATCH(Activities[[#This Row],[Jurisdiction]],Places[Jurisdiction],0))</f>
        <v>9</v>
      </c>
      <c r="F1738" s="28" t="str">
        <f>VLOOKUP(Activities[[#This Row],[Jurisdiction]],Places[#All],8,FALSE)</f>
        <v>Phase I MS4</v>
      </c>
      <c r="G1738" s="48" t="s">
        <v>210</v>
      </c>
      <c r="H1738" s="8"/>
      <c r="I1738" s="8"/>
      <c r="J1738" s="8" t="s">
        <v>1895</v>
      </c>
      <c r="K1738" s="27" t="s">
        <v>1874</v>
      </c>
      <c r="L1738" s="28">
        <f>_xlfn.NUMBERVALUE(LEFT(Activities[[#This Row],[Fiscal Year]], 4))</f>
        <v>2017</v>
      </c>
      <c r="M1738" s="28" t="s">
        <v>1862</v>
      </c>
      <c r="N1738" s="41">
        <v>58649</v>
      </c>
      <c r="O1738" s="93">
        <f>IF(Activities[[#This Row],[Reference Year]]&gt;2018,Activities[[#This Row],[Value]],Activities[[#This Row],[Value]]*(1+VLOOKUP(Activities[[#This Row],[Reference Year]],Inflation[#All],3,FALSE)))</f>
        <v>60211.776903304781</v>
      </c>
    </row>
    <row r="1739" spans="1:15" ht="15" customHeight="1" x14ac:dyDescent="0.25">
      <c r="A1739" s="9" t="s">
        <v>298</v>
      </c>
      <c r="B1739" s="9" t="str">
        <f>INDEX(Places[Type],MATCH(Activities[[#This Row],[Jurisdiction]],Places[Jurisdiction],0))</f>
        <v>City</v>
      </c>
      <c r="C1739" s="19" t="str">
        <f>INDEX(Places[County],MATCH(Activities[[#This Row],[Jurisdiction]],Places[Jurisdiction],0))</f>
        <v>Riverside</v>
      </c>
      <c r="D1739" s="9" t="str">
        <f>INDEX(Places[Majority RB],MATCH(Activities[[#This Row],[Jurisdiction]],Places[Jurisdiction],0))</f>
        <v>San Diego</v>
      </c>
      <c r="E1739" s="9">
        <f>INDEX(Places[Majority RB '#],MATCH(Activities[[#This Row],[Jurisdiction]],Places[Jurisdiction],0))</f>
        <v>9</v>
      </c>
      <c r="F1739" s="28" t="str">
        <f>VLOOKUP(Activities[[#This Row],[Jurisdiction]],Places[#All],8,FALSE)</f>
        <v>Phase I MS4</v>
      </c>
      <c r="G1739" s="48" t="s">
        <v>326</v>
      </c>
      <c r="H1739" s="8"/>
      <c r="I1739" s="8"/>
      <c r="J1739" s="8" t="s">
        <v>131</v>
      </c>
      <c r="K1739" s="27" t="s">
        <v>1874</v>
      </c>
      <c r="L1739" s="28">
        <f>_xlfn.NUMBERVALUE(LEFT(Activities[[#This Row],[Fiscal Year]], 4))</f>
        <v>2017</v>
      </c>
      <c r="M1739" s="28" t="s">
        <v>1862</v>
      </c>
      <c r="N1739" s="41">
        <v>33000</v>
      </c>
      <c r="O1739" s="93">
        <f>IF(Activities[[#This Row],[Reference Year]]&gt;2018,Activities[[#This Row],[Value]],Activities[[#This Row],[Value]]*(1+VLOOKUP(Activities[[#This Row],[Reference Year]],Inflation[#All],3,FALSE)))</f>
        <v>33879.326805385565</v>
      </c>
    </row>
    <row r="1740" spans="1:15" ht="15" customHeight="1" x14ac:dyDescent="0.25">
      <c r="A1740" s="9" t="s">
        <v>298</v>
      </c>
      <c r="B1740" s="9" t="str">
        <f>INDEX(Places[Type],MATCH(Activities[[#This Row],[Jurisdiction]],Places[Jurisdiction],0))</f>
        <v>City</v>
      </c>
      <c r="C1740" s="19" t="str">
        <f>INDEX(Places[County],MATCH(Activities[[#This Row],[Jurisdiction]],Places[Jurisdiction],0))</f>
        <v>Riverside</v>
      </c>
      <c r="D1740" s="9" t="str">
        <f>INDEX(Places[Majority RB],MATCH(Activities[[#This Row],[Jurisdiction]],Places[Jurisdiction],0))</f>
        <v>San Diego</v>
      </c>
      <c r="E1740" s="9">
        <f>INDEX(Places[Majority RB '#],MATCH(Activities[[#This Row],[Jurisdiction]],Places[Jurisdiction],0))</f>
        <v>9</v>
      </c>
      <c r="F1740" s="28" t="str">
        <f>VLOOKUP(Activities[[#This Row],[Jurisdiction]],Places[#All],8,FALSE)</f>
        <v>Phase I MS4</v>
      </c>
      <c r="G1740" s="48" t="s">
        <v>325</v>
      </c>
      <c r="H1740" s="8"/>
      <c r="I1740" s="8"/>
      <c r="J1740" s="8" t="s">
        <v>334</v>
      </c>
      <c r="K1740" s="27" t="s">
        <v>1874</v>
      </c>
      <c r="L1740" s="28">
        <f>_xlfn.NUMBERVALUE(LEFT(Activities[[#This Row],[Fiscal Year]], 4))</f>
        <v>2017</v>
      </c>
      <c r="M1740" s="28" t="s">
        <v>1862</v>
      </c>
      <c r="N1740" s="41">
        <v>30000</v>
      </c>
      <c r="O1740" s="93">
        <f>IF(Activities[[#This Row],[Reference Year]]&gt;2018,Activities[[#This Row],[Value]],Activities[[#This Row],[Value]]*(1+VLOOKUP(Activities[[#This Row],[Reference Year]],Inflation[#All],3,FALSE)))</f>
        <v>30799.388004895965</v>
      </c>
    </row>
    <row r="1741" spans="1:15" ht="15" customHeight="1" x14ac:dyDescent="0.25">
      <c r="A1741" s="9" t="s">
        <v>298</v>
      </c>
      <c r="B1741" s="9" t="str">
        <f>INDEX(Places[Type],MATCH(Activities[[#This Row],[Jurisdiction]],Places[Jurisdiction],0))</f>
        <v>City</v>
      </c>
      <c r="C1741" s="19" t="str">
        <f>INDEX(Places[County],MATCH(Activities[[#This Row],[Jurisdiction]],Places[Jurisdiction],0))</f>
        <v>Riverside</v>
      </c>
      <c r="D1741" s="9" t="str">
        <f>INDEX(Places[Majority RB],MATCH(Activities[[#This Row],[Jurisdiction]],Places[Jurisdiction],0))</f>
        <v>San Diego</v>
      </c>
      <c r="E1741" s="9">
        <f>INDEX(Places[Majority RB '#],MATCH(Activities[[#This Row],[Jurisdiction]],Places[Jurisdiction],0))</f>
        <v>9</v>
      </c>
      <c r="F1741" s="28" t="str">
        <f>VLOOKUP(Activities[[#This Row],[Jurisdiction]],Places[#All],8,FALSE)</f>
        <v>Phase I MS4</v>
      </c>
      <c r="G1741" s="48" t="s">
        <v>327</v>
      </c>
      <c r="H1741" s="8"/>
      <c r="I1741" s="8"/>
      <c r="J1741" s="8" t="s">
        <v>1897</v>
      </c>
      <c r="K1741" s="27" t="s">
        <v>1874</v>
      </c>
      <c r="L1741" s="28">
        <f>_xlfn.NUMBERVALUE(LEFT(Activities[[#This Row],[Fiscal Year]], 4))</f>
        <v>2017</v>
      </c>
      <c r="M1741" s="28" t="s">
        <v>1862</v>
      </c>
      <c r="N1741" s="41">
        <v>106773</v>
      </c>
      <c r="O1741" s="93">
        <f>IF(Activities[[#This Row],[Reference Year]]&gt;2018,Activities[[#This Row],[Value]],Activities[[#This Row],[Value]]*(1+VLOOKUP(Activities[[#This Row],[Reference Year]],Inflation[#All],3,FALSE)))</f>
        <v>109618.10184822523</v>
      </c>
    </row>
    <row r="1742" spans="1:15" ht="15" customHeight="1" x14ac:dyDescent="0.25">
      <c r="A1742" s="9" t="s">
        <v>298</v>
      </c>
      <c r="B1742" s="9" t="str">
        <f>INDEX(Places[Type],MATCH(Activities[[#This Row],[Jurisdiction]],Places[Jurisdiction],0))</f>
        <v>City</v>
      </c>
      <c r="C1742" s="19" t="str">
        <f>INDEX(Places[County],MATCH(Activities[[#This Row],[Jurisdiction]],Places[Jurisdiction],0))</f>
        <v>Riverside</v>
      </c>
      <c r="D1742" s="9" t="str">
        <f>INDEX(Places[Majority RB],MATCH(Activities[[#This Row],[Jurisdiction]],Places[Jurisdiction],0))</f>
        <v>San Diego</v>
      </c>
      <c r="E1742" s="9">
        <f>INDEX(Places[Majority RB '#],MATCH(Activities[[#This Row],[Jurisdiction]],Places[Jurisdiction],0))</f>
        <v>9</v>
      </c>
      <c r="F1742" s="28" t="str">
        <f>VLOOKUP(Activities[[#This Row],[Jurisdiction]],Places[#All],8,FALSE)</f>
        <v>Phase I MS4</v>
      </c>
      <c r="G1742" s="48" t="s">
        <v>209</v>
      </c>
      <c r="H1742" s="8"/>
      <c r="I1742" s="8"/>
      <c r="J1742" s="8" t="s">
        <v>1898</v>
      </c>
      <c r="K1742" s="27" t="s">
        <v>1874</v>
      </c>
      <c r="L1742" s="28">
        <f>_xlfn.NUMBERVALUE(LEFT(Activities[[#This Row],[Fiscal Year]], 4))</f>
        <v>2017</v>
      </c>
      <c r="M1742" s="28" t="s">
        <v>1862</v>
      </c>
      <c r="N1742" s="41">
        <v>37838</v>
      </c>
      <c r="O1742" s="93">
        <f>IF(Activities[[#This Row],[Reference Year]]&gt;2018,Activities[[#This Row],[Value]],Activities[[#This Row],[Value]]*(1+VLOOKUP(Activities[[#This Row],[Reference Year]],Inflation[#All],3,FALSE)))</f>
        <v>38846.241444308449</v>
      </c>
    </row>
    <row r="1743" spans="1:15" ht="15" customHeight="1" x14ac:dyDescent="0.25">
      <c r="A1743" s="9" t="s">
        <v>298</v>
      </c>
      <c r="B1743" s="9" t="str">
        <f>INDEX(Places[Type],MATCH(Activities[[#This Row],[Jurisdiction]],Places[Jurisdiction],0))</f>
        <v>City</v>
      </c>
      <c r="C1743" s="19" t="str">
        <f>INDEX(Places[County],MATCH(Activities[[#This Row],[Jurisdiction]],Places[Jurisdiction],0))</f>
        <v>Riverside</v>
      </c>
      <c r="D1743" s="9" t="str">
        <f>INDEX(Places[Majority RB],MATCH(Activities[[#This Row],[Jurisdiction]],Places[Jurisdiction],0))</f>
        <v>San Diego</v>
      </c>
      <c r="E1743" s="9">
        <f>INDEX(Places[Majority RB '#],MATCH(Activities[[#This Row],[Jurisdiction]],Places[Jurisdiction],0))</f>
        <v>9</v>
      </c>
      <c r="F1743" s="28" t="str">
        <f>VLOOKUP(Activities[[#This Row],[Jurisdiction]],Places[#All],8,FALSE)</f>
        <v>Phase I MS4</v>
      </c>
      <c r="G1743" s="48" t="s">
        <v>320</v>
      </c>
      <c r="H1743" s="8" t="s">
        <v>581</v>
      </c>
      <c r="I1743" s="47" t="s">
        <v>580</v>
      </c>
      <c r="J1743" s="8" t="s">
        <v>1894</v>
      </c>
      <c r="K1743" s="27" t="s">
        <v>1874</v>
      </c>
      <c r="L1743" s="28">
        <f>_xlfn.NUMBERVALUE(LEFT(Activities[[#This Row],[Fiscal Year]], 4))</f>
        <v>2017</v>
      </c>
      <c r="M1743" s="28" t="s">
        <v>1862</v>
      </c>
      <c r="N1743" s="41">
        <v>35577</v>
      </c>
      <c r="O1743" s="93">
        <f>IF(Activities[[#This Row],[Reference Year]]&gt;2018,Activities[[#This Row],[Value]],Activities[[#This Row],[Value]]*(1+VLOOKUP(Activities[[#This Row],[Reference Year]],Inflation[#All],3,FALSE)))</f>
        <v>36524.994235006125</v>
      </c>
    </row>
    <row r="1744" spans="1:15" ht="15" customHeight="1" x14ac:dyDescent="0.25">
      <c r="A1744" s="9" t="s">
        <v>298</v>
      </c>
      <c r="B1744" s="9" t="str">
        <f>INDEX(Places[Type],MATCH(Activities[[#This Row],[Jurisdiction]],Places[Jurisdiction],0))</f>
        <v>City</v>
      </c>
      <c r="C1744" s="19" t="str">
        <f>INDEX(Places[County],MATCH(Activities[[#This Row],[Jurisdiction]],Places[Jurisdiction],0))</f>
        <v>Riverside</v>
      </c>
      <c r="D1744" s="9" t="str">
        <f>INDEX(Places[Majority RB],MATCH(Activities[[#This Row],[Jurisdiction]],Places[Jurisdiction],0))</f>
        <v>San Diego</v>
      </c>
      <c r="E1744" s="9">
        <f>INDEX(Places[Majority RB '#],MATCH(Activities[[#This Row],[Jurisdiction]],Places[Jurisdiction],0))</f>
        <v>9</v>
      </c>
      <c r="F1744" s="28" t="str">
        <f>VLOOKUP(Activities[[#This Row],[Jurisdiction]],Places[#All],8,FALSE)</f>
        <v>Phase I MS4</v>
      </c>
      <c r="G1744" s="48" t="s">
        <v>32</v>
      </c>
      <c r="H1744" s="8" t="s">
        <v>575</v>
      </c>
      <c r="I1744" s="47" t="s">
        <v>574</v>
      </c>
      <c r="J1744" s="8" t="s">
        <v>1894</v>
      </c>
      <c r="K1744" s="27" t="s">
        <v>1874</v>
      </c>
      <c r="L1744" s="28">
        <f>_xlfn.NUMBERVALUE(LEFT(Activities[[#This Row],[Fiscal Year]], 4))</f>
        <v>2017</v>
      </c>
      <c r="M1744" s="28" t="s">
        <v>1862</v>
      </c>
      <c r="N1744" s="41">
        <v>189191</v>
      </c>
      <c r="O1744" s="93">
        <f>IF(Activities[[#This Row],[Reference Year]]&gt;2018,Activities[[#This Row],[Value]],Activities[[#This Row],[Value]]*(1+VLOOKUP(Activities[[#This Row],[Reference Year]],Inflation[#All],3,FALSE)))</f>
        <v>194232.23386780909</v>
      </c>
    </row>
    <row r="1745" spans="1:15" ht="15" customHeight="1" x14ac:dyDescent="0.25">
      <c r="A1745" s="9" t="s">
        <v>298</v>
      </c>
      <c r="B1745" s="9" t="str">
        <f>INDEX(Places[Type],MATCH(Activities[[#This Row],[Jurisdiction]],Places[Jurisdiction],0))</f>
        <v>City</v>
      </c>
      <c r="C1745" s="19" t="str">
        <f>INDEX(Places[County],MATCH(Activities[[#This Row],[Jurisdiction]],Places[Jurisdiction],0))</f>
        <v>Riverside</v>
      </c>
      <c r="D1745" s="9" t="str">
        <f>INDEX(Places[Majority RB],MATCH(Activities[[#This Row],[Jurisdiction]],Places[Jurisdiction],0))</f>
        <v>San Diego</v>
      </c>
      <c r="E1745" s="9">
        <f>INDEX(Places[Majority RB '#],MATCH(Activities[[#This Row],[Jurisdiction]],Places[Jurisdiction],0))</f>
        <v>9</v>
      </c>
      <c r="F1745" s="28" t="str">
        <f>VLOOKUP(Activities[[#This Row],[Jurisdiction]],Places[#All],8,FALSE)</f>
        <v>Phase I MS4</v>
      </c>
      <c r="G1745" s="48" t="s">
        <v>67</v>
      </c>
      <c r="H1745" s="8"/>
      <c r="I1745" s="8"/>
      <c r="J1745" s="8" t="s">
        <v>1896</v>
      </c>
      <c r="K1745" s="27" t="s">
        <v>1874</v>
      </c>
      <c r="L1745" s="28">
        <f>_xlfn.NUMBERVALUE(LEFT(Activities[[#This Row],[Fiscal Year]], 4))</f>
        <v>2017</v>
      </c>
      <c r="M1745" s="28" t="s">
        <v>1862</v>
      </c>
      <c r="N1745" s="41">
        <v>10000</v>
      </c>
      <c r="O1745" s="93">
        <f>IF(Activities[[#This Row],[Reference Year]]&gt;2018,Activities[[#This Row],[Value]],Activities[[#This Row],[Value]]*(1+VLOOKUP(Activities[[#This Row],[Reference Year]],Inflation[#All],3,FALSE)))</f>
        <v>10266.462668298655</v>
      </c>
    </row>
    <row r="1746" spans="1:15" ht="15" customHeight="1" x14ac:dyDescent="0.25">
      <c r="A1746" s="9" t="s">
        <v>298</v>
      </c>
      <c r="B1746" s="9" t="str">
        <f>INDEX(Places[Type],MATCH(Activities[[#This Row],[Jurisdiction]],Places[Jurisdiction],0))</f>
        <v>City</v>
      </c>
      <c r="C1746" s="19" t="str">
        <f>INDEX(Places[County],MATCH(Activities[[#This Row],[Jurisdiction]],Places[Jurisdiction],0))</f>
        <v>Riverside</v>
      </c>
      <c r="D1746" s="9" t="str">
        <f>INDEX(Places[Majority RB],MATCH(Activities[[#This Row],[Jurisdiction]],Places[Jurisdiction],0))</f>
        <v>San Diego</v>
      </c>
      <c r="E1746" s="9">
        <f>INDEX(Places[Majority RB '#],MATCH(Activities[[#This Row],[Jurisdiction]],Places[Jurisdiction],0))</f>
        <v>9</v>
      </c>
      <c r="F1746" s="28" t="str">
        <f>VLOOKUP(Activities[[#This Row],[Jurisdiction]],Places[#All],8,FALSE)</f>
        <v>Phase I MS4</v>
      </c>
      <c r="G1746" s="48" t="s">
        <v>321</v>
      </c>
      <c r="H1746" s="8"/>
      <c r="I1746" s="8"/>
      <c r="J1746" s="8" t="s">
        <v>1896</v>
      </c>
      <c r="K1746" s="27" t="s">
        <v>1874</v>
      </c>
      <c r="L1746" s="28">
        <f>_xlfn.NUMBERVALUE(LEFT(Activities[[#This Row],[Fiscal Year]], 4))</f>
        <v>2017</v>
      </c>
      <c r="M1746" s="28" t="s">
        <v>1862</v>
      </c>
      <c r="N1746" s="41">
        <v>365558</v>
      </c>
      <c r="O1746" s="93">
        <f>IF(Activities[[#This Row],[Reference Year]]&gt;2018,Activities[[#This Row],[Value]],Activities[[#This Row],[Value]]*(1+VLOOKUP(Activities[[#This Row],[Reference Year]],Inflation[#All],3,FALSE)))</f>
        <v>375298.75600979198</v>
      </c>
    </row>
    <row r="1747" spans="1:15" ht="15" customHeight="1" x14ac:dyDescent="0.25">
      <c r="A1747" s="9" t="s">
        <v>199</v>
      </c>
      <c r="B1747" s="9" t="str">
        <f>INDEX(Places[Type],MATCH(Activities[[#This Row],[Jurisdiction]],Places[Jurisdiction],0))</f>
        <v>City</v>
      </c>
      <c r="C1747" s="19" t="str">
        <f>INDEX(Places[County],MATCH(Activities[[#This Row],[Jurisdiction]],Places[Jurisdiction],0))</f>
        <v>Los Angeles</v>
      </c>
      <c r="D1747" s="19" t="str">
        <f>INDEX(Places[Majority RB],MATCH(Activities[[#This Row],[Jurisdiction]],Places[Jurisdiction],0))</f>
        <v>Los Angeles</v>
      </c>
      <c r="E1747" s="9">
        <f>INDEX(Places[Majority RB '#],MATCH(Activities[[#This Row],[Jurisdiction]],Places[Jurisdiction],0))</f>
        <v>4</v>
      </c>
      <c r="F1747" s="28" t="str">
        <f>VLOOKUP(Activities[[#This Row],[Jurisdiction]],Places[#All],8,FALSE)</f>
        <v>Phase I MS4</v>
      </c>
      <c r="G1747" s="48" t="s">
        <v>62</v>
      </c>
      <c r="H1747" s="8"/>
      <c r="I1747" s="8"/>
      <c r="J1747" s="8" t="s">
        <v>131</v>
      </c>
      <c r="K1747" s="27" t="s">
        <v>1873</v>
      </c>
      <c r="L1747" s="28">
        <f>_xlfn.NUMBERVALUE(LEFT(Activities[[#This Row],[Fiscal Year]], 4))</f>
        <v>2015</v>
      </c>
      <c r="M1747" s="28" t="s">
        <v>1862</v>
      </c>
      <c r="N1747" s="41">
        <v>1500</v>
      </c>
      <c r="O1747" s="93">
        <f>IF(Activities[[#This Row],[Reference Year]]&gt;2018,Activities[[#This Row],[Value]],Activities[[#This Row],[Value]]*(1+VLOOKUP(Activities[[#This Row],[Reference Year]],Inflation[#All],3,FALSE)))</f>
        <v>1592.6012658227846</v>
      </c>
    </row>
    <row r="1748" spans="1:15" ht="15" customHeight="1" x14ac:dyDescent="0.25">
      <c r="A1748" s="9" t="s">
        <v>199</v>
      </c>
      <c r="B1748" s="9" t="str">
        <f>INDEX(Places[Type],MATCH(Activities[[#This Row],[Jurisdiction]],Places[Jurisdiction],0))</f>
        <v>City</v>
      </c>
      <c r="C1748" s="19" t="str">
        <f>INDEX(Places[County],MATCH(Activities[[#This Row],[Jurisdiction]],Places[Jurisdiction],0))</f>
        <v>Los Angeles</v>
      </c>
      <c r="D1748" s="19" t="str">
        <f>INDEX(Places[Majority RB],MATCH(Activities[[#This Row],[Jurisdiction]],Places[Jurisdiction],0))</f>
        <v>Los Angeles</v>
      </c>
      <c r="E1748" s="9">
        <f>INDEX(Places[Majority RB '#],MATCH(Activities[[#This Row],[Jurisdiction]],Places[Jurisdiction],0))</f>
        <v>4</v>
      </c>
      <c r="F1748" s="28" t="str">
        <f>VLOOKUP(Activities[[#This Row],[Jurisdiction]],Places[#All],8,FALSE)</f>
        <v>Phase I MS4</v>
      </c>
      <c r="G1748" s="48" t="s">
        <v>208</v>
      </c>
      <c r="H1748" s="8"/>
      <c r="I1748" s="8"/>
      <c r="J1748" s="8" t="s">
        <v>334</v>
      </c>
      <c r="K1748" s="27" t="s">
        <v>1873</v>
      </c>
      <c r="L1748" s="28">
        <f>_xlfn.NUMBERVALUE(LEFT(Activities[[#This Row],[Fiscal Year]], 4))</f>
        <v>2015</v>
      </c>
      <c r="M1748" s="28" t="s">
        <v>1862</v>
      </c>
      <c r="N1748" s="41">
        <v>15000</v>
      </c>
      <c r="O1748" s="93">
        <f>IF(Activities[[#This Row],[Reference Year]]&gt;2018,Activities[[#This Row],[Value]],Activities[[#This Row],[Value]]*(1+VLOOKUP(Activities[[#This Row],[Reference Year]],Inflation[#All],3,FALSE)))</f>
        <v>15926.012658227848</v>
      </c>
    </row>
    <row r="1749" spans="1:15" ht="15" customHeight="1" x14ac:dyDescent="0.25">
      <c r="A1749" s="9" t="s">
        <v>199</v>
      </c>
      <c r="B1749" s="9" t="str">
        <f>INDEX(Places[Type],MATCH(Activities[[#This Row],[Jurisdiction]],Places[Jurisdiction],0))</f>
        <v>City</v>
      </c>
      <c r="C1749" s="19" t="str">
        <f>INDEX(Places[County],MATCH(Activities[[#This Row],[Jurisdiction]],Places[Jurisdiction],0))</f>
        <v>Los Angeles</v>
      </c>
      <c r="D1749" s="19" t="str">
        <f>INDEX(Places[Majority RB],MATCH(Activities[[#This Row],[Jurisdiction]],Places[Jurisdiction],0))</f>
        <v>Los Angeles</v>
      </c>
      <c r="E1749" s="9">
        <f>INDEX(Places[Majority RB '#],MATCH(Activities[[#This Row],[Jurisdiction]],Places[Jurisdiction],0))</f>
        <v>4</v>
      </c>
      <c r="F1749" s="28" t="str">
        <f>VLOOKUP(Activities[[#This Row],[Jurisdiction]],Places[#All],8,FALSE)</f>
        <v>Phase I MS4</v>
      </c>
      <c r="G1749" s="48" t="s">
        <v>61</v>
      </c>
      <c r="H1749" s="8"/>
      <c r="I1749" s="8"/>
      <c r="J1749" s="8" t="s">
        <v>1897</v>
      </c>
      <c r="K1749" s="27" t="s">
        <v>1873</v>
      </c>
      <c r="L1749" s="28">
        <f>_xlfn.NUMBERVALUE(LEFT(Activities[[#This Row],[Fiscal Year]], 4))</f>
        <v>2015</v>
      </c>
      <c r="M1749" s="28" t="s">
        <v>1862</v>
      </c>
      <c r="N1749" s="41">
        <v>211000</v>
      </c>
      <c r="O1749" s="93">
        <f>IF(Activities[[#This Row],[Reference Year]]&gt;2018,Activities[[#This Row],[Value]],Activities[[#This Row],[Value]]*(1+VLOOKUP(Activities[[#This Row],[Reference Year]],Inflation[#All],3,FALSE)))</f>
        <v>224025.91139240505</v>
      </c>
    </row>
    <row r="1750" spans="1:15" ht="15" customHeight="1" x14ac:dyDescent="0.25">
      <c r="A1750" s="9" t="s">
        <v>199</v>
      </c>
      <c r="B1750" s="9" t="str">
        <f>INDEX(Places[Type],MATCH(Activities[[#This Row],[Jurisdiction]],Places[Jurisdiction],0))</f>
        <v>City</v>
      </c>
      <c r="C1750" s="19" t="str">
        <f>INDEX(Places[County],MATCH(Activities[[#This Row],[Jurisdiction]],Places[Jurisdiction],0))</f>
        <v>Los Angeles</v>
      </c>
      <c r="D1750" s="19" t="str">
        <f>INDEX(Places[Majority RB],MATCH(Activities[[#This Row],[Jurisdiction]],Places[Jurisdiction],0))</f>
        <v>Los Angeles</v>
      </c>
      <c r="E1750" s="9">
        <f>INDEX(Places[Majority RB '#],MATCH(Activities[[#This Row],[Jurisdiction]],Places[Jurisdiction],0))</f>
        <v>4</v>
      </c>
      <c r="F1750" s="28" t="str">
        <f>VLOOKUP(Activities[[#This Row],[Jurisdiction]],Places[#All],8,FALSE)</f>
        <v>Phase I MS4</v>
      </c>
      <c r="G1750" s="48" t="s">
        <v>59</v>
      </c>
      <c r="H1750" s="8"/>
      <c r="I1750" s="8"/>
      <c r="J1750" s="8" t="s">
        <v>1898</v>
      </c>
      <c r="K1750" s="27" t="s">
        <v>1873</v>
      </c>
      <c r="L1750" s="28">
        <f>_xlfn.NUMBERVALUE(LEFT(Activities[[#This Row],[Fiscal Year]], 4))</f>
        <v>2015</v>
      </c>
      <c r="M1750" s="28" t="s">
        <v>1862</v>
      </c>
      <c r="N1750" s="41">
        <v>500</v>
      </c>
      <c r="O1750" s="93">
        <f>IF(Activities[[#This Row],[Reference Year]]&gt;2018,Activities[[#This Row],[Value]],Activities[[#This Row],[Value]]*(1+VLOOKUP(Activities[[#This Row],[Reference Year]],Inflation[#All],3,FALSE)))</f>
        <v>530.86708860759495</v>
      </c>
    </row>
    <row r="1751" spans="1:15" ht="15" customHeight="1" x14ac:dyDescent="0.25">
      <c r="A1751" s="9" t="s">
        <v>199</v>
      </c>
      <c r="B1751" s="9" t="str">
        <f>INDEX(Places[Type],MATCH(Activities[[#This Row],[Jurisdiction]],Places[Jurisdiction],0))</f>
        <v>City</v>
      </c>
      <c r="C1751" s="19" t="str">
        <f>INDEX(Places[County],MATCH(Activities[[#This Row],[Jurisdiction]],Places[Jurisdiction],0))</f>
        <v>Los Angeles</v>
      </c>
      <c r="D1751" s="19" t="str">
        <f>INDEX(Places[Majority RB],MATCH(Activities[[#This Row],[Jurisdiction]],Places[Jurisdiction],0))</f>
        <v>Los Angeles</v>
      </c>
      <c r="E1751" s="9">
        <f>INDEX(Places[Majority RB '#],MATCH(Activities[[#This Row],[Jurisdiction]],Places[Jurisdiction],0))</f>
        <v>4</v>
      </c>
      <c r="F1751" s="28" t="str">
        <f>VLOOKUP(Activities[[#This Row],[Jurisdiction]],Places[#All],8,FALSE)</f>
        <v>Phase I MS4</v>
      </c>
      <c r="G1751" s="48" t="s">
        <v>60</v>
      </c>
      <c r="H1751" s="8"/>
      <c r="I1751" s="8"/>
      <c r="J1751" s="8" t="s">
        <v>1898</v>
      </c>
      <c r="K1751" s="27" t="s">
        <v>1873</v>
      </c>
      <c r="L1751" s="28">
        <f>_xlfn.NUMBERVALUE(LEFT(Activities[[#This Row],[Fiscal Year]], 4))</f>
        <v>2015</v>
      </c>
      <c r="M1751" s="28" t="s">
        <v>1862</v>
      </c>
      <c r="N1751" s="41">
        <v>14500</v>
      </c>
      <c r="O1751" s="93">
        <f>IF(Activities[[#This Row],[Reference Year]]&gt;2018,Activities[[#This Row],[Value]],Activities[[#This Row],[Value]]*(1+VLOOKUP(Activities[[#This Row],[Reference Year]],Inflation[#All],3,FALSE)))</f>
        <v>15395.145569620252</v>
      </c>
    </row>
    <row r="1752" spans="1:15" ht="15" customHeight="1" x14ac:dyDescent="0.25">
      <c r="A1752" s="9" t="s">
        <v>199</v>
      </c>
      <c r="B1752" s="9" t="str">
        <f>INDEX(Places[Type],MATCH(Activities[[#This Row],[Jurisdiction]],Places[Jurisdiction],0))</f>
        <v>City</v>
      </c>
      <c r="C1752" s="19" t="str">
        <f>INDEX(Places[County],MATCH(Activities[[#This Row],[Jurisdiction]],Places[Jurisdiction],0))</f>
        <v>Los Angeles</v>
      </c>
      <c r="D1752" s="19" t="str">
        <f>INDEX(Places[Majority RB],MATCH(Activities[[#This Row],[Jurisdiction]],Places[Jurisdiction],0))</f>
        <v>Los Angeles</v>
      </c>
      <c r="E1752" s="9">
        <f>INDEX(Places[Majority RB '#],MATCH(Activities[[#This Row],[Jurisdiction]],Places[Jurisdiction],0))</f>
        <v>4</v>
      </c>
      <c r="F1752" s="28" t="str">
        <f>VLOOKUP(Activities[[#This Row],[Jurisdiction]],Places[#All],8,FALSE)</f>
        <v>Phase I MS4</v>
      </c>
      <c r="G1752" s="48" t="s">
        <v>58</v>
      </c>
      <c r="H1752" s="8"/>
      <c r="I1752" s="8"/>
      <c r="J1752" s="8" t="s">
        <v>1456</v>
      </c>
      <c r="K1752" s="27" t="s">
        <v>1873</v>
      </c>
      <c r="L1752" s="28">
        <f>_xlfn.NUMBERVALUE(LEFT(Activities[[#This Row],[Fiscal Year]], 4))</f>
        <v>2015</v>
      </c>
      <c r="M1752" s="28" t="s">
        <v>1862</v>
      </c>
      <c r="N1752" s="41">
        <v>5000</v>
      </c>
      <c r="O1752" s="93">
        <f>IF(Activities[[#This Row],[Reference Year]]&gt;2018,Activities[[#This Row],[Value]],Activities[[#This Row],[Value]]*(1+VLOOKUP(Activities[[#This Row],[Reference Year]],Inflation[#All],3,FALSE)))</f>
        <v>5308.6708860759491</v>
      </c>
    </row>
    <row r="1753" spans="1:15" ht="15" customHeight="1" x14ac:dyDescent="0.25">
      <c r="A1753" s="9" t="s">
        <v>199</v>
      </c>
      <c r="B1753" s="9" t="str">
        <f>INDEX(Places[Type],MATCH(Activities[[#This Row],[Jurisdiction]],Places[Jurisdiction],0))</f>
        <v>City</v>
      </c>
      <c r="C1753" s="19" t="str">
        <f>INDEX(Places[County],MATCH(Activities[[#This Row],[Jurisdiction]],Places[Jurisdiction],0))</f>
        <v>Los Angeles</v>
      </c>
      <c r="D1753" s="19" t="str">
        <f>INDEX(Places[Majority RB],MATCH(Activities[[#This Row],[Jurisdiction]],Places[Jurisdiction],0))</f>
        <v>Los Angeles</v>
      </c>
      <c r="E1753" s="9">
        <f>INDEX(Places[Majority RB '#],MATCH(Activities[[#This Row],[Jurisdiction]],Places[Jurisdiction],0))</f>
        <v>4</v>
      </c>
      <c r="F1753" s="28" t="str">
        <f>VLOOKUP(Activities[[#This Row],[Jurisdiction]],Places[#All],8,FALSE)</f>
        <v>Phase I MS4</v>
      </c>
      <c r="G1753" s="48" t="s">
        <v>32</v>
      </c>
      <c r="H1753" s="8"/>
      <c r="I1753" s="8"/>
      <c r="J1753" s="8" t="s">
        <v>1894</v>
      </c>
      <c r="K1753" s="27" t="s">
        <v>1873</v>
      </c>
      <c r="L1753" s="28">
        <f>_xlfn.NUMBERVALUE(LEFT(Activities[[#This Row],[Fiscal Year]], 4))</f>
        <v>2015</v>
      </c>
      <c r="M1753" s="28" t="s">
        <v>1862</v>
      </c>
      <c r="N1753" s="41">
        <v>5000</v>
      </c>
      <c r="O1753" s="93">
        <f>IF(Activities[[#This Row],[Reference Year]]&gt;2018,Activities[[#This Row],[Value]],Activities[[#This Row],[Value]]*(1+VLOOKUP(Activities[[#This Row],[Reference Year]],Inflation[#All],3,FALSE)))</f>
        <v>5308.6708860759491</v>
      </c>
    </row>
    <row r="1754" spans="1:15" ht="15" customHeight="1" x14ac:dyDescent="0.25">
      <c r="A1754" s="9" t="s">
        <v>199</v>
      </c>
      <c r="B1754" s="9" t="str">
        <f>INDEX(Places[Type],MATCH(Activities[[#This Row],[Jurisdiction]],Places[Jurisdiction],0))</f>
        <v>City</v>
      </c>
      <c r="C1754" s="19" t="str">
        <f>INDEX(Places[County],MATCH(Activities[[#This Row],[Jurisdiction]],Places[Jurisdiction],0))</f>
        <v>Los Angeles</v>
      </c>
      <c r="D1754" s="19" t="str">
        <f>INDEX(Places[Majority RB],MATCH(Activities[[#This Row],[Jurisdiction]],Places[Jurisdiction],0))</f>
        <v>Los Angeles</v>
      </c>
      <c r="E1754" s="9">
        <f>INDEX(Places[Majority RB '#],MATCH(Activities[[#This Row],[Jurisdiction]],Places[Jurisdiction],0))</f>
        <v>4</v>
      </c>
      <c r="F1754" s="28" t="str">
        <f>VLOOKUP(Activities[[#This Row],[Jurisdiction]],Places[#All],8,FALSE)</f>
        <v>Phase I MS4</v>
      </c>
      <c r="G1754" s="48" t="s">
        <v>67</v>
      </c>
      <c r="H1754" s="8" t="s">
        <v>943</v>
      </c>
      <c r="I1754" s="8" t="s">
        <v>429</v>
      </c>
      <c r="J1754" s="8" t="s">
        <v>1896</v>
      </c>
      <c r="K1754" s="27" t="s">
        <v>1873</v>
      </c>
      <c r="L1754" s="28">
        <f>_xlfn.NUMBERVALUE(LEFT(Activities[[#This Row],[Fiscal Year]], 4))</f>
        <v>2015</v>
      </c>
      <c r="M1754" s="28" t="s">
        <v>1862</v>
      </c>
      <c r="N1754" s="41">
        <v>18000</v>
      </c>
      <c r="O1754" s="93">
        <f>IF(Activities[[#This Row],[Reference Year]]&gt;2018,Activities[[#This Row],[Value]],Activities[[#This Row],[Value]]*(1+VLOOKUP(Activities[[#This Row],[Reference Year]],Inflation[#All],3,FALSE)))</f>
        <v>19111.215189873416</v>
      </c>
    </row>
    <row r="1755" spans="1:15" ht="15" customHeight="1" x14ac:dyDescent="0.25">
      <c r="A1755" s="9" t="s">
        <v>199</v>
      </c>
      <c r="B1755" s="9" t="str">
        <f>INDEX(Places[Type],MATCH(Activities[[#This Row],[Jurisdiction]],Places[Jurisdiction],0))</f>
        <v>City</v>
      </c>
      <c r="C1755" s="19" t="str">
        <f>INDEX(Places[County],MATCH(Activities[[#This Row],[Jurisdiction]],Places[Jurisdiction],0))</f>
        <v>Los Angeles</v>
      </c>
      <c r="D1755" s="19" t="str">
        <f>INDEX(Places[Majority RB],MATCH(Activities[[#This Row],[Jurisdiction]],Places[Jurisdiction],0))</f>
        <v>Los Angeles</v>
      </c>
      <c r="E1755" s="9">
        <f>INDEX(Places[Majority RB '#],MATCH(Activities[[#This Row],[Jurisdiction]],Places[Jurisdiction],0))</f>
        <v>4</v>
      </c>
      <c r="F1755" s="28" t="str">
        <f>VLOOKUP(Activities[[#This Row],[Jurisdiction]],Places[#All],8,FALSE)</f>
        <v>Phase I MS4</v>
      </c>
      <c r="G1755" s="48" t="s">
        <v>211</v>
      </c>
      <c r="H1755" s="8"/>
      <c r="I1755" s="8"/>
      <c r="J1755" s="8" t="s">
        <v>1896</v>
      </c>
      <c r="K1755" s="27" t="s">
        <v>1873</v>
      </c>
      <c r="L1755" s="28">
        <f>_xlfn.NUMBERVALUE(LEFT(Activities[[#This Row],[Fiscal Year]], 4))</f>
        <v>2015</v>
      </c>
      <c r="M1755" s="28" t="s">
        <v>1862</v>
      </c>
      <c r="N1755" s="41">
        <v>24000</v>
      </c>
      <c r="O1755" s="93">
        <f>IF(Activities[[#This Row],[Reference Year]]&gt;2018,Activities[[#This Row],[Value]],Activities[[#This Row],[Value]]*(1+VLOOKUP(Activities[[#This Row],[Reference Year]],Inflation[#All],3,FALSE)))</f>
        <v>25481.620253164554</v>
      </c>
    </row>
    <row r="1756" spans="1:15" ht="15" customHeight="1" x14ac:dyDescent="0.25">
      <c r="A1756" s="9" t="s">
        <v>199</v>
      </c>
      <c r="B1756" s="9" t="str">
        <f>INDEX(Places[Type],MATCH(Activities[[#This Row],[Jurisdiction]],Places[Jurisdiction],0))</f>
        <v>City</v>
      </c>
      <c r="C1756" s="19" t="str">
        <f>INDEX(Places[County],MATCH(Activities[[#This Row],[Jurisdiction]],Places[Jurisdiction],0))</f>
        <v>Los Angeles</v>
      </c>
      <c r="D1756" s="19" t="str">
        <f>INDEX(Places[Majority RB],MATCH(Activities[[#This Row],[Jurisdiction]],Places[Jurisdiction],0))</f>
        <v>Los Angeles</v>
      </c>
      <c r="E1756" s="9">
        <f>INDEX(Places[Majority RB '#],MATCH(Activities[[#This Row],[Jurisdiction]],Places[Jurisdiction],0))</f>
        <v>4</v>
      </c>
      <c r="F1756" s="28" t="str">
        <f>VLOOKUP(Activities[[#This Row],[Jurisdiction]],Places[#All],8,FALSE)</f>
        <v>Phase I MS4</v>
      </c>
      <c r="G1756" s="48" t="s">
        <v>33</v>
      </c>
      <c r="H1756" s="8"/>
      <c r="I1756" s="8"/>
      <c r="J1756" s="8" t="s">
        <v>47</v>
      </c>
      <c r="K1756" s="27" t="s">
        <v>1873</v>
      </c>
      <c r="L1756" s="28">
        <f>_xlfn.NUMBERVALUE(LEFT(Activities[[#This Row],[Fiscal Year]], 4))</f>
        <v>2015</v>
      </c>
      <c r="M1756" s="28" t="s">
        <v>1862</v>
      </c>
      <c r="N1756" s="41">
        <v>34500</v>
      </c>
      <c r="O1756" s="93">
        <f>IF(Activities[[#This Row],[Reference Year]]&gt;2018,Activities[[#This Row],[Value]],Activities[[#This Row],[Value]]*(1+VLOOKUP(Activities[[#This Row],[Reference Year]],Inflation[#All],3,FALSE)))</f>
        <v>36629.829113924046</v>
      </c>
    </row>
    <row r="1757" spans="1:15" ht="15" customHeight="1" x14ac:dyDescent="0.25">
      <c r="A1757" s="9" t="s">
        <v>261</v>
      </c>
      <c r="B1757" s="9" t="str">
        <f>INDEX(Places[Type],MATCH(Activities[[#This Row],[Jurisdiction]],Places[Jurisdiction],0))</f>
        <v>City</v>
      </c>
      <c r="C1757" s="19" t="str">
        <f>INDEX(Places[County],MATCH(Activities[[#This Row],[Jurisdiction]],Places[Jurisdiction],0))</f>
        <v>Ventura</v>
      </c>
      <c r="D1757" s="19" t="str">
        <f>INDEX(Places[Majority RB],MATCH(Activities[[#This Row],[Jurisdiction]],Places[Jurisdiction],0))</f>
        <v>Los Angeles</v>
      </c>
      <c r="E1757" s="9">
        <f>INDEX(Places[Majority RB '#],MATCH(Activities[[#This Row],[Jurisdiction]],Places[Jurisdiction],0))</f>
        <v>4</v>
      </c>
      <c r="F1757" s="28" t="str">
        <f>VLOOKUP(Activities[[#This Row],[Jurisdiction]],Places[#All],8,FALSE)</f>
        <v>Phase I MS4</v>
      </c>
      <c r="G1757" s="48" t="s">
        <v>76</v>
      </c>
      <c r="H1757" s="8"/>
      <c r="I1757" s="8"/>
      <c r="J1757" s="8" t="s">
        <v>76</v>
      </c>
      <c r="K1757" s="27" t="s">
        <v>1876</v>
      </c>
      <c r="L1757" s="28">
        <f>_xlfn.NUMBERVALUE(LEFT(Activities[[#This Row],[Fiscal Year]], 4))</f>
        <v>2018</v>
      </c>
      <c r="M1757" s="28" t="s">
        <v>1863</v>
      </c>
      <c r="N1757" s="41">
        <v>80000</v>
      </c>
      <c r="O1757" s="93">
        <f>IF(Activities[[#This Row],[Reference Year]]&gt;2018,Activities[[#This Row],[Value]],Activities[[#This Row],[Value]]*(1+VLOOKUP(Activities[[#This Row],[Reference Year]],Inflation[#All],3,FALSE)))</f>
        <v>80000</v>
      </c>
    </row>
    <row r="1758" spans="1:15" ht="15" customHeight="1" x14ac:dyDescent="0.25">
      <c r="A1758" s="9" t="s">
        <v>261</v>
      </c>
      <c r="B1758" s="9" t="str">
        <f>INDEX(Places[Type],MATCH(Activities[[#This Row],[Jurisdiction]],Places[Jurisdiction],0))</f>
        <v>City</v>
      </c>
      <c r="C1758" s="19" t="str">
        <f>INDEX(Places[County],MATCH(Activities[[#This Row],[Jurisdiction]],Places[Jurisdiction],0))</f>
        <v>Ventura</v>
      </c>
      <c r="D1758" s="19" t="str">
        <f>INDEX(Places[Majority RB],MATCH(Activities[[#This Row],[Jurisdiction]],Places[Jurisdiction],0))</f>
        <v>Los Angeles</v>
      </c>
      <c r="E1758" s="9">
        <f>INDEX(Places[Majority RB '#],MATCH(Activities[[#This Row],[Jurisdiction]],Places[Jurisdiction],0))</f>
        <v>4</v>
      </c>
      <c r="F1758" s="28" t="str">
        <f>VLOOKUP(Activities[[#This Row],[Jurisdiction]],Places[#All],8,FALSE)</f>
        <v>Phase I MS4</v>
      </c>
      <c r="G1758" s="48" t="s">
        <v>70</v>
      </c>
      <c r="H1758" s="8"/>
      <c r="I1758" s="8"/>
      <c r="J1758" s="8" t="s">
        <v>1895</v>
      </c>
      <c r="K1758" s="27" t="s">
        <v>1876</v>
      </c>
      <c r="L1758" s="28">
        <f>_xlfn.NUMBERVALUE(LEFT(Activities[[#This Row],[Fiscal Year]], 4))</f>
        <v>2018</v>
      </c>
      <c r="M1758" s="28" t="s">
        <v>1863</v>
      </c>
      <c r="N1758" s="41">
        <v>50000</v>
      </c>
      <c r="O1758" s="93">
        <f>IF(Activities[[#This Row],[Reference Year]]&gt;2018,Activities[[#This Row],[Value]],Activities[[#This Row],[Value]]*(1+VLOOKUP(Activities[[#This Row],[Reference Year]],Inflation[#All],3,FALSE)))</f>
        <v>50000</v>
      </c>
    </row>
    <row r="1759" spans="1:15" ht="15" customHeight="1" x14ac:dyDescent="0.25">
      <c r="A1759" s="9" t="s">
        <v>261</v>
      </c>
      <c r="B1759" s="9" t="str">
        <f>INDEX(Places[Type],MATCH(Activities[[#This Row],[Jurisdiction]],Places[Jurisdiction],0))</f>
        <v>City</v>
      </c>
      <c r="C1759" s="19" t="str">
        <f>INDEX(Places[County],MATCH(Activities[[#This Row],[Jurisdiction]],Places[Jurisdiction],0))</f>
        <v>Ventura</v>
      </c>
      <c r="D1759" s="19" t="str">
        <f>INDEX(Places[Majority RB],MATCH(Activities[[#This Row],[Jurisdiction]],Places[Jurisdiction],0))</f>
        <v>Los Angeles</v>
      </c>
      <c r="E1759" s="9">
        <f>INDEX(Places[Majority RB '#],MATCH(Activities[[#This Row],[Jurisdiction]],Places[Jurisdiction],0))</f>
        <v>4</v>
      </c>
      <c r="F1759" s="28" t="str">
        <f>VLOOKUP(Activities[[#This Row],[Jurisdiction]],Places[#All],8,FALSE)</f>
        <v>Phase I MS4</v>
      </c>
      <c r="G1759" s="48" t="s">
        <v>77</v>
      </c>
      <c r="H1759" s="8"/>
      <c r="I1759" s="8"/>
      <c r="J1759" s="8" t="s">
        <v>131</v>
      </c>
      <c r="K1759" s="27" t="s">
        <v>1876</v>
      </c>
      <c r="L1759" s="28">
        <f>_xlfn.NUMBERVALUE(LEFT(Activities[[#This Row],[Fiscal Year]], 4))</f>
        <v>2018</v>
      </c>
      <c r="M1759" s="28" t="s">
        <v>1863</v>
      </c>
      <c r="N1759" s="41">
        <v>40000</v>
      </c>
      <c r="O1759" s="93">
        <f>IF(Activities[[#This Row],[Reference Year]]&gt;2018,Activities[[#This Row],[Value]],Activities[[#This Row],[Value]]*(1+VLOOKUP(Activities[[#This Row],[Reference Year]],Inflation[#All],3,FALSE)))</f>
        <v>40000</v>
      </c>
    </row>
    <row r="1760" spans="1:15" ht="15" customHeight="1" x14ac:dyDescent="0.25">
      <c r="A1760" s="9" t="s">
        <v>261</v>
      </c>
      <c r="B1760" s="9" t="str">
        <f>INDEX(Places[Type],MATCH(Activities[[#This Row],[Jurisdiction]],Places[Jurisdiction],0))</f>
        <v>City</v>
      </c>
      <c r="C1760" s="19" t="str">
        <f>INDEX(Places[County],MATCH(Activities[[#This Row],[Jurisdiction]],Places[Jurisdiction],0))</f>
        <v>Ventura</v>
      </c>
      <c r="D1760" s="19" t="str">
        <f>INDEX(Places[Majority RB],MATCH(Activities[[#This Row],[Jurisdiction]],Places[Jurisdiction],0))</f>
        <v>Los Angeles</v>
      </c>
      <c r="E1760" s="9">
        <f>INDEX(Places[Majority RB '#],MATCH(Activities[[#This Row],[Jurisdiction]],Places[Jurisdiction],0))</f>
        <v>4</v>
      </c>
      <c r="F1760" s="28" t="str">
        <f>VLOOKUP(Activities[[#This Row],[Jurisdiction]],Places[#All],8,FALSE)</f>
        <v>Phase I MS4</v>
      </c>
      <c r="G1760" s="48" t="s">
        <v>69</v>
      </c>
      <c r="H1760" s="8"/>
      <c r="I1760" s="8"/>
      <c r="J1760" s="8" t="s">
        <v>334</v>
      </c>
      <c r="K1760" s="27" t="s">
        <v>1876</v>
      </c>
      <c r="L1760" s="28">
        <f>_xlfn.NUMBERVALUE(LEFT(Activities[[#This Row],[Fiscal Year]], 4))</f>
        <v>2018</v>
      </c>
      <c r="M1760" s="28" t="s">
        <v>1863</v>
      </c>
      <c r="N1760" s="41">
        <v>40000</v>
      </c>
      <c r="O1760" s="93">
        <f>IF(Activities[[#This Row],[Reference Year]]&gt;2018,Activities[[#This Row],[Value]],Activities[[#This Row],[Value]]*(1+VLOOKUP(Activities[[#This Row],[Reference Year]],Inflation[#All],3,FALSE)))</f>
        <v>40000</v>
      </c>
    </row>
    <row r="1761" spans="1:15" ht="15" customHeight="1" x14ac:dyDescent="0.25">
      <c r="A1761" s="9" t="s">
        <v>261</v>
      </c>
      <c r="B1761" s="9" t="str">
        <f>INDEX(Places[Type],MATCH(Activities[[#This Row],[Jurisdiction]],Places[Jurisdiction],0))</f>
        <v>City</v>
      </c>
      <c r="C1761" s="19" t="str">
        <f>INDEX(Places[County],MATCH(Activities[[#This Row],[Jurisdiction]],Places[Jurisdiction],0))</f>
        <v>Ventura</v>
      </c>
      <c r="D1761" s="19" t="str">
        <f>INDEX(Places[Majority RB],MATCH(Activities[[#This Row],[Jurisdiction]],Places[Jurisdiction],0))</f>
        <v>Los Angeles</v>
      </c>
      <c r="E1761" s="9">
        <f>INDEX(Places[Majority RB '#],MATCH(Activities[[#This Row],[Jurisdiction]],Places[Jurisdiction],0))</f>
        <v>4</v>
      </c>
      <c r="F1761" s="28" t="str">
        <f>VLOOKUP(Activities[[#This Row],[Jurisdiction]],Places[#All],8,FALSE)</f>
        <v>Phase I MS4</v>
      </c>
      <c r="G1761" s="48" t="s">
        <v>71</v>
      </c>
      <c r="H1761" s="8" t="s">
        <v>484</v>
      </c>
      <c r="I1761" s="8" t="s">
        <v>458</v>
      </c>
      <c r="J1761" s="8" t="s">
        <v>71</v>
      </c>
      <c r="K1761" s="27" t="s">
        <v>1876</v>
      </c>
      <c r="L1761" s="28">
        <f>_xlfn.NUMBERVALUE(LEFT(Activities[[#This Row],[Fiscal Year]], 4))</f>
        <v>2018</v>
      </c>
      <c r="M1761" s="28" t="s">
        <v>1863</v>
      </c>
      <c r="N1761" s="41">
        <v>180000</v>
      </c>
      <c r="O1761" s="93">
        <f>IF(Activities[[#This Row],[Reference Year]]&gt;2018,Activities[[#This Row],[Value]],Activities[[#This Row],[Value]]*(1+VLOOKUP(Activities[[#This Row],[Reference Year]],Inflation[#All],3,FALSE)))</f>
        <v>180000</v>
      </c>
    </row>
    <row r="1762" spans="1:15" ht="15" customHeight="1" x14ac:dyDescent="0.25">
      <c r="A1762" s="9" t="s">
        <v>261</v>
      </c>
      <c r="B1762" s="9" t="str">
        <f>INDEX(Places[Type],MATCH(Activities[[#This Row],[Jurisdiction]],Places[Jurisdiction],0))</f>
        <v>City</v>
      </c>
      <c r="C1762" s="19" t="str">
        <f>INDEX(Places[County],MATCH(Activities[[#This Row],[Jurisdiction]],Places[Jurisdiction],0))</f>
        <v>Ventura</v>
      </c>
      <c r="D1762" s="19" t="str">
        <f>INDEX(Places[Majority RB],MATCH(Activities[[#This Row],[Jurisdiction]],Places[Jurisdiction],0))</f>
        <v>Los Angeles</v>
      </c>
      <c r="E1762" s="9">
        <f>INDEX(Places[Majority RB '#],MATCH(Activities[[#This Row],[Jurisdiction]],Places[Jurisdiction],0))</f>
        <v>4</v>
      </c>
      <c r="F1762" s="28" t="str">
        <f>VLOOKUP(Activities[[#This Row],[Jurisdiction]],Places[#All],8,FALSE)</f>
        <v>Phase I MS4</v>
      </c>
      <c r="G1762" s="48" t="s">
        <v>74</v>
      </c>
      <c r="H1762" s="8" t="s">
        <v>611</v>
      </c>
      <c r="I1762" s="8" t="s">
        <v>458</v>
      </c>
      <c r="J1762" s="8" t="s">
        <v>1897</v>
      </c>
      <c r="K1762" s="27" t="s">
        <v>1876</v>
      </c>
      <c r="L1762" s="28">
        <f>_xlfn.NUMBERVALUE(LEFT(Activities[[#This Row],[Fiscal Year]], 4))</f>
        <v>2018</v>
      </c>
      <c r="M1762" s="28" t="s">
        <v>1863</v>
      </c>
      <c r="N1762" s="41">
        <v>60000</v>
      </c>
      <c r="O1762" s="93">
        <f>IF(Activities[[#This Row],[Reference Year]]&gt;2018,Activities[[#This Row],[Value]],Activities[[#This Row],[Value]]*(1+VLOOKUP(Activities[[#This Row],[Reference Year]],Inflation[#All],3,FALSE)))</f>
        <v>60000</v>
      </c>
    </row>
    <row r="1763" spans="1:15" ht="15" customHeight="1" x14ac:dyDescent="0.25">
      <c r="A1763" s="9" t="s">
        <v>261</v>
      </c>
      <c r="B1763" s="9" t="str">
        <f>INDEX(Places[Type],MATCH(Activities[[#This Row],[Jurisdiction]],Places[Jurisdiction],0))</f>
        <v>City</v>
      </c>
      <c r="C1763" s="19" t="str">
        <f>INDEX(Places[County],MATCH(Activities[[#This Row],[Jurisdiction]],Places[Jurisdiction],0))</f>
        <v>Ventura</v>
      </c>
      <c r="D1763" s="19" t="str">
        <f>INDEX(Places[Majority RB],MATCH(Activities[[#This Row],[Jurisdiction]],Places[Jurisdiction],0))</f>
        <v>Los Angeles</v>
      </c>
      <c r="E1763" s="9">
        <f>INDEX(Places[Majority RB '#],MATCH(Activities[[#This Row],[Jurisdiction]],Places[Jurisdiction],0))</f>
        <v>4</v>
      </c>
      <c r="F1763" s="28" t="str">
        <f>VLOOKUP(Activities[[#This Row],[Jurisdiction]],Places[#All],8,FALSE)</f>
        <v>Phase I MS4</v>
      </c>
      <c r="G1763" s="48" t="s">
        <v>59</v>
      </c>
      <c r="H1763" s="8"/>
      <c r="I1763" s="8"/>
      <c r="J1763" s="8" t="s">
        <v>1898</v>
      </c>
      <c r="K1763" s="27" t="s">
        <v>1876</v>
      </c>
      <c r="L1763" s="28">
        <f>_xlfn.NUMBERVALUE(LEFT(Activities[[#This Row],[Fiscal Year]], 4))</f>
        <v>2018</v>
      </c>
      <c r="M1763" s="28" t="s">
        <v>1863</v>
      </c>
      <c r="N1763" s="41">
        <v>70000</v>
      </c>
      <c r="O1763" s="93">
        <f>IF(Activities[[#This Row],[Reference Year]]&gt;2018,Activities[[#This Row],[Value]],Activities[[#This Row],[Value]]*(1+VLOOKUP(Activities[[#This Row],[Reference Year]],Inflation[#All],3,FALSE)))</f>
        <v>70000</v>
      </c>
    </row>
    <row r="1764" spans="1:15" ht="15" customHeight="1" x14ac:dyDescent="0.25">
      <c r="A1764" s="9" t="s">
        <v>261</v>
      </c>
      <c r="B1764" s="9" t="str">
        <f>INDEX(Places[Type],MATCH(Activities[[#This Row],[Jurisdiction]],Places[Jurisdiction],0))</f>
        <v>City</v>
      </c>
      <c r="C1764" s="19" t="str">
        <f>INDEX(Places[County],MATCH(Activities[[#This Row],[Jurisdiction]],Places[Jurisdiction],0))</f>
        <v>Ventura</v>
      </c>
      <c r="D1764" s="19" t="str">
        <f>INDEX(Places[Majority RB],MATCH(Activities[[#This Row],[Jurisdiction]],Places[Jurisdiction],0))</f>
        <v>Los Angeles</v>
      </c>
      <c r="E1764" s="9">
        <f>INDEX(Places[Majority RB '#],MATCH(Activities[[#This Row],[Jurisdiction]],Places[Jurisdiction],0))</f>
        <v>4</v>
      </c>
      <c r="F1764" s="28" t="str">
        <f>VLOOKUP(Activities[[#This Row],[Jurisdiction]],Places[#All],8,FALSE)</f>
        <v>Phase I MS4</v>
      </c>
      <c r="G1764" s="48" t="s">
        <v>68</v>
      </c>
      <c r="H1764" s="8"/>
      <c r="I1764" s="8"/>
      <c r="J1764" s="8" t="s">
        <v>1456</v>
      </c>
      <c r="K1764" s="27" t="s">
        <v>1876</v>
      </c>
      <c r="L1764" s="28">
        <f>_xlfn.NUMBERVALUE(LEFT(Activities[[#This Row],[Fiscal Year]], 4))</f>
        <v>2018</v>
      </c>
      <c r="M1764" s="28" t="s">
        <v>1863</v>
      </c>
      <c r="N1764" s="41">
        <v>60000</v>
      </c>
      <c r="O1764" s="93">
        <f>IF(Activities[[#This Row],[Reference Year]]&gt;2018,Activities[[#This Row],[Value]],Activities[[#This Row],[Value]]*(1+VLOOKUP(Activities[[#This Row],[Reference Year]],Inflation[#All],3,FALSE)))</f>
        <v>60000</v>
      </c>
    </row>
    <row r="1765" spans="1:15" ht="15" customHeight="1" x14ac:dyDescent="0.25">
      <c r="A1765" s="9" t="s">
        <v>261</v>
      </c>
      <c r="B1765" s="9" t="str">
        <f>INDEX(Places[Type],MATCH(Activities[[#This Row],[Jurisdiction]],Places[Jurisdiction],0))</f>
        <v>City</v>
      </c>
      <c r="C1765" s="19" t="str">
        <f>INDEX(Places[County],MATCH(Activities[[#This Row],[Jurisdiction]],Places[Jurisdiction],0))</f>
        <v>Ventura</v>
      </c>
      <c r="D1765" s="19" t="str">
        <f>INDEX(Places[Majority RB],MATCH(Activities[[#This Row],[Jurisdiction]],Places[Jurisdiction],0))</f>
        <v>Los Angeles</v>
      </c>
      <c r="E1765" s="9">
        <f>INDEX(Places[Majority RB '#],MATCH(Activities[[#This Row],[Jurisdiction]],Places[Jurisdiction],0))</f>
        <v>4</v>
      </c>
      <c r="F1765" s="28" t="str">
        <f>VLOOKUP(Activities[[#This Row],[Jurisdiction]],Places[#All],8,FALSE)</f>
        <v>Phase I MS4</v>
      </c>
      <c r="G1765" s="48" t="s">
        <v>32</v>
      </c>
      <c r="H1765" s="8" t="s">
        <v>608</v>
      </c>
      <c r="I1765" s="94" t="s">
        <v>609</v>
      </c>
      <c r="J1765" s="8" t="s">
        <v>1894</v>
      </c>
      <c r="K1765" s="27" t="s">
        <v>1876</v>
      </c>
      <c r="L1765" s="28">
        <f>_xlfn.NUMBERVALUE(LEFT(Activities[[#This Row],[Fiscal Year]], 4))</f>
        <v>2018</v>
      </c>
      <c r="M1765" s="28" t="s">
        <v>1863</v>
      </c>
      <c r="N1765" s="41">
        <v>160000</v>
      </c>
      <c r="O1765" s="93">
        <f>IF(Activities[[#This Row],[Reference Year]]&gt;2018,Activities[[#This Row],[Value]],Activities[[#This Row],[Value]]*(1+VLOOKUP(Activities[[#This Row],[Reference Year]],Inflation[#All],3,FALSE)))</f>
        <v>160000</v>
      </c>
    </row>
    <row r="1766" spans="1:15" ht="15" customHeight="1" x14ac:dyDescent="0.25">
      <c r="A1766" s="9" t="s">
        <v>261</v>
      </c>
      <c r="B1766" s="9" t="str">
        <f>INDEX(Places[Type],MATCH(Activities[[#This Row],[Jurisdiction]],Places[Jurisdiction],0))</f>
        <v>City</v>
      </c>
      <c r="C1766" s="19" t="str">
        <f>INDEX(Places[County],MATCH(Activities[[#This Row],[Jurisdiction]],Places[Jurisdiction],0))</f>
        <v>Ventura</v>
      </c>
      <c r="D1766" s="19" t="str">
        <f>INDEX(Places[Majority RB],MATCH(Activities[[#This Row],[Jurisdiction]],Places[Jurisdiction],0))</f>
        <v>Los Angeles</v>
      </c>
      <c r="E1766" s="9">
        <f>INDEX(Places[Majority RB '#],MATCH(Activities[[#This Row],[Jurisdiction]],Places[Jurisdiction],0))</f>
        <v>4</v>
      </c>
      <c r="F1766" s="28" t="str">
        <f>VLOOKUP(Activities[[#This Row],[Jurisdiction]],Places[#All],8,FALSE)</f>
        <v>Phase I MS4</v>
      </c>
      <c r="G1766" s="48" t="s">
        <v>80</v>
      </c>
      <c r="H1766" s="8"/>
      <c r="I1766" s="8"/>
      <c r="J1766" s="8" t="s">
        <v>605</v>
      </c>
      <c r="K1766" s="27" t="s">
        <v>1876</v>
      </c>
      <c r="L1766" s="28">
        <f>_xlfn.NUMBERVALUE(LEFT(Activities[[#This Row],[Fiscal Year]], 4))</f>
        <v>2018</v>
      </c>
      <c r="M1766" s="28" t="s">
        <v>1863</v>
      </c>
      <c r="N1766" s="41">
        <v>240000</v>
      </c>
      <c r="O1766" s="93">
        <f>IF(Activities[[#This Row],[Reference Year]]&gt;2018,Activities[[#This Row],[Value]],Activities[[#This Row],[Value]]*(1+VLOOKUP(Activities[[#This Row],[Reference Year]],Inflation[#All],3,FALSE)))</f>
        <v>240000</v>
      </c>
    </row>
    <row r="1767" spans="1:15" ht="15" customHeight="1" x14ac:dyDescent="0.25">
      <c r="A1767" s="9" t="s">
        <v>149</v>
      </c>
      <c r="B1767" s="9" t="str">
        <f>INDEX(Places[Type],MATCH(Activities[[#This Row],[Jurisdiction]],Places[Jurisdiction],0))</f>
        <v>City</v>
      </c>
      <c r="C1767" s="19" t="str">
        <f>INDEX(Places[County],MATCH(Activities[[#This Row],[Jurisdiction]],Places[Jurisdiction],0))</f>
        <v>Los Angeles</v>
      </c>
      <c r="D1767" s="19" t="str">
        <f>INDEX(Places[Majority RB],MATCH(Activities[[#This Row],[Jurisdiction]],Places[Jurisdiction],0))</f>
        <v>Los Angeles</v>
      </c>
      <c r="E1767" s="9">
        <f>INDEX(Places[Majority RB '#],MATCH(Activities[[#This Row],[Jurisdiction]],Places[Jurisdiction],0))</f>
        <v>4</v>
      </c>
      <c r="F1767" s="28" t="str">
        <f>VLOOKUP(Activities[[#This Row],[Jurisdiction]],Places[#All],8,FALSE)</f>
        <v>Phase I MS4</v>
      </c>
      <c r="G1767" s="48" t="s">
        <v>65</v>
      </c>
      <c r="H1767" s="8"/>
      <c r="I1767" s="8"/>
      <c r="J1767" s="8" t="s">
        <v>76</v>
      </c>
      <c r="K1767" s="27" t="s">
        <v>1873</v>
      </c>
      <c r="L1767" s="28">
        <f>_xlfn.NUMBERVALUE(LEFT(Activities[[#This Row],[Fiscal Year]], 4))</f>
        <v>2015</v>
      </c>
      <c r="M1767" s="28" t="s">
        <v>1862</v>
      </c>
      <c r="N1767" s="41">
        <v>313316</v>
      </c>
      <c r="O1767" s="93">
        <f>IF(Activities[[#This Row],[Reference Year]]&gt;2018,Activities[[#This Row],[Value]],Activities[[#This Row],[Value]]*(1+VLOOKUP(Activities[[#This Row],[Reference Year]],Inflation[#All],3,FALSE)))</f>
        <v>332658.30546835443</v>
      </c>
    </row>
    <row r="1768" spans="1:15" ht="15" customHeight="1" x14ac:dyDescent="0.25">
      <c r="A1768" s="9" t="s">
        <v>149</v>
      </c>
      <c r="B1768" s="9" t="str">
        <f>INDEX(Places[Type],MATCH(Activities[[#This Row],[Jurisdiction]],Places[Jurisdiction],0))</f>
        <v>City</v>
      </c>
      <c r="C1768" s="19" t="str">
        <f>INDEX(Places[County],MATCH(Activities[[#This Row],[Jurisdiction]],Places[Jurisdiction],0))</f>
        <v>Los Angeles</v>
      </c>
      <c r="D1768" s="19" t="str">
        <f>INDEX(Places[Majority RB],MATCH(Activities[[#This Row],[Jurisdiction]],Places[Jurisdiction],0))</f>
        <v>Los Angeles</v>
      </c>
      <c r="E1768" s="9">
        <f>INDEX(Places[Majority RB '#],MATCH(Activities[[#This Row],[Jurisdiction]],Places[Jurisdiction],0))</f>
        <v>4</v>
      </c>
      <c r="F1768" s="28" t="str">
        <f>VLOOKUP(Activities[[#This Row],[Jurisdiction]],Places[#All],8,FALSE)</f>
        <v>Phase I MS4</v>
      </c>
      <c r="G1768" s="48" t="s">
        <v>208</v>
      </c>
      <c r="H1768" s="8"/>
      <c r="I1768" s="8"/>
      <c r="J1768" s="8" t="s">
        <v>334</v>
      </c>
      <c r="K1768" s="27" t="s">
        <v>1873</v>
      </c>
      <c r="L1768" s="28">
        <f>_xlfn.NUMBERVALUE(LEFT(Activities[[#This Row],[Fiscal Year]], 4))</f>
        <v>2015</v>
      </c>
      <c r="M1768" s="28" t="s">
        <v>1862</v>
      </c>
      <c r="N1768" s="41">
        <v>138831.17000000001</v>
      </c>
      <c r="O1768" s="93">
        <f>IF(Activities[[#This Row],[Reference Year]]&gt;2018,Activities[[#This Row],[Value]],Activities[[#This Row],[Value]]*(1+VLOOKUP(Activities[[#This Row],[Reference Year]],Inflation[#All],3,FALSE)))</f>
        <v>147401.79805177214</v>
      </c>
    </row>
    <row r="1769" spans="1:15" ht="15" customHeight="1" x14ac:dyDescent="0.25">
      <c r="A1769" s="9" t="s">
        <v>149</v>
      </c>
      <c r="B1769" s="9" t="str">
        <f>INDEX(Places[Type],MATCH(Activities[[#This Row],[Jurisdiction]],Places[Jurisdiction],0))</f>
        <v>City</v>
      </c>
      <c r="C1769" s="19" t="str">
        <f>INDEX(Places[County],MATCH(Activities[[#This Row],[Jurisdiction]],Places[Jurisdiction],0))</f>
        <v>Los Angeles</v>
      </c>
      <c r="D1769" s="19" t="str">
        <f>INDEX(Places[Majority RB],MATCH(Activities[[#This Row],[Jurisdiction]],Places[Jurisdiction],0))</f>
        <v>Los Angeles</v>
      </c>
      <c r="E1769" s="9">
        <f>INDEX(Places[Majority RB '#],MATCH(Activities[[#This Row],[Jurisdiction]],Places[Jurisdiction],0))</f>
        <v>4</v>
      </c>
      <c r="F1769" s="28" t="str">
        <f>VLOOKUP(Activities[[#This Row],[Jurisdiction]],Places[#All],8,FALSE)</f>
        <v>Phase I MS4</v>
      </c>
      <c r="G1769" s="48" t="s">
        <v>61</v>
      </c>
      <c r="H1769" s="8"/>
      <c r="I1769" s="8"/>
      <c r="J1769" s="8" t="s">
        <v>1897</v>
      </c>
      <c r="K1769" s="27" t="s">
        <v>1873</v>
      </c>
      <c r="L1769" s="28">
        <f>_xlfn.NUMBERVALUE(LEFT(Activities[[#This Row],[Fiscal Year]], 4))</f>
        <v>2015</v>
      </c>
      <c r="M1769" s="28" t="s">
        <v>1862</v>
      </c>
      <c r="N1769" s="41">
        <v>13950</v>
      </c>
      <c r="O1769" s="93">
        <f>IF(Activities[[#This Row],[Reference Year]]&gt;2018,Activities[[#This Row],[Value]],Activities[[#This Row],[Value]]*(1+VLOOKUP(Activities[[#This Row],[Reference Year]],Inflation[#All],3,FALSE)))</f>
        <v>14811.191772151898</v>
      </c>
    </row>
    <row r="1770" spans="1:15" ht="15" customHeight="1" x14ac:dyDescent="0.25">
      <c r="A1770" s="9" t="s">
        <v>149</v>
      </c>
      <c r="B1770" s="9" t="str">
        <f>INDEX(Places[Type],MATCH(Activities[[#This Row],[Jurisdiction]],Places[Jurisdiction],0))</f>
        <v>City</v>
      </c>
      <c r="C1770" s="19" t="str">
        <f>INDEX(Places[County],MATCH(Activities[[#This Row],[Jurisdiction]],Places[Jurisdiction],0))</f>
        <v>Los Angeles</v>
      </c>
      <c r="D1770" s="19" t="str">
        <f>INDEX(Places[Majority RB],MATCH(Activities[[#This Row],[Jurisdiction]],Places[Jurisdiction],0))</f>
        <v>Los Angeles</v>
      </c>
      <c r="E1770" s="9">
        <f>INDEX(Places[Majority RB '#],MATCH(Activities[[#This Row],[Jurisdiction]],Places[Jurisdiction],0))</f>
        <v>4</v>
      </c>
      <c r="F1770" s="28" t="str">
        <f>VLOOKUP(Activities[[#This Row],[Jurisdiction]],Places[#All],8,FALSE)</f>
        <v>Phase I MS4</v>
      </c>
      <c r="G1770" s="48" t="s">
        <v>60</v>
      </c>
      <c r="H1770" s="8"/>
      <c r="I1770" s="8"/>
      <c r="J1770" s="8" t="s">
        <v>1898</v>
      </c>
      <c r="K1770" s="27" t="s">
        <v>1873</v>
      </c>
      <c r="L1770" s="28">
        <f>_xlfn.NUMBERVALUE(LEFT(Activities[[#This Row],[Fiscal Year]], 4))</f>
        <v>2015</v>
      </c>
      <c r="M1770" s="28" t="s">
        <v>1862</v>
      </c>
      <c r="N1770" s="41">
        <v>3270</v>
      </c>
      <c r="O1770" s="93">
        <f>IF(Activities[[#This Row],[Reference Year]]&gt;2018,Activities[[#This Row],[Value]],Activities[[#This Row],[Value]]*(1+VLOOKUP(Activities[[#This Row],[Reference Year]],Inflation[#All],3,FALSE)))</f>
        <v>3471.8707594936709</v>
      </c>
    </row>
    <row r="1771" spans="1:15" ht="15" customHeight="1" x14ac:dyDescent="0.25">
      <c r="A1771" s="9" t="s">
        <v>149</v>
      </c>
      <c r="B1771" s="9" t="str">
        <f>INDEX(Places[Type],MATCH(Activities[[#This Row],[Jurisdiction]],Places[Jurisdiction],0))</f>
        <v>City</v>
      </c>
      <c r="C1771" s="19" t="str">
        <f>INDEX(Places[County],MATCH(Activities[[#This Row],[Jurisdiction]],Places[Jurisdiction],0))</f>
        <v>Los Angeles</v>
      </c>
      <c r="D1771" s="19" t="str">
        <f>INDEX(Places[Majority RB],MATCH(Activities[[#This Row],[Jurisdiction]],Places[Jurisdiction],0))</f>
        <v>Los Angeles</v>
      </c>
      <c r="E1771" s="9">
        <f>INDEX(Places[Majority RB '#],MATCH(Activities[[#This Row],[Jurisdiction]],Places[Jurisdiction],0))</f>
        <v>4</v>
      </c>
      <c r="F1771" s="28" t="str">
        <f>VLOOKUP(Activities[[#This Row],[Jurisdiction]],Places[#All],8,FALSE)</f>
        <v>Phase I MS4</v>
      </c>
      <c r="G1771" s="48" t="s">
        <v>58</v>
      </c>
      <c r="H1771" s="8"/>
      <c r="I1771" s="8"/>
      <c r="J1771" s="8" t="s">
        <v>1456</v>
      </c>
      <c r="K1771" s="27" t="s">
        <v>1873</v>
      </c>
      <c r="L1771" s="28">
        <f>_xlfn.NUMBERVALUE(LEFT(Activities[[#This Row],[Fiscal Year]], 4))</f>
        <v>2015</v>
      </c>
      <c r="M1771" s="28" t="s">
        <v>1862</v>
      </c>
      <c r="N1771" s="41">
        <v>65805.13</v>
      </c>
      <c r="O1771" s="93">
        <f>IF(Activities[[#This Row],[Reference Year]]&gt;2018,Activities[[#This Row],[Value]],Activities[[#This Row],[Value]]*(1+VLOOKUP(Activities[[#This Row],[Reference Year]],Inflation[#All],3,FALSE)))</f>
        <v>69867.555557088606</v>
      </c>
    </row>
    <row r="1772" spans="1:15" ht="15" customHeight="1" x14ac:dyDescent="0.25">
      <c r="A1772" s="9" t="s">
        <v>149</v>
      </c>
      <c r="B1772" s="9" t="str">
        <f>INDEX(Places[Type],MATCH(Activities[[#This Row],[Jurisdiction]],Places[Jurisdiction],0))</f>
        <v>City</v>
      </c>
      <c r="C1772" s="19" t="str">
        <f>INDEX(Places[County],MATCH(Activities[[#This Row],[Jurisdiction]],Places[Jurisdiction],0))</f>
        <v>Los Angeles</v>
      </c>
      <c r="D1772" s="19" t="str">
        <f>INDEX(Places[Majority RB],MATCH(Activities[[#This Row],[Jurisdiction]],Places[Jurisdiction],0))</f>
        <v>Los Angeles</v>
      </c>
      <c r="E1772" s="9">
        <f>INDEX(Places[Majority RB '#],MATCH(Activities[[#This Row],[Jurisdiction]],Places[Jurisdiction],0))</f>
        <v>4</v>
      </c>
      <c r="F1772" s="28" t="str">
        <f>VLOOKUP(Activities[[#This Row],[Jurisdiction]],Places[#All],8,FALSE)</f>
        <v>Phase I MS4</v>
      </c>
      <c r="G1772" s="48" t="s">
        <v>32</v>
      </c>
      <c r="H1772" s="8"/>
      <c r="I1772" s="8"/>
      <c r="J1772" s="8" t="s">
        <v>1894</v>
      </c>
      <c r="K1772" s="27" t="s">
        <v>1873</v>
      </c>
      <c r="L1772" s="28">
        <f>_xlfn.NUMBERVALUE(LEFT(Activities[[#This Row],[Fiscal Year]], 4))</f>
        <v>2015</v>
      </c>
      <c r="M1772" s="28" t="s">
        <v>1862</v>
      </c>
      <c r="N1772" s="41">
        <v>28621</v>
      </c>
      <c r="O1772" s="93">
        <f>IF(Activities[[#This Row],[Reference Year]]&gt;2018,Activities[[#This Row],[Value]],Activities[[#This Row],[Value]]*(1+VLOOKUP(Activities[[#This Row],[Reference Year]],Inflation[#All],3,FALSE)))</f>
        <v>30387.893886075948</v>
      </c>
    </row>
    <row r="1773" spans="1:15" ht="15" customHeight="1" x14ac:dyDescent="0.25">
      <c r="A1773" s="9" t="s">
        <v>149</v>
      </c>
      <c r="B1773" s="9" t="str">
        <f>INDEX(Places[Type],MATCH(Activities[[#This Row],[Jurisdiction]],Places[Jurisdiction],0))</f>
        <v>City</v>
      </c>
      <c r="C1773" s="19" t="str">
        <f>INDEX(Places[County],MATCH(Activities[[#This Row],[Jurisdiction]],Places[Jurisdiction],0))</f>
        <v>Los Angeles</v>
      </c>
      <c r="D1773" s="19" t="str">
        <f>INDEX(Places[Majority RB],MATCH(Activities[[#This Row],[Jurisdiction]],Places[Jurisdiction],0))</f>
        <v>Los Angeles</v>
      </c>
      <c r="E1773" s="9">
        <f>INDEX(Places[Majority RB '#],MATCH(Activities[[#This Row],[Jurisdiction]],Places[Jurisdiction],0))</f>
        <v>4</v>
      </c>
      <c r="F1773" s="28" t="str">
        <f>VLOOKUP(Activities[[#This Row],[Jurisdiction]],Places[#All],8,FALSE)</f>
        <v>Phase I MS4</v>
      </c>
      <c r="G1773" s="48" t="s">
        <v>67</v>
      </c>
      <c r="H1773" s="8"/>
      <c r="I1773" s="8"/>
      <c r="J1773" s="8" t="s">
        <v>1896</v>
      </c>
      <c r="K1773" s="27" t="s">
        <v>1873</v>
      </c>
      <c r="L1773" s="28">
        <f>_xlfn.NUMBERVALUE(LEFT(Activities[[#This Row],[Fiscal Year]], 4))</f>
        <v>2015</v>
      </c>
      <c r="M1773" s="28" t="s">
        <v>1862</v>
      </c>
      <c r="N1773" s="41">
        <v>9971</v>
      </c>
      <c r="O1773" s="93">
        <f>IF(Activities[[#This Row],[Reference Year]]&gt;2018,Activities[[#This Row],[Value]],Activities[[#This Row],[Value]]*(1+VLOOKUP(Activities[[#This Row],[Reference Year]],Inflation[#All],3,FALSE)))</f>
        <v>10586.551481012657</v>
      </c>
    </row>
    <row r="1774" spans="1:15" ht="15" customHeight="1" x14ac:dyDescent="0.25">
      <c r="A1774" s="9" t="s">
        <v>149</v>
      </c>
      <c r="B1774" s="9" t="str">
        <f>INDEX(Places[Type],MATCH(Activities[[#This Row],[Jurisdiction]],Places[Jurisdiction],0))</f>
        <v>City</v>
      </c>
      <c r="C1774" s="19" t="str">
        <f>INDEX(Places[County],MATCH(Activities[[#This Row],[Jurisdiction]],Places[Jurisdiction],0))</f>
        <v>Los Angeles</v>
      </c>
      <c r="D1774" s="19" t="str">
        <f>INDEX(Places[Majority RB],MATCH(Activities[[#This Row],[Jurisdiction]],Places[Jurisdiction],0))</f>
        <v>Los Angeles</v>
      </c>
      <c r="E1774" s="9">
        <f>INDEX(Places[Majority RB '#],MATCH(Activities[[#This Row],[Jurisdiction]],Places[Jurisdiction],0))</f>
        <v>4</v>
      </c>
      <c r="F1774" s="28" t="str">
        <f>VLOOKUP(Activities[[#This Row],[Jurisdiction]],Places[#All],8,FALSE)</f>
        <v>Phase I MS4</v>
      </c>
      <c r="G1774" s="48" t="s">
        <v>211</v>
      </c>
      <c r="H1774" s="8"/>
      <c r="I1774" s="8"/>
      <c r="J1774" s="8" t="s">
        <v>1896</v>
      </c>
      <c r="K1774" s="27" t="s">
        <v>1873</v>
      </c>
      <c r="L1774" s="28">
        <f>_xlfn.NUMBERVALUE(LEFT(Activities[[#This Row],[Fiscal Year]], 4))</f>
        <v>2015</v>
      </c>
      <c r="M1774" s="28" t="s">
        <v>1862</v>
      </c>
      <c r="N1774" s="41">
        <v>1160000</v>
      </c>
      <c r="O1774" s="93">
        <f>IF(Activities[[#This Row],[Reference Year]]&gt;2018,Activities[[#This Row],[Value]],Activities[[#This Row],[Value]]*(1+VLOOKUP(Activities[[#This Row],[Reference Year]],Inflation[#All],3,FALSE)))</f>
        <v>1231611.6455696202</v>
      </c>
    </row>
    <row r="1775" spans="1:15" ht="15" customHeight="1" x14ac:dyDescent="0.25">
      <c r="A1775" s="9" t="s">
        <v>149</v>
      </c>
      <c r="B1775" s="9" t="str">
        <f>INDEX(Places[Type],MATCH(Activities[[#This Row],[Jurisdiction]],Places[Jurisdiction],0))</f>
        <v>City</v>
      </c>
      <c r="C1775" s="19" t="str">
        <f>INDEX(Places[County],MATCH(Activities[[#This Row],[Jurisdiction]],Places[Jurisdiction],0))</f>
        <v>Los Angeles</v>
      </c>
      <c r="D1775" s="19" t="str">
        <f>INDEX(Places[Majority RB],MATCH(Activities[[#This Row],[Jurisdiction]],Places[Jurisdiction],0))</f>
        <v>Los Angeles</v>
      </c>
      <c r="E1775" s="9">
        <f>INDEX(Places[Majority RB '#],MATCH(Activities[[#This Row],[Jurisdiction]],Places[Jurisdiction],0))</f>
        <v>4</v>
      </c>
      <c r="F1775" s="28" t="str">
        <f>VLOOKUP(Activities[[#This Row],[Jurisdiction]],Places[#All],8,FALSE)</f>
        <v>Phase I MS4</v>
      </c>
      <c r="G1775" s="48" t="s">
        <v>33</v>
      </c>
      <c r="H1775" s="8"/>
      <c r="I1775" s="8"/>
      <c r="J1775" s="8" t="s">
        <v>47</v>
      </c>
      <c r="K1775" s="27" t="s">
        <v>1873</v>
      </c>
      <c r="L1775" s="28">
        <f>_xlfn.NUMBERVALUE(LEFT(Activities[[#This Row],[Fiscal Year]], 4))</f>
        <v>2015</v>
      </c>
      <c r="M1775" s="28" t="s">
        <v>1862</v>
      </c>
      <c r="N1775" s="41">
        <v>391237</v>
      </c>
      <c r="O1775" s="93">
        <f>IF(Activities[[#This Row],[Reference Year]]&gt;2018,Activities[[#This Row],[Value]],Activities[[#This Row],[Value]]*(1+VLOOKUP(Activities[[#This Row],[Reference Year]],Inflation[#All],3,FALSE)))</f>
        <v>415389.6942911392</v>
      </c>
    </row>
    <row r="1776" spans="1:15" ht="15" customHeight="1" x14ac:dyDescent="0.25">
      <c r="A1776" s="9" t="s">
        <v>293</v>
      </c>
      <c r="B1776" s="9" t="str">
        <f>INDEX(Places[Type],MATCH(Activities[[#This Row],[Jurisdiction]],Places[Jurisdiction],0))</f>
        <v>City</v>
      </c>
      <c r="C1776" s="19" t="str">
        <f>INDEX(Places[County],MATCH(Activities[[#This Row],[Jurisdiction]],Places[Jurisdiction],0))</f>
        <v>Orange</v>
      </c>
      <c r="D1776" s="9" t="str">
        <f>INDEX(Places[Majority RB],MATCH(Activities[[#This Row],[Jurisdiction]],Places[Jurisdiction],0))</f>
        <v>Santa Ana</v>
      </c>
      <c r="E1776" s="9">
        <f>INDEX(Places[Majority RB '#],MATCH(Activities[[#This Row],[Jurisdiction]],Places[Jurisdiction],0))</f>
        <v>8</v>
      </c>
      <c r="F1776" s="28" t="str">
        <f>VLOOKUP(Activities[[#This Row],[Jurisdiction]],Places[#All],8,FALSE)</f>
        <v>Phase I MS4</v>
      </c>
      <c r="G1776" s="48" t="s">
        <v>994</v>
      </c>
      <c r="H1776" s="8" t="s">
        <v>504</v>
      </c>
      <c r="I1776" s="8"/>
      <c r="J1776" s="8" t="s">
        <v>71</v>
      </c>
      <c r="K1776" s="27" t="s">
        <v>1875</v>
      </c>
      <c r="L1776" s="28">
        <f>_xlfn.NUMBERVALUE(LEFT(Activities[[#This Row],[Fiscal Year]], 4))</f>
        <v>2001</v>
      </c>
      <c r="M1776" s="28" t="s">
        <v>1862</v>
      </c>
      <c r="N1776" s="41">
        <v>60000</v>
      </c>
      <c r="O1776" s="93">
        <f>IF(Activities[[#This Row],[Reference Year]]&gt;2018,Activities[[#This Row],[Value]],Activities[[#This Row],[Value]]*(1+VLOOKUP(Activities[[#This Row],[Reference Year]],Inflation[#All],3,FALSE)))</f>
        <v>85250.479954827781</v>
      </c>
    </row>
    <row r="1777" spans="1:15" ht="15" customHeight="1" x14ac:dyDescent="0.25">
      <c r="A1777" s="9" t="s">
        <v>293</v>
      </c>
      <c r="B1777" s="9" t="str">
        <f>INDEX(Places[Type],MATCH(Activities[[#This Row],[Jurisdiction]],Places[Jurisdiction],0))</f>
        <v>City</v>
      </c>
      <c r="C1777" s="19" t="str">
        <f>INDEX(Places[County],MATCH(Activities[[#This Row],[Jurisdiction]],Places[Jurisdiction],0))</f>
        <v>Orange</v>
      </c>
      <c r="D1777" s="9" t="str">
        <f>INDEX(Places[Majority RB],MATCH(Activities[[#This Row],[Jurisdiction]],Places[Jurisdiction],0))</f>
        <v>Santa Ana</v>
      </c>
      <c r="E1777" s="9">
        <f>INDEX(Places[Majority RB '#],MATCH(Activities[[#This Row],[Jurisdiction]],Places[Jurisdiction],0))</f>
        <v>8</v>
      </c>
      <c r="F1777" s="28" t="str">
        <f>VLOOKUP(Activities[[#This Row],[Jurisdiction]],Places[#All],8,FALSE)</f>
        <v>Phase I MS4</v>
      </c>
      <c r="G1777" s="48" t="s">
        <v>992</v>
      </c>
      <c r="H1777" s="8" t="s">
        <v>504</v>
      </c>
      <c r="I1777" s="8"/>
      <c r="J1777" s="8" t="s">
        <v>1897</v>
      </c>
      <c r="K1777" s="27" t="s">
        <v>1875</v>
      </c>
      <c r="L1777" s="28">
        <f>_xlfn.NUMBERVALUE(LEFT(Activities[[#This Row],[Fiscal Year]], 4))</f>
        <v>2001</v>
      </c>
      <c r="M1777" s="28" t="s">
        <v>1862</v>
      </c>
      <c r="N1777" s="41">
        <v>3700</v>
      </c>
      <c r="O1777" s="93">
        <f>IF(Activities[[#This Row],[Reference Year]]&gt;2018,Activities[[#This Row],[Value]],Activities[[#This Row],[Value]]*(1+VLOOKUP(Activities[[#This Row],[Reference Year]],Inflation[#All],3,FALSE)))</f>
        <v>5257.1129305477134</v>
      </c>
    </row>
    <row r="1778" spans="1:15" ht="15" customHeight="1" x14ac:dyDescent="0.25">
      <c r="A1778" s="9" t="s">
        <v>293</v>
      </c>
      <c r="B1778" s="9" t="str">
        <f>INDEX(Places[Type],MATCH(Activities[[#This Row],[Jurisdiction]],Places[Jurisdiction],0))</f>
        <v>City</v>
      </c>
      <c r="C1778" s="19" t="str">
        <f>INDEX(Places[County],MATCH(Activities[[#This Row],[Jurisdiction]],Places[Jurisdiction],0))</f>
        <v>Orange</v>
      </c>
      <c r="D1778" s="9" t="str">
        <f>INDEX(Places[Majority RB],MATCH(Activities[[#This Row],[Jurisdiction]],Places[Jurisdiction],0))</f>
        <v>Santa Ana</v>
      </c>
      <c r="E1778" s="9">
        <f>INDEX(Places[Majority RB '#],MATCH(Activities[[#This Row],[Jurisdiction]],Places[Jurisdiction],0))</f>
        <v>8</v>
      </c>
      <c r="F1778" s="28" t="str">
        <f>VLOOKUP(Activities[[#This Row],[Jurisdiction]],Places[#All],8,FALSE)</f>
        <v>Phase I MS4</v>
      </c>
      <c r="G1778" s="48" t="s">
        <v>993</v>
      </c>
      <c r="H1778" s="8" t="s">
        <v>602</v>
      </c>
      <c r="I1778" s="8"/>
      <c r="J1778" s="8" t="s">
        <v>1897</v>
      </c>
      <c r="K1778" s="27" t="s">
        <v>1875</v>
      </c>
      <c r="L1778" s="28">
        <f>_xlfn.NUMBERVALUE(LEFT(Activities[[#This Row],[Fiscal Year]], 4))</f>
        <v>2001</v>
      </c>
      <c r="M1778" s="28" t="s">
        <v>1862</v>
      </c>
      <c r="N1778" s="41">
        <v>5000</v>
      </c>
      <c r="O1778" s="93">
        <f>IF(Activities[[#This Row],[Reference Year]]&gt;2018,Activities[[#This Row],[Value]],Activities[[#This Row],[Value]]*(1+VLOOKUP(Activities[[#This Row],[Reference Year]],Inflation[#All],3,FALSE)))</f>
        <v>7104.2066629023147</v>
      </c>
    </row>
    <row r="1779" spans="1:15" ht="15" customHeight="1" x14ac:dyDescent="0.25">
      <c r="A1779" s="9" t="s">
        <v>293</v>
      </c>
      <c r="B1779" s="9" t="str">
        <f>INDEX(Places[Type],MATCH(Activities[[#This Row],[Jurisdiction]],Places[Jurisdiction],0))</f>
        <v>City</v>
      </c>
      <c r="C1779" s="19" t="str">
        <f>INDEX(Places[County],MATCH(Activities[[#This Row],[Jurisdiction]],Places[Jurisdiction],0))</f>
        <v>Orange</v>
      </c>
      <c r="D1779" s="9" t="str">
        <f>INDEX(Places[Majority RB],MATCH(Activities[[#This Row],[Jurisdiction]],Places[Jurisdiction],0))</f>
        <v>Santa Ana</v>
      </c>
      <c r="E1779" s="9">
        <f>INDEX(Places[Majority RB '#],MATCH(Activities[[#This Row],[Jurisdiction]],Places[Jurisdiction],0))</f>
        <v>8</v>
      </c>
      <c r="F1779" s="28" t="str">
        <f>VLOOKUP(Activities[[#This Row],[Jurisdiction]],Places[#All],8,FALSE)</f>
        <v>Phase I MS4</v>
      </c>
      <c r="G1779" s="48" t="s">
        <v>995</v>
      </c>
      <c r="H1779" s="8" t="s">
        <v>504</v>
      </c>
      <c r="I1779" s="8"/>
      <c r="J1779" s="8" t="s">
        <v>1897</v>
      </c>
      <c r="K1779" s="27" t="s">
        <v>1875</v>
      </c>
      <c r="L1779" s="28">
        <f>_xlfn.NUMBERVALUE(LEFT(Activities[[#This Row],[Fiscal Year]], 4))</f>
        <v>2001</v>
      </c>
      <c r="M1779" s="28" t="s">
        <v>1862</v>
      </c>
      <c r="N1779" s="41">
        <v>5400</v>
      </c>
      <c r="O1779" s="93">
        <f>IF(Activities[[#This Row],[Reference Year]]&gt;2018,Activities[[#This Row],[Value]],Activities[[#This Row],[Value]]*(1+VLOOKUP(Activities[[#This Row],[Reference Year]],Inflation[#All],3,FALSE)))</f>
        <v>7672.5431959344996</v>
      </c>
    </row>
    <row r="1780" spans="1:15" ht="15" customHeight="1" x14ac:dyDescent="0.25">
      <c r="A1780" s="9" t="s">
        <v>293</v>
      </c>
      <c r="B1780" s="9" t="str">
        <f>INDEX(Places[Type],MATCH(Activities[[#This Row],[Jurisdiction]],Places[Jurisdiction],0))</f>
        <v>City</v>
      </c>
      <c r="C1780" s="19" t="str">
        <f>INDEX(Places[County],MATCH(Activities[[#This Row],[Jurisdiction]],Places[Jurisdiction],0))</f>
        <v>Orange</v>
      </c>
      <c r="D1780" s="9" t="str">
        <f>INDEX(Places[Majority RB],MATCH(Activities[[#This Row],[Jurisdiction]],Places[Jurisdiction],0))</f>
        <v>Santa Ana</v>
      </c>
      <c r="E1780" s="9">
        <f>INDEX(Places[Majority RB '#],MATCH(Activities[[#This Row],[Jurisdiction]],Places[Jurisdiction],0))</f>
        <v>8</v>
      </c>
      <c r="F1780" s="28" t="str">
        <f>VLOOKUP(Activities[[#This Row],[Jurisdiction]],Places[#All],8,FALSE)</f>
        <v>Phase I MS4</v>
      </c>
      <c r="G1780" s="48" t="s">
        <v>977</v>
      </c>
      <c r="H1780" s="8" t="s">
        <v>504</v>
      </c>
      <c r="I1780" s="8"/>
      <c r="J1780" s="8" t="s">
        <v>1897</v>
      </c>
      <c r="K1780" s="27" t="s">
        <v>1875</v>
      </c>
      <c r="L1780" s="28">
        <f>_xlfn.NUMBERVALUE(LEFT(Activities[[#This Row],[Fiscal Year]], 4))</f>
        <v>2001</v>
      </c>
      <c r="M1780" s="28" t="s">
        <v>1862</v>
      </c>
      <c r="N1780" s="41">
        <v>10000</v>
      </c>
      <c r="O1780" s="93">
        <f>IF(Activities[[#This Row],[Reference Year]]&gt;2018,Activities[[#This Row],[Value]],Activities[[#This Row],[Value]]*(1+VLOOKUP(Activities[[#This Row],[Reference Year]],Inflation[#All],3,FALSE)))</f>
        <v>14208.413325804629</v>
      </c>
    </row>
    <row r="1781" spans="1:15" ht="15" customHeight="1" x14ac:dyDescent="0.25">
      <c r="A1781" s="9" t="s">
        <v>293</v>
      </c>
      <c r="B1781" s="9" t="str">
        <f>INDEX(Places[Type],MATCH(Activities[[#This Row],[Jurisdiction]],Places[Jurisdiction],0))</f>
        <v>City</v>
      </c>
      <c r="C1781" s="19" t="str">
        <f>INDEX(Places[County],MATCH(Activities[[#This Row],[Jurisdiction]],Places[Jurisdiction],0))</f>
        <v>Orange</v>
      </c>
      <c r="D1781" s="9" t="str">
        <f>INDEX(Places[Majority RB],MATCH(Activities[[#This Row],[Jurisdiction]],Places[Jurisdiction],0))</f>
        <v>Santa Ana</v>
      </c>
      <c r="E1781" s="9">
        <f>INDEX(Places[Majority RB '#],MATCH(Activities[[#This Row],[Jurisdiction]],Places[Jurisdiction],0))</f>
        <v>8</v>
      </c>
      <c r="F1781" s="28" t="str">
        <f>VLOOKUP(Activities[[#This Row],[Jurisdiction]],Places[#All],8,FALSE)</f>
        <v>Phase I MS4</v>
      </c>
      <c r="G1781" s="48" t="s">
        <v>998</v>
      </c>
      <c r="H1781" s="8" t="s">
        <v>504</v>
      </c>
      <c r="I1781" s="8"/>
      <c r="J1781" s="8" t="s">
        <v>1897</v>
      </c>
      <c r="K1781" s="27" t="s">
        <v>1875</v>
      </c>
      <c r="L1781" s="28">
        <f>_xlfn.NUMBERVALUE(LEFT(Activities[[#This Row],[Fiscal Year]], 4))</f>
        <v>2001</v>
      </c>
      <c r="M1781" s="28" t="s">
        <v>1862</v>
      </c>
      <c r="N1781" s="41">
        <v>15000</v>
      </c>
      <c r="O1781" s="93">
        <f>IF(Activities[[#This Row],[Reference Year]]&gt;2018,Activities[[#This Row],[Value]],Activities[[#This Row],[Value]]*(1+VLOOKUP(Activities[[#This Row],[Reference Year]],Inflation[#All],3,FALSE)))</f>
        <v>21312.619988706945</v>
      </c>
    </row>
    <row r="1782" spans="1:15" ht="15" customHeight="1" x14ac:dyDescent="0.25">
      <c r="A1782" s="9" t="s">
        <v>293</v>
      </c>
      <c r="B1782" s="9" t="str">
        <f>INDEX(Places[Type],MATCH(Activities[[#This Row],[Jurisdiction]],Places[Jurisdiction],0))</f>
        <v>City</v>
      </c>
      <c r="C1782" s="19" t="str">
        <f>INDEX(Places[County],MATCH(Activities[[#This Row],[Jurisdiction]],Places[Jurisdiction],0))</f>
        <v>Orange</v>
      </c>
      <c r="D1782" s="9" t="str">
        <f>INDEX(Places[Majority RB],MATCH(Activities[[#This Row],[Jurisdiction]],Places[Jurisdiction],0))</f>
        <v>Santa Ana</v>
      </c>
      <c r="E1782" s="9">
        <f>INDEX(Places[Majority RB '#],MATCH(Activities[[#This Row],[Jurisdiction]],Places[Jurisdiction],0))</f>
        <v>8</v>
      </c>
      <c r="F1782" s="28" t="str">
        <f>VLOOKUP(Activities[[#This Row],[Jurisdiction]],Places[#All],8,FALSE)</f>
        <v>Phase I MS4</v>
      </c>
      <c r="G1782" s="48" t="s">
        <v>978</v>
      </c>
      <c r="H1782" s="8" t="s">
        <v>602</v>
      </c>
      <c r="I1782" s="8"/>
      <c r="J1782" s="8" t="s">
        <v>1897</v>
      </c>
      <c r="K1782" s="27" t="s">
        <v>1875</v>
      </c>
      <c r="L1782" s="28">
        <f>_xlfn.NUMBERVALUE(LEFT(Activities[[#This Row],[Fiscal Year]], 4))</f>
        <v>2001</v>
      </c>
      <c r="M1782" s="28" t="s">
        <v>1862</v>
      </c>
      <c r="N1782" s="41">
        <v>36000</v>
      </c>
      <c r="O1782" s="93">
        <f>IF(Activities[[#This Row],[Reference Year]]&gt;2018,Activities[[#This Row],[Value]],Activities[[#This Row],[Value]]*(1+VLOOKUP(Activities[[#This Row],[Reference Year]],Inflation[#All],3,FALSE)))</f>
        <v>51150.287972896665</v>
      </c>
    </row>
    <row r="1783" spans="1:15" ht="15" customHeight="1" x14ac:dyDescent="0.25">
      <c r="A1783" s="9" t="s">
        <v>293</v>
      </c>
      <c r="B1783" s="9" t="str">
        <f>INDEX(Places[Type],MATCH(Activities[[#This Row],[Jurisdiction]],Places[Jurisdiction],0))</f>
        <v>City</v>
      </c>
      <c r="C1783" s="19" t="str">
        <f>INDEX(Places[County],MATCH(Activities[[#This Row],[Jurisdiction]],Places[Jurisdiction],0))</f>
        <v>Orange</v>
      </c>
      <c r="D1783" s="9" t="str">
        <f>INDEX(Places[Majority RB],MATCH(Activities[[#This Row],[Jurisdiction]],Places[Jurisdiction],0))</f>
        <v>Santa Ana</v>
      </c>
      <c r="E1783" s="9">
        <f>INDEX(Places[Majority RB '#],MATCH(Activities[[#This Row],[Jurisdiction]],Places[Jurisdiction],0))</f>
        <v>8</v>
      </c>
      <c r="F1783" s="28" t="str">
        <f>VLOOKUP(Activities[[#This Row],[Jurisdiction]],Places[#All],8,FALSE)</f>
        <v>Phase I MS4</v>
      </c>
      <c r="G1783" s="48" t="s">
        <v>999</v>
      </c>
      <c r="H1783" s="8" t="s">
        <v>504</v>
      </c>
      <c r="I1783" s="8"/>
      <c r="J1783" s="8" t="s">
        <v>1897</v>
      </c>
      <c r="K1783" s="27" t="s">
        <v>1875</v>
      </c>
      <c r="L1783" s="28">
        <f>_xlfn.NUMBERVALUE(LEFT(Activities[[#This Row],[Fiscal Year]], 4))</f>
        <v>2001</v>
      </c>
      <c r="M1783" s="28" t="s">
        <v>1862</v>
      </c>
      <c r="N1783" s="41">
        <v>100000</v>
      </c>
      <c r="O1783" s="93">
        <f>IF(Activities[[#This Row],[Reference Year]]&gt;2018,Activities[[#This Row],[Value]],Activities[[#This Row],[Value]]*(1+VLOOKUP(Activities[[#This Row],[Reference Year]],Inflation[#All],3,FALSE)))</f>
        <v>142084.13325804629</v>
      </c>
    </row>
    <row r="1784" spans="1:15" ht="15" customHeight="1" x14ac:dyDescent="0.25">
      <c r="A1784" s="9" t="s">
        <v>293</v>
      </c>
      <c r="B1784" s="9" t="str">
        <f>INDEX(Places[Type],MATCH(Activities[[#This Row],[Jurisdiction]],Places[Jurisdiction],0))</f>
        <v>City</v>
      </c>
      <c r="C1784" s="19" t="str">
        <f>INDEX(Places[County],MATCH(Activities[[#This Row],[Jurisdiction]],Places[Jurisdiction],0))</f>
        <v>Orange</v>
      </c>
      <c r="D1784" s="9" t="str">
        <f>INDEX(Places[Majority RB],MATCH(Activities[[#This Row],[Jurisdiction]],Places[Jurisdiction],0))</f>
        <v>Santa Ana</v>
      </c>
      <c r="E1784" s="9">
        <f>INDEX(Places[Majority RB '#],MATCH(Activities[[#This Row],[Jurisdiction]],Places[Jurisdiction],0))</f>
        <v>8</v>
      </c>
      <c r="F1784" s="28" t="str">
        <f>VLOOKUP(Activities[[#This Row],[Jurisdiction]],Places[#All],8,FALSE)</f>
        <v>Phase I MS4</v>
      </c>
      <c r="G1784" s="48" t="s">
        <v>981</v>
      </c>
      <c r="H1784" s="8" t="s">
        <v>504</v>
      </c>
      <c r="I1784" s="8"/>
      <c r="J1784" s="8" t="s">
        <v>1897</v>
      </c>
      <c r="K1784" s="27" t="s">
        <v>1875</v>
      </c>
      <c r="L1784" s="28">
        <f>_xlfn.NUMBERVALUE(LEFT(Activities[[#This Row],[Fiscal Year]], 4))</f>
        <v>2001</v>
      </c>
      <c r="M1784" s="28" t="s">
        <v>1862</v>
      </c>
      <c r="N1784" s="41">
        <v>178553</v>
      </c>
      <c r="O1784" s="93">
        <f>IF(Activities[[#This Row],[Reference Year]]&gt;2018,Activities[[#This Row],[Value]],Activities[[#This Row],[Value]]*(1+VLOOKUP(Activities[[#This Row],[Reference Year]],Inflation[#All],3,FALSE)))</f>
        <v>253695.48245623941</v>
      </c>
    </row>
    <row r="1785" spans="1:15" ht="15" customHeight="1" x14ac:dyDescent="0.25">
      <c r="A1785" s="9" t="s">
        <v>293</v>
      </c>
      <c r="B1785" s="9" t="str">
        <f>INDEX(Places[Type],MATCH(Activities[[#This Row],[Jurisdiction]],Places[Jurisdiction],0))</f>
        <v>City</v>
      </c>
      <c r="C1785" s="19" t="str">
        <f>INDEX(Places[County],MATCH(Activities[[#This Row],[Jurisdiction]],Places[Jurisdiction],0))</f>
        <v>Orange</v>
      </c>
      <c r="D1785" s="9" t="str">
        <f>INDEX(Places[Majority RB],MATCH(Activities[[#This Row],[Jurisdiction]],Places[Jurisdiction],0))</f>
        <v>Santa Ana</v>
      </c>
      <c r="E1785" s="9">
        <f>INDEX(Places[Majority RB '#],MATCH(Activities[[#This Row],[Jurisdiction]],Places[Jurisdiction],0))</f>
        <v>8</v>
      </c>
      <c r="F1785" s="28" t="str">
        <f>VLOOKUP(Activities[[#This Row],[Jurisdiction]],Places[#All],8,FALSE)</f>
        <v>Phase I MS4</v>
      </c>
      <c r="G1785" s="48" t="s">
        <v>996</v>
      </c>
      <c r="H1785" s="8" t="s">
        <v>504</v>
      </c>
      <c r="I1785" s="8"/>
      <c r="J1785" s="8" t="s">
        <v>1897</v>
      </c>
      <c r="K1785" s="27" t="s">
        <v>1875</v>
      </c>
      <c r="L1785" s="28">
        <f>_xlfn.NUMBERVALUE(LEFT(Activities[[#This Row],[Fiscal Year]], 4))</f>
        <v>2001</v>
      </c>
      <c r="M1785" s="28" t="s">
        <v>1862</v>
      </c>
      <c r="N1785" s="41">
        <v>242000</v>
      </c>
      <c r="O1785" s="93">
        <f>IF(Activities[[#This Row],[Reference Year]]&gt;2018,Activities[[#This Row],[Value]],Activities[[#This Row],[Value]]*(1+VLOOKUP(Activities[[#This Row],[Reference Year]],Inflation[#All],3,FALSE)))</f>
        <v>343843.60248447204</v>
      </c>
    </row>
    <row r="1786" spans="1:15" ht="15" customHeight="1" x14ac:dyDescent="0.25">
      <c r="A1786" s="9" t="s">
        <v>293</v>
      </c>
      <c r="B1786" s="9" t="str">
        <f>INDEX(Places[Type],MATCH(Activities[[#This Row],[Jurisdiction]],Places[Jurisdiction],0))</f>
        <v>City</v>
      </c>
      <c r="C1786" s="19" t="str">
        <f>INDEX(Places[County],MATCH(Activities[[#This Row],[Jurisdiction]],Places[Jurisdiction],0))</f>
        <v>Orange</v>
      </c>
      <c r="D1786" s="9" t="str">
        <f>INDEX(Places[Majority RB],MATCH(Activities[[#This Row],[Jurisdiction]],Places[Jurisdiction],0))</f>
        <v>Santa Ana</v>
      </c>
      <c r="E1786" s="9">
        <f>INDEX(Places[Majority RB '#],MATCH(Activities[[#This Row],[Jurisdiction]],Places[Jurisdiction],0))</f>
        <v>8</v>
      </c>
      <c r="F1786" s="28" t="str">
        <f>VLOOKUP(Activities[[#This Row],[Jurisdiction]],Places[#All],8,FALSE)</f>
        <v>Phase I MS4</v>
      </c>
      <c r="G1786" s="48" t="s">
        <v>1000</v>
      </c>
      <c r="H1786" s="8" t="s">
        <v>505</v>
      </c>
      <c r="I1786" s="8"/>
      <c r="J1786" s="8" t="s">
        <v>1456</v>
      </c>
      <c r="K1786" s="27" t="s">
        <v>1875</v>
      </c>
      <c r="L1786" s="28">
        <f>_xlfn.NUMBERVALUE(LEFT(Activities[[#This Row],[Fiscal Year]], 4))</f>
        <v>2001</v>
      </c>
      <c r="M1786" s="28" t="s">
        <v>1862</v>
      </c>
      <c r="N1786" s="41">
        <v>1000</v>
      </c>
      <c r="O1786" s="93">
        <f>IF(Activities[[#This Row],[Reference Year]]&gt;2018,Activities[[#This Row],[Value]],Activities[[#This Row],[Value]]*(1+VLOOKUP(Activities[[#This Row],[Reference Year]],Inflation[#All],3,FALSE)))</f>
        <v>1420.8413325804629</v>
      </c>
    </row>
    <row r="1787" spans="1:15" ht="15" customHeight="1" x14ac:dyDescent="0.25">
      <c r="A1787" s="9" t="s">
        <v>293</v>
      </c>
      <c r="B1787" s="9" t="str">
        <f>INDEX(Places[Type],MATCH(Activities[[#This Row],[Jurisdiction]],Places[Jurisdiction],0))</f>
        <v>City</v>
      </c>
      <c r="C1787" s="19" t="str">
        <f>INDEX(Places[County],MATCH(Activities[[#This Row],[Jurisdiction]],Places[Jurisdiction],0))</f>
        <v>Orange</v>
      </c>
      <c r="D1787" s="9" t="str">
        <f>INDEX(Places[Majority RB],MATCH(Activities[[#This Row],[Jurisdiction]],Places[Jurisdiction],0))</f>
        <v>Santa Ana</v>
      </c>
      <c r="E1787" s="9">
        <f>INDEX(Places[Majority RB '#],MATCH(Activities[[#This Row],[Jurisdiction]],Places[Jurisdiction],0))</f>
        <v>8</v>
      </c>
      <c r="F1787" s="28" t="str">
        <f>VLOOKUP(Activities[[#This Row],[Jurisdiction]],Places[#All],8,FALSE)</f>
        <v>Phase I MS4</v>
      </c>
      <c r="G1787" s="48" t="s">
        <v>986</v>
      </c>
      <c r="H1787" s="8" t="s">
        <v>599</v>
      </c>
      <c r="I1787" s="8"/>
      <c r="J1787" s="8" t="s">
        <v>1456</v>
      </c>
      <c r="K1787" s="27" t="s">
        <v>1875</v>
      </c>
      <c r="L1787" s="28">
        <f>_xlfn.NUMBERVALUE(LEFT(Activities[[#This Row],[Fiscal Year]], 4))</f>
        <v>2001</v>
      </c>
      <c r="M1787" s="28" t="s">
        <v>1862</v>
      </c>
      <c r="N1787" s="41">
        <v>20000</v>
      </c>
      <c r="O1787" s="93">
        <f>IF(Activities[[#This Row],[Reference Year]]&gt;2018,Activities[[#This Row],[Value]],Activities[[#This Row],[Value]]*(1+VLOOKUP(Activities[[#This Row],[Reference Year]],Inflation[#All],3,FALSE)))</f>
        <v>28416.826651609259</v>
      </c>
    </row>
    <row r="1788" spans="1:15" ht="15" customHeight="1" x14ac:dyDescent="0.25">
      <c r="A1788" s="9" t="s">
        <v>1447</v>
      </c>
      <c r="B1788" s="9" t="str">
        <f>INDEX(Places[Type],MATCH(Activities[[#This Row],[Jurisdiction]],Places[Jurisdiction],0))</f>
        <v>County</v>
      </c>
      <c r="C1788" s="19" t="str">
        <f>INDEX(Places[County],MATCH(Activities[[#This Row],[Jurisdiction]],Places[Jurisdiction],0))</f>
        <v>Ventura</v>
      </c>
      <c r="D1788" s="19" t="str">
        <f>INDEX(Places[Majority RB],MATCH(Activities[[#This Row],[Jurisdiction]],Places[Jurisdiction],0))</f>
        <v>Los Angeles</v>
      </c>
      <c r="E1788" s="9">
        <f>INDEX(Places[Majority RB '#],MATCH(Activities[[#This Row],[Jurisdiction]],Places[Jurisdiction],0))</f>
        <v>4</v>
      </c>
      <c r="F1788" s="28" t="str">
        <f>VLOOKUP(Activities[[#This Row],[Jurisdiction]],Places[#All],8,FALSE)</f>
        <v>Phase I MS4</v>
      </c>
      <c r="G1788" s="48" t="s">
        <v>76</v>
      </c>
      <c r="H1788" s="8"/>
      <c r="I1788" s="8"/>
      <c r="J1788" s="8" t="s">
        <v>76</v>
      </c>
      <c r="K1788" s="27" t="s">
        <v>1876</v>
      </c>
      <c r="L1788" s="28">
        <f>_xlfn.NUMBERVALUE(LEFT(Activities[[#This Row],[Fiscal Year]], 4))</f>
        <v>2018</v>
      </c>
      <c r="M1788" s="28" t="s">
        <v>1863</v>
      </c>
      <c r="N1788" s="41">
        <v>1460000</v>
      </c>
      <c r="O1788" s="93">
        <f>IF(Activities[[#This Row],[Reference Year]]&gt;2018,Activities[[#This Row],[Value]],Activities[[#This Row],[Value]]*(1+VLOOKUP(Activities[[#This Row],[Reference Year]],Inflation[#All],3,FALSE)))</f>
        <v>1460000</v>
      </c>
    </row>
    <row r="1789" spans="1:15" ht="15" customHeight="1" x14ac:dyDescent="0.25">
      <c r="A1789" s="9" t="s">
        <v>1447</v>
      </c>
      <c r="B1789" s="9" t="str">
        <f>INDEX(Places[Type],MATCH(Activities[[#This Row],[Jurisdiction]],Places[Jurisdiction],0))</f>
        <v>County</v>
      </c>
      <c r="C1789" s="19" t="str">
        <f>INDEX(Places[County],MATCH(Activities[[#This Row],[Jurisdiction]],Places[Jurisdiction],0))</f>
        <v>Ventura</v>
      </c>
      <c r="D1789" s="19" t="str">
        <f>INDEX(Places[Majority RB],MATCH(Activities[[#This Row],[Jurisdiction]],Places[Jurisdiction],0))</f>
        <v>Los Angeles</v>
      </c>
      <c r="E1789" s="9">
        <f>INDEX(Places[Majority RB '#],MATCH(Activities[[#This Row],[Jurisdiction]],Places[Jurisdiction],0))</f>
        <v>4</v>
      </c>
      <c r="F1789" s="28" t="str">
        <f>VLOOKUP(Activities[[#This Row],[Jurisdiction]],Places[#All],8,FALSE)</f>
        <v>Phase I MS4</v>
      </c>
      <c r="G1789" s="48" t="s">
        <v>77</v>
      </c>
      <c r="H1789" s="8"/>
      <c r="I1789" s="8"/>
      <c r="J1789" s="8" t="s">
        <v>131</v>
      </c>
      <c r="K1789" s="27" t="s">
        <v>1876</v>
      </c>
      <c r="L1789" s="28">
        <f>_xlfn.NUMBERVALUE(LEFT(Activities[[#This Row],[Fiscal Year]], 4))</f>
        <v>2018</v>
      </c>
      <c r="M1789" s="28" t="s">
        <v>1863</v>
      </c>
      <c r="N1789" s="41">
        <v>143580</v>
      </c>
      <c r="O1789" s="93">
        <f>IF(Activities[[#This Row],[Reference Year]]&gt;2018,Activities[[#This Row],[Value]],Activities[[#This Row],[Value]]*(1+VLOOKUP(Activities[[#This Row],[Reference Year]],Inflation[#All],3,FALSE)))</f>
        <v>143580</v>
      </c>
    </row>
    <row r="1790" spans="1:15" ht="15" customHeight="1" x14ac:dyDescent="0.25">
      <c r="A1790" s="9" t="s">
        <v>1447</v>
      </c>
      <c r="B1790" s="9" t="str">
        <f>INDEX(Places[Type],MATCH(Activities[[#This Row],[Jurisdiction]],Places[Jurisdiction],0))</f>
        <v>County</v>
      </c>
      <c r="C1790" s="19" t="str">
        <f>INDEX(Places[County],MATCH(Activities[[#This Row],[Jurisdiction]],Places[Jurisdiction],0))</f>
        <v>Ventura</v>
      </c>
      <c r="D1790" s="19" t="str">
        <f>INDEX(Places[Majority RB],MATCH(Activities[[#This Row],[Jurisdiction]],Places[Jurisdiction],0))</f>
        <v>Los Angeles</v>
      </c>
      <c r="E1790" s="9">
        <f>INDEX(Places[Majority RB '#],MATCH(Activities[[#This Row],[Jurisdiction]],Places[Jurisdiction],0))</f>
        <v>4</v>
      </c>
      <c r="F1790" s="28" t="str">
        <f>VLOOKUP(Activities[[#This Row],[Jurisdiction]],Places[#All],8,FALSE)</f>
        <v>Phase I MS4</v>
      </c>
      <c r="G1790" s="48" t="s">
        <v>69</v>
      </c>
      <c r="H1790" s="8"/>
      <c r="I1790" s="8"/>
      <c r="J1790" s="8" t="s">
        <v>334</v>
      </c>
      <c r="K1790" s="27" t="s">
        <v>1876</v>
      </c>
      <c r="L1790" s="28">
        <f>_xlfn.NUMBERVALUE(LEFT(Activities[[#This Row],[Fiscal Year]], 4))</f>
        <v>2018</v>
      </c>
      <c r="M1790" s="28" t="s">
        <v>1863</v>
      </c>
      <c r="N1790" s="41">
        <v>143580</v>
      </c>
      <c r="O1790" s="93">
        <f>IF(Activities[[#This Row],[Reference Year]]&gt;2018,Activities[[#This Row],[Value]],Activities[[#This Row],[Value]]*(1+VLOOKUP(Activities[[#This Row],[Reference Year]],Inflation[#All],3,FALSE)))</f>
        <v>143580</v>
      </c>
    </row>
    <row r="1791" spans="1:15" ht="15" customHeight="1" x14ac:dyDescent="0.25">
      <c r="A1791" s="9" t="s">
        <v>1447</v>
      </c>
      <c r="B1791" s="9" t="str">
        <f>INDEX(Places[Type],MATCH(Activities[[#This Row],[Jurisdiction]],Places[Jurisdiction],0))</f>
        <v>County</v>
      </c>
      <c r="C1791" s="19" t="str">
        <f>INDEX(Places[County],MATCH(Activities[[#This Row],[Jurisdiction]],Places[Jurisdiction],0))</f>
        <v>Ventura</v>
      </c>
      <c r="D1791" s="19" t="str">
        <f>INDEX(Places[Majority RB],MATCH(Activities[[#This Row],[Jurisdiction]],Places[Jurisdiction],0))</f>
        <v>Los Angeles</v>
      </c>
      <c r="E1791" s="9">
        <f>INDEX(Places[Majority RB '#],MATCH(Activities[[#This Row],[Jurisdiction]],Places[Jurisdiction],0))</f>
        <v>4</v>
      </c>
      <c r="F1791" s="28" t="str">
        <f>VLOOKUP(Activities[[#This Row],[Jurisdiction]],Places[#All],8,FALSE)</f>
        <v>Phase I MS4</v>
      </c>
      <c r="G1791" s="48" t="s">
        <v>72</v>
      </c>
      <c r="H1791" s="8" t="s">
        <v>610</v>
      </c>
      <c r="I1791" s="8" t="s">
        <v>458</v>
      </c>
      <c r="J1791" s="8" t="s">
        <v>1897</v>
      </c>
      <c r="K1791" s="27" t="s">
        <v>1876</v>
      </c>
      <c r="L1791" s="28">
        <f>_xlfn.NUMBERVALUE(LEFT(Activities[[#This Row],[Fiscal Year]], 4))</f>
        <v>2018</v>
      </c>
      <c r="M1791" s="28" t="s">
        <v>1863</v>
      </c>
      <c r="N1791" s="41">
        <v>167000</v>
      </c>
      <c r="O1791" s="93">
        <f>IF(Activities[[#This Row],[Reference Year]]&gt;2018,Activities[[#This Row],[Value]],Activities[[#This Row],[Value]]*(1+VLOOKUP(Activities[[#This Row],[Reference Year]],Inflation[#All],3,FALSE)))</f>
        <v>167000</v>
      </c>
    </row>
    <row r="1792" spans="1:15" ht="15" customHeight="1" x14ac:dyDescent="0.25">
      <c r="A1792" s="9" t="s">
        <v>1447</v>
      </c>
      <c r="B1792" s="9" t="str">
        <f>INDEX(Places[Type],MATCH(Activities[[#This Row],[Jurisdiction]],Places[Jurisdiction],0))</f>
        <v>County</v>
      </c>
      <c r="C1792" s="19" t="str">
        <f>INDEX(Places[County],MATCH(Activities[[#This Row],[Jurisdiction]],Places[Jurisdiction],0))</f>
        <v>Ventura</v>
      </c>
      <c r="D1792" s="19" t="str">
        <f>INDEX(Places[Majority RB],MATCH(Activities[[#This Row],[Jurisdiction]],Places[Jurisdiction],0))</f>
        <v>Los Angeles</v>
      </c>
      <c r="E1792" s="9">
        <f>INDEX(Places[Majority RB '#],MATCH(Activities[[#This Row],[Jurisdiction]],Places[Jurisdiction],0))</f>
        <v>4</v>
      </c>
      <c r="F1792" s="28" t="str">
        <f>VLOOKUP(Activities[[#This Row],[Jurisdiction]],Places[#All],8,FALSE)</f>
        <v>Phase I MS4</v>
      </c>
      <c r="G1792" s="48" t="s">
        <v>59</v>
      </c>
      <c r="H1792" s="8"/>
      <c r="I1792" s="8"/>
      <c r="J1792" s="8" t="s">
        <v>1898</v>
      </c>
      <c r="K1792" s="27" t="s">
        <v>1876</v>
      </c>
      <c r="L1792" s="28">
        <f>_xlfn.NUMBERVALUE(LEFT(Activities[[#This Row],[Fiscal Year]], 4))</f>
        <v>2018</v>
      </c>
      <c r="M1792" s="28" t="s">
        <v>1863</v>
      </c>
      <c r="N1792" s="41">
        <v>157685</v>
      </c>
      <c r="O1792" s="93">
        <f>IF(Activities[[#This Row],[Reference Year]]&gt;2018,Activities[[#This Row],[Value]],Activities[[#This Row],[Value]]*(1+VLOOKUP(Activities[[#This Row],[Reference Year]],Inflation[#All],3,FALSE)))</f>
        <v>157685</v>
      </c>
    </row>
    <row r="1793" spans="1:15" ht="15" customHeight="1" x14ac:dyDescent="0.25">
      <c r="A1793" s="9" t="s">
        <v>1447</v>
      </c>
      <c r="B1793" s="9" t="str">
        <f>INDEX(Places[Type],MATCH(Activities[[#This Row],[Jurisdiction]],Places[Jurisdiction],0))</f>
        <v>County</v>
      </c>
      <c r="C1793" s="19" t="str">
        <f>INDEX(Places[County],MATCH(Activities[[#This Row],[Jurisdiction]],Places[Jurisdiction],0))</f>
        <v>Ventura</v>
      </c>
      <c r="D1793" s="19" t="str">
        <f>INDEX(Places[Majority RB],MATCH(Activities[[#This Row],[Jurisdiction]],Places[Jurisdiction],0))</f>
        <v>Los Angeles</v>
      </c>
      <c r="E1793" s="9">
        <f>INDEX(Places[Majority RB '#],MATCH(Activities[[#This Row],[Jurisdiction]],Places[Jurisdiction],0))</f>
        <v>4</v>
      </c>
      <c r="F1793" s="28" t="str">
        <f>VLOOKUP(Activities[[#This Row],[Jurisdiction]],Places[#All],8,FALSE)</f>
        <v>Phase I MS4</v>
      </c>
      <c r="G1793" s="48" t="s">
        <v>68</v>
      </c>
      <c r="H1793" s="8"/>
      <c r="I1793" s="8"/>
      <c r="J1793" s="8" t="s">
        <v>1456</v>
      </c>
      <c r="K1793" s="27" t="s">
        <v>1876</v>
      </c>
      <c r="L1793" s="28">
        <f>_xlfn.NUMBERVALUE(LEFT(Activities[[#This Row],[Fiscal Year]], 4))</f>
        <v>2018</v>
      </c>
      <c r="M1793" s="28" t="s">
        <v>1863</v>
      </c>
      <c r="N1793" s="41">
        <v>117685</v>
      </c>
      <c r="O1793" s="93">
        <f>IF(Activities[[#This Row],[Reference Year]]&gt;2018,Activities[[#This Row],[Value]],Activities[[#This Row],[Value]]*(1+VLOOKUP(Activities[[#This Row],[Reference Year]],Inflation[#All],3,FALSE)))</f>
        <v>117685</v>
      </c>
    </row>
    <row r="1794" spans="1:15" ht="15" customHeight="1" x14ac:dyDescent="0.25">
      <c r="A1794" s="9" t="s">
        <v>1447</v>
      </c>
      <c r="B1794" s="9" t="str">
        <f>INDEX(Places[Type],MATCH(Activities[[#This Row],[Jurisdiction]],Places[Jurisdiction],0))</f>
        <v>County</v>
      </c>
      <c r="C1794" s="19" t="str">
        <f>INDEX(Places[County],MATCH(Activities[[#This Row],[Jurisdiction]],Places[Jurisdiction],0))</f>
        <v>Ventura</v>
      </c>
      <c r="D1794" s="19" t="str">
        <f>INDEX(Places[Majority RB],MATCH(Activities[[#This Row],[Jurisdiction]],Places[Jurisdiction],0))</f>
        <v>Los Angeles</v>
      </c>
      <c r="E1794" s="9">
        <f>INDEX(Places[Majority RB '#],MATCH(Activities[[#This Row],[Jurisdiction]],Places[Jurisdiction],0))</f>
        <v>4</v>
      </c>
      <c r="F1794" s="28" t="str">
        <f>VLOOKUP(Activities[[#This Row],[Jurisdiction]],Places[#All],8,FALSE)</f>
        <v>Phase I MS4</v>
      </c>
      <c r="G1794" s="48" t="s">
        <v>32</v>
      </c>
      <c r="H1794" s="8" t="s">
        <v>608</v>
      </c>
      <c r="I1794" s="94" t="s">
        <v>609</v>
      </c>
      <c r="J1794" s="8" t="s">
        <v>1894</v>
      </c>
      <c r="K1794" s="27" t="s">
        <v>1876</v>
      </c>
      <c r="L1794" s="28">
        <f>_xlfn.NUMBERVALUE(LEFT(Activities[[#This Row],[Fiscal Year]], 4))</f>
        <v>2018</v>
      </c>
      <c r="M1794" s="28" t="s">
        <v>1863</v>
      </c>
      <c r="N1794" s="41">
        <v>349985</v>
      </c>
      <c r="O1794" s="93">
        <f>IF(Activities[[#This Row],[Reference Year]]&gt;2018,Activities[[#This Row],[Value]],Activities[[#This Row],[Value]]*(1+VLOOKUP(Activities[[#This Row],[Reference Year]],Inflation[#All],3,FALSE)))</f>
        <v>349985</v>
      </c>
    </row>
    <row r="1795" spans="1:15" ht="15" customHeight="1" x14ac:dyDescent="0.25">
      <c r="A1795" s="9" t="s">
        <v>1447</v>
      </c>
      <c r="B1795" s="9" t="str">
        <f>INDEX(Places[Type],MATCH(Activities[[#This Row],[Jurisdiction]],Places[Jurisdiction],0))</f>
        <v>County</v>
      </c>
      <c r="C1795" s="19" t="str">
        <f>INDEX(Places[County],MATCH(Activities[[#This Row],[Jurisdiction]],Places[Jurisdiction],0))</f>
        <v>Ventura</v>
      </c>
      <c r="D1795" s="19" t="str">
        <f>INDEX(Places[Majority RB],MATCH(Activities[[#This Row],[Jurisdiction]],Places[Jurisdiction],0))</f>
        <v>Los Angeles</v>
      </c>
      <c r="E1795" s="9">
        <f>INDEX(Places[Majority RB '#],MATCH(Activities[[#This Row],[Jurisdiction]],Places[Jurisdiction],0))</f>
        <v>4</v>
      </c>
      <c r="F1795" s="28" t="str">
        <f>VLOOKUP(Activities[[#This Row],[Jurisdiction]],Places[#All],8,FALSE)</f>
        <v>Phase I MS4</v>
      </c>
      <c r="G1795" s="48" t="s">
        <v>79</v>
      </c>
      <c r="H1795" s="8" t="s">
        <v>483</v>
      </c>
      <c r="I1795" s="8" t="s">
        <v>458</v>
      </c>
      <c r="J1795" s="8" t="s">
        <v>1896</v>
      </c>
      <c r="K1795" s="27" t="s">
        <v>1876</v>
      </c>
      <c r="L1795" s="28">
        <f>_xlfn.NUMBERVALUE(LEFT(Activities[[#This Row],[Fiscal Year]], 4))</f>
        <v>2018</v>
      </c>
      <c r="M1795" s="28" t="s">
        <v>1863</v>
      </c>
      <c r="N1795" s="41">
        <v>224000</v>
      </c>
      <c r="O1795" s="93">
        <f>IF(Activities[[#This Row],[Reference Year]]&gt;2018,Activities[[#This Row],[Value]],Activities[[#This Row],[Value]]*(1+VLOOKUP(Activities[[#This Row],[Reference Year]],Inflation[#All],3,FALSE)))</f>
        <v>224000</v>
      </c>
    </row>
    <row r="1796" spans="1:15" ht="15" customHeight="1" x14ac:dyDescent="0.25">
      <c r="A1796" s="9" t="s">
        <v>1447</v>
      </c>
      <c r="B1796" s="9" t="str">
        <f>INDEX(Places[Type],MATCH(Activities[[#This Row],[Jurisdiction]],Places[Jurisdiction],0))</f>
        <v>County</v>
      </c>
      <c r="C1796" s="19" t="str">
        <f>INDEX(Places[County],MATCH(Activities[[#This Row],[Jurisdiction]],Places[Jurisdiction],0))</f>
        <v>Ventura</v>
      </c>
      <c r="D1796" s="19" t="str">
        <f>INDEX(Places[Majority RB],MATCH(Activities[[#This Row],[Jurisdiction]],Places[Jurisdiction],0))</f>
        <v>Los Angeles</v>
      </c>
      <c r="E1796" s="9">
        <f>INDEX(Places[Majority RB '#],MATCH(Activities[[#This Row],[Jurisdiction]],Places[Jurisdiction],0))</f>
        <v>4</v>
      </c>
      <c r="F1796" s="28" t="str">
        <f>VLOOKUP(Activities[[#This Row],[Jurisdiction]],Places[#All],8,FALSE)</f>
        <v>Phase I MS4</v>
      </c>
      <c r="G1796" s="48" t="s">
        <v>80</v>
      </c>
      <c r="H1796" s="8"/>
      <c r="I1796" s="8"/>
      <c r="J1796" s="8" t="s">
        <v>605</v>
      </c>
      <c r="K1796" s="27" t="s">
        <v>1876</v>
      </c>
      <c r="L1796" s="28">
        <f>_xlfn.NUMBERVALUE(LEFT(Activities[[#This Row],[Fiscal Year]], 4))</f>
        <v>2018</v>
      </c>
      <c r="M1796" s="28" t="s">
        <v>1863</v>
      </c>
      <c r="N1796" s="41">
        <v>172685</v>
      </c>
      <c r="O1796" s="93">
        <f>IF(Activities[[#This Row],[Reference Year]]&gt;2018,Activities[[#This Row],[Value]],Activities[[#This Row],[Value]]*(1+VLOOKUP(Activities[[#This Row],[Reference Year]],Inflation[#All],3,FALSE)))</f>
        <v>172685</v>
      </c>
    </row>
    <row r="1797" spans="1:15" ht="15" customHeight="1" x14ac:dyDescent="0.25">
      <c r="A1797" s="9" t="s">
        <v>424</v>
      </c>
      <c r="B1797" s="9" t="str">
        <f>INDEX(Places[Type],MATCH(Activities[[#This Row],[Jurisdiction]],Places[Jurisdiction],0))</f>
        <v>FCD</v>
      </c>
      <c r="C1797" s="19" t="str">
        <f>INDEX(Places[County],MATCH(Activities[[#This Row],[Jurisdiction]],Places[Jurisdiction],0))</f>
        <v>Ventura</v>
      </c>
      <c r="D1797" s="19" t="str">
        <f>INDEX(Places[Majority RB],MATCH(Activities[[#This Row],[Jurisdiction]],Places[Jurisdiction],0))</f>
        <v>Los Angeles</v>
      </c>
      <c r="E1797" s="9">
        <f>INDEX(Places[Majority RB '#],MATCH(Activities[[#This Row],[Jurisdiction]],Places[Jurisdiction],0))</f>
        <v>4</v>
      </c>
      <c r="F1797" s="28" t="str">
        <f>VLOOKUP(Activities[[#This Row],[Jurisdiction]],Places[#All],8,FALSE)</f>
        <v>Phase I MS4</v>
      </c>
      <c r="G1797" s="48" t="s">
        <v>71</v>
      </c>
      <c r="H1797" s="8" t="s">
        <v>484</v>
      </c>
      <c r="I1797" s="8" t="s">
        <v>458</v>
      </c>
      <c r="J1797" s="8" t="s">
        <v>71</v>
      </c>
      <c r="K1797" s="27" t="s">
        <v>1876</v>
      </c>
      <c r="L1797" s="28">
        <f>_xlfn.NUMBERVALUE(LEFT(Activities[[#This Row],[Fiscal Year]], 4))</f>
        <v>2018</v>
      </c>
      <c r="M1797" s="28" t="s">
        <v>1863</v>
      </c>
      <c r="N1797" s="41">
        <v>1500000</v>
      </c>
      <c r="O1797" s="93">
        <f>IF(Activities[[#This Row],[Reference Year]]&gt;2018,Activities[[#This Row],[Value]],Activities[[#This Row],[Value]]*(1+VLOOKUP(Activities[[#This Row],[Reference Year]],Inflation[#All],3,FALSE)))</f>
        <v>1500000</v>
      </c>
    </row>
    <row r="1798" spans="1:15" ht="15" customHeight="1" x14ac:dyDescent="0.25">
      <c r="A1798" s="9" t="s">
        <v>424</v>
      </c>
      <c r="B1798" s="9" t="str">
        <f>INDEX(Places[Type],MATCH(Activities[[#This Row],[Jurisdiction]],Places[Jurisdiction],0))</f>
        <v>FCD</v>
      </c>
      <c r="C1798" s="19" t="str">
        <f>INDEX(Places[County],MATCH(Activities[[#This Row],[Jurisdiction]],Places[Jurisdiction],0))</f>
        <v>Ventura</v>
      </c>
      <c r="D1798" s="19" t="str">
        <f>INDEX(Places[Majority RB],MATCH(Activities[[#This Row],[Jurisdiction]],Places[Jurisdiction],0))</f>
        <v>Los Angeles</v>
      </c>
      <c r="E1798" s="9">
        <f>INDEX(Places[Majority RB '#],MATCH(Activities[[#This Row],[Jurisdiction]],Places[Jurisdiction],0))</f>
        <v>4</v>
      </c>
      <c r="F1798" s="28" t="str">
        <f>VLOOKUP(Activities[[#This Row],[Jurisdiction]],Places[#All],8,FALSE)</f>
        <v>Phase I MS4</v>
      </c>
      <c r="G1798" s="48" t="s">
        <v>67</v>
      </c>
      <c r="H1798" s="8"/>
      <c r="I1798" s="8"/>
      <c r="J1798" s="8" t="s">
        <v>1896</v>
      </c>
      <c r="K1798" s="27" t="s">
        <v>1876</v>
      </c>
      <c r="L1798" s="28">
        <f>_xlfn.NUMBERVALUE(LEFT(Activities[[#This Row],[Fiscal Year]], 4))</f>
        <v>2018</v>
      </c>
      <c r="M1798" s="28" t="s">
        <v>1863</v>
      </c>
      <c r="N1798" s="41">
        <v>210000</v>
      </c>
      <c r="O1798" s="93">
        <f>IF(Activities[[#This Row],[Reference Year]]&gt;2018,Activities[[#This Row],[Value]],Activities[[#This Row],[Value]]*(1+VLOOKUP(Activities[[#This Row],[Reference Year]],Inflation[#All],3,FALSE)))</f>
        <v>210000</v>
      </c>
    </row>
    <row r="1799" spans="1:15" ht="15" customHeight="1" x14ac:dyDescent="0.25">
      <c r="A1799" s="9" t="s">
        <v>424</v>
      </c>
      <c r="B1799" s="9" t="str">
        <f>INDEX(Places[Type],MATCH(Activities[[#This Row],[Jurisdiction]],Places[Jurisdiction],0))</f>
        <v>FCD</v>
      </c>
      <c r="C1799" s="19" t="str">
        <f>INDEX(Places[County],MATCH(Activities[[#This Row],[Jurisdiction]],Places[Jurisdiction],0))</f>
        <v>Ventura</v>
      </c>
      <c r="D1799" s="19" t="str">
        <f>INDEX(Places[Majority RB],MATCH(Activities[[#This Row],[Jurisdiction]],Places[Jurisdiction],0))</f>
        <v>Los Angeles</v>
      </c>
      <c r="E1799" s="9">
        <f>INDEX(Places[Majority RB '#],MATCH(Activities[[#This Row],[Jurisdiction]],Places[Jurisdiction],0))</f>
        <v>4</v>
      </c>
      <c r="F1799" s="28" t="str">
        <f>VLOOKUP(Activities[[#This Row],[Jurisdiction]],Places[#All],8,FALSE)</f>
        <v>Phase I MS4</v>
      </c>
      <c r="G1799" s="48" t="s">
        <v>79</v>
      </c>
      <c r="H1799" s="8" t="s">
        <v>483</v>
      </c>
      <c r="I1799" s="8" t="s">
        <v>458</v>
      </c>
      <c r="J1799" s="8" t="s">
        <v>1896</v>
      </c>
      <c r="K1799" s="27" t="s">
        <v>1876</v>
      </c>
      <c r="L1799" s="28">
        <f>_xlfn.NUMBERVALUE(LEFT(Activities[[#This Row],[Fiscal Year]], 4))</f>
        <v>2018</v>
      </c>
      <c r="M1799" s="28" t="s">
        <v>1863</v>
      </c>
      <c r="N1799" s="41">
        <v>999952</v>
      </c>
      <c r="O1799" s="93">
        <f>IF(Activities[[#This Row],[Reference Year]]&gt;2018,Activities[[#This Row],[Value]],Activities[[#This Row],[Value]]*(1+VLOOKUP(Activities[[#This Row],[Reference Year]],Inflation[#All],3,FALSE)))</f>
        <v>999952</v>
      </c>
    </row>
    <row r="1800" spans="1:15" ht="15" customHeight="1" x14ac:dyDescent="0.25">
      <c r="A1800" s="9" t="s">
        <v>424</v>
      </c>
      <c r="B1800" s="9" t="str">
        <f>INDEX(Places[Type],MATCH(Activities[[#This Row],[Jurisdiction]],Places[Jurisdiction],0))</f>
        <v>FCD</v>
      </c>
      <c r="C1800" s="19" t="str">
        <f>INDEX(Places[County],MATCH(Activities[[#This Row],[Jurisdiction]],Places[Jurisdiction],0))</f>
        <v>Ventura</v>
      </c>
      <c r="D1800" s="19" t="str">
        <f>INDEX(Places[Majority RB],MATCH(Activities[[#This Row],[Jurisdiction]],Places[Jurisdiction],0))</f>
        <v>Los Angeles</v>
      </c>
      <c r="E1800" s="9">
        <f>INDEX(Places[Majority RB '#],MATCH(Activities[[#This Row],[Jurisdiction]],Places[Jurisdiction],0))</f>
        <v>4</v>
      </c>
      <c r="F1800" s="28" t="str">
        <f>VLOOKUP(Activities[[#This Row],[Jurisdiction]],Places[#All],8,FALSE)</f>
        <v>Phase I MS4</v>
      </c>
      <c r="G1800" s="48" t="s">
        <v>80</v>
      </c>
      <c r="H1800" s="8"/>
      <c r="I1800" s="8"/>
      <c r="J1800" s="8" t="s">
        <v>605</v>
      </c>
      <c r="K1800" s="27" t="s">
        <v>1876</v>
      </c>
      <c r="L1800" s="28">
        <f>_xlfn.NUMBERVALUE(LEFT(Activities[[#This Row],[Fiscal Year]], 4))</f>
        <v>2018</v>
      </c>
      <c r="M1800" s="28" t="s">
        <v>1863</v>
      </c>
      <c r="N1800" s="41">
        <v>240000</v>
      </c>
      <c r="O1800" s="93">
        <f>IF(Activities[[#This Row],[Reference Year]]&gt;2018,Activities[[#This Row],[Value]],Activities[[#This Row],[Value]]*(1+VLOOKUP(Activities[[#This Row],[Reference Year]],Inflation[#All],3,FALSE)))</f>
        <v>240000</v>
      </c>
    </row>
    <row r="1801" spans="1:15" ht="15" customHeight="1" x14ac:dyDescent="0.25">
      <c r="A1801" s="9" t="s">
        <v>294</v>
      </c>
      <c r="B1801" s="9" t="str">
        <f>INDEX(Places[Type],MATCH(Activities[[#This Row],[Jurisdiction]],Places[Jurisdiction],0))</f>
        <v>City</v>
      </c>
      <c r="C1801" s="19" t="str">
        <f>INDEX(Places[County],MATCH(Activities[[#This Row],[Jurisdiction]],Places[Jurisdiction],0))</f>
        <v>Orange</v>
      </c>
      <c r="D1801" s="9" t="str">
        <f>INDEX(Places[Majority RB],MATCH(Activities[[#This Row],[Jurisdiction]],Places[Jurisdiction],0))</f>
        <v>Santa Ana</v>
      </c>
      <c r="E1801" s="9">
        <f>INDEX(Places[Majority RB '#],MATCH(Activities[[#This Row],[Jurisdiction]],Places[Jurisdiction],0))</f>
        <v>8</v>
      </c>
      <c r="F1801" s="28" t="str">
        <f>VLOOKUP(Activities[[#This Row],[Jurisdiction]],Places[#All],8,FALSE)</f>
        <v>Phase I MS4</v>
      </c>
      <c r="G1801" s="48" t="s">
        <v>994</v>
      </c>
      <c r="H1801" s="8" t="s">
        <v>504</v>
      </c>
      <c r="I1801" s="8"/>
      <c r="J1801" s="8" t="s">
        <v>71</v>
      </c>
      <c r="K1801" s="27" t="s">
        <v>1875</v>
      </c>
      <c r="L1801" s="28">
        <f>_xlfn.NUMBERVALUE(LEFT(Activities[[#This Row],[Fiscal Year]], 4))</f>
        <v>2001</v>
      </c>
      <c r="M1801" s="28" t="s">
        <v>1862</v>
      </c>
      <c r="N1801" s="41">
        <v>15000</v>
      </c>
      <c r="O1801" s="93">
        <f>IF(Activities[[#This Row],[Reference Year]]&gt;2018,Activities[[#This Row],[Value]],Activities[[#This Row],[Value]]*(1+VLOOKUP(Activities[[#This Row],[Reference Year]],Inflation[#All],3,FALSE)))</f>
        <v>21312.619988706945</v>
      </c>
    </row>
    <row r="1802" spans="1:15" ht="15" customHeight="1" x14ac:dyDescent="0.25">
      <c r="A1802" s="9" t="s">
        <v>294</v>
      </c>
      <c r="B1802" s="9" t="str">
        <f>INDEX(Places[Type],MATCH(Activities[[#This Row],[Jurisdiction]],Places[Jurisdiction],0))</f>
        <v>City</v>
      </c>
      <c r="C1802" s="19" t="str">
        <f>INDEX(Places[County],MATCH(Activities[[#This Row],[Jurisdiction]],Places[Jurisdiction],0))</f>
        <v>Orange</v>
      </c>
      <c r="D1802" s="9" t="str">
        <f>INDEX(Places[Majority RB],MATCH(Activities[[#This Row],[Jurisdiction]],Places[Jurisdiction],0))</f>
        <v>Santa Ana</v>
      </c>
      <c r="E1802" s="9">
        <f>INDEX(Places[Majority RB '#],MATCH(Activities[[#This Row],[Jurisdiction]],Places[Jurisdiction],0))</f>
        <v>8</v>
      </c>
      <c r="F1802" s="28" t="str">
        <f>VLOOKUP(Activities[[#This Row],[Jurisdiction]],Places[#All],8,FALSE)</f>
        <v>Phase I MS4</v>
      </c>
      <c r="G1802" s="48" t="s">
        <v>993</v>
      </c>
      <c r="H1802" s="8" t="s">
        <v>602</v>
      </c>
      <c r="I1802" s="8"/>
      <c r="J1802" s="8" t="s">
        <v>1897</v>
      </c>
      <c r="K1802" s="27" t="s">
        <v>1875</v>
      </c>
      <c r="L1802" s="28">
        <f>_xlfn.NUMBERVALUE(LEFT(Activities[[#This Row],[Fiscal Year]], 4))</f>
        <v>2001</v>
      </c>
      <c r="M1802" s="28" t="s">
        <v>1862</v>
      </c>
      <c r="N1802" s="41">
        <v>2000</v>
      </c>
      <c r="O1802" s="93">
        <f>IF(Activities[[#This Row],[Reference Year]]&gt;2018,Activities[[#This Row],[Value]],Activities[[#This Row],[Value]]*(1+VLOOKUP(Activities[[#This Row],[Reference Year]],Inflation[#All],3,FALSE)))</f>
        <v>2841.6826651609258</v>
      </c>
    </row>
    <row r="1803" spans="1:15" ht="15" customHeight="1" x14ac:dyDescent="0.25">
      <c r="A1803" s="9" t="s">
        <v>294</v>
      </c>
      <c r="B1803" s="9" t="str">
        <f>INDEX(Places[Type],MATCH(Activities[[#This Row],[Jurisdiction]],Places[Jurisdiction],0))</f>
        <v>City</v>
      </c>
      <c r="C1803" s="19" t="str">
        <f>INDEX(Places[County],MATCH(Activities[[#This Row],[Jurisdiction]],Places[Jurisdiction],0))</f>
        <v>Orange</v>
      </c>
      <c r="D1803" s="9" t="str">
        <f>INDEX(Places[Majority RB],MATCH(Activities[[#This Row],[Jurisdiction]],Places[Jurisdiction],0))</f>
        <v>Santa Ana</v>
      </c>
      <c r="E1803" s="9">
        <f>INDEX(Places[Majority RB '#],MATCH(Activities[[#This Row],[Jurisdiction]],Places[Jurisdiction],0))</f>
        <v>8</v>
      </c>
      <c r="F1803" s="28" t="str">
        <f>VLOOKUP(Activities[[#This Row],[Jurisdiction]],Places[#All],8,FALSE)</f>
        <v>Phase I MS4</v>
      </c>
      <c r="G1803" s="48" t="s">
        <v>997</v>
      </c>
      <c r="H1803" s="8" t="s">
        <v>593</v>
      </c>
      <c r="I1803" s="8" t="s">
        <v>594</v>
      </c>
      <c r="J1803" s="8" t="s">
        <v>1897</v>
      </c>
      <c r="K1803" s="27" t="s">
        <v>1875</v>
      </c>
      <c r="L1803" s="28">
        <f>_xlfn.NUMBERVALUE(LEFT(Activities[[#This Row],[Fiscal Year]], 4))</f>
        <v>2001</v>
      </c>
      <c r="M1803" s="28" t="s">
        <v>1862</v>
      </c>
      <c r="N1803" s="41">
        <v>4500</v>
      </c>
      <c r="O1803" s="93">
        <f>IF(Activities[[#This Row],[Reference Year]]&gt;2018,Activities[[#This Row],[Value]],Activities[[#This Row],[Value]]*(1+VLOOKUP(Activities[[#This Row],[Reference Year]],Inflation[#All],3,FALSE)))</f>
        <v>6393.7859966120832</v>
      </c>
    </row>
    <row r="1804" spans="1:15" ht="15" customHeight="1" x14ac:dyDescent="0.25">
      <c r="A1804" s="9" t="s">
        <v>294</v>
      </c>
      <c r="B1804" s="9" t="str">
        <f>INDEX(Places[Type],MATCH(Activities[[#This Row],[Jurisdiction]],Places[Jurisdiction],0))</f>
        <v>City</v>
      </c>
      <c r="C1804" s="19" t="str">
        <f>INDEX(Places[County],MATCH(Activities[[#This Row],[Jurisdiction]],Places[Jurisdiction],0))</f>
        <v>Orange</v>
      </c>
      <c r="D1804" s="9" t="str">
        <f>INDEX(Places[Majority RB],MATCH(Activities[[#This Row],[Jurisdiction]],Places[Jurisdiction],0))</f>
        <v>Santa Ana</v>
      </c>
      <c r="E1804" s="9">
        <f>INDEX(Places[Majority RB '#],MATCH(Activities[[#This Row],[Jurisdiction]],Places[Jurisdiction],0))</f>
        <v>8</v>
      </c>
      <c r="F1804" s="28" t="str">
        <f>VLOOKUP(Activities[[#This Row],[Jurisdiction]],Places[#All],8,FALSE)</f>
        <v>Phase I MS4</v>
      </c>
      <c r="G1804" s="48" t="s">
        <v>992</v>
      </c>
      <c r="H1804" s="8" t="s">
        <v>504</v>
      </c>
      <c r="I1804" s="8"/>
      <c r="J1804" s="8" t="s">
        <v>1897</v>
      </c>
      <c r="K1804" s="27" t="s">
        <v>1875</v>
      </c>
      <c r="L1804" s="28">
        <f>_xlfn.NUMBERVALUE(LEFT(Activities[[#This Row],[Fiscal Year]], 4))</f>
        <v>2001</v>
      </c>
      <c r="M1804" s="28" t="s">
        <v>1862</v>
      </c>
      <c r="N1804" s="41">
        <v>5000</v>
      </c>
      <c r="O1804" s="93">
        <f>IF(Activities[[#This Row],[Reference Year]]&gt;2018,Activities[[#This Row],[Value]],Activities[[#This Row],[Value]]*(1+VLOOKUP(Activities[[#This Row],[Reference Year]],Inflation[#All],3,FALSE)))</f>
        <v>7104.2066629023147</v>
      </c>
    </row>
    <row r="1805" spans="1:15" ht="15" customHeight="1" x14ac:dyDescent="0.25">
      <c r="A1805" s="9" t="s">
        <v>294</v>
      </c>
      <c r="B1805" s="9" t="str">
        <f>INDEX(Places[Type],MATCH(Activities[[#This Row],[Jurisdiction]],Places[Jurisdiction],0))</f>
        <v>City</v>
      </c>
      <c r="C1805" s="19" t="str">
        <f>INDEX(Places[County],MATCH(Activities[[#This Row],[Jurisdiction]],Places[Jurisdiction],0))</f>
        <v>Orange</v>
      </c>
      <c r="D1805" s="9" t="str">
        <f>INDEX(Places[Majority RB],MATCH(Activities[[#This Row],[Jurisdiction]],Places[Jurisdiction],0))</f>
        <v>Santa Ana</v>
      </c>
      <c r="E1805" s="9">
        <f>INDEX(Places[Majority RB '#],MATCH(Activities[[#This Row],[Jurisdiction]],Places[Jurisdiction],0))</f>
        <v>8</v>
      </c>
      <c r="F1805" s="28" t="str">
        <f>VLOOKUP(Activities[[#This Row],[Jurisdiction]],Places[#All],8,FALSE)</f>
        <v>Phase I MS4</v>
      </c>
      <c r="G1805" s="48" t="s">
        <v>999</v>
      </c>
      <c r="H1805" s="8" t="s">
        <v>504</v>
      </c>
      <c r="I1805" s="8"/>
      <c r="J1805" s="8" t="s">
        <v>1897</v>
      </c>
      <c r="K1805" s="27" t="s">
        <v>1875</v>
      </c>
      <c r="L1805" s="28">
        <f>_xlfn.NUMBERVALUE(LEFT(Activities[[#This Row],[Fiscal Year]], 4))</f>
        <v>2001</v>
      </c>
      <c r="M1805" s="28" t="s">
        <v>1862</v>
      </c>
      <c r="N1805" s="41">
        <v>28000</v>
      </c>
      <c r="O1805" s="93">
        <f>IF(Activities[[#This Row],[Reference Year]]&gt;2018,Activities[[#This Row],[Value]],Activities[[#This Row],[Value]]*(1+VLOOKUP(Activities[[#This Row],[Reference Year]],Inflation[#All],3,FALSE)))</f>
        <v>39783.55731225296</v>
      </c>
    </row>
    <row r="1806" spans="1:15" ht="15" customHeight="1" x14ac:dyDescent="0.25">
      <c r="A1806" s="9" t="s">
        <v>294</v>
      </c>
      <c r="B1806" s="9" t="str">
        <f>INDEX(Places[Type],MATCH(Activities[[#This Row],[Jurisdiction]],Places[Jurisdiction],0))</f>
        <v>City</v>
      </c>
      <c r="C1806" s="19" t="str">
        <f>INDEX(Places[County],MATCH(Activities[[#This Row],[Jurisdiction]],Places[Jurisdiction],0))</f>
        <v>Orange</v>
      </c>
      <c r="D1806" s="9" t="str">
        <f>INDEX(Places[Majority RB],MATCH(Activities[[#This Row],[Jurisdiction]],Places[Jurisdiction],0))</f>
        <v>Santa Ana</v>
      </c>
      <c r="E1806" s="9">
        <f>INDEX(Places[Majority RB '#],MATCH(Activities[[#This Row],[Jurisdiction]],Places[Jurisdiction],0))</f>
        <v>8</v>
      </c>
      <c r="F1806" s="28" t="str">
        <f>VLOOKUP(Activities[[#This Row],[Jurisdiction]],Places[#All],8,FALSE)</f>
        <v>Phase I MS4</v>
      </c>
      <c r="G1806" s="48" t="s">
        <v>996</v>
      </c>
      <c r="H1806" s="8" t="s">
        <v>504</v>
      </c>
      <c r="I1806" s="8"/>
      <c r="J1806" s="8" t="s">
        <v>1897</v>
      </c>
      <c r="K1806" s="27" t="s">
        <v>1875</v>
      </c>
      <c r="L1806" s="28">
        <f>_xlfn.NUMBERVALUE(LEFT(Activities[[#This Row],[Fiscal Year]], 4))</f>
        <v>2001</v>
      </c>
      <c r="M1806" s="28" t="s">
        <v>1862</v>
      </c>
      <c r="N1806" s="41">
        <v>31000</v>
      </c>
      <c r="O1806" s="93">
        <f>IF(Activities[[#This Row],[Reference Year]]&gt;2018,Activities[[#This Row],[Value]],Activities[[#This Row],[Value]]*(1+VLOOKUP(Activities[[#This Row],[Reference Year]],Inflation[#All],3,FALSE)))</f>
        <v>44046.081309994355</v>
      </c>
    </row>
    <row r="1807" spans="1:15" ht="15" customHeight="1" x14ac:dyDescent="0.25">
      <c r="A1807" s="9" t="s">
        <v>294</v>
      </c>
      <c r="B1807" s="9" t="str">
        <f>INDEX(Places[Type],MATCH(Activities[[#This Row],[Jurisdiction]],Places[Jurisdiction],0))</f>
        <v>City</v>
      </c>
      <c r="C1807" s="19" t="str">
        <f>INDEX(Places[County],MATCH(Activities[[#This Row],[Jurisdiction]],Places[Jurisdiction],0))</f>
        <v>Orange</v>
      </c>
      <c r="D1807" s="9" t="str">
        <f>INDEX(Places[Majority RB],MATCH(Activities[[#This Row],[Jurisdiction]],Places[Jurisdiction],0))</f>
        <v>Santa Ana</v>
      </c>
      <c r="E1807" s="9">
        <f>INDEX(Places[Majority RB '#],MATCH(Activities[[#This Row],[Jurisdiction]],Places[Jurisdiction],0))</f>
        <v>8</v>
      </c>
      <c r="F1807" s="28" t="str">
        <f>VLOOKUP(Activities[[#This Row],[Jurisdiction]],Places[#All],8,FALSE)</f>
        <v>Phase I MS4</v>
      </c>
      <c r="G1807" s="48" t="s">
        <v>1001</v>
      </c>
      <c r="H1807" s="8" t="s">
        <v>599</v>
      </c>
      <c r="I1807" s="8"/>
      <c r="J1807" s="8" t="s">
        <v>1456</v>
      </c>
      <c r="K1807" s="27" t="s">
        <v>1875</v>
      </c>
      <c r="L1807" s="28">
        <f>_xlfn.NUMBERVALUE(LEFT(Activities[[#This Row],[Fiscal Year]], 4))</f>
        <v>2001</v>
      </c>
      <c r="M1807" s="28" t="s">
        <v>1862</v>
      </c>
      <c r="N1807" s="41">
        <v>1000</v>
      </c>
      <c r="O1807" s="93">
        <f>IF(Activities[[#This Row],[Reference Year]]&gt;2018,Activities[[#This Row],[Value]],Activities[[#This Row],[Value]]*(1+VLOOKUP(Activities[[#This Row],[Reference Year]],Inflation[#All],3,FALSE)))</f>
        <v>1420.8413325804629</v>
      </c>
    </row>
    <row r="1808" spans="1:15" ht="15" customHeight="1" x14ac:dyDescent="0.25">
      <c r="A1808" s="9" t="s">
        <v>294</v>
      </c>
      <c r="B1808" s="9" t="str">
        <f>INDEX(Places[Type],MATCH(Activities[[#This Row],[Jurisdiction]],Places[Jurisdiction],0))</f>
        <v>City</v>
      </c>
      <c r="C1808" s="19" t="str">
        <f>INDEX(Places[County],MATCH(Activities[[#This Row],[Jurisdiction]],Places[Jurisdiction],0))</f>
        <v>Orange</v>
      </c>
      <c r="D1808" s="9" t="str">
        <f>INDEX(Places[Majority RB],MATCH(Activities[[#This Row],[Jurisdiction]],Places[Jurisdiction],0))</f>
        <v>Santa Ana</v>
      </c>
      <c r="E1808" s="9">
        <f>INDEX(Places[Majority RB '#],MATCH(Activities[[#This Row],[Jurisdiction]],Places[Jurisdiction],0))</f>
        <v>8</v>
      </c>
      <c r="F1808" s="28" t="str">
        <f>VLOOKUP(Activities[[#This Row],[Jurisdiction]],Places[#All],8,FALSE)</f>
        <v>Phase I MS4</v>
      </c>
      <c r="G1808" s="48" t="s">
        <v>1000</v>
      </c>
      <c r="H1808" s="8" t="s">
        <v>505</v>
      </c>
      <c r="I1808" s="8"/>
      <c r="J1808" s="8" t="s">
        <v>1456</v>
      </c>
      <c r="K1808" s="27" t="s">
        <v>1875</v>
      </c>
      <c r="L1808" s="28">
        <f>_xlfn.NUMBERVALUE(LEFT(Activities[[#This Row],[Fiscal Year]], 4))</f>
        <v>2001</v>
      </c>
      <c r="M1808" s="28" t="s">
        <v>1862</v>
      </c>
      <c r="N1808" s="41">
        <v>2000</v>
      </c>
      <c r="O1808" s="93">
        <f>IF(Activities[[#This Row],[Reference Year]]&gt;2018,Activities[[#This Row],[Value]],Activities[[#This Row],[Value]]*(1+VLOOKUP(Activities[[#This Row],[Reference Year]],Inflation[#All],3,FALSE)))</f>
        <v>2841.6826651609258</v>
      </c>
    </row>
    <row r="1809" spans="1:15" ht="15" customHeight="1" x14ac:dyDescent="0.25">
      <c r="A1809" s="9" t="s">
        <v>307</v>
      </c>
      <c r="B1809" s="9" t="str">
        <f>INDEX(Places[Type],MATCH(Activities[[#This Row],[Jurisdiction]],Places[Jurisdiction],0))</f>
        <v>City</v>
      </c>
      <c r="C1809" s="19" t="str">
        <f>INDEX(Places[County],MATCH(Activities[[#This Row],[Jurisdiction]],Places[Jurisdiction],0))</f>
        <v>San Diego</v>
      </c>
      <c r="D1809" s="9" t="str">
        <f>INDEX(Places[Majority RB],MATCH(Activities[[#This Row],[Jurisdiction]],Places[Jurisdiction],0))</f>
        <v>San Diego</v>
      </c>
      <c r="E1809" s="9">
        <f>INDEX(Places[Majority RB '#],MATCH(Activities[[#This Row],[Jurisdiction]],Places[Jurisdiction],0))</f>
        <v>9</v>
      </c>
      <c r="F1809" s="28" t="str">
        <f>VLOOKUP(Activities[[#This Row],[Jurisdiction]],Places[#All],8,FALSE)</f>
        <v>Phase I MS4</v>
      </c>
      <c r="G1809" s="48" t="s">
        <v>1273</v>
      </c>
      <c r="H1809" s="8"/>
      <c r="I1809" s="8"/>
      <c r="J1809" s="8" t="s">
        <v>1895</v>
      </c>
      <c r="K1809" s="27" t="s">
        <v>1874</v>
      </c>
      <c r="L1809" s="28">
        <f>_xlfn.NUMBERVALUE(LEFT(Activities[[#This Row],[Fiscal Year]], 4))</f>
        <v>2017</v>
      </c>
      <c r="M1809" s="28" t="s">
        <v>1862</v>
      </c>
      <c r="N1809" s="41">
        <v>1373995</v>
      </c>
      <c r="O1809" s="93">
        <f>IF(Activities[[#This Row],[Reference Year]]&gt;2018,Activities[[#This Row],[Value]],Activities[[#This Row],[Value]]*(1+VLOOKUP(Activities[[#This Row],[Reference Year]],Inflation[#All],3,FALSE)))</f>
        <v>1410606.8373929011</v>
      </c>
    </row>
    <row r="1810" spans="1:15" ht="15" customHeight="1" x14ac:dyDescent="0.25">
      <c r="A1810" s="9" t="s">
        <v>307</v>
      </c>
      <c r="B1810" s="9" t="str">
        <f>INDEX(Places[Type],MATCH(Activities[[#This Row],[Jurisdiction]],Places[Jurisdiction],0))</f>
        <v>City</v>
      </c>
      <c r="C1810" s="19" t="str">
        <f>INDEX(Places[County],MATCH(Activities[[#This Row],[Jurisdiction]],Places[Jurisdiction],0))</f>
        <v>San Diego</v>
      </c>
      <c r="D1810" s="9" t="str">
        <f>INDEX(Places[Majority RB],MATCH(Activities[[#This Row],[Jurisdiction]],Places[Jurisdiction],0))</f>
        <v>San Diego</v>
      </c>
      <c r="E1810" s="9">
        <f>INDEX(Places[Majority RB '#],MATCH(Activities[[#This Row],[Jurisdiction]],Places[Jurisdiction],0))</f>
        <v>9</v>
      </c>
      <c r="F1810" s="28" t="str">
        <f>VLOOKUP(Activities[[#This Row],[Jurisdiction]],Places[#All],8,FALSE)</f>
        <v>Phase I MS4</v>
      </c>
      <c r="G1810" s="48" t="s">
        <v>1275</v>
      </c>
      <c r="H1810" s="8"/>
      <c r="I1810" s="8"/>
      <c r="J1810" s="8" t="s">
        <v>131</v>
      </c>
      <c r="K1810" s="27" t="s">
        <v>1874</v>
      </c>
      <c r="L1810" s="28">
        <f>_xlfn.NUMBERVALUE(LEFT(Activities[[#This Row],[Fiscal Year]], 4))</f>
        <v>2017</v>
      </c>
      <c r="M1810" s="28" t="s">
        <v>1862</v>
      </c>
      <c r="N1810" s="41">
        <v>190481</v>
      </c>
      <c r="O1810" s="93">
        <f>IF(Activities[[#This Row],[Reference Year]]&gt;2018,Activities[[#This Row],[Value]],Activities[[#This Row],[Value]]*(1+VLOOKUP(Activities[[#This Row],[Reference Year]],Inflation[#All],3,FALSE)))</f>
        <v>195556.60755201962</v>
      </c>
    </row>
    <row r="1811" spans="1:15" ht="15" customHeight="1" x14ac:dyDescent="0.25">
      <c r="A1811" s="9" t="s">
        <v>307</v>
      </c>
      <c r="B1811" s="9" t="str">
        <f>INDEX(Places[Type],MATCH(Activities[[#This Row],[Jurisdiction]],Places[Jurisdiction],0))</f>
        <v>City</v>
      </c>
      <c r="C1811" s="19" t="str">
        <f>INDEX(Places[County],MATCH(Activities[[#This Row],[Jurisdiction]],Places[Jurisdiction],0))</f>
        <v>San Diego</v>
      </c>
      <c r="D1811" s="9" t="str">
        <f>INDEX(Places[Majority RB],MATCH(Activities[[#This Row],[Jurisdiction]],Places[Jurisdiction],0))</f>
        <v>San Diego</v>
      </c>
      <c r="E1811" s="9">
        <f>INDEX(Places[Majority RB '#],MATCH(Activities[[#This Row],[Jurisdiction]],Places[Jurisdiction],0))</f>
        <v>9</v>
      </c>
      <c r="F1811" s="28" t="str">
        <f>VLOOKUP(Activities[[#This Row],[Jurisdiction]],Places[#All],8,FALSE)</f>
        <v>Phase I MS4</v>
      </c>
      <c r="G1811" s="48" t="s">
        <v>1280</v>
      </c>
      <c r="H1811" s="8"/>
      <c r="I1811" s="8"/>
      <c r="J1811" s="8" t="s">
        <v>334</v>
      </c>
      <c r="K1811" s="27" t="s">
        <v>1874</v>
      </c>
      <c r="L1811" s="28">
        <f>_xlfn.NUMBERVALUE(LEFT(Activities[[#This Row],[Fiscal Year]], 4))</f>
        <v>2017</v>
      </c>
      <c r="M1811" s="28" t="s">
        <v>1862</v>
      </c>
      <c r="N1811" s="41">
        <v>78724</v>
      </c>
      <c r="O1811" s="93">
        <f>IF(Activities[[#This Row],[Reference Year]]&gt;2018,Activities[[#This Row],[Value]],Activities[[#This Row],[Value]]*(1+VLOOKUP(Activities[[#This Row],[Reference Year]],Inflation[#All],3,FALSE)))</f>
        <v>80821.700709914337</v>
      </c>
    </row>
    <row r="1812" spans="1:15" ht="15" customHeight="1" x14ac:dyDescent="0.25">
      <c r="A1812" s="9" t="s">
        <v>307</v>
      </c>
      <c r="B1812" s="9" t="str">
        <f>INDEX(Places[Type],MATCH(Activities[[#This Row],[Jurisdiction]],Places[Jurisdiction],0))</f>
        <v>City</v>
      </c>
      <c r="C1812" s="19" t="str">
        <f>INDEX(Places[County],MATCH(Activities[[#This Row],[Jurisdiction]],Places[Jurisdiction],0))</f>
        <v>San Diego</v>
      </c>
      <c r="D1812" s="9" t="str">
        <f>INDEX(Places[Majority RB],MATCH(Activities[[#This Row],[Jurisdiction]],Places[Jurisdiction],0))</f>
        <v>San Diego</v>
      </c>
      <c r="E1812" s="9">
        <f>INDEX(Places[Majority RB '#],MATCH(Activities[[#This Row],[Jurisdiction]],Places[Jurisdiction],0))</f>
        <v>9</v>
      </c>
      <c r="F1812" s="28" t="str">
        <f>VLOOKUP(Activities[[#This Row],[Jurisdiction]],Places[#All],8,FALSE)</f>
        <v>Phase I MS4</v>
      </c>
      <c r="G1812" s="48" t="s">
        <v>1279</v>
      </c>
      <c r="H1812" s="8" t="s">
        <v>681</v>
      </c>
      <c r="I1812" s="94" t="s">
        <v>679</v>
      </c>
      <c r="J1812" s="8" t="s">
        <v>1897</v>
      </c>
      <c r="K1812" s="27" t="s">
        <v>1874</v>
      </c>
      <c r="L1812" s="28">
        <f>_xlfn.NUMBERVALUE(LEFT(Activities[[#This Row],[Fiscal Year]], 4))</f>
        <v>2017</v>
      </c>
      <c r="M1812" s="28" t="s">
        <v>1862</v>
      </c>
      <c r="N1812" s="41">
        <v>1304494</v>
      </c>
      <c r="O1812" s="93">
        <f>IF(Activities[[#This Row],[Reference Year]]&gt;2018,Activities[[#This Row],[Value]],Activities[[#This Row],[Value]]*(1+VLOOKUP(Activities[[#This Row],[Reference Year]],Inflation[#All],3,FALSE)))</f>
        <v>1339253.8952019585</v>
      </c>
    </row>
    <row r="1813" spans="1:15" ht="15" customHeight="1" x14ac:dyDescent="0.25">
      <c r="A1813" s="9" t="s">
        <v>307</v>
      </c>
      <c r="B1813" s="9" t="str">
        <f>INDEX(Places[Type],MATCH(Activities[[#This Row],[Jurisdiction]],Places[Jurisdiction],0))</f>
        <v>City</v>
      </c>
      <c r="C1813" s="19" t="str">
        <f>INDEX(Places[County],MATCH(Activities[[#This Row],[Jurisdiction]],Places[Jurisdiction],0))</f>
        <v>San Diego</v>
      </c>
      <c r="D1813" s="9" t="str">
        <f>INDEX(Places[Majority RB],MATCH(Activities[[#This Row],[Jurisdiction]],Places[Jurisdiction],0))</f>
        <v>San Diego</v>
      </c>
      <c r="E1813" s="9">
        <f>INDEX(Places[Majority RB '#],MATCH(Activities[[#This Row],[Jurisdiction]],Places[Jurisdiction],0))</f>
        <v>9</v>
      </c>
      <c r="F1813" s="28" t="str">
        <f>VLOOKUP(Activities[[#This Row],[Jurisdiction]],Places[#All],8,FALSE)</f>
        <v>Phase I MS4</v>
      </c>
      <c r="G1813" s="48" t="s">
        <v>1281</v>
      </c>
      <c r="H1813" s="8"/>
      <c r="I1813" s="8"/>
      <c r="J1813" s="8" t="s">
        <v>1898</v>
      </c>
      <c r="K1813" s="27" t="s">
        <v>1874</v>
      </c>
      <c r="L1813" s="28">
        <f>_xlfn.NUMBERVALUE(LEFT(Activities[[#This Row],[Fiscal Year]], 4))</f>
        <v>2017</v>
      </c>
      <c r="M1813" s="28" t="s">
        <v>1862</v>
      </c>
      <c r="N1813" s="41">
        <v>40520</v>
      </c>
      <c r="O1813" s="93">
        <f>IF(Activities[[#This Row],[Reference Year]]&gt;2018,Activities[[#This Row],[Value]],Activities[[#This Row],[Value]]*(1+VLOOKUP(Activities[[#This Row],[Reference Year]],Inflation[#All],3,FALSE)))</f>
        <v>41599.706731946149</v>
      </c>
    </row>
    <row r="1814" spans="1:15" ht="15" customHeight="1" x14ac:dyDescent="0.25">
      <c r="A1814" s="9" t="s">
        <v>307</v>
      </c>
      <c r="B1814" s="9" t="str">
        <f>INDEX(Places[Type],MATCH(Activities[[#This Row],[Jurisdiction]],Places[Jurisdiction],0))</f>
        <v>City</v>
      </c>
      <c r="C1814" s="19" t="str">
        <f>INDEX(Places[County],MATCH(Activities[[#This Row],[Jurisdiction]],Places[Jurisdiction],0))</f>
        <v>San Diego</v>
      </c>
      <c r="D1814" s="9" t="str">
        <f>INDEX(Places[Majority RB],MATCH(Activities[[#This Row],[Jurisdiction]],Places[Jurisdiction],0))</f>
        <v>San Diego</v>
      </c>
      <c r="E1814" s="9">
        <f>INDEX(Places[Majority RB '#],MATCH(Activities[[#This Row],[Jurisdiction]],Places[Jurisdiction],0))</f>
        <v>9</v>
      </c>
      <c r="F1814" s="28" t="str">
        <f>VLOOKUP(Activities[[#This Row],[Jurisdiction]],Places[#All],8,FALSE)</f>
        <v>Phase I MS4</v>
      </c>
      <c r="G1814" s="48" t="s">
        <v>1272</v>
      </c>
      <c r="H1814" s="8"/>
      <c r="I1814" s="8"/>
      <c r="J1814" s="8" t="s">
        <v>1898</v>
      </c>
      <c r="K1814" s="27" t="s">
        <v>1874</v>
      </c>
      <c r="L1814" s="28">
        <f>_xlfn.NUMBERVALUE(LEFT(Activities[[#This Row],[Fiscal Year]], 4))</f>
        <v>2017</v>
      </c>
      <c r="M1814" s="28" t="s">
        <v>1862</v>
      </c>
      <c r="N1814" s="41">
        <v>664601</v>
      </c>
      <c r="O1814" s="93">
        <f>IF(Activities[[#This Row],[Reference Year]]&gt;2018,Activities[[#This Row],[Value]],Activities[[#This Row],[Value]]*(1+VLOOKUP(Activities[[#This Row],[Reference Year]],Inflation[#All],3,FALSE)))</f>
        <v>682310.13558139547</v>
      </c>
    </row>
    <row r="1815" spans="1:15" ht="15" customHeight="1" x14ac:dyDescent="0.25">
      <c r="A1815" s="9" t="s">
        <v>307</v>
      </c>
      <c r="B1815" s="9" t="str">
        <f>INDEX(Places[Type],MATCH(Activities[[#This Row],[Jurisdiction]],Places[Jurisdiction],0))</f>
        <v>City</v>
      </c>
      <c r="C1815" s="19" t="str">
        <f>INDEX(Places[County],MATCH(Activities[[#This Row],[Jurisdiction]],Places[Jurisdiction],0))</f>
        <v>San Diego</v>
      </c>
      <c r="D1815" s="9" t="str">
        <f>INDEX(Places[Majority RB],MATCH(Activities[[#This Row],[Jurisdiction]],Places[Jurisdiction],0))</f>
        <v>San Diego</v>
      </c>
      <c r="E1815" s="9">
        <f>INDEX(Places[Majority RB '#],MATCH(Activities[[#This Row],[Jurisdiction]],Places[Jurisdiction],0))</f>
        <v>9</v>
      </c>
      <c r="F1815" s="28" t="str">
        <f>VLOOKUP(Activities[[#This Row],[Jurisdiction]],Places[#All],8,FALSE)</f>
        <v>Phase I MS4</v>
      </c>
      <c r="G1815" s="48" t="s">
        <v>1282</v>
      </c>
      <c r="H1815" s="8"/>
      <c r="I1815" s="8"/>
      <c r="J1815" s="8" t="s">
        <v>1456</v>
      </c>
      <c r="K1815" s="27" t="s">
        <v>1874</v>
      </c>
      <c r="L1815" s="28">
        <f>_xlfn.NUMBERVALUE(LEFT(Activities[[#This Row],[Fiscal Year]], 4))</f>
        <v>2017</v>
      </c>
      <c r="M1815" s="28" t="s">
        <v>1862</v>
      </c>
      <c r="N1815" s="41">
        <v>19646</v>
      </c>
      <c r="O1815" s="93">
        <f>IF(Activities[[#This Row],[Reference Year]]&gt;2018,Activities[[#This Row],[Value]],Activities[[#This Row],[Value]]*(1+VLOOKUP(Activities[[#This Row],[Reference Year]],Inflation[#All],3,FALSE)))</f>
        <v>20169.492558139536</v>
      </c>
    </row>
    <row r="1816" spans="1:15" ht="15" customHeight="1" x14ac:dyDescent="0.25">
      <c r="A1816" s="9" t="s">
        <v>307</v>
      </c>
      <c r="B1816" s="9" t="str">
        <f>INDEX(Places[Type],MATCH(Activities[[#This Row],[Jurisdiction]],Places[Jurisdiction],0))</f>
        <v>City</v>
      </c>
      <c r="C1816" s="19" t="str">
        <f>INDEX(Places[County],MATCH(Activities[[#This Row],[Jurisdiction]],Places[Jurisdiction],0))</f>
        <v>San Diego</v>
      </c>
      <c r="D1816" s="9" t="str">
        <f>INDEX(Places[Majority RB],MATCH(Activities[[#This Row],[Jurisdiction]],Places[Jurisdiction],0))</f>
        <v>San Diego</v>
      </c>
      <c r="E1816" s="9">
        <f>INDEX(Places[Majority RB '#],MATCH(Activities[[#This Row],[Jurisdiction]],Places[Jurisdiction],0))</f>
        <v>9</v>
      </c>
      <c r="F1816" s="28" t="str">
        <f>VLOOKUP(Activities[[#This Row],[Jurisdiction]],Places[#All],8,FALSE)</f>
        <v>Phase I MS4</v>
      </c>
      <c r="G1816" s="48" t="s">
        <v>1291</v>
      </c>
      <c r="H1816" s="8"/>
      <c r="I1816" s="8"/>
      <c r="J1816" s="8" t="s">
        <v>1894</v>
      </c>
      <c r="K1816" s="27" t="s">
        <v>1874</v>
      </c>
      <c r="L1816" s="28">
        <f>_xlfn.NUMBERVALUE(LEFT(Activities[[#This Row],[Fiscal Year]], 4))</f>
        <v>2017</v>
      </c>
      <c r="M1816" s="28" t="s">
        <v>1862</v>
      </c>
      <c r="N1816" s="41">
        <v>4193</v>
      </c>
      <c r="O1816" s="93">
        <f>IF(Activities[[#This Row],[Reference Year]]&gt;2018,Activities[[#This Row],[Value]],Activities[[#This Row],[Value]]*(1+VLOOKUP(Activities[[#This Row],[Reference Year]],Inflation[#All],3,FALSE)))</f>
        <v>4304.7277968176259</v>
      </c>
    </row>
    <row r="1817" spans="1:15" ht="15" customHeight="1" x14ac:dyDescent="0.25">
      <c r="A1817" s="9" t="s">
        <v>307</v>
      </c>
      <c r="B1817" s="9" t="str">
        <f>INDEX(Places[Type],MATCH(Activities[[#This Row],[Jurisdiction]],Places[Jurisdiction],0))</f>
        <v>City</v>
      </c>
      <c r="C1817" s="19" t="str">
        <f>INDEX(Places[County],MATCH(Activities[[#This Row],[Jurisdiction]],Places[Jurisdiction],0))</f>
        <v>San Diego</v>
      </c>
      <c r="D1817" s="9" t="str">
        <f>INDEX(Places[Majority RB],MATCH(Activities[[#This Row],[Jurisdiction]],Places[Jurisdiction],0))</f>
        <v>San Diego</v>
      </c>
      <c r="E1817" s="9">
        <f>INDEX(Places[Majority RB '#],MATCH(Activities[[#This Row],[Jurisdiction]],Places[Jurisdiction],0))</f>
        <v>9</v>
      </c>
      <c r="F1817" s="28" t="str">
        <f>VLOOKUP(Activities[[#This Row],[Jurisdiction]],Places[#All],8,FALSE)</f>
        <v>Phase I MS4</v>
      </c>
      <c r="G1817" s="48" t="s">
        <v>1140</v>
      </c>
      <c r="H1817" s="8"/>
      <c r="I1817" s="8"/>
      <c r="J1817" s="8" t="s">
        <v>1894</v>
      </c>
      <c r="K1817" s="27" t="s">
        <v>1874</v>
      </c>
      <c r="L1817" s="28">
        <f>_xlfn.NUMBERVALUE(LEFT(Activities[[#This Row],[Fiscal Year]], 4))</f>
        <v>2017</v>
      </c>
      <c r="M1817" s="28" t="s">
        <v>1862</v>
      </c>
      <c r="N1817" s="41">
        <v>507867</v>
      </c>
      <c r="O1817" s="93">
        <f>IF(Activities[[#This Row],[Reference Year]]&gt;2018,Activities[[#This Row],[Value]],Activities[[#This Row],[Value]]*(1+VLOOKUP(Activities[[#This Row],[Reference Year]],Inflation[#All],3,FALSE)))</f>
        <v>521399.75959608331</v>
      </c>
    </row>
    <row r="1818" spans="1:15" ht="15" customHeight="1" x14ac:dyDescent="0.25">
      <c r="A1818" s="9" t="s">
        <v>307</v>
      </c>
      <c r="B1818" s="9" t="str">
        <f>INDEX(Places[Type],MATCH(Activities[[#This Row],[Jurisdiction]],Places[Jurisdiction],0))</f>
        <v>City</v>
      </c>
      <c r="C1818" s="19" t="str">
        <f>INDEX(Places[County],MATCH(Activities[[#This Row],[Jurisdiction]],Places[Jurisdiction],0))</f>
        <v>San Diego</v>
      </c>
      <c r="D1818" s="9" t="str">
        <f>INDEX(Places[Majority RB],MATCH(Activities[[#This Row],[Jurisdiction]],Places[Jurisdiction],0))</f>
        <v>San Diego</v>
      </c>
      <c r="E1818" s="9">
        <f>INDEX(Places[Majority RB '#],MATCH(Activities[[#This Row],[Jurisdiction]],Places[Jurisdiction],0))</f>
        <v>9</v>
      </c>
      <c r="F1818" s="28" t="str">
        <f>VLOOKUP(Activities[[#This Row],[Jurisdiction]],Places[#All],8,FALSE)</f>
        <v>Phase I MS4</v>
      </c>
      <c r="G1818" s="48" t="s">
        <v>1290</v>
      </c>
      <c r="H1818" s="8"/>
      <c r="I1818" s="8"/>
      <c r="J1818" s="8" t="s">
        <v>1896</v>
      </c>
      <c r="K1818" s="27" t="s">
        <v>1874</v>
      </c>
      <c r="L1818" s="28">
        <f>_xlfn.NUMBERVALUE(LEFT(Activities[[#This Row],[Fiscal Year]], 4))</f>
        <v>2017</v>
      </c>
      <c r="M1818" s="28" t="s">
        <v>1862</v>
      </c>
      <c r="N1818" s="41">
        <v>6171</v>
      </c>
      <c r="O1818" s="93">
        <f>IF(Activities[[#This Row],[Reference Year]]&gt;2018,Activities[[#This Row],[Value]],Activities[[#This Row],[Value]]*(1+VLOOKUP(Activities[[#This Row],[Reference Year]],Inflation[#All],3,FALSE)))</f>
        <v>6335.4341126070995</v>
      </c>
    </row>
    <row r="1819" spans="1:15" ht="15" customHeight="1" x14ac:dyDescent="0.25">
      <c r="A1819" s="9" t="s">
        <v>307</v>
      </c>
      <c r="B1819" s="9" t="str">
        <f>INDEX(Places[Type],MATCH(Activities[[#This Row],[Jurisdiction]],Places[Jurisdiction],0))</f>
        <v>City</v>
      </c>
      <c r="C1819" s="19" t="str">
        <f>INDEX(Places[County],MATCH(Activities[[#This Row],[Jurisdiction]],Places[Jurisdiction],0))</f>
        <v>San Diego</v>
      </c>
      <c r="D1819" s="9" t="str">
        <f>INDEX(Places[Majority RB],MATCH(Activities[[#This Row],[Jurisdiction]],Places[Jurisdiction],0))</f>
        <v>San Diego</v>
      </c>
      <c r="E1819" s="9">
        <f>INDEX(Places[Majority RB '#],MATCH(Activities[[#This Row],[Jurisdiction]],Places[Jurisdiction],0))</f>
        <v>9</v>
      </c>
      <c r="F1819" s="28" t="str">
        <f>VLOOKUP(Activities[[#This Row],[Jurisdiction]],Places[#All],8,FALSE)</f>
        <v>Phase I MS4</v>
      </c>
      <c r="G1819" s="48" t="s">
        <v>1283</v>
      </c>
      <c r="H1819" s="8" t="s">
        <v>680</v>
      </c>
      <c r="I1819" s="94" t="s">
        <v>679</v>
      </c>
      <c r="J1819" s="8" t="s">
        <v>1896</v>
      </c>
      <c r="K1819" s="27" t="s">
        <v>1874</v>
      </c>
      <c r="L1819" s="28">
        <f>_xlfn.NUMBERVALUE(LEFT(Activities[[#This Row],[Fiscal Year]], 4))</f>
        <v>2017</v>
      </c>
      <c r="M1819" s="28" t="s">
        <v>1862</v>
      </c>
      <c r="N1819" s="41">
        <v>32267</v>
      </c>
      <c r="O1819" s="93">
        <f>IF(Activities[[#This Row],[Reference Year]]&gt;2018,Activities[[#This Row],[Value]],Activities[[#This Row],[Value]]*(1+VLOOKUP(Activities[[#This Row],[Reference Year]],Inflation[#All],3,FALSE)))</f>
        <v>33126.795091799271</v>
      </c>
    </row>
    <row r="1820" spans="1:15" ht="15" customHeight="1" x14ac:dyDescent="0.25">
      <c r="A1820" s="9" t="s">
        <v>307</v>
      </c>
      <c r="B1820" s="9" t="str">
        <f>INDEX(Places[Type],MATCH(Activities[[#This Row],[Jurisdiction]],Places[Jurisdiction],0))</f>
        <v>City</v>
      </c>
      <c r="C1820" s="19" t="str">
        <f>INDEX(Places[County],MATCH(Activities[[#This Row],[Jurisdiction]],Places[Jurisdiction],0))</f>
        <v>San Diego</v>
      </c>
      <c r="D1820" s="9" t="str">
        <f>INDEX(Places[Majority RB],MATCH(Activities[[#This Row],[Jurisdiction]],Places[Jurisdiction],0))</f>
        <v>San Diego</v>
      </c>
      <c r="E1820" s="9">
        <f>INDEX(Places[Majority RB '#],MATCH(Activities[[#This Row],[Jurisdiction]],Places[Jurisdiction],0))</f>
        <v>9</v>
      </c>
      <c r="F1820" s="28" t="str">
        <f>VLOOKUP(Activities[[#This Row],[Jurisdiction]],Places[#All],8,FALSE)</f>
        <v>Phase I MS4</v>
      </c>
      <c r="G1820" s="48" t="s">
        <v>1285</v>
      </c>
      <c r="H1820" s="8"/>
      <c r="I1820" s="8"/>
      <c r="J1820" s="8" t="s">
        <v>1896</v>
      </c>
      <c r="K1820" s="27" t="s">
        <v>1874</v>
      </c>
      <c r="L1820" s="28">
        <f>_xlfn.NUMBERVALUE(LEFT(Activities[[#This Row],[Fiscal Year]], 4))</f>
        <v>2017</v>
      </c>
      <c r="M1820" s="28" t="s">
        <v>1862</v>
      </c>
      <c r="N1820" s="41">
        <v>59925</v>
      </c>
      <c r="O1820" s="93">
        <f>IF(Activities[[#This Row],[Reference Year]]&gt;2018,Activities[[#This Row],[Value]],Activities[[#This Row],[Value]]*(1+VLOOKUP(Activities[[#This Row],[Reference Year]],Inflation[#All],3,FALSE)))</f>
        <v>61521.777539779687</v>
      </c>
    </row>
    <row r="1821" spans="1:15" ht="15" customHeight="1" x14ac:dyDescent="0.25">
      <c r="A1821" s="9" t="s">
        <v>307</v>
      </c>
      <c r="B1821" s="9" t="str">
        <f>INDEX(Places[Type],MATCH(Activities[[#This Row],[Jurisdiction]],Places[Jurisdiction],0))</f>
        <v>City</v>
      </c>
      <c r="C1821" s="19" t="str">
        <f>INDEX(Places[County],MATCH(Activities[[#This Row],[Jurisdiction]],Places[Jurisdiction],0))</f>
        <v>San Diego</v>
      </c>
      <c r="D1821" s="9" t="str">
        <f>INDEX(Places[Majority RB],MATCH(Activities[[#This Row],[Jurisdiction]],Places[Jurisdiction],0))</f>
        <v>San Diego</v>
      </c>
      <c r="E1821" s="9">
        <f>INDEX(Places[Majority RB '#],MATCH(Activities[[#This Row],[Jurisdiction]],Places[Jurisdiction],0))</f>
        <v>9</v>
      </c>
      <c r="F1821" s="28" t="str">
        <f>VLOOKUP(Activities[[#This Row],[Jurisdiction]],Places[#All],8,FALSE)</f>
        <v>Phase I MS4</v>
      </c>
      <c r="G1821" s="48" t="s">
        <v>1288</v>
      </c>
      <c r="H1821" s="8"/>
      <c r="I1821" s="8"/>
      <c r="J1821" s="8" t="s">
        <v>605</v>
      </c>
      <c r="K1821" s="27" t="s">
        <v>1874</v>
      </c>
      <c r="L1821" s="28">
        <f>_xlfn.NUMBERVALUE(LEFT(Activities[[#This Row],[Fiscal Year]], 4))</f>
        <v>2017</v>
      </c>
      <c r="M1821" s="28" t="s">
        <v>1862</v>
      </c>
      <c r="N1821" s="41">
        <v>22100</v>
      </c>
      <c r="O1821" s="93">
        <f>IF(Activities[[#This Row],[Reference Year]]&gt;2018,Activities[[#This Row],[Value]],Activities[[#This Row],[Value]]*(1+VLOOKUP(Activities[[#This Row],[Reference Year]],Inflation[#All],3,FALSE)))</f>
        <v>22688.882496940027</v>
      </c>
    </row>
    <row r="1822" spans="1:15" ht="15" customHeight="1" x14ac:dyDescent="0.25">
      <c r="A1822" s="9" t="s">
        <v>307</v>
      </c>
      <c r="B1822" s="9" t="str">
        <f>INDEX(Places[Type],MATCH(Activities[[#This Row],[Jurisdiction]],Places[Jurisdiction],0))</f>
        <v>City</v>
      </c>
      <c r="C1822" s="19" t="str">
        <f>INDEX(Places[County],MATCH(Activities[[#This Row],[Jurisdiction]],Places[Jurisdiction],0))</f>
        <v>San Diego</v>
      </c>
      <c r="D1822" s="9" t="str">
        <f>INDEX(Places[Majority RB],MATCH(Activities[[#This Row],[Jurisdiction]],Places[Jurisdiction],0))</f>
        <v>San Diego</v>
      </c>
      <c r="E1822" s="9">
        <f>INDEX(Places[Majority RB '#],MATCH(Activities[[#This Row],[Jurisdiction]],Places[Jurisdiction],0))</f>
        <v>9</v>
      </c>
      <c r="F1822" s="28" t="str">
        <f>VLOOKUP(Activities[[#This Row],[Jurisdiction]],Places[#All],8,FALSE)</f>
        <v>Phase I MS4</v>
      </c>
      <c r="G1822" s="48" t="s">
        <v>1289</v>
      </c>
      <c r="H1822" s="8" t="s">
        <v>680</v>
      </c>
      <c r="I1822" s="8"/>
      <c r="J1822" s="8" t="s">
        <v>605</v>
      </c>
      <c r="K1822" s="27" t="s">
        <v>1874</v>
      </c>
      <c r="L1822" s="28">
        <f>_xlfn.NUMBERVALUE(LEFT(Activities[[#This Row],[Fiscal Year]], 4))</f>
        <v>2017</v>
      </c>
      <c r="M1822" s="28" t="s">
        <v>1862</v>
      </c>
      <c r="N1822" s="41">
        <v>31537</v>
      </c>
      <c r="O1822" s="93">
        <f>IF(Activities[[#This Row],[Reference Year]]&gt;2018,Activities[[#This Row],[Value]],Activities[[#This Row],[Value]]*(1+VLOOKUP(Activities[[#This Row],[Reference Year]],Inflation[#All],3,FALSE)))</f>
        <v>32377.343317013467</v>
      </c>
    </row>
    <row r="1823" spans="1:15" ht="15" customHeight="1" x14ac:dyDescent="0.25">
      <c r="A1823" s="9" t="s">
        <v>307</v>
      </c>
      <c r="B1823" s="9" t="str">
        <f>INDEX(Places[Type],MATCH(Activities[[#This Row],[Jurisdiction]],Places[Jurisdiction],0))</f>
        <v>City</v>
      </c>
      <c r="C1823" s="19" t="str">
        <f>INDEX(Places[County],MATCH(Activities[[#This Row],[Jurisdiction]],Places[Jurisdiction],0))</f>
        <v>San Diego</v>
      </c>
      <c r="D1823" s="9" t="str">
        <f>INDEX(Places[Majority RB],MATCH(Activities[[#This Row],[Jurisdiction]],Places[Jurisdiction],0))</f>
        <v>San Diego</v>
      </c>
      <c r="E1823" s="9">
        <f>INDEX(Places[Majority RB '#],MATCH(Activities[[#This Row],[Jurisdiction]],Places[Jurisdiction],0))</f>
        <v>9</v>
      </c>
      <c r="F1823" s="28" t="str">
        <f>VLOOKUP(Activities[[#This Row],[Jurisdiction]],Places[#All],8,FALSE)</f>
        <v>Phase I MS4</v>
      </c>
      <c r="G1823" s="48" t="s">
        <v>1287</v>
      </c>
      <c r="H1823" s="8"/>
      <c r="I1823" s="8"/>
      <c r="J1823" s="8" t="s">
        <v>605</v>
      </c>
      <c r="K1823" s="27" t="s">
        <v>1874</v>
      </c>
      <c r="L1823" s="28">
        <f>_xlfn.NUMBERVALUE(LEFT(Activities[[#This Row],[Fiscal Year]], 4))</f>
        <v>2017</v>
      </c>
      <c r="M1823" s="28" t="s">
        <v>1862</v>
      </c>
      <c r="N1823" s="41">
        <v>36133</v>
      </c>
      <c r="O1823" s="93">
        <f>IF(Activities[[#This Row],[Reference Year]]&gt;2018,Activities[[#This Row],[Value]],Activities[[#This Row],[Value]]*(1+VLOOKUP(Activities[[#This Row],[Reference Year]],Inflation[#All],3,FALSE)))</f>
        <v>37095.80955936353</v>
      </c>
    </row>
    <row r="1824" spans="1:15" ht="15" customHeight="1" x14ac:dyDescent="0.25">
      <c r="A1824" s="9" t="s">
        <v>207</v>
      </c>
      <c r="B1824" s="9" t="str">
        <f>INDEX(Places[Type],MATCH(Activities[[#This Row],[Jurisdiction]],Places[Jurisdiction],0))</f>
        <v>City</v>
      </c>
      <c r="C1824" s="19" t="str">
        <f>INDEX(Places[County],MATCH(Activities[[#This Row],[Jurisdiction]],Places[Jurisdiction],0))</f>
        <v>Los Angeles</v>
      </c>
      <c r="D1824" s="19" t="str">
        <f>INDEX(Places[Majority RB],MATCH(Activities[[#This Row],[Jurisdiction]],Places[Jurisdiction],0))</f>
        <v>Los Angeles</v>
      </c>
      <c r="E1824" s="9">
        <f>INDEX(Places[Majority RB '#],MATCH(Activities[[#This Row],[Jurisdiction]],Places[Jurisdiction],0))</f>
        <v>4</v>
      </c>
      <c r="F1824" s="28" t="str">
        <f>VLOOKUP(Activities[[#This Row],[Jurisdiction]],Places[#All],8,FALSE)</f>
        <v>Phase I MS4</v>
      </c>
      <c r="G1824" s="48" t="s">
        <v>849</v>
      </c>
      <c r="H1824" s="8"/>
      <c r="I1824" s="8"/>
      <c r="J1824" s="8" t="s">
        <v>131</v>
      </c>
      <c r="K1824" s="27" t="s">
        <v>1873</v>
      </c>
      <c r="L1824" s="28">
        <f>_xlfn.NUMBERVALUE(LEFT(Activities[[#This Row],[Fiscal Year]], 4))</f>
        <v>2015</v>
      </c>
      <c r="M1824" s="28" t="s">
        <v>1862</v>
      </c>
      <c r="N1824" s="41">
        <v>1000</v>
      </c>
      <c r="O1824" s="93">
        <f>IF(Activities[[#This Row],[Reference Year]]&gt;2018,Activities[[#This Row],[Value]],Activities[[#This Row],[Value]]*(1+VLOOKUP(Activities[[#This Row],[Reference Year]],Inflation[#All],3,FALSE)))</f>
        <v>1061.7341772151899</v>
      </c>
    </row>
    <row r="1825" spans="1:15" ht="15" customHeight="1" x14ac:dyDescent="0.25">
      <c r="A1825" s="9" t="s">
        <v>207</v>
      </c>
      <c r="B1825" s="9" t="str">
        <f>INDEX(Places[Type],MATCH(Activities[[#This Row],[Jurisdiction]],Places[Jurisdiction],0))</f>
        <v>City</v>
      </c>
      <c r="C1825" s="19" t="str">
        <f>INDEX(Places[County],MATCH(Activities[[#This Row],[Jurisdiction]],Places[Jurisdiction],0))</f>
        <v>Los Angeles</v>
      </c>
      <c r="D1825" s="19" t="str">
        <f>INDEX(Places[Majority RB],MATCH(Activities[[#This Row],[Jurisdiction]],Places[Jurisdiction],0))</f>
        <v>Los Angeles</v>
      </c>
      <c r="E1825" s="9">
        <f>INDEX(Places[Majority RB '#],MATCH(Activities[[#This Row],[Jurisdiction]],Places[Jurisdiction],0))</f>
        <v>4</v>
      </c>
      <c r="F1825" s="28" t="str">
        <f>VLOOKUP(Activities[[#This Row],[Jurisdiction]],Places[#All],8,FALSE)</f>
        <v>Phase I MS4</v>
      </c>
      <c r="G1825" s="48" t="s">
        <v>845</v>
      </c>
      <c r="H1825" s="8"/>
      <c r="I1825" s="8"/>
      <c r="J1825" s="8" t="s">
        <v>334</v>
      </c>
      <c r="K1825" s="27" t="s">
        <v>1873</v>
      </c>
      <c r="L1825" s="28">
        <f>_xlfn.NUMBERVALUE(LEFT(Activities[[#This Row],[Fiscal Year]], 4))</f>
        <v>2015</v>
      </c>
      <c r="M1825" s="28" t="s">
        <v>1862</v>
      </c>
      <c r="N1825" s="41">
        <v>2000</v>
      </c>
      <c r="O1825" s="93">
        <f>IF(Activities[[#This Row],[Reference Year]]&gt;2018,Activities[[#This Row],[Value]],Activities[[#This Row],[Value]]*(1+VLOOKUP(Activities[[#This Row],[Reference Year]],Inflation[#All],3,FALSE)))</f>
        <v>2123.4683544303798</v>
      </c>
    </row>
    <row r="1826" spans="1:15" ht="15" customHeight="1" x14ac:dyDescent="0.25">
      <c r="A1826" s="9" t="s">
        <v>207</v>
      </c>
      <c r="B1826" s="9" t="str">
        <f>INDEX(Places[Type],MATCH(Activities[[#This Row],[Jurisdiction]],Places[Jurisdiction],0))</f>
        <v>City</v>
      </c>
      <c r="C1826" s="19" t="str">
        <f>INDEX(Places[County],MATCH(Activities[[#This Row],[Jurisdiction]],Places[Jurisdiction],0))</f>
        <v>Los Angeles</v>
      </c>
      <c r="D1826" s="19" t="str">
        <f>INDEX(Places[Majority RB],MATCH(Activities[[#This Row],[Jurisdiction]],Places[Jurisdiction],0))</f>
        <v>Los Angeles</v>
      </c>
      <c r="E1826" s="9">
        <f>INDEX(Places[Majority RB '#],MATCH(Activities[[#This Row],[Jurisdiction]],Places[Jurisdiction],0))</f>
        <v>4</v>
      </c>
      <c r="F1826" s="28" t="str">
        <f>VLOOKUP(Activities[[#This Row],[Jurisdiction]],Places[#All],8,FALSE)</f>
        <v>Phase I MS4</v>
      </c>
      <c r="G1826" s="48" t="s">
        <v>857</v>
      </c>
      <c r="H1826" s="8"/>
      <c r="I1826" s="8"/>
      <c r="J1826" s="8" t="s">
        <v>1897</v>
      </c>
      <c r="K1826" s="27" t="s">
        <v>1873</v>
      </c>
      <c r="L1826" s="28">
        <f>_xlfn.NUMBERVALUE(LEFT(Activities[[#This Row],[Fiscal Year]], 4))</f>
        <v>2015</v>
      </c>
      <c r="M1826" s="28" t="s">
        <v>1862</v>
      </c>
      <c r="N1826" s="41">
        <v>20000</v>
      </c>
      <c r="O1826" s="93">
        <f>IF(Activities[[#This Row],[Reference Year]]&gt;2018,Activities[[#This Row],[Value]],Activities[[#This Row],[Value]]*(1+VLOOKUP(Activities[[#This Row],[Reference Year]],Inflation[#All],3,FALSE)))</f>
        <v>21234.683544303796</v>
      </c>
    </row>
    <row r="1827" spans="1:15" ht="15" customHeight="1" x14ac:dyDescent="0.25">
      <c r="A1827" s="9" t="s">
        <v>207</v>
      </c>
      <c r="B1827" s="9" t="str">
        <f>INDEX(Places[Type],MATCH(Activities[[#This Row],[Jurisdiction]],Places[Jurisdiction],0))</f>
        <v>City</v>
      </c>
      <c r="C1827" s="19" t="str">
        <f>INDEX(Places[County],MATCH(Activities[[#This Row],[Jurisdiction]],Places[Jurisdiction],0))</f>
        <v>Los Angeles</v>
      </c>
      <c r="D1827" s="19" t="str">
        <f>INDEX(Places[Majority RB],MATCH(Activities[[#This Row],[Jurisdiction]],Places[Jurisdiction],0))</f>
        <v>Los Angeles</v>
      </c>
      <c r="E1827" s="9">
        <f>INDEX(Places[Majority RB '#],MATCH(Activities[[#This Row],[Jurisdiction]],Places[Jurisdiction],0))</f>
        <v>4</v>
      </c>
      <c r="F1827" s="28" t="str">
        <f>VLOOKUP(Activities[[#This Row],[Jurisdiction]],Places[#All],8,FALSE)</f>
        <v>Phase I MS4</v>
      </c>
      <c r="G1827" s="48" t="s">
        <v>846</v>
      </c>
      <c r="H1827" s="8"/>
      <c r="I1827" s="8"/>
      <c r="J1827" s="8" t="s">
        <v>1898</v>
      </c>
      <c r="K1827" s="27" t="s">
        <v>1873</v>
      </c>
      <c r="L1827" s="28">
        <f>_xlfn.NUMBERVALUE(LEFT(Activities[[#This Row],[Fiscal Year]], 4))</f>
        <v>2015</v>
      </c>
      <c r="M1827" s="28" t="s">
        <v>1862</v>
      </c>
      <c r="N1827" s="41">
        <v>3000</v>
      </c>
      <c r="O1827" s="93">
        <f>IF(Activities[[#This Row],[Reference Year]]&gt;2018,Activities[[#This Row],[Value]],Activities[[#This Row],[Value]]*(1+VLOOKUP(Activities[[#This Row],[Reference Year]],Inflation[#All],3,FALSE)))</f>
        <v>3185.2025316455693</v>
      </c>
    </row>
    <row r="1828" spans="1:15" ht="15" customHeight="1" x14ac:dyDescent="0.25">
      <c r="A1828" s="9" t="s">
        <v>207</v>
      </c>
      <c r="B1828" s="9" t="str">
        <f>INDEX(Places[Type],MATCH(Activities[[#This Row],[Jurisdiction]],Places[Jurisdiction],0))</f>
        <v>City</v>
      </c>
      <c r="C1828" s="19" t="str">
        <f>INDEX(Places[County],MATCH(Activities[[#This Row],[Jurisdiction]],Places[Jurisdiction],0))</f>
        <v>Los Angeles</v>
      </c>
      <c r="D1828" s="19" t="str">
        <f>INDEX(Places[Majority RB],MATCH(Activities[[#This Row],[Jurisdiction]],Places[Jurisdiction],0))</f>
        <v>Los Angeles</v>
      </c>
      <c r="E1828" s="9">
        <f>INDEX(Places[Majority RB '#],MATCH(Activities[[#This Row],[Jurisdiction]],Places[Jurisdiction],0))</f>
        <v>4</v>
      </c>
      <c r="F1828" s="28" t="str">
        <f>VLOOKUP(Activities[[#This Row],[Jurisdiction]],Places[#All],8,FALSE)</f>
        <v>Phase I MS4</v>
      </c>
      <c r="G1828" s="48" t="s">
        <v>847</v>
      </c>
      <c r="H1828" s="8"/>
      <c r="I1828" s="8"/>
      <c r="J1828" s="8" t="s">
        <v>1898</v>
      </c>
      <c r="K1828" s="27" t="s">
        <v>1873</v>
      </c>
      <c r="L1828" s="28">
        <f>_xlfn.NUMBERVALUE(LEFT(Activities[[#This Row],[Fiscal Year]], 4))</f>
        <v>2015</v>
      </c>
      <c r="M1828" s="28" t="s">
        <v>1862</v>
      </c>
      <c r="N1828" s="41">
        <v>3000</v>
      </c>
      <c r="O1828" s="93">
        <f>IF(Activities[[#This Row],[Reference Year]]&gt;2018,Activities[[#This Row],[Value]],Activities[[#This Row],[Value]]*(1+VLOOKUP(Activities[[#This Row],[Reference Year]],Inflation[#All],3,FALSE)))</f>
        <v>3185.2025316455693</v>
      </c>
    </row>
    <row r="1829" spans="1:15" ht="15" customHeight="1" x14ac:dyDescent="0.25">
      <c r="A1829" s="9" t="s">
        <v>207</v>
      </c>
      <c r="B1829" s="9" t="str">
        <f>INDEX(Places[Type],MATCH(Activities[[#This Row],[Jurisdiction]],Places[Jurisdiction],0))</f>
        <v>City</v>
      </c>
      <c r="C1829" s="19" t="str">
        <f>INDEX(Places[County],MATCH(Activities[[#This Row],[Jurisdiction]],Places[Jurisdiction],0))</f>
        <v>Los Angeles</v>
      </c>
      <c r="D1829" s="19" t="str">
        <f>INDEX(Places[Majority RB],MATCH(Activities[[#This Row],[Jurisdiction]],Places[Jurisdiction],0))</f>
        <v>Los Angeles</v>
      </c>
      <c r="E1829" s="9">
        <f>INDEX(Places[Majority RB '#],MATCH(Activities[[#This Row],[Jurisdiction]],Places[Jurisdiction],0))</f>
        <v>4</v>
      </c>
      <c r="F1829" s="28" t="str">
        <f>VLOOKUP(Activities[[#This Row],[Jurisdiction]],Places[#All],8,FALSE)</f>
        <v>Phase I MS4</v>
      </c>
      <c r="G1829" s="48" t="s">
        <v>844</v>
      </c>
      <c r="H1829" s="8"/>
      <c r="I1829" s="8"/>
      <c r="J1829" s="8" t="s">
        <v>1456</v>
      </c>
      <c r="K1829" s="27" t="s">
        <v>1873</v>
      </c>
      <c r="L1829" s="28">
        <f>_xlfn.NUMBERVALUE(LEFT(Activities[[#This Row],[Fiscal Year]], 4))</f>
        <v>2015</v>
      </c>
      <c r="M1829" s="28" t="s">
        <v>1862</v>
      </c>
      <c r="N1829" s="41">
        <v>4000</v>
      </c>
      <c r="O1829" s="93">
        <f>IF(Activities[[#This Row],[Reference Year]]&gt;2018,Activities[[#This Row],[Value]],Activities[[#This Row],[Value]]*(1+VLOOKUP(Activities[[#This Row],[Reference Year]],Inflation[#All],3,FALSE)))</f>
        <v>4246.9367088607596</v>
      </c>
    </row>
    <row r="1830" spans="1:15" ht="15" customHeight="1" x14ac:dyDescent="0.25">
      <c r="A1830" s="9" t="s">
        <v>207</v>
      </c>
      <c r="B1830" s="9" t="str">
        <f>INDEX(Places[Type],MATCH(Activities[[#This Row],[Jurisdiction]],Places[Jurisdiction],0))</f>
        <v>City</v>
      </c>
      <c r="C1830" s="19" t="str">
        <f>INDEX(Places[County],MATCH(Activities[[#This Row],[Jurisdiction]],Places[Jurisdiction],0))</f>
        <v>Los Angeles</v>
      </c>
      <c r="D1830" s="19" t="str">
        <f>INDEX(Places[Majority RB],MATCH(Activities[[#This Row],[Jurisdiction]],Places[Jurisdiction],0))</f>
        <v>Los Angeles</v>
      </c>
      <c r="E1830" s="9">
        <f>INDEX(Places[Majority RB '#],MATCH(Activities[[#This Row],[Jurisdiction]],Places[Jurisdiction],0))</f>
        <v>4</v>
      </c>
      <c r="F1830" s="28" t="str">
        <f>VLOOKUP(Activities[[#This Row],[Jurisdiction]],Places[#All],8,FALSE)</f>
        <v>Phase I MS4</v>
      </c>
      <c r="G1830" s="56" t="s">
        <v>829</v>
      </c>
      <c r="H1830" s="8"/>
      <c r="I1830" s="8"/>
      <c r="J1830" s="8" t="s">
        <v>1894</v>
      </c>
      <c r="K1830" s="27" t="s">
        <v>1873</v>
      </c>
      <c r="L1830" s="28">
        <f>_xlfn.NUMBERVALUE(LEFT(Activities[[#This Row],[Fiscal Year]], 4))</f>
        <v>2015</v>
      </c>
      <c r="M1830" s="28" t="s">
        <v>1862</v>
      </c>
      <c r="N1830" s="41">
        <v>35000</v>
      </c>
      <c r="O1830" s="93">
        <f>IF(Activities[[#This Row],[Reference Year]]&gt;2018,Activities[[#This Row],[Value]],Activities[[#This Row],[Value]]*(1+VLOOKUP(Activities[[#This Row],[Reference Year]],Inflation[#All],3,FALSE)))</f>
        <v>37160.696202531646</v>
      </c>
    </row>
    <row r="1831" spans="1:15" ht="15" customHeight="1" x14ac:dyDescent="0.25">
      <c r="A1831" s="9" t="s">
        <v>207</v>
      </c>
      <c r="B1831" s="9" t="str">
        <f>INDEX(Places[Type],MATCH(Activities[[#This Row],[Jurisdiction]],Places[Jurisdiction],0))</f>
        <v>City</v>
      </c>
      <c r="C1831" s="19" t="str">
        <f>INDEX(Places[County],MATCH(Activities[[#This Row],[Jurisdiction]],Places[Jurisdiction],0))</f>
        <v>Los Angeles</v>
      </c>
      <c r="D1831" s="19" t="str">
        <f>INDEX(Places[Majority RB],MATCH(Activities[[#This Row],[Jurisdiction]],Places[Jurisdiction],0))</f>
        <v>Los Angeles</v>
      </c>
      <c r="E1831" s="9">
        <f>INDEX(Places[Majority RB '#],MATCH(Activities[[#This Row],[Jurisdiction]],Places[Jurisdiction],0))</f>
        <v>4</v>
      </c>
      <c r="F1831" s="28" t="str">
        <f>VLOOKUP(Activities[[#This Row],[Jurisdiction]],Places[#All],8,FALSE)</f>
        <v>Phase I MS4</v>
      </c>
      <c r="G1831" s="56" t="s">
        <v>855</v>
      </c>
      <c r="H1831" s="8"/>
      <c r="I1831" s="8"/>
      <c r="J1831" s="8" t="s">
        <v>1896</v>
      </c>
      <c r="K1831" s="27" t="s">
        <v>1873</v>
      </c>
      <c r="L1831" s="28">
        <f>_xlfn.NUMBERVALUE(LEFT(Activities[[#This Row],[Fiscal Year]], 4))</f>
        <v>2015</v>
      </c>
      <c r="M1831" s="28" t="s">
        <v>1862</v>
      </c>
      <c r="N1831" s="41">
        <v>33400</v>
      </c>
      <c r="O1831" s="93">
        <f>IF(Activities[[#This Row],[Reference Year]]&gt;2018,Activities[[#This Row],[Value]],Activities[[#This Row],[Value]]*(1+VLOOKUP(Activities[[#This Row],[Reference Year]],Inflation[#All],3,FALSE)))</f>
        <v>35461.921518987343</v>
      </c>
    </row>
    <row r="1832" spans="1:15" ht="15" customHeight="1" x14ac:dyDescent="0.25">
      <c r="A1832" s="9" t="s">
        <v>207</v>
      </c>
      <c r="B1832" s="9" t="str">
        <f>INDEX(Places[Type],MATCH(Activities[[#This Row],[Jurisdiction]],Places[Jurisdiction],0))</f>
        <v>City</v>
      </c>
      <c r="C1832" s="19" t="str">
        <f>INDEX(Places[County],MATCH(Activities[[#This Row],[Jurisdiction]],Places[Jurisdiction],0))</f>
        <v>Los Angeles</v>
      </c>
      <c r="D1832" s="19" t="str">
        <f>INDEX(Places[Majority RB],MATCH(Activities[[#This Row],[Jurisdiction]],Places[Jurisdiction],0))</f>
        <v>Los Angeles</v>
      </c>
      <c r="E1832" s="9">
        <f>INDEX(Places[Majority RB '#],MATCH(Activities[[#This Row],[Jurisdiction]],Places[Jurisdiction],0))</f>
        <v>4</v>
      </c>
      <c r="F1832" s="28" t="str">
        <f>VLOOKUP(Activities[[#This Row],[Jurisdiction]],Places[#All],8,FALSE)</f>
        <v>Phase I MS4</v>
      </c>
      <c r="G1832" s="56" t="s">
        <v>854</v>
      </c>
      <c r="H1832" s="8"/>
      <c r="I1832" s="8"/>
      <c r="J1832" s="8" t="s">
        <v>47</v>
      </c>
      <c r="K1832" s="27" t="s">
        <v>1873</v>
      </c>
      <c r="L1832" s="28">
        <f>_xlfn.NUMBERVALUE(LEFT(Activities[[#This Row],[Fiscal Year]], 4))</f>
        <v>2015</v>
      </c>
      <c r="M1832" s="28" t="s">
        <v>1862</v>
      </c>
      <c r="N1832" s="41">
        <v>80000</v>
      </c>
      <c r="O1832" s="93">
        <f>IF(Activities[[#This Row],[Reference Year]]&gt;2018,Activities[[#This Row],[Value]],Activities[[#This Row],[Value]]*(1+VLOOKUP(Activities[[#This Row],[Reference Year]],Inflation[#All],3,FALSE)))</f>
        <v>84938.734177215185</v>
      </c>
    </row>
    <row r="1833" spans="1:15" ht="15" customHeight="1" x14ac:dyDescent="0.25">
      <c r="A1833" s="9" t="s">
        <v>205</v>
      </c>
      <c r="B1833" s="9" t="str">
        <f>INDEX(Places[Type],MATCH(Activities[[#This Row],[Jurisdiction]],Places[Jurisdiction],0))</f>
        <v>City</v>
      </c>
      <c r="C1833" s="19" t="str">
        <f>INDEX(Places[County],MATCH(Activities[[#This Row],[Jurisdiction]],Places[Jurisdiction],0))</f>
        <v>Los Angeles</v>
      </c>
      <c r="D1833" s="19" t="str">
        <f>INDEX(Places[Majority RB],MATCH(Activities[[#This Row],[Jurisdiction]],Places[Jurisdiction],0))</f>
        <v>Los Angeles</v>
      </c>
      <c r="E1833" s="9">
        <f>INDEX(Places[Majority RB '#],MATCH(Activities[[#This Row],[Jurisdiction]],Places[Jurisdiction],0))</f>
        <v>4</v>
      </c>
      <c r="F1833" s="28" t="str">
        <f>VLOOKUP(Activities[[#This Row],[Jurisdiction]],Places[#All],8,FALSE)</f>
        <v>Phase I MS4</v>
      </c>
      <c r="G1833" s="48" t="s">
        <v>62</v>
      </c>
      <c r="H1833" s="8"/>
      <c r="I1833" s="8"/>
      <c r="J1833" s="8" t="s">
        <v>131</v>
      </c>
      <c r="K1833" s="27" t="s">
        <v>1873</v>
      </c>
      <c r="L1833" s="28">
        <f>_xlfn.NUMBERVALUE(LEFT(Activities[[#This Row],[Fiscal Year]], 4))</f>
        <v>2015</v>
      </c>
      <c r="M1833" s="28" t="s">
        <v>1862</v>
      </c>
      <c r="N1833" s="41">
        <v>4878.75</v>
      </c>
      <c r="O1833" s="93">
        <f>IF(Activities[[#This Row],[Reference Year]]&gt;2018,Activities[[#This Row],[Value]],Activities[[#This Row],[Value]]*(1+VLOOKUP(Activities[[#This Row],[Reference Year]],Inflation[#All],3,FALSE)))</f>
        <v>5179.9356170886076</v>
      </c>
    </row>
    <row r="1834" spans="1:15" ht="15" customHeight="1" x14ac:dyDescent="0.25">
      <c r="A1834" s="9" t="s">
        <v>205</v>
      </c>
      <c r="B1834" s="9" t="str">
        <f>INDEX(Places[Type],MATCH(Activities[[#This Row],[Jurisdiction]],Places[Jurisdiction],0))</f>
        <v>City</v>
      </c>
      <c r="C1834" s="19" t="str">
        <f>INDEX(Places[County],MATCH(Activities[[#This Row],[Jurisdiction]],Places[Jurisdiction],0))</f>
        <v>Los Angeles</v>
      </c>
      <c r="D1834" s="19" t="str">
        <f>INDEX(Places[Majority RB],MATCH(Activities[[#This Row],[Jurisdiction]],Places[Jurisdiction],0))</f>
        <v>Los Angeles</v>
      </c>
      <c r="E1834" s="9">
        <f>INDEX(Places[Majority RB '#],MATCH(Activities[[#This Row],[Jurisdiction]],Places[Jurisdiction],0))</f>
        <v>4</v>
      </c>
      <c r="F1834" s="28" t="str">
        <f>VLOOKUP(Activities[[#This Row],[Jurisdiction]],Places[#All],8,FALSE)</f>
        <v>Phase I MS4</v>
      </c>
      <c r="G1834" s="48" t="s">
        <v>208</v>
      </c>
      <c r="H1834" s="8"/>
      <c r="I1834" s="8"/>
      <c r="J1834" s="8" t="s">
        <v>334</v>
      </c>
      <c r="K1834" s="27" t="s">
        <v>1873</v>
      </c>
      <c r="L1834" s="28">
        <f>_xlfn.NUMBERVALUE(LEFT(Activities[[#This Row],[Fiscal Year]], 4))</f>
        <v>2015</v>
      </c>
      <c r="M1834" s="28" t="s">
        <v>1862</v>
      </c>
      <c r="N1834" s="41">
        <v>60186.2</v>
      </c>
      <c r="O1834" s="93">
        <f>IF(Activities[[#This Row],[Reference Year]]&gt;2018,Activities[[#This Row],[Value]],Activities[[#This Row],[Value]]*(1+VLOOKUP(Activities[[#This Row],[Reference Year]],Inflation[#All],3,FALSE)))</f>
        <v>63901.745536708855</v>
      </c>
    </row>
    <row r="1835" spans="1:15" ht="15" customHeight="1" x14ac:dyDescent="0.25">
      <c r="A1835" s="9" t="s">
        <v>205</v>
      </c>
      <c r="B1835" s="9" t="str">
        <f>INDEX(Places[Type],MATCH(Activities[[#This Row],[Jurisdiction]],Places[Jurisdiction],0))</f>
        <v>City</v>
      </c>
      <c r="C1835" s="19" t="str">
        <f>INDEX(Places[County],MATCH(Activities[[#This Row],[Jurisdiction]],Places[Jurisdiction],0))</f>
        <v>Los Angeles</v>
      </c>
      <c r="D1835" s="19" t="str">
        <f>INDEX(Places[Majority RB],MATCH(Activities[[#This Row],[Jurisdiction]],Places[Jurisdiction],0))</f>
        <v>Los Angeles</v>
      </c>
      <c r="E1835" s="9">
        <f>INDEX(Places[Majority RB '#],MATCH(Activities[[#This Row],[Jurisdiction]],Places[Jurisdiction],0))</f>
        <v>4</v>
      </c>
      <c r="F1835" s="28" t="str">
        <f>VLOOKUP(Activities[[#This Row],[Jurisdiction]],Places[#All],8,FALSE)</f>
        <v>Phase I MS4</v>
      </c>
      <c r="G1835" s="48" t="s">
        <v>61</v>
      </c>
      <c r="H1835" s="8"/>
      <c r="I1835" s="8"/>
      <c r="J1835" s="8" t="s">
        <v>1897</v>
      </c>
      <c r="K1835" s="27" t="s">
        <v>1873</v>
      </c>
      <c r="L1835" s="28">
        <f>_xlfn.NUMBERVALUE(LEFT(Activities[[#This Row],[Fiscal Year]], 4))</f>
        <v>2015</v>
      </c>
      <c r="M1835" s="28" t="s">
        <v>1862</v>
      </c>
      <c r="N1835" s="41">
        <v>548736.25</v>
      </c>
      <c r="O1835" s="93">
        <f>IF(Activities[[#This Row],[Reference Year]]&gt;2018,Activities[[#This Row],[Value]],Activities[[#This Row],[Value]]*(1+VLOOKUP(Activities[[#This Row],[Reference Year]],Inflation[#All],3,FALSE)))</f>
        <v>582612.03090189875</v>
      </c>
    </row>
    <row r="1836" spans="1:15" ht="15" customHeight="1" x14ac:dyDescent="0.25">
      <c r="A1836" s="9" t="s">
        <v>205</v>
      </c>
      <c r="B1836" s="9" t="str">
        <f>INDEX(Places[Type],MATCH(Activities[[#This Row],[Jurisdiction]],Places[Jurisdiction],0))</f>
        <v>City</v>
      </c>
      <c r="C1836" s="19" t="str">
        <f>INDEX(Places[County],MATCH(Activities[[#This Row],[Jurisdiction]],Places[Jurisdiction],0))</f>
        <v>Los Angeles</v>
      </c>
      <c r="D1836" s="19" t="str">
        <f>INDEX(Places[Majority RB],MATCH(Activities[[#This Row],[Jurisdiction]],Places[Jurisdiction],0))</f>
        <v>Los Angeles</v>
      </c>
      <c r="E1836" s="9">
        <f>INDEX(Places[Majority RB '#],MATCH(Activities[[#This Row],[Jurisdiction]],Places[Jurisdiction],0))</f>
        <v>4</v>
      </c>
      <c r="F1836" s="28" t="str">
        <f>VLOOKUP(Activities[[#This Row],[Jurisdiction]],Places[#All],8,FALSE)</f>
        <v>Phase I MS4</v>
      </c>
      <c r="G1836" s="48" t="s">
        <v>59</v>
      </c>
      <c r="H1836" s="8"/>
      <c r="I1836" s="8"/>
      <c r="J1836" s="8" t="s">
        <v>1898</v>
      </c>
      <c r="K1836" s="27" t="s">
        <v>1873</v>
      </c>
      <c r="L1836" s="28">
        <f>_xlfn.NUMBERVALUE(LEFT(Activities[[#This Row],[Fiscal Year]], 4))</f>
        <v>2015</v>
      </c>
      <c r="M1836" s="28" t="s">
        <v>1862</v>
      </c>
      <c r="N1836" s="41">
        <v>2895</v>
      </c>
      <c r="O1836" s="93">
        <f>IF(Activities[[#This Row],[Reference Year]]&gt;2018,Activities[[#This Row],[Value]],Activities[[#This Row],[Value]]*(1+VLOOKUP(Activities[[#This Row],[Reference Year]],Inflation[#All],3,FALSE)))</f>
        <v>3073.7204430379743</v>
      </c>
    </row>
    <row r="1837" spans="1:15" ht="15" customHeight="1" x14ac:dyDescent="0.25">
      <c r="A1837" s="9" t="s">
        <v>205</v>
      </c>
      <c r="B1837" s="9" t="str">
        <f>INDEX(Places[Type],MATCH(Activities[[#This Row],[Jurisdiction]],Places[Jurisdiction],0))</f>
        <v>City</v>
      </c>
      <c r="C1837" s="19" t="str">
        <f>INDEX(Places[County],MATCH(Activities[[#This Row],[Jurisdiction]],Places[Jurisdiction],0))</f>
        <v>Los Angeles</v>
      </c>
      <c r="D1837" s="19" t="str">
        <f>INDEX(Places[Majority RB],MATCH(Activities[[#This Row],[Jurisdiction]],Places[Jurisdiction],0))</f>
        <v>Los Angeles</v>
      </c>
      <c r="E1837" s="9">
        <f>INDEX(Places[Majority RB '#],MATCH(Activities[[#This Row],[Jurisdiction]],Places[Jurisdiction],0))</f>
        <v>4</v>
      </c>
      <c r="F1837" s="28" t="str">
        <f>VLOOKUP(Activities[[#This Row],[Jurisdiction]],Places[#All],8,FALSE)</f>
        <v>Phase I MS4</v>
      </c>
      <c r="G1837" s="48" t="s">
        <v>60</v>
      </c>
      <c r="H1837" s="8"/>
      <c r="I1837" s="8"/>
      <c r="J1837" s="8" t="s">
        <v>1898</v>
      </c>
      <c r="K1837" s="27" t="s">
        <v>1873</v>
      </c>
      <c r="L1837" s="28">
        <f>_xlfn.NUMBERVALUE(LEFT(Activities[[#This Row],[Fiscal Year]], 4))</f>
        <v>2015</v>
      </c>
      <c r="M1837" s="28" t="s">
        <v>1862</v>
      </c>
      <c r="N1837" s="41">
        <v>7685</v>
      </c>
      <c r="O1837" s="93">
        <f>IF(Activities[[#This Row],[Reference Year]]&gt;2018,Activities[[#This Row],[Value]],Activities[[#This Row],[Value]]*(1+VLOOKUP(Activities[[#This Row],[Reference Year]],Inflation[#All],3,FALSE)))</f>
        <v>8159.4271518987334</v>
      </c>
    </row>
    <row r="1838" spans="1:15" ht="15" customHeight="1" x14ac:dyDescent="0.25">
      <c r="A1838" s="9" t="s">
        <v>205</v>
      </c>
      <c r="B1838" s="9" t="str">
        <f>INDEX(Places[Type],MATCH(Activities[[#This Row],[Jurisdiction]],Places[Jurisdiction],0))</f>
        <v>City</v>
      </c>
      <c r="C1838" s="19" t="str">
        <f>INDEX(Places[County],MATCH(Activities[[#This Row],[Jurisdiction]],Places[Jurisdiction],0))</f>
        <v>Los Angeles</v>
      </c>
      <c r="D1838" s="19" t="str">
        <f>INDEX(Places[Majority RB],MATCH(Activities[[#This Row],[Jurisdiction]],Places[Jurisdiction],0))</f>
        <v>Los Angeles</v>
      </c>
      <c r="E1838" s="9">
        <f>INDEX(Places[Majority RB '#],MATCH(Activities[[#This Row],[Jurisdiction]],Places[Jurisdiction],0))</f>
        <v>4</v>
      </c>
      <c r="F1838" s="28" t="str">
        <f>VLOOKUP(Activities[[#This Row],[Jurisdiction]],Places[#All],8,FALSE)</f>
        <v>Phase I MS4</v>
      </c>
      <c r="G1838" s="48" t="s">
        <v>58</v>
      </c>
      <c r="H1838" s="8"/>
      <c r="I1838" s="8"/>
      <c r="J1838" s="8" t="s">
        <v>1456</v>
      </c>
      <c r="K1838" s="27" t="s">
        <v>1873</v>
      </c>
      <c r="L1838" s="28">
        <f>_xlfn.NUMBERVALUE(LEFT(Activities[[#This Row],[Fiscal Year]], 4))</f>
        <v>2015</v>
      </c>
      <c r="M1838" s="28" t="s">
        <v>1862</v>
      </c>
      <c r="N1838" s="41">
        <v>3068.65</v>
      </c>
      <c r="O1838" s="93">
        <f>IF(Activities[[#This Row],[Reference Year]]&gt;2018,Activities[[#This Row],[Value]],Activities[[#This Row],[Value]]*(1+VLOOKUP(Activities[[#This Row],[Reference Year]],Inflation[#All],3,FALSE)))</f>
        <v>3258.0905829113922</v>
      </c>
    </row>
    <row r="1839" spans="1:15" ht="15" customHeight="1" x14ac:dyDescent="0.25">
      <c r="A1839" s="9" t="s">
        <v>205</v>
      </c>
      <c r="B1839" s="9" t="str">
        <f>INDEX(Places[Type],MATCH(Activities[[#This Row],[Jurisdiction]],Places[Jurisdiction],0))</f>
        <v>City</v>
      </c>
      <c r="C1839" s="19" t="str">
        <f>INDEX(Places[County],MATCH(Activities[[#This Row],[Jurisdiction]],Places[Jurisdiction],0))</f>
        <v>Los Angeles</v>
      </c>
      <c r="D1839" s="19" t="str">
        <f>INDEX(Places[Majority RB],MATCH(Activities[[#This Row],[Jurisdiction]],Places[Jurisdiction],0))</f>
        <v>Los Angeles</v>
      </c>
      <c r="E1839" s="9">
        <f>INDEX(Places[Majority RB '#],MATCH(Activities[[#This Row],[Jurisdiction]],Places[Jurisdiction],0))</f>
        <v>4</v>
      </c>
      <c r="F1839" s="28" t="str">
        <f>VLOOKUP(Activities[[#This Row],[Jurisdiction]],Places[#All],8,FALSE)</f>
        <v>Phase I MS4</v>
      </c>
      <c r="G1839" s="48" t="s">
        <v>32</v>
      </c>
      <c r="H1839" s="8"/>
      <c r="I1839" s="8"/>
      <c r="J1839" s="8" t="s">
        <v>1894</v>
      </c>
      <c r="K1839" s="27" t="s">
        <v>1873</v>
      </c>
      <c r="L1839" s="28">
        <f>_xlfn.NUMBERVALUE(LEFT(Activities[[#This Row],[Fiscal Year]], 4))</f>
        <v>2015</v>
      </c>
      <c r="M1839" s="28" t="s">
        <v>1862</v>
      </c>
      <c r="N1839" s="41">
        <v>2244</v>
      </c>
      <c r="O1839" s="93">
        <f>IF(Activities[[#This Row],[Reference Year]]&gt;2018,Activities[[#This Row],[Value]],Activities[[#This Row],[Value]]*(1+VLOOKUP(Activities[[#This Row],[Reference Year]],Inflation[#All],3,FALSE)))</f>
        <v>2382.531493670886</v>
      </c>
    </row>
    <row r="1840" spans="1:15" ht="15" customHeight="1" x14ac:dyDescent="0.25">
      <c r="A1840" s="9" t="s">
        <v>205</v>
      </c>
      <c r="B1840" s="9" t="str">
        <f>INDEX(Places[Type],MATCH(Activities[[#This Row],[Jurisdiction]],Places[Jurisdiction],0))</f>
        <v>City</v>
      </c>
      <c r="C1840" s="19" t="str">
        <f>INDEX(Places[County],MATCH(Activities[[#This Row],[Jurisdiction]],Places[Jurisdiction],0))</f>
        <v>Los Angeles</v>
      </c>
      <c r="D1840" s="19" t="str">
        <f>INDEX(Places[Majority RB],MATCH(Activities[[#This Row],[Jurisdiction]],Places[Jurisdiction],0))</f>
        <v>Los Angeles</v>
      </c>
      <c r="E1840" s="9">
        <f>INDEX(Places[Majority RB '#],MATCH(Activities[[#This Row],[Jurisdiction]],Places[Jurisdiction],0))</f>
        <v>4</v>
      </c>
      <c r="F1840" s="28" t="str">
        <f>VLOOKUP(Activities[[#This Row],[Jurisdiction]],Places[#All],8,FALSE)</f>
        <v>Phase I MS4</v>
      </c>
      <c r="G1840" s="48" t="s">
        <v>211</v>
      </c>
      <c r="H1840" s="8"/>
      <c r="I1840" s="8"/>
      <c r="J1840" s="8" t="s">
        <v>1896</v>
      </c>
      <c r="K1840" s="27" t="s">
        <v>1873</v>
      </c>
      <c r="L1840" s="28">
        <f>_xlfn.NUMBERVALUE(LEFT(Activities[[#This Row],[Fiscal Year]], 4))</f>
        <v>2015</v>
      </c>
      <c r="M1840" s="28" t="s">
        <v>1862</v>
      </c>
      <c r="N1840" s="41">
        <v>40546</v>
      </c>
      <c r="O1840" s="93">
        <f>IF(Activities[[#This Row],[Reference Year]]&gt;2018,Activities[[#This Row],[Value]],Activities[[#This Row],[Value]]*(1+VLOOKUP(Activities[[#This Row],[Reference Year]],Inflation[#All],3,FALSE)))</f>
        <v>43049.073949367084</v>
      </c>
    </row>
    <row r="1841" spans="1:15" ht="15" customHeight="1" x14ac:dyDescent="0.25">
      <c r="A1841" s="9" t="s">
        <v>205</v>
      </c>
      <c r="B1841" s="9" t="str">
        <f>INDEX(Places[Type],MATCH(Activities[[#This Row],[Jurisdiction]],Places[Jurisdiction],0))</f>
        <v>City</v>
      </c>
      <c r="C1841" s="19" t="str">
        <f>INDEX(Places[County],MATCH(Activities[[#This Row],[Jurisdiction]],Places[Jurisdiction],0))</f>
        <v>Los Angeles</v>
      </c>
      <c r="D1841" s="19" t="str">
        <f>INDEX(Places[Majority RB],MATCH(Activities[[#This Row],[Jurisdiction]],Places[Jurisdiction],0))</f>
        <v>Los Angeles</v>
      </c>
      <c r="E1841" s="9">
        <f>INDEX(Places[Majority RB '#],MATCH(Activities[[#This Row],[Jurisdiction]],Places[Jurisdiction],0))</f>
        <v>4</v>
      </c>
      <c r="F1841" s="28" t="str">
        <f>VLOOKUP(Activities[[#This Row],[Jurisdiction]],Places[#All],8,FALSE)</f>
        <v>Phase I MS4</v>
      </c>
      <c r="G1841" s="48" t="s">
        <v>67</v>
      </c>
      <c r="H1841" s="8" t="s">
        <v>950</v>
      </c>
      <c r="I1841" s="8"/>
      <c r="J1841" s="8" t="s">
        <v>1896</v>
      </c>
      <c r="K1841" s="27" t="s">
        <v>1873</v>
      </c>
      <c r="L1841" s="28">
        <f>_xlfn.NUMBERVALUE(LEFT(Activities[[#This Row],[Fiscal Year]], 4))</f>
        <v>2015</v>
      </c>
      <c r="M1841" s="28" t="s">
        <v>1862</v>
      </c>
      <c r="N1841" s="41">
        <v>160917.5</v>
      </c>
      <c r="O1841" s="93">
        <f>IF(Activities[[#This Row],[Reference Year]]&gt;2018,Activities[[#This Row],[Value]],Activities[[#This Row],[Value]]*(1+VLOOKUP(Activities[[#This Row],[Reference Year]],Inflation[#All],3,FALSE)))</f>
        <v>170851.60946202531</v>
      </c>
    </row>
    <row r="1842" spans="1:15" ht="15" customHeight="1" x14ac:dyDescent="0.25">
      <c r="A1842" s="9" t="s">
        <v>205</v>
      </c>
      <c r="B1842" s="9" t="str">
        <f>INDEX(Places[Type],MATCH(Activities[[#This Row],[Jurisdiction]],Places[Jurisdiction],0))</f>
        <v>City</v>
      </c>
      <c r="C1842" s="19" t="str">
        <f>INDEX(Places[County],MATCH(Activities[[#This Row],[Jurisdiction]],Places[Jurisdiction],0))</f>
        <v>Los Angeles</v>
      </c>
      <c r="D1842" s="19" t="str">
        <f>INDEX(Places[Majority RB],MATCH(Activities[[#This Row],[Jurisdiction]],Places[Jurisdiction],0))</f>
        <v>Los Angeles</v>
      </c>
      <c r="E1842" s="9">
        <f>INDEX(Places[Majority RB '#],MATCH(Activities[[#This Row],[Jurisdiction]],Places[Jurisdiction],0))</f>
        <v>4</v>
      </c>
      <c r="F1842" s="28" t="str">
        <f>VLOOKUP(Activities[[#This Row],[Jurisdiction]],Places[#All],8,FALSE)</f>
        <v>Phase I MS4</v>
      </c>
      <c r="G1842" s="48" t="s">
        <v>33</v>
      </c>
      <c r="H1842" s="8"/>
      <c r="I1842" s="8"/>
      <c r="J1842" s="8" t="s">
        <v>47</v>
      </c>
      <c r="K1842" s="27" t="s">
        <v>1873</v>
      </c>
      <c r="L1842" s="28">
        <f>_xlfn.NUMBERVALUE(LEFT(Activities[[#This Row],[Fiscal Year]], 4))</f>
        <v>2015</v>
      </c>
      <c r="M1842" s="28" t="s">
        <v>1862</v>
      </c>
      <c r="N1842" s="41">
        <v>199864.5</v>
      </c>
      <c r="O1842" s="93">
        <f>IF(Activities[[#This Row],[Reference Year]]&gt;2018,Activities[[#This Row],[Value]],Activities[[#This Row],[Value]]*(1+VLOOKUP(Activities[[#This Row],[Reference Year]],Inflation[#All],3,FALSE)))</f>
        <v>212202.97046202532</v>
      </c>
    </row>
    <row r="1843" spans="1:15" ht="15" customHeight="1" x14ac:dyDescent="0.25">
      <c r="A1843" s="9" t="s">
        <v>174</v>
      </c>
      <c r="B1843" s="9" t="str">
        <f>INDEX(Places[Type],MATCH(Activities[[#This Row],[Jurisdiction]],Places[Jurisdiction],0))</f>
        <v>City</v>
      </c>
      <c r="C1843" s="19" t="str">
        <f>INDEX(Places[County],MATCH(Activities[[#This Row],[Jurisdiction]],Places[Jurisdiction],0))</f>
        <v>Los Angeles</v>
      </c>
      <c r="D1843" s="19" t="str">
        <f>INDEX(Places[Majority RB],MATCH(Activities[[#This Row],[Jurisdiction]],Places[Jurisdiction],0))</f>
        <v>Los Angeles</v>
      </c>
      <c r="E1843" s="9">
        <f>INDEX(Places[Majority RB '#],MATCH(Activities[[#This Row],[Jurisdiction]],Places[Jurisdiction],0))</f>
        <v>4</v>
      </c>
      <c r="F1843" s="28" t="str">
        <f>VLOOKUP(Activities[[#This Row],[Jurisdiction]],Places[#All],8,FALSE)</f>
        <v>Phase I MS4</v>
      </c>
      <c r="G1843" s="48" t="s">
        <v>62</v>
      </c>
      <c r="H1843" s="8"/>
      <c r="I1843" s="8"/>
      <c r="J1843" s="8" t="s">
        <v>131</v>
      </c>
      <c r="K1843" s="27" t="s">
        <v>1873</v>
      </c>
      <c r="L1843" s="28">
        <f>_xlfn.NUMBERVALUE(LEFT(Activities[[#This Row],[Fiscal Year]], 4))</f>
        <v>2015</v>
      </c>
      <c r="M1843" s="28" t="s">
        <v>1862</v>
      </c>
      <c r="N1843" s="41">
        <v>4500</v>
      </c>
      <c r="O1843" s="93">
        <f>IF(Activities[[#This Row],[Reference Year]]&gt;2018,Activities[[#This Row],[Value]],Activities[[#This Row],[Value]]*(1+VLOOKUP(Activities[[#This Row],[Reference Year]],Inflation[#All],3,FALSE)))</f>
        <v>4777.8037974683539</v>
      </c>
    </row>
    <row r="1844" spans="1:15" ht="15" customHeight="1" x14ac:dyDescent="0.25">
      <c r="A1844" s="9" t="s">
        <v>174</v>
      </c>
      <c r="B1844" s="9" t="str">
        <f>INDEX(Places[Type],MATCH(Activities[[#This Row],[Jurisdiction]],Places[Jurisdiction],0))</f>
        <v>City</v>
      </c>
      <c r="C1844" s="19" t="str">
        <f>INDEX(Places[County],MATCH(Activities[[#This Row],[Jurisdiction]],Places[Jurisdiction],0))</f>
        <v>Los Angeles</v>
      </c>
      <c r="D1844" s="19" t="str">
        <f>INDEX(Places[Majority RB],MATCH(Activities[[#This Row],[Jurisdiction]],Places[Jurisdiction],0))</f>
        <v>Los Angeles</v>
      </c>
      <c r="E1844" s="9">
        <f>INDEX(Places[Majority RB '#],MATCH(Activities[[#This Row],[Jurisdiction]],Places[Jurisdiction],0))</f>
        <v>4</v>
      </c>
      <c r="F1844" s="28" t="str">
        <f>VLOOKUP(Activities[[#This Row],[Jurisdiction]],Places[#All],8,FALSE)</f>
        <v>Phase I MS4</v>
      </c>
      <c r="G1844" s="48" t="s">
        <v>61</v>
      </c>
      <c r="H1844" s="8"/>
      <c r="I1844" s="8"/>
      <c r="J1844" s="8" t="s">
        <v>1897</v>
      </c>
      <c r="K1844" s="27" t="s">
        <v>1873</v>
      </c>
      <c r="L1844" s="28">
        <f>_xlfn.NUMBERVALUE(LEFT(Activities[[#This Row],[Fiscal Year]], 4))</f>
        <v>2015</v>
      </c>
      <c r="M1844" s="28" t="s">
        <v>1862</v>
      </c>
      <c r="N1844" s="41">
        <v>5000</v>
      </c>
      <c r="O1844" s="93">
        <f>IF(Activities[[#This Row],[Reference Year]]&gt;2018,Activities[[#This Row],[Value]],Activities[[#This Row],[Value]]*(1+VLOOKUP(Activities[[#This Row],[Reference Year]],Inflation[#All],3,FALSE)))</f>
        <v>5308.6708860759491</v>
      </c>
    </row>
    <row r="1845" spans="1:15" ht="15" customHeight="1" x14ac:dyDescent="0.25">
      <c r="A1845" s="9" t="s">
        <v>174</v>
      </c>
      <c r="B1845" s="9" t="str">
        <f>INDEX(Places[Type],MATCH(Activities[[#This Row],[Jurisdiction]],Places[Jurisdiction],0))</f>
        <v>City</v>
      </c>
      <c r="C1845" s="19" t="str">
        <f>INDEX(Places[County],MATCH(Activities[[#This Row],[Jurisdiction]],Places[Jurisdiction],0))</f>
        <v>Los Angeles</v>
      </c>
      <c r="D1845" s="19" t="str">
        <f>INDEX(Places[Majority RB],MATCH(Activities[[#This Row],[Jurisdiction]],Places[Jurisdiction],0))</f>
        <v>Los Angeles</v>
      </c>
      <c r="E1845" s="9">
        <f>INDEX(Places[Majority RB '#],MATCH(Activities[[#This Row],[Jurisdiction]],Places[Jurisdiction],0))</f>
        <v>4</v>
      </c>
      <c r="F1845" s="28" t="str">
        <f>VLOOKUP(Activities[[#This Row],[Jurisdiction]],Places[#All],8,FALSE)</f>
        <v>Phase I MS4</v>
      </c>
      <c r="G1845" s="48" t="s">
        <v>60</v>
      </c>
      <c r="H1845" s="8"/>
      <c r="I1845" s="8"/>
      <c r="J1845" s="8" t="s">
        <v>1898</v>
      </c>
      <c r="K1845" s="27" t="s">
        <v>1873</v>
      </c>
      <c r="L1845" s="28">
        <f>_xlfn.NUMBERVALUE(LEFT(Activities[[#This Row],[Fiscal Year]], 4))</f>
        <v>2015</v>
      </c>
      <c r="M1845" s="28" t="s">
        <v>1862</v>
      </c>
      <c r="N1845" s="41">
        <v>1500</v>
      </c>
      <c r="O1845" s="93">
        <f>IF(Activities[[#This Row],[Reference Year]]&gt;2018,Activities[[#This Row],[Value]],Activities[[#This Row],[Value]]*(1+VLOOKUP(Activities[[#This Row],[Reference Year]],Inflation[#All],3,FALSE)))</f>
        <v>1592.6012658227846</v>
      </c>
    </row>
    <row r="1846" spans="1:15" ht="15" customHeight="1" x14ac:dyDescent="0.25">
      <c r="A1846" s="9" t="s">
        <v>174</v>
      </c>
      <c r="B1846" s="9" t="str">
        <f>INDEX(Places[Type],MATCH(Activities[[#This Row],[Jurisdiction]],Places[Jurisdiction],0))</f>
        <v>City</v>
      </c>
      <c r="C1846" s="19" t="str">
        <f>INDEX(Places[County],MATCH(Activities[[#This Row],[Jurisdiction]],Places[Jurisdiction],0))</f>
        <v>Los Angeles</v>
      </c>
      <c r="D1846" s="19" t="str">
        <f>INDEX(Places[Majority RB],MATCH(Activities[[#This Row],[Jurisdiction]],Places[Jurisdiction],0))</f>
        <v>Los Angeles</v>
      </c>
      <c r="E1846" s="9">
        <f>INDEX(Places[Majority RB '#],MATCH(Activities[[#This Row],[Jurisdiction]],Places[Jurisdiction],0))</f>
        <v>4</v>
      </c>
      <c r="F1846" s="28" t="str">
        <f>VLOOKUP(Activities[[#This Row],[Jurisdiction]],Places[#All],8,FALSE)</f>
        <v>Phase I MS4</v>
      </c>
      <c r="G1846" s="48" t="s">
        <v>58</v>
      </c>
      <c r="H1846" s="8"/>
      <c r="I1846" s="8"/>
      <c r="J1846" s="8" t="s">
        <v>1456</v>
      </c>
      <c r="K1846" s="27" t="s">
        <v>1873</v>
      </c>
      <c r="L1846" s="28">
        <f>_xlfn.NUMBERVALUE(LEFT(Activities[[#This Row],[Fiscal Year]], 4))</f>
        <v>2015</v>
      </c>
      <c r="M1846" s="28" t="s">
        <v>1862</v>
      </c>
      <c r="N1846" s="41">
        <v>2500</v>
      </c>
      <c r="O1846" s="93">
        <f>IF(Activities[[#This Row],[Reference Year]]&gt;2018,Activities[[#This Row],[Value]],Activities[[#This Row],[Value]]*(1+VLOOKUP(Activities[[#This Row],[Reference Year]],Inflation[#All],3,FALSE)))</f>
        <v>2654.3354430379745</v>
      </c>
    </row>
    <row r="1847" spans="1:15" ht="15" customHeight="1" x14ac:dyDescent="0.25">
      <c r="A1847" s="9" t="s">
        <v>174</v>
      </c>
      <c r="B1847" s="9" t="str">
        <f>INDEX(Places[Type],MATCH(Activities[[#This Row],[Jurisdiction]],Places[Jurisdiction],0))</f>
        <v>City</v>
      </c>
      <c r="C1847" s="19" t="str">
        <f>INDEX(Places[County],MATCH(Activities[[#This Row],[Jurisdiction]],Places[Jurisdiction],0))</f>
        <v>Los Angeles</v>
      </c>
      <c r="D1847" s="19" t="str">
        <f>INDEX(Places[Majority RB],MATCH(Activities[[#This Row],[Jurisdiction]],Places[Jurisdiction],0))</f>
        <v>Los Angeles</v>
      </c>
      <c r="E1847" s="9">
        <f>INDEX(Places[Majority RB '#],MATCH(Activities[[#This Row],[Jurisdiction]],Places[Jurisdiction],0))</f>
        <v>4</v>
      </c>
      <c r="F1847" s="28" t="str">
        <f>VLOOKUP(Activities[[#This Row],[Jurisdiction]],Places[#All],8,FALSE)</f>
        <v>Phase I MS4</v>
      </c>
      <c r="G1847" s="48" t="s">
        <v>32</v>
      </c>
      <c r="H1847" s="8"/>
      <c r="I1847" s="8"/>
      <c r="J1847" s="8" t="s">
        <v>1894</v>
      </c>
      <c r="K1847" s="27" t="s">
        <v>1873</v>
      </c>
      <c r="L1847" s="28">
        <f>_xlfn.NUMBERVALUE(LEFT(Activities[[#This Row],[Fiscal Year]], 4))</f>
        <v>2015</v>
      </c>
      <c r="M1847" s="28" t="s">
        <v>1862</v>
      </c>
      <c r="N1847" s="41">
        <v>90000</v>
      </c>
      <c r="O1847" s="93">
        <f>IF(Activities[[#This Row],[Reference Year]]&gt;2018,Activities[[#This Row],[Value]],Activities[[#This Row],[Value]]*(1+VLOOKUP(Activities[[#This Row],[Reference Year]],Inflation[#All],3,FALSE)))</f>
        <v>95556.075949367078</v>
      </c>
    </row>
    <row r="1848" spans="1:15" ht="15" customHeight="1" x14ac:dyDescent="0.25">
      <c r="A1848" s="9" t="s">
        <v>174</v>
      </c>
      <c r="B1848" s="9" t="str">
        <f>INDEX(Places[Type],MATCH(Activities[[#This Row],[Jurisdiction]],Places[Jurisdiction],0))</f>
        <v>City</v>
      </c>
      <c r="C1848" s="19" t="str">
        <f>INDEX(Places[County],MATCH(Activities[[#This Row],[Jurisdiction]],Places[Jurisdiction],0))</f>
        <v>Los Angeles</v>
      </c>
      <c r="D1848" s="19" t="str">
        <f>INDEX(Places[Majority RB],MATCH(Activities[[#This Row],[Jurisdiction]],Places[Jurisdiction],0))</f>
        <v>Los Angeles</v>
      </c>
      <c r="E1848" s="9">
        <f>INDEX(Places[Majority RB '#],MATCH(Activities[[#This Row],[Jurisdiction]],Places[Jurisdiction],0))</f>
        <v>4</v>
      </c>
      <c r="F1848" s="28" t="str">
        <f>VLOOKUP(Activities[[#This Row],[Jurisdiction]],Places[#All],8,FALSE)</f>
        <v>Phase I MS4</v>
      </c>
      <c r="G1848" s="48" t="s">
        <v>67</v>
      </c>
      <c r="H1848" s="8"/>
      <c r="I1848" s="8"/>
      <c r="J1848" s="8" t="s">
        <v>1896</v>
      </c>
      <c r="K1848" s="27" t="s">
        <v>1873</v>
      </c>
      <c r="L1848" s="28">
        <f>_xlfn.NUMBERVALUE(LEFT(Activities[[#This Row],[Fiscal Year]], 4))</f>
        <v>2015</v>
      </c>
      <c r="M1848" s="28" t="s">
        <v>1862</v>
      </c>
      <c r="N1848" s="41">
        <v>5220</v>
      </c>
      <c r="O1848" s="93">
        <f>IF(Activities[[#This Row],[Reference Year]]&gt;2018,Activities[[#This Row],[Value]],Activities[[#This Row],[Value]]*(1+VLOOKUP(Activities[[#This Row],[Reference Year]],Inflation[#All],3,FALSE)))</f>
        <v>5542.252405063291</v>
      </c>
    </row>
    <row r="1849" spans="1:15" ht="15" customHeight="1" x14ac:dyDescent="0.25">
      <c r="A1849" s="9" t="s">
        <v>174</v>
      </c>
      <c r="B1849" s="9" t="str">
        <f>INDEX(Places[Type],MATCH(Activities[[#This Row],[Jurisdiction]],Places[Jurisdiction],0))</f>
        <v>City</v>
      </c>
      <c r="C1849" s="19" t="str">
        <f>INDEX(Places[County],MATCH(Activities[[#This Row],[Jurisdiction]],Places[Jurisdiction],0))</f>
        <v>Los Angeles</v>
      </c>
      <c r="D1849" s="19" t="str">
        <f>INDEX(Places[Majority RB],MATCH(Activities[[#This Row],[Jurisdiction]],Places[Jurisdiction],0))</f>
        <v>Los Angeles</v>
      </c>
      <c r="E1849" s="9">
        <f>INDEX(Places[Majority RB '#],MATCH(Activities[[#This Row],[Jurisdiction]],Places[Jurisdiction],0))</f>
        <v>4</v>
      </c>
      <c r="F1849" s="28" t="str">
        <f>VLOOKUP(Activities[[#This Row],[Jurisdiction]],Places[#All],8,FALSE)</f>
        <v>Phase I MS4</v>
      </c>
      <c r="G1849" s="48" t="s">
        <v>33</v>
      </c>
      <c r="H1849" s="8"/>
      <c r="I1849" s="8"/>
      <c r="J1849" s="8" t="s">
        <v>47</v>
      </c>
      <c r="K1849" s="27" t="s">
        <v>1873</v>
      </c>
      <c r="L1849" s="28">
        <f>_xlfn.NUMBERVALUE(LEFT(Activities[[#This Row],[Fiscal Year]], 4))</f>
        <v>2015</v>
      </c>
      <c r="M1849" s="28" t="s">
        <v>1862</v>
      </c>
      <c r="N1849" s="41">
        <v>229326</v>
      </c>
      <c r="O1849" s="93">
        <f>IF(Activities[[#This Row],[Reference Year]]&gt;2018,Activities[[#This Row],[Value]],Activities[[#This Row],[Value]]*(1+VLOOKUP(Activities[[#This Row],[Reference Year]],Inflation[#All],3,FALSE)))</f>
        <v>243483.25192405062</v>
      </c>
    </row>
    <row r="1850" spans="1:15" ht="15" customHeight="1" x14ac:dyDescent="0.25">
      <c r="A1850" s="9" t="s">
        <v>295</v>
      </c>
      <c r="B1850" s="9" t="str">
        <f>INDEX(Places[Type],MATCH(Activities[[#This Row],[Jurisdiction]],Places[Jurisdiction],0))</f>
        <v>City</v>
      </c>
      <c r="C1850" s="19" t="str">
        <f>INDEX(Places[County],MATCH(Activities[[#This Row],[Jurisdiction]],Places[Jurisdiction],0))</f>
        <v>Orange</v>
      </c>
      <c r="D1850" s="9" t="str">
        <f>INDEX(Places[Majority RB],MATCH(Activities[[#This Row],[Jurisdiction]],Places[Jurisdiction],0))</f>
        <v>Santa Ana</v>
      </c>
      <c r="E1850" s="9">
        <f>INDEX(Places[Majority RB '#],MATCH(Activities[[#This Row],[Jurisdiction]],Places[Jurisdiction],0))</f>
        <v>8</v>
      </c>
      <c r="F1850" s="28" t="str">
        <f>VLOOKUP(Activities[[#This Row],[Jurisdiction]],Places[#All],8,FALSE)</f>
        <v>Phase I MS4</v>
      </c>
      <c r="G1850" s="48" t="s">
        <v>1006</v>
      </c>
      <c r="H1850" s="8"/>
      <c r="I1850" s="8"/>
      <c r="J1850" s="8" t="s">
        <v>1895</v>
      </c>
      <c r="K1850" s="27" t="s">
        <v>1875</v>
      </c>
      <c r="L1850" s="28">
        <f>_xlfn.NUMBERVALUE(LEFT(Activities[[#This Row],[Fiscal Year]], 4))</f>
        <v>2001</v>
      </c>
      <c r="M1850" s="28" t="s">
        <v>1862</v>
      </c>
      <c r="N1850" s="41">
        <v>15000</v>
      </c>
      <c r="O1850" s="93">
        <f>IF(Activities[[#This Row],[Reference Year]]&gt;2018,Activities[[#This Row],[Value]],Activities[[#This Row],[Value]]*(1+VLOOKUP(Activities[[#This Row],[Reference Year]],Inflation[#All],3,FALSE)))</f>
        <v>21312.619988706945</v>
      </c>
    </row>
    <row r="1851" spans="1:15" ht="15" customHeight="1" x14ac:dyDescent="0.25">
      <c r="A1851" s="9" t="s">
        <v>295</v>
      </c>
      <c r="B1851" s="9" t="str">
        <f>INDEX(Places[Type],MATCH(Activities[[#This Row],[Jurisdiction]],Places[Jurisdiction],0))</f>
        <v>City</v>
      </c>
      <c r="C1851" s="19" t="str">
        <f>INDEX(Places[County],MATCH(Activities[[#This Row],[Jurisdiction]],Places[Jurisdiction],0))</f>
        <v>Orange</v>
      </c>
      <c r="D1851" s="9" t="str">
        <f>INDEX(Places[Majority RB],MATCH(Activities[[#This Row],[Jurisdiction]],Places[Jurisdiction],0))</f>
        <v>Santa Ana</v>
      </c>
      <c r="E1851" s="9">
        <f>INDEX(Places[Majority RB '#],MATCH(Activities[[#This Row],[Jurisdiction]],Places[Jurisdiction],0))</f>
        <v>8</v>
      </c>
      <c r="F1851" s="28" t="str">
        <f>VLOOKUP(Activities[[#This Row],[Jurisdiction]],Places[#All],8,FALSE)</f>
        <v>Phase I MS4</v>
      </c>
      <c r="G1851" s="48" t="s">
        <v>994</v>
      </c>
      <c r="H1851" s="8" t="s">
        <v>504</v>
      </c>
      <c r="I1851" s="8"/>
      <c r="J1851" s="8" t="s">
        <v>71</v>
      </c>
      <c r="K1851" s="27" t="s">
        <v>1875</v>
      </c>
      <c r="L1851" s="28">
        <f>_xlfn.NUMBERVALUE(LEFT(Activities[[#This Row],[Fiscal Year]], 4))</f>
        <v>2001</v>
      </c>
      <c r="M1851" s="28" t="s">
        <v>1862</v>
      </c>
      <c r="N1851" s="41">
        <v>5000</v>
      </c>
      <c r="O1851" s="93">
        <f>IF(Activities[[#This Row],[Reference Year]]&gt;2018,Activities[[#This Row],[Value]],Activities[[#This Row],[Value]]*(1+VLOOKUP(Activities[[#This Row],[Reference Year]],Inflation[#All],3,FALSE)))</f>
        <v>7104.2066629023147</v>
      </c>
    </row>
    <row r="1852" spans="1:15" ht="15" customHeight="1" x14ac:dyDescent="0.25">
      <c r="A1852" s="9" t="s">
        <v>295</v>
      </c>
      <c r="B1852" s="9" t="str">
        <f>INDEX(Places[Type],MATCH(Activities[[#This Row],[Jurisdiction]],Places[Jurisdiction],0))</f>
        <v>City</v>
      </c>
      <c r="C1852" s="19" t="str">
        <f>INDEX(Places[County],MATCH(Activities[[#This Row],[Jurisdiction]],Places[Jurisdiction],0))</f>
        <v>Orange</v>
      </c>
      <c r="D1852" s="9" t="str">
        <f>INDEX(Places[Majority RB],MATCH(Activities[[#This Row],[Jurisdiction]],Places[Jurisdiction],0))</f>
        <v>Santa Ana</v>
      </c>
      <c r="E1852" s="9">
        <f>INDEX(Places[Majority RB '#],MATCH(Activities[[#This Row],[Jurisdiction]],Places[Jurisdiction],0))</f>
        <v>8</v>
      </c>
      <c r="F1852" s="28" t="str">
        <f>VLOOKUP(Activities[[#This Row],[Jurisdiction]],Places[#All],8,FALSE)</f>
        <v>Phase I MS4</v>
      </c>
      <c r="G1852" s="48" t="s">
        <v>1007</v>
      </c>
      <c r="H1852" s="8"/>
      <c r="I1852" s="8"/>
      <c r="J1852" s="8" t="s">
        <v>71</v>
      </c>
      <c r="K1852" s="27" t="s">
        <v>1875</v>
      </c>
      <c r="L1852" s="28">
        <f>_xlfn.NUMBERVALUE(LEFT(Activities[[#This Row],[Fiscal Year]], 4))</f>
        <v>2001</v>
      </c>
      <c r="M1852" s="28" t="s">
        <v>1862</v>
      </c>
      <c r="N1852" s="41">
        <v>15000</v>
      </c>
      <c r="O1852" s="93">
        <f>IF(Activities[[#This Row],[Reference Year]]&gt;2018,Activities[[#This Row],[Value]],Activities[[#This Row],[Value]]*(1+VLOOKUP(Activities[[#This Row],[Reference Year]],Inflation[#All],3,FALSE)))</f>
        <v>21312.619988706945</v>
      </c>
    </row>
    <row r="1853" spans="1:15" ht="15" customHeight="1" x14ac:dyDescent="0.25">
      <c r="A1853" s="9" t="s">
        <v>295</v>
      </c>
      <c r="B1853" s="9" t="str">
        <f>INDEX(Places[Type],MATCH(Activities[[#This Row],[Jurisdiction]],Places[Jurisdiction],0))</f>
        <v>City</v>
      </c>
      <c r="C1853" s="19" t="str">
        <f>INDEX(Places[County],MATCH(Activities[[#This Row],[Jurisdiction]],Places[Jurisdiction],0))</f>
        <v>Orange</v>
      </c>
      <c r="D1853" s="9" t="str">
        <f>INDEX(Places[Majority RB],MATCH(Activities[[#This Row],[Jurisdiction]],Places[Jurisdiction],0))</f>
        <v>Santa Ana</v>
      </c>
      <c r="E1853" s="9">
        <f>INDEX(Places[Majority RB '#],MATCH(Activities[[#This Row],[Jurisdiction]],Places[Jurisdiction],0))</f>
        <v>8</v>
      </c>
      <c r="F1853" s="28" t="str">
        <f>VLOOKUP(Activities[[#This Row],[Jurisdiction]],Places[#All],8,FALSE)</f>
        <v>Phase I MS4</v>
      </c>
      <c r="G1853" s="48" t="s">
        <v>997</v>
      </c>
      <c r="H1853" s="8" t="s">
        <v>593</v>
      </c>
      <c r="I1853" s="8" t="s">
        <v>594</v>
      </c>
      <c r="J1853" s="8" t="s">
        <v>1897</v>
      </c>
      <c r="K1853" s="27" t="s">
        <v>1875</v>
      </c>
      <c r="L1853" s="28">
        <f>_xlfn.NUMBERVALUE(LEFT(Activities[[#This Row],[Fiscal Year]], 4))</f>
        <v>2001</v>
      </c>
      <c r="M1853" s="28" t="s">
        <v>1862</v>
      </c>
      <c r="N1853" s="41">
        <v>5500</v>
      </c>
      <c r="O1853" s="93">
        <f>IF(Activities[[#This Row],[Reference Year]]&gt;2018,Activities[[#This Row],[Value]],Activities[[#This Row],[Value]]*(1+VLOOKUP(Activities[[#This Row],[Reference Year]],Inflation[#All],3,FALSE)))</f>
        <v>7814.6273291925463</v>
      </c>
    </row>
    <row r="1854" spans="1:15" ht="15" customHeight="1" x14ac:dyDescent="0.25">
      <c r="A1854" s="9" t="s">
        <v>295</v>
      </c>
      <c r="B1854" s="9" t="str">
        <f>INDEX(Places[Type],MATCH(Activities[[#This Row],[Jurisdiction]],Places[Jurisdiction],0))</f>
        <v>City</v>
      </c>
      <c r="C1854" s="19" t="str">
        <f>INDEX(Places[County],MATCH(Activities[[#This Row],[Jurisdiction]],Places[Jurisdiction],0))</f>
        <v>Orange</v>
      </c>
      <c r="D1854" s="9" t="str">
        <f>INDEX(Places[Majority RB],MATCH(Activities[[#This Row],[Jurisdiction]],Places[Jurisdiction],0))</f>
        <v>Santa Ana</v>
      </c>
      <c r="E1854" s="9">
        <f>INDEX(Places[Majority RB '#],MATCH(Activities[[#This Row],[Jurisdiction]],Places[Jurisdiction],0))</f>
        <v>8</v>
      </c>
      <c r="F1854" s="28" t="str">
        <f>VLOOKUP(Activities[[#This Row],[Jurisdiction]],Places[#All],8,FALSE)</f>
        <v>Phase I MS4</v>
      </c>
      <c r="G1854" s="48" t="s">
        <v>998</v>
      </c>
      <c r="H1854" s="8" t="s">
        <v>504</v>
      </c>
      <c r="I1854" s="8"/>
      <c r="J1854" s="8" t="s">
        <v>1897</v>
      </c>
      <c r="K1854" s="27" t="s">
        <v>1875</v>
      </c>
      <c r="L1854" s="28">
        <f>_xlfn.NUMBERVALUE(LEFT(Activities[[#This Row],[Fiscal Year]], 4))</f>
        <v>2001</v>
      </c>
      <c r="M1854" s="28" t="s">
        <v>1862</v>
      </c>
      <c r="N1854" s="41">
        <v>12000</v>
      </c>
      <c r="O1854" s="93">
        <f>IF(Activities[[#This Row],[Reference Year]]&gt;2018,Activities[[#This Row],[Value]],Activities[[#This Row],[Value]]*(1+VLOOKUP(Activities[[#This Row],[Reference Year]],Inflation[#All],3,FALSE)))</f>
        <v>17050.095990965554</v>
      </c>
    </row>
    <row r="1855" spans="1:15" ht="15" customHeight="1" x14ac:dyDescent="0.25">
      <c r="A1855" s="9" t="s">
        <v>295</v>
      </c>
      <c r="B1855" s="9" t="str">
        <f>INDEX(Places[Type],MATCH(Activities[[#This Row],[Jurisdiction]],Places[Jurisdiction],0))</f>
        <v>City</v>
      </c>
      <c r="C1855" s="19" t="str">
        <f>INDEX(Places[County],MATCH(Activities[[#This Row],[Jurisdiction]],Places[Jurisdiction],0))</f>
        <v>Orange</v>
      </c>
      <c r="D1855" s="9" t="str">
        <f>INDEX(Places[Majority RB],MATCH(Activities[[#This Row],[Jurisdiction]],Places[Jurisdiction],0))</f>
        <v>Santa Ana</v>
      </c>
      <c r="E1855" s="9">
        <f>INDEX(Places[Majority RB '#],MATCH(Activities[[#This Row],[Jurisdiction]],Places[Jurisdiction],0))</f>
        <v>8</v>
      </c>
      <c r="F1855" s="28" t="str">
        <f>VLOOKUP(Activities[[#This Row],[Jurisdiction]],Places[#All],8,FALSE)</f>
        <v>Phase I MS4</v>
      </c>
      <c r="G1855" s="48" t="s">
        <v>999</v>
      </c>
      <c r="H1855" s="8" t="s">
        <v>504</v>
      </c>
      <c r="I1855" s="8"/>
      <c r="J1855" s="8" t="s">
        <v>1897</v>
      </c>
      <c r="K1855" s="27" t="s">
        <v>1875</v>
      </c>
      <c r="L1855" s="28">
        <f>_xlfn.NUMBERVALUE(LEFT(Activities[[#This Row],[Fiscal Year]], 4))</f>
        <v>2001</v>
      </c>
      <c r="M1855" s="28" t="s">
        <v>1862</v>
      </c>
      <c r="N1855" s="41">
        <v>80000</v>
      </c>
      <c r="O1855" s="93">
        <f>IF(Activities[[#This Row],[Reference Year]]&gt;2018,Activities[[#This Row],[Value]],Activities[[#This Row],[Value]]*(1+VLOOKUP(Activities[[#This Row],[Reference Year]],Inflation[#All],3,FALSE)))</f>
        <v>113667.30660643704</v>
      </c>
    </row>
    <row r="1856" spans="1:15" ht="15" customHeight="1" x14ac:dyDescent="0.25">
      <c r="A1856" s="9" t="s">
        <v>295</v>
      </c>
      <c r="B1856" s="9" t="str">
        <f>INDEX(Places[Type],MATCH(Activities[[#This Row],[Jurisdiction]],Places[Jurisdiction],0))</f>
        <v>City</v>
      </c>
      <c r="C1856" s="19" t="str">
        <f>INDEX(Places[County],MATCH(Activities[[#This Row],[Jurisdiction]],Places[Jurisdiction],0))</f>
        <v>Orange</v>
      </c>
      <c r="D1856" s="9" t="str">
        <f>INDEX(Places[Majority RB],MATCH(Activities[[#This Row],[Jurisdiction]],Places[Jurisdiction],0))</f>
        <v>Santa Ana</v>
      </c>
      <c r="E1856" s="9">
        <f>INDEX(Places[Majority RB '#],MATCH(Activities[[#This Row],[Jurisdiction]],Places[Jurisdiction],0))</f>
        <v>8</v>
      </c>
      <c r="F1856" s="28" t="str">
        <f>VLOOKUP(Activities[[#This Row],[Jurisdiction]],Places[#All],8,FALSE)</f>
        <v>Phase I MS4</v>
      </c>
      <c r="G1856" s="48" t="s">
        <v>996</v>
      </c>
      <c r="H1856" s="8" t="s">
        <v>504</v>
      </c>
      <c r="I1856" s="8"/>
      <c r="J1856" s="8" t="s">
        <v>1897</v>
      </c>
      <c r="K1856" s="27" t="s">
        <v>1875</v>
      </c>
      <c r="L1856" s="28">
        <f>_xlfn.NUMBERVALUE(LEFT(Activities[[#This Row],[Fiscal Year]], 4))</f>
        <v>2001</v>
      </c>
      <c r="M1856" s="28" t="s">
        <v>1862</v>
      </c>
      <c r="N1856" s="41">
        <v>250000</v>
      </c>
      <c r="O1856" s="93">
        <f>IF(Activities[[#This Row],[Reference Year]]&gt;2018,Activities[[#This Row],[Value]],Activities[[#This Row],[Value]]*(1+VLOOKUP(Activities[[#This Row],[Reference Year]],Inflation[#All],3,FALSE)))</f>
        <v>355210.33314511576</v>
      </c>
    </row>
    <row r="1857" spans="1:15" ht="15" customHeight="1" x14ac:dyDescent="0.25">
      <c r="A1857" s="9" t="s">
        <v>295</v>
      </c>
      <c r="B1857" s="9" t="str">
        <f>INDEX(Places[Type],MATCH(Activities[[#This Row],[Jurisdiction]],Places[Jurisdiction],0))</f>
        <v>City</v>
      </c>
      <c r="C1857" s="19" t="str">
        <f>INDEX(Places[County],MATCH(Activities[[#This Row],[Jurisdiction]],Places[Jurisdiction],0))</f>
        <v>Orange</v>
      </c>
      <c r="D1857" s="9" t="str">
        <f>INDEX(Places[Majority RB],MATCH(Activities[[#This Row],[Jurisdiction]],Places[Jurisdiction],0))</f>
        <v>Santa Ana</v>
      </c>
      <c r="E1857" s="9">
        <f>INDEX(Places[Majority RB '#],MATCH(Activities[[#This Row],[Jurisdiction]],Places[Jurisdiction],0))</f>
        <v>8</v>
      </c>
      <c r="F1857" s="28" t="str">
        <f>VLOOKUP(Activities[[#This Row],[Jurisdiction]],Places[#All],8,FALSE)</f>
        <v>Phase I MS4</v>
      </c>
      <c r="G1857" s="48" t="s">
        <v>1005</v>
      </c>
      <c r="H1857" s="8"/>
      <c r="I1857" s="8"/>
      <c r="J1857" s="8" t="s">
        <v>1898</v>
      </c>
      <c r="K1857" s="27" t="s">
        <v>1875</v>
      </c>
      <c r="L1857" s="28">
        <f>_xlfn.NUMBERVALUE(LEFT(Activities[[#This Row],[Fiscal Year]], 4))</f>
        <v>2001</v>
      </c>
      <c r="M1857" s="28" t="s">
        <v>1862</v>
      </c>
      <c r="N1857" s="41">
        <v>10000</v>
      </c>
      <c r="O1857" s="93">
        <f>IF(Activities[[#This Row],[Reference Year]]&gt;2018,Activities[[#This Row],[Value]],Activities[[#This Row],[Value]]*(1+VLOOKUP(Activities[[#This Row],[Reference Year]],Inflation[#All],3,FALSE)))</f>
        <v>14208.413325804629</v>
      </c>
    </row>
    <row r="1858" spans="1:15" ht="15" customHeight="1" x14ac:dyDescent="0.25">
      <c r="A1858" s="9" t="s">
        <v>295</v>
      </c>
      <c r="B1858" s="9" t="str">
        <f>INDEX(Places[Type],MATCH(Activities[[#This Row],[Jurisdiction]],Places[Jurisdiction],0))</f>
        <v>City</v>
      </c>
      <c r="C1858" s="19" t="str">
        <f>INDEX(Places[County],MATCH(Activities[[#This Row],[Jurisdiction]],Places[Jurisdiction],0))</f>
        <v>Orange</v>
      </c>
      <c r="D1858" s="9" t="str">
        <f>INDEX(Places[Majority RB],MATCH(Activities[[#This Row],[Jurisdiction]],Places[Jurisdiction],0))</f>
        <v>Santa Ana</v>
      </c>
      <c r="E1858" s="9">
        <f>INDEX(Places[Majority RB '#],MATCH(Activities[[#This Row],[Jurisdiction]],Places[Jurisdiction],0))</f>
        <v>8</v>
      </c>
      <c r="F1858" s="28" t="str">
        <f>VLOOKUP(Activities[[#This Row],[Jurisdiction]],Places[#All],8,FALSE)</f>
        <v>Phase I MS4</v>
      </c>
      <c r="G1858" s="48" t="s">
        <v>991</v>
      </c>
      <c r="H1858" s="8" t="s">
        <v>503</v>
      </c>
      <c r="I1858" s="8"/>
      <c r="J1858" s="8" t="s">
        <v>1894</v>
      </c>
      <c r="K1858" s="27" t="s">
        <v>1875</v>
      </c>
      <c r="L1858" s="28">
        <f>_xlfn.NUMBERVALUE(LEFT(Activities[[#This Row],[Fiscal Year]], 4))</f>
        <v>2001</v>
      </c>
      <c r="M1858" s="28" t="s">
        <v>1862</v>
      </c>
      <c r="N1858" s="41">
        <v>40000</v>
      </c>
      <c r="O1858" s="93">
        <f>IF(Activities[[#This Row],[Reference Year]]&gt;2018,Activities[[#This Row],[Value]],Activities[[#This Row],[Value]]*(1+VLOOKUP(Activities[[#This Row],[Reference Year]],Inflation[#All],3,FALSE)))</f>
        <v>56833.653303218518</v>
      </c>
    </row>
    <row r="1859" spans="1:15" ht="15" customHeight="1" x14ac:dyDescent="0.25">
      <c r="A1859" s="9" t="s">
        <v>171</v>
      </c>
      <c r="B1859" s="9" t="str">
        <f>INDEX(Places[Type],MATCH(Activities[[#This Row],[Jurisdiction]],Places[Jurisdiction],0))</f>
        <v>City</v>
      </c>
      <c r="C1859" s="19" t="str">
        <f>INDEX(Places[County],MATCH(Activities[[#This Row],[Jurisdiction]],Places[Jurisdiction],0))</f>
        <v>Los Angeles</v>
      </c>
      <c r="D1859" s="19" t="str">
        <f>INDEX(Places[Majority RB],MATCH(Activities[[#This Row],[Jurisdiction]],Places[Jurisdiction],0))</f>
        <v>Los Angeles</v>
      </c>
      <c r="E1859" s="9">
        <f>INDEX(Places[Majority RB '#],MATCH(Activities[[#This Row],[Jurisdiction]],Places[Jurisdiction],0))</f>
        <v>4</v>
      </c>
      <c r="F1859" s="28" t="str">
        <f>VLOOKUP(Activities[[#This Row],[Jurisdiction]],Places[#All],8,FALSE)</f>
        <v>Phase I MS4</v>
      </c>
      <c r="G1859" s="48" t="s">
        <v>64</v>
      </c>
      <c r="H1859" s="8"/>
      <c r="I1859" s="8"/>
      <c r="J1859" s="8" t="s">
        <v>76</v>
      </c>
      <c r="K1859" s="27" t="s">
        <v>1873</v>
      </c>
      <c r="L1859" s="28">
        <f>_xlfn.NUMBERVALUE(LEFT(Activities[[#This Row],[Fiscal Year]], 4))</f>
        <v>2015</v>
      </c>
      <c r="M1859" s="28" t="s">
        <v>1862</v>
      </c>
      <c r="N1859" s="41">
        <v>75000</v>
      </c>
      <c r="O1859" s="93">
        <f>IF(Activities[[#This Row],[Reference Year]]&gt;2018,Activities[[#This Row],[Value]],Activities[[#This Row],[Value]]*(1+VLOOKUP(Activities[[#This Row],[Reference Year]],Inflation[#All],3,FALSE)))</f>
        <v>79630.063291139231</v>
      </c>
    </row>
    <row r="1860" spans="1:15" ht="15" customHeight="1" x14ac:dyDescent="0.25">
      <c r="A1860" s="9" t="s">
        <v>171</v>
      </c>
      <c r="B1860" s="9" t="str">
        <f>INDEX(Places[Type],MATCH(Activities[[#This Row],[Jurisdiction]],Places[Jurisdiction],0))</f>
        <v>City</v>
      </c>
      <c r="C1860" s="19" t="str">
        <f>INDEX(Places[County],MATCH(Activities[[#This Row],[Jurisdiction]],Places[Jurisdiction],0))</f>
        <v>Los Angeles</v>
      </c>
      <c r="D1860" s="19" t="str">
        <f>INDEX(Places[Majority RB],MATCH(Activities[[#This Row],[Jurisdiction]],Places[Jurisdiction],0))</f>
        <v>Los Angeles</v>
      </c>
      <c r="E1860" s="9">
        <f>INDEX(Places[Majority RB '#],MATCH(Activities[[#This Row],[Jurisdiction]],Places[Jurisdiction],0))</f>
        <v>4</v>
      </c>
      <c r="F1860" s="28" t="str">
        <f>VLOOKUP(Activities[[#This Row],[Jurisdiction]],Places[#All],8,FALSE)</f>
        <v>Phase I MS4</v>
      </c>
      <c r="G1860" s="48" t="s">
        <v>62</v>
      </c>
      <c r="H1860" s="8"/>
      <c r="I1860" s="8"/>
      <c r="J1860" s="8" t="s">
        <v>131</v>
      </c>
      <c r="K1860" s="27" t="s">
        <v>1873</v>
      </c>
      <c r="L1860" s="28">
        <f>_xlfn.NUMBERVALUE(LEFT(Activities[[#This Row],[Fiscal Year]], 4))</f>
        <v>2015</v>
      </c>
      <c r="M1860" s="28" t="s">
        <v>1862</v>
      </c>
      <c r="N1860" s="41">
        <v>5000</v>
      </c>
      <c r="O1860" s="93">
        <f>IF(Activities[[#This Row],[Reference Year]]&gt;2018,Activities[[#This Row],[Value]],Activities[[#This Row],[Value]]*(1+VLOOKUP(Activities[[#This Row],[Reference Year]],Inflation[#All],3,FALSE)))</f>
        <v>5308.6708860759491</v>
      </c>
    </row>
    <row r="1861" spans="1:15" ht="15" customHeight="1" x14ac:dyDescent="0.25">
      <c r="A1861" s="9" t="s">
        <v>171</v>
      </c>
      <c r="B1861" s="9" t="str">
        <f>INDEX(Places[Type],MATCH(Activities[[#This Row],[Jurisdiction]],Places[Jurisdiction],0))</f>
        <v>City</v>
      </c>
      <c r="C1861" s="19" t="str">
        <f>INDEX(Places[County],MATCH(Activities[[#This Row],[Jurisdiction]],Places[Jurisdiction],0))</f>
        <v>Los Angeles</v>
      </c>
      <c r="D1861" s="19" t="str">
        <f>INDEX(Places[Majority RB],MATCH(Activities[[#This Row],[Jurisdiction]],Places[Jurisdiction],0))</f>
        <v>Los Angeles</v>
      </c>
      <c r="E1861" s="9">
        <f>INDEX(Places[Majority RB '#],MATCH(Activities[[#This Row],[Jurisdiction]],Places[Jurisdiction],0))</f>
        <v>4</v>
      </c>
      <c r="F1861" s="28" t="str">
        <f>VLOOKUP(Activities[[#This Row],[Jurisdiction]],Places[#All],8,FALSE)</f>
        <v>Phase I MS4</v>
      </c>
      <c r="G1861" s="48" t="s">
        <v>208</v>
      </c>
      <c r="H1861" s="8"/>
      <c r="I1861" s="8"/>
      <c r="J1861" s="8" t="s">
        <v>334</v>
      </c>
      <c r="K1861" s="27" t="s">
        <v>1873</v>
      </c>
      <c r="L1861" s="28">
        <f>_xlfn.NUMBERVALUE(LEFT(Activities[[#This Row],[Fiscal Year]], 4))</f>
        <v>2015</v>
      </c>
      <c r="M1861" s="28" t="s">
        <v>1862</v>
      </c>
      <c r="N1861" s="41">
        <v>75000</v>
      </c>
      <c r="O1861" s="93">
        <f>IF(Activities[[#This Row],[Reference Year]]&gt;2018,Activities[[#This Row],[Value]],Activities[[#This Row],[Value]]*(1+VLOOKUP(Activities[[#This Row],[Reference Year]],Inflation[#All],3,FALSE)))</f>
        <v>79630.063291139231</v>
      </c>
    </row>
    <row r="1862" spans="1:15" ht="15" customHeight="1" x14ac:dyDescent="0.25">
      <c r="A1862" s="9" t="s">
        <v>171</v>
      </c>
      <c r="B1862" s="9" t="str">
        <f>INDEX(Places[Type],MATCH(Activities[[#This Row],[Jurisdiction]],Places[Jurisdiction],0))</f>
        <v>City</v>
      </c>
      <c r="C1862" s="19" t="str">
        <f>INDEX(Places[County],MATCH(Activities[[#This Row],[Jurisdiction]],Places[Jurisdiction],0))</f>
        <v>Los Angeles</v>
      </c>
      <c r="D1862" s="19" t="str">
        <f>INDEX(Places[Majority RB],MATCH(Activities[[#This Row],[Jurisdiction]],Places[Jurisdiction],0))</f>
        <v>Los Angeles</v>
      </c>
      <c r="E1862" s="9">
        <f>INDEX(Places[Majority RB '#],MATCH(Activities[[#This Row],[Jurisdiction]],Places[Jurisdiction],0))</f>
        <v>4</v>
      </c>
      <c r="F1862" s="28" t="str">
        <f>VLOOKUP(Activities[[#This Row],[Jurisdiction]],Places[#All],8,FALSE)</f>
        <v>Phase I MS4</v>
      </c>
      <c r="G1862" s="48" t="s">
        <v>61</v>
      </c>
      <c r="H1862" s="8"/>
      <c r="I1862" s="8"/>
      <c r="J1862" s="8" t="s">
        <v>1897</v>
      </c>
      <c r="K1862" s="27" t="s">
        <v>1873</v>
      </c>
      <c r="L1862" s="28">
        <f>_xlfn.NUMBERVALUE(LEFT(Activities[[#This Row],[Fiscal Year]], 4))</f>
        <v>2015</v>
      </c>
      <c r="M1862" s="28" t="s">
        <v>1862</v>
      </c>
      <c r="N1862" s="41">
        <v>250000</v>
      </c>
      <c r="O1862" s="93">
        <f>IF(Activities[[#This Row],[Reference Year]]&gt;2018,Activities[[#This Row],[Value]],Activities[[#This Row],[Value]]*(1+VLOOKUP(Activities[[#This Row],[Reference Year]],Inflation[#All],3,FALSE)))</f>
        <v>265433.54430379748</v>
      </c>
    </row>
    <row r="1863" spans="1:15" ht="15" customHeight="1" x14ac:dyDescent="0.25">
      <c r="A1863" s="9" t="s">
        <v>171</v>
      </c>
      <c r="B1863" s="9" t="str">
        <f>INDEX(Places[Type],MATCH(Activities[[#This Row],[Jurisdiction]],Places[Jurisdiction],0))</f>
        <v>City</v>
      </c>
      <c r="C1863" s="19" t="str">
        <f>INDEX(Places[County],MATCH(Activities[[#This Row],[Jurisdiction]],Places[Jurisdiction],0))</f>
        <v>Los Angeles</v>
      </c>
      <c r="D1863" s="19" t="str">
        <f>INDEX(Places[Majority RB],MATCH(Activities[[#This Row],[Jurisdiction]],Places[Jurisdiction],0))</f>
        <v>Los Angeles</v>
      </c>
      <c r="E1863" s="9">
        <f>INDEX(Places[Majority RB '#],MATCH(Activities[[#This Row],[Jurisdiction]],Places[Jurisdiction],0))</f>
        <v>4</v>
      </c>
      <c r="F1863" s="28" t="str">
        <f>VLOOKUP(Activities[[#This Row],[Jurisdiction]],Places[#All],8,FALSE)</f>
        <v>Phase I MS4</v>
      </c>
      <c r="G1863" s="48" t="s">
        <v>59</v>
      </c>
      <c r="H1863" s="8"/>
      <c r="I1863" s="8"/>
      <c r="J1863" s="8" t="s">
        <v>1898</v>
      </c>
      <c r="K1863" s="27" t="s">
        <v>1873</v>
      </c>
      <c r="L1863" s="28">
        <f>_xlfn.NUMBERVALUE(LEFT(Activities[[#This Row],[Fiscal Year]], 4))</f>
        <v>2015</v>
      </c>
      <c r="M1863" s="28" t="s">
        <v>1862</v>
      </c>
      <c r="N1863" s="41">
        <v>10000</v>
      </c>
      <c r="O1863" s="93">
        <f>IF(Activities[[#This Row],[Reference Year]]&gt;2018,Activities[[#This Row],[Value]],Activities[[#This Row],[Value]]*(1+VLOOKUP(Activities[[#This Row],[Reference Year]],Inflation[#All],3,FALSE)))</f>
        <v>10617.341772151898</v>
      </c>
    </row>
    <row r="1864" spans="1:15" ht="15" customHeight="1" x14ac:dyDescent="0.25">
      <c r="A1864" s="9" t="s">
        <v>171</v>
      </c>
      <c r="B1864" s="9" t="str">
        <f>INDEX(Places[Type],MATCH(Activities[[#This Row],[Jurisdiction]],Places[Jurisdiction],0))</f>
        <v>City</v>
      </c>
      <c r="C1864" s="19" t="str">
        <f>INDEX(Places[County],MATCH(Activities[[#This Row],[Jurisdiction]],Places[Jurisdiction],0))</f>
        <v>Los Angeles</v>
      </c>
      <c r="D1864" s="19" t="str">
        <f>INDEX(Places[Majority RB],MATCH(Activities[[#This Row],[Jurisdiction]],Places[Jurisdiction],0))</f>
        <v>Los Angeles</v>
      </c>
      <c r="E1864" s="9">
        <f>INDEX(Places[Majority RB '#],MATCH(Activities[[#This Row],[Jurisdiction]],Places[Jurisdiction],0))</f>
        <v>4</v>
      </c>
      <c r="F1864" s="28" t="str">
        <f>VLOOKUP(Activities[[#This Row],[Jurisdiction]],Places[#All],8,FALSE)</f>
        <v>Phase I MS4</v>
      </c>
      <c r="G1864" s="48" t="s">
        <v>60</v>
      </c>
      <c r="H1864" s="8"/>
      <c r="I1864" s="8"/>
      <c r="J1864" s="8" t="s">
        <v>1898</v>
      </c>
      <c r="K1864" s="27" t="s">
        <v>1873</v>
      </c>
      <c r="L1864" s="28">
        <f>_xlfn.NUMBERVALUE(LEFT(Activities[[#This Row],[Fiscal Year]], 4))</f>
        <v>2015</v>
      </c>
      <c r="M1864" s="28" t="s">
        <v>1862</v>
      </c>
      <c r="N1864" s="41">
        <v>15000</v>
      </c>
      <c r="O1864" s="93">
        <f>IF(Activities[[#This Row],[Reference Year]]&gt;2018,Activities[[#This Row],[Value]],Activities[[#This Row],[Value]]*(1+VLOOKUP(Activities[[#This Row],[Reference Year]],Inflation[#All],3,FALSE)))</f>
        <v>15926.012658227848</v>
      </c>
    </row>
    <row r="1865" spans="1:15" ht="15" customHeight="1" x14ac:dyDescent="0.25">
      <c r="A1865" s="9" t="s">
        <v>171</v>
      </c>
      <c r="B1865" s="9" t="str">
        <f>INDEX(Places[Type],MATCH(Activities[[#This Row],[Jurisdiction]],Places[Jurisdiction],0))</f>
        <v>City</v>
      </c>
      <c r="C1865" s="19" t="str">
        <f>INDEX(Places[County],MATCH(Activities[[#This Row],[Jurisdiction]],Places[Jurisdiction],0))</f>
        <v>Los Angeles</v>
      </c>
      <c r="D1865" s="19" t="str">
        <f>INDEX(Places[Majority RB],MATCH(Activities[[#This Row],[Jurisdiction]],Places[Jurisdiction],0))</f>
        <v>Los Angeles</v>
      </c>
      <c r="E1865" s="9">
        <f>INDEX(Places[Majority RB '#],MATCH(Activities[[#This Row],[Jurisdiction]],Places[Jurisdiction],0))</f>
        <v>4</v>
      </c>
      <c r="F1865" s="28" t="str">
        <f>VLOOKUP(Activities[[#This Row],[Jurisdiction]],Places[#All],8,FALSE)</f>
        <v>Phase I MS4</v>
      </c>
      <c r="G1865" s="48" t="s">
        <v>58</v>
      </c>
      <c r="H1865" s="8"/>
      <c r="I1865" s="8"/>
      <c r="J1865" s="8" t="s">
        <v>1456</v>
      </c>
      <c r="K1865" s="27" t="s">
        <v>1873</v>
      </c>
      <c r="L1865" s="28">
        <f>_xlfn.NUMBERVALUE(LEFT(Activities[[#This Row],[Fiscal Year]], 4))</f>
        <v>2015</v>
      </c>
      <c r="M1865" s="28" t="s">
        <v>1862</v>
      </c>
      <c r="N1865" s="41">
        <v>20000</v>
      </c>
      <c r="O1865" s="93">
        <f>IF(Activities[[#This Row],[Reference Year]]&gt;2018,Activities[[#This Row],[Value]],Activities[[#This Row],[Value]]*(1+VLOOKUP(Activities[[#This Row],[Reference Year]],Inflation[#All],3,FALSE)))</f>
        <v>21234.683544303796</v>
      </c>
    </row>
    <row r="1866" spans="1:15" ht="15" customHeight="1" x14ac:dyDescent="0.25">
      <c r="A1866" s="9" t="s">
        <v>171</v>
      </c>
      <c r="B1866" s="9" t="str">
        <f>INDEX(Places[Type],MATCH(Activities[[#This Row],[Jurisdiction]],Places[Jurisdiction],0))</f>
        <v>City</v>
      </c>
      <c r="C1866" s="19" t="str">
        <f>INDEX(Places[County],MATCH(Activities[[#This Row],[Jurisdiction]],Places[Jurisdiction],0))</f>
        <v>Los Angeles</v>
      </c>
      <c r="D1866" s="19" t="str">
        <f>INDEX(Places[Majority RB],MATCH(Activities[[#This Row],[Jurisdiction]],Places[Jurisdiction],0))</f>
        <v>Los Angeles</v>
      </c>
      <c r="E1866" s="9">
        <f>INDEX(Places[Majority RB '#],MATCH(Activities[[#This Row],[Jurisdiction]],Places[Jurisdiction],0))</f>
        <v>4</v>
      </c>
      <c r="F1866" s="28" t="str">
        <f>VLOOKUP(Activities[[#This Row],[Jurisdiction]],Places[#All],8,FALSE)</f>
        <v>Phase I MS4</v>
      </c>
      <c r="G1866" s="48" t="s">
        <v>32</v>
      </c>
      <c r="H1866" s="8"/>
      <c r="I1866" s="8"/>
      <c r="J1866" s="8" t="s">
        <v>1894</v>
      </c>
      <c r="K1866" s="27" t="s">
        <v>1873</v>
      </c>
      <c r="L1866" s="28">
        <f>_xlfn.NUMBERVALUE(LEFT(Activities[[#This Row],[Fiscal Year]], 4))</f>
        <v>2015</v>
      </c>
      <c r="M1866" s="28" t="s">
        <v>1862</v>
      </c>
      <c r="N1866" s="41">
        <v>30000</v>
      </c>
      <c r="O1866" s="93">
        <f>IF(Activities[[#This Row],[Reference Year]]&gt;2018,Activities[[#This Row],[Value]],Activities[[#This Row],[Value]]*(1+VLOOKUP(Activities[[#This Row],[Reference Year]],Inflation[#All],3,FALSE)))</f>
        <v>31852.025316455696</v>
      </c>
    </row>
    <row r="1867" spans="1:15" ht="15" customHeight="1" x14ac:dyDescent="0.25">
      <c r="A1867" s="9" t="s">
        <v>171</v>
      </c>
      <c r="B1867" s="9" t="str">
        <f>INDEX(Places[Type],MATCH(Activities[[#This Row],[Jurisdiction]],Places[Jurisdiction],0))</f>
        <v>City</v>
      </c>
      <c r="C1867" s="19" t="str">
        <f>INDEX(Places[County],MATCH(Activities[[#This Row],[Jurisdiction]],Places[Jurisdiction],0))</f>
        <v>Los Angeles</v>
      </c>
      <c r="D1867" s="19" t="str">
        <f>INDEX(Places[Majority RB],MATCH(Activities[[#This Row],[Jurisdiction]],Places[Jurisdiction],0))</f>
        <v>Los Angeles</v>
      </c>
      <c r="E1867" s="9">
        <f>INDEX(Places[Majority RB '#],MATCH(Activities[[#This Row],[Jurisdiction]],Places[Jurisdiction],0))</f>
        <v>4</v>
      </c>
      <c r="F1867" s="28" t="str">
        <f>VLOOKUP(Activities[[#This Row],[Jurisdiction]],Places[#All],8,FALSE)</f>
        <v>Phase I MS4</v>
      </c>
      <c r="G1867" s="48" t="s">
        <v>67</v>
      </c>
      <c r="H1867" s="8" t="s">
        <v>920</v>
      </c>
      <c r="I1867" s="8"/>
      <c r="J1867" s="8" t="s">
        <v>1896</v>
      </c>
      <c r="K1867" s="27" t="s">
        <v>1873</v>
      </c>
      <c r="L1867" s="28">
        <f>_xlfn.NUMBERVALUE(LEFT(Activities[[#This Row],[Fiscal Year]], 4))</f>
        <v>2015</v>
      </c>
      <c r="M1867" s="28" t="s">
        <v>1862</v>
      </c>
      <c r="N1867" s="41">
        <v>125000</v>
      </c>
      <c r="O1867" s="93">
        <f>IF(Activities[[#This Row],[Reference Year]]&gt;2018,Activities[[#This Row],[Value]],Activities[[#This Row],[Value]]*(1+VLOOKUP(Activities[[#This Row],[Reference Year]],Inflation[#All],3,FALSE)))</f>
        <v>132716.77215189874</v>
      </c>
    </row>
    <row r="1868" spans="1:15" ht="15" customHeight="1" x14ac:dyDescent="0.25">
      <c r="A1868" s="9" t="s">
        <v>171</v>
      </c>
      <c r="B1868" s="9" t="str">
        <f>INDEX(Places[Type],MATCH(Activities[[#This Row],[Jurisdiction]],Places[Jurisdiction],0))</f>
        <v>City</v>
      </c>
      <c r="C1868" s="19" t="str">
        <f>INDEX(Places[County],MATCH(Activities[[#This Row],[Jurisdiction]],Places[Jurisdiction],0))</f>
        <v>Los Angeles</v>
      </c>
      <c r="D1868" s="19" t="str">
        <f>INDEX(Places[Majority RB],MATCH(Activities[[#This Row],[Jurisdiction]],Places[Jurisdiction],0))</f>
        <v>Los Angeles</v>
      </c>
      <c r="E1868" s="9">
        <f>INDEX(Places[Majority RB '#],MATCH(Activities[[#This Row],[Jurisdiction]],Places[Jurisdiction],0))</f>
        <v>4</v>
      </c>
      <c r="F1868" s="28" t="str">
        <f>VLOOKUP(Activities[[#This Row],[Jurisdiction]],Places[#All],8,FALSE)</f>
        <v>Phase I MS4</v>
      </c>
      <c r="G1868" s="48" t="s">
        <v>33</v>
      </c>
      <c r="H1868" s="8"/>
      <c r="I1868" s="8"/>
      <c r="J1868" s="8" t="s">
        <v>47</v>
      </c>
      <c r="K1868" s="27" t="s">
        <v>1873</v>
      </c>
      <c r="L1868" s="28">
        <f>_xlfn.NUMBERVALUE(LEFT(Activities[[#This Row],[Fiscal Year]], 4))</f>
        <v>2015</v>
      </c>
      <c r="M1868" s="28" t="s">
        <v>1862</v>
      </c>
      <c r="N1868" s="41">
        <v>5000</v>
      </c>
      <c r="O1868" s="93">
        <f>IF(Activities[[#This Row],[Reference Year]]&gt;2018,Activities[[#This Row],[Value]],Activities[[#This Row],[Value]]*(1+VLOOKUP(Activities[[#This Row],[Reference Year]],Inflation[#All],3,FALSE)))</f>
        <v>5308.6708860759491</v>
      </c>
    </row>
    <row r="1869" spans="1:15" ht="15" customHeight="1" x14ac:dyDescent="0.25">
      <c r="A1869" s="9" t="s">
        <v>299</v>
      </c>
      <c r="B1869" s="9" t="str">
        <f>INDEX(Places[Type],MATCH(Activities[[#This Row],[Jurisdiction]],Places[Jurisdiction],0))</f>
        <v>City</v>
      </c>
      <c r="C1869" s="19" t="str">
        <f>INDEX(Places[County],MATCH(Activities[[#This Row],[Jurisdiction]],Places[Jurisdiction],0))</f>
        <v>Riverside</v>
      </c>
      <c r="D1869" s="9" t="str">
        <f>INDEX(Places[Majority RB],MATCH(Activities[[#This Row],[Jurisdiction]],Places[Jurisdiction],0))</f>
        <v>San Diego</v>
      </c>
      <c r="E1869" s="9">
        <f>INDEX(Places[Majority RB '#],MATCH(Activities[[#This Row],[Jurisdiction]],Places[Jurisdiction],0))</f>
        <v>9</v>
      </c>
      <c r="F1869" s="28" t="str">
        <f>VLOOKUP(Activities[[#This Row],[Jurisdiction]],Places[#All],8,FALSE)</f>
        <v>Phase I MS4</v>
      </c>
      <c r="G1869" s="48" t="s">
        <v>320</v>
      </c>
      <c r="H1869" s="8"/>
      <c r="I1869" s="8"/>
      <c r="J1869" s="8" t="s">
        <v>1894</v>
      </c>
      <c r="K1869" s="27" t="s">
        <v>1874</v>
      </c>
      <c r="L1869" s="28">
        <f>_xlfn.NUMBERVALUE(LEFT(Activities[[#This Row],[Fiscal Year]], 4))</f>
        <v>2017</v>
      </c>
      <c r="M1869" s="28" t="s">
        <v>1862</v>
      </c>
      <c r="N1869" s="41">
        <v>14230</v>
      </c>
      <c r="O1869" s="93">
        <f>IF(Activities[[#This Row],[Reference Year]]&gt;2018,Activities[[#This Row],[Value]],Activities[[#This Row],[Value]]*(1+VLOOKUP(Activities[[#This Row],[Reference Year]],Inflation[#All],3,FALSE)))</f>
        <v>14609.176376988986</v>
      </c>
    </row>
    <row r="1870" spans="1:15" ht="15" customHeight="1" x14ac:dyDescent="0.25">
      <c r="A1870" s="9" t="s">
        <v>299</v>
      </c>
      <c r="B1870" s="9" t="str">
        <f>INDEX(Places[Type],MATCH(Activities[[#This Row],[Jurisdiction]],Places[Jurisdiction],0))</f>
        <v>City</v>
      </c>
      <c r="C1870" s="19" t="str">
        <f>INDEX(Places[County],MATCH(Activities[[#This Row],[Jurisdiction]],Places[Jurisdiction],0))</f>
        <v>Riverside</v>
      </c>
      <c r="D1870" s="9" t="str">
        <f>INDEX(Places[Majority RB],MATCH(Activities[[#This Row],[Jurisdiction]],Places[Jurisdiction],0))</f>
        <v>San Diego</v>
      </c>
      <c r="E1870" s="9">
        <f>INDEX(Places[Majority RB '#],MATCH(Activities[[#This Row],[Jurisdiction]],Places[Jurisdiction],0))</f>
        <v>9</v>
      </c>
      <c r="F1870" s="28" t="str">
        <f>VLOOKUP(Activities[[#This Row],[Jurisdiction]],Places[#All],8,FALSE)</f>
        <v>Phase I MS4</v>
      </c>
      <c r="G1870" s="48" t="s">
        <v>32</v>
      </c>
      <c r="H1870" s="8"/>
      <c r="I1870" s="47" t="s">
        <v>577</v>
      </c>
      <c r="J1870" s="8" t="s">
        <v>1894</v>
      </c>
      <c r="K1870" s="27" t="s">
        <v>1874</v>
      </c>
      <c r="L1870" s="28">
        <f>_xlfn.NUMBERVALUE(LEFT(Activities[[#This Row],[Fiscal Year]], 4))</f>
        <v>2017</v>
      </c>
      <c r="M1870" s="28" t="s">
        <v>1862</v>
      </c>
      <c r="N1870" s="41">
        <v>30902.5</v>
      </c>
      <c r="O1870" s="93">
        <f>IF(Activities[[#This Row],[Reference Year]]&gt;2018,Activities[[#This Row],[Value]],Activities[[#This Row],[Value]]*(1+VLOOKUP(Activities[[#This Row],[Reference Year]],Inflation[#All],3,FALSE)))</f>
        <v>31725.936260709917</v>
      </c>
    </row>
    <row r="1871" spans="1:15" ht="15" customHeight="1" x14ac:dyDescent="0.25">
      <c r="A1871" s="9" t="s">
        <v>299</v>
      </c>
      <c r="B1871" s="9" t="str">
        <f>INDEX(Places[Type],MATCH(Activities[[#This Row],[Jurisdiction]],Places[Jurisdiction],0))</f>
        <v>City</v>
      </c>
      <c r="C1871" s="19" t="str">
        <f>INDEX(Places[County],MATCH(Activities[[#This Row],[Jurisdiction]],Places[Jurisdiction],0))</f>
        <v>Riverside</v>
      </c>
      <c r="D1871" s="9" t="str">
        <f>INDEX(Places[Majority RB],MATCH(Activities[[#This Row],[Jurisdiction]],Places[Jurisdiction],0))</f>
        <v>San Diego</v>
      </c>
      <c r="E1871" s="9">
        <f>INDEX(Places[Majority RB '#],MATCH(Activities[[#This Row],[Jurisdiction]],Places[Jurisdiction],0))</f>
        <v>9</v>
      </c>
      <c r="F1871" s="28" t="str">
        <f>VLOOKUP(Activities[[#This Row],[Jurisdiction]],Places[#All],8,FALSE)</f>
        <v>Phase I MS4</v>
      </c>
      <c r="G1871" s="48" t="s">
        <v>321</v>
      </c>
      <c r="H1871" s="8"/>
      <c r="I1871" s="8"/>
      <c r="J1871" s="8" t="s">
        <v>1896</v>
      </c>
      <c r="K1871" s="27" t="s">
        <v>1874</v>
      </c>
      <c r="L1871" s="28">
        <f>_xlfn.NUMBERVALUE(LEFT(Activities[[#This Row],[Fiscal Year]], 4))</f>
        <v>2017</v>
      </c>
      <c r="M1871" s="28" t="s">
        <v>1862</v>
      </c>
      <c r="N1871" s="41">
        <v>105380.8</v>
      </c>
      <c r="O1871" s="93">
        <f>IF(Activities[[#This Row],[Reference Year]]&gt;2018,Activities[[#This Row],[Value]],Activities[[#This Row],[Value]]*(1+VLOOKUP(Activities[[#This Row],[Reference Year]],Inflation[#All],3,FALSE)))</f>
        <v>108188.80491554469</v>
      </c>
    </row>
    <row r="1872" spans="1:15" ht="15" customHeight="1" x14ac:dyDescent="0.25">
      <c r="A1872" s="9" t="s">
        <v>299</v>
      </c>
      <c r="B1872" s="9" t="str">
        <f>INDEX(Places[Type],MATCH(Activities[[#This Row],[Jurisdiction]],Places[Jurisdiction],0))</f>
        <v>City</v>
      </c>
      <c r="C1872" s="19" t="str">
        <f>INDEX(Places[County],MATCH(Activities[[#This Row],[Jurisdiction]],Places[Jurisdiction],0))</f>
        <v>Riverside</v>
      </c>
      <c r="D1872" s="9" t="str">
        <f>INDEX(Places[Majority RB],MATCH(Activities[[#This Row],[Jurisdiction]],Places[Jurisdiction],0))</f>
        <v>San Diego</v>
      </c>
      <c r="E1872" s="9">
        <f>INDEX(Places[Majority RB '#],MATCH(Activities[[#This Row],[Jurisdiction]],Places[Jurisdiction],0))</f>
        <v>9</v>
      </c>
      <c r="F1872" s="28" t="str">
        <f>VLOOKUP(Activities[[#This Row],[Jurisdiction]],Places[#All],8,FALSE)</f>
        <v>Phase I MS4</v>
      </c>
      <c r="G1872" s="48" t="s">
        <v>434</v>
      </c>
      <c r="H1872" s="8" t="s">
        <v>1133</v>
      </c>
      <c r="I1872" s="8" t="s">
        <v>429</v>
      </c>
      <c r="J1872" s="8" t="s">
        <v>605</v>
      </c>
      <c r="K1872" s="27" t="s">
        <v>1874</v>
      </c>
      <c r="L1872" s="28">
        <f>_xlfn.NUMBERVALUE(LEFT(Activities[[#This Row],[Fiscal Year]], 4))</f>
        <v>2017</v>
      </c>
      <c r="M1872" s="28" t="s">
        <v>1862</v>
      </c>
      <c r="N1872" s="41">
        <v>28841</v>
      </c>
      <c r="O1872" s="93">
        <f>IF(Activities[[#This Row],[Reference Year]]&gt;2018,Activities[[#This Row],[Value]],Activities[[#This Row],[Value]]*(1+VLOOKUP(Activities[[#This Row],[Reference Year]],Inflation[#All],3,FALSE)))</f>
        <v>29609.504981640152</v>
      </c>
    </row>
    <row r="1873" spans="1:15" ht="15" customHeight="1" x14ac:dyDescent="0.25">
      <c r="A1873" s="9" t="s">
        <v>296</v>
      </c>
      <c r="B1873" s="9" t="str">
        <f>INDEX(Places[Type],MATCH(Activities[[#This Row],[Jurisdiction]],Places[Jurisdiction],0))</f>
        <v>City</v>
      </c>
      <c r="C1873" s="19" t="str">
        <f>INDEX(Places[County],MATCH(Activities[[#This Row],[Jurisdiction]],Places[Jurisdiction],0))</f>
        <v>Orange</v>
      </c>
      <c r="D1873" s="9" t="str">
        <f>INDEX(Places[Majority RB],MATCH(Activities[[#This Row],[Jurisdiction]],Places[Jurisdiction],0))</f>
        <v>Santa Ana</v>
      </c>
      <c r="E1873" s="9">
        <f>INDEX(Places[Majority RB '#],MATCH(Activities[[#This Row],[Jurisdiction]],Places[Jurisdiction],0))</f>
        <v>8</v>
      </c>
      <c r="F1873" s="28" t="str">
        <f>VLOOKUP(Activities[[#This Row],[Jurisdiction]],Places[#All],8,FALSE)</f>
        <v>Phase I MS4</v>
      </c>
      <c r="G1873" s="48" t="s">
        <v>988</v>
      </c>
      <c r="H1873" s="8"/>
      <c r="I1873" s="8"/>
      <c r="J1873" s="8" t="s">
        <v>1895</v>
      </c>
      <c r="K1873" s="27" t="s">
        <v>1875</v>
      </c>
      <c r="L1873" s="28">
        <f>_xlfn.NUMBERVALUE(LEFT(Activities[[#This Row],[Fiscal Year]], 4))</f>
        <v>2001</v>
      </c>
      <c r="M1873" s="28" t="s">
        <v>1862</v>
      </c>
      <c r="N1873" s="41">
        <v>3000</v>
      </c>
      <c r="O1873" s="93">
        <f>IF(Activities[[#This Row],[Reference Year]]&gt;2018,Activities[[#This Row],[Value]],Activities[[#This Row],[Value]]*(1+VLOOKUP(Activities[[#This Row],[Reference Year]],Inflation[#All],3,FALSE)))</f>
        <v>4262.5239977413885</v>
      </c>
    </row>
    <row r="1874" spans="1:15" ht="15" customHeight="1" x14ac:dyDescent="0.25">
      <c r="A1874" s="9" t="s">
        <v>296</v>
      </c>
      <c r="B1874" s="9" t="str">
        <f>INDEX(Places[Type],MATCH(Activities[[#This Row],[Jurisdiction]],Places[Jurisdiction],0))</f>
        <v>City</v>
      </c>
      <c r="C1874" s="19" t="str">
        <f>INDEX(Places[County],MATCH(Activities[[#This Row],[Jurisdiction]],Places[Jurisdiction],0))</f>
        <v>Orange</v>
      </c>
      <c r="D1874" s="9" t="str">
        <f>INDEX(Places[Majority RB],MATCH(Activities[[#This Row],[Jurisdiction]],Places[Jurisdiction],0))</f>
        <v>Santa Ana</v>
      </c>
      <c r="E1874" s="9">
        <f>INDEX(Places[Majority RB '#],MATCH(Activities[[#This Row],[Jurisdiction]],Places[Jurisdiction],0))</f>
        <v>8</v>
      </c>
      <c r="F1874" s="28" t="str">
        <f>VLOOKUP(Activities[[#This Row],[Jurisdiction]],Places[#All],8,FALSE)</f>
        <v>Phase I MS4</v>
      </c>
      <c r="G1874" s="48" t="s">
        <v>1006</v>
      </c>
      <c r="H1874" s="8"/>
      <c r="I1874" s="8"/>
      <c r="J1874" s="8" t="s">
        <v>1895</v>
      </c>
      <c r="K1874" s="27" t="s">
        <v>1875</v>
      </c>
      <c r="L1874" s="28">
        <f>_xlfn.NUMBERVALUE(LEFT(Activities[[#This Row],[Fiscal Year]], 4))</f>
        <v>2001</v>
      </c>
      <c r="M1874" s="28" t="s">
        <v>1862</v>
      </c>
      <c r="N1874" s="41">
        <v>5000</v>
      </c>
      <c r="O1874" s="93">
        <f>IF(Activities[[#This Row],[Reference Year]]&gt;2018,Activities[[#This Row],[Value]],Activities[[#This Row],[Value]]*(1+VLOOKUP(Activities[[#This Row],[Reference Year]],Inflation[#All],3,FALSE)))</f>
        <v>7104.2066629023147</v>
      </c>
    </row>
    <row r="1875" spans="1:15" ht="15" customHeight="1" x14ac:dyDescent="0.25">
      <c r="A1875" s="9" t="s">
        <v>296</v>
      </c>
      <c r="B1875" s="9" t="str">
        <f>INDEX(Places[Type],MATCH(Activities[[#This Row],[Jurisdiction]],Places[Jurisdiction],0))</f>
        <v>City</v>
      </c>
      <c r="C1875" s="19" t="str">
        <f>INDEX(Places[County],MATCH(Activities[[#This Row],[Jurisdiction]],Places[Jurisdiction],0))</f>
        <v>Orange</v>
      </c>
      <c r="D1875" s="9" t="str">
        <f>INDEX(Places[Majority RB],MATCH(Activities[[#This Row],[Jurisdiction]],Places[Jurisdiction],0))</f>
        <v>Santa Ana</v>
      </c>
      <c r="E1875" s="9">
        <f>INDEX(Places[Majority RB '#],MATCH(Activities[[#This Row],[Jurisdiction]],Places[Jurisdiction],0))</f>
        <v>8</v>
      </c>
      <c r="F1875" s="28" t="str">
        <f>VLOOKUP(Activities[[#This Row],[Jurisdiction]],Places[#All],8,FALSE)</f>
        <v>Phase I MS4</v>
      </c>
      <c r="G1875" s="48" t="s">
        <v>1003</v>
      </c>
      <c r="H1875" s="8" t="s">
        <v>506</v>
      </c>
      <c r="I1875" s="8"/>
      <c r="J1875" s="8" t="s">
        <v>131</v>
      </c>
      <c r="K1875" s="27" t="s">
        <v>1875</v>
      </c>
      <c r="L1875" s="28">
        <f>_xlfn.NUMBERVALUE(LEFT(Activities[[#This Row],[Fiscal Year]], 4))</f>
        <v>2001</v>
      </c>
      <c r="M1875" s="28" t="s">
        <v>1862</v>
      </c>
      <c r="N1875" s="41">
        <v>2000</v>
      </c>
      <c r="O1875" s="93">
        <f>IF(Activities[[#This Row],[Reference Year]]&gt;2018,Activities[[#This Row],[Value]],Activities[[#This Row],[Value]]*(1+VLOOKUP(Activities[[#This Row],[Reference Year]],Inflation[#All],3,FALSE)))</f>
        <v>2841.6826651609258</v>
      </c>
    </row>
    <row r="1876" spans="1:15" ht="15" customHeight="1" x14ac:dyDescent="0.25">
      <c r="A1876" s="9" t="s">
        <v>296</v>
      </c>
      <c r="B1876" s="9" t="str">
        <f>INDEX(Places[Type],MATCH(Activities[[#This Row],[Jurisdiction]],Places[Jurisdiction],0))</f>
        <v>City</v>
      </c>
      <c r="C1876" s="19" t="str">
        <f>INDEX(Places[County],MATCH(Activities[[#This Row],[Jurisdiction]],Places[Jurisdiction],0))</f>
        <v>Orange</v>
      </c>
      <c r="D1876" s="9" t="str">
        <f>INDEX(Places[Majority RB],MATCH(Activities[[#This Row],[Jurisdiction]],Places[Jurisdiction],0))</f>
        <v>Santa Ana</v>
      </c>
      <c r="E1876" s="9">
        <f>INDEX(Places[Majority RB '#],MATCH(Activities[[#This Row],[Jurisdiction]],Places[Jurisdiction],0))</f>
        <v>8</v>
      </c>
      <c r="F1876" s="28" t="str">
        <f>VLOOKUP(Activities[[#This Row],[Jurisdiction]],Places[#All],8,FALSE)</f>
        <v>Phase I MS4</v>
      </c>
      <c r="G1876" s="48" t="s">
        <v>1007</v>
      </c>
      <c r="H1876" s="8"/>
      <c r="I1876" s="8"/>
      <c r="J1876" s="8" t="s">
        <v>71</v>
      </c>
      <c r="K1876" s="27" t="s">
        <v>1875</v>
      </c>
      <c r="L1876" s="28">
        <f>_xlfn.NUMBERVALUE(LEFT(Activities[[#This Row],[Fiscal Year]], 4))</f>
        <v>2001</v>
      </c>
      <c r="M1876" s="28" t="s">
        <v>1862</v>
      </c>
      <c r="N1876" s="41">
        <v>8000</v>
      </c>
      <c r="O1876" s="93">
        <f>IF(Activities[[#This Row],[Reference Year]]&gt;2018,Activities[[#This Row],[Value]],Activities[[#This Row],[Value]]*(1+VLOOKUP(Activities[[#This Row],[Reference Year]],Inflation[#All],3,FALSE)))</f>
        <v>11366.730660643703</v>
      </c>
    </row>
    <row r="1877" spans="1:15" ht="15" customHeight="1" x14ac:dyDescent="0.25">
      <c r="A1877" s="9" t="s">
        <v>296</v>
      </c>
      <c r="B1877" s="9" t="str">
        <f>INDEX(Places[Type],MATCH(Activities[[#This Row],[Jurisdiction]],Places[Jurisdiction],0))</f>
        <v>City</v>
      </c>
      <c r="C1877" s="19" t="str">
        <f>INDEX(Places[County],MATCH(Activities[[#This Row],[Jurisdiction]],Places[Jurisdiction],0))</f>
        <v>Orange</v>
      </c>
      <c r="D1877" s="9" t="str">
        <f>INDEX(Places[Majority RB],MATCH(Activities[[#This Row],[Jurisdiction]],Places[Jurisdiction],0))</f>
        <v>Santa Ana</v>
      </c>
      <c r="E1877" s="9">
        <f>INDEX(Places[Majority RB '#],MATCH(Activities[[#This Row],[Jurisdiction]],Places[Jurisdiction],0))</f>
        <v>8</v>
      </c>
      <c r="F1877" s="28" t="str">
        <f>VLOOKUP(Activities[[#This Row],[Jurisdiction]],Places[#All],8,FALSE)</f>
        <v>Phase I MS4</v>
      </c>
      <c r="G1877" s="48" t="s">
        <v>994</v>
      </c>
      <c r="H1877" s="8" t="s">
        <v>504</v>
      </c>
      <c r="I1877" s="8"/>
      <c r="J1877" s="8" t="s">
        <v>71</v>
      </c>
      <c r="K1877" s="27" t="s">
        <v>1875</v>
      </c>
      <c r="L1877" s="28">
        <f>_xlfn.NUMBERVALUE(LEFT(Activities[[#This Row],[Fiscal Year]], 4))</f>
        <v>2001</v>
      </c>
      <c r="M1877" s="28" t="s">
        <v>1862</v>
      </c>
      <c r="N1877" s="41">
        <v>27935</v>
      </c>
      <c r="O1877" s="93">
        <f>IF(Activities[[#This Row],[Reference Year]]&gt;2018,Activities[[#This Row],[Value]],Activities[[#This Row],[Value]]*(1+VLOOKUP(Activities[[#This Row],[Reference Year]],Inflation[#All],3,FALSE)))</f>
        <v>39691.202625635233</v>
      </c>
    </row>
    <row r="1878" spans="1:15" ht="15" customHeight="1" x14ac:dyDescent="0.25">
      <c r="A1878" s="9" t="s">
        <v>296</v>
      </c>
      <c r="B1878" s="9" t="str">
        <f>INDEX(Places[Type],MATCH(Activities[[#This Row],[Jurisdiction]],Places[Jurisdiction],0))</f>
        <v>City</v>
      </c>
      <c r="C1878" s="19" t="str">
        <f>INDEX(Places[County],MATCH(Activities[[#This Row],[Jurisdiction]],Places[Jurisdiction],0))</f>
        <v>Orange</v>
      </c>
      <c r="D1878" s="9" t="str">
        <f>INDEX(Places[Majority RB],MATCH(Activities[[#This Row],[Jurisdiction]],Places[Jurisdiction],0))</f>
        <v>Santa Ana</v>
      </c>
      <c r="E1878" s="9">
        <f>INDEX(Places[Majority RB '#],MATCH(Activities[[#This Row],[Jurisdiction]],Places[Jurisdiction],0))</f>
        <v>8</v>
      </c>
      <c r="F1878" s="28" t="str">
        <f>VLOOKUP(Activities[[#This Row],[Jurisdiction]],Places[#All],8,FALSE)</f>
        <v>Phase I MS4</v>
      </c>
      <c r="G1878" s="48" t="s">
        <v>982</v>
      </c>
      <c r="H1878" s="8" t="s">
        <v>593</v>
      </c>
      <c r="I1878" s="8" t="s">
        <v>594</v>
      </c>
      <c r="J1878" s="8" t="s">
        <v>1897</v>
      </c>
      <c r="K1878" s="27" t="s">
        <v>1875</v>
      </c>
      <c r="L1878" s="28">
        <f>_xlfn.NUMBERVALUE(LEFT(Activities[[#This Row],[Fiscal Year]], 4))</f>
        <v>2001</v>
      </c>
      <c r="M1878" s="28" t="s">
        <v>1862</v>
      </c>
      <c r="N1878" s="41">
        <v>700</v>
      </c>
      <c r="O1878" s="93">
        <f>IF(Activities[[#This Row],[Reference Year]]&gt;2018,Activities[[#This Row],[Value]],Activities[[#This Row],[Value]]*(1+VLOOKUP(Activities[[#This Row],[Reference Year]],Inflation[#All],3,FALSE)))</f>
        <v>994.58893280632412</v>
      </c>
    </row>
    <row r="1879" spans="1:15" ht="15" customHeight="1" x14ac:dyDescent="0.25">
      <c r="A1879" s="9" t="s">
        <v>296</v>
      </c>
      <c r="B1879" s="9" t="str">
        <f>INDEX(Places[Type],MATCH(Activities[[#This Row],[Jurisdiction]],Places[Jurisdiction],0))</f>
        <v>City</v>
      </c>
      <c r="C1879" s="19" t="str">
        <f>INDEX(Places[County],MATCH(Activities[[#This Row],[Jurisdiction]],Places[Jurisdiction],0))</f>
        <v>Orange</v>
      </c>
      <c r="D1879" s="9" t="str">
        <f>INDEX(Places[Majority RB],MATCH(Activities[[#This Row],[Jurisdiction]],Places[Jurisdiction],0))</f>
        <v>Santa Ana</v>
      </c>
      <c r="E1879" s="9">
        <f>INDEX(Places[Majority RB '#],MATCH(Activities[[#This Row],[Jurisdiction]],Places[Jurisdiction],0))</f>
        <v>8</v>
      </c>
      <c r="F1879" s="28" t="str">
        <f>VLOOKUP(Activities[[#This Row],[Jurisdiction]],Places[#All],8,FALSE)</f>
        <v>Phase I MS4</v>
      </c>
      <c r="G1879" s="48" t="s">
        <v>1002</v>
      </c>
      <c r="H1879" s="8" t="s">
        <v>597</v>
      </c>
      <c r="I1879" s="8" t="s">
        <v>594</v>
      </c>
      <c r="J1879" s="8" t="s">
        <v>1897</v>
      </c>
      <c r="K1879" s="27" t="s">
        <v>1875</v>
      </c>
      <c r="L1879" s="28">
        <f>_xlfn.NUMBERVALUE(LEFT(Activities[[#This Row],[Fiscal Year]], 4))</f>
        <v>2001</v>
      </c>
      <c r="M1879" s="28" t="s">
        <v>1862</v>
      </c>
      <c r="N1879" s="41">
        <v>3000</v>
      </c>
      <c r="O1879" s="93">
        <f>IF(Activities[[#This Row],[Reference Year]]&gt;2018,Activities[[#This Row],[Value]],Activities[[#This Row],[Value]]*(1+VLOOKUP(Activities[[#This Row],[Reference Year]],Inflation[#All],3,FALSE)))</f>
        <v>4262.5239977413885</v>
      </c>
    </row>
    <row r="1880" spans="1:15" ht="15" customHeight="1" x14ac:dyDescent="0.25">
      <c r="A1880" s="9" t="s">
        <v>296</v>
      </c>
      <c r="B1880" s="9" t="str">
        <f>INDEX(Places[Type],MATCH(Activities[[#This Row],[Jurisdiction]],Places[Jurisdiction],0))</f>
        <v>City</v>
      </c>
      <c r="C1880" s="19" t="str">
        <f>INDEX(Places[County],MATCH(Activities[[#This Row],[Jurisdiction]],Places[Jurisdiction],0))</f>
        <v>Orange</v>
      </c>
      <c r="D1880" s="9" t="str">
        <f>INDEX(Places[Majority RB],MATCH(Activities[[#This Row],[Jurisdiction]],Places[Jurisdiction],0))</f>
        <v>Santa Ana</v>
      </c>
      <c r="E1880" s="9">
        <f>INDEX(Places[Majority RB '#],MATCH(Activities[[#This Row],[Jurisdiction]],Places[Jurisdiction],0))</f>
        <v>8</v>
      </c>
      <c r="F1880" s="28" t="str">
        <f>VLOOKUP(Activities[[#This Row],[Jurisdiction]],Places[#All],8,FALSE)</f>
        <v>Phase I MS4</v>
      </c>
      <c r="G1880" s="48" t="s">
        <v>995</v>
      </c>
      <c r="H1880" s="8" t="s">
        <v>504</v>
      </c>
      <c r="I1880" s="8"/>
      <c r="J1880" s="8" t="s">
        <v>1897</v>
      </c>
      <c r="K1880" s="27" t="s">
        <v>1875</v>
      </c>
      <c r="L1880" s="28">
        <f>_xlfn.NUMBERVALUE(LEFT(Activities[[#This Row],[Fiscal Year]], 4))</f>
        <v>2001</v>
      </c>
      <c r="M1880" s="28" t="s">
        <v>1862</v>
      </c>
      <c r="N1880" s="41">
        <v>7400</v>
      </c>
      <c r="O1880" s="93">
        <f>IF(Activities[[#This Row],[Reference Year]]&gt;2018,Activities[[#This Row],[Value]],Activities[[#This Row],[Value]]*(1+VLOOKUP(Activities[[#This Row],[Reference Year]],Inflation[#All],3,FALSE)))</f>
        <v>10514.225861095427</v>
      </c>
    </row>
    <row r="1881" spans="1:15" ht="15" customHeight="1" x14ac:dyDescent="0.25">
      <c r="A1881" s="9" t="s">
        <v>296</v>
      </c>
      <c r="B1881" s="9" t="str">
        <f>INDEX(Places[Type],MATCH(Activities[[#This Row],[Jurisdiction]],Places[Jurisdiction],0))</f>
        <v>City</v>
      </c>
      <c r="C1881" s="19" t="str">
        <f>INDEX(Places[County],MATCH(Activities[[#This Row],[Jurisdiction]],Places[Jurisdiction],0))</f>
        <v>Orange</v>
      </c>
      <c r="D1881" s="9" t="str">
        <f>INDEX(Places[Majority RB],MATCH(Activities[[#This Row],[Jurisdiction]],Places[Jurisdiction],0))</f>
        <v>Santa Ana</v>
      </c>
      <c r="E1881" s="9">
        <f>INDEX(Places[Majority RB '#],MATCH(Activities[[#This Row],[Jurisdiction]],Places[Jurisdiction],0))</f>
        <v>8</v>
      </c>
      <c r="F1881" s="28" t="str">
        <f>VLOOKUP(Activities[[#This Row],[Jurisdiction]],Places[#All],8,FALSE)</f>
        <v>Phase I MS4</v>
      </c>
      <c r="G1881" s="48" t="s">
        <v>999</v>
      </c>
      <c r="H1881" s="8" t="s">
        <v>504</v>
      </c>
      <c r="I1881" s="8"/>
      <c r="J1881" s="8" t="s">
        <v>1897</v>
      </c>
      <c r="K1881" s="27" t="s">
        <v>1875</v>
      </c>
      <c r="L1881" s="28">
        <f>_xlfn.NUMBERVALUE(LEFT(Activities[[#This Row],[Fiscal Year]], 4))</f>
        <v>2001</v>
      </c>
      <c r="M1881" s="28" t="s">
        <v>1862</v>
      </c>
      <c r="N1881" s="41">
        <v>10000</v>
      </c>
      <c r="O1881" s="93">
        <f>IF(Activities[[#This Row],[Reference Year]]&gt;2018,Activities[[#This Row],[Value]],Activities[[#This Row],[Value]]*(1+VLOOKUP(Activities[[#This Row],[Reference Year]],Inflation[#All],3,FALSE)))</f>
        <v>14208.413325804629</v>
      </c>
    </row>
    <row r="1882" spans="1:15" ht="15" customHeight="1" x14ac:dyDescent="0.25">
      <c r="A1882" s="9" t="s">
        <v>296</v>
      </c>
      <c r="B1882" s="9" t="str">
        <f>INDEX(Places[Type],MATCH(Activities[[#This Row],[Jurisdiction]],Places[Jurisdiction],0))</f>
        <v>City</v>
      </c>
      <c r="C1882" s="19" t="str">
        <f>INDEX(Places[County],MATCH(Activities[[#This Row],[Jurisdiction]],Places[Jurisdiction],0))</f>
        <v>Orange</v>
      </c>
      <c r="D1882" s="9" t="str">
        <f>INDEX(Places[Majority RB],MATCH(Activities[[#This Row],[Jurisdiction]],Places[Jurisdiction],0))</f>
        <v>Santa Ana</v>
      </c>
      <c r="E1882" s="9">
        <f>INDEX(Places[Majority RB '#],MATCH(Activities[[#This Row],[Jurisdiction]],Places[Jurisdiction],0))</f>
        <v>8</v>
      </c>
      <c r="F1882" s="28" t="str">
        <f>VLOOKUP(Activities[[#This Row],[Jurisdiction]],Places[#All],8,FALSE)</f>
        <v>Phase I MS4</v>
      </c>
      <c r="G1882" s="48" t="s">
        <v>993</v>
      </c>
      <c r="H1882" s="8" t="s">
        <v>602</v>
      </c>
      <c r="I1882" s="8"/>
      <c r="J1882" s="8" t="s">
        <v>1897</v>
      </c>
      <c r="K1882" s="27" t="s">
        <v>1875</v>
      </c>
      <c r="L1882" s="28">
        <f>_xlfn.NUMBERVALUE(LEFT(Activities[[#This Row],[Fiscal Year]], 4))</f>
        <v>2001</v>
      </c>
      <c r="M1882" s="28" t="s">
        <v>1862</v>
      </c>
      <c r="N1882" s="41">
        <v>41470</v>
      </c>
      <c r="O1882" s="93">
        <f>IF(Activities[[#This Row],[Reference Year]]&gt;2018,Activities[[#This Row],[Value]],Activities[[#This Row],[Value]]*(1+VLOOKUP(Activities[[#This Row],[Reference Year]],Inflation[#All],3,FALSE)))</f>
        <v>58922.290062111802</v>
      </c>
    </row>
    <row r="1883" spans="1:15" ht="15" customHeight="1" x14ac:dyDescent="0.25">
      <c r="A1883" s="9" t="s">
        <v>296</v>
      </c>
      <c r="B1883" s="9" t="str">
        <f>INDEX(Places[Type],MATCH(Activities[[#This Row],[Jurisdiction]],Places[Jurisdiction],0))</f>
        <v>City</v>
      </c>
      <c r="C1883" s="19" t="str">
        <f>INDEX(Places[County],MATCH(Activities[[#This Row],[Jurisdiction]],Places[Jurisdiction],0))</f>
        <v>Orange</v>
      </c>
      <c r="D1883" s="9" t="str">
        <f>INDEX(Places[Majority RB],MATCH(Activities[[#This Row],[Jurisdiction]],Places[Jurisdiction],0))</f>
        <v>Santa Ana</v>
      </c>
      <c r="E1883" s="9">
        <f>INDEX(Places[Majority RB '#],MATCH(Activities[[#This Row],[Jurisdiction]],Places[Jurisdiction],0))</f>
        <v>8</v>
      </c>
      <c r="F1883" s="28" t="str">
        <f>VLOOKUP(Activities[[#This Row],[Jurisdiction]],Places[#All],8,FALSE)</f>
        <v>Phase I MS4</v>
      </c>
      <c r="G1883" s="48" t="s">
        <v>992</v>
      </c>
      <c r="H1883" s="8" t="s">
        <v>504</v>
      </c>
      <c r="I1883" s="8"/>
      <c r="J1883" s="8" t="s">
        <v>1897</v>
      </c>
      <c r="K1883" s="27" t="s">
        <v>1875</v>
      </c>
      <c r="L1883" s="28">
        <f>_xlfn.NUMBERVALUE(LEFT(Activities[[#This Row],[Fiscal Year]], 4))</f>
        <v>2001</v>
      </c>
      <c r="M1883" s="28" t="s">
        <v>1862</v>
      </c>
      <c r="N1883" s="41">
        <v>93939</v>
      </c>
      <c r="O1883" s="93">
        <f>IF(Activities[[#This Row],[Reference Year]]&gt;2018,Activities[[#This Row],[Value]],Activities[[#This Row],[Value]]*(1+VLOOKUP(Activities[[#This Row],[Reference Year]],Inflation[#All],3,FALSE)))</f>
        <v>133472.41394127611</v>
      </c>
    </row>
    <row r="1884" spans="1:15" ht="15" customHeight="1" x14ac:dyDescent="0.25">
      <c r="A1884" s="9" t="s">
        <v>296</v>
      </c>
      <c r="B1884" s="9" t="str">
        <f>INDEX(Places[Type],MATCH(Activities[[#This Row],[Jurisdiction]],Places[Jurisdiction],0))</f>
        <v>City</v>
      </c>
      <c r="C1884" s="19" t="str">
        <f>INDEX(Places[County],MATCH(Activities[[#This Row],[Jurisdiction]],Places[Jurisdiction],0))</f>
        <v>Orange</v>
      </c>
      <c r="D1884" s="9" t="str">
        <f>INDEX(Places[Majority RB],MATCH(Activities[[#This Row],[Jurisdiction]],Places[Jurisdiction],0))</f>
        <v>Santa Ana</v>
      </c>
      <c r="E1884" s="9">
        <f>INDEX(Places[Majority RB '#],MATCH(Activities[[#This Row],[Jurisdiction]],Places[Jurisdiction],0))</f>
        <v>8</v>
      </c>
      <c r="F1884" s="28" t="str">
        <f>VLOOKUP(Activities[[#This Row],[Jurisdiction]],Places[#All],8,FALSE)</f>
        <v>Phase I MS4</v>
      </c>
      <c r="G1884" s="48" t="s">
        <v>996</v>
      </c>
      <c r="H1884" s="8" t="s">
        <v>504</v>
      </c>
      <c r="I1884" s="8"/>
      <c r="J1884" s="8" t="s">
        <v>1897</v>
      </c>
      <c r="K1884" s="27" t="s">
        <v>1875</v>
      </c>
      <c r="L1884" s="28">
        <f>_xlfn.NUMBERVALUE(LEFT(Activities[[#This Row],[Fiscal Year]], 4))</f>
        <v>2001</v>
      </c>
      <c r="M1884" s="28" t="s">
        <v>1862</v>
      </c>
      <c r="N1884" s="41">
        <v>151291</v>
      </c>
      <c r="O1884" s="93">
        <f>IF(Activities[[#This Row],[Reference Year]]&gt;2018,Activities[[#This Row],[Value]],Activities[[#This Row],[Value]]*(1+VLOOKUP(Activities[[#This Row],[Reference Year]],Inflation[#All],3,FALSE)))</f>
        <v>214960.50604743083</v>
      </c>
    </row>
    <row r="1885" spans="1:15" ht="15" customHeight="1" x14ac:dyDescent="0.25">
      <c r="A1885" s="9" t="s">
        <v>296</v>
      </c>
      <c r="B1885" s="9" t="str">
        <f>INDEX(Places[Type],MATCH(Activities[[#This Row],[Jurisdiction]],Places[Jurisdiction],0))</f>
        <v>City</v>
      </c>
      <c r="C1885" s="19" t="str">
        <f>INDEX(Places[County],MATCH(Activities[[#This Row],[Jurisdiction]],Places[Jurisdiction],0))</f>
        <v>Orange</v>
      </c>
      <c r="D1885" s="9" t="str">
        <f>INDEX(Places[Majority RB],MATCH(Activities[[#This Row],[Jurisdiction]],Places[Jurisdiction],0))</f>
        <v>Santa Ana</v>
      </c>
      <c r="E1885" s="9">
        <f>INDEX(Places[Majority RB '#],MATCH(Activities[[#This Row],[Jurisdiction]],Places[Jurisdiction],0))</f>
        <v>8</v>
      </c>
      <c r="F1885" s="28" t="str">
        <f>VLOOKUP(Activities[[#This Row],[Jurisdiction]],Places[#All],8,FALSE)</f>
        <v>Phase I MS4</v>
      </c>
      <c r="G1885" s="48" t="s">
        <v>1005</v>
      </c>
      <c r="H1885" s="8"/>
      <c r="I1885" s="8"/>
      <c r="J1885" s="8" t="s">
        <v>1898</v>
      </c>
      <c r="K1885" s="27" t="s">
        <v>1875</v>
      </c>
      <c r="L1885" s="28">
        <f>_xlfn.NUMBERVALUE(LEFT(Activities[[#This Row],[Fiscal Year]], 4))</f>
        <v>2001</v>
      </c>
      <c r="M1885" s="28" t="s">
        <v>1862</v>
      </c>
      <c r="N1885" s="41">
        <v>5500</v>
      </c>
      <c r="O1885" s="93">
        <f>IF(Activities[[#This Row],[Reference Year]]&gt;2018,Activities[[#This Row],[Value]],Activities[[#This Row],[Value]]*(1+VLOOKUP(Activities[[#This Row],[Reference Year]],Inflation[#All],3,FALSE)))</f>
        <v>7814.6273291925463</v>
      </c>
    </row>
    <row r="1886" spans="1:15" ht="15" customHeight="1" x14ac:dyDescent="0.25">
      <c r="A1886" s="9" t="s">
        <v>296</v>
      </c>
      <c r="B1886" s="9" t="str">
        <f>INDEX(Places[Type],MATCH(Activities[[#This Row],[Jurisdiction]],Places[Jurisdiction],0))</f>
        <v>City</v>
      </c>
      <c r="C1886" s="19" t="str">
        <f>INDEX(Places[County],MATCH(Activities[[#This Row],[Jurisdiction]],Places[Jurisdiction],0))</f>
        <v>Orange</v>
      </c>
      <c r="D1886" s="9" t="str">
        <f>INDEX(Places[Majority RB],MATCH(Activities[[#This Row],[Jurisdiction]],Places[Jurisdiction],0))</f>
        <v>Santa Ana</v>
      </c>
      <c r="E1886" s="9">
        <f>INDEX(Places[Majority RB '#],MATCH(Activities[[#This Row],[Jurisdiction]],Places[Jurisdiction],0))</f>
        <v>8</v>
      </c>
      <c r="F1886" s="28" t="str">
        <f>VLOOKUP(Activities[[#This Row],[Jurisdiction]],Places[#All],8,FALSE)</f>
        <v>Phase I MS4</v>
      </c>
      <c r="G1886" s="48" t="s">
        <v>1001</v>
      </c>
      <c r="H1886" s="8" t="s">
        <v>599</v>
      </c>
      <c r="I1886" s="8"/>
      <c r="J1886" s="8" t="s">
        <v>1456</v>
      </c>
      <c r="K1886" s="27" t="s">
        <v>1875</v>
      </c>
      <c r="L1886" s="28">
        <f>_xlfn.NUMBERVALUE(LEFT(Activities[[#This Row],[Fiscal Year]], 4))</f>
        <v>2001</v>
      </c>
      <c r="M1886" s="28" t="s">
        <v>1862</v>
      </c>
      <c r="N1886" s="41">
        <v>1000</v>
      </c>
      <c r="O1886" s="93">
        <f>IF(Activities[[#This Row],[Reference Year]]&gt;2018,Activities[[#This Row],[Value]],Activities[[#This Row],[Value]]*(1+VLOOKUP(Activities[[#This Row],[Reference Year]],Inflation[#All],3,FALSE)))</f>
        <v>1420.8413325804629</v>
      </c>
    </row>
    <row r="1887" spans="1:15" ht="15" customHeight="1" x14ac:dyDescent="0.25">
      <c r="A1887" s="9" t="s">
        <v>296</v>
      </c>
      <c r="B1887" s="9" t="str">
        <f>INDEX(Places[Type],MATCH(Activities[[#This Row],[Jurisdiction]],Places[Jurisdiction],0))</f>
        <v>City</v>
      </c>
      <c r="C1887" s="19" t="str">
        <f>INDEX(Places[County],MATCH(Activities[[#This Row],[Jurisdiction]],Places[Jurisdiction],0))</f>
        <v>Orange</v>
      </c>
      <c r="D1887" s="9" t="str">
        <f>INDEX(Places[Majority RB],MATCH(Activities[[#This Row],[Jurisdiction]],Places[Jurisdiction],0))</f>
        <v>Santa Ana</v>
      </c>
      <c r="E1887" s="9">
        <f>INDEX(Places[Majority RB '#],MATCH(Activities[[#This Row],[Jurisdiction]],Places[Jurisdiction],0))</f>
        <v>8</v>
      </c>
      <c r="F1887" s="28" t="str">
        <f>VLOOKUP(Activities[[#This Row],[Jurisdiction]],Places[#All],8,FALSE)</f>
        <v>Phase I MS4</v>
      </c>
      <c r="G1887" s="48" t="s">
        <v>1000</v>
      </c>
      <c r="H1887" s="8" t="s">
        <v>505</v>
      </c>
      <c r="I1887" s="8"/>
      <c r="J1887" s="8" t="s">
        <v>1456</v>
      </c>
      <c r="K1887" s="27" t="s">
        <v>1875</v>
      </c>
      <c r="L1887" s="28">
        <f>_xlfn.NUMBERVALUE(LEFT(Activities[[#This Row],[Fiscal Year]], 4))</f>
        <v>2001</v>
      </c>
      <c r="M1887" s="28" t="s">
        <v>1862</v>
      </c>
      <c r="N1887" s="41">
        <v>2000</v>
      </c>
      <c r="O1887" s="93">
        <f>IF(Activities[[#This Row],[Reference Year]]&gt;2018,Activities[[#This Row],[Value]],Activities[[#This Row],[Value]]*(1+VLOOKUP(Activities[[#This Row],[Reference Year]],Inflation[#All],3,FALSE)))</f>
        <v>2841.6826651609258</v>
      </c>
    </row>
    <row r="1888" spans="1:15" ht="15" customHeight="1" x14ac:dyDescent="0.25">
      <c r="A1888" s="9" t="s">
        <v>296</v>
      </c>
      <c r="B1888" s="9" t="str">
        <f>INDEX(Places[Type],MATCH(Activities[[#This Row],[Jurisdiction]],Places[Jurisdiction],0))</f>
        <v>City</v>
      </c>
      <c r="C1888" s="19" t="str">
        <f>INDEX(Places[County],MATCH(Activities[[#This Row],[Jurisdiction]],Places[Jurisdiction],0))</f>
        <v>Orange</v>
      </c>
      <c r="D1888" s="9" t="str">
        <f>INDEX(Places[Majority RB],MATCH(Activities[[#This Row],[Jurisdiction]],Places[Jurisdiction],0))</f>
        <v>Santa Ana</v>
      </c>
      <c r="E1888" s="9">
        <f>INDEX(Places[Majority RB '#],MATCH(Activities[[#This Row],[Jurisdiction]],Places[Jurisdiction],0))</f>
        <v>8</v>
      </c>
      <c r="F1888" s="28" t="str">
        <f>VLOOKUP(Activities[[#This Row],[Jurisdiction]],Places[#All],8,FALSE)</f>
        <v>Phase I MS4</v>
      </c>
      <c r="G1888" s="48" t="s">
        <v>991</v>
      </c>
      <c r="H1888" s="8" t="s">
        <v>503</v>
      </c>
      <c r="I1888" s="8"/>
      <c r="J1888" s="8" t="s">
        <v>1894</v>
      </c>
      <c r="K1888" s="27" t="s">
        <v>1875</v>
      </c>
      <c r="L1888" s="28">
        <f>_xlfn.NUMBERVALUE(LEFT(Activities[[#This Row],[Fiscal Year]], 4))</f>
        <v>2001</v>
      </c>
      <c r="M1888" s="28" t="s">
        <v>1862</v>
      </c>
      <c r="N1888" s="41">
        <v>36503</v>
      </c>
      <c r="O1888" s="93">
        <f>IF(Activities[[#This Row],[Reference Year]]&gt;2018,Activities[[#This Row],[Value]],Activities[[#This Row],[Value]]*(1+VLOOKUP(Activities[[#This Row],[Reference Year]],Inflation[#All],3,FALSE)))</f>
        <v>51864.971163184637</v>
      </c>
    </row>
    <row r="1889" spans="1:15" x14ac:dyDescent="0.25">
      <c r="A1889" s="9"/>
      <c r="B1889" s="9"/>
      <c r="C1889" s="9"/>
      <c r="D1889" s="9"/>
      <c r="E1889" s="9"/>
      <c r="F1889" s="28"/>
      <c r="G1889" s="9"/>
      <c r="H1889" s="9"/>
      <c r="I1889" s="9"/>
      <c r="J1889" s="8"/>
      <c r="K1889" s="27"/>
      <c r="L1889" s="28"/>
      <c r="M1889" s="28"/>
      <c r="N1889" s="41"/>
      <c r="O1889" s="93">
        <f>SUM(O3:O1888)</f>
        <v>739108917.17562819</v>
      </c>
    </row>
    <row r="1890" spans="1:15" x14ac:dyDescent="0.25">
      <c r="A1890" s="12"/>
      <c r="B1890" s="9"/>
      <c r="C1890" s="9"/>
      <c r="D1890" s="9"/>
      <c r="E1890" s="9"/>
      <c r="F1890" s="9"/>
      <c r="G1890" s="9"/>
      <c r="H1890" s="12"/>
      <c r="I1890" s="9"/>
      <c r="J1890" s="9"/>
      <c r="L1890" s="41"/>
      <c r="M1890" s="9"/>
      <c r="N1890" s="28"/>
      <c r="O1890" s="9"/>
    </row>
    <row r="1891" spans="1:15" x14ac:dyDescent="0.25">
      <c r="O1891" s="42"/>
    </row>
    <row r="1892" spans="1:15" x14ac:dyDescent="0.25">
      <c r="O1892" s="42"/>
    </row>
    <row r="1896" spans="1:15" x14ac:dyDescent="0.25">
      <c r="O1896" s="42"/>
    </row>
  </sheetData>
  <mergeCells count="1">
    <mergeCell ref="A1:O1"/>
  </mergeCells>
  <hyperlinks>
    <hyperlink ref="I739" r:id="rId1" xr:uid="{9BE9C9C9-A8E1-4D7B-915C-6258FEF33FA6}"/>
    <hyperlink ref="I574" r:id="rId2" xr:uid="{50093441-BE6A-448F-8B26-806ECFB3BD6F}"/>
    <hyperlink ref="I1340" r:id="rId3" xr:uid="{2CAF1750-7964-4600-91F0-2712B9DADA88}"/>
    <hyperlink ref="I1323" r:id="rId4" xr:uid="{E33704F3-914B-4620-B4EC-E058FAB8BE43}"/>
    <hyperlink ref="I1333" r:id="rId5" xr:uid="{EA28D6F7-D6ED-468A-B529-2F2D24A83F64}"/>
    <hyperlink ref="I1732" r:id="rId6" xr:uid="{63901887-361C-402B-A69B-D35CF5ECC1A9}"/>
    <hyperlink ref="I1542" r:id="rId7" xr:uid="{76E4867F-5E52-489E-9F89-D1878E037FE6}"/>
    <hyperlink ref="I1545" r:id="rId8" xr:uid="{FFD45510-C763-4167-BFFF-2BC7F0CCBCCC}"/>
    <hyperlink ref="I1293" r:id="rId9" xr:uid="{349E39B0-09FB-453F-B1E0-6903B7D177BF}"/>
    <hyperlink ref="I1283" r:id="rId10" xr:uid="{E5EC4CB4-5FF2-4164-BDB7-04A911BFD334}"/>
    <hyperlink ref="I1296" r:id="rId11" xr:uid="{7DE80461-91C5-4E79-99E1-C40A6C250DA5}"/>
    <hyperlink ref="I1744" r:id="rId12" xr:uid="{7A4C2D6F-3D79-4E15-BD26-25707795F20D}"/>
    <hyperlink ref="I1038" r:id="rId13" xr:uid="{4EA8EB01-A82C-4C04-B2F0-1166CB399116}"/>
    <hyperlink ref="I1870" r:id="rId14" xr:uid="{CC0AFB5B-82F5-4B57-B7EE-DCDEF0DEC8D8}"/>
    <hyperlink ref="I1743" r:id="rId15" xr:uid="{843A43F4-672F-42B9-BB75-AD1F4F23D8C7}"/>
    <hyperlink ref="I1377" r:id="rId16" xr:uid="{611A8FCA-D312-405D-AA23-9164719AC65A}"/>
    <hyperlink ref="I976" r:id="rId17" xr:uid="{94C413A1-9388-48EC-BB2A-B449E2CFD8A2}"/>
    <hyperlink ref="I206" r:id="rId18" xr:uid="{1A25A618-1C83-4132-9169-2A4FC8CB53A3}"/>
    <hyperlink ref="I1794" r:id="rId19" xr:uid="{F2FF47A9-3FC3-42FB-A227-B2B992888B9E}"/>
    <hyperlink ref="I525" r:id="rId20" xr:uid="{69E3F7F5-0267-4A4F-94FF-98DC8874DCB8}"/>
    <hyperlink ref="I1029" r:id="rId21" xr:uid="{8DF6C0B0-BF9E-4C16-9C1B-5F414A684659}"/>
    <hyperlink ref="I1100" r:id="rId22" xr:uid="{4F0514BA-9239-4627-8AE6-8E5690F8B899}"/>
    <hyperlink ref="I1147" r:id="rId23" xr:uid="{4E105ED4-DDC5-44CE-B7B3-C335E59C8953}"/>
    <hyperlink ref="I1227" r:id="rId24" xr:uid="{A7465C4D-9034-4404-99FB-DFB8F18F730E}"/>
    <hyperlink ref="I1369" r:id="rId25" xr:uid="{9A9D27F2-B7C7-4F9E-94F2-AD45D2F20357}"/>
    <hyperlink ref="I1620" r:id="rId26" xr:uid="{278BFEA2-B6E0-4765-93A5-1C1DACFD7D66}"/>
    <hyperlink ref="I1684" r:id="rId27" xr:uid="{C4C2EF95-440E-45CA-B4AB-42ED025C11C9}"/>
    <hyperlink ref="I1765" r:id="rId28" xr:uid="{A8D1CCE5-56BF-40AE-A0AB-7561048F66EB}"/>
    <hyperlink ref="I1121" r:id="rId29" xr:uid="{3A02F5C7-8037-4CD8-8560-E762F2FE14A7}"/>
    <hyperlink ref="I1289" r:id="rId30" xr:uid="{5F180383-C602-4765-9973-AD6E2837A4B1}"/>
    <hyperlink ref="I400" r:id="rId31" xr:uid="{24E4D898-CED2-4969-A192-50ACA53093BF}"/>
    <hyperlink ref="I92" r:id="rId32" xr:uid="{FCF24A65-98B0-4A04-8911-480AFE1DCEF8}"/>
    <hyperlink ref="I93" r:id="rId33" xr:uid="{78DB9B36-D395-4FB8-A218-291A5AFC1C94}"/>
    <hyperlink ref="I91" r:id="rId34" xr:uid="{3681B2FD-52A9-4457-AB06-42982A599D75}"/>
    <hyperlink ref="I1341" r:id="rId35" xr:uid="{086C8008-87D4-44DF-B2EC-0AD7CA537CBE}"/>
    <hyperlink ref="I1324" r:id="rId36" xr:uid="{7742294E-9F86-49D7-923A-39B0CB6F7FD7}"/>
    <hyperlink ref="I1245" r:id="rId37" xr:uid="{CE0040A9-8D76-40C7-B402-7A3CCF440AE6}"/>
    <hyperlink ref="I1292" r:id="rId38" xr:uid="{11F5FE6A-AB09-417C-A4DF-1FE30B6974C3}"/>
    <hyperlink ref="I1294" r:id="rId39" xr:uid="{78F253C3-3EB5-4177-97D3-4AC48B973336}"/>
    <hyperlink ref="I1437" r:id="rId40" xr:uid="{2D6161BC-8D59-46CC-BCE0-8E048658F047}"/>
    <hyperlink ref="I1454" r:id="rId41" display="https://www.waterboards.ca.gov/sandiego/board_info/agendas/2006/dec/item10/suppdoc2.pdf" xr:uid="{CF57E134-ED61-42DD-84F6-C13DAD23AE4A}"/>
    <hyperlink ref="I9" r:id="rId42" xr:uid="{10BC51D4-7BBD-46C1-A33E-F36C2543B1D6}"/>
    <hyperlink ref="I1495" r:id="rId43" xr:uid="{7E9EE4EA-880C-4378-BBC9-2C4CFF3A2223}"/>
    <hyperlink ref="I1496" r:id="rId44" xr:uid="{CC627E88-267C-42D2-956E-1C907A543979}"/>
    <hyperlink ref="I1445" r:id="rId45" xr:uid="{809FED08-7AB4-4FD9-B500-BC66BC8A029D}"/>
    <hyperlink ref="I499" r:id="rId46" xr:uid="{4CB4224E-0397-4DDF-BF05-B717DDEC8448}"/>
    <hyperlink ref="I1693" r:id="rId47" xr:uid="{7E028273-A9CA-423E-A802-B25EF6DD9A01}"/>
    <hyperlink ref="I405" r:id="rId48" xr:uid="{6E75358F-FBBC-4AFD-B16E-192A94D6686F}"/>
    <hyperlink ref="I1376" r:id="rId49" xr:uid="{BE07A8E7-F38A-494A-9F5A-69F314C4F92E}"/>
    <hyperlink ref="I1090" r:id="rId50" xr:uid="{9A027733-5F2B-417C-82AC-0946944BD5ED}"/>
    <hyperlink ref="I1819" r:id="rId51" xr:uid="{4ADCF1D2-E170-4C4A-B1B4-A7A188FF4D8C}"/>
    <hyperlink ref="I1812" r:id="rId52" xr:uid="{8C2F4C66-9CE6-45C6-87CF-D91F53D8F95B}"/>
    <hyperlink ref="I407" r:id="rId53" xr:uid="{B57EDA8E-FE59-407E-A718-EA3EBC288752}"/>
    <hyperlink ref="I242" r:id="rId54" xr:uid="{7D042644-880E-4140-ADC8-AF17D0F1CDA5}"/>
    <hyperlink ref="I1870" r:id="rId55" display="http://prg.ocpublicworks.com/DocmgmtInternet/Download.aspx?id=1496" xr:uid="{DCA9B8A4-9E48-4B6A-A3EF-95972D8AE2F4}"/>
    <hyperlink ref="I756" r:id="rId56" display="https://www.escondido.org/Data/Sites/1/media/pdfs/Utilities/StormWaterPermit.pdf" xr:uid="{C4225D24-DA54-4E85-9881-062D17F5E9FB}"/>
    <hyperlink ref="I240" r:id="rId57" display="https://www.escondido.org/Data/Sites/1/media/pdfs/Utilities/StormWaterPermit.pdf" xr:uid="{04D1797A-F6E2-4211-9AA8-3376AA05F41B}"/>
    <hyperlink ref="I483" r:id="rId58" display="https://www.waterboards.ca.gov/sandiego/water_issues/programs/stormwater/docs/2015-1118_AmendedOrder_R9-2013-0001_COMPLETE.pdf" xr:uid="{991311F9-0436-4F16-AD56-4D8EEFA7F826}"/>
    <hyperlink ref="I232" r:id="rId59" display="https://www.waterboards.ca.gov/sandiego/water_issues/programs/stormwater/docs/2015-1118_AmendedOrder_R9-2013-0001_COMPLETE.pdf" xr:uid="{15D0401D-E35A-4E87-8F7C-3EF6BE845C63}"/>
    <hyperlink ref="I109" r:id="rId60" display="https://www.waterboards.ca.gov/sandiego/water_issues/programs/stormwater/docs/2015-1118_AmendedOrder_R9-2013-0001_COMPLETE.pdf" xr:uid="{7BE9586E-71FB-4FD9-9DF0-1192F55DEBAB}"/>
    <hyperlink ref="I617" r:id="rId61" display="https://www.waterboards.ca.gov/sandiego/water_issues/programs/stormwater/docs/2015-1118_AmendedOrder_R9-2013-0001_COMPLETE.pdf" xr:uid="{9549077F-7758-40EE-9E2C-9BB40CC3E4C5}"/>
    <hyperlink ref="I55" r:id="rId62" display="https://www.waterboards.ca.gov/sandiego/water_issues/programs/stormwater/docs/2015-1118_AmendedOrder_R9-2013-0001_COMPLETE.pdf" xr:uid="{553973CE-C79F-43E7-A7E1-4C2EAC393DDB}"/>
    <hyperlink ref="H5" r:id="rId63" display="http://www.lastormwater.org/wp-content/files_mf/bcewmpworkplan2014.pdf" xr:uid="{85DD4F1C-E608-44BB-B3E2-1548D152F077}"/>
    <hyperlink ref="H286" r:id="rId64" display="https://www.waterboards.ca.gov/losangeles/water_issues/programs/stormwater/municipal/watershed_management/beach_cities/BMPImplementationPlancompressed2.pdf" xr:uid="{AC9FC994-791D-4F46-AB9A-CC319C91985A}"/>
    <hyperlink ref="I1491" r:id="rId65" display="https://www.waterboards.ca.gov/losangeles/water_issues/programs/stormwater/municipal/watershed_management/dominguez_channel/DCWMG_EWMP_2-25-15.pdf" xr:uid="{45F98A37-41CC-4146-AA2A-0F91DD4CAF46}"/>
    <hyperlink ref="I1022" r:id="rId66" display="https://www.waterboards.ca.gov/centralvalley/water_issues/storm_water/municipal_permits/2015_bkrsfld_swmp.pdf" xr:uid="{0B74AFD7-781D-4C09-9C43-1F716D609A3C}"/>
    <hyperlink ref="I1569" r:id="rId67" display="https://www.waterboards.ca.gov/losangeles/water_issues/programs/stormwater/municipal/ventura_ms4/AdoptedVenturaCountyms4/Order.pdf" xr:uid="{5B418C1B-7329-429A-97CB-D7D30A62738F}"/>
    <hyperlink ref="I219" r:id="rId68" display="http://rcflood.org/downloads/NPDES/Documents/SM_Indiv_SWMP/Murrieta SWMP Final.pdf" xr:uid="{2AF79D98-9F4D-4089-940E-CE4BF05D7385}"/>
  </hyperlinks>
  <pageMargins left="0.7" right="0.7" top="0.75" bottom="0.75" header="0.3" footer="0.3"/>
  <pageSetup orientation="portrait" r:id="rId69"/>
  <tableParts count="1">
    <tablePart r:id="rId7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E2A2-9CB4-45A1-A37C-0764327817D6}">
  <sheetPr>
    <tabColor theme="9" tint="-0.249977111117893"/>
  </sheetPr>
  <dimension ref="A1"/>
  <sheetViews>
    <sheetView workbookViewId="0">
      <selection activeCell="A2" sqref="A2"/>
    </sheetView>
  </sheetViews>
  <sheetFormatPr defaultRowHeight="15" x14ac:dyDescent="0.25"/>
  <cols>
    <col min="1" max="16384" width="9.140625" style="134"/>
  </cols>
  <sheetData>
    <row r="1" spans="1:1" ht="18.75" x14ac:dyDescent="0.3">
      <c r="A1" s="135" t="s">
        <v>2125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B6425-068D-418E-8A5E-6A3A0B55C1B9}">
  <sheetPr>
    <tabColor theme="9" tint="0.39997558519241921"/>
  </sheetPr>
  <dimension ref="A1:AG74"/>
  <sheetViews>
    <sheetView zoomScale="70" zoomScaleNormal="70" workbookViewId="0">
      <selection activeCell="A2" sqref="A2:C2"/>
    </sheetView>
  </sheetViews>
  <sheetFormatPr defaultColWidth="9.140625" defaultRowHeight="15" x14ac:dyDescent="0.25"/>
  <cols>
    <col min="1" max="1" width="21" style="138" bestFit="1" customWidth="1"/>
    <col min="2" max="2" width="35" style="138" bestFit="1" customWidth="1"/>
    <col min="3" max="3" width="9.7109375" style="138" bestFit="1" customWidth="1"/>
    <col min="4" max="4" width="9.7109375" style="138" customWidth="1"/>
    <col min="5" max="5" width="1.5703125" style="137" customWidth="1"/>
    <col min="6" max="6" width="8.140625" style="138" bestFit="1" customWidth="1"/>
    <col min="7" max="7" width="17.85546875" style="138" bestFit="1" customWidth="1"/>
    <col min="8" max="8" width="21.7109375" style="138" bestFit="1" customWidth="1"/>
    <col min="9" max="9" width="9.7109375" style="138" bestFit="1" customWidth="1"/>
    <col min="10" max="10" width="6.42578125" style="138" bestFit="1" customWidth="1"/>
    <col min="11" max="11" width="11.28515625" style="138" bestFit="1" customWidth="1"/>
    <col min="12" max="12" width="13.42578125" style="138" bestFit="1" customWidth="1"/>
    <col min="13" max="13" width="16.28515625" style="138" bestFit="1" customWidth="1"/>
    <col min="14" max="14" width="4.7109375" style="138" customWidth="1"/>
    <col min="15" max="15" width="17.85546875" style="138" bestFit="1" customWidth="1"/>
    <col min="16" max="16" width="21.7109375" style="138" bestFit="1" customWidth="1"/>
    <col min="17" max="17" width="9.7109375" style="138" bestFit="1" customWidth="1"/>
    <col min="18" max="18" width="6.42578125" style="138" bestFit="1" customWidth="1"/>
    <col min="19" max="19" width="8.140625" style="138" bestFit="1" customWidth="1"/>
    <col min="20" max="20" width="9.7109375" style="138" bestFit="1" customWidth="1"/>
    <col min="21" max="21" width="6.42578125" style="138" bestFit="1" customWidth="1"/>
    <col min="22" max="22" width="8.140625" style="138" bestFit="1" customWidth="1"/>
    <col min="23" max="24" width="9.140625" style="138"/>
    <col min="25" max="25" width="1.5703125" style="134" customWidth="1"/>
    <col min="26" max="26" width="9.140625" style="138"/>
    <col min="27" max="27" width="20.7109375" style="138" bestFit="1" customWidth="1"/>
    <col min="28" max="28" width="35" style="138" bestFit="1" customWidth="1"/>
    <col min="29" max="30" width="9.140625" style="138"/>
    <col min="31" max="31" width="20.7109375" style="138" bestFit="1" customWidth="1"/>
    <col min="32" max="32" width="35" style="138" bestFit="1" customWidth="1"/>
    <col min="33" max="33" width="25.42578125" style="138" bestFit="1" customWidth="1"/>
    <col min="34" max="34" width="6.42578125" style="138" bestFit="1" customWidth="1"/>
    <col min="35" max="35" width="8.140625" style="138" bestFit="1" customWidth="1"/>
    <col min="36" max="16384" width="9.140625" style="138"/>
  </cols>
  <sheetData>
    <row r="1" spans="1:33" ht="26.25" x14ac:dyDescent="0.4">
      <c r="A1" s="136" t="s">
        <v>1935</v>
      </c>
      <c r="B1"/>
      <c r="C1"/>
      <c r="D1"/>
      <c r="F1"/>
      <c r="G1" s="136" t="s">
        <v>1936</v>
      </c>
      <c r="H1"/>
      <c r="I1"/>
      <c r="J1"/>
      <c r="K1"/>
      <c r="L1"/>
      <c r="M1"/>
      <c r="N1"/>
      <c r="O1" s="136" t="s">
        <v>1937</v>
      </c>
      <c r="P1"/>
      <c r="Q1"/>
      <c r="R1"/>
      <c r="S1"/>
      <c r="T1"/>
      <c r="U1"/>
      <c r="V1"/>
      <c r="W1"/>
      <c r="X1"/>
      <c r="Z1"/>
      <c r="AA1" s="136" t="s">
        <v>1938</v>
      </c>
      <c r="AB1"/>
      <c r="AC1"/>
      <c r="AD1"/>
      <c r="AE1" s="136" t="s">
        <v>1939</v>
      </c>
      <c r="AF1"/>
      <c r="AG1"/>
    </row>
    <row r="2" spans="1:33" ht="66.599999999999994" customHeight="1" thickBot="1" x14ac:dyDescent="0.45">
      <c r="A2" s="246" t="s">
        <v>1940</v>
      </c>
      <c r="B2" s="246"/>
      <c r="C2" s="246"/>
      <c r="D2" s="139"/>
      <c r="F2"/>
      <c r="G2" s="247" t="s">
        <v>1941</v>
      </c>
      <c r="H2" s="247"/>
      <c r="I2" s="247"/>
      <c r="J2" s="247"/>
      <c r="K2" s="247"/>
      <c r="L2" s="247"/>
      <c r="M2" s="247"/>
      <c r="N2" s="139"/>
      <c r="O2" s="136"/>
      <c r="P2"/>
      <c r="Q2"/>
      <c r="R2"/>
      <c r="S2"/>
      <c r="T2"/>
      <c r="U2"/>
      <c r="V2"/>
      <c r="W2"/>
      <c r="X2"/>
      <c r="Z2"/>
      <c r="AA2" s="248" t="s">
        <v>1942</v>
      </c>
      <c r="AB2" s="247"/>
      <c r="AC2" s="247"/>
      <c r="AD2"/>
      <c r="AE2" s="136"/>
      <c r="AF2"/>
      <c r="AG2"/>
    </row>
    <row r="3" spans="1:33" ht="37.5" customHeight="1" thickBot="1" x14ac:dyDescent="0.3">
      <c r="A3" s="224" t="s">
        <v>1943</v>
      </c>
      <c r="B3" s="225" t="s">
        <v>1944</v>
      </c>
      <c r="C3" s="222" t="s">
        <v>1945</v>
      </c>
      <c r="D3" s="141"/>
      <c r="E3" s="142"/>
      <c r="F3" s="143"/>
      <c r="G3"/>
      <c r="H3"/>
      <c r="I3"/>
      <c r="J3"/>
      <c r="K3"/>
      <c r="L3"/>
      <c r="M3"/>
      <c r="N3"/>
      <c r="O3"/>
      <c r="P3"/>
      <c r="Q3"/>
      <c r="R3"/>
      <c r="S3"/>
      <c r="T3"/>
      <c r="U3"/>
      <c r="V3"/>
      <c r="W3"/>
      <c r="X3"/>
      <c r="Z3"/>
      <c r="AA3"/>
      <c r="AB3"/>
      <c r="AC3"/>
      <c r="AD3"/>
      <c r="AE3"/>
      <c r="AF3"/>
      <c r="AG3"/>
    </row>
    <row r="4" spans="1:33" ht="15.75" thickBot="1" x14ac:dyDescent="0.3">
      <c r="A4" s="226" t="s">
        <v>1946</v>
      </c>
      <c r="B4" s="226">
        <f t="shared" ref="B4:B12" si="0">IF(ISERROR(VLOOKUP(RIGHT(A4,LEN(A4)-3),$A$27:$B$35,2,FALSE)),0,VLOOKUP(RIGHT(A4,LEN(A4)-3),$A$27:$B$35,2,FALSE))</f>
        <v>0</v>
      </c>
      <c r="C4" s="227">
        <f t="shared" ref="C4:C12" si="1">IF(ISERROR(VLOOKUP(RIGHT(A4,LEN(A4)-3),$A$38:$B$46,2,FALSE)),0,VLOOKUP(RIGHT(A4,LEN(A4)-3),$A$38:$B$46,2,FALSE))</f>
        <v>1</v>
      </c>
      <c r="D4" s="144"/>
      <c r="F4"/>
      <c r="G4"/>
      <c r="H4"/>
      <c r="I4"/>
      <c r="J4"/>
      <c r="K4"/>
      <c r="L4"/>
      <c r="M4"/>
      <c r="N4"/>
      <c r="O4"/>
      <c r="P4"/>
      <c r="Q4"/>
      <c r="R4"/>
      <c r="S4"/>
      <c r="T4"/>
      <c r="U4"/>
      <c r="V4"/>
      <c r="W4"/>
      <c r="X4"/>
      <c r="Z4"/>
      <c r="AA4"/>
      <c r="AB4"/>
      <c r="AC4"/>
      <c r="AD4"/>
      <c r="AE4"/>
      <c r="AF4"/>
      <c r="AG4"/>
    </row>
    <row r="5" spans="1:33" ht="15.75" thickBot="1" x14ac:dyDescent="0.3">
      <c r="A5" s="226" t="s">
        <v>1947</v>
      </c>
      <c r="B5" s="226">
        <f t="shared" si="0"/>
        <v>2</v>
      </c>
      <c r="C5" s="227">
        <f t="shared" si="1"/>
        <v>1</v>
      </c>
      <c r="D5" s="144"/>
      <c r="F5"/>
      <c r="G5"/>
      <c r="H5"/>
      <c r="I5"/>
      <c r="J5"/>
      <c r="K5"/>
      <c r="L5"/>
      <c r="M5"/>
      <c r="N5"/>
      <c r="O5"/>
      <c r="P5"/>
      <c r="Q5"/>
      <c r="R5"/>
      <c r="S5"/>
      <c r="T5"/>
      <c r="U5"/>
      <c r="V5"/>
      <c r="W5"/>
      <c r="X5"/>
      <c r="Z5"/>
      <c r="AA5"/>
      <c r="AB5"/>
      <c r="AC5"/>
      <c r="AD5"/>
      <c r="AE5"/>
      <c r="AF5"/>
      <c r="AG5"/>
    </row>
    <row r="6" spans="1:33" ht="15.75" thickBot="1" x14ac:dyDescent="0.3">
      <c r="A6" s="226" t="s">
        <v>1948</v>
      </c>
      <c r="B6" s="226">
        <f t="shared" si="0"/>
        <v>1</v>
      </c>
      <c r="C6" s="227">
        <f t="shared" si="1"/>
        <v>1</v>
      </c>
      <c r="D6" s="144"/>
      <c r="F6"/>
      <c r="G6"/>
      <c r="H6"/>
      <c r="I6"/>
      <c r="J6"/>
      <c r="K6"/>
      <c r="L6"/>
      <c r="M6"/>
      <c r="N6"/>
      <c r="O6"/>
      <c r="P6"/>
      <c r="Q6"/>
      <c r="R6"/>
      <c r="S6"/>
      <c r="T6"/>
      <c r="U6"/>
      <c r="V6"/>
      <c r="W6"/>
      <c r="X6"/>
      <c r="Z6"/>
      <c r="AA6"/>
      <c r="AB6"/>
      <c r="AC6"/>
      <c r="AD6"/>
      <c r="AE6"/>
      <c r="AF6"/>
      <c r="AG6"/>
    </row>
    <row r="7" spans="1:33" ht="15.75" thickBot="1" x14ac:dyDescent="0.3">
      <c r="A7" s="226" t="s">
        <v>1949</v>
      </c>
      <c r="B7" s="226">
        <f t="shared" si="0"/>
        <v>90</v>
      </c>
      <c r="C7" s="227">
        <f t="shared" si="1"/>
        <v>78</v>
      </c>
      <c r="D7" s="144"/>
      <c r="F7"/>
      <c r="G7"/>
      <c r="H7"/>
      <c r="I7"/>
      <c r="J7"/>
      <c r="K7"/>
      <c r="L7"/>
      <c r="M7"/>
      <c r="N7"/>
      <c r="O7"/>
      <c r="P7"/>
      <c r="Q7"/>
      <c r="R7"/>
      <c r="S7"/>
      <c r="T7"/>
      <c r="U7"/>
      <c r="V7"/>
      <c r="W7"/>
      <c r="X7"/>
      <c r="Z7"/>
      <c r="AA7"/>
      <c r="AB7"/>
      <c r="AC7"/>
      <c r="AD7"/>
      <c r="AE7"/>
      <c r="AF7"/>
      <c r="AG7"/>
    </row>
    <row r="8" spans="1:33" ht="15.75" thickBot="1" x14ac:dyDescent="0.3">
      <c r="A8" s="226" t="s">
        <v>1950</v>
      </c>
      <c r="B8" s="226">
        <f t="shared" si="0"/>
        <v>11</v>
      </c>
      <c r="C8" s="227">
        <f t="shared" si="1"/>
        <v>13</v>
      </c>
      <c r="D8" s="144"/>
      <c r="F8"/>
      <c r="G8"/>
      <c r="H8"/>
      <c r="I8"/>
      <c r="J8"/>
      <c r="K8"/>
      <c r="L8"/>
      <c r="M8"/>
      <c r="N8"/>
      <c r="O8"/>
      <c r="P8"/>
      <c r="Q8"/>
      <c r="R8"/>
      <c r="S8"/>
      <c r="T8"/>
      <c r="U8"/>
      <c r="V8"/>
      <c r="W8"/>
      <c r="X8"/>
      <c r="Z8"/>
      <c r="AA8"/>
      <c r="AB8"/>
      <c r="AC8"/>
      <c r="AD8"/>
      <c r="AE8"/>
      <c r="AF8"/>
      <c r="AG8"/>
    </row>
    <row r="9" spans="1:33" ht="15.75" thickBot="1" x14ac:dyDescent="0.3">
      <c r="A9" s="226" t="s">
        <v>1951</v>
      </c>
      <c r="B9" s="226">
        <f t="shared" si="0"/>
        <v>0</v>
      </c>
      <c r="C9" s="227">
        <f t="shared" si="1"/>
        <v>0</v>
      </c>
      <c r="D9" s="144"/>
      <c r="F9"/>
      <c r="G9"/>
      <c r="H9"/>
      <c r="I9"/>
      <c r="J9"/>
      <c r="K9"/>
      <c r="L9"/>
      <c r="M9"/>
      <c r="N9"/>
      <c r="O9"/>
      <c r="P9"/>
      <c r="Q9"/>
      <c r="R9"/>
      <c r="S9"/>
      <c r="T9"/>
      <c r="U9"/>
      <c r="V9"/>
      <c r="W9"/>
      <c r="X9"/>
      <c r="Z9"/>
      <c r="AA9"/>
      <c r="AB9"/>
      <c r="AC9"/>
      <c r="AD9"/>
      <c r="AE9"/>
      <c r="AF9"/>
      <c r="AG9"/>
    </row>
    <row r="10" spans="1:33" ht="15.75" thickBot="1" x14ac:dyDescent="0.3">
      <c r="A10" s="226" t="s">
        <v>1952</v>
      </c>
      <c r="B10" s="226">
        <f t="shared" si="0"/>
        <v>1</v>
      </c>
      <c r="C10" s="227">
        <f t="shared" si="1"/>
        <v>1</v>
      </c>
      <c r="D10" s="144"/>
      <c r="F10"/>
      <c r="G10"/>
      <c r="H10"/>
      <c r="I10"/>
      <c r="J10"/>
      <c r="K10"/>
      <c r="L10"/>
      <c r="M10"/>
      <c r="N10"/>
      <c r="O10"/>
      <c r="P10"/>
      <c r="Q10"/>
      <c r="R10"/>
      <c r="S10"/>
      <c r="T10"/>
      <c r="U10"/>
      <c r="V10"/>
      <c r="W10"/>
      <c r="X10"/>
      <c r="Z10"/>
      <c r="AA10"/>
      <c r="AB10"/>
      <c r="AC10"/>
      <c r="AD10"/>
      <c r="AE10"/>
      <c r="AF10"/>
      <c r="AG10"/>
    </row>
    <row r="11" spans="1:33" ht="15.75" thickBot="1" x14ac:dyDescent="0.3">
      <c r="A11" s="226" t="s">
        <v>1953</v>
      </c>
      <c r="B11" s="226">
        <f t="shared" si="0"/>
        <v>58</v>
      </c>
      <c r="C11" s="227">
        <f t="shared" si="1"/>
        <v>58</v>
      </c>
      <c r="D11" s="144"/>
      <c r="F11"/>
      <c r="G11"/>
      <c r="H11"/>
      <c r="I11"/>
      <c r="J11"/>
      <c r="K11"/>
      <c r="L11"/>
      <c r="M11"/>
      <c r="N11"/>
      <c r="O11"/>
      <c r="P11"/>
      <c r="Q11"/>
      <c r="R11"/>
      <c r="S11"/>
      <c r="T11"/>
      <c r="U11"/>
      <c r="V11"/>
      <c r="W11"/>
      <c r="X11"/>
      <c r="Z11"/>
      <c r="AA11"/>
      <c r="AB11"/>
      <c r="AC11"/>
      <c r="AD11"/>
      <c r="AE11"/>
      <c r="AF11"/>
      <c r="AG11"/>
    </row>
    <row r="12" spans="1:33" ht="15.75" thickBot="1" x14ac:dyDescent="0.3">
      <c r="A12" s="226" t="s">
        <v>1954</v>
      </c>
      <c r="B12" s="226">
        <f t="shared" si="0"/>
        <v>15</v>
      </c>
      <c r="C12" s="227">
        <f t="shared" si="1"/>
        <v>33</v>
      </c>
      <c r="D12" s="144"/>
      <c r="F12"/>
      <c r="G12"/>
      <c r="H12"/>
      <c r="I12"/>
      <c r="J12"/>
      <c r="K12"/>
      <c r="L12"/>
      <c r="M12"/>
      <c r="N12"/>
      <c r="O12"/>
      <c r="P12"/>
      <c r="Q12"/>
      <c r="R12"/>
      <c r="S12"/>
      <c r="T12"/>
      <c r="U12"/>
      <c r="V12"/>
      <c r="W12"/>
      <c r="X12"/>
      <c r="Z12"/>
      <c r="AA12"/>
      <c r="AB12"/>
      <c r="AC12"/>
      <c r="AD12"/>
      <c r="AE12"/>
      <c r="AF12"/>
      <c r="AG12"/>
    </row>
    <row r="13" spans="1:33" ht="15.75" thickBot="1" x14ac:dyDescent="0.3">
      <c r="A13" s="228" t="s">
        <v>1955</v>
      </c>
      <c r="B13" s="228">
        <f>SUM(B4:B12)</f>
        <v>178</v>
      </c>
      <c r="C13" s="223">
        <f>SUM(C4:C12)</f>
        <v>186</v>
      </c>
      <c r="D13" s="144"/>
      <c r="F13"/>
      <c r="G13"/>
      <c r="H13"/>
      <c r="I13"/>
      <c r="J13"/>
      <c r="K13"/>
      <c r="L13"/>
      <c r="M13"/>
      <c r="N13"/>
      <c r="O13"/>
      <c r="P13"/>
      <c r="Q13"/>
      <c r="R13"/>
      <c r="S13"/>
      <c r="T13"/>
      <c r="U13"/>
      <c r="V13"/>
      <c r="W13"/>
      <c r="X13"/>
      <c r="Z13"/>
      <c r="AA13"/>
      <c r="AB13"/>
      <c r="AC13"/>
      <c r="AD13"/>
      <c r="AE13"/>
      <c r="AF13"/>
      <c r="AG13"/>
    </row>
    <row r="14" spans="1:33" x14ac:dyDescent="0.25">
      <c r="A14" s="145"/>
      <c r="B14" s="145"/>
      <c r="C14" s="145"/>
      <c r="D14" s="145"/>
      <c r="F14"/>
      <c r="G14"/>
      <c r="H14"/>
      <c r="I14"/>
      <c r="J14"/>
      <c r="K14"/>
      <c r="L14"/>
      <c r="M14"/>
      <c r="N14"/>
      <c r="O14"/>
      <c r="P14"/>
      <c r="Q14"/>
      <c r="R14"/>
      <c r="S14"/>
      <c r="T14"/>
      <c r="U14"/>
      <c r="V14"/>
      <c r="W14"/>
      <c r="X14"/>
      <c r="Z14"/>
      <c r="AA14"/>
      <c r="AB14"/>
      <c r="AC14"/>
      <c r="AD14"/>
      <c r="AE14"/>
      <c r="AF14"/>
      <c r="AG14"/>
    </row>
    <row r="15" spans="1:33" x14ac:dyDescent="0.25">
      <c r="A15" s="145"/>
      <c r="B15" s="145"/>
      <c r="C15" s="145"/>
      <c r="D15" s="145"/>
      <c r="F15"/>
      <c r="G15"/>
      <c r="H15"/>
      <c r="I15"/>
      <c r="J15"/>
      <c r="K15"/>
      <c r="L15"/>
      <c r="M15"/>
      <c r="N15"/>
      <c r="O15"/>
      <c r="P15"/>
      <c r="Q15"/>
      <c r="R15"/>
      <c r="S15"/>
      <c r="T15"/>
      <c r="U15"/>
      <c r="V15"/>
      <c r="W15"/>
      <c r="X15"/>
      <c r="Z15"/>
      <c r="AA15"/>
      <c r="AB15"/>
      <c r="AC15"/>
      <c r="AD15"/>
      <c r="AE15"/>
      <c r="AF15"/>
      <c r="AG15"/>
    </row>
    <row r="16" spans="1:33" x14ac:dyDescent="0.25">
      <c r="A16" s="145"/>
      <c r="B16" s="145"/>
      <c r="C16" s="145"/>
      <c r="D16" s="145"/>
      <c r="F16"/>
      <c r="G16"/>
      <c r="H16"/>
      <c r="I16"/>
      <c r="J16"/>
      <c r="K16"/>
      <c r="L16"/>
      <c r="M16"/>
      <c r="N16"/>
      <c r="O16"/>
      <c r="P16"/>
      <c r="Q16"/>
      <c r="R16"/>
      <c r="S16"/>
      <c r="T16"/>
      <c r="U16"/>
      <c r="V16"/>
      <c r="W16"/>
      <c r="X16"/>
      <c r="Z16"/>
      <c r="AA16"/>
      <c r="AB16"/>
      <c r="AC16"/>
      <c r="AD16"/>
      <c r="AE16"/>
      <c r="AF16"/>
      <c r="AG16"/>
    </row>
    <row r="17" spans="1:33" x14ac:dyDescent="0.25">
      <c r="A17" s="145"/>
      <c r="B17" s="145"/>
      <c r="C17" s="145"/>
      <c r="D17" s="145"/>
      <c r="F17"/>
      <c r="G17"/>
      <c r="H17"/>
      <c r="I17"/>
      <c r="J17"/>
      <c r="K17"/>
      <c r="L17"/>
      <c r="M17"/>
      <c r="N17"/>
      <c r="O17"/>
      <c r="P17"/>
      <c r="Q17"/>
      <c r="R17"/>
      <c r="S17"/>
      <c r="T17"/>
      <c r="U17"/>
      <c r="V17"/>
      <c r="W17"/>
      <c r="X17"/>
      <c r="Z17"/>
      <c r="AA17"/>
      <c r="AB17"/>
      <c r="AC17"/>
      <c r="AD17"/>
      <c r="AE17"/>
      <c r="AF17"/>
      <c r="AG17"/>
    </row>
    <row r="18" spans="1:33" x14ac:dyDescent="0.25">
      <c r="A18" s="12"/>
      <c r="B18" s="12"/>
      <c r="C18" s="12"/>
      <c r="D18" s="12"/>
      <c r="F18"/>
      <c r="G18"/>
      <c r="H18"/>
      <c r="I18"/>
      <c r="J18"/>
      <c r="K18"/>
      <c r="L18"/>
      <c r="M18"/>
      <c r="N18"/>
      <c r="O18"/>
      <c r="P18"/>
      <c r="Q18"/>
      <c r="R18"/>
      <c r="S18"/>
      <c r="T18"/>
      <c r="U18"/>
      <c r="V18"/>
      <c r="W18"/>
      <c r="X18"/>
      <c r="Z18"/>
      <c r="AA18"/>
      <c r="AB18"/>
      <c r="AC18"/>
      <c r="AD18"/>
      <c r="AE18"/>
      <c r="AF18"/>
      <c r="AG18"/>
    </row>
    <row r="19" spans="1:33" x14ac:dyDescent="0.25">
      <c r="A19"/>
      <c r="B19"/>
      <c r="C19"/>
      <c r="D19"/>
      <c r="F19"/>
      <c r="G19"/>
      <c r="H19"/>
      <c r="I19"/>
      <c r="J19"/>
      <c r="K19"/>
      <c r="L19"/>
      <c r="M19"/>
      <c r="N19"/>
      <c r="O19"/>
      <c r="P19"/>
      <c r="Q19"/>
      <c r="R19"/>
      <c r="S19"/>
      <c r="T19"/>
      <c r="U19"/>
      <c r="V19"/>
      <c r="W19"/>
      <c r="X19"/>
      <c r="Z19"/>
      <c r="AA19"/>
      <c r="AB19"/>
      <c r="AC19"/>
      <c r="AD19"/>
      <c r="AE19"/>
      <c r="AF19"/>
      <c r="AG19"/>
    </row>
    <row r="20" spans="1:33" x14ac:dyDescent="0.25">
      <c r="A20"/>
      <c r="B20"/>
      <c r="C20"/>
      <c r="D20"/>
      <c r="F20"/>
      <c r="G20"/>
      <c r="H20"/>
      <c r="I20"/>
      <c r="J20"/>
      <c r="K20"/>
      <c r="L20"/>
      <c r="M20"/>
      <c r="N20"/>
      <c r="O20"/>
      <c r="P20"/>
      <c r="Q20"/>
      <c r="R20"/>
      <c r="S20"/>
      <c r="T20"/>
      <c r="U20"/>
      <c r="V20"/>
      <c r="W20"/>
      <c r="X20"/>
      <c r="Z20"/>
      <c r="AA20"/>
      <c r="AB20"/>
      <c r="AC20"/>
      <c r="AD20"/>
      <c r="AE20"/>
      <c r="AF20"/>
      <c r="AG20"/>
    </row>
    <row r="21" spans="1:33" x14ac:dyDescent="0.25">
      <c r="A21"/>
      <c r="B21"/>
      <c r="C21"/>
      <c r="D21"/>
      <c r="F21"/>
      <c r="G21"/>
      <c r="H21"/>
      <c r="I21"/>
      <c r="J21"/>
      <c r="K21"/>
      <c r="L21"/>
      <c r="M21"/>
      <c r="N21"/>
      <c r="O21"/>
      <c r="P21"/>
      <c r="Q21"/>
      <c r="R21"/>
      <c r="S21"/>
      <c r="T21"/>
      <c r="U21"/>
      <c r="V21"/>
      <c r="W21"/>
      <c r="X21"/>
      <c r="Z21"/>
      <c r="AA21"/>
      <c r="AB21"/>
      <c r="AC21"/>
      <c r="AD21"/>
      <c r="AE21"/>
      <c r="AF21"/>
      <c r="AG21"/>
    </row>
    <row r="22" spans="1:33" x14ac:dyDescent="0.25">
      <c r="A22"/>
      <c r="B22"/>
      <c r="C22"/>
      <c r="D22"/>
      <c r="F22"/>
      <c r="G22"/>
      <c r="H22"/>
      <c r="I22"/>
      <c r="J22"/>
      <c r="K22"/>
      <c r="L22"/>
      <c r="M22"/>
      <c r="N22"/>
      <c r="O22"/>
      <c r="P22"/>
      <c r="Q22"/>
      <c r="R22"/>
      <c r="S22"/>
      <c r="T22"/>
      <c r="U22"/>
      <c r="V22"/>
      <c r="W22"/>
      <c r="X22"/>
      <c r="Z22"/>
      <c r="AA22"/>
      <c r="AB22"/>
      <c r="AC22"/>
      <c r="AD22"/>
      <c r="AE22"/>
      <c r="AF22"/>
      <c r="AG22"/>
    </row>
    <row r="23" spans="1:33" ht="15.75" thickBot="1" x14ac:dyDescent="0.3">
      <c r="A23"/>
      <c r="B23"/>
      <c r="C23"/>
      <c r="D23"/>
      <c r="F23"/>
      <c r="G23"/>
      <c r="H23"/>
      <c r="I23"/>
      <c r="J23"/>
      <c r="K23"/>
      <c r="L23"/>
      <c r="M23"/>
      <c r="N23"/>
      <c r="O23"/>
      <c r="P23"/>
      <c r="Q23"/>
      <c r="R23"/>
      <c r="S23"/>
      <c r="T23"/>
      <c r="U23"/>
      <c r="V23"/>
      <c r="W23"/>
      <c r="X23"/>
      <c r="Z23"/>
      <c r="AA23"/>
      <c r="AB23"/>
      <c r="AC23"/>
      <c r="AD23"/>
      <c r="AE23"/>
      <c r="AF23"/>
      <c r="AG23"/>
    </row>
    <row r="24" spans="1:33" s="147" customFormat="1" ht="17.25" customHeight="1" x14ac:dyDescent="0.25">
      <c r="A24" s="146"/>
      <c r="B24" s="146"/>
      <c r="C24" s="146"/>
      <c r="D24" s="146"/>
      <c r="F24" s="146"/>
      <c r="G24" s="146"/>
      <c r="H24" s="146"/>
      <c r="I24" s="146"/>
      <c r="J24" s="146"/>
      <c r="K24" s="146"/>
      <c r="L24" s="146"/>
      <c r="M24" s="146"/>
      <c r="N24" s="146"/>
      <c r="O24" s="146"/>
      <c r="P24" s="146"/>
      <c r="Q24" s="146"/>
      <c r="R24" s="146"/>
      <c r="S24" s="146"/>
      <c r="T24" s="146"/>
      <c r="U24" s="146"/>
      <c r="V24" s="146"/>
      <c r="W24" s="146"/>
      <c r="X24" s="146"/>
      <c r="Z24" s="146"/>
      <c r="AA24" s="146"/>
      <c r="AB24" s="146"/>
      <c r="AC24" s="146"/>
      <c r="AD24" s="146"/>
      <c r="AE24" s="146"/>
      <c r="AF24" s="146"/>
      <c r="AG24" s="146"/>
    </row>
    <row r="25" spans="1:33" ht="21" x14ac:dyDescent="0.35">
      <c r="A25" s="148" t="s">
        <v>1924</v>
      </c>
      <c r="B25"/>
      <c r="C25"/>
      <c r="D25"/>
      <c r="F25"/>
      <c r="G25" s="148" t="s">
        <v>1924</v>
      </c>
      <c r="H25"/>
      <c r="I25"/>
      <c r="J25"/>
      <c r="K25"/>
      <c r="L25"/>
      <c r="M25"/>
      <c r="N25"/>
      <c r="O25" s="149" t="s">
        <v>1925</v>
      </c>
      <c r="P25"/>
      <c r="Q25"/>
      <c r="R25"/>
      <c r="S25"/>
      <c r="T25"/>
      <c r="U25"/>
      <c r="V25"/>
      <c r="W25"/>
      <c r="X25"/>
      <c r="Z25"/>
      <c r="AA25" s="148" t="s">
        <v>1924</v>
      </c>
      <c r="AB25"/>
      <c r="AC25"/>
      <c r="AD25"/>
      <c r="AE25" s="149" t="s">
        <v>1925</v>
      </c>
      <c r="AF25"/>
      <c r="AG25"/>
    </row>
    <row r="26" spans="1:33" x14ac:dyDescent="0.25">
      <c r="A26" s="150" t="s">
        <v>1956</v>
      </c>
      <c r="B26" t="s">
        <v>1957</v>
      </c>
      <c r="C26"/>
      <c r="D26"/>
      <c r="F26"/>
      <c r="G26" s="150" t="s">
        <v>1958</v>
      </c>
      <c r="H26" s="150" t="s">
        <v>1959</v>
      </c>
      <c r="I26"/>
      <c r="J26"/>
      <c r="K26"/>
      <c r="L26"/>
      <c r="M26"/>
      <c r="N26"/>
      <c r="O26" s="150" t="s">
        <v>1958</v>
      </c>
      <c r="P26" s="150" t="s">
        <v>1959</v>
      </c>
      <c r="Q26"/>
      <c r="R26"/>
      <c r="S26"/>
      <c r="T26"/>
      <c r="U26"/>
      <c r="V26"/>
      <c r="W26"/>
      <c r="X26"/>
      <c r="Z26"/>
      <c r="AA26" s="150" t="s">
        <v>1852</v>
      </c>
      <c r="AB26" s="221" t="s" vm="1">
        <v>1853</v>
      </c>
      <c r="AC26"/>
      <c r="AD26"/>
      <c r="AE26" s="150" t="s">
        <v>1852</v>
      </c>
      <c r="AF26" s="221" t="s" vm="2">
        <v>1853</v>
      </c>
      <c r="AG26"/>
    </row>
    <row r="27" spans="1:33" x14ac:dyDescent="0.25">
      <c r="A27" s="44" t="s">
        <v>443</v>
      </c>
      <c r="B27" s="10">
        <v>1</v>
      </c>
      <c r="C27"/>
      <c r="D27"/>
      <c r="F27"/>
      <c r="G27" s="150" t="s">
        <v>1956</v>
      </c>
      <c r="H27" s="221" t="s">
        <v>8</v>
      </c>
      <c r="I27" s="221" t="s">
        <v>5</v>
      </c>
      <c r="J27" s="221" t="s">
        <v>122</v>
      </c>
      <c r="K27"/>
      <c r="L27"/>
      <c r="M27"/>
      <c r="N27"/>
      <c r="O27" s="150" t="s">
        <v>1956</v>
      </c>
      <c r="P27" s="221" t="s">
        <v>8</v>
      </c>
      <c r="Q27" s="221" t="s">
        <v>5</v>
      </c>
      <c r="R27" s="221" t="s">
        <v>122</v>
      </c>
      <c r="S27" s="221" t="s">
        <v>67</v>
      </c>
      <c r="T27"/>
      <c r="U27"/>
      <c r="V27"/>
      <c r="W27"/>
      <c r="X27"/>
      <c r="Z27"/>
      <c r="AA27" s="150" t="s">
        <v>114</v>
      </c>
      <c r="AB27" s="221" t="s" vm="3">
        <v>1960</v>
      </c>
      <c r="AC27"/>
      <c r="AD27"/>
      <c r="AE27" s="150" t="s">
        <v>114</v>
      </c>
      <c r="AF27" s="221" t="s" vm="4">
        <v>1960</v>
      </c>
      <c r="AG27"/>
    </row>
    <row r="28" spans="1:33" ht="21" x14ac:dyDescent="0.35">
      <c r="A28" s="44" t="s">
        <v>445</v>
      </c>
      <c r="B28" s="10">
        <v>11</v>
      </c>
      <c r="C28"/>
      <c r="D28"/>
      <c r="F28"/>
      <c r="G28" s="44" t="s">
        <v>1892</v>
      </c>
      <c r="H28" s="10">
        <v>1</v>
      </c>
      <c r="I28" s="10"/>
      <c r="J28" s="10"/>
      <c r="K28"/>
      <c r="L28"/>
      <c r="M28"/>
      <c r="N28"/>
      <c r="O28" s="44" t="s">
        <v>1893</v>
      </c>
      <c r="P28" s="10">
        <v>31</v>
      </c>
      <c r="Q28" s="10"/>
      <c r="R28" s="10"/>
      <c r="S28" s="10"/>
      <c r="T28"/>
      <c r="U28"/>
      <c r="V28"/>
      <c r="W28"/>
      <c r="X28"/>
      <c r="Z28"/>
      <c r="AA28" s="148"/>
      <c r="AB28"/>
      <c r="AC28"/>
      <c r="AD28"/>
      <c r="AE28"/>
      <c r="AF28"/>
      <c r="AG28"/>
    </row>
    <row r="29" spans="1:33" x14ac:dyDescent="0.25">
      <c r="A29" s="44" t="s">
        <v>1459</v>
      </c>
      <c r="B29" s="10">
        <v>1</v>
      </c>
      <c r="C29"/>
      <c r="D29"/>
      <c r="F29"/>
      <c r="G29" s="44" t="s">
        <v>1893</v>
      </c>
      <c r="H29" s="10">
        <v>1</v>
      </c>
      <c r="I29" s="10"/>
      <c r="J29" s="10"/>
      <c r="K29"/>
      <c r="L29"/>
      <c r="M29"/>
      <c r="N29"/>
      <c r="O29" s="44" t="s">
        <v>1875</v>
      </c>
      <c r="P29" s="10">
        <v>32</v>
      </c>
      <c r="Q29" s="10"/>
      <c r="R29" s="10"/>
      <c r="S29" s="10"/>
      <c r="T29"/>
      <c r="U29"/>
      <c r="V29"/>
      <c r="W29"/>
      <c r="X29"/>
      <c r="Z29"/>
      <c r="AA29" s="150" t="s">
        <v>1956</v>
      </c>
      <c r="AB29" t="s">
        <v>1957</v>
      </c>
      <c r="AC29"/>
      <c r="AD29"/>
      <c r="AE29" s="150" t="s">
        <v>1956</v>
      </c>
      <c r="AF29" t="s">
        <v>1957</v>
      </c>
      <c r="AG29"/>
    </row>
    <row r="30" spans="1:33" x14ac:dyDescent="0.25">
      <c r="A30" s="44" t="s">
        <v>12</v>
      </c>
      <c r="B30" s="10">
        <v>90</v>
      </c>
      <c r="C30"/>
      <c r="D30"/>
      <c r="F30"/>
      <c r="G30" s="44" t="s">
        <v>1875</v>
      </c>
      <c r="H30" s="10">
        <v>30</v>
      </c>
      <c r="I30" s="10"/>
      <c r="J30" s="10"/>
      <c r="K30"/>
      <c r="L30"/>
      <c r="M30"/>
      <c r="N30"/>
      <c r="O30" s="44" t="s">
        <v>1872</v>
      </c>
      <c r="P30" s="10"/>
      <c r="Q30" s="10">
        <v>1</v>
      </c>
      <c r="R30" s="10"/>
      <c r="S30" s="10"/>
      <c r="T30"/>
      <c r="U30"/>
      <c r="V30"/>
      <c r="W30"/>
      <c r="X30"/>
      <c r="Z30"/>
      <c r="AA30" s="44">
        <v>2013</v>
      </c>
      <c r="AB30" s="10">
        <v>2</v>
      </c>
      <c r="AC30"/>
      <c r="AD30"/>
      <c r="AE30" s="44">
        <v>2012</v>
      </c>
      <c r="AF30" s="10">
        <v>2</v>
      </c>
      <c r="AG30"/>
    </row>
    <row r="31" spans="1:33" x14ac:dyDescent="0.25">
      <c r="A31" s="44" t="s">
        <v>21</v>
      </c>
      <c r="B31" s="10">
        <v>15</v>
      </c>
      <c r="C31"/>
      <c r="D31"/>
      <c r="F31"/>
      <c r="G31" s="44" t="s">
        <v>1872</v>
      </c>
      <c r="H31" s="10">
        <v>33</v>
      </c>
      <c r="I31" s="10"/>
      <c r="J31" s="10"/>
      <c r="K31"/>
      <c r="L31"/>
      <c r="M31"/>
      <c r="N31"/>
      <c r="O31" s="44" t="s">
        <v>1886</v>
      </c>
      <c r="P31" s="10">
        <v>2</v>
      </c>
      <c r="Q31" s="10">
        <v>2</v>
      </c>
      <c r="R31" s="10"/>
      <c r="S31" s="10"/>
      <c r="T31"/>
      <c r="U31"/>
      <c r="V31"/>
      <c r="W31"/>
      <c r="X31"/>
      <c r="Z31"/>
      <c r="AA31" s="44">
        <v>2014</v>
      </c>
      <c r="AB31" s="10">
        <v>2</v>
      </c>
      <c r="AC31"/>
      <c r="AD31"/>
      <c r="AE31" s="44">
        <v>2013</v>
      </c>
      <c r="AF31" s="10">
        <v>2</v>
      </c>
      <c r="AG31"/>
    </row>
    <row r="32" spans="1:33" x14ac:dyDescent="0.25">
      <c r="A32" s="44" t="s">
        <v>1457</v>
      </c>
      <c r="B32" s="10">
        <v>2</v>
      </c>
      <c r="C32"/>
      <c r="D32"/>
      <c r="F32"/>
      <c r="G32" s="44" t="s">
        <v>1886</v>
      </c>
      <c r="H32" s="10"/>
      <c r="I32" s="10">
        <v>1</v>
      </c>
      <c r="J32" s="10"/>
      <c r="K32"/>
      <c r="L32"/>
      <c r="M32"/>
      <c r="N32"/>
      <c r="O32" s="44" t="s">
        <v>1887</v>
      </c>
      <c r="P32" s="10">
        <v>2</v>
      </c>
      <c r="Q32" s="10">
        <v>2</v>
      </c>
      <c r="R32" s="10"/>
      <c r="S32" s="10"/>
      <c r="T32"/>
      <c r="U32"/>
      <c r="V32"/>
      <c r="W32"/>
      <c r="X32"/>
      <c r="Z32"/>
      <c r="AA32" s="44">
        <v>2016</v>
      </c>
      <c r="AB32" s="10">
        <v>114</v>
      </c>
      <c r="AC32"/>
      <c r="AD32"/>
      <c r="AE32" s="44">
        <v>2014</v>
      </c>
      <c r="AF32" s="10">
        <v>16</v>
      </c>
      <c r="AG32"/>
    </row>
    <row r="33" spans="1:33" x14ac:dyDescent="0.25">
      <c r="A33" s="44" t="s">
        <v>290</v>
      </c>
      <c r="B33" s="10">
        <v>58</v>
      </c>
      <c r="C33"/>
      <c r="D33"/>
      <c r="F33"/>
      <c r="G33" s="44" t="s">
        <v>1887</v>
      </c>
      <c r="H33" s="10">
        <v>1</v>
      </c>
      <c r="I33" s="10">
        <v>1</v>
      </c>
      <c r="J33" s="10"/>
      <c r="K33"/>
      <c r="L33"/>
      <c r="M33"/>
      <c r="N33"/>
      <c r="O33" s="44" t="s">
        <v>1882</v>
      </c>
      <c r="P33" s="10">
        <v>2</v>
      </c>
      <c r="Q33" s="10">
        <v>3</v>
      </c>
      <c r="R33" s="10"/>
      <c r="S33" s="10"/>
      <c r="T33"/>
      <c r="U33"/>
      <c r="V33"/>
      <c r="W33"/>
      <c r="X33"/>
      <c r="Z33"/>
      <c r="AA33" s="44">
        <v>2017</v>
      </c>
      <c r="AB33" s="10">
        <v>10</v>
      </c>
      <c r="AC33"/>
      <c r="AD33"/>
      <c r="AE33" s="44">
        <v>2015</v>
      </c>
      <c r="AF33" s="10">
        <v>85</v>
      </c>
      <c r="AG33"/>
    </row>
    <row r="34" spans="1:33" x14ac:dyDescent="0.25">
      <c r="A34" s="44" t="s">
        <v>1961</v>
      </c>
      <c r="B34" s="10">
        <v>178</v>
      </c>
      <c r="C34"/>
      <c r="D34"/>
      <c r="F34"/>
      <c r="G34" s="44" t="s">
        <v>1882</v>
      </c>
      <c r="H34" s="10">
        <v>11</v>
      </c>
      <c r="I34" s="10">
        <v>2</v>
      </c>
      <c r="J34" s="10">
        <v>2</v>
      </c>
      <c r="K34"/>
      <c r="L34"/>
      <c r="M34"/>
      <c r="N34"/>
      <c r="O34" s="44" t="s">
        <v>1883</v>
      </c>
      <c r="P34" s="10">
        <v>1</v>
      </c>
      <c r="Q34" s="10">
        <v>3</v>
      </c>
      <c r="R34" s="10"/>
      <c r="S34" s="10"/>
      <c r="T34"/>
      <c r="U34"/>
      <c r="V34"/>
      <c r="W34"/>
      <c r="X34"/>
      <c r="Z34"/>
      <c r="AA34" s="44">
        <v>2018</v>
      </c>
      <c r="AB34" s="10">
        <v>25</v>
      </c>
      <c r="AC34"/>
      <c r="AD34"/>
      <c r="AE34" s="44">
        <v>2016</v>
      </c>
      <c r="AF34" s="10">
        <v>15</v>
      </c>
      <c r="AG34"/>
    </row>
    <row r="35" spans="1:33" x14ac:dyDescent="0.25">
      <c r="A35"/>
      <c r="B35"/>
      <c r="C35"/>
      <c r="D35"/>
      <c r="F35"/>
      <c r="G35" s="44" t="s">
        <v>1883</v>
      </c>
      <c r="H35" s="10">
        <v>11</v>
      </c>
      <c r="I35" s="10">
        <v>2</v>
      </c>
      <c r="J35" s="10">
        <v>2</v>
      </c>
      <c r="K35"/>
      <c r="L35"/>
      <c r="M35"/>
      <c r="N35"/>
      <c r="O35" s="44" t="s">
        <v>1888</v>
      </c>
      <c r="P35" s="10">
        <v>2</v>
      </c>
      <c r="Q35" s="10">
        <v>3</v>
      </c>
      <c r="R35" s="10"/>
      <c r="S35" s="10"/>
      <c r="T35"/>
      <c r="U35"/>
      <c r="V35"/>
      <c r="W35"/>
      <c r="X35"/>
      <c r="Z35"/>
      <c r="AA35" s="44">
        <v>2019</v>
      </c>
      <c r="AB35" s="10">
        <v>1</v>
      </c>
      <c r="AC35"/>
      <c r="AD35"/>
      <c r="AE35" s="44">
        <v>2017</v>
      </c>
      <c r="AF35" s="10">
        <v>35</v>
      </c>
      <c r="AG35"/>
    </row>
    <row r="36" spans="1:33" ht="21" x14ac:dyDescent="0.35">
      <c r="A36" s="149" t="s">
        <v>1925</v>
      </c>
      <c r="B36"/>
      <c r="C36"/>
      <c r="D36"/>
      <c r="F36"/>
      <c r="G36" s="44" t="s">
        <v>1888</v>
      </c>
      <c r="H36" s="10"/>
      <c r="I36" s="10">
        <v>1</v>
      </c>
      <c r="J36" s="10"/>
      <c r="K36"/>
      <c r="L36"/>
      <c r="M36"/>
      <c r="N36"/>
      <c r="O36" s="44" t="s">
        <v>1884</v>
      </c>
      <c r="P36" s="10">
        <v>2</v>
      </c>
      <c r="Q36" s="10">
        <v>3</v>
      </c>
      <c r="R36" s="10"/>
      <c r="S36" s="10"/>
      <c r="T36"/>
      <c r="U36"/>
      <c r="V36"/>
      <c r="W36"/>
      <c r="X36"/>
      <c r="Z36"/>
      <c r="AA36" s="44">
        <v>2021</v>
      </c>
      <c r="AB36" s="10">
        <v>1</v>
      </c>
      <c r="AC36"/>
      <c r="AD36"/>
      <c r="AE36" s="44">
        <v>2018</v>
      </c>
      <c r="AF36" s="10">
        <v>8</v>
      </c>
      <c r="AG36"/>
    </row>
    <row r="37" spans="1:33" x14ac:dyDescent="0.25">
      <c r="A37" s="150" t="s">
        <v>1956</v>
      </c>
      <c r="B37" t="s">
        <v>1957</v>
      </c>
      <c r="C37"/>
      <c r="D37"/>
      <c r="F37"/>
      <c r="G37" s="44" t="s">
        <v>1884</v>
      </c>
      <c r="H37" s="10">
        <v>11</v>
      </c>
      <c r="I37" s="10">
        <v>2</v>
      </c>
      <c r="J37" s="10">
        <v>2</v>
      </c>
      <c r="K37"/>
      <c r="L37"/>
      <c r="M37"/>
      <c r="N37"/>
      <c r="O37" s="44" t="s">
        <v>1889</v>
      </c>
      <c r="P37" s="10">
        <v>2</v>
      </c>
      <c r="Q37" s="10">
        <v>3</v>
      </c>
      <c r="R37" s="10"/>
      <c r="S37" s="10"/>
      <c r="T37"/>
      <c r="U37"/>
      <c r="V37"/>
      <c r="W37"/>
      <c r="X37"/>
      <c r="Z37"/>
      <c r="AA37" s="44" t="s">
        <v>1961</v>
      </c>
      <c r="AB37" s="10">
        <v>155</v>
      </c>
      <c r="AC37"/>
      <c r="AD37"/>
      <c r="AE37" s="44" t="s">
        <v>1961</v>
      </c>
      <c r="AF37" s="10">
        <v>163</v>
      </c>
      <c r="AG37"/>
    </row>
    <row r="38" spans="1:33" x14ac:dyDescent="0.25">
      <c r="A38" s="44" t="s">
        <v>443</v>
      </c>
      <c r="B38" s="10">
        <v>1</v>
      </c>
      <c r="C38"/>
      <c r="D38"/>
      <c r="F38"/>
      <c r="G38" s="44" t="s">
        <v>1889</v>
      </c>
      <c r="H38" s="10">
        <v>1</v>
      </c>
      <c r="I38" s="10">
        <v>1</v>
      </c>
      <c r="J38" s="10"/>
      <c r="K38"/>
      <c r="L38"/>
      <c r="M38"/>
      <c r="N38"/>
      <c r="O38" s="44" t="s">
        <v>1885</v>
      </c>
      <c r="P38" s="10">
        <v>6</v>
      </c>
      <c r="Q38" s="10">
        <v>4</v>
      </c>
      <c r="R38" s="10"/>
      <c r="S38" s="10"/>
      <c r="T38"/>
      <c r="U38"/>
      <c r="V38"/>
      <c r="W38"/>
      <c r="X38"/>
      <c r="Z38"/>
      <c r="AA38"/>
      <c r="AB38"/>
      <c r="AC38"/>
      <c r="AD38"/>
      <c r="AE38"/>
      <c r="AF38"/>
      <c r="AG38"/>
    </row>
    <row r="39" spans="1:33" x14ac:dyDescent="0.25">
      <c r="A39" s="44" t="s">
        <v>445</v>
      </c>
      <c r="B39" s="10">
        <v>13</v>
      </c>
      <c r="C39"/>
      <c r="D39"/>
      <c r="F39"/>
      <c r="G39" s="44" t="s">
        <v>1885</v>
      </c>
      <c r="H39" s="10">
        <v>10</v>
      </c>
      <c r="I39" s="10">
        <v>2</v>
      </c>
      <c r="J39" s="10">
        <v>2</v>
      </c>
      <c r="K39"/>
      <c r="L39"/>
      <c r="M39"/>
      <c r="N39"/>
      <c r="O39" s="44" t="s">
        <v>1870</v>
      </c>
      <c r="P39" s="10">
        <v>93</v>
      </c>
      <c r="Q39" s="10">
        <v>7</v>
      </c>
      <c r="R39" s="10">
        <v>2</v>
      </c>
      <c r="S39" s="10"/>
      <c r="T39"/>
      <c r="U39"/>
      <c r="V39"/>
      <c r="W39"/>
      <c r="X39"/>
      <c r="Z39"/>
      <c r="AA39"/>
      <c r="AB39" t="s">
        <v>1962</v>
      </c>
      <c r="AC39"/>
      <c r="AD39"/>
      <c r="AE39"/>
      <c r="AF39" t="s">
        <v>1962</v>
      </c>
      <c r="AG39"/>
    </row>
    <row r="40" spans="1:33" x14ac:dyDescent="0.25">
      <c r="A40" s="44" t="s">
        <v>1459</v>
      </c>
      <c r="B40" s="10">
        <v>1</v>
      </c>
      <c r="C40"/>
      <c r="D40"/>
      <c r="F40"/>
      <c r="G40" s="44" t="s">
        <v>1870</v>
      </c>
      <c r="H40" s="10">
        <v>78</v>
      </c>
      <c r="I40" s="10">
        <v>3</v>
      </c>
      <c r="J40" s="10">
        <v>2</v>
      </c>
      <c r="K40"/>
      <c r="L40"/>
      <c r="M40"/>
      <c r="N40"/>
      <c r="O40" s="44" t="s">
        <v>1871</v>
      </c>
      <c r="P40" s="10">
        <v>21</v>
      </c>
      <c r="Q40" s="10">
        <v>7</v>
      </c>
      <c r="R40" s="10">
        <v>2</v>
      </c>
      <c r="S40" s="10"/>
      <c r="T40"/>
      <c r="U40"/>
      <c r="V40"/>
      <c r="W40"/>
      <c r="X40"/>
      <c r="Z40"/>
      <c r="AA40">
        <v>2012</v>
      </c>
      <c r="AB40" t="e">
        <f>VLOOKUP(AA40,$AA$29:$AB$37,2,FALSE)</f>
        <v>#N/A</v>
      </c>
      <c r="AC40"/>
      <c r="AD40"/>
      <c r="AE40">
        <v>2012</v>
      </c>
      <c r="AF40">
        <f>VLOOKUP(AE40,$AE$29:$AF$37,2,FALSE)</f>
        <v>2</v>
      </c>
      <c r="AG40"/>
    </row>
    <row r="41" spans="1:33" x14ac:dyDescent="0.25">
      <c r="A41" s="44" t="s">
        <v>12</v>
      </c>
      <c r="B41" s="10">
        <v>78</v>
      </c>
      <c r="C41"/>
      <c r="D41"/>
      <c r="F41"/>
      <c r="G41" s="44" t="s">
        <v>1871</v>
      </c>
      <c r="H41" s="10">
        <v>89</v>
      </c>
      <c r="I41" s="10">
        <v>4</v>
      </c>
      <c r="J41" s="10">
        <v>3</v>
      </c>
      <c r="K41"/>
      <c r="L41"/>
      <c r="M41"/>
      <c r="N41"/>
      <c r="O41" s="44" t="s">
        <v>1880</v>
      </c>
      <c r="P41" s="10">
        <v>31</v>
      </c>
      <c r="Q41" s="10">
        <v>6</v>
      </c>
      <c r="R41" s="10">
        <v>3</v>
      </c>
      <c r="S41" s="10"/>
      <c r="T41"/>
      <c r="U41"/>
      <c r="V41"/>
      <c r="W41"/>
      <c r="X41"/>
      <c r="Z41"/>
      <c r="AA41">
        <v>2013</v>
      </c>
      <c r="AB41">
        <f t="shared" ref="AB41:AB49" si="2">VLOOKUP(AA41,$AA$29:$AB$37,2,FALSE)</f>
        <v>2</v>
      </c>
      <c r="AC41"/>
      <c r="AD41"/>
      <c r="AE41">
        <v>2013</v>
      </c>
      <c r="AF41">
        <f t="shared" ref="AF41:AF49" si="3">VLOOKUP(AE41,$AE$29:$AF$37,2,FALSE)</f>
        <v>2</v>
      </c>
      <c r="AG41"/>
    </row>
    <row r="42" spans="1:33" x14ac:dyDescent="0.25">
      <c r="A42" s="44" t="s">
        <v>442</v>
      </c>
      <c r="B42" s="10">
        <v>1</v>
      </c>
      <c r="C42"/>
      <c r="D42"/>
      <c r="F42"/>
      <c r="G42" s="44" t="s">
        <v>1880</v>
      </c>
      <c r="H42" s="10">
        <v>22</v>
      </c>
      <c r="I42" s="10">
        <v>5</v>
      </c>
      <c r="J42" s="10">
        <v>2</v>
      </c>
      <c r="K42"/>
      <c r="L42"/>
      <c r="M42"/>
      <c r="N42"/>
      <c r="O42" s="44" t="s">
        <v>1881</v>
      </c>
      <c r="P42" s="10">
        <v>36</v>
      </c>
      <c r="Q42" s="10">
        <v>6</v>
      </c>
      <c r="R42" s="10">
        <v>3</v>
      </c>
      <c r="S42" s="10"/>
      <c r="T42"/>
      <c r="U42"/>
      <c r="V42"/>
      <c r="W42"/>
      <c r="X42"/>
      <c r="Z42"/>
      <c r="AA42">
        <v>2014</v>
      </c>
      <c r="AB42">
        <f t="shared" si="2"/>
        <v>2</v>
      </c>
      <c r="AC42"/>
      <c r="AD42"/>
      <c r="AE42">
        <v>2014</v>
      </c>
      <c r="AF42">
        <f t="shared" si="3"/>
        <v>16</v>
      </c>
      <c r="AG42"/>
    </row>
    <row r="43" spans="1:33" x14ac:dyDescent="0.25">
      <c r="A43" s="44" t="s">
        <v>21</v>
      </c>
      <c r="B43" s="10">
        <v>33</v>
      </c>
      <c r="C43"/>
      <c r="D43"/>
      <c r="F43"/>
      <c r="G43" s="44" t="s">
        <v>1881</v>
      </c>
      <c r="H43" s="10">
        <v>30</v>
      </c>
      <c r="I43" s="10">
        <v>5</v>
      </c>
      <c r="J43" s="10">
        <v>4</v>
      </c>
      <c r="K43"/>
      <c r="L43"/>
      <c r="M43"/>
      <c r="N43"/>
      <c r="O43" s="44" t="s">
        <v>1873</v>
      </c>
      <c r="P43" s="10">
        <v>110</v>
      </c>
      <c r="Q43" s="10">
        <v>6</v>
      </c>
      <c r="R43" s="10">
        <v>3</v>
      </c>
      <c r="S43" s="10">
        <v>1</v>
      </c>
      <c r="T43"/>
      <c r="U43"/>
      <c r="V43"/>
      <c r="W43"/>
      <c r="X43"/>
      <c r="Z43"/>
      <c r="AA43">
        <v>2015</v>
      </c>
      <c r="AB43" t="e">
        <f t="shared" si="2"/>
        <v>#N/A</v>
      </c>
      <c r="AC43"/>
      <c r="AD43"/>
      <c r="AE43">
        <v>2015</v>
      </c>
      <c r="AF43">
        <f t="shared" si="3"/>
        <v>85</v>
      </c>
      <c r="AG43"/>
    </row>
    <row r="44" spans="1:33" x14ac:dyDescent="0.25">
      <c r="A44" s="44" t="s">
        <v>1457</v>
      </c>
      <c r="B44" s="10">
        <v>1</v>
      </c>
      <c r="C44"/>
      <c r="D44"/>
      <c r="F44"/>
      <c r="G44" s="44" t="s">
        <v>1873</v>
      </c>
      <c r="H44" s="10">
        <v>31</v>
      </c>
      <c r="I44" s="10">
        <v>4</v>
      </c>
      <c r="J44" s="10">
        <v>2</v>
      </c>
      <c r="K44"/>
      <c r="L44"/>
      <c r="M44"/>
      <c r="N44"/>
      <c r="O44" s="44" t="s">
        <v>1869</v>
      </c>
      <c r="P44" s="10">
        <v>46</v>
      </c>
      <c r="Q44" s="10">
        <v>6</v>
      </c>
      <c r="R44" s="10">
        <v>1</v>
      </c>
      <c r="S44" s="10">
        <v>2</v>
      </c>
      <c r="T44"/>
      <c r="U44"/>
      <c r="V44"/>
      <c r="W44"/>
      <c r="X44"/>
      <c r="Z44"/>
      <c r="AA44">
        <v>2016</v>
      </c>
      <c r="AB44">
        <f t="shared" si="2"/>
        <v>114</v>
      </c>
      <c r="AC44"/>
      <c r="AD44"/>
      <c r="AE44">
        <v>2016</v>
      </c>
      <c r="AF44">
        <f t="shared" si="3"/>
        <v>15</v>
      </c>
      <c r="AG44"/>
    </row>
    <row r="45" spans="1:33" x14ac:dyDescent="0.25">
      <c r="A45" s="44" t="s">
        <v>290</v>
      </c>
      <c r="B45" s="10">
        <v>58</v>
      </c>
      <c r="C45"/>
      <c r="D45"/>
      <c r="F45"/>
      <c r="G45" s="44" t="s">
        <v>1869</v>
      </c>
      <c r="H45" s="10">
        <v>125</v>
      </c>
      <c r="I45" s="10">
        <v>6</v>
      </c>
      <c r="J45" s="10">
        <v>4</v>
      </c>
      <c r="K45"/>
      <c r="L45"/>
      <c r="M45"/>
      <c r="N45"/>
      <c r="O45" s="44" t="s">
        <v>1874</v>
      </c>
      <c r="P45" s="10">
        <v>36</v>
      </c>
      <c r="Q45" s="10">
        <v>5</v>
      </c>
      <c r="R45" s="10">
        <v>1</v>
      </c>
      <c r="S45" s="10">
        <v>2</v>
      </c>
      <c r="T45"/>
      <c r="U45"/>
      <c r="V45"/>
      <c r="W45"/>
      <c r="X45"/>
      <c r="Z45"/>
      <c r="AA45">
        <v>2017</v>
      </c>
      <c r="AB45">
        <f t="shared" si="2"/>
        <v>10</v>
      </c>
      <c r="AC45"/>
      <c r="AD45"/>
      <c r="AE45">
        <v>2017</v>
      </c>
      <c r="AF45">
        <f t="shared" si="3"/>
        <v>35</v>
      </c>
      <c r="AG45"/>
    </row>
    <row r="46" spans="1:33" x14ac:dyDescent="0.25">
      <c r="A46" s="44" t="s">
        <v>1961</v>
      </c>
      <c r="B46" s="10">
        <v>186</v>
      </c>
      <c r="C46"/>
      <c r="D46"/>
      <c r="F46"/>
      <c r="G46" s="44" t="s">
        <v>1874</v>
      </c>
      <c r="H46" s="10">
        <v>20</v>
      </c>
      <c r="I46" s="10">
        <v>2</v>
      </c>
      <c r="J46" s="10"/>
      <c r="K46"/>
      <c r="L46"/>
      <c r="M46"/>
      <c r="N46"/>
      <c r="O46" s="44" t="s">
        <v>1876</v>
      </c>
      <c r="P46" s="10">
        <v>6</v>
      </c>
      <c r="Q46" s="10">
        <v>2</v>
      </c>
      <c r="R46" s="10"/>
      <c r="S46" s="10"/>
      <c r="T46"/>
      <c r="U46"/>
      <c r="V46"/>
      <c r="W46"/>
      <c r="X46"/>
      <c r="Z46"/>
      <c r="AA46">
        <v>2018</v>
      </c>
      <c r="AB46">
        <f t="shared" si="2"/>
        <v>25</v>
      </c>
      <c r="AC46"/>
      <c r="AD46"/>
      <c r="AE46">
        <v>2018</v>
      </c>
      <c r="AF46">
        <f t="shared" si="3"/>
        <v>8</v>
      </c>
      <c r="AG46"/>
    </row>
    <row r="47" spans="1:33" x14ac:dyDescent="0.25">
      <c r="A47"/>
      <c r="B47"/>
      <c r="C47"/>
      <c r="D47"/>
      <c r="F47"/>
      <c r="G47" s="44" t="s">
        <v>1876</v>
      </c>
      <c r="H47" s="10">
        <v>20</v>
      </c>
      <c r="I47" s="10">
        <v>5</v>
      </c>
      <c r="J47" s="10">
        <v>2</v>
      </c>
      <c r="K47"/>
      <c r="L47"/>
      <c r="M47"/>
      <c r="N47"/>
      <c r="O47"/>
      <c r="P47"/>
      <c r="Q47"/>
      <c r="R47"/>
      <c r="S47"/>
      <c r="T47"/>
      <c r="U47"/>
      <c r="V47"/>
      <c r="W47"/>
      <c r="X47"/>
      <c r="Z47"/>
      <c r="AA47">
        <v>2019</v>
      </c>
      <c r="AB47">
        <f t="shared" si="2"/>
        <v>1</v>
      </c>
      <c r="AC47"/>
      <c r="AD47"/>
      <c r="AE47">
        <v>2019</v>
      </c>
      <c r="AF47" t="e">
        <f t="shared" si="3"/>
        <v>#N/A</v>
      </c>
      <c r="AG47"/>
    </row>
    <row r="48" spans="1:33" x14ac:dyDescent="0.25">
      <c r="A48"/>
      <c r="B48"/>
      <c r="C48"/>
      <c r="D48"/>
      <c r="F48"/>
      <c r="G48" s="44" t="s">
        <v>1877</v>
      </c>
      <c r="H48" s="10">
        <v>2</v>
      </c>
      <c r="I48" s="10"/>
      <c r="J48" s="10"/>
      <c r="K48"/>
      <c r="L48"/>
      <c r="M48"/>
      <c r="N48"/>
      <c r="O48"/>
      <c r="P48"/>
      <c r="Q48"/>
      <c r="R48"/>
      <c r="S48"/>
      <c r="T48"/>
      <c r="U48"/>
      <c r="V48"/>
      <c r="W48"/>
      <c r="X48"/>
      <c r="Z48"/>
      <c r="AA48">
        <v>2020</v>
      </c>
      <c r="AB48" t="e">
        <f t="shared" si="2"/>
        <v>#N/A</v>
      </c>
      <c r="AC48"/>
      <c r="AD48"/>
      <c r="AE48">
        <v>2020</v>
      </c>
      <c r="AF48" t="e">
        <f t="shared" si="3"/>
        <v>#N/A</v>
      </c>
      <c r="AG48"/>
    </row>
    <row r="49" spans="1:33" ht="21" x14ac:dyDescent="0.35">
      <c r="A49"/>
      <c r="B49"/>
      <c r="C49"/>
      <c r="D49"/>
      <c r="F49"/>
      <c r="G49" s="44" t="s">
        <v>1878</v>
      </c>
      <c r="H49" s="10">
        <v>1</v>
      </c>
      <c r="I49" s="10"/>
      <c r="J49" s="10"/>
      <c r="K49"/>
      <c r="L49"/>
      <c r="M49"/>
      <c r="N49"/>
      <c r="O49" s="149" t="s">
        <v>1925</v>
      </c>
      <c r="P49"/>
      <c r="Q49"/>
      <c r="R49"/>
      <c r="S49"/>
      <c r="T49"/>
      <c r="U49"/>
      <c r="V49"/>
      <c r="W49"/>
      <c r="X49"/>
      <c r="Z49"/>
      <c r="AA49">
        <v>2021</v>
      </c>
      <c r="AB49">
        <f t="shared" si="2"/>
        <v>1</v>
      </c>
      <c r="AC49"/>
      <c r="AD49"/>
      <c r="AE49">
        <v>2021</v>
      </c>
      <c r="AF49" t="e">
        <f t="shared" si="3"/>
        <v>#N/A</v>
      </c>
      <c r="AG49"/>
    </row>
    <row r="50" spans="1:33" x14ac:dyDescent="0.25">
      <c r="A50"/>
      <c r="B50"/>
      <c r="C50"/>
      <c r="D50"/>
      <c r="F50"/>
      <c r="G50" s="44" t="s">
        <v>1879</v>
      </c>
      <c r="H50" s="10">
        <v>1</v>
      </c>
      <c r="I50" s="10"/>
      <c r="J50" s="10"/>
      <c r="K50"/>
      <c r="L50"/>
      <c r="M50"/>
      <c r="N50"/>
      <c r="O50"/>
      <c r="P50" t="s">
        <v>8</v>
      </c>
      <c r="Q50" t="s">
        <v>5</v>
      </c>
      <c r="R50" t="s">
        <v>122</v>
      </c>
      <c r="S50" t="s">
        <v>67</v>
      </c>
      <c r="T50"/>
      <c r="U50"/>
      <c r="V50"/>
      <c r="W50"/>
      <c r="X50"/>
      <c r="Z50"/>
      <c r="AA50"/>
      <c r="AB50"/>
      <c r="AC50"/>
      <c r="AD50"/>
      <c r="AE50"/>
      <c r="AF50"/>
      <c r="AG50"/>
    </row>
    <row r="51" spans="1:33" x14ac:dyDescent="0.25">
      <c r="A51"/>
      <c r="B51"/>
      <c r="C51"/>
      <c r="D51"/>
      <c r="F51"/>
      <c r="G51"/>
      <c r="H51"/>
      <c r="I51"/>
      <c r="J51"/>
      <c r="K51"/>
      <c r="L51"/>
      <c r="M51"/>
      <c r="N51"/>
      <c r="O51" s="44" t="s">
        <v>1892</v>
      </c>
      <c r="P51" t="e">
        <f t="shared" ref="P51:P73" si="4">VLOOKUP(O51,$O$28:$S$46,2,FALSE)</f>
        <v>#N/A</v>
      </c>
      <c r="Q51" t="e">
        <f t="shared" ref="Q51:Q73" si="5">VLOOKUP(O51,$O$28:$S$46,3,FALSE)</f>
        <v>#N/A</v>
      </c>
      <c r="R51" t="e">
        <f t="shared" ref="R51:R73" si="6">VLOOKUP(O51,$O$28:$S$46,3,FALSE)</f>
        <v>#N/A</v>
      </c>
      <c r="S51" t="e">
        <f t="shared" ref="S51:S73" si="7">VLOOKUP(O51,$O$28:$S$46,4,FALSE)</f>
        <v>#N/A</v>
      </c>
      <c r="T51"/>
      <c r="U51"/>
      <c r="V51"/>
      <c r="W51"/>
      <c r="X51"/>
      <c r="Z51"/>
      <c r="AA51"/>
      <c r="AB51"/>
      <c r="AC51"/>
      <c r="AD51"/>
      <c r="AE51"/>
      <c r="AF51"/>
      <c r="AG51"/>
    </row>
    <row r="52" spans="1:33" x14ac:dyDescent="0.25">
      <c r="A52"/>
      <c r="B52"/>
      <c r="C52"/>
      <c r="D52"/>
      <c r="F52"/>
      <c r="G52"/>
      <c r="H52"/>
      <c r="I52"/>
      <c r="J52"/>
      <c r="K52"/>
      <c r="L52"/>
      <c r="M52"/>
      <c r="N52"/>
      <c r="O52" s="44" t="s">
        <v>1893</v>
      </c>
      <c r="P52">
        <f t="shared" si="4"/>
        <v>31</v>
      </c>
      <c r="Q52">
        <f t="shared" si="5"/>
        <v>0</v>
      </c>
      <c r="R52">
        <f t="shared" si="6"/>
        <v>0</v>
      </c>
      <c r="S52">
        <f t="shared" si="7"/>
        <v>0</v>
      </c>
      <c r="T52"/>
      <c r="U52"/>
      <c r="V52"/>
      <c r="W52"/>
      <c r="X52"/>
      <c r="Z52"/>
      <c r="AA52"/>
      <c r="AB52"/>
      <c r="AC52"/>
      <c r="AD52"/>
      <c r="AE52"/>
      <c r="AF52"/>
      <c r="AG52"/>
    </row>
    <row r="53" spans="1:33" x14ac:dyDescent="0.25">
      <c r="A53"/>
      <c r="B53"/>
      <c r="C53"/>
      <c r="D53"/>
      <c r="F53"/>
      <c r="G53"/>
      <c r="H53"/>
      <c r="I53"/>
      <c r="J53"/>
      <c r="K53"/>
      <c r="L53"/>
      <c r="M53"/>
      <c r="N53"/>
      <c r="O53" s="44" t="s">
        <v>1875</v>
      </c>
      <c r="P53">
        <f t="shared" si="4"/>
        <v>32</v>
      </c>
      <c r="Q53">
        <f t="shared" si="5"/>
        <v>0</v>
      </c>
      <c r="R53">
        <f t="shared" si="6"/>
        <v>0</v>
      </c>
      <c r="S53">
        <f t="shared" si="7"/>
        <v>0</v>
      </c>
      <c r="T53"/>
      <c r="U53"/>
      <c r="V53"/>
      <c r="W53"/>
      <c r="X53"/>
      <c r="Z53"/>
      <c r="AA53"/>
      <c r="AB53"/>
      <c r="AC53"/>
      <c r="AD53"/>
      <c r="AE53"/>
      <c r="AF53"/>
      <c r="AG53"/>
    </row>
    <row r="54" spans="1:33" x14ac:dyDescent="0.25">
      <c r="A54"/>
      <c r="B54"/>
      <c r="C54"/>
      <c r="D54"/>
      <c r="F54"/>
      <c r="G54"/>
      <c r="H54"/>
      <c r="I54"/>
      <c r="J54"/>
      <c r="K54"/>
      <c r="L54"/>
      <c r="M54"/>
      <c r="N54"/>
      <c r="O54" s="44" t="s">
        <v>1872</v>
      </c>
      <c r="P54">
        <f t="shared" si="4"/>
        <v>0</v>
      </c>
      <c r="Q54">
        <f t="shared" si="5"/>
        <v>1</v>
      </c>
      <c r="R54">
        <f t="shared" si="6"/>
        <v>1</v>
      </c>
      <c r="S54">
        <f t="shared" si="7"/>
        <v>0</v>
      </c>
      <c r="T54"/>
      <c r="U54"/>
      <c r="V54"/>
      <c r="W54"/>
      <c r="X54"/>
      <c r="Z54"/>
      <c r="AA54"/>
      <c r="AB54"/>
      <c r="AC54"/>
      <c r="AD54"/>
      <c r="AE54"/>
      <c r="AF54"/>
      <c r="AG54"/>
    </row>
    <row r="55" spans="1:33" x14ac:dyDescent="0.25">
      <c r="A55"/>
      <c r="B55"/>
      <c r="C55"/>
      <c r="D55"/>
      <c r="F55"/>
      <c r="G55"/>
      <c r="H55"/>
      <c r="I55"/>
      <c r="J55"/>
      <c r="K55"/>
      <c r="L55"/>
      <c r="M55"/>
      <c r="N55"/>
      <c r="O55" s="44" t="s">
        <v>1886</v>
      </c>
      <c r="P55">
        <f t="shared" si="4"/>
        <v>2</v>
      </c>
      <c r="Q55">
        <f t="shared" si="5"/>
        <v>2</v>
      </c>
      <c r="R55">
        <f t="shared" si="6"/>
        <v>2</v>
      </c>
      <c r="S55">
        <f t="shared" si="7"/>
        <v>0</v>
      </c>
      <c r="T55"/>
      <c r="U55"/>
      <c r="V55"/>
      <c r="W55"/>
      <c r="X55"/>
      <c r="Z55"/>
      <c r="AA55"/>
      <c r="AB55"/>
      <c r="AC55"/>
      <c r="AD55"/>
      <c r="AE55"/>
      <c r="AF55"/>
      <c r="AG55"/>
    </row>
    <row r="56" spans="1:33" x14ac:dyDescent="0.25">
      <c r="A56"/>
      <c r="B56"/>
      <c r="C56"/>
      <c r="D56"/>
      <c r="F56"/>
      <c r="G56"/>
      <c r="H56"/>
      <c r="I56"/>
      <c r="J56"/>
      <c r="K56"/>
      <c r="L56"/>
      <c r="M56"/>
      <c r="N56"/>
      <c r="O56" s="44" t="s">
        <v>1887</v>
      </c>
      <c r="P56">
        <f t="shared" si="4"/>
        <v>2</v>
      </c>
      <c r="Q56">
        <f t="shared" si="5"/>
        <v>2</v>
      </c>
      <c r="R56">
        <f t="shared" si="6"/>
        <v>2</v>
      </c>
      <c r="S56">
        <f t="shared" si="7"/>
        <v>0</v>
      </c>
      <c r="T56"/>
      <c r="U56"/>
      <c r="V56"/>
      <c r="W56"/>
      <c r="X56"/>
      <c r="Z56"/>
      <c r="AA56"/>
      <c r="AB56"/>
      <c r="AC56"/>
      <c r="AD56"/>
      <c r="AE56"/>
      <c r="AF56"/>
      <c r="AG56"/>
    </row>
    <row r="57" spans="1:33" x14ac:dyDescent="0.25">
      <c r="A57"/>
      <c r="B57"/>
      <c r="C57"/>
      <c r="D57"/>
      <c r="F57"/>
      <c r="G57"/>
      <c r="H57"/>
      <c r="I57"/>
      <c r="J57"/>
      <c r="K57"/>
      <c r="L57"/>
      <c r="M57"/>
      <c r="N57"/>
      <c r="O57" s="44" t="s">
        <v>1882</v>
      </c>
      <c r="P57">
        <f t="shared" si="4"/>
        <v>2</v>
      </c>
      <c r="Q57">
        <f t="shared" si="5"/>
        <v>3</v>
      </c>
      <c r="R57">
        <f t="shared" si="6"/>
        <v>3</v>
      </c>
      <c r="S57">
        <f t="shared" si="7"/>
        <v>0</v>
      </c>
      <c r="T57"/>
      <c r="U57"/>
      <c r="V57"/>
      <c r="W57"/>
      <c r="X57"/>
      <c r="Z57"/>
      <c r="AA57"/>
      <c r="AB57"/>
      <c r="AC57"/>
      <c r="AD57"/>
      <c r="AE57"/>
      <c r="AF57"/>
      <c r="AG57"/>
    </row>
    <row r="58" spans="1:33" x14ac:dyDescent="0.25">
      <c r="A58"/>
      <c r="B58"/>
      <c r="C58"/>
      <c r="D58"/>
      <c r="F58"/>
      <c r="G58"/>
      <c r="H58"/>
      <c r="I58"/>
      <c r="J58"/>
      <c r="K58"/>
      <c r="L58"/>
      <c r="M58"/>
      <c r="N58"/>
      <c r="O58" s="44" t="s">
        <v>1883</v>
      </c>
      <c r="P58">
        <f t="shared" si="4"/>
        <v>1</v>
      </c>
      <c r="Q58">
        <f t="shared" si="5"/>
        <v>3</v>
      </c>
      <c r="R58">
        <f t="shared" si="6"/>
        <v>3</v>
      </c>
      <c r="S58">
        <f t="shared" si="7"/>
        <v>0</v>
      </c>
      <c r="T58"/>
      <c r="U58"/>
      <c r="V58"/>
      <c r="W58"/>
      <c r="X58"/>
      <c r="Z58"/>
      <c r="AA58"/>
      <c r="AB58"/>
      <c r="AC58"/>
      <c r="AD58"/>
      <c r="AE58"/>
      <c r="AF58"/>
      <c r="AG58"/>
    </row>
    <row r="59" spans="1:33" x14ac:dyDescent="0.25">
      <c r="A59"/>
      <c r="B59"/>
      <c r="C59"/>
      <c r="D59"/>
      <c r="F59"/>
      <c r="G59"/>
      <c r="H59"/>
      <c r="I59"/>
      <c r="J59"/>
      <c r="K59"/>
      <c r="L59"/>
      <c r="M59"/>
      <c r="N59"/>
      <c r="O59" s="44" t="s">
        <v>1888</v>
      </c>
      <c r="P59">
        <f t="shared" si="4"/>
        <v>2</v>
      </c>
      <c r="Q59">
        <f t="shared" si="5"/>
        <v>3</v>
      </c>
      <c r="R59">
        <f t="shared" si="6"/>
        <v>3</v>
      </c>
      <c r="S59">
        <f t="shared" si="7"/>
        <v>0</v>
      </c>
      <c r="T59"/>
      <c r="U59"/>
      <c r="V59"/>
      <c r="W59"/>
      <c r="X59"/>
      <c r="Z59"/>
      <c r="AA59"/>
      <c r="AB59"/>
      <c r="AC59"/>
      <c r="AD59"/>
      <c r="AE59"/>
      <c r="AF59"/>
      <c r="AG59"/>
    </row>
    <row r="60" spans="1:33" x14ac:dyDescent="0.25">
      <c r="A60"/>
      <c r="B60"/>
      <c r="C60"/>
      <c r="D60"/>
      <c r="F60"/>
      <c r="G60"/>
      <c r="H60"/>
      <c r="I60"/>
      <c r="J60"/>
      <c r="K60"/>
      <c r="L60"/>
      <c r="M60"/>
      <c r="N60"/>
      <c r="O60" s="44" t="s">
        <v>1884</v>
      </c>
      <c r="P60">
        <f t="shared" si="4"/>
        <v>2</v>
      </c>
      <c r="Q60">
        <f t="shared" si="5"/>
        <v>3</v>
      </c>
      <c r="R60">
        <f t="shared" si="6"/>
        <v>3</v>
      </c>
      <c r="S60">
        <f t="shared" si="7"/>
        <v>0</v>
      </c>
      <c r="T60"/>
      <c r="U60"/>
      <c r="V60"/>
      <c r="W60"/>
      <c r="X60"/>
      <c r="Z60"/>
      <c r="AA60"/>
      <c r="AB60"/>
      <c r="AC60"/>
      <c r="AD60"/>
      <c r="AE60"/>
      <c r="AF60"/>
      <c r="AG60"/>
    </row>
    <row r="61" spans="1:33" x14ac:dyDescent="0.25">
      <c r="A61"/>
      <c r="B61"/>
      <c r="C61"/>
      <c r="D61"/>
      <c r="F61"/>
      <c r="G61"/>
      <c r="H61"/>
      <c r="I61"/>
      <c r="J61"/>
      <c r="K61"/>
      <c r="L61"/>
      <c r="M61"/>
      <c r="N61"/>
      <c r="O61" s="44" t="s">
        <v>1889</v>
      </c>
      <c r="P61">
        <f t="shared" si="4"/>
        <v>2</v>
      </c>
      <c r="Q61">
        <f t="shared" si="5"/>
        <v>3</v>
      </c>
      <c r="R61">
        <f t="shared" si="6"/>
        <v>3</v>
      </c>
      <c r="S61">
        <f t="shared" si="7"/>
        <v>0</v>
      </c>
      <c r="T61"/>
      <c r="U61"/>
      <c r="V61"/>
      <c r="W61"/>
      <c r="X61"/>
      <c r="Z61"/>
      <c r="AA61"/>
      <c r="AB61"/>
      <c r="AC61"/>
      <c r="AD61"/>
      <c r="AE61"/>
      <c r="AF61"/>
      <c r="AG61"/>
    </row>
    <row r="62" spans="1:33" x14ac:dyDescent="0.25">
      <c r="A62"/>
      <c r="B62"/>
      <c r="C62"/>
      <c r="D62"/>
      <c r="F62"/>
      <c r="G62"/>
      <c r="H62"/>
      <c r="I62"/>
      <c r="J62"/>
      <c r="K62"/>
      <c r="L62"/>
      <c r="M62"/>
      <c r="N62"/>
      <c r="O62" s="44" t="s">
        <v>1885</v>
      </c>
      <c r="P62">
        <f t="shared" si="4"/>
        <v>6</v>
      </c>
      <c r="Q62">
        <f t="shared" si="5"/>
        <v>4</v>
      </c>
      <c r="R62">
        <f t="shared" si="6"/>
        <v>4</v>
      </c>
      <c r="S62">
        <f t="shared" si="7"/>
        <v>0</v>
      </c>
      <c r="T62"/>
      <c r="U62"/>
      <c r="V62"/>
      <c r="W62"/>
      <c r="X62"/>
      <c r="Z62"/>
      <c r="AA62"/>
      <c r="AB62"/>
      <c r="AC62"/>
      <c r="AD62"/>
      <c r="AE62"/>
      <c r="AF62"/>
      <c r="AG62"/>
    </row>
    <row r="63" spans="1:33" x14ac:dyDescent="0.25">
      <c r="A63"/>
      <c r="B63"/>
      <c r="C63"/>
      <c r="D63"/>
      <c r="F63"/>
      <c r="G63"/>
      <c r="H63"/>
      <c r="I63"/>
      <c r="J63"/>
      <c r="K63"/>
      <c r="L63"/>
      <c r="M63"/>
      <c r="N63"/>
      <c r="O63" s="44" t="s">
        <v>1870</v>
      </c>
      <c r="P63">
        <f t="shared" si="4"/>
        <v>93</v>
      </c>
      <c r="Q63">
        <f t="shared" si="5"/>
        <v>7</v>
      </c>
      <c r="R63">
        <f t="shared" si="6"/>
        <v>7</v>
      </c>
      <c r="S63">
        <f t="shared" si="7"/>
        <v>2</v>
      </c>
      <c r="T63"/>
      <c r="U63"/>
      <c r="V63"/>
      <c r="W63"/>
      <c r="X63"/>
      <c r="Z63"/>
      <c r="AA63"/>
      <c r="AB63"/>
      <c r="AC63"/>
      <c r="AD63"/>
      <c r="AE63"/>
      <c r="AF63"/>
      <c r="AG63"/>
    </row>
    <row r="64" spans="1:33" x14ac:dyDescent="0.25">
      <c r="A64"/>
      <c r="B64"/>
      <c r="C64"/>
      <c r="D64"/>
      <c r="F64"/>
      <c r="G64"/>
      <c r="H64"/>
      <c r="I64"/>
      <c r="J64"/>
      <c r="K64"/>
      <c r="L64"/>
      <c r="M64"/>
      <c r="N64"/>
      <c r="O64" s="44" t="s">
        <v>1871</v>
      </c>
      <c r="P64">
        <f t="shared" si="4"/>
        <v>21</v>
      </c>
      <c r="Q64">
        <f t="shared" si="5"/>
        <v>7</v>
      </c>
      <c r="R64">
        <f t="shared" si="6"/>
        <v>7</v>
      </c>
      <c r="S64">
        <f t="shared" si="7"/>
        <v>2</v>
      </c>
      <c r="T64"/>
      <c r="U64"/>
      <c r="V64"/>
      <c r="W64"/>
      <c r="X64"/>
      <c r="Z64"/>
      <c r="AA64"/>
      <c r="AB64"/>
      <c r="AC64"/>
      <c r="AD64"/>
      <c r="AE64"/>
      <c r="AF64"/>
      <c r="AG64"/>
    </row>
    <row r="65" spans="1:33" x14ac:dyDescent="0.25">
      <c r="A65"/>
      <c r="B65"/>
      <c r="C65"/>
      <c r="D65"/>
      <c r="F65"/>
      <c r="G65"/>
      <c r="H65"/>
      <c r="I65"/>
      <c r="J65"/>
      <c r="K65"/>
      <c r="L65"/>
      <c r="M65"/>
      <c r="N65"/>
      <c r="O65" s="44" t="s">
        <v>1880</v>
      </c>
      <c r="P65">
        <f t="shared" si="4"/>
        <v>31</v>
      </c>
      <c r="Q65">
        <f t="shared" si="5"/>
        <v>6</v>
      </c>
      <c r="R65">
        <f t="shared" si="6"/>
        <v>6</v>
      </c>
      <c r="S65">
        <f t="shared" si="7"/>
        <v>3</v>
      </c>
      <c r="T65"/>
      <c r="U65"/>
      <c r="V65"/>
      <c r="W65"/>
      <c r="X65"/>
      <c r="Z65"/>
      <c r="AA65"/>
      <c r="AB65"/>
      <c r="AC65"/>
      <c r="AD65"/>
      <c r="AE65"/>
      <c r="AF65"/>
      <c r="AG65"/>
    </row>
    <row r="66" spans="1:33" x14ac:dyDescent="0.25">
      <c r="A66"/>
      <c r="B66"/>
      <c r="C66"/>
      <c r="D66"/>
      <c r="F66"/>
      <c r="G66"/>
      <c r="H66"/>
      <c r="I66"/>
      <c r="J66"/>
      <c r="K66"/>
      <c r="L66"/>
      <c r="M66"/>
      <c r="N66"/>
      <c r="O66" s="44" t="s">
        <v>1881</v>
      </c>
      <c r="P66">
        <f t="shared" si="4"/>
        <v>36</v>
      </c>
      <c r="Q66">
        <f t="shared" si="5"/>
        <v>6</v>
      </c>
      <c r="R66">
        <f t="shared" si="6"/>
        <v>6</v>
      </c>
      <c r="S66">
        <f t="shared" si="7"/>
        <v>3</v>
      </c>
      <c r="T66"/>
      <c r="U66"/>
      <c r="V66"/>
      <c r="W66"/>
      <c r="X66"/>
      <c r="Z66"/>
      <c r="AA66"/>
      <c r="AB66"/>
      <c r="AC66"/>
      <c r="AD66"/>
      <c r="AE66"/>
      <c r="AF66"/>
      <c r="AG66"/>
    </row>
    <row r="67" spans="1:33" x14ac:dyDescent="0.25">
      <c r="A67"/>
      <c r="B67"/>
      <c r="C67"/>
      <c r="D67"/>
      <c r="F67"/>
      <c r="G67"/>
      <c r="H67"/>
      <c r="I67"/>
      <c r="J67"/>
      <c r="K67"/>
      <c r="L67"/>
      <c r="M67"/>
      <c r="N67"/>
      <c r="O67" s="44" t="s">
        <v>1873</v>
      </c>
      <c r="P67">
        <f t="shared" si="4"/>
        <v>110</v>
      </c>
      <c r="Q67">
        <f t="shared" si="5"/>
        <v>6</v>
      </c>
      <c r="R67">
        <f t="shared" si="6"/>
        <v>6</v>
      </c>
      <c r="S67">
        <f t="shared" si="7"/>
        <v>3</v>
      </c>
      <c r="T67"/>
      <c r="U67"/>
      <c r="V67"/>
      <c r="W67"/>
      <c r="X67"/>
      <c r="Z67"/>
      <c r="AA67"/>
      <c r="AB67"/>
      <c r="AC67"/>
      <c r="AD67"/>
      <c r="AE67"/>
      <c r="AF67"/>
      <c r="AG67"/>
    </row>
    <row r="68" spans="1:33" x14ac:dyDescent="0.25">
      <c r="A68"/>
      <c r="B68"/>
      <c r="C68"/>
      <c r="D68"/>
      <c r="F68"/>
      <c r="G68"/>
      <c r="H68"/>
      <c r="I68"/>
      <c r="J68"/>
      <c r="K68"/>
      <c r="L68"/>
      <c r="M68"/>
      <c r="N68"/>
      <c r="O68" s="44" t="s">
        <v>1869</v>
      </c>
      <c r="P68">
        <f t="shared" si="4"/>
        <v>46</v>
      </c>
      <c r="Q68">
        <f t="shared" si="5"/>
        <v>6</v>
      </c>
      <c r="R68">
        <f t="shared" si="6"/>
        <v>6</v>
      </c>
      <c r="S68">
        <f t="shared" si="7"/>
        <v>1</v>
      </c>
      <c r="T68"/>
      <c r="U68"/>
      <c r="V68"/>
      <c r="W68"/>
      <c r="X68"/>
      <c r="Z68"/>
      <c r="AA68"/>
      <c r="AB68"/>
      <c r="AC68"/>
      <c r="AD68"/>
      <c r="AE68"/>
      <c r="AF68"/>
      <c r="AG68"/>
    </row>
    <row r="69" spans="1:33" x14ac:dyDescent="0.25">
      <c r="A69"/>
      <c r="B69"/>
      <c r="C69"/>
      <c r="D69"/>
      <c r="F69"/>
      <c r="G69"/>
      <c r="H69"/>
      <c r="I69"/>
      <c r="J69"/>
      <c r="K69"/>
      <c r="L69"/>
      <c r="M69"/>
      <c r="N69"/>
      <c r="O69" s="44" t="s">
        <v>1874</v>
      </c>
      <c r="P69">
        <f t="shared" si="4"/>
        <v>36</v>
      </c>
      <c r="Q69">
        <f t="shared" si="5"/>
        <v>5</v>
      </c>
      <c r="R69">
        <f t="shared" si="6"/>
        <v>5</v>
      </c>
      <c r="S69">
        <f t="shared" si="7"/>
        <v>1</v>
      </c>
      <c r="T69"/>
      <c r="U69"/>
      <c r="V69"/>
      <c r="W69"/>
      <c r="X69"/>
      <c r="Z69"/>
      <c r="AA69"/>
      <c r="AB69"/>
      <c r="AC69"/>
      <c r="AD69"/>
      <c r="AE69"/>
      <c r="AF69"/>
      <c r="AG69"/>
    </row>
    <row r="70" spans="1:33" x14ac:dyDescent="0.25">
      <c r="A70"/>
      <c r="B70"/>
      <c r="C70"/>
      <c r="D70"/>
      <c r="F70"/>
      <c r="G70"/>
      <c r="H70"/>
      <c r="I70"/>
      <c r="J70"/>
      <c r="K70"/>
      <c r="L70"/>
      <c r="M70"/>
      <c r="N70"/>
      <c r="O70" s="44" t="s">
        <v>1876</v>
      </c>
      <c r="P70">
        <f t="shared" si="4"/>
        <v>6</v>
      </c>
      <c r="Q70">
        <f t="shared" si="5"/>
        <v>2</v>
      </c>
      <c r="R70">
        <f t="shared" si="6"/>
        <v>2</v>
      </c>
      <c r="S70">
        <f t="shared" si="7"/>
        <v>0</v>
      </c>
      <c r="T70"/>
      <c r="U70"/>
      <c r="V70"/>
      <c r="W70"/>
      <c r="X70"/>
      <c r="Z70"/>
      <c r="AA70"/>
      <c r="AB70"/>
      <c r="AC70"/>
      <c r="AD70"/>
      <c r="AE70"/>
      <c r="AF70"/>
      <c r="AG70"/>
    </row>
    <row r="71" spans="1:33" x14ac:dyDescent="0.25">
      <c r="A71"/>
      <c r="B71"/>
      <c r="C71"/>
      <c r="D71"/>
      <c r="F71"/>
      <c r="G71"/>
      <c r="H71"/>
      <c r="I71"/>
      <c r="J71"/>
      <c r="K71"/>
      <c r="L71"/>
      <c r="M71"/>
      <c r="N71"/>
      <c r="O71" s="44" t="s">
        <v>1877</v>
      </c>
      <c r="P71" t="e">
        <f t="shared" si="4"/>
        <v>#N/A</v>
      </c>
      <c r="Q71" t="e">
        <f t="shared" si="5"/>
        <v>#N/A</v>
      </c>
      <c r="R71" t="e">
        <f t="shared" si="6"/>
        <v>#N/A</v>
      </c>
      <c r="S71" t="e">
        <f t="shared" si="7"/>
        <v>#N/A</v>
      </c>
      <c r="T71"/>
      <c r="U71"/>
      <c r="V71"/>
      <c r="W71"/>
      <c r="X71"/>
      <c r="Z71"/>
      <c r="AA71"/>
      <c r="AB71"/>
      <c r="AC71"/>
      <c r="AD71"/>
      <c r="AE71"/>
      <c r="AF71"/>
      <c r="AG71"/>
    </row>
    <row r="72" spans="1:33" x14ac:dyDescent="0.25">
      <c r="A72"/>
      <c r="B72"/>
      <c r="C72"/>
      <c r="D72"/>
      <c r="F72"/>
      <c r="G72"/>
      <c r="H72"/>
      <c r="I72"/>
      <c r="J72"/>
      <c r="K72"/>
      <c r="L72"/>
      <c r="M72"/>
      <c r="N72"/>
      <c r="O72" s="44" t="s">
        <v>1878</v>
      </c>
      <c r="P72" t="e">
        <f t="shared" si="4"/>
        <v>#N/A</v>
      </c>
      <c r="Q72" t="e">
        <f t="shared" si="5"/>
        <v>#N/A</v>
      </c>
      <c r="R72" t="e">
        <f t="shared" si="6"/>
        <v>#N/A</v>
      </c>
      <c r="S72" t="e">
        <f t="shared" si="7"/>
        <v>#N/A</v>
      </c>
      <c r="T72"/>
      <c r="U72"/>
      <c r="V72"/>
      <c r="W72"/>
      <c r="X72"/>
      <c r="Z72"/>
      <c r="AA72"/>
      <c r="AB72"/>
      <c r="AC72"/>
      <c r="AD72"/>
      <c r="AE72"/>
      <c r="AF72"/>
      <c r="AG72"/>
    </row>
    <row r="73" spans="1:33" x14ac:dyDescent="0.25">
      <c r="A73"/>
      <c r="B73"/>
      <c r="C73"/>
      <c r="D73"/>
      <c r="F73"/>
      <c r="G73"/>
      <c r="H73"/>
      <c r="I73"/>
      <c r="J73"/>
      <c r="K73"/>
      <c r="L73"/>
      <c r="M73"/>
      <c r="N73"/>
      <c r="O73" s="44" t="s">
        <v>1879</v>
      </c>
      <c r="P73" t="e">
        <f t="shared" si="4"/>
        <v>#N/A</v>
      </c>
      <c r="Q73" t="e">
        <f t="shared" si="5"/>
        <v>#N/A</v>
      </c>
      <c r="R73" t="e">
        <f t="shared" si="6"/>
        <v>#N/A</v>
      </c>
      <c r="S73" t="e">
        <f t="shared" si="7"/>
        <v>#N/A</v>
      </c>
      <c r="T73"/>
      <c r="U73"/>
      <c r="V73"/>
      <c r="W73"/>
      <c r="X73"/>
      <c r="Z73"/>
      <c r="AA73"/>
      <c r="AB73"/>
      <c r="AC73"/>
      <c r="AD73"/>
      <c r="AE73"/>
      <c r="AF73"/>
      <c r="AG73"/>
    </row>
    <row r="74" spans="1:33" x14ac:dyDescent="0.25">
      <c r="A74"/>
      <c r="B74"/>
      <c r="C74"/>
      <c r="D74"/>
      <c r="F74"/>
      <c r="G74"/>
      <c r="H74"/>
      <c r="I74"/>
      <c r="J74"/>
      <c r="K74"/>
      <c r="L74"/>
      <c r="M74"/>
      <c r="N74"/>
      <c r="O74"/>
      <c r="P74"/>
      <c r="Q74"/>
      <c r="R74"/>
      <c r="S74"/>
      <c r="T74"/>
      <c r="U74"/>
      <c r="V74"/>
      <c r="W74"/>
      <c r="X74"/>
      <c r="Z74"/>
      <c r="AA74"/>
      <c r="AB74"/>
      <c r="AC74"/>
      <c r="AD74"/>
      <c r="AE74"/>
      <c r="AF74"/>
      <c r="AG74"/>
    </row>
  </sheetData>
  <mergeCells count="3">
    <mergeCell ref="A2:C2"/>
    <mergeCell ref="G2:M2"/>
    <mergeCell ref="AA2:AC2"/>
  </mergeCells>
  <pageMargins left="0.7" right="0.7" top="0.75" bottom="0.75" header="0.3" footer="0.3"/>
  <pageSetup orientation="portrait" horizontalDpi="1200" verticalDpi="1200"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S h o w H i d d e n " > < C u s t o m C o n t e n t > < ! [ C D A T A [ T r u e ] ] > < / 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T a b l e O r d e r " > < C u s t o m C o n t e n t > < ! [ C D A T A [ E x p e n d i t u r e s - 1 a 1 0 c 5 0 7 - 7 a e 8 - 4 4 7 7 - a 3 a 8 - a f e 2 d 0 4 a e 9 1 e , B u d g e t s - 5 4 e a e 9 3 5 - 2 f 9 9 - 4 3 a 6 - a 0 c b - 2 8 f 2 c f f 7 7 1 d 0 , B u d g e t s - a 6 7 4 e 7 5 a - e 8 0 5 - 4 1 9 1 - 8 5 a b - 5 c 3 4 1 a 8 e 4 a d f , E x p e n d i t u r e s - 5 7 6 d 6 e c 1 - 8 d 4 2 - 4 1 d e - a c a b - 2 e 1 0 d 2 1 8 b 4 a 7 , E x p e n d i t u r e s - 7 f 2 4 d 2 b 9 - f 6 d 9 - 4 3 5 a - 8 c 1 4 - 5 a 1 2 e 7 e 8 9 e 9 c , A c t i v i t i e s - a b 9 2 4 f e 9 - 3 f 8 f - 4 c 3 7 - 8 f b 0 - d 6 e 2 1 0 2 c a 6 3 d ] ] > < / C u s t o m C o n t e n t > < / G e m i n i > 
</file>

<file path=customXml/item13.xml>��< ? x m l   v e r s i o n = " 1 . 0 "   e n c o d i n g = " U T F - 1 6 " ? > < G e m i n i   x m l n s = " h t t p : / / g e m i n i / p i v o t c u s t o m i z a t i o n / P o w e r P i v o t V e r s i o n " > < C u s t o m C o n t e n t > < ! [ C D A T A [ 2 0 1 5 . 1 3 0 . 8 0 0 . 8 6 9 ] ] > < / C u s t o m C o n t e n t > < / G e m i n i > 
</file>

<file path=customXml/item14.xml>��< ? x m l   v e r s i o n = " 1 . 0 "   e n c o d i n g = " U T F - 1 6 " ? > < G e m i n i   x m l n s = " h t t p : / / g e m i n i / p i v o t c u s t o m i z a t i o n / C l i e n t W i n d o w X M L " > < C u s t o m C o n t e n t > < ! [ C D A T A [ E x p e n d i t u r e s - 1 a 1 0 c 5 0 7 - 7 a e 8 - 4 4 7 7 - a 3 a 8 - a f e 2 d 0 4 a e 9 1 e ] ] > < / 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 E x p e n d i t u r e s - 1 a 1 0 c 5 0 7 - 7 a e 8 - 4 4 7 7 - a 3 a 8 - a f e 2 d 0 4 a e 9 1 e 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S a n d b o x N o n E m p t y " > < C u s t o m C o n t e n t > < ! [ C D A T A [ 1 ] ] > < / 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 E x p e n d i t u r e s 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 E x p e n d i t u r e s 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 T y p e   2 < / K e y > < / D i a g r a m O b j e c t K e y > < D i a g r a m O b j e c t K e y > < K e y > M e a s u r e s \ C o u n t   o f   T y p e   2 \ T a g I n f o \ F o r m u l a < / K e y > < / D i a g r a m O b j e c t K e y > < D i a g r a m O b j e c t K e y > < K e y > M e a s u r e s \ C o u n t   o f   T y p e   2 \ T a g I n f o \ V a l u e < / K e y > < / D i a g r a m O b j e c t K e y > < D i a g r a m O b j e c t K e y > < K e y > M e a s u r e s \ C o u n t   o f   J u r i s d i c t i o n   2 < / K e y > < / D i a g r a m O b j e c t K e y > < D i a g r a m O b j e c t K e y > < K e y > M e a s u r e s \ C o u n t   o f   J u r i s d i c t i o n   2 \ T a g I n f o \ F o r m u l a < / K e y > < / D i a g r a m O b j e c t K e y > < D i a g r a m O b j e c t K e y > < K e y > M e a s u r e s \ C o u n t   o f   J u r i s d i c t i o n   2 \ T a g I n f o \ V a l u e < / K e y > < / D i a g r a m O b j e c t K e y > < D i a g r a m O b j e c t K e y > < K e y > M e a s u r e s \ D i s t i n c t   C o u n t   o f   J u r i s d i c t i o n   2 < / K e y > < / D i a g r a m O b j e c t K e y > < D i a g r a m O b j e c t K e y > < K e y > M e a s u r e s \ D i s t i n c t   C o u n t   o f   J u r i s d i c t i o n   2 \ T a g I n f o \ F o r m u l a < / K e y > < / D i a g r a m O b j e c t K e y > < D i a g r a m O b j e c t K e y > < K e y > M e a s u r e s \ D i s t i n c t   C o u n t   o f   J u r i s d i c t i o n   2 \ T a g I n f o \ V a l u e < / K e y > < / D i a g r a m O b j e c t K e y > < D i a g r a m O b j e c t K e y > < K e y > M e a s u r e s \ S u m   o f   R e f e r e n c e   Y e a r   2 < / K e y > < / D i a g r a m O b j e c t K e y > < D i a g r a m O b j e c t K e y > < K e y > M e a s u r e s \ S u m   o f   R e f e r e n c e   Y e a r   2 \ T a g I n f o \ F o r m u l a < / K e y > < / D i a g r a m O b j e c t K e y > < D i a g r a m O b j e c t K e y > < K e y > M e a s u r e s \ S u m   o f   R e f e r e n c e   Y e a r   2 \ T a g I n f o \ V a l u e < / K e y > < / D i a g r a m O b j e c t K e y > < D i a g r a m O b j e c t K e y > < K e y > M e a s u r e s \ S u m   o f   2 0 1 8   $   V a l u e   2 < / K e y > < / D i a g r a m O b j e c t K e y > < D i a g r a m O b j e c t K e y > < K e y > M e a s u r e s \ S u m   o f   2 0 1 8   $   V a l u e   2 \ T a g I n f o \ F o r m u l a < / K e y > < / D i a g r a m O b j e c t K e y > < D i a g r a m O b j e c t K e y > < K e y > M e a s u r e s \ S u m   o f   2 0 1 8   $   V a l u e   2 \ T a g I n f o \ V a l u e < / K e y > < / D i a g r a m O b j e c t K e y > < D i a g r a m O b j e c t K e y > < K e y > M e a s u r e s \ A v e r a g e   o f   2 0 1 8   $   V a l u e   2 < / K e y > < / D i a g r a m O b j e c t K e y > < D i a g r a m O b j e c t K e y > < K e y > M e a s u r e s \ A v e r a g e   o f   2 0 1 8   $   V a l u e   2 \ T a g I n f o \ F o r m u l a < / K e y > < / D i a g r a m O b j e c t K e y > < D i a g r a m O b j e c t K e y > < K e y > M e a s u r e s \ A v e r a g e   o f   2 0 1 8   $   V a l u e   2 \ T a g I n f o \ V a l u e < / K e y > < / D i a g r a m O b j e c t K e y > < D i a g r a m O b j e c t K e y > < K e y > M e a s u r e s \ C o u n t   o f   $   B y   P o p u l a t i o n < / K e y > < / D i a g r a m O b j e c t K e y > < D i a g r a m O b j e c t K e y > < K e y > M e a s u r e s \ C o u n t   o f   $   B y   P o p u l a t i o n \ T a g I n f o \ F o r m u l a < / K e y > < / D i a g r a m O b j e c t K e y > < D i a g r a m O b j e c t K e y > < K e y > M e a s u r e s \ C o u n t   o f   $   B y   P o p u l a t i o n \ T a g I n f o \ V a l u e < / K e y > < / D i a g r a m O b j e c t K e y > < D i a g r a m O b j e c t K e y > < K e y > M e a s u r e s \ C o u n t   o f   $   B y   S q u a r e   M i l e < / K e y > < / D i a g r a m O b j e c t K e y > < D i a g r a m O b j e c t K e y > < K e y > M e a s u r e s \ C o u n t   o f   $   B y   S q u a r e   M i l e \ T a g I n f o \ F o r m u l a < / K e y > < / D i a g r a m O b j e c t K e y > < D i a g r a m O b j e c t K e y > < K e y > M e a s u r e s \ C o u n t   o f   $   B y   S q u a r e   M i l e \ T a g I n f o \ V a l u e < / K e y > < / D i a g r a m O b j e c t K e y > < D i a g r a m O b j e c t K e y > < K e y > C o l u m n s \ J u r i s d i c t i o n < / K e y > < / D i a g r a m O b j e c t K e y > < D i a g r a m O b j e c t K e y > < K e y > C o l u m n s \ T y p e < / K e y > < / D i a g r a m O b j e c t K e y > < D i a g r a m O b j e c t K e y > < K e y > C o l u m n s \ C o u n t y < / K e y > < / D i a g r a m O b j e c t K e y > < D i a g r a m O b j e c t K e y > < K e y > C o l u m n s \ R e g i o n a l   B o a r d < / K e y > < / D i a g r a m O b j e c t K e y > < D i a g r a m O b j e c t K e y > < K e y > C o l u m n s \ R e g i o n a l   B o a r d   # < / K e y > < / D i a g r a m O b j e c t K e y > < D i a g r a m O b j e c t K e y > < K e y > C o l u m n s \ P h a s e   I / I I < / K e y > < / D i a g r a m O b j e c t K e y > < D i a g r a m O b j e c t K e y > < K e y > C o l u m n s \ N o t e s < / K e y > < / D i a g r a m O b j e c t K e y > < D i a g r a m O b j e c t K e y > < K e y > C o l u m n s \ F i s c a l   Y e a r < / K e y > < / D i a g r a m O b j e c t K e y > < D i a g r a m O b j e c t K e y > < K e y > C o l u m n s \ R e f e r e n c e   Y e a r < / K e y > < / D i a g r a m O b j e c t K e y > < D i a g r a m O b j e c t K e y > < K e y > C o l u m n s \ V a l u e < / K e y > < / D i a g r a m O b j e c t K e y > < D i a g r a m O b j e c t K e y > < K e y > C o l u m n s \ 2 0 1 8   $   V a l u e < / K e y > < / D i a g r a m O b j e c t K e y > < D i a g r a m O b j e c t K e y > < K e y > C o l u m n s \ $   B y   P o p u l a t i o n < / K e y > < / D i a g r a m O b j e c t K e y > < D i a g r a m O b j e c t K e y > < K e y > C o l u m n s \ $   B y   S q u a r e   M i l e < / K e y > < / D i a g r a m O b j e c t K e y > < D i a g r a m O b j e c t K e y > < K e y > C o l u m n s \ C a t e g o r i z e d   A c t i v i t i e s   D a t a   A v a i l a b l e < / K e y > < / D i a g r a m O b j e c t K e y > < D i a g r a m O b j e c t K e y > < K e y > C o l u m n s \ R e p r e s e n t a t i v e   Y e a r < / K e y > < / D i a g r a m O b j e c t K e y > < D i a g r a m O b j e c t K e y > < K e y > L i n k s \ & l t ; C o l u m n s \ C o u n t   o f   T y p e   2 & g t ; - & l t ; M e a s u r e s \ T y p e & g t ; < / K e y > < / D i a g r a m O b j e c t K e y > < D i a g r a m O b j e c t K e y > < K e y > L i n k s \ & l t ; C o l u m n s \ C o u n t   o f   T y p e   2 & g t ; - & l t ; M e a s u r e s \ T y p e & g t ; \ C O L U M N < / K e y > < / D i a g r a m O b j e c t K e y > < D i a g r a m O b j e c t K e y > < K e y > L i n k s \ & l t ; C o l u m n s \ C o u n t   o f   T y p e   2 & g t ; - & l t ; M e a s u r e s \ T y p e & g t ; \ M E A S U R E < / K e y > < / D i a g r a m O b j e c t K e y > < D i a g r a m O b j e c t K e y > < K e y > L i n k s \ & l t ; C o l u m n s \ C o u n t   o f   J u r i s d i c t i o n   2 & g t ; - & l t ; M e a s u r e s \ J u r i s d i c t i o n & g t ; < / K e y > < / D i a g r a m O b j e c t K e y > < D i a g r a m O b j e c t K e y > < K e y > L i n k s \ & l t ; C o l u m n s \ C o u n t   o f   J u r i s d i c t i o n   2 & g t ; - & l t ; M e a s u r e s \ J u r i s d i c t i o n & g t ; \ C O L U M N < / K e y > < / D i a g r a m O b j e c t K e y > < D i a g r a m O b j e c t K e y > < K e y > L i n k s \ & l t ; C o l u m n s \ C o u n t   o f   J u r i s d i c t i o n   2 & g t ; - & l t ; M e a s u r e s \ J u r i s d i c t i o n & g t ; \ M E A S U R E < / K e y > < / D i a g r a m O b j e c t K e y > < D i a g r a m O b j e c t K e y > < K e y > L i n k s \ & l t ; C o l u m n s \ D i s t i n c t   C o u n t   o f   J u r i s d i c t i o n   2 & g t ; - & l t ; M e a s u r e s \ J u r i s d i c t i o n & g t ; < / K e y > < / D i a g r a m O b j e c t K e y > < D i a g r a m O b j e c t K e y > < K e y > L i n k s \ & l t ; C o l u m n s \ D i s t i n c t   C o u n t   o f   J u r i s d i c t i o n   2 & g t ; - & l t ; M e a s u r e s \ J u r i s d i c t i o n & g t ; \ C O L U M N < / K e y > < / D i a g r a m O b j e c t K e y > < D i a g r a m O b j e c t K e y > < K e y > L i n k s \ & l t ; C o l u m n s \ D i s t i n c t   C o u n t   o f   J u r i s d i c t i o n   2 & g t ; - & l t ; M e a s u r e s \ J u r i s d i c t i o n & g t ; \ M E A S U R E < / K e y > < / D i a g r a m O b j e c t K e y > < D i a g r a m O b j e c t K e y > < K e y > L i n k s \ & l t ; C o l u m n s \ S u m   o f   R e f e r e n c e   Y e a r   2 & g t ; - & l t ; M e a s u r e s \ R e f e r e n c e   Y e a r & g t ; < / K e y > < / D i a g r a m O b j e c t K e y > < D i a g r a m O b j e c t K e y > < K e y > L i n k s \ & l t ; C o l u m n s \ S u m   o f   R e f e r e n c e   Y e a r   2 & g t ; - & l t ; M e a s u r e s \ R e f e r e n c e   Y e a r & g t ; \ C O L U M N < / K e y > < / D i a g r a m O b j e c t K e y > < D i a g r a m O b j e c t K e y > < K e y > L i n k s \ & l t ; C o l u m n s \ S u m   o f   R e f e r e n c e   Y e a r   2 & g t ; - & l t ; M e a s u r e s \ R e f e r e n c e   Y e a r & g t ; \ M E A S U R E < / K e y > < / D i a g r a m O b j e c t K e y > < D i a g r a m O b j e c t K e y > < K e y > L i n k s \ & l t ; C o l u m n s \ S u m   o f   2 0 1 8   $   V a l u e   2 & g t ; - & l t ; M e a s u r e s \ 2 0 1 8   $   V a l u e & g t ; < / K e y > < / D i a g r a m O b j e c t K e y > < D i a g r a m O b j e c t K e y > < K e y > L i n k s \ & l t ; C o l u m n s \ S u m   o f   2 0 1 8   $   V a l u e   2 & g t ; - & l t ; M e a s u r e s \ 2 0 1 8   $   V a l u e & g t ; \ C O L U M N < / K e y > < / D i a g r a m O b j e c t K e y > < D i a g r a m O b j e c t K e y > < K e y > L i n k s \ & l t ; C o l u m n s \ S u m   o f   2 0 1 8   $   V a l u e   2 & g t ; - & l t ; M e a s u r e s \ 2 0 1 8   $   V a l u e & g t ; \ M E A S U R E < / K e y > < / D i a g r a m O b j e c t K e y > < D i a g r a m O b j e c t K e y > < K e y > L i n k s \ & l t ; C o l u m n s \ A v e r a g e   o f   2 0 1 8   $   V a l u e   2 & g t ; - & l t ; M e a s u r e s \ 2 0 1 8   $   V a l u e & g t ; < / K e y > < / D i a g r a m O b j e c t K e y > < D i a g r a m O b j e c t K e y > < K e y > L i n k s \ & l t ; C o l u m n s \ A v e r a g e   o f   2 0 1 8   $   V a l u e   2 & g t ; - & l t ; M e a s u r e s \ 2 0 1 8   $   V a l u e & g t ; \ C O L U M N < / K e y > < / D i a g r a m O b j e c t K e y > < D i a g r a m O b j e c t K e y > < K e y > L i n k s \ & l t ; C o l u m n s \ A v e r a g e   o f   2 0 1 8   $   V a l u e   2 & g t ; - & l t ; M e a s u r e s \ 2 0 1 8   $   V a l u e & g t ; \ M E A S U R E < / K e y > < / D i a g r a m O b j e c t K e y > < D i a g r a m O b j e c t K e y > < K e y > L i n k s \ & l t ; C o l u m n s \ C o u n t   o f   $   B y   P o p u l a t i o n & g t ; - & l t ; M e a s u r e s \ $   B y   P o p u l a t i o n & g t ; < / K e y > < / D i a g r a m O b j e c t K e y > < D i a g r a m O b j e c t K e y > < K e y > L i n k s \ & l t ; C o l u m n s \ C o u n t   o f   $   B y   P o p u l a t i o n & g t ; - & l t ; M e a s u r e s \ $   B y   P o p u l a t i o n & g t ; \ C O L U M N < / K e y > < / D i a g r a m O b j e c t K e y > < D i a g r a m O b j e c t K e y > < K e y > L i n k s \ & l t ; C o l u m n s \ C o u n t   o f   $   B y   P o p u l a t i o n & g t ; - & l t ; M e a s u r e s \ $   B y   P o p u l a t i o n & g t ; \ M E A S U R E < / K e y > < / D i a g r a m O b j e c t K e y > < D i a g r a m O b j e c t K e y > < K e y > L i n k s \ & l t ; C o l u m n s \ C o u n t   o f   $   B y   S q u a r e   M i l e & g t ; - & l t ; M e a s u r e s \ $   B y   S q u a r e   M i l e & g t ; < / K e y > < / D i a g r a m O b j e c t K e y > < D i a g r a m O b j e c t K e y > < K e y > L i n k s \ & l t ; C o l u m n s \ C o u n t   o f   $   B y   S q u a r e   M i l e & g t ; - & l t ; M e a s u r e s \ $   B y   S q u a r e   M i l e & g t ; \ C O L U M N < / K e y > < / D i a g r a m O b j e c t K e y > < D i a g r a m O b j e c t K e y > < K e y > L i n k s \ & l t ; C o l u m n s \ C o u n t   o f   $   B y   S q u a r e   M i l e & g t ; - & l t ; M e a s u r e s \ $   B y   S q u a r e   M i l e & g t ; \ M E A S U R E 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 T y p e   2 < / K e y > < / a : K e y > < a : V a l u e   i : t y p e = " M e a s u r e G r i d N o d e V i e w S t a t e " > < C o l u m n > 1 < / C o l u m n > < L a y e d O u t > t r u e < / L a y e d O u t > < W a s U I I n v i s i b l e > t r u e < / W a s U I I n v i s i b l e > < / a : V a l u e > < / a : K e y V a l u e O f D i a g r a m O b j e c t K e y a n y T y p e z b w N T n L X > < a : K e y V a l u e O f D i a g r a m O b j e c t K e y a n y T y p e z b w N T n L X > < a : K e y > < K e y > M e a s u r e s \ C o u n t   o f   T y p e   2 \ T a g I n f o \ F o r m u l a < / K e y > < / a : K e y > < a : V a l u e   i : t y p e = " M e a s u r e G r i d V i e w S t a t e I D i a g r a m T a g A d d i t i o n a l I n f o " / > < / a : K e y V a l u e O f D i a g r a m O b j e c t K e y a n y T y p e z b w N T n L X > < a : K e y V a l u e O f D i a g r a m O b j e c t K e y a n y T y p e z b w N T n L X > < a : K e y > < K e y > M e a s u r e s \ C o u n t   o f   T y p e   2 \ T a g I n f o \ V a l u e < / K e y > < / a : K e y > < a : V a l u e   i : t y p e = " M e a s u r e G r i d V i e w S t a t e I D i a g r a m T a g A d d i t i o n a l I n f o " / > < / a : K e y V a l u e O f D i a g r a m O b j e c t K e y a n y T y p e z b w N T n L X > < a : K e y V a l u e O f D i a g r a m O b j e c t K e y a n y T y p e z b w N T n L X > < a : K e y > < K e y > M e a s u r e s \ C o u n t   o f   J u r i s d i c t i o n   2 < / K e y > < / a : K e y > < a : V a l u e   i : t y p e = " M e a s u r e G r i d N o d e V i e w S t a t e " > < L a y e d O u t > t r u e < / L a y e d O u t > < W a s U I I n v i s i b l e > t r u e < / W a s U I I n v i s i b l e > < / a : V a l u e > < / a : K e y V a l u e O f D i a g r a m O b j e c t K e y a n y T y p e z b w N T n L X > < a : K e y V a l u e O f D i a g r a m O b j e c t K e y a n y T y p e z b w N T n L X > < a : K e y > < K e y > M e a s u r e s \ C o u n t   o f   J u r i s d i c t i o n   2 \ T a g I n f o \ F o r m u l a < / K e y > < / a : K e y > < a : V a l u e   i : t y p e = " M e a s u r e G r i d V i e w S t a t e I D i a g r a m T a g A d d i t i o n a l I n f o " / > < / a : K e y V a l u e O f D i a g r a m O b j e c t K e y a n y T y p e z b w N T n L X > < a : K e y V a l u e O f D i a g r a m O b j e c t K e y a n y T y p e z b w N T n L X > < a : K e y > < K e y > M e a s u r e s \ C o u n t   o f   J u r i s d i c t i o n   2 \ T a g I n f o \ V a l u e < / K e y > < / a : K e y > < a : V a l u e   i : t y p e = " M e a s u r e G r i d V i e w S t a t e I D i a g r a m T a g A d d i t i o n a l I n f o " / > < / a : K e y V a l u e O f D i a g r a m O b j e c t K e y a n y T y p e z b w N T n L X > < a : K e y V a l u e O f D i a g r a m O b j e c t K e y a n y T y p e z b w N T n L X > < a : K e y > < K e y > M e a s u r e s \ D i s t i n c t   C o u n t   o f   J u r i s d i c t i o n   2 < / K e y > < / a : K e y > < a : V a l u e   i : t y p e = " M e a s u r e G r i d N o d e V i e w S t a t e " > < L a y e d O u t > t r u e < / L a y e d O u t > < R o w > 1 < / R o w > < W a s U I I n v i s i b l e > t r u e < / W a s U I I n v i s i b l e > < / a : V a l u e > < / a : K e y V a l u e O f D i a g r a m O b j e c t K e y a n y T y p e z b w N T n L X > < a : K e y V a l u e O f D i a g r a m O b j e c t K e y a n y T y p e z b w N T n L X > < a : K e y > < K e y > M e a s u r e s \ D i s t i n c t   C o u n t   o f   J u r i s d i c t i o n   2 \ T a g I n f o \ F o r m u l a < / K e y > < / a : K e y > < a : V a l u e   i : t y p e = " M e a s u r e G r i d V i e w S t a t e I D i a g r a m T a g A d d i t i o n a l I n f o " / > < / a : K e y V a l u e O f D i a g r a m O b j e c t K e y a n y T y p e z b w N T n L X > < a : K e y V a l u e O f D i a g r a m O b j e c t K e y a n y T y p e z b w N T n L X > < a : K e y > < K e y > M e a s u r e s \ D i s t i n c t   C o u n t   o f   J u r i s d i c t i o n   2 \ T a g I n f o \ V a l u e < / K e y > < / a : K e y > < a : V a l u e   i : t y p e = " M e a s u r e G r i d V i e w S t a t e I D i a g r a m T a g A d d i t i o n a l I n f o " / > < / a : K e y V a l u e O f D i a g r a m O b j e c t K e y a n y T y p e z b w N T n L X > < a : K e y V a l u e O f D i a g r a m O b j e c t K e y a n y T y p e z b w N T n L X > < a : K e y > < K e y > M e a s u r e s \ S u m   o f   R e f e r e n c e   Y e a r   2 < / K e y > < / a : K e y > < a : V a l u e   i : t y p e = " M e a s u r e G r i d N o d e V i e w S t a t e " > < C o l u m n > 8 < / C o l u m n > < L a y e d O u t > t r u e < / L a y e d O u t > < W a s U I I n v i s i b l e > t r u e < / W a s U I I n v i s i b l e > < / a : V a l u e > < / a : K e y V a l u e O f D i a g r a m O b j e c t K e y a n y T y p e z b w N T n L X > < a : K e y V a l u e O f D i a g r a m O b j e c t K e y a n y T y p e z b w N T n L X > < a : K e y > < K e y > M e a s u r e s \ S u m   o f   R e f e r e n c e   Y e a r   2 \ T a g I n f o \ F o r m u l a < / K e y > < / a : K e y > < a : V a l u e   i : t y p e = " M e a s u r e G r i d V i e w S t a t e I D i a g r a m T a g A d d i t i o n a l I n f o " / > < / a : K e y V a l u e O f D i a g r a m O b j e c t K e y a n y T y p e z b w N T n L X > < a : K e y V a l u e O f D i a g r a m O b j e c t K e y a n y T y p e z b w N T n L X > < a : K e y > < K e y > M e a s u r e s \ S u m   o f   R e f e r e n c e   Y e a r   2 \ T a g I n f o \ V a l u e < / K e y > < / a : K e y > < a : V a l u e   i : t y p e = " M e a s u r e G r i d V i e w S t a t e I D i a g r a m T a g A d d i t i o n a l I n f o " / > < / a : K e y V a l u e O f D i a g r a m O b j e c t K e y a n y T y p e z b w N T n L X > < a : K e y V a l u e O f D i a g r a m O b j e c t K e y a n y T y p e z b w N T n L X > < a : K e y > < K e y > M e a s u r e s \ S u m   o f   2 0 1 8   $   V a l u e   2 < / K e y > < / a : K e y > < a : V a l u e   i : t y p e = " M e a s u r e G r i d N o d e V i e w S t a t e " > < C o l u m n > 1 0 < / C o l u m n > < L a y e d O u t > t r u e < / L a y e d O u t > < W a s U I I n v i s i b l e > t r u e < / W a s U I I n v i s i b l e > < / a : V a l u e > < / a : K e y V a l u e O f D i a g r a m O b j e c t K e y a n y T y p e z b w N T n L X > < a : K e y V a l u e O f D i a g r a m O b j e c t K e y a n y T y p e z b w N T n L X > < a : K e y > < K e y > M e a s u r e s \ S u m   o f   2 0 1 8   $   V a l u e   2 \ T a g I n f o \ F o r m u l a < / K e y > < / a : K e y > < a : V a l u e   i : t y p e = " M e a s u r e G r i d V i e w S t a t e I D i a g r a m T a g A d d i t i o n a l I n f o " / > < / a : K e y V a l u e O f D i a g r a m O b j e c t K e y a n y T y p e z b w N T n L X > < a : K e y V a l u e O f D i a g r a m O b j e c t K e y a n y T y p e z b w N T n L X > < a : K e y > < K e y > M e a s u r e s \ S u m   o f   2 0 1 8   $   V a l u e   2 \ T a g I n f o \ V a l u e < / K e y > < / a : K e y > < a : V a l u e   i : t y p e = " M e a s u r e G r i d V i e w S t a t e I D i a g r a m T a g A d d i t i o n a l I n f o " / > < / a : K e y V a l u e O f D i a g r a m O b j e c t K e y a n y T y p e z b w N T n L X > < a : K e y V a l u e O f D i a g r a m O b j e c t K e y a n y T y p e z b w N T n L X > < a : K e y > < K e y > M e a s u r e s \ A v e r a g e   o f   2 0 1 8   $   V a l u e   2 < / K e y > < / a : K e y > < a : V a l u e   i : t y p e = " M e a s u r e G r i d N o d e V i e w S t a t e " > < C o l u m n > 1 0 < / C o l u m n > < L a y e d O u t > t r u e < / L a y e d O u t > < R o w > 1 < / R o w > < W a s U I I n v i s i b l e > t r u e < / W a s U I I n v i s i b l e > < / a : V a l u e > < / a : K e y V a l u e O f D i a g r a m O b j e c t K e y a n y T y p e z b w N T n L X > < a : K e y V a l u e O f D i a g r a m O b j e c t K e y a n y T y p e z b w N T n L X > < a : K e y > < K e y > M e a s u r e s \ A v e r a g e   o f   2 0 1 8   $   V a l u e   2 \ T a g I n f o \ F o r m u l a < / K e y > < / a : K e y > < a : V a l u e   i : t y p e = " M e a s u r e G r i d V i e w S t a t e I D i a g r a m T a g A d d i t i o n a l I n f o " / > < / a : K e y V a l u e O f D i a g r a m O b j e c t K e y a n y T y p e z b w N T n L X > < a : K e y V a l u e O f D i a g r a m O b j e c t K e y a n y T y p e z b w N T n L X > < a : K e y > < K e y > M e a s u r e s \ A v e r a g e   o f   2 0 1 8   $   V a l u e   2 \ T a g I n f o \ V a l u e < / K e y > < / a : K e y > < a : V a l u e   i : t y p e = " M e a s u r e G r i d V i e w S t a t e I D i a g r a m T a g A d d i t i o n a l I n f o " / > < / a : K e y V a l u e O f D i a g r a m O b j e c t K e y a n y T y p e z b w N T n L X > < a : K e y V a l u e O f D i a g r a m O b j e c t K e y a n y T y p e z b w N T n L X > < a : K e y > < K e y > M e a s u r e s \ C o u n t   o f   $   B y   P o p u l a t i o n < / K e y > < / a : K e y > < a : V a l u e   i : t y p e = " M e a s u r e G r i d N o d e V i e w S t a t e " > < C o l u m n > 1 1 < / C o l u m n > < L a y e d O u t > t r u e < / L a y e d O u t > < W a s U I I n v i s i b l e > t r u e < / W a s U I I n v i s i b l e > < / a : V a l u e > < / a : K e y V a l u e O f D i a g r a m O b j e c t K e y a n y T y p e z b w N T n L X > < a : K e y V a l u e O f D i a g r a m O b j e c t K e y a n y T y p e z b w N T n L X > < a : K e y > < K e y > M e a s u r e s \ C o u n t   o f   $   B y   P o p u l a t i o n \ T a g I n f o \ F o r m u l a < / K e y > < / a : K e y > < a : V a l u e   i : t y p e = " M e a s u r e G r i d V i e w S t a t e I D i a g r a m T a g A d d i t i o n a l I n f o " / > < / a : K e y V a l u e O f D i a g r a m O b j e c t K e y a n y T y p e z b w N T n L X > < a : K e y V a l u e O f D i a g r a m O b j e c t K e y a n y T y p e z b w N T n L X > < a : K e y > < K e y > M e a s u r e s \ C o u n t   o f   $   B y   P o p u l a t i o n \ T a g I n f o \ V a l u e < / K e y > < / a : K e y > < a : V a l u e   i : t y p e = " M e a s u r e G r i d V i e w S t a t e I D i a g r a m T a g A d d i t i o n a l I n f o " / > < / a : K e y V a l u e O f D i a g r a m O b j e c t K e y a n y T y p e z b w N T n L X > < a : K e y V a l u e O f D i a g r a m O b j e c t K e y a n y T y p e z b w N T n L X > < a : K e y > < K e y > M e a s u r e s \ C o u n t   o f   $   B y   S q u a r e   M i l e < / K e y > < / a : K e y > < a : V a l u e   i : t y p e = " M e a s u r e G r i d N o d e V i e w S t a t e " > < C o l u m n > 1 2 < / C o l u m n > < L a y e d O u t > t r u e < / L a y e d O u t > < W a s U I I n v i s i b l e > t r u e < / W a s U I I n v i s i b l e > < / a : V a l u e > < / a : K e y V a l u e O f D i a g r a m O b j e c t K e y a n y T y p e z b w N T n L X > < a : K e y V a l u e O f D i a g r a m O b j e c t K e y a n y T y p e z b w N T n L X > < a : K e y > < K e y > M e a s u r e s \ C o u n t   o f   $   B y   S q u a r e   M i l e \ T a g I n f o \ F o r m u l a < / K e y > < / a : K e y > < a : V a l u e   i : t y p e = " M e a s u r e G r i d V i e w S t a t e I D i a g r a m T a g A d d i t i o n a l I n f o " / > < / a : K e y V a l u e O f D i a g r a m O b j e c t K e y a n y T y p e z b w N T n L X > < a : K e y V a l u e O f D i a g r a m O b j e c t K e y a n y T y p e z b w N T n L X > < a : K e y > < K e y > M e a s u r e s \ C o u n t   o f   $   B y   S q u a r e   M i l e \ T a g I n f o \ V a l u e 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 C o l u m n s \ T y p e < / K e y > < / a : K e y > < a : V a l u e   i : t y p e = " M e a s u r e G r i d N o d e V i e w S t a t e " > < C o l u m n > 1 < / C o l u m n > < L a y e d O u t > t r u e < / L a y e d O u t > < / a : V a l u e > < / a : K e y V a l u e O f D i a g r a m O b j e c t K e y a n y T y p e z b w N T n L X > < a : K e y V a l u e O f D i a g r a m O b j e c t K e y a n y T y p e z b w N T n L X > < a : K e y > < K e y > C o l u m n s \ C o u n t y < / K e y > < / a : K e y > < a : V a l u e   i : t y p e = " M e a s u r e G r i d N o d e V i e w S t a t e " > < C o l u m n > 2 < / C o l u m n > < L a y e d O u t > t r u e < / L a y e d O u t > < / a : V a l u e > < / a : K e y V a l u e O f D i a g r a m O b j e c t K e y a n y T y p e z b w N T n L X > < a : K e y V a l u e O f D i a g r a m O b j e c t K e y a n y T y p e z b w N T n L X > < a : K e y > < K e y > C o l u m n s \ R e g i o n a l   B o a r d < / K e y > < / a : K e y > < a : V a l u e   i : t y p e = " M e a s u r e G r i d N o d e V i e w S t a t e " > < C o l u m n > 3 < / C o l u m n > < L a y e d O u t > t r u e < / L a y e d O u t > < / a : V a l u e > < / a : K e y V a l u e O f D i a g r a m O b j e c t K e y a n y T y p e z b w N T n L X > < a : K e y V a l u e O f D i a g r a m O b j e c t K e y a n y T y p e z b w N T n L X > < a : K e y > < K e y > C o l u m n s \ R e g i o n a l   B o a r d   # < / K e y > < / a : K e y > < a : V a l u e   i : t y p e = " M e a s u r e G r i d N o d e V i e w S t a t e " > < C o l u m n > 4 < / C o l u m n > < L a y e d O u t > t r u e < / L a y e d O u t > < / a : V a l u e > < / a : K e y V a l u e O f D i a g r a m O b j e c t K e y a n y T y p e z b w N T n L X > < a : K e y V a l u e O f D i a g r a m O b j e c t K e y a n y T y p e z b w N T n L X > < a : K e y > < K e y > C o l u m n s \ P h a s e   I / I I < / K e y > < / a : K e y > < a : V a l u e   i : t y p e = " M e a s u r e G r i d N o d e V i e w S t a t e " > < C o l u m n > 5 < / C o l u m n > < L a y e d O u t > t r u e < / L a y e d O u t > < / a : V a l u e > < / a : K e y V a l u e O f D i a g r a m O b j e c t K e y a n y T y p e z b w N T n L X > < a : K e y V a l u e O f D i a g r a m O b j e c t K e y a n y T y p e z b w N T n L X > < a : K e y > < K e y > C o l u m n s \ N o t e s < / K e y > < / a : K e y > < a : V a l u e   i : t y p e = " M e a s u r e G r i d N o d e V i e w S t a t e " > < C o l u m n > 6 < / C o l u m n > < L a y e d O u t > t r u e < / L a y e d O u t > < / a : V a l u e > < / a : K e y V a l u e O f D i a g r a m O b j e c t K e y a n y T y p e z b w N T n L X > < a : K e y V a l u e O f D i a g r a m O b j e c t K e y a n y T y p e z b w N T n L X > < a : K e y > < K e y > C o l u m n s \ F i s c a l   Y e a r < / K e y > < / a : K e y > < a : V a l u e   i : t y p e = " M e a s u r e G r i d N o d e V i e w S t a t e " > < C o l u m n > 7 < / C o l u m n > < L a y e d O u t > t r u e < / L a y e d O u t > < / a : V a l u e > < / a : K e y V a l u e O f D i a g r a m O b j e c t K e y a n y T y p e z b w N T n L X > < a : K e y V a l u e O f D i a g r a m O b j e c t K e y a n y T y p e z b w N T n L X > < a : K e y > < K e y > C o l u m n s \ R e f e r e n c e   Y e a r < / K e y > < / a : K e y > < a : V a l u e   i : t y p e = " M e a s u r e G r i d N o d e V i e w S t a t e " > < C o l u m n > 8 < / C o l u m n > < L a y e d O u t > t r u e < / L a y e d O u t > < / a : V a l u e > < / a : K e y V a l u e O f D i a g r a m O b j e c t K e y a n y T y p e z b w N T n L X > < a : K e y V a l u e O f D i a g r a m O b j e c t K e y a n y T y p e z b w N T n L X > < a : K e y > < K e y > C o l u m n s \ V a l u e < / K e y > < / a : K e y > < a : V a l u e   i : t y p e = " M e a s u r e G r i d N o d e V i e w S t a t e " > < C o l u m n > 9 < / C o l u m n > < L a y e d O u t > t r u e < / L a y e d O u t > < / a : V a l u e > < / a : K e y V a l u e O f D i a g r a m O b j e c t K e y a n y T y p e z b w N T n L X > < a : K e y V a l u e O f D i a g r a m O b j e c t K e y a n y T y p e z b w N T n L X > < a : K e y > < K e y > C o l u m n s \ 2 0 1 8   $   V a l u e < / K e y > < / a : K e y > < a : V a l u e   i : t y p e = " M e a s u r e G r i d N o d e V i e w S t a t e " > < C o l u m n > 1 0 < / C o l u m n > < L a y e d O u t > t r u e < / L a y e d O u t > < / a : V a l u e > < / a : K e y V a l u e O f D i a g r a m O b j e c t K e y a n y T y p e z b w N T n L X > < a : K e y V a l u e O f D i a g r a m O b j e c t K e y a n y T y p e z b w N T n L X > < a : K e y > < K e y > C o l u m n s \ $   B y   P o p u l a t i o n < / K e y > < / a : K e y > < a : V a l u e   i : t y p e = " M e a s u r e G r i d N o d e V i e w S t a t e " > < C o l u m n > 1 1 < / C o l u m n > < L a y e d O u t > t r u e < / L a y e d O u t > < / a : V a l u e > < / a : K e y V a l u e O f D i a g r a m O b j e c t K e y a n y T y p e z b w N T n L X > < a : K e y V a l u e O f D i a g r a m O b j e c t K e y a n y T y p e z b w N T n L X > < a : K e y > < K e y > C o l u m n s \ $   B y   S q u a r e   M i l e < / K e y > < / a : K e y > < a : V a l u e   i : t y p e = " M e a s u r e G r i d N o d e V i e w S t a t e " > < C o l u m n > 1 2 < / C o l u m n > < L a y e d O u t > t r u e < / L a y e d O u t > < / a : V a l u e > < / a : K e y V a l u e O f D i a g r a m O b j e c t K e y a n y T y p e z b w N T n L X > < a : K e y V a l u e O f D i a g r a m O b j e c t K e y a n y T y p e z b w N T n L X > < a : K e y > < K e y > C o l u m n s \ C a t e g o r i z e d   A c t i v i t i e s   D a t a   A v a i l a b l e < / K e y > < / a : K e y > < a : V a l u e   i : t y p e = " M e a s u r e G r i d N o d e V i e w S t a t e " > < C o l u m n > 1 3 < / C o l u m n > < L a y e d O u t > t r u e < / L a y e d O u t > < / a : V a l u e > < / a : K e y V a l u e O f D i a g r a m O b j e c t K e y a n y T y p e z b w N T n L X > < a : K e y V a l u e O f D i a g r a m O b j e c t K e y a n y T y p e z b w N T n L X > < a : K e y > < K e y > C o l u m n s \ R e p r e s e n t a t i v e   Y e a r < / K e y > < / a : K e y > < a : V a l u e   i : t y p e = " M e a s u r e G r i d N o d e V i e w S t a t e " > < C o l u m n > 1 4 < / C o l u m n > < L a y e d O u t > t r u e < / L a y e d O u t > < / a : V a l u e > < / a : K e y V a l u e O f D i a g r a m O b j e c t K e y a n y T y p e z b w N T n L X > < a : K e y V a l u e O f D i a g r a m O b j e c t K e y a n y T y p e z b w N T n L X > < a : K e y > < K e y > L i n k s \ & l t ; C o l u m n s \ C o u n t   o f   T y p e   2 & g t ; - & l t ; M e a s u r e s \ T y p e & g t ; < / K e y > < / a : K e y > < a : V a l u e   i : t y p e = " M e a s u r e G r i d V i e w S t a t e I D i a g r a m L i n k " / > < / a : K e y V a l u e O f D i a g r a m O b j e c t K e y a n y T y p e z b w N T n L X > < a : K e y V a l u e O f D i a g r a m O b j e c t K e y a n y T y p e z b w N T n L X > < a : K e y > < K e y > L i n k s \ & l t ; C o l u m n s \ C o u n t   o f   T y p e   2 & g t ; - & l t ; M e a s u r e s \ T y p e & g t ; \ C O L U M N < / K e y > < / a : K e y > < a : V a l u e   i : t y p e = " M e a s u r e G r i d V i e w S t a t e I D i a g r a m L i n k E n d p o i n t " / > < / a : K e y V a l u e O f D i a g r a m O b j e c t K e y a n y T y p e z b w N T n L X > < a : K e y V a l u e O f D i a g r a m O b j e c t K e y a n y T y p e z b w N T n L X > < a : K e y > < K e y > L i n k s \ & l t ; C o l u m n s \ C o u n t   o f   T y p e   2 & g t ; - & l t ; M e a s u r e s \ T y p e & g t ; \ M E A S U R E < / K e y > < / a : K e y > < a : V a l u e   i : t y p e = " M e a s u r e G r i d V i e w S t a t e I D i a g r a m L i n k E n d p o i n t " / > < / a : K e y V a l u e O f D i a g r a m O b j e c t K e y a n y T y p e z b w N T n L X > < a : K e y V a l u e O f D i a g r a m O b j e c t K e y a n y T y p e z b w N T n L X > < a : K e y > < K e y > L i n k s \ & l t ; C o l u m n s \ C o u n t   o f   J u r i s d i c t i o n   2 & g t ; - & l t ; M e a s u r e s \ J u r i s d i c t i o n & g t ; < / K e y > < / a : K e y > < a : V a l u e   i : t y p e = " M e a s u r e G r i d V i e w S t a t e I D i a g r a m L i n k " / > < / a : K e y V a l u e O f D i a g r a m O b j e c t K e y a n y T y p e z b w N T n L X > < a : K e y V a l u e O f D i a g r a m O b j e c t K e y a n y T y p e z b w N T n L X > < a : K e y > < K e y > L i n k s \ & l t ; C o l u m n s \ C o u n t   o f   J u r i s d i c t i o n   2 & g t ; - & l t ; M e a s u r e s \ J u r i s d i c t i o n & g t ; \ C O L U M N < / K e y > < / a : K e y > < a : V a l u e   i : t y p e = " M e a s u r e G r i d V i e w S t a t e I D i a g r a m L i n k E n d p o i n t " / > < / a : K e y V a l u e O f D i a g r a m O b j e c t K e y a n y T y p e z b w N T n L X > < a : K e y V a l u e O f D i a g r a m O b j e c t K e y a n y T y p e z b w N T n L X > < a : K e y > < K e y > L i n k s \ & l t ; C o l u m n s \ C o u n t   o f   J u r i s d i c t i o n   2 & g t ; - & l t ; M e a s u r e s \ J u r i s d i c t i o n & g t ; \ M E A S U R E < / K e y > < / a : K e y > < a : V a l u e   i : t y p e = " M e a s u r e G r i d V i e w S t a t e I D i a g r a m L i n k E n d p o i n t " / > < / a : K e y V a l u e O f D i a g r a m O b j e c t K e y a n y T y p e z b w N T n L X > < a : K e y V a l u e O f D i a g r a m O b j e c t K e y a n y T y p e z b w N T n L X > < a : K e y > < K e y > L i n k s \ & l t ; C o l u m n s \ D i s t i n c t   C o u n t   o f   J u r i s d i c t i o n   2 & g t ; - & l t ; M e a s u r e s \ J u r i s d i c t i o n & g t ; < / K e y > < / a : K e y > < a : V a l u e   i : t y p e = " M e a s u r e G r i d V i e w S t a t e I D i a g r a m L i n k " / > < / a : K e y V a l u e O f D i a g r a m O b j e c t K e y a n y T y p e z b w N T n L X > < a : K e y V a l u e O f D i a g r a m O b j e c t K e y a n y T y p e z b w N T n L X > < a : K e y > < K e y > L i n k s \ & l t ; C o l u m n s \ D i s t i n c t   C o u n t   o f   J u r i s d i c t i o n   2 & g t ; - & l t ; M e a s u r e s \ J u r i s d i c t i o n & g t ; \ C O L U M N < / K e y > < / a : K e y > < a : V a l u e   i : t y p e = " M e a s u r e G r i d V i e w S t a t e I D i a g r a m L i n k E n d p o i n t " / > < / a : K e y V a l u e O f D i a g r a m O b j e c t K e y a n y T y p e z b w N T n L X > < a : K e y V a l u e O f D i a g r a m O b j e c t K e y a n y T y p e z b w N T n L X > < a : K e y > < K e y > L i n k s \ & l t ; C o l u m n s \ D i s t i n c t   C o u n t   o f   J u r i s d i c t i o n   2 & g t ; - & l t ; M e a s u r e s \ J u r i s d i c t i o n & g t ; \ M E A S U R E < / K e y > < / a : K e y > < a : V a l u e   i : t y p e = " M e a s u r e G r i d V i e w S t a t e I D i a g r a m L i n k E n d p o i n t " / > < / a : K e y V a l u e O f D i a g r a m O b j e c t K e y a n y T y p e z b w N T n L X > < a : K e y V a l u e O f D i a g r a m O b j e c t K e y a n y T y p e z b w N T n L X > < a : K e y > < K e y > L i n k s \ & l t ; C o l u m n s \ S u m   o f   R e f e r e n c e   Y e a r   2 & g t ; - & l t ; M e a s u r e s \ R e f e r e n c e   Y e a r & g t ; < / K e y > < / a : K e y > < a : V a l u e   i : t y p e = " M e a s u r e G r i d V i e w S t a t e I D i a g r a m L i n k " / > < / a : K e y V a l u e O f D i a g r a m O b j e c t K e y a n y T y p e z b w N T n L X > < a : K e y V a l u e O f D i a g r a m O b j e c t K e y a n y T y p e z b w N T n L X > < a : K e y > < K e y > L i n k s \ & l t ; C o l u m n s \ S u m   o f   R e f e r e n c e   Y e a r   2 & g t ; - & l t ; M e a s u r e s \ R e f e r e n c e   Y e a r & g t ; \ C O L U M N < / K e y > < / a : K e y > < a : V a l u e   i : t y p e = " M e a s u r e G r i d V i e w S t a t e I D i a g r a m L i n k E n d p o i n t " / > < / a : K e y V a l u e O f D i a g r a m O b j e c t K e y a n y T y p e z b w N T n L X > < a : K e y V a l u e O f D i a g r a m O b j e c t K e y a n y T y p e z b w N T n L X > < a : K e y > < K e y > L i n k s \ & l t ; C o l u m n s \ S u m   o f   R e f e r e n c e   Y e a r   2 & g t ; - & l t ; M e a s u r e s \ R e f e r e n c e   Y e a r & g t ; \ M E A S U R E < / K e y > < / a : K e y > < a : V a l u e   i : t y p e = " M e a s u r e G r i d V i e w S t a t e I D i a g r a m L i n k E n d p o i n t " / > < / a : K e y V a l u e O f D i a g r a m O b j e c t K e y a n y T y p e z b w N T n L X > < a : K e y V a l u e O f D i a g r a m O b j e c t K e y a n y T y p e z b w N T n L X > < a : K e y > < K e y > L i n k s \ & l t ; C o l u m n s \ S u m   o f   2 0 1 8   $   V a l u e   2 & g t ; - & l t ; M e a s u r e s \ 2 0 1 8   $   V a l u e & g t ; < / K e y > < / a : K e y > < a : V a l u e   i : t y p e = " M e a s u r e G r i d V i e w S t a t e I D i a g r a m L i n k " / > < / a : K e y V a l u e O f D i a g r a m O b j e c t K e y a n y T y p e z b w N T n L X > < a : K e y V a l u e O f D i a g r a m O b j e c t K e y a n y T y p e z b w N T n L X > < a : K e y > < K e y > L i n k s \ & l t ; C o l u m n s \ S u m   o f   2 0 1 8   $   V a l u e   2 & g t ; - & l t ; M e a s u r e s \ 2 0 1 8   $   V a l u e & g t ; \ C O L U M N < / K e y > < / a : K e y > < a : V a l u e   i : t y p e = " M e a s u r e G r i d V i e w S t a t e I D i a g r a m L i n k E n d p o i n t " / > < / a : K e y V a l u e O f D i a g r a m O b j e c t K e y a n y T y p e z b w N T n L X > < a : K e y V a l u e O f D i a g r a m O b j e c t K e y a n y T y p e z b w N T n L X > < a : K e y > < K e y > L i n k s \ & l t ; C o l u m n s \ S u m   o f   2 0 1 8   $   V a l u e   2 & g t ; - & l t ; M e a s u r e s \ 2 0 1 8   $   V a l u e & g t ; \ M E A S U R E < / K e y > < / a : K e y > < a : V a l u e   i : t y p e = " M e a s u r e G r i d V i e w S t a t e I D i a g r a m L i n k E n d p o i n t " / > < / a : K e y V a l u e O f D i a g r a m O b j e c t K e y a n y T y p e z b w N T n L X > < a : K e y V a l u e O f D i a g r a m O b j e c t K e y a n y T y p e z b w N T n L X > < a : K e y > < K e y > L i n k s \ & l t ; C o l u m n s \ A v e r a g e   o f   2 0 1 8   $   V a l u e   2 & g t ; - & l t ; M e a s u r e s \ 2 0 1 8   $   V a l u e & g t ; < / K e y > < / a : K e y > < a : V a l u e   i : t y p e = " M e a s u r e G r i d V i e w S t a t e I D i a g r a m L i n k " / > < / a : K e y V a l u e O f D i a g r a m O b j e c t K e y a n y T y p e z b w N T n L X > < a : K e y V a l u e O f D i a g r a m O b j e c t K e y a n y T y p e z b w N T n L X > < a : K e y > < K e y > L i n k s \ & l t ; C o l u m n s \ A v e r a g e   o f   2 0 1 8   $   V a l u e   2 & g t ; - & l t ; M e a s u r e s \ 2 0 1 8   $   V a l u e & g t ; \ C O L U M N < / K e y > < / a : K e y > < a : V a l u e   i : t y p e = " M e a s u r e G r i d V i e w S t a t e I D i a g r a m L i n k E n d p o i n t " / > < / a : K e y V a l u e O f D i a g r a m O b j e c t K e y a n y T y p e z b w N T n L X > < a : K e y V a l u e O f D i a g r a m O b j e c t K e y a n y T y p e z b w N T n L X > < a : K e y > < K e y > L i n k s \ & l t ; C o l u m n s \ A v e r a g e   o f   2 0 1 8   $   V a l u e   2 & g t ; - & l t ; M e a s u r e s \ 2 0 1 8   $   V a l u e & g t ; \ M E A S U R E < / K e y > < / a : K e y > < a : V a l u e   i : t y p e = " M e a s u r e G r i d V i e w S t a t e I D i a g r a m L i n k E n d p o i n t " / > < / a : K e y V a l u e O f D i a g r a m O b j e c t K e y a n y T y p e z b w N T n L X > < a : K e y V a l u e O f D i a g r a m O b j e c t K e y a n y T y p e z b w N T n L X > < a : K e y > < K e y > L i n k s \ & l t ; C o l u m n s \ C o u n t   o f   $   B y   P o p u l a t i o n & g t ; - & l t ; M e a s u r e s \ $   B y   P o p u l a t i o n & g t ; < / K e y > < / a : K e y > < a : V a l u e   i : t y p e = " M e a s u r e G r i d V i e w S t a t e I D i a g r a m L i n k " / > < / a : K e y V a l u e O f D i a g r a m O b j e c t K e y a n y T y p e z b w N T n L X > < a : K e y V a l u e O f D i a g r a m O b j e c t K e y a n y T y p e z b w N T n L X > < a : K e y > < K e y > L i n k s \ & l t ; C o l u m n s \ C o u n t   o f   $   B y   P o p u l a t i o n & g t ; - & l t ; M e a s u r e s \ $   B y   P o p u l a t i o n & g t ; \ C O L U M N < / K e y > < / a : K e y > < a : V a l u e   i : t y p e = " M e a s u r e G r i d V i e w S t a t e I D i a g r a m L i n k E n d p o i n t " / > < / a : K e y V a l u e O f D i a g r a m O b j e c t K e y a n y T y p e z b w N T n L X > < a : K e y V a l u e O f D i a g r a m O b j e c t K e y a n y T y p e z b w N T n L X > < a : K e y > < K e y > L i n k s \ & l t ; C o l u m n s \ C o u n t   o f   $   B y   P o p u l a t i o n & g t ; - & l t ; M e a s u r e s \ $   B y   P o p u l a t i o n & g t ; \ M E A S U R E < / K e y > < / a : K e y > < a : V a l u e   i : t y p e = " M e a s u r e G r i d V i e w S t a t e I D i a g r a m L i n k E n d p o i n t " / > < / a : K e y V a l u e O f D i a g r a m O b j e c t K e y a n y T y p e z b w N T n L X > < a : K e y V a l u e O f D i a g r a m O b j e c t K e y a n y T y p e z b w N T n L X > < a : K e y > < K e y > L i n k s \ & l t ; C o l u m n s \ C o u n t   o f   $   B y   S q u a r e   M i l e & g t ; - & l t ; M e a s u r e s \ $   B y   S q u a r e   M i l e & g t ; < / K e y > < / a : K e y > < a : V a l u e   i : t y p e = " M e a s u r e G r i d V i e w S t a t e I D i a g r a m L i n k " / > < / a : K e y V a l u e O f D i a g r a m O b j e c t K e y a n y T y p e z b w N T n L X > < a : K e y V a l u e O f D i a g r a m O b j e c t K e y a n y T y p e z b w N T n L X > < a : K e y > < K e y > L i n k s \ & l t ; C o l u m n s \ C o u n t   o f   $   B y   S q u a r e   M i l e & g t ; - & l t ; M e a s u r e s \ $   B y   S q u a r e   M i l e & g t ; \ C O L U M N < / K e y > < / a : K e y > < a : V a l u e   i : t y p e = " M e a s u r e G r i d V i e w S t a t e I D i a g r a m L i n k E n d p o i n t " / > < / a : K e y V a l u e O f D i a g r a m O b j e c t K e y a n y T y p e z b w N T n L X > < a : K e y V a l u e O f D i a g r a m O b j e c t K e y a n y T y p e z b w N T n L X > < a : K e y > < K e y > L i n k s \ & l t ; C o l u m n s \ C o u n t   o f   $   B y   S q u a r e   M i l e & g t ; - & l t ; M e a s u r e s \ $   B y   S q u a r e   M i l e & g t ; \ M E A S U R E 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T a b l e X M L _ E x p e n d i t u r e s - 1 a 1 0 c 5 0 7 - 7 a e 8 - 4 4 7 7 - a 3 a 8 - a f e 2 d 0 4 a e 9 1 e " > < C u s t o m C o n t e n t > < ! [ C D A T A [ < T a b l e W i d g e t G r i d S e r i a l i z a t i o n   x m l n s : x s d = " h t t p : / / w w w . w 3 . o r g / 2 0 0 1 / X M L S c h e m a "   x m l n s : x s i = " h t t p : / / w w w . w 3 . o r g / 2 0 0 1 / X M L S c h e m a - i n s t a n c e " > < C o l u m n S u g g e s t e d T y p e   / > < C o l u m n F o r m a t   / > < C o l u m n A c c u r a c y   / > < C o l u m n C u r r e n c y S y m b o l   / > < C o l u m n P o s i t i v e P a t t e r n   / > < C o l u m n N e g a t i v e P a t t e r n   / > < C o l u m n W i d t h s > < i t e m > < k e y > < s t r i n g > J u r i s d i c t i o n < / s t r i n g > < / k e y > < v a l u e > < i n t > 1 0 6 < / i n t > < / v a l u e > < / i t e m > < i t e m > < k e y > < s t r i n g > T y p e < / s t r i n g > < / k e y > < v a l u e > < i n t > 6 5 < / i n t > < / v a l u e > < / i t e m > < i t e m > < k e y > < s t r i n g > C o u n t y < / s t r i n g > < / k e y > < v a l u e > < i n t > 8 0 < / i n t > < / v a l u e > < / i t e m > < i t e m > < k e y > < s t r i n g > R e g i o n a l   B o a r d < / s t r i n g > < / k e y > < v a l u e > < i n t > 1 2 9 < / i n t > < / v a l u e > < / i t e m > < i t e m > < k e y > < s t r i n g > R e g i o n a l   B o a r d   # < / s t r i n g > < / k e y > < v a l u e > < i n t > 1 3 9 < / i n t > < / v a l u e > < / i t e m > < i t e m > < k e y > < s t r i n g > P h a s e   I / I I < / s t r i n g > < / k e y > < v a l u e > < i n t > 9 4 < / i n t > < / v a l u e > < / i t e m > < i t e m > < k e y > < s t r i n g > N o t e s < / s t r i n g > < / k e y > < v a l u e > < i n t > 7 3 < / i n t > < / v a l u e > < / i t e m > < i t e m > < k e y > < s t r i n g > F i s c a l   Y e a r < / s t r i n g > < / k e y > < v a l u e > < i n t > 9 9 < / i n t > < / v a l u e > < / i t e m > < i t e m > < k e y > < s t r i n g > R e f e r e n c e   Y e a r < / s t r i n g > < / k e y > < v a l u e > < i n t > 1 2 9 < / i n t > < / v a l u e > < / i t e m > < i t e m > < k e y > < s t r i n g > V a l u e < / s t r i n g > < / k e y > < v a l u e > < i n t > 7 1 < / i n t > < / v a l u e > < / i t e m > < i t e m > < k e y > < s t r i n g > 2 0 1 8   $   V a l u e < / s t r i n g > < / k e y > < v a l u e > < i n t > 1 1 2 < / i n t > < / v a l u e > < / i t e m > < i t e m > < k e y > < s t r i n g > $   B y   P o p u l a t i o n < / s t r i n g > < / k e y > < v a l u e > < i n t > 1 3 1 < / i n t > < / v a l u e > < / i t e m > < i t e m > < k e y > < s t r i n g > $   B y   S q u a r e   M i l e < / s t r i n g > < / k e y > < v a l u e > < i n t > 1 3 8 < / i n t > < / v a l u e > < / i t e m > < i t e m > < k e y > < s t r i n g > C a t e g o r i z e d   A c t i v i t i e s   D a t a   A v a i l a b l e < / s t r i n g > < / k e y > < v a l u e > < i n t > 2 6 1 < / i n t > < / v a l u e > < / i t e m > < i t e m > < k e y > < s t r i n g > R e p r e s e n t a t i v e   Y e a r < / s t r i n g > < / k e y > < v a l u e > < i n t > 1 5 9 < / i n t > < / v a l u e > < / i t e m > < / C o l u m n W i d t h s > < C o l u m n D i s p l a y I n d e x > < i t e m > < k e y > < s t r i n g > J u r i s d i c t i o n < / s t r i n g > < / k e y > < v a l u e > < i n t > 0 < / i n t > < / v a l u e > < / i t e m > < i t e m > < k e y > < s t r i n g > T y p e < / s t r i n g > < / k e y > < v a l u e > < i n t > 1 < / i n t > < / v a l u e > < / i t e m > < i t e m > < k e y > < s t r i n g > C o u n t y < / s t r i n g > < / k e y > < v a l u e > < i n t > 2 < / i n t > < / v a l u e > < / i t e m > < i t e m > < k e y > < s t r i n g > R e g i o n a l   B o a r d < / s t r i n g > < / k e y > < v a l u e > < i n t > 3 < / i n t > < / v a l u e > < / i t e m > < i t e m > < k e y > < s t r i n g > R e g i o n a l   B o a r d   # < / s t r i n g > < / k e y > < v a l u e > < i n t > 4 < / i n t > < / v a l u e > < / i t e m > < i t e m > < k e y > < s t r i n g > P h a s e   I / I I < / s t r i n g > < / k e y > < v a l u e > < i n t > 5 < / i n t > < / v a l u e > < / i t e m > < i t e m > < k e y > < s t r i n g > N o t e s < / s t r i n g > < / k e y > < v a l u e > < i n t > 6 < / i n t > < / v a l u e > < / i t e m > < i t e m > < k e y > < s t r i n g > F i s c a l   Y e a r < / s t r i n g > < / k e y > < v a l u e > < i n t > 7 < / i n t > < / v a l u e > < / i t e m > < i t e m > < k e y > < s t r i n g > R e f e r e n c e   Y e a r < / s t r i n g > < / k e y > < v a l u e > < i n t > 8 < / i n t > < / v a l u e > < / i t e m > < i t e m > < k e y > < s t r i n g > V a l u e < / s t r i n g > < / k e y > < v a l u e > < i n t > 9 < / i n t > < / v a l u e > < / i t e m > < i t e m > < k e y > < s t r i n g > 2 0 1 8   $   V a l u e < / s t r i n g > < / k e y > < v a l u e > < i n t > 1 0 < / i n t > < / v a l u e > < / i t e m > < i t e m > < k e y > < s t r i n g > $   B y   P o p u l a t i o n < / s t r i n g > < / k e y > < v a l u e > < i n t > 1 1 < / i n t > < / v a l u e > < / i t e m > < i t e m > < k e y > < s t r i n g > $   B y   S q u a r e   M i l e < / s t r i n g > < / k e y > < v a l u e > < i n t > 1 2 < / i n t > < / v a l u e > < / i t e m > < i t e m > < k e y > < s t r i n g > C a t e g o r i z e d   A c t i v i t i e s   D a t a   A v a i l a b l e < / s t r i n g > < / k e y > < v a l u e > < i n t > 1 3 < / i n t > < / v a l u e > < / i t e m > < i t e m > < k e y > < s t r i n g > R e p r e s e n t a t i v e   Y e a r < / s t r i n g > < / k e y > < v a l u e > < i n t > 1 4 < / 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G e m i n i   x m l n s = " h t t p : / / g e m i n i / p i v o t c u s t o m i z a t i o n / I s S a n d b o x E m b e d d e d " > < C u s t o m C o n t e n t > < ! [ C D A T A [ y e s ] ] > < / C u s t o m C o n t e n t > < / G e m i n i > 
</file>

<file path=customXml/item7.xml>��< ? x m l   v e r s i o n = " 1 . 0 "   e n c o d i n g = " u t f - 1 6 " ? > < D a t a M a s h u p   s q m i d = " 7 4 4 d 2 e f a - c 2 e c - 4 e e 3 - a d 2 b - 4 9 4 e d 9 f a e 2 4 d "   x m l n s = " h t t p : / / s c h e m a s . m i c r o s o f t . c o m / D a t a M a s h u p " > A A A A A B Y D A A B Q S w M E F A A C A A g A t o 2 r U K 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2 j a t 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o 2 r U C i K R 7 g O A A A A E Q A A A B M A H A B G b 3 J t d W x h c y 9 T Z W N 0 a W 9 u M S 5 t I K I Y A C i g F A A A A A A A A A A A A A A A A A A A A A A A A A A A A C t O T S 7 J z M 9 T C I b Q h t Y A U E s B A i 0 A F A A C A A g A t o 2 r U K p L d 7 G m A A A A + Q A A A B I A A A A A A A A A A A A A A A A A A A A A A E N v b m Z p Z y 9 Q Y W N r Y W d l L n h t b F B L A Q I t A B Q A A g A I A L a N q 1 A P y u m r p A A A A O k A A A A T A A A A A A A A A A A A A A A A A P I A A A B b Q 2 9 u d G V u d F 9 U e X B l c 1 0 u e G 1 s U E s B A i 0 A F A A C A A g A t o 2 r 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S 8 P v u H 2 i F J j 2 H Y 8 Y y W 5 h 4 A A A A A A g A A A A A A A 2 Y A A M A A A A A Q A A A A Q d t B V c T o i 0 i S F T 2 G b E q P S Q A A A A A E g A A A o A A A A B A A A A C P 4 + 8 6 I F V H B j 5 o h h Y b q t S b U A A A A O 7 7 c f k B 7 h F 8 + Z K Q c 1 I w o I Q 8 1 i n t n K r F V P R k 8 B p E p 7 a p f e X 2 v F O j D a 6 U o D / T i D 8 X v X G N W e q v O H + S r h 6 E 2 I t 9 U U x z i 0 M j r h M e u e S y m W E / 1 r m f F A A A A E G t t z W 6 H b L R t y T B p v 6 G l Q U c f u C z < / D a t a M a s h u p > 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 E x p e n d i t u r e s 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 E x p e n d i t u r e s 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 C o l u m n s \ R e g i o n a l   B o a r d < / K e y > < / a : K e y > < a : V a l u e   i : t y p e = " T a b l e W i d g e t B a s e V i e w S t a t e " / > < / a : K e y V a l u e O f D i a g r a m O b j e c t K e y a n y T y p e z b w N T n L X > < a : K e y V a l u e O f D i a g r a m O b j e c t K e y a n y T y p e z b w N T n L X > < a : K e y > < K e y > C o l u m n s \ R e g i o n a l   B o a r d   # < / K e y > < / a : K e y > < a : V a l u e   i : t y p e = " T a b l e W i d g e t B a s e V i e w S t a t e " / > < / a : K e y V a l u e O f D i a g r a m O b j e c t K e y a n y T y p e z b w N T n L X > < a : K e y V a l u e O f D i a g r a m O b j e c t K e y a n y T y p e z b w N T n L X > < a : K e y > < K e y > C o l u m n s \ P h a s e   I / I I < / 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 C o l u m n s \ F i s c a l   Y e a r < / K e y > < / a : K e y > < a : V a l u e   i : t y p e = " T a b l e W i d g e t B a s e V i e w S t a t e " / > < / a : K e y V a l u e O f D i a g r a m O b j e c t K e y a n y T y p e z b w N T n L X > < a : K e y V a l u e O f D i a g r a m O b j e c t K e y a n y T y p e z b w N T n L X > < a : K e y > < K e y > C o l u m n s \ R e f e r e n c e   Y e a r 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 C o l u m n s \ 2 0 1 8   $   V a l u e < / K e y > < / a : K e y > < a : V a l u e   i : t y p e = " T a b l e W i d g e t B a s e V i e w S t a t e " / > < / a : K e y V a l u e O f D i a g r a m O b j e c t K e y a n y T y p e z b w N T n L X > < a : K e y V a l u e O f D i a g r a m O b j e c t K e y a n y T y p e z b w N T n L X > < a : K e y > < K e y > C o l u m n s \ $   B y   P o p u l a t i o n < / K e y > < / a : K e y > < a : V a l u e   i : t y p e = " T a b l e W i d g e t B a s e V i e w S t a t e " / > < / a : K e y V a l u e O f D i a g r a m O b j e c t K e y a n y T y p e z b w N T n L X > < a : K e y V a l u e O f D i a g r a m O b j e c t K e y a n y T y p e z b w N T n L X > < a : K e y > < K e y > C o l u m n s \ $   B y   S q u a r e   M i l e < / K e y > < / a : K e y > < a : V a l u e   i : t y p e = " T a b l e W i d g e t B a s e V i e w S t a t e " / > < / a : K e y V a l u e O f D i a g r a m O b j e c t K e y a n y T y p e z b w N T n L X > < a : K e y V a l u e O f D i a g r a m O b j e c t K e y a n y T y p e z b w N T n L X > < a : K e y > < K e y > C o l u m n s \ C a t e g o r i z e d   A c t i v i t i e s   D a t a   A v a i l a b l e < / K e y > < / a : K e y > < a : V a l u e   i : t y p e = " T a b l e W i d g e t B a s e V i e w S t a t e " / > < / a : K e y V a l u e O f D i a g r a m O b j e c t K e y a n y T y p e z b w N T n L X > < a : K e y V a l u e O f D i a g r a m O b j e c t K e y a n y T y p e z b w N T n L X > < a : K e y > < K e y > C o l u m n s \ R e p r e s e n t a t i v e   Y e a r 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 2 0 2 0 - 0 5 - 1 8 T 1 6 : 2 4 : 1 7 . 0 1 1 5 3 5 6 - 0 7 : 0 0 < / L a s t P r o c e s s e d T i m e > < / D a t a M o d e l i n g S a n d b o x . S e r i a l i z e d S a n d b o x E r r o r C a c h e > ] ] > < / C u s t o m C o n t e n t > < / G e m i n i > 
</file>

<file path=customXml/itemProps1.xml><?xml version="1.0" encoding="utf-8"?>
<ds:datastoreItem xmlns:ds="http://schemas.openxmlformats.org/officeDocument/2006/customXml" ds:itemID="{9A9F9ED0-BE70-4519-90C9-CB6DCEB75F92}">
  <ds:schemaRefs/>
</ds:datastoreItem>
</file>

<file path=customXml/itemProps10.xml><?xml version="1.0" encoding="utf-8"?>
<ds:datastoreItem xmlns:ds="http://schemas.openxmlformats.org/officeDocument/2006/customXml" ds:itemID="{E4ED4E00-3E54-48A5-A31D-409322008DA4}">
  <ds:schemaRefs/>
</ds:datastoreItem>
</file>

<file path=customXml/itemProps11.xml><?xml version="1.0" encoding="utf-8"?>
<ds:datastoreItem xmlns:ds="http://schemas.openxmlformats.org/officeDocument/2006/customXml" ds:itemID="{89260D0C-EB75-48D4-9CF7-4A64201C2CBB}">
  <ds:schemaRefs/>
</ds:datastoreItem>
</file>

<file path=customXml/itemProps12.xml><?xml version="1.0" encoding="utf-8"?>
<ds:datastoreItem xmlns:ds="http://schemas.openxmlformats.org/officeDocument/2006/customXml" ds:itemID="{5A4CF9F6-DC8C-4C5F-B9B8-69B7A0742E06}">
  <ds:schemaRefs/>
</ds:datastoreItem>
</file>

<file path=customXml/itemProps13.xml><?xml version="1.0" encoding="utf-8"?>
<ds:datastoreItem xmlns:ds="http://schemas.openxmlformats.org/officeDocument/2006/customXml" ds:itemID="{BB625E94-E17B-4622-8101-6E5A22133CDD}">
  <ds:schemaRefs/>
</ds:datastoreItem>
</file>

<file path=customXml/itemProps14.xml><?xml version="1.0" encoding="utf-8"?>
<ds:datastoreItem xmlns:ds="http://schemas.openxmlformats.org/officeDocument/2006/customXml" ds:itemID="{F2883DA7-C5AF-4897-9BD8-2AEE23A65DC7}">
  <ds:schemaRefs/>
</ds:datastoreItem>
</file>

<file path=customXml/itemProps15.xml><?xml version="1.0" encoding="utf-8"?>
<ds:datastoreItem xmlns:ds="http://schemas.openxmlformats.org/officeDocument/2006/customXml" ds:itemID="{AF2D507D-7C7D-4ACA-9A92-C1A01BBD98F9}">
  <ds:schemaRefs/>
</ds:datastoreItem>
</file>

<file path=customXml/itemProps16.xml><?xml version="1.0" encoding="utf-8"?>
<ds:datastoreItem xmlns:ds="http://schemas.openxmlformats.org/officeDocument/2006/customXml" ds:itemID="{B3272A60-A390-463E-918C-48D558C3B20F}">
  <ds:schemaRefs/>
</ds:datastoreItem>
</file>

<file path=customXml/itemProps17.xml><?xml version="1.0" encoding="utf-8"?>
<ds:datastoreItem xmlns:ds="http://schemas.openxmlformats.org/officeDocument/2006/customXml" ds:itemID="{31CE7423-A52F-4B72-BD7B-4285BD176159}">
  <ds:schemaRefs/>
</ds:datastoreItem>
</file>

<file path=customXml/itemProps2.xml><?xml version="1.0" encoding="utf-8"?>
<ds:datastoreItem xmlns:ds="http://schemas.openxmlformats.org/officeDocument/2006/customXml" ds:itemID="{91404ED1-127F-4793-AE93-E0186B698E40}">
  <ds:schemaRefs/>
</ds:datastoreItem>
</file>

<file path=customXml/itemProps3.xml><?xml version="1.0" encoding="utf-8"?>
<ds:datastoreItem xmlns:ds="http://schemas.openxmlformats.org/officeDocument/2006/customXml" ds:itemID="{8A53D96C-E17F-4B7F-A8FD-960634D8F46B}">
  <ds:schemaRefs/>
</ds:datastoreItem>
</file>

<file path=customXml/itemProps4.xml><?xml version="1.0" encoding="utf-8"?>
<ds:datastoreItem xmlns:ds="http://schemas.openxmlformats.org/officeDocument/2006/customXml" ds:itemID="{55B0B013-9016-49F8-B9F3-6CF8BEBFBD71}">
  <ds:schemaRefs/>
</ds:datastoreItem>
</file>

<file path=customXml/itemProps5.xml><?xml version="1.0" encoding="utf-8"?>
<ds:datastoreItem xmlns:ds="http://schemas.openxmlformats.org/officeDocument/2006/customXml" ds:itemID="{80C25806-A8DB-4E0A-A4DA-4BA07D012F81}">
  <ds:schemaRefs/>
</ds:datastoreItem>
</file>

<file path=customXml/itemProps6.xml><?xml version="1.0" encoding="utf-8"?>
<ds:datastoreItem xmlns:ds="http://schemas.openxmlformats.org/officeDocument/2006/customXml" ds:itemID="{909F31E3-4871-4038-B8E2-A9C23B975B7C}">
  <ds:schemaRefs/>
</ds:datastoreItem>
</file>

<file path=customXml/itemProps7.xml><?xml version="1.0" encoding="utf-8"?>
<ds:datastoreItem xmlns:ds="http://schemas.openxmlformats.org/officeDocument/2006/customXml" ds:itemID="{DED706F5-3DE2-4514-B8F9-86CC8D89D498}">
  <ds:schemaRefs>
    <ds:schemaRef ds:uri="http://schemas.microsoft.com/DataMashup"/>
  </ds:schemaRefs>
</ds:datastoreItem>
</file>

<file path=customXml/itemProps8.xml><?xml version="1.0" encoding="utf-8"?>
<ds:datastoreItem xmlns:ds="http://schemas.openxmlformats.org/officeDocument/2006/customXml" ds:itemID="{54657A2C-11DB-4EAB-8850-52F1821B095B}">
  <ds:schemaRefs/>
</ds:datastoreItem>
</file>

<file path=customXml/itemProps9.xml><?xml version="1.0" encoding="utf-8"?>
<ds:datastoreItem xmlns:ds="http://schemas.openxmlformats.org/officeDocument/2006/customXml" ds:itemID="{5FA9517C-2802-483D-B165-C66F94F9EF6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Activities (LA only filtered)</vt:lpstr>
      <vt:lpstr>Activities (2012+ ExpensesOnly)</vt:lpstr>
      <vt:lpstr>README</vt:lpstr>
      <vt:lpstr>Data--&gt;</vt:lpstr>
      <vt:lpstr>Budgets</vt:lpstr>
      <vt:lpstr>Expenditures</vt:lpstr>
      <vt:lpstr>Categorized_Activities</vt:lpstr>
      <vt:lpstr>Analyses--&gt;</vt:lpstr>
      <vt:lpstr>III. Data Availability</vt:lpstr>
      <vt:lpstr>IV.A. Jurisdictional Type</vt:lpstr>
      <vt:lpstr>IV.B. Regional Boards</vt:lpstr>
      <vt:lpstr>IV.C. Category</vt:lpstr>
      <vt:lpstr>IV.D. Population and Area</vt:lpstr>
      <vt:lpstr>IV.E. Over Time</vt:lpstr>
      <vt:lpstr>App.A. Supplemental</vt:lpstr>
      <vt:lpstr>Reference Data --&gt;</vt:lpstr>
      <vt:lpstr>Jurisdiction_info</vt:lpstr>
      <vt:lpstr>Inflation_info</vt:lpstr>
      <vt:lpstr>Sheet1</vt:lpstr>
      <vt:lpstr>'Analyses--&gt;'!x</vt:lpstr>
      <vt:lpstr>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Water Programs, owp-sp25</dc:creator>
  <cp:lastModifiedBy>Salt, Danielle</cp:lastModifiedBy>
  <dcterms:created xsi:type="dcterms:W3CDTF">2019-06-26T22:55:48Z</dcterms:created>
  <dcterms:modified xsi:type="dcterms:W3CDTF">2020-05-19T00:36:31Z</dcterms:modified>
</cp:coreProperties>
</file>